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LFSI Gemson\Downloads\"/>
    </mc:Choice>
  </mc:AlternateContent>
  <xr:revisionPtr revIDLastSave="0" documentId="13_ncr:1_{C6404357-BF99-42CF-BCC3-80BCC3A118D4}" xr6:coauthVersionLast="47" xr6:coauthVersionMax="47" xr10:uidLastSave="{00000000-0000-0000-0000-000000000000}"/>
  <bookViews>
    <workbookView xWindow="11424" yWindow="0" windowWidth="11712" windowHeight="12336" xr2:uid="{00000000-000D-0000-FFFF-FFFF00000000}"/>
  </bookViews>
  <sheets>
    <sheet name="Raw" sheetId="5" r:id="rId1"/>
    <sheet name="Template" sheetId="1" r:id="rId2"/>
    <sheet name="BIR_Consolidated_YearEnd" sheetId="2" r:id="rId3"/>
    <sheet name="toshiba" sheetId="3" r:id="rId4"/>
    <sheet name="for non toshiba" sheetId="4" r:id="rId5"/>
    <sheet name="non-toshiba" sheetId="6" state="hidden" r:id="rId6"/>
  </sheets>
  <definedNames>
    <definedName name="_xlnm._FilterDatabase" localSheetId="0" hidden="1">Raw!$A$8:$W$8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5" l="1" a="1"/>
  <c r="A9" i="5" s="1"/>
  <c r="P1808" i="6" l="1"/>
  <c r="Q1808" i="6" s="1"/>
  <c r="O1808" i="6"/>
  <c r="N1808" i="6"/>
  <c r="M1808" i="6"/>
  <c r="L1808" i="6"/>
  <c r="P1807" i="6"/>
  <c r="Q1807" i="6" s="1"/>
  <c r="O1807" i="6"/>
  <c r="N1807" i="6"/>
  <c r="M1807" i="6"/>
  <c r="L1807" i="6"/>
  <c r="Q1806" i="6"/>
  <c r="P1806" i="6"/>
  <c r="O1806" i="6"/>
  <c r="N1806" i="6"/>
  <c r="M1806" i="6"/>
  <c r="L1806" i="6"/>
  <c r="Q1805" i="6"/>
  <c r="P1805" i="6"/>
  <c r="O1805" i="6"/>
  <c r="N1805" i="6"/>
  <c r="M1805" i="6"/>
  <c r="L1805" i="6"/>
  <c r="Q1804" i="6"/>
  <c r="P1804" i="6"/>
  <c r="O1804" i="6"/>
  <c r="N1804" i="6"/>
  <c r="M1804" i="6"/>
  <c r="L1804" i="6"/>
  <c r="P1803" i="6"/>
  <c r="Q1803" i="6" s="1"/>
  <c r="O1803" i="6"/>
  <c r="N1803" i="6"/>
  <c r="M1803" i="6"/>
  <c r="L1803" i="6"/>
  <c r="Q1802" i="6"/>
  <c r="P1802" i="6"/>
  <c r="O1802" i="6"/>
  <c r="N1802" i="6"/>
  <c r="M1802" i="6"/>
  <c r="L1802" i="6"/>
  <c r="Q1801" i="6"/>
  <c r="P1801" i="6"/>
  <c r="O1801" i="6"/>
  <c r="N1801" i="6"/>
  <c r="M1801" i="6"/>
  <c r="L1801" i="6"/>
  <c r="Q1800" i="6"/>
  <c r="P1800" i="6"/>
  <c r="O1800" i="6"/>
  <c r="N1800" i="6"/>
  <c r="M1800" i="6"/>
  <c r="L1800" i="6"/>
  <c r="O1799" i="6"/>
  <c r="N1799" i="6"/>
  <c r="Q1798" i="6"/>
  <c r="P1798" i="6"/>
  <c r="O1798" i="6"/>
  <c r="N1798" i="6"/>
  <c r="M1798" i="6"/>
  <c r="L1798" i="6"/>
  <c r="P1797" i="6"/>
  <c r="Q1797" i="6" s="1"/>
  <c r="O1797" i="6"/>
  <c r="N1797" i="6"/>
  <c r="M1797" i="6"/>
  <c r="L1797" i="6"/>
  <c r="Q1796" i="6"/>
  <c r="O1796" i="6"/>
  <c r="M1796" i="6"/>
  <c r="N1796" i="6" s="1"/>
  <c r="L1796" i="6"/>
  <c r="P1795" i="6"/>
  <c r="Q1795" i="6" s="1"/>
  <c r="O1795" i="6"/>
  <c r="N1795" i="6"/>
  <c r="M1795" i="6"/>
  <c r="L1795" i="6"/>
  <c r="Q1794" i="6"/>
  <c r="P1794" i="6"/>
  <c r="O1794" i="6"/>
  <c r="N1794" i="6"/>
  <c r="M1794" i="6"/>
  <c r="L1794" i="6"/>
  <c r="O1793" i="6"/>
  <c r="P1793" i="6" s="1"/>
  <c r="Q1793" i="6" s="1"/>
  <c r="N1793" i="6"/>
  <c r="M1793" i="6"/>
  <c r="L1793" i="6"/>
  <c r="O1792" i="6"/>
  <c r="P1792" i="6" s="1"/>
  <c r="Q1792" i="6" s="1"/>
  <c r="M1792" i="6"/>
  <c r="N1792" i="6" s="1"/>
  <c r="L1792" i="6"/>
  <c r="O1791" i="6"/>
  <c r="N1791" i="6"/>
  <c r="O1790" i="6"/>
  <c r="P1790" i="6" s="1"/>
  <c r="Q1790" i="6" s="1"/>
  <c r="M1790" i="6"/>
  <c r="N1790" i="6" s="1"/>
  <c r="L1790" i="6"/>
  <c r="O1789" i="6"/>
  <c r="N1789" i="6"/>
  <c r="O1788" i="6"/>
  <c r="P1788" i="6" s="1"/>
  <c r="Q1788" i="6" s="1"/>
  <c r="M1788" i="6"/>
  <c r="N1788" i="6" s="1"/>
  <c r="L1788" i="6"/>
  <c r="P1787" i="6"/>
  <c r="Q1787" i="6" s="1"/>
  <c r="O1787" i="6"/>
  <c r="M1787" i="6"/>
  <c r="N1787" i="6" s="1"/>
  <c r="L1787" i="6"/>
  <c r="Q1786" i="6"/>
  <c r="P1786" i="6"/>
  <c r="O1786" i="6"/>
  <c r="N1786" i="6"/>
  <c r="M1786" i="6"/>
  <c r="L1786" i="6"/>
  <c r="Q1785" i="6"/>
  <c r="O1785" i="6"/>
  <c r="P1785" i="6" s="1"/>
  <c r="N1785" i="6"/>
  <c r="M1785" i="6"/>
  <c r="L1785" i="6"/>
  <c r="O1784" i="6"/>
  <c r="P1784" i="6" s="1"/>
  <c r="Q1784" i="6" s="1"/>
  <c r="M1784" i="6"/>
  <c r="N1784" i="6" s="1"/>
  <c r="L1784" i="6"/>
  <c r="P1783" i="6"/>
  <c r="Q1783" i="6" s="1"/>
  <c r="O1783" i="6"/>
  <c r="M1783" i="6"/>
  <c r="N1783" i="6" s="1"/>
  <c r="L1783" i="6"/>
  <c r="Q1782" i="6"/>
  <c r="P1782" i="6"/>
  <c r="O1782" i="6"/>
  <c r="N1782" i="6"/>
  <c r="M1782" i="6"/>
  <c r="L1782" i="6"/>
  <c r="Q1781" i="6"/>
  <c r="O1781" i="6"/>
  <c r="P1781" i="6" s="1"/>
  <c r="N1781" i="6"/>
  <c r="M1781" i="6"/>
  <c r="L1781" i="6"/>
  <c r="O1780" i="6"/>
  <c r="P1780" i="6" s="1"/>
  <c r="Q1780" i="6" s="1"/>
  <c r="M1780" i="6"/>
  <c r="N1780" i="6" s="1"/>
  <c r="L1780" i="6"/>
  <c r="P1779" i="6"/>
  <c r="Q1779" i="6" s="1"/>
  <c r="O1779" i="6"/>
  <c r="M1779" i="6"/>
  <c r="N1779" i="6" s="1"/>
  <c r="L1779" i="6"/>
  <c r="Q1778" i="6"/>
  <c r="P1778" i="6"/>
  <c r="O1778" i="6"/>
  <c r="N1778" i="6"/>
  <c r="M1778" i="6"/>
  <c r="L1778" i="6"/>
  <c r="O1777" i="6"/>
  <c r="N1777" i="6"/>
  <c r="L1777" i="6"/>
  <c r="Q1776" i="6"/>
  <c r="P1776" i="6"/>
  <c r="O1776" i="6"/>
  <c r="N1776" i="6"/>
  <c r="M1776" i="6"/>
  <c r="L1776" i="6"/>
  <c r="O1775" i="6"/>
  <c r="N1775" i="6"/>
  <c r="O1774" i="6"/>
  <c r="N1774" i="6"/>
  <c r="Q1773" i="6"/>
  <c r="P1773" i="6"/>
  <c r="O1773" i="6"/>
  <c r="O1772" i="6"/>
  <c r="P1772" i="6" s="1"/>
  <c r="Q1772" i="6" s="1"/>
  <c r="N1772" i="6"/>
  <c r="M1772" i="6"/>
  <c r="L1772" i="6"/>
  <c r="O1771" i="6"/>
  <c r="N1771" i="6"/>
  <c r="O1770" i="6"/>
  <c r="P1770" i="6" s="1"/>
  <c r="Q1770" i="6" s="1"/>
  <c r="N1770" i="6"/>
  <c r="M1770" i="6"/>
  <c r="L1770" i="6"/>
  <c r="O1769" i="6"/>
  <c r="P1769" i="6" s="1"/>
  <c r="Q1769" i="6" s="1"/>
  <c r="M1769" i="6"/>
  <c r="N1769" i="6" s="1"/>
  <c r="L1769" i="6"/>
  <c r="P1768" i="6"/>
  <c r="Q1768" i="6" s="1"/>
  <c r="O1768" i="6"/>
  <c r="M1768" i="6"/>
  <c r="N1768" i="6" s="1"/>
  <c r="L1768" i="6"/>
  <c r="Q1767" i="6"/>
  <c r="P1767" i="6"/>
  <c r="O1767" i="6"/>
  <c r="N1767" i="6"/>
  <c r="M1767" i="6"/>
  <c r="L1767" i="6"/>
  <c r="Q1766" i="6"/>
  <c r="O1766" i="6"/>
  <c r="P1766" i="6" s="1"/>
  <c r="N1766" i="6"/>
  <c r="M1766" i="6"/>
  <c r="L1766" i="6"/>
  <c r="O1765" i="6"/>
  <c r="P1765" i="6" s="1"/>
  <c r="Q1765" i="6" s="1"/>
  <c r="M1765" i="6"/>
  <c r="N1765" i="6" s="1"/>
  <c r="L1765" i="6"/>
  <c r="P1764" i="6"/>
  <c r="Q1764" i="6" s="1"/>
  <c r="O1764" i="6"/>
  <c r="M1764" i="6"/>
  <c r="N1764" i="6" s="1"/>
  <c r="L1764" i="6"/>
  <c r="Q1763" i="6"/>
  <c r="P1763" i="6"/>
  <c r="O1763" i="6"/>
  <c r="N1763" i="6"/>
  <c r="M1763" i="6"/>
  <c r="L1763" i="6"/>
  <c r="O1762" i="6"/>
  <c r="P1762" i="6" s="1"/>
  <c r="Q1762" i="6" s="1"/>
  <c r="N1762" i="6"/>
  <c r="M1762" i="6"/>
  <c r="L1762" i="6"/>
  <c r="O1761" i="6"/>
  <c r="P1761" i="6" s="1"/>
  <c r="Q1761" i="6" s="1"/>
  <c r="M1761" i="6"/>
  <c r="N1761" i="6" s="1"/>
  <c r="L1761" i="6"/>
  <c r="Q1760" i="6"/>
  <c r="P1760" i="6"/>
  <c r="O1760" i="6"/>
  <c r="M1760" i="6"/>
  <c r="N1760" i="6" s="1"/>
  <c r="L1760" i="6"/>
  <c r="Q1759" i="6"/>
  <c r="P1759" i="6"/>
  <c r="O1759" i="6"/>
  <c r="N1759" i="6"/>
  <c r="M1759" i="6"/>
  <c r="L1759" i="6"/>
  <c r="Q1758" i="6"/>
  <c r="O1758" i="6"/>
  <c r="P1758" i="6" s="1"/>
  <c r="N1758" i="6"/>
  <c r="M1758" i="6"/>
  <c r="L1758" i="6"/>
  <c r="O1757" i="6"/>
  <c r="P1757" i="6" s="1"/>
  <c r="Q1757" i="6" s="1"/>
  <c r="M1757" i="6"/>
  <c r="N1757" i="6" s="1"/>
  <c r="L1757" i="6"/>
  <c r="Q1756" i="6"/>
  <c r="P1756" i="6"/>
  <c r="O1756" i="6"/>
  <c r="M1756" i="6"/>
  <c r="N1756" i="6" s="1"/>
  <c r="L1756" i="6"/>
  <c r="Q1755" i="6"/>
  <c r="P1755" i="6"/>
  <c r="O1755" i="6"/>
  <c r="N1755" i="6"/>
  <c r="M1755" i="6"/>
  <c r="L1755" i="6"/>
  <c r="Q1754" i="6"/>
  <c r="O1754" i="6"/>
  <c r="P1754" i="6" s="1"/>
  <c r="N1754" i="6"/>
  <c r="M1754" i="6"/>
  <c r="L1754" i="6"/>
  <c r="O1753" i="6"/>
  <c r="P1753" i="6" s="1"/>
  <c r="Q1753" i="6" s="1"/>
  <c r="M1753" i="6"/>
  <c r="N1753" i="6" s="1"/>
  <c r="L1753" i="6"/>
  <c r="Q1752" i="6"/>
  <c r="P1752" i="6"/>
  <c r="O1752" i="6"/>
  <c r="M1752" i="6"/>
  <c r="N1752" i="6" s="1"/>
  <c r="L1752" i="6"/>
  <c r="Q1751" i="6"/>
  <c r="P1751" i="6"/>
  <c r="O1751" i="6"/>
  <c r="N1751" i="6"/>
  <c r="M1751" i="6"/>
  <c r="L1751" i="6"/>
  <c r="O1750" i="6"/>
  <c r="N1750" i="6"/>
  <c r="Q1749" i="6"/>
  <c r="P1749" i="6"/>
  <c r="O1749" i="6"/>
  <c r="N1749" i="6"/>
  <c r="M1749" i="6"/>
  <c r="L1749" i="6"/>
  <c r="Q1748" i="6"/>
  <c r="O1748" i="6"/>
  <c r="P1748" i="6" s="1"/>
  <c r="N1748" i="6"/>
  <c r="M1748" i="6"/>
  <c r="L1748" i="6"/>
  <c r="O1747" i="6"/>
  <c r="P1747" i="6" s="1"/>
  <c r="Q1747" i="6" s="1"/>
  <c r="M1747" i="6"/>
  <c r="N1747" i="6" s="1"/>
  <c r="L1747" i="6"/>
  <c r="Q1746" i="6"/>
  <c r="P1746" i="6"/>
  <c r="O1746" i="6"/>
  <c r="M1746" i="6"/>
  <c r="N1746" i="6" s="1"/>
  <c r="L1746" i="6"/>
  <c r="Q1745" i="6"/>
  <c r="P1745" i="6"/>
  <c r="O1745" i="6"/>
  <c r="N1745" i="6"/>
  <c r="M1745" i="6"/>
  <c r="P1744" i="6"/>
  <c r="Q1744" i="6" s="1"/>
  <c r="O1744" i="6"/>
  <c r="N1744" i="6"/>
  <c r="M1744" i="6"/>
  <c r="L1744" i="6"/>
  <c r="Q1743" i="6"/>
  <c r="P1743" i="6"/>
  <c r="O1743" i="6"/>
  <c r="N1743" i="6"/>
  <c r="M1743" i="6"/>
  <c r="L1743" i="6"/>
  <c r="P1742" i="6"/>
  <c r="Q1742" i="6" s="1"/>
  <c r="O1742" i="6"/>
  <c r="N1742" i="6"/>
  <c r="M1742" i="6"/>
  <c r="L1742" i="6"/>
  <c r="P1741" i="6"/>
  <c r="Q1741" i="6" s="1"/>
  <c r="O1741" i="6"/>
  <c r="N1741" i="6"/>
  <c r="M1741" i="6"/>
  <c r="L1741" i="6"/>
  <c r="P1740" i="6"/>
  <c r="Q1740" i="6" s="1"/>
  <c r="O1740" i="6"/>
  <c r="N1740" i="6"/>
  <c r="M1740" i="6"/>
  <c r="L1740" i="6"/>
  <c r="Q1739" i="6"/>
  <c r="P1739" i="6"/>
  <c r="O1739" i="6"/>
  <c r="N1739" i="6"/>
  <c r="M1739" i="6"/>
  <c r="L1739" i="6"/>
  <c r="P1738" i="6"/>
  <c r="Q1738" i="6" s="1"/>
  <c r="O1738" i="6"/>
  <c r="N1738" i="6"/>
  <c r="M1738" i="6"/>
  <c r="L1738" i="6"/>
  <c r="P1737" i="6"/>
  <c r="Q1737" i="6" s="1"/>
  <c r="O1737" i="6"/>
  <c r="N1737" i="6"/>
  <c r="M1737" i="6"/>
  <c r="L1737" i="6"/>
  <c r="P1736" i="6"/>
  <c r="Q1736" i="6" s="1"/>
  <c r="O1736" i="6"/>
  <c r="N1736" i="6"/>
  <c r="M1736" i="6"/>
  <c r="L1736" i="6"/>
  <c r="Q1735" i="6"/>
  <c r="P1735" i="6"/>
  <c r="O1735" i="6"/>
  <c r="O1734" i="6"/>
  <c r="P1734" i="6" s="1"/>
  <c r="Q1734" i="6" s="1"/>
  <c r="N1734" i="6"/>
  <c r="M1734" i="6"/>
  <c r="L1734" i="6"/>
  <c r="O1733" i="6"/>
  <c r="P1733" i="6" s="1"/>
  <c r="Q1733" i="6" s="1"/>
  <c r="M1733" i="6"/>
  <c r="N1733" i="6" s="1"/>
  <c r="L1733" i="6"/>
  <c r="Q1732" i="6"/>
  <c r="P1732" i="6"/>
  <c r="O1732" i="6"/>
  <c r="M1732" i="6"/>
  <c r="N1732" i="6" s="1"/>
  <c r="L1732" i="6"/>
  <c r="Q1731" i="6"/>
  <c r="P1731" i="6"/>
  <c r="O1731" i="6"/>
  <c r="N1731" i="6"/>
  <c r="M1731" i="6"/>
  <c r="L1731" i="6"/>
  <c r="O1730" i="6"/>
  <c r="P1730" i="6" s="1"/>
  <c r="Q1730" i="6" s="1"/>
  <c r="N1730" i="6"/>
  <c r="M1730" i="6"/>
  <c r="L1730" i="6"/>
  <c r="O1729" i="6"/>
  <c r="P1729" i="6" s="1"/>
  <c r="Q1729" i="6" s="1"/>
  <c r="M1729" i="6"/>
  <c r="N1729" i="6" s="1"/>
  <c r="L1729" i="6"/>
  <c r="Q1728" i="6"/>
  <c r="P1728" i="6"/>
  <c r="O1728" i="6"/>
  <c r="P1727" i="6"/>
  <c r="Q1727" i="6" s="1"/>
  <c r="O1727" i="6"/>
  <c r="N1727" i="6"/>
  <c r="M1727" i="6"/>
  <c r="L1727" i="6"/>
  <c r="Q1726" i="6"/>
  <c r="P1726" i="6"/>
  <c r="O1726" i="6"/>
  <c r="N1726" i="6"/>
  <c r="M1726" i="6"/>
  <c r="L1726" i="6"/>
  <c r="P1725" i="6"/>
  <c r="Q1725" i="6" s="1"/>
  <c r="O1725" i="6"/>
  <c r="N1725" i="6"/>
  <c r="M1725" i="6"/>
  <c r="L1725" i="6"/>
  <c r="P1724" i="6"/>
  <c r="Q1724" i="6" s="1"/>
  <c r="O1724" i="6"/>
  <c r="N1724" i="6"/>
  <c r="M1724" i="6"/>
  <c r="L1724" i="6"/>
  <c r="P1723" i="6"/>
  <c r="Q1723" i="6" s="1"/>
  <c r="O1723" i="6"/>
  <c r="N1723" i="6"/>
  <c r="M1723" i="6"/>
  <c r="L1723" i="6"/>
  <c r="Q1722" i="6"/>
  <c r="P1722" i="6"/>
  <c r="O1722" i="6"/>
  <c r="N1722" i="6"/>
  <c r="M1722" i="6"/>
  <c r="L1722" i="6"/>
  <c r="Q1721" i="6"/>
  <c r="P1721" i="6"/>
  <c r="O1721" i="6"/>
  <c r="N1721" i="6"/>
  <c r="M1721" i="6"/>
  <c r="L1721" i="6"/>
  <c r="P1720" i="6"/>
  <c r="Q1720" i="6" s="1"/>
  <c r="O1720" i="6"/>
  <c r="N1720" i="6"/>
  <c r="M1720" i="6"/>
  <c r="L1720" i="6"/>
  <c r="P1719" i="6"/>
  <c r="Q1719" i="6" s="1"/>
  <c r="O1719" i="6"/>
  <c r="Q1718" i="6"/>
  <c r="P1718" i="6"/>
  <c r="O1718" i="6"/>
  <c r="N1718" i="6"/>
  <c r="M1718" i="6"/>
  <c r="L1718" i="6"/>
  <c r="Q1717" i="6"/>
  <c r="O1717" i="6"/>
  <c r="P1717" i="6" s="1"/>
  <c r="Q1716" i="6"/>
  <c r="P1716" i="6"/>
  <c r="O1716" i="6"/>
  <c r="N1716" i="6"/>
  <c r="M1716" i="6"/>
  <c r="L1716" i="6"/>
  <c r="P1715" i="6"/>
  <c r="Q1715" i="6" s="1"/>
  <c r="O1715" i="6"/>
  <c r="N1715" i="6"/>
  <c r="M1715" i="6"/>
  <c r="L1715" i="6"/>
  <c r="P1714" i="6"/>
  <c r="Q1714" i="6" s="1"/>
  <c r="O1714" i="6"/>
  <c r="N1714" i="6"/>
  <c r="M1714" i="6"/>
  <c r="L1714" i="6"/>
  <c r="P1713" i="6"/>
  <c r="Q1713" i="6" s="1"/>
  <c r="O1713" i="6"/>
  <c r="N1713" i="6"/>
  <c r="M1713" i="6"/>
  <c r="L1713" i="6"/>
  <c r="Q1712" i="6"/>
  <c r="P1712" i="6"/>
  <c r="O1712" i="6"/>
  <c r="N1712" i="6"/>
  <c r="M1712" i="6"/>
  <c r="L1712" i="6"/>
  <c r="P1711" i="6"/>
  <c r="Q1711" i="6" s="1"/>
  <c r="O1711" i="6"/>
  <c r="N1711" i="6"/>
  <c r="M1711" i="6"/>
  <c r="L1711" i="6"/>
  <c r="P1710" i="6"/>
  <c r="Q1710" i="6" s="1"/>
  <c r="O1710" i="6"/>
  <c r="N1710" i="6"/>
  <c r="M1710" i="6"/>
  <c r="L1710" i="6"/>
  <c r="P1709" i="6"/>
  <c r="Q1709" i="6" s="1"/>
  <c r="O1709" i="6"/>
  <c r="N1709" i="6"/>
  <c r="M1709" i="6"/>
  <c r="L1709" i="6"/>
  <c r="Q1708" i="6"/>
  <c r="P1708" i="6"/>
  <c r="O1708" i="6"/>
  <c r="N1708" i="6"/>
  <c r="M1708" i="6"/>
  <c r="L1708" i="6"/>
  <c r="P1707" i="6"/>
  <c r="Q1707" i="6" s="1"/>
  <c r="O1707" i="6"/>
  <c r="N1707" i="6"/>
  <c r="M1707" i="6"/>
  <c r="L1707" i="6"/>
  <c r="P1706" i="6"/>
  <c r="Q1706" i="6" s="1"/>
  <c r="O1706" i="6"/>
  <c r="N1706" i="6"/>
  <c r="M1706" i="6"/>
  <c r="L1706" i="6"/>
  <c r="P1705" i="6"/>
  <c r="Q1705" i="6" s="1"/>
  <c r="O1705" i="6"/>
  <c r="N1705" i="6"/>
  <c r="M1705" i="6"/>
  <c r="L1705" i="6"/>
  <c r="Q1704" i="6"/>
  <c r="P1704" i="6"/>
  <c r="O1704" i="6"/>
  <c r="N1704" i="6"/>
  <c r="M1704" i="6"/>
  <c r="L1704" i="6"/>
  <c r="P1703" i="6"/>
  <c r="Q1703" i="6" s="1"/>
  <c r="O1703" i="6"/>
  <c r="N1703" i="6"/>
  <c r="M1703" i="6"/>
  <c r="L1703" i="6"/>
  <c r="P1702" i="6"/>
  <c r="Q1702" i="6" s="1"/>
  <c r="O1702" i="6"/>
  <c r="Q1701" i="6"/>
  <c r="P1701" i="6"/>
  <c r="O1701" i="6"/>
  <c r="N1701" i="6"/>
  <c r="M1701" i="6"/>
  <c r="L1701" i="6"/>
  <c r="O1700" i="6"/>
  <c r="P1700" i="6" s="1"/>
  <c r="Q1700" i="6" s="1"/>
  <c r="N1700" i="6"/>
  <c r="M1700" i="6"/>
  <c r="L1700" i="6"/>
  <c r="O1699" i="6"/>
  <c r="P1699" i="6" s="1"/>
  <c r="Q1699" i="6" s="1"/>
  <c r="M1699" i="6"/>
  <c r="N1699" i="6" s="1"/>
  <c r="L1699" i="6"/>
  <c r="Q1698" i="6"/>
  <c r="P1698" i="6"/>
  <c r="O1698" i="6"/>
  <c r="M1698" i="6"/>
  <c r="N1698" i="6" s="1"/>
  <c r="L1698" i="6"/>
  <c r="Q1697" i="6"/>
  <c r="P1697" i="6"/>
  <c r="O1697" i="6"/>
  <c r="N1697" i="6"/>
  <c r="M1697" i="6"/>
  <c r="L1697" i="6"/>
  <c r="O1696" i="6"/>
  <c r="P1696" i="6" s="1"/>
  <c r="Q1696" i="6" s="1"/>
  <c r="N1696" i="6"/>
  <c r="M1696" i="6"/>
  <c r="L1696" i="6"/>
  <c r="O1695" i="6"/>
  <c r="P1695" i="6" s="1"/>
  <c r="Q1695" i="6" s="1"/>
  <c r="M1695" i="6"/>
  <c r="N1695" i="6" s="1"/>
  <c r="L1695" i="6"/>
  <c r="Q1694" i="6"/>
  <c r="P1694" i="6"/>
  <c r="O1694" i="6"/>
  <c r="M1694" i="6"/>
  <c r="N1694" i="6" s="1"/>
  <c r="L1694" i="6"/>
  <c r="Q1693" i="6"/>
  <c r="P1693" i="6"/>
  <c r="O1693" i="6"/>
  <c r="N1693" i="6"/>
  <c r="M1693" i="6"/>
  <c r="L1693" i="6"/>
  <c r="O1692" i="6"/>
  <c r="P1692" i="6" s="1"/>
  <c r="Q1692" i="6" s="1"/>
  <c r="N1692" i="6"/>
  <c r="M1692" i="6"/>
  <c r="L1692" i="6"/>
  <c r="O1691" i="6"/>
  <c r="P1691" i="6" s="1"/>
  <c r="Q1691" i="6" s="1"/>
  <c r="M1691" i="6"/>
  <c r="N1691" i="6" s="1"/>
  <c r="L1691" i="6"/>
  <c r="Q1690" i="6"/>
  <c r="P1690" i="6"/>
  <c r="O1690" i="6"/>
  <c r="M1690" i="6"/>
  <c r="N1690" i="6" s="1"/>
  <c r="L1690" i="6"/>
  <c r="Q1689" i="6"/>
  <c r="P1689" i="6"/>
  <c r="O1689" i="6"/>
  <c r="N1689" i="6"/>
  <c r="M1689" i="6"/>
  <c r="L1689" i="6"/>
  <c r="Q1688" i="6"/>
  <c r="O1688" i="6"/>
  <c r="P1688" i="6" s="1"/>
  <c r="N1688" i="6"/>
  <c r="M1688" i="6"/>
  <c r="L1688" i="6"/>
  <c r="O1687" i="6"/>
  <c r="P1687" i="6" s="1"/>
  <c r="Q1687" i="6" s="1"/>
  <c r="M1687" i="6"/>
  <c r="N1687" i="6" s="1"/>
  <c r="L1687" i="6"/>
  <c r="Q1686" i="6"/>
  <c r="P1686" i="6"/>
  <c r="O1686" i="6"/>
  <c r="M1686" i="6"/>
  <c r="N1686" i="6" s="1"/>
  <c r="L1686" i="6"/>
  <c r="Q1685" i="6"/>
  <c r="P1685" i="6"/>
  <c r="O1685" i="6"/>
  <c r="N1685" i="6"/>
  <c r="M1685" i="6"/>
  <c r="L1685" i="6"/>
  <c r="Q1684" i="6"/>
  <c r="O1684" i="6"/>
  <c r="P1684" i="6" s="1"/>
  <c r="N1684" i="6"/>
  <c r="M1684" i="6"/>
  <c r="L1684" i="6"/>
  <c r="O1683" i="6"/>
  <c r="P1683" i="6" s="1"/>
  <c r="Q1683" i="6" s="1"/>
  <c r="M1683" i="6"/>
  <c r="N1683" i="6" s="1"/>
  <c r="L1683" i="6"/>
  <c r="Q1682" i="6"/>
  <c r="P1682" i="6"/>
  <c r="O1682" i="6"/>
  <c r="M1682" i="6"/>
  <c r="N1682" i="6" s="1"/>
  <c r="L1682" i="6"/>
  <c r="Q1681" i="6"/>
  <c r="P1681" i="6"/>
  <c r="O1681" i="6"/>
  <c r="N1681" i="6"/>
  <c r="M1681" i="6"/>
  <c r="L1681" i="6"/>
  <c r="Q1680" i="6"/>
  <c r="O1680" i="6"/>
  <c r="P1680" i="6" s="1"/>
  <c r="N1680" i="6"/>
  <c r="M1680" i="6"/>
  <c r="L1680" i="6"/>
  <c r="O1679" i="6"/>
  <c r="P1679" i="6" s="1"/>
  <c r="Q1679" i="6" s="1"/>
  <c r="M1679" i="6"/>
  <c r="N1679" i="6" s="1"/>
  <c r="L1679" i="6"/>
  <c r="Q1678" i="6"/>
  <c r="P1678" i="6"/>
  <c r="O1678" i="6"/>
  <c r="M1678" i="6"/>
  <c r="N1678" i="6" s="1"/>
  <c r="L1678" i="6"/>
  <c r="Q1677" i="6"/>
  <c r="P1677" i="6"/>
  <c r="O1677" i="6"/>
  <c r="N1677" i="6"/>
  <c r="M1677" i="6"/>
  <c r="L1677" i="6"/>
  <c r="O1676" i="6"/>
  <c r="P1676" i="6" s="1"/>
  <c r="Q1676" i="6" s="1"/>
  <c r="N1676" i="6"/>
  <c r="M1676" i="6"/>
  <c r="L1676" i="6"/>
  <c r="O1675" i="6"/>
  <c r="P1675" i="6" s="1"/>
  <c r="Q1675" i="6" s="1"/>
  <c r="M1675" i="6"/>
  <c r="N1675" i="6" s="1"/>
  <c r="L1675" i="6"/>
  <c r="Q1674" i="6"/>
  <c r="P1674" i="6"/>
  <c r="O1674" i="6"/>
  <c r="M1674" i="6"/>
  <c r="N1674" i="6" s="1"/>
  <c r="L1674" i="6"/>
  <c r="Q1673" i="6"/>
  <c r="P1673" i="6"/>
  <c r="O1673" i="6"/>
  <c r="N1673" i="6"/>
  <c r="M1673" i="6"/>
  <c r="L1673" i="6"/>
  <c r="O1672" i="6"/>
  <c r="P1672" i="6" s="1"/>
  <c r="Q1672" i="6" s="1"/>
  <c r="N1672" i="6"/>
  <c r="M1672" i="6"/>
  <c r="L1672" i="6"/>
  <c r="O1671" i="6"/>
  <c r="P1671" i="6" s="1"/>
  <c r="Q1671" i="6" s="1"/>
  <c r="M1671" i="6"/>
  <c r="N1671" i="6" s="1"/>
  <c r="L1671" i="6"/>
  <c r="Q1670" i="6"/>
  <c r="P1670" i="6"/>
  <c r="O1670" i="6"/>
  <c r="M1670" i="6"/>
  <c r="N1670" i="6" s="1"/>
  <c r="L1670" i="6"/>
  <c r="Q1669" i="6"/>
  <c r="P1669" i="6"/>
  <c r="O1669" i="6"/>
  <c r="N1669" i="6"/>
  <c r="M1669" i="6"/>
  <c r="L1669" i="6"/>
  <c r="O1668" i="6"/>
  <c r="P1668" i="6" s="1"/>
  <c r="Q1668" i="6" s="1"/>
  <c r="N1668" i="6"/>
  <c r="M1668" i="6"/>
  <c r="L1668" i="6"/>
  <c r="O1667" i="6"/>
  <c r="P1667" i="6" s="1"/>
  <c r="Q1667" i="6" s="1"/>
  <c r="M1667" i="6"/>
  <c r="N1667" i="6" s="1"/>
  <c r="L1667" i="6"/>
  <c r="Q1666" i="6"/>
  <c r="P1666" i="6"/>
  <c r="O1666" i="6"/>
  <c r="M1666" i="6"/>
  <c r="N1666" i="6" s="1"/>
  <c r="L1666" i="6"/>
  <c r="Q1665" i="6"/>
  <c r="P1665" i="6"/>
  <c r="O1665" i="6"/>
  <c r="N1665" i="6"/>
  <c r="M1665" i="6"/>
  <c r="L1665" i="6"/>
  <c r="O1664" i="6"/>
  <c r="P1664" i="6" s="1"/>
  <c r="Q1664" i="6" s="1"/>
  <c r="N1664" i="6"/>
  <c r="M1664" i="6"/>
  <c r="L1664" i="6"/>
  <c r="O1663" i="6"/>
  <c r="P1663" i="6" s="1"/>
  <c r="Q1663" i="6" s="1"/>
  <c r="M1663" i="6"/>
  <c r="N1663" i="6" s="1"/>
  <c r="L1663" i="6"/>
  <c r="P1662" i="6"/>
  <c r="Q1662" i="6" s="1"/>
  <c r="O1662" i="6"/>
  <c r="M1662" i="6"/>
  <c r="N1662" i="6" s="1"/>
  <c r="L1662" i="6"/>
  <c r="Q1661" i="6"/>
  <c r="P1661" i="6"/>
  <c r="O1661" i="6"/>
  <c r="N1661" i="6"/>
  <c r="M1661" i="6"/>
  <c r="L1661" i="6"/>
  <c r="O1660" i="6"/>
  <c r="P1660" i="6" s="1"/>
  <c r="Q1660" i="6" s="1"/>
  <c r="N1660" i="6"/>
  <c r="M1660" i="6"/>
  <c r="L1660" i="6"/>
  <c r="O1659" i="6"/>
  <c r="P1659" i="6" s="1"/>
  <c r="Q1659" i="6" s="1"/>
  <c r="M1659" i="6"/>
  <c r="N1659" i="6" s="1"/>
  <c r="L1659" i="6"/>
  <c r="P1658" i="6"/>
  <c r="Q1658" i="6" s="1"/>
  <c r="O1658" i="6"/>
  <c r="M1658" i="6"/>
  <c r="N1658" i="6" s="1"/>
  <c r="L1658" i="6"/>
  <c r="Q1657" i="6"/>
  <c r="P1657" i="6"/>
  <c r="O1657" i="6"/>
  <c r="N1657" i="6"/>
  <c r="M1657" i="6"/>
  <c r="L1657" i="6"/>
  <c r="Q1656" i="6"/>
  <c r="O1656" i="6"/>
  <c r="P1656" i="6" s="1"/>
  <c r="N1656" i="6"/>
  <c r="M1656" i="6"/>
  <c r="L1656" i="6"/>
  <c r="O1655" i="6"/>
  <c r="P1655" i="6" s="1"/>
  <c r="Q1655" i="6" s="1"/>
  <c r="M1655" i="6"/>
  <c r="N1655" i="6" s="1"/>
  <c r="L1655" i="6"/>
  <c r="P1654" i="6"/>
  <c r="Q1654" i="6" s="1"/>
  <c r="O1654" i="6"/>
  <c r="M1654" i="6"/>
  <c r="N1654" i="6" s="1"/>
  <c r="L1654" i="6"/>
  <c r="Q1653" i="6"/>
  <c r="P1653" i="6"/>
  <c r="O1653" i="6"/>
  <c r="N1653" i="6"/>
  <c r="M1653" i="6"/>
  <c r="L1653" i="6"/>
  <c r="Q1652" i="6"/>
  <c r="O1652" i="6"/>
  <c r="P1652" i="6" s="1"/>
  <c r="N1652" i="6"/>
  <c r="M1652" i="6"/>
  <c r="L1652" i="6"/>
  <c r="O1651" i="6"/>
  <c r="P1651" i="6" s="1"/>
  <c r="Q1651" i="6" s="1"/>
  <c r="M1651" i="6"/>
  <c r="N1651" i="6" s="1"/>
  <c r="L1651" i="6"/>
  <c r="P1650" i="6"/>
  <c r="Q1650" i="6" s="1"/>
  <c r="O1650" i="6"/>
  <c r="M1650" i="6"/>
  <c r="N1650" i="6" s="1"/>
  <c r="L1650" i="6"/>
  <c r="Q1649" i="6"/>
  <c r="P1649" i="6"/>
  <c r="O1649" i="6"/>
  <c r="N1649" i="6"/>
  <c r="M1649" i="6"/>
  <c r="L1649" i="6"/>
  <c r="O1648" i="6"/>
  <c r="P1648" i="6" s="1"/>
  <c r="Q1648" i="6" s="1"/>
  <c r="N1648" i="6"/>
  <c r="M1648" i="6"/>
  <c r="L1648" i="6"/>
  <c r="O1647" i="6"/>
  <c r="P1647" i="6" s="1"/>
  <c r="Q1647" i="6" s="1"/>
  <c r="M1647" i="6"/>
  <c r="N1647" i="6" s="1"/>
  <c r="L1647" i="6"/>
  <c r="P1646" i="6"/>
  <c r="Q1646" i="6" s="1"/>
  <c r="O1646" i="6"/>
  <c r="M1646" i="6"/>
  <c r="N1646" i="6" s="1"/>
  <c r="L1646" i="6"/>
  <c r="Q1645" i="6"/>
  <c r="P1645" i="6"/>
  <c r="O1645" i="6"/>
  <c r="N1645" i="6"/>
  <c r="M1645" i="6"/>
  <c r="L1645" i="6"/>
  <c r="O1644" i="6"/>
  <c r="P1644" i="6" s="1"/>
  <c r="Q1644" i="6" s="1"/>
  <c r="N1644" i="6"/>
  <c r="M1644" i="6"/>
  <c r="L1644" i="6"/>
  <c r="O1643" i="6"/>
  <c r="M1643" i="6"/>
  <c r="N1643" i="6" s="1"/>
  <c r="L1643" i="6"/>
  <c r="P1642" i="6"/>
  <c r="O1642" i="6"/>
  <c r="M1642" i="6"/>
  <c r="N1642" i="6" s="1"/>
  <c r="L1642" i="6"/>
  <c r="O1641" i="6"/>
  <c r="P1641" i="6" s="1"/>
  <c r="M1641" i="6"/>
  <c r="N1641" i="6" s="1"/>
  <c r="L1641" i="6"/>
  <c r="O1640" i="6"/>
  <c r="N1640" i="6"/>
  <c r="M1640" i="6"/>
  <c r="L1640" i="6"/>
  <c r="O1639" i="6"/>
  <c r="M1639" i="6"/>
  <c r="N1639" i="6" s="1"/>
  <c r="L1639" i="6"/>
  <c r="O1638" i="6"/>
  <c r="N1638" i="6"/>
  <c r="M1638" i="6"/>
  <c r="L1638" i="6"/>
  <c r="O1637" i="6"/>
  <c r="M1637" i="6"/>
  <c r="N1637" i="6" s="1"/>
  <c r="L1637" i="6"/>
  <c r="O1636" i="6"/>
  <c r="N1636" i="6"/>
  <c r="M1636" i="6"/>
  <c r="L1636" i="6"/>
  <c r="O1635" i="6"/>
  <c r="M1635" i="6"/>
  <c r="N1635" i="6" s="1"/>
  <c r="L1635" i="6"/>
  <c r="O1634" i="6"/>
  <c r="N1634" i="6"/>
  <c r="M1634" i="6"/>
  <c r="L1634" i="6"/>
  <c r="O1633" i="6"/>
  <c r="M1633" i="6"/>
  <c r="N1633" i="6" s="1"/>
  <c r="L1633" i="6"/>
  <c r="Q1632" i="6"/>
  <c r="P1632" i="6"/>
  <c r="R1632" i="6" s="1"/>
  <c r="O1632" i="6"/>
  <c r="N1632" i="6"/>
  <c r="M1632" i="6"/>
  <c r="L1632" i="6"/>
  <c r="O1631" i="6"/>
  <c r="P1631" i="6" s="1"/>
  <c r="R1631" i="6" s="1"/>
  <c r="N1631" i="6"/>
  <c r="M1631" i="6"/>
  <c r="L1631" i="6"/>
  <c r="Q1630" i="6"/>
  <c r="P1630" i="6"/>
  <c r="R1630" i="6" s="1"/>
  <c r="O1630" i="6"/>
  <c r="N1630" i="6"/>
  <c r="M1630" i="6"/>
  <c r="L1630" i="6"/>
  <c r="O1629" i="6"/>
  <c r="P1629" i="6" s="1"/>
  <c r="R1629" i="6" s="1"/>
  <c r="N1629" i="6"/>
  <c r="M1629" i="6"/>
  <c r="L1629" i="6"/>
  <c r="O1628" i="6"/>
  <c r="P1628" i="6" s="1"/>
  <c r="R1628" i="6" s="1"/>
  <c r="M1628" i="6"/>
  <c r="N1628" i="6" s="1"/>
  <c r="L1628" i="6"/>
  <c r="O1627" i="6"/>
  <c r="N1627" i="6"/>
  <c r="M1627" i="6"/>
  <c r="L1627" i="6"/>
  <c r="O1626" i="6"/>
  <c r="M1626" i="6"/>
  <c r="N1626" i="6" s="1"/>
  <c r="L1626" i="6"/>
  <c r="O1625" i="6"/>
  <c r="N1625" i="6"/>
  <c r="M1625" i="6"/>
  <c r="L1625" i="6"/>
  <c r="O1624" i="6"/>
  <c r="M1624" i="6"/>
  <c r="N1624" i="6" s="1"/>
  <c r="L1624" i="6"/>
  <c r="O1623" i="6"/>
  <c r="P1623" i="6" s="1"/>
  <c r="M1623" i="6"/>
  <c r="N1623" i="6" s="1"/>
  <c r="L1623" i="6"/>
  <c r="O1622" i="6"/>
  <c r="P1622" i="6" s="1"/>
  <c r="N1622" i="6"/>
  <c r="M1622" i="6"/>
  <c r="L1622" i="6"/>
  <c r="O1621" i="6"/>
  <c r="P1621" i="6" s="1"/>
  <c r="N1621" i="6"/>
  <c r="M1621" i="6"/>
  <c r="L1621" i="6"/>
  <c r="O1620" i="6"/>
  <c r="M1620" i="6"/>
  <c r="N1620" i="6" s="1"/>
  <c r="L1620" i="6"/>
  <c r="O1619" i="6"/>
  <c r="N1619" i="6"/>
  <c r="M1619" i="6"/>
  <c r="L1619" i="6"/>
  <c r="P1618" i="6"/>
  <c r="O1618" i="6"/>
  <c r="N1618" i="6"/>
  <c r="M1618" i="6"/>
  <c r="L1618" i="6"/>
  <c r="O1617" i="6"/>
  <c r="M1617" i="6"/>
  <c r="N1617" i="6" s="1"/>
  <c r="L1617" i="6"/>
  <c r="O1616" i="6"/>
  <c r="N1616" i="6"/>
  <c r="M1616" i="6"/>
  <c r="L1616" i="6"/>
  <c r="O1615" i="6"/>
  <c r="P1615" i="6" s="1"/>
  <c r="M1615" i="6"/>
  <c r="N1615" i="6" s="1"/>
  <c r="L1615" i="6"/>
  <c r="O1614" i="6"/>
  <c r="N1614" i="6"/>
  <c r="M1614" i="6"/>
  <c r="L1614" i="6"/>
  <c r="O1613" i="6"/>
  <c r="M1613" i="6"/>
  <c r="N1613" i="6" s="1"/>
  <c r="L1613" i="6"/>
  <c r="O1612" i="6"/>
  <c r="N1612" i="6"/>
  <c r="M1612" i="6"/>
  <c r="L1612" i="6"/>
  <c r="O1611" i="6"/>
  <c r="M1611" i="6"/>
  <c r="N1611" i="6" s="1"/>
  <c r="L1611" i="6"/>
  <c r="P1610" i="6"/>
  <c r="R1610" i="6" s="1"/>
  <c r="O1610" i="6"/>
  <c r="N1610" i="6"/>
  <c r="M1610" i="6"/>
  <c r="L1610" i="6"/>
  <c r="O1609" i="6"/>
  <c r="P1609" i="6" s="1"/>
  <c r="R1609" i="6" s="1"/>
  <c r="N1609" i="6"/>
  <c r="M1609" i="6"/>
  <c r="L1609" i="6"/>
  <c r="O1608" i="6"/>
  <c r="P1608" i="6" s="1"/>
  <c r="R1608" i="6" s="1"/>
  <c r="M1608" i="6"/>
  <c r="N1608" i="6" s="1"/>
  <c r="L1608" i="6"/>
  <c r="O1607" i="6"/>
  <c r="P1607" i="6" s="1"/>
  <c r="N1607" i="6"/>
  <c r="M1607" i="6"/>
  <c r="L1607" i="6"/>
  <c r="O1606" i="6"/>
  <c r="M1606" i="6"/>
  <c r="N1606" i="6" s="1"/>
  <c r="L1606" i="6"/>
  <c r="O1605" i="6"/>
  <c r="N1605" i="6"/>
  <c r="M1605" i="6"/>
  <c r="L1605" i="6"/>
  <c r="O1604" i="6"/>
  <c r="M1604" i="6"/>
  <c r="N1604" i="6" s="1"/>
  <c r="L1604" i="6"/>
  <c r="O1603" i="6"/>
  <c r="N1603" i="6"/>
  <c r="M1603" i="6"/>
  <c r="L1603" i="6"/>
  <c r="O1602" i="6"/>
  <c r="M1602" i="6"/>
  <c r="N1602" i="6" s="1"/>
  <c r="L1602" i="6"/>
  <c r="O1601" i="6"/>
  <c r="N1601" i="6"/>
  <c r="M1601" i="6"/>
  <c r="L1601" i="6"/>
  <c r="P1600" i="6"/>
  <c r="O1600" i="6"/>
  <c r="N1600" i="6"/>
  <c r="M1600" i="6"/>
  <c r="L1600" i="6"/>
  <c r="O1599" i="6"/>
  <c r="P1599" i="6" s="1"/>
  <c r="M1599" i="6"/>
  <c r="N1599" i="6" s="1"/>
  <c r="L1599" i="6"/>
  <c r="O1598" i="6"/>
  <c r="P1598" i="6" s="1"/>
  <c r="M1598" i="6"/>
  <c r="N1598" i="6" s="1"/>
  <c r="L1598" i="6"/>
  <c r="O1597" i="6"/>
  <c r="P1597" i="6" s="1"/>
  <c r="N1597" i="6"/>
  <c r="M1597" i="6"/>
  <c r="L1597" i="6"/>
  <c r="O1596" i="6"/>
  <c r="P1596" i="6" s="1"/>
  <c r="R1596" i="6" s="1"/>
  <c r="M1596" i="6"/>
  <c r="N1596" i="6" s="1"/>
  <c r="L1596" i="6"/>
  <c r="O1595" i="6"/>
  <c r="N1595" i="6"/>
  <c r="M1595" i="6"/>
  <c r="L1595" i="6"/>
  <c r="P1594" i="6"/>
  <c r="O1594" i="6"/>
  <c r="M1594" i="6"/>
  <c r="N1594" i="6" s="1"/>
  <c r="L1594" i="6"/>
  <c r="O1593" i="6"/>
  <c r="P1593" i="6" s="1"/>
  <c r="R1593" i="6" s="1"/>
  <c r="N1593" i="6"/>
  <c r="M1593" i="6"/>
  <c r="L1593" i="6"/>
  <c r="P1592" i="6"/>
  <c r="O1592" i="6"/>
  <c r="N1592" i="6"/>
  <c r="M1592" i="6"/>
  <c r="L1592" i="6"/>
  <c r="O1591" i="6"/>
  <c r="M1591" i="6"/>
  <c r="N1591" i="6" s="1"/>
  <c r="L1591" i="6"/>
  <c r="O1590" i="6"/>
  <c r="N1590" i="6"/>
  <c r="M1590" i="6"/>
  <c r="L1590" i="6"/>
  <c r="O1589" i="6"/>
  <c r="M1589" i="6"/>
  <c r="N1589" i="6" s="1"/>
  <c r="L1589" i="6"/>
  <c r="O1588" i="6"/>
  <c r="N1588" i="6"/>
  <c r="M1588" i="6"/>
  <c r="L1588" i="6"/>
  <c r="O1587" i="6"/>
  <c r="M1587" i="6"/>
  <c r="N1587" i="6" s="1"/>
  <c r="L1587" i="6"/>
  <c r="P1586" i="6"/>
  <c r="R1586" i="6" s="1"/>
  <c r="O1586" i="6"/>
  <c r="M1586" i="6"/>
  <c r="N1586" i="6" s="1"/>
  <c r="L1586" i="6"/>
  <c r="P1585" i="6"/>
  <c r="R1585" i="6" s="1"/>
  <c r="O1585" i="6"/>
  <c r="N1585" i="6"/>
  <c r="M1585" i="6"/>
  <c r="L1585" i="6"/>
  <c r="O1584" i="6"/>
  <c r="M1584" i="6"/>
  <c r="N1584" i="6" s="1"/>
  <c r="L1584" i="6"/>
  <c r="O1583" i="6"/>
  <c r="N1583" i="6"/>
  <c r="M1583" i="6"/>
  <c r="L1583" i="6"/>
  <c r="O1582" i="6"/>
  <c r="M1582" i="6"/>
  <c r="N1582" i="6" s="1"/>
  <c r="L1582" i="6"/>
  <c r="O1581" i="6"/>
  <c r="N1581" i="6"/>
  <c r="M1581" i="6"/>
  <c r="L1581" i="6"/>
  <c r="O1580" i="6"/>
  <c r="P1580" i="6" s="1"/>
  <c r="R1580" i="6" s="1"/>
  <c r="N1580" i="6"/>
  <c r="M1580" i="6"/>
  <c r="L1580" i="6"/>
  <c r="O1579" i="6"/>
  <c r="M1579" i="6"/>
  <c r="N1579" i="6" s="1"/>
  <c r="L1579" i="6"/>
  <c r="O1578" i="6"/>
  <c r="P1578" i="6" s="1"/>
  <c r="M1578" i="6"/>
  <c r="N1578" i="6" s="1"/>
  <c r="L1578" i="6"/>
  <c r="O1577" i="6"/>
  <c r="P1577" i="6" s="1"/>
  <c r="M1577" i="6"/>
  <c r="N1577" i="6" s="1"/>
  <c r="L1577" i="6"/>
  <c r="O1576" i="6"/>
  <c r="N1576" i="6"/>
  <c r="M1576" i="6"/>
  <c r="L1576" i="6"/>
  <c r="O1575" i="6"/>
  <c r="M1575" i="6"/>
  <c r="N1575" i="6" s="1"/>
  <c r="L1575" i="6"/>
  <c r="O1574" i="6"/>
  <c r="N1574" i="6"/>
  <c r="M1574" i="6"/>
  <c r="L1574" i="6"/>
  <c r="R1573" i="6"/>
  <c r="O1573" i="6"/>
  <c r="P1573" i="6" s="1"/>
  <c r="N1573" i="6"/>
  <c r="M1573" i="6"/>
  <c r="L1573" i="6"/>
  <c r="O1572" i="6"/>
  <c r="M1572" i="6"/>
  <c r="N1572" i="6" s="1"/>
  <c r="L1572" i="6"/>
  <c r="O1571" i="6"/>
  <c r="N1571" i="6"/>
  <c r="M1571" i="6"/>
  <c r="L1571" i="6"/>
  <c r="O1570" i="6"/>
  <c r="P1570" i="6" s="1"/>
  <c r="R1570" i="6" s="1"/>
  <c r="M1570" i="6"/>
  <c r="N1570" i="6" s="1"/>
  <c r="L1570" i="6"/>
  <c r="O1569" i="6"/>
  <c r="P1569" i="6" s="1"/>
  <c r="R1569" i="6" s="1"/>
  <c r="N1569" i="6"/>
  <c r="M1569" i="6"/>
  <c r="L1569" i="6"/>
  <c r="O1568" i="6"/>
  <c r="M1568" i="6"/>
  <c r="N1568" i="6" s="1"/>
  <c r="L1568" i="6"/>
  <c r="O1567" i="6"/>
  <c r="P1567" i="6" s="1"/>
  <c r="M1567" i="6"/>
  <c r="N1567" i="6" s="1"/>
  <c r="L1567" i="6"/>
  <c r="P1566" i="6"/>
  <c r="R1566" i="6" s="1"/>
  <c r="O1566" i="6"/>
  <c r="M1566" i="6"/>
  <c r="N1566" i="6" s="1"/>
  <c r="L1566" i="6"/>
  <c r="R1565" i="6"/>
  <c r="P1565" i="6"/>
  <c r="O1565" i="6"/>
  <c r="N1565" i="6"/>
  <c r="M1565" i="6"/>
  <c r="L1565" i="6"/>
  <c r="P1564" i="6"/>
  <c r="O1564" i="6"/>
  <c r="N1564" i="6"/>
  <c r="M1564" i="6"/>
  <c r="L1564" i="6"/>
  <c r="O1563" i="6"/>
  <c r="M1563" i="6"/>
  <c r="N1563" i="6" s="1"/>
  <c r="L1563" i="6"/>
  <c r="O1562" i="6"/>
  <c r="N1562" i="6"/>
  <c r="M1562" i="6"/>
  <c r="L1562" i="6"/>
  <c r="O1561" i="6"/>
  <c r="M1561" i="6"/>
  <c r="N1561" i="6" s="1"/>
  <c r="L1561" i="6"/>
  <c r="P1560" i="6"/>
  <c r="R1560" i="6" s="1"/>
  <c r="O1560" i="6"/>
  <c r="M1560" i="6"/>
  <c r="N1560" i="6" s="1"/>
  <c r="L1560" i="6"/>
  <c r="O1559" i="6"/>
  <c r="P1559" i="6" s="1"/>
  <c r="R1559" i="6" s="1"/>
  <c r="N1559" i="6"/>
  <c r="M1559" i="6"/>
  <c r="L1559" i="6"/>
  <c r="O1558" i="6"/>
  <c r="P1558" i="6" s="1"/>
  <c r="R1558" i="6" s="1"/>
  <c r="M1558" i="6"/>
  <c r="N1558" i="6" s="1"/>
  <c r="L1558" i="6"/>
  <c r="O1557" i="6"/>
  <c r="N1557" i="6"/>
  <c r="M1557" i="6"/>
  <c r="L1557" i="6"/>
  <c r="P1556" i="6"/>
  <c r="O1556" i="6"/>
  <c r="N1556" i="6"/>
  <c r="M1556" i="6"/>
  <c r="L1556" i="6"/>
  <c r="P1555" i="6"/>
  <c r="O1555" i="6"/>
  <c r="M1555" i="6"/>
  <c r="N1555" i="6" s="1"/>
  <c r="L1555" i="6"/>
  <c r="O1554" i="6"/>
  <c r="N1554" i="6"/>
  <c r="M1554" i="6"/>
  <c r="L1554" i="6"/>
  <c r="O1553" i="6"/>
  <c r="P1553" i="6" s="1"/>
  <c r="R1553" i="6" s="1"/>
  <c r="M1553" i="6"/>
  <c r="N1553" i="6" s="1"/>
  <c r="L1553" i="6"/>
  <c r="O1552" i="6"/>
  <c r="N1552" i="6"/>
  <c r="M1552" i="6"/>
  <c r="L1552" i="6"/>
  <c r="P1551" i="6"/>
  <c r="O1551" i="6"/>
  <c r="M1551" i="6"/>
  <c r="N1551" i="6" s="1"/>
  <c r="L1551" i="6"/>
  <c r="O1550" i="6"/>
  <c r="P1550" i="6" s="1"/>
  <c r="M1550" i="6"/>
  <c r="N1550" i="6" s="1"/>
  <c r="L1550" i="6"/>
  <c r="O1549" i="6"/>
  <c r="P1549" i="6" s="1"/>
  <c r="M1549" i="6"/>
  <c r="N1549" i="6" s="1"/>
  <c r="L1549" i="6"/>
  <c r="O1548" i="6"/>
  <c r="P1548" i="6" s="1"/>
  <c r="N1548" i="6"/>
  <c r="M1548" i="6"/>
  <c r="L1548" i="6"/>
  <c r="O1547" i="6"/>
  <c r="P1547" i="6" s="1"/>
  <c r="R1547" i="6" s="1"/>
  <c r="M1547" i="6"/>
  <c r="N1547" i="6" s="1"/>
  <c r="L1547" i="6"/>
  <c r="O1546" i="6"/>
  <c r="P1546" i="6" s="1"/>
  <c r="M1546" i="6"/>
  <c r="N1546" i="6" s="1"/>
  <c r="L1546" i="6"/>
  <c r="O1545" i="6"/>
  <c r="N1545" i="6"/>
  <c r="M1545" i="6"/>
  <c r="L1545" i="6"/>
  <c r="O1544" i="6"/>
  <c r="M1544" i="6"/>
  <c r="N1544" i="6" s="1"/>
  <c r="L1544" i="6"/>
  <c r="O1543" i="6"/>
  <c r="N1543" i="6"/>
  <c r="M1543" i="6"/>
  <c r="L1543" i="6"/>
  <c r="O1542" i="6"/>
  <c r="M1542" i="6"/>
  <c r="N1542" i="6" s="1"/>
  <c r="L1542" i="6"/>
  <c r="O1541" i="6"/>
  <c r="P1541" i="6" s="1"/>
  <c r="N1541" i="6"/>
  <c r="M1541" i="6"/>
  <c r="L1541" i="6"/>
  <c r="O1540" i="6"/>
  <c r="M1540" i="6"/>
  <c r="N1540" i="6" s="1"/>
  <c r="L1540" i="6"/>
  <c r="P1539" i="6"/>
  <c r="R1539" i="6" s="1"/>
  <c r="O1539" i="6"/>
  <c r="N1539" i="6"/>
  <c r="M1539" i="6"/>
  <c r="L1539" i="6"/>
  <c r="P1538" i="6"/>
  <c r="O1538" i="6"/>
  <c r="M1538" i="6"/>
  <c r="N1538" i="6" s="1"/>
  <c r="L1538" i="6"/>
  <c r="O1537" i="6"/>
  <c r="M1537" i="6"/>
  <c r="N1537" i="6" s="1"/>
  <c r="L1537" i="6"/>
  <c r="O1536" i="6"/>
  <c r="M1536" i="6"/>
  <c r="N1536" i="6" s="1"/>
  <c r="L1536" i="6"/>
  <c r="P1535" i="6"/>
  <c r="O1535" i="6"/>
  <c r="N1535" i="6"/>
  <c r="M1535" i="6"/>
  <c r="L1535" i="6"/>
  <c r="O1534" i="6"/>
  <c r="N1534" i="6"/>
  <c r="M1534" i="6"/>
  <c r="L1534" i="6"/>
  <c r="P1533" i="6"/>
  <c r="R1533" i="6" s="1"/>
  <c r="O1533" i="6"/>
  <c r="M1533" i="6"/>
  <c r="N1533" i="6" s="1"/>
  <c r="L1533" i="6"/>
  <c r="P1532" i="6"/>
  <c r="R1532" i="6" s="1"/>
  <c r="O1532" i="6"/>
  <c r="N1532" i="6"/>
  <c r="M1532" i="6"/>
  <c r="L1532" i="6"/>
  <c r="P1531" i="6"/>
  <c r="O1531" i="6"/>
  <c r="M1531" i="6"/>
  <c r="N1531" i="6" s="1"/>
  <c r="L1531" i="6"/>
  <c r="O1530" i="6"/>
  <c r="P1530" i="6" s="1"/>
  <c r="M1530" i="6"/>
  <c r="N1530" i="6" s="1"/>
  <c r="L1530" i="6"/>
  <c r="O1529" i="6"/>
  <c r="N1529" i="6"/>
  <c r="M1529" i="6"/>
  <c r="L1529" i="6"/>
  <c r="P1528" i="6"/>
  <c r="O1528" i="6"/>
  <c r="M1528" i="6"/>
  <c r="N1528" i="6" s="1"/>
  <c r="L1528" i="6"/>
  <c r="O1527" i="6"/>
  <c r="M1527" i="6"/>
  <c r="N1527" i="6" s="1"/>
  <c r="L1527" i="6"/>
  <c r="O1526" i="6"/>
  <c r="N1526" i="6"/>
  <c r="M1526" i="6"/>
  <c r="L1526" i="6"/>
  <c r="O1525" i="6"/>
  <c r="M1525" i="6"/>
  <c r="N1525" i="6" s="1"/>
  <c r="L1525" i="6"/>
  <c r="O1524" i="6"/>
  <c r="M1524" i="6"/>
  <c r="N1524" i="6" s="1"/>
  <c r="L1524" i="6"/>
  <c r="R1523" i="6"/>
  <c r="O1523" i="6"/>
  <c r="P1523" i="6" s="1"/>
  <c r="N1523" i="6"/>
  <c r="M1523" i="6"/>
  <c r="L1523" i="6"/>
  <c r="O1522" i="6"/>
  <c r="M1522" i="6"/>
  <c r="N1522" i="6" s="1"/>
  <c r="L1522" i="6"/>
  <c r="O1521" i="6"/>
  <c r="N1521" i="6"/>
  <c r="M1521" i="6"/>
  <c r="L1521" i="6"/>
  <c r="O1520" i="6"/>
  <c r="M1520" i="6"/>
  <c r="N1520" i="6" s="1"/>
  <c r="L1520" i="6"/>
  <c r="Q1519" i="6"/>
  <c r="O1519" i="6"/>
  <c r="P1519" i="6" s="1"/>
  <c r="R1519" i="6" s="1"/>
  <c r="N1519" i="6"/>
  <c r="M1519" i="6"/>
  <c r="L1519" i="6"/>
  <c r="O1518" i="6"/>
  <c r="N1518" i="6"/>
  <c r="M1518" i="6"/>
  <c r="L1518" i="6"/>
  <c r="O1517" i="6"/>
  <c r="N1517" i="6"/>
  <c r="M1517" i="6"/>
  <c r="L1517" i="6"/>
  <c r="O1516" i="6"/>
  <c r="P1516" i="6" s="1"/>
  <c r="N1516" i="6"/>
  <c r="M1516" i="6"/>
  <c r="L1516" i="6"/>
  <c r="R1515" i="6"/>
  <c r="P1515" i="6"/>
  <c r="Q1515" i="6" s="1"/>
  <c r="O1515" i="6"/>
  <c r="M1515" i="6"/>
  <c r="N1515" i="6" s="1"/>
  <c r="L1515" i="6"/>
  <c r="O1514" i="6"/>
  <c r="N1514" i="6"/>
  <c r="M1514" i="6"/>
  <c r="L1514" i="6"/>
  <c r="O1513" i="6"/>
  <c r="M1513" i="6"/>
  <c r="N1513" i="6" s="1"/>
  <c r="L1513" i="6"/>
  <c r="O1512" i="6"/>
  <c r="N1512" i="6"/>
  <c r="M1512" i="6"/>
  <c r="L1512" i="6"/>
  <c r="O1511" i="6"/>
  <c r="P1511" i="6" s="1"/>
  <c r="N1511" i="6"/>
  <c r="M1511" i="6"/>
  <c r="L1511" i="6"/>
  <c r="P1510" i="6"/>
  <c r="O1510" i="6"/>
  <c r="N1510" i="6"/>
  <c r="M1510" i="6"/>
  <c r="L1510" i="6"/>
  <c r="P1509" i="6"/>
  <c r="O1509" i="6"/>
  <c r="N1509" i="6"/>
  <c r="M1509" i="6"/>
  <c r="L1509" i="6"/>
  <c r="O1508" i="6"/>
  <c r="M1508" i="6"/>
  <c r="N1508" i="6" s="1"/>
  <c r="L1508" i="6"/>
  <c r="O1507" i="6"/>
  <c r="P1507" i="6" s="1"/>
  <c r="N1507" i="6"/>
  <c r="M1507" i="6"/>
  <c r="L1507" i="6"/>
  <c r="Q1506" i="6"/>
  <c r="P1506" i="6"/>
  <c r="R1506" i="6" s="1"/>
  <c r="O1506" i="6"/>
  <c r="N1506" i="6"/>
  <c r="M1506" i="6"/>
  <c r="L1506" i="6"/>
  <c r="P1505" i="6"/>
  <c r="O1505" i="6"/>
  <c r="N1505" i="6"/>
  <c r="M1505" i="6"/>
  <c r="L1505" i="6"/>
  <c r="O1504" i="6"/>
  <c r="N1504" i="6"/>
  <c r="M1504" i="6"/>
  <c r="L1504" i="6"/>
  <c r="O1503" i="6"/>
  <c r="P1503" i="6" s="1"/>
  <c r="N1503" i="6"/>
  <c r="M1503" i="6"/>
  <c r="L1503" i="6"/>
  <c r="P1502" i="6"/>
  <c r="O1502" i="6"/>
  <c r="N1502" i="6"/>
  <c r="M1502" i="6"/>
  <c r="L1502" i="6"/>
  <c r="P1501" i="6"/>
  <c r="O1501" i="6"/>
  <c r="M1501" i="6"/>
  <c r="N1501" i="6" s="1"/>
  <c r="L1501" i="6"/>
  <c r="O1500" i="6"/>
  <c r="P1500" i="6" s="1"/>
  <c r="R1500" i="6" s="1"/>
  <c r="N1500" i="6"/>
  <c r="M1500" i="6"/>
  <c r="L1500" i="6"/>
  <c r="O1499" i="6"/>
  <c r="N1499" i="6"/>
  <c r="M1499" i="6"/>
  <c r="L1499" i="6"/>
  <c r="O1498" i="6"/>
  <c r="M1498" i="6"/>
  <c r="N1498" i="6" s="1"/>
  <c r="L1498" i="6"/>
  <c r="P1497" i="6"/>
  <c r="R1497" i="6" s="1"/>
  <c r="O1497" i="6"/>
  <c r="M1497" i="6"/>
  <c r="N1497" i="6" s="1"/>
  <c r="L1497" i="6"/>
  <c r="P1496" i="6"/>
  <c r="R1496" i="6" s="1"/>
  <c r="O1496" i="6"/>
  <c r="M1496" i="6"/>
  <c r="N1496" i="6" s="1"/>
  <c r="L1496" i="6"/>
  <c r="P1495" i="6"/>
  <c r="R1495" i="6" s="1"/>
  <c r="O1495" i="6"/>
  <c r="N1495" i="6"/>
  <c r="M1495" i="6"/>
  <c r="L1495" i="6"/>
  <c r="R1494" i="6"/>
  <c r="O1494" i="6"/>
  <c r="P1494" i="6" s="1"/>
  <c r="M1494" i="6"/>
  <c r="N1494" i="6" s="1"/>
  <c r="L1494" i="6"/>
  <c r="R1493" i="6"/>
  <c r="P1493" i="6"/>
  <c r="O1493" i="6"/>
  <c r="M1493" i="6"/>
  <c r="N1493" i="6" s="1"/>
  <c r="L1493" i="6"/>
  <c r="P1492" i="6"/>
  <c r="R1492" i="6" s="1"/>
  <c r="O1492" i="6"/>
  <c r="N1492" i="6"/>
  <c r="M1492" i="6"/>
  <c r="L1492" i="6"/>
  <c r="O1491" i="6"/>
  <c r="P1491" i="6" s="1"/>
  <c r="R1491" i="6" s="1"/>
  <c r="N1491" i="6"/>
  <c r="M1491" i="6"/>
  <c r="L1491" i="6"/>
  <c r="O1490" i="6"/>
  <c r="P1490" i="6" s="1"/>
  <c r="R1490" i="6" s="1"/>
  <c r="M1490" i="6"/>
  <c r="N1490" i="6" s="1"/>
  <c r="L1490" i="6"/>
  <c r="P1489" i="6"/>
  <c r="R1489" i="6" s="1"/>
  <c r="O1489" i="6"/>
  <c r="M1489" i="6"/>
  <c r="N1489" i="6" s="1"/>
  <c r="L1489" i="6"/>
  <c r="P1488" i="6"/>
  <c r="R1488" i="6" s="1"/>
  <c r="O1488" i="6"/>
  <c r="N1488" i="6"/>
  <c r="M1488" i="6"/>
  <c r="L1488" i="6"/>
  <c r="O1487" i="6"/>
  <c r="P1487" i="6" s="1"/>
  <c r="R1487" i="6" s="1"/>
  <c r="N1487" i="6"/>
  <c r="M1487" i="6"/>
  <c r="L1487" i="6"/>
  <c r="O1486" i="6"/>
  <c r="P1486" i="6" s="1"/>
  <c r="R1486" i="6" s="1"/>
  <c r="M1486" i="6"/>
  <c r="N1486" i="6" s="1"/>
  <c r="L1486" i="6"/>
  <c r="P1485" i="6"/>
  <c r="R1485" i="6" s="1"/>
  <c r="O1485" i="6"/>
  <c r="M1485" i="6"/>
  <c r="N1485" i="6" s="1"/>
  <c r="L1485" i="6"/>
  <c r="P1484" i="6"/>
  <c r="R1484" i="6" s="1"/>
  <c r="O1484" i="6"/>
  <c r="N1484" i="6"/>
  <c r="M1484" i="6"/>
  <c r="L1484" i="6"/>
  <c r="O1483" i="6"/>
  <c r="P1483" i="6" s="1"/>
  <c r="R1483" i="6" s="1"/>
  <c r="N1483" i="6"/>
  <c r="M1483" i="6"/>
  <c r="L1483" i="6"/>
  <c r="O1482" i="6"/>
  <c r="P1482" i="6" s="1"/>
  <c r="R1482" i="6" s="1"/>
  <c r="M1482" i="6"/>
  <c r="N1482" i="6" s="1"/>
  <c r="L1482" i="6"/>
  <c r="P1481" i="6"/>
  <c r="R1481" i="6" s="1"/>
  <c r="O1481" i="6"/>
  <c r="M1481" i="6"/>
  <c r="N1481" i="6" s="1"/>
  <c r="L1481" i="6"/>
  <c r="P1480" i="6"/>
  <c r="R1480" i="6" s="1"/>
  <c r="O1480" i="6"/>
  <c r="N1480" i="6"/>
  <c r="M1480" i="6"/>
  <c r="L1480" i="6"/>
  <c r="O1479" i="6"/>
  <c r="P1479" i="6" s="1"/>
  <c r="R1479" i="6" s="1"/>
  <c r="N1479" i="6"/>
  <c r="M1479" i="6"/>
  <c r="L1479" i="6"/>
  <c r="O1478" i="6"/>
  <c r="P1478" i="6" s="1"/>
  <c r="R1478" i="6" s="1"/>
  <c r="M1478" i="6"/>
  <c r="N1478" i="6" s="1"/>
  <c r="L1478" i="6"/>
  <c r="P1477" i="6"/>
  <c r="R1477" i="6" s="1"/>
  <c r="O1477" i="6"/>
  <c r="M1477" i="6"/>
  <c r="N1477" i="6" s="1"/>
  <c r="L1477" i="6"/>
  <c r="P1476" i="6"/>
  <c r="R1476" i="6" s="1"/>
  <c r="O1476" i="6"/>
  <c r="N1476" i="6"/>
  <c r="M1476" i="6"/>
  <c r="L1476" i="6"/>
  <c r="O1475" i="6"/>
  <c r="P1475" i="6" s="1"/>
  <c r="R1475" i="6" s="1"/>
  <c r="N1475" i="6"/>
  <c r="M1475" i="6"/>
  <c r="L1475" i="6"/>
  <c r="O1474" i="6"/>
  <c r="P1474" i="6" s="1"/>
  <c r="R1474" i="6" s="1"/>
  <c r="M1474" i="6"/>
  <c r="N1474" i="6" s="1"/>
  <c r="L1474" i="6"/>
  <c r="P1473" i="6"/>
  <c r="R1473" i="6" s="1"/>
  <c r="O1473" i="6"/>
  <c r="M1473" i="6"/>
  <c r="N1473" i="6" s="1"/>
  <c r="L1473" i="6"/>
  <c r="O1472" i="6"/>
  <c r="N1472" i="6"/>
  <c r="M1472" i="6"/>
  <c r="L1472" i="6"/>
  <c r="O1471" i="6"/>
  <c r="P1471" i="6" s="1"/>
  <c r="R1471" i="6" s="1"/>
  <c r="M1471" i="6"/>
  <c r="N1471" i="6" s="1"/>
  <c r="L1471" i="6"/>
  <c r="O1470" i="6"/>
  <c r="N1470" i="6"/>
  <c r="M1470" i="6"/>
  <c r="L1470" i="6"/>
  <c r="O1469" i="6"/>
  <c r="M1469" i="6"/>
  <c r="N1469" i="6" s="1"/>
  <c r="L1469" i="6"/>
  <c r="O1468" i="6"/>
  <c r="P1468" i="6" s="1"/>
  <c r="M1468" i="6"/>
  <c r="N1468" i="6" s="1"/>
  <c r="L1468" i="6"/>
  <c r="O1467" i="6"/>
  <c r="M1467" i="6"/>
  <c r="N1467" i="6" s="1"/>
  <c r="L1467" i="6"/>
  <c r="O1466" i="6"/>
  <c r="M1466" i="6"/>
  <c r="N1466" i="6" s="1"/>
  <c r="L1466" i="6"/>
  <c r="O1465" i="6"/>
  <c r="P1465" i="6" s="1"/>
  <c r="R1465" i="6" s="1"/>
  <c r="M1465" i="6"/>
  <c r="N1465" i="6" s="1"/>
  <c r="L1465" i="6"/>
  <c r="O1464" i="6"/>
  <c r="P1464" i="6" s="1"/>
  <c r="M1464" i="6"/>
  <c r="N1464" i="6" s="1"/>
  <c r="L1464" i="6"/>
  <c r="O1463" i="6"/>
  <c r="P1463" i="6" s="1"/>
  <c r="R1463" i="6" s="1"/>
  <c r="N1463" i="6"/>
  <c r="M1463" i="6"/>
  <c r="L1463" i="6"/>
  <c r="O1462" i="6"/>
  <c r="M1462" i="6"/>
  <c r="N1462" i="6" s="1"/>
  <c r="L1462" i="6"/>
  <c r="O1461" i="6"/>
  <c r="N1461" i="6"/>
  <c r="M1461" i="6"/>
  <c r="L1461" i="6"/>
  <c r="O1460" i="6"/>
  <c r="M1460" i="6"/>
  <c r="N1460" i="6" s="1"/>
  <c r="L1460" i="6"/>
  <c r="P1459" i="6"/>
  <c r="R1459" i="6" s="1"/>
  <c r="O1459" i="6"/>
  <c r="M1459" i="6"/>
  <c r="N1459" i="6" s="1"/>
  <c r="L1459" i="6"/>
  <c r="R1458" i="6"/>
  <c r="O1458" i="6"/>
  <c r="P1458" i="6" s="1"/>
  <c r="Q1458" i="6" s="1"/>
  <c r="M1458" i="6"/>
  <c r="N1458" i="6" s="1"/>
  <c r="L1458" i="6"/>
  <c r="O1457" i="6"/>
  <c r="N1457" i="6"/>
  <c r="M1457" i="6"/>
  <c r="L1457" i="6"/>
  <c r="P1456" i="6"/>
  <c r="O1456" i="6"/>
  <c r="M1456" i="6"/>
  <c r="N1456" i="6" s="1"/>
  <c r="L1456" i="6"/>
  <c r="P1455" i="6"/>
  <c r="O1455" i="6"/>
  <c r="M1455" i="6"/>
  <c r="N1455" i="6" s="1"/>
  <c r="L1455" i="6"/>
  <c r="P1454" i="6"/>
  <c r="R1454" i="6" s="1"/>
  <c r="O1454" i="6"/>
  <c r="N1454" i="6"/>
  <c r="M1454" i="6"/>
  <c r="L1454" i="6"/>
  <c r="O1453" i="6"/>
  <c r="P1453" i="6" s="1"/>
  <c r="M1453" i="6"/>
  <c r="N1453" i="6" s="1"/>
  <c r="L1453" i="6"/>
  <c r="O1452" i="6"/>
  <c r="P1452" i="6" s="1"/>
  <c r="M1452" i="6"/>
  <c r="N1452" i="6" s="1"/>
  <c r="L1452" i="6"/>
  <c r="O1451" i="6"/>
  <c r="P1451" i="6" s="1"/>
  <c r="M1451" i="6"/>
  <c r="N1451" i="6" s="1"/>
  <c r="L1451" i="6"/>
  <c r="O1450" i="6"/>
  <c r="M1450" i="6"/>
  <c r="N1450" i="6" s="1"/>
  <c r="L1450" i="6"/>
  <c r="O1449" i="6"/>
  <c r="M1449" i="6"/>
  <c r="N1449" i="6" s="1"/>
  <c r="L1449" i="6"/>
  <c r="O1448" i="6"/>
  <c r="P1448" i="6" s="1"/>
  <c r="R1448" i="6" s="1"/>
  <c r="M1448" i="6"/>
  <c r="N1448" i="6" s="1"/>
  <c r="L1448" i="6"/>
  <c r="O1447" i="6"/>
  <c r="P1447" i="6" s="1"/>
  <c r="M1447" i="6"/>
  <c r="N1447" i="6" s="1"/>
  <c r="L1447" i="6"/>
  <c r="Q1446" i="6"/>
  <c r="P1446" i="6"/>
  <c r="R1446" i="6" s="1"/>
  <c r="O1446" i="6"/>
  <c r="N1446" i="6"/>
  <c r="M1446" i="6"/>
  <c r="L1446" i="6"/>
  <c r="O1445" i="6"/>
  <c r="M1445" i="6"/>
  <c r="N1445" i="6" s="1"/>
  <c r="L1445" i="6"/>
  <c r="O1444" i="6"/>
  <c r="N1444" i="6"/>
  <c r="M1444" i="6"/>
  <c r="L1444" i="6"/>
  <c r="O1443" i="6"/>
  <c r="M1443" i="6"/>
  <c r="N1443" i="6" s="1"/>
  <c r="L1443" i="6"/>
  <c r="O1442" i="6"/>
  <c r="P1442" i="6" s="1"/>
  <c r="M1442" i="6"/>
  <c r="N1442" i="6" s="1"/>
  <c r="L1442" i="6"/>
  <c r="O1441" i="6"/>
  <c r="N1441" i="6"/>
  <c r="M1441" i="6"/>
  <c r="L1441" i="6"/>
  <c r="O1440" i="6"/>
  <c r="M1440" i="6"/>
  <c r="N1440" i="6" s="1"/>
  <c r="L1440" i="6"/>
  <c r="O1439" i="6"/>
  <c r="P1439" i="6" s="1"/>
  <c r="N1439" i="6"/>
  <c r="M1439" i="6"/>
  <c r="L1439" i="6"/>
  <c r="O1438" i="6"/>
  <c r="M1438" i="6"/>
  <c r="N1438" i="6" s="1"/>
  <c r="L1438" i="6"/>
  <c r="O1437" i="6"/>
  <c r="N1437" i="6"/>
  <c r="M1437" i="6"/>
  <c r="L1437" i="6"/>
  <c r="O1436" i="6"/>
  <c r="P1436" i="6" s="1"/>
  <c r="N1436" i="6"/>
  <c r="M1436" i="6"/>
  <c r="L1436" i="6"/>
  <c r="O1435" i="6"/>
  <c r="M1435" i="6"/>
  <c r="N1435" i="6" s="1"/>
  <c r="L1435" i="6"/>
  <c r="O1434" i="6"/>
  <c r="P1434" i="6" s="1"/>
  <c r="M1434" i="6"/>
  <c r="N1434" i="6" s="1"/>
  <c r="L1434" i="6"/>
  <c r="P1433" i="6"/>
  <c r="R1433" i="6" s="1"/>
  <c r="O1433" i="6"/>
  <c r="M1433" i="6"/>
  <c r="N1433" i="6" s="1"/>
  <c r="L1433" i="6"/>
  <c r="O1432" i="6"/>
  <c r="N1432" i="6"/>
  <c r="M1432" i="6"/>
  <c r="L1432" i="6"/>
  <c r="O1431" i="6"/>
  <c r="M1431" i="6"/>
  <c r="N1431" i="6" s="1"/>
  <c r="L1431" i="6"/>
  <c r="R1430" i="6"/>
  <c r="P1430" i="6"/>
  <c r="O1430" i="6"/>
  <c r="N1430" i="6"/>
  <c r="M1430" i="6"/>
  <c r="L1430" i="6"/>
  <c r="O1429" i="6"/>
  <c r="P1429" i="6" s="1"/>
  <c r="R1429" i="6" s="1"/>
  <c r="N1429" i="6"/>
  <c r="M1429" i="6"/>
  <c r="L1429" i="6"/>
  <c r="O1428" i="6"/>
  <c r="P1428" i="6" s="1"/>
  <c r="N1428" i="6"/>
  <c r="M1428" i="6"/>
  <c r="L1428" i="6"/>
  <c r="O1427" i="6"/>
  <c r="P1427" i="6" s="1"/>
  <c r="R1427" i="6" s="1"/>
  <c r="M1427" i="6"/>
  <c r="N1427" i="6" s="1"/>
  <c r="L1427" i="6"/>
  <c r="O1426" i="6"/>
  <c r="N1426" i="6"/>
  <c r="M1426" i="6"/>
  <c r="L1426" i="6"/>
  <c r="O1425" i="6"/>
  <c r="M1425" i="6"/>
  <c r="N1425" i="6" s="1"/>
  <c r="L1425" i="6"/>
  <c r="O1424" i="6"/>
  <c r="N1424" i="6"/>
  <c r="M1424" i="6"/>
  <c r="L1424" i="6"/>
  <c r="O1423" i="6"/>
  <c r="M1423" i="6"/>
  <c r="N1423" i="6" s="1"/>
  <c r="L1423" i="6"/>
  <c r="O1422" i="6"/>
  <c r="N1422" i="6"/>
  <c r="M1422" i="6"/>
  <c r="L1422" i="6"/>
  <c r="O1421" i="6"/>
  <c r="M1421" i="6"/>
  <c r="N1421" i="6" s="1"/>
  <c r="L1421" i="6"/>
  <c r="O1420" i="6"/>
  <c r="N1420" i="6"/>
  <c r="M1420" i="6"/>
  <c r="L1420" i="6"/>
  <c r="P1419" i="6"/>
  <c r="O1419" i="6"/>
  <c r="M1419" i="6"/>
  <c r="N1419" i="6" s="1"/>
  <c r="L1419" i="6"/>
  <c r="R1418" i="6"/>
  <c r="P1418" i="6"/>
  <c r="O1418" i="6"/>
  <c r="N1418" i="6"/>
  <c r="M1418" i="6"/>
  <c r="L1418" i="6"/>
  <c r="P1417" i="6"/>
  <c r="O1417" i="6"/>
  <c r="M1417" i="6"/>
  <c r="N1417" i="6" s="1"/>
  <c r="L1417" i="6"/>
  <c r="O1416" i="6"/>
  <c r="P1416" i="6" s="1"/>
  <c r="M1416" i="6"/>
  <c r="N1416" i="6" s="1"/>
  <c r="L1416" i="6"/>
  <c r="O1415" i="6"/>
  <c r="N1415" i="6"/>
  <c r="M1415" i="6"/>
  <c r="L1415" i="6"/>
  <c r="O1414" i="6"/>
  <c r="M1414" i="6"/>
  <c r="N1414" i="6" s="1"/>
  <c r="L1414" i="6"/>
  <c r="O1413" i="6"/>
  <c r="N1413" i="6"/>
  <c r="M1413" i="6"/>
  <c r="L1413" i="6"/>
  <c r="P1412" i="6"/>
  <c r="O1412" i="6"/>
  <c r="N1412" i="6"/>
  <c r="M1412" i="6"/>
  <c r="L1412" i="6"/>
  <c r="P1411" i="6"/>
  <c r="O1411" i="6"/>
  <c r="M1411" i="6"/>
  <c r="N1411" i="6" s="1"/>
  <c r="L1411" i="6"/>
  <c r="P1410" i="6"/>
  <c r="O1410" i="6"/>
  <c r="M1410" i="6"/>
  <c r="N1410" i="6" s="1"/>
  <c r="L1410" i="6"/>
  <c r="O1409" i="6"/>
  <c r="P1409" i="6" s="1"/>
  <c r="N1409" i="6"/>
  <c r="M1409" i="6"/>
  <c r="L1409" i="6"/>
  <c r="O1408" i="6"/>
  <c r="P1408" i="6" s="1"/>
  <c r="N1408" i="6"/>
  <c r="M1408" i="6"/>
  <c r="L1408" i="6"/>
  <c r="O1407" i="6"/>
  <c r="M1407" i="6"/>
  <c r="N1407" i="6" s="1"/>
  <c r="L1407" i="6"/>
  <c r="O1406" i="6"/>
  <c r="N1406" i="6"/>
  <c r="M1406" i="6"/>
  <c r="L1406" i="6"/>
  <c r="P1405" i="6"/>
  <c r="R1405" i="6" s="1"/>
  <c r="O1405" i="6"/>
  <c r="M1405" i="6"/>
  <c r="N1405" i="6" s="1"/>
  <c r="L1405" i="6"/>
  <c r="O1404" i="6"/>
  <c r="N1404" i="6"/>
  <c r="M1404" i="6"/>
  <c r="L1404" i="6"/>
  <c r="O1403" i="6"/>
  <c r="M1403" i="6"/>
  <c r="N1403" i="6" s="1"/>
  <c r="L1403" i="6"/>
  <c r="O1402" i="6"/>
  <c r="N1402" i="6"/>
  <c r="M1402" i="6"/>
  <c r="L1402" i="6"/>
  <c r="O1401" i="6"/>
  <c r="M1401" i="6"/>
  <c r="N1401" i="6" s="1"/>
  <c r="L1401" i="6"/>
  <c r="R1400" i="6"/>
  <c r="P1400" i="6"/>
  <c r="O1400" i="6"/>
  <c r="N1400" i="6"/>
  <c r="M1400" i="6"/>
  <c r="L1400" i="6"/>
  <c r="O1399" i="6"/>
  <c r="M1399" i="6"/>
  <c r="N1399" i="6" s="1"/>
  <c r="L1399" i="6"/>
  <c r="O1398" i="6"/>
  <c r="N1398" i="6"/>
  <c r="M1398" i="6"/>
  <c r="L1398" i="6"/>
  <c r="O1397" i="6"/>
  <c r="M1397" i="6"/>
  <c r="N1397" i="6" s="1"/>
  <c r="L1397" i="6"/>
  <c r="O1396" i="6"/>
  <c r="N1396" i="6"/>
  <c r="M1396" i="6"/>
  <c r="L1396" i="6"/>
  <c r="O1395" i="6"/>
  <c r="P1395" i="6" s="1"/>
  <c r="R1395" i="6" s="1"/>
  <c r="N1395" i="6"/>
  <c r="M1395" i="6"/>
  <c r="L1395" i="6"/>
  <c r="O1394" i="6"/>
  <c r="M1394" i="6"/>
  <c r="N1394" i="6" s="1"/>
  <c r="L1394" i="6"/>
  <c r="R1393" i="6"/>
  <c r="P1393" i="6"/>
  <c r="O1393" i="6"/>
  <c r="N1393" i="6"/>
  <c r="M1393" i="6"/>
  <c r="L1393" i="6"/>
  <c r="O1392" i="6"/>
  <c r="P1392" i="6" s="1"/>
  <c r="R1392" i="6" s="1"/>
  <c r="N1392" i="6"/>
  <c r="M1392" i="6"/>
  <c r="L1392" i="6"/>
  <c r="O1391" i="6"/>
  <c r="M1391" i="6"/>
  <c r="N1391" i="6" s="1"/>
  <c r="L1391" i="6"/>
  <c r="R1390" i="6"/>
  <c r="P1390" i="6"/>
  <c r="O1390" i="6"/>
  <c r="N1390" i="6"/>
  <c r="M1390" i="6"/>
  <c r="L1390" i="6"/>
  <c r="O1389" i="6"/>
  <c r="M1389" i="6"/>
  <c r="N1389" i="6" s="1"/>
  <c r="L1389" i="6"/>
  <c r="O1388" i="6"/>
  <c r="N1388" i="6"/>
  <c r="M1388" i="6"/>
  <c r="L1388" i="6"/>
  <c r="O1387" i="6"/>
  <c r="P1387" i="6" s="1"/>
  <c r="R1387" i="6" s="1"/>
  <c r="N1387" i="6"/>
  <c r="M1387" i="6"/>
  <c r="L1387" i="6"/>
  <c r="O1386" i="6"/>
  <c r="P1386" i="6" s="1"/>
  <c r="R1386" i="6" s="1"/>
  <c r="M1386" i="6"/>
  <c r="N1386" i="6" s="1"/>
  <c r="L1386" i="6"/>
  <c r="O1385" i="6"/>
  <c r="N1385" i="6"/>
  <c r="M1385" i="6"/>
  <c r="L1385" i="6"/>
  <c r="O1384" i="6"/>
  <c r="M1384" i="6"/>
  <c r="N1384" i="6" s="1"/>
  <c r="L1384" i="6"/>
  <c r="O1383" i="6"/>
  <c r="N1383" i="6"/>
  <c r="M1383" i="6"/>
  <c r="L1383" i="6"/>
  <c r="O1382" i="6"/>
  <c r="M1382" i="6"/>
  <c r="N1382" i="6" s="1"/>
  <c r="L1382" i="6"/>
  <c r="P1381" i="6"/>
  <c r="R1381" i="6" s="1"/>
  <c r="O1381" i="6"/>
  <c r="M1381" i="6"/>
  <c r="N1381" i="6" s="1"/>
  <c r="L1381" i="6"/>
  <c r="R1380" i="6"/>
  <c r="P1380" i="6"/>
  <c r="O1380" i="6"/>
  <c r="N1380" i="6"/>
  <c r="M1380" i="6"/>
  <c r="L1380" i="6"/>
  <c r="P1379" i="6"/>
  <c r="O1379" i="6"/>
  <c r="N1379" i="6"/>
  <c r="M1379" i="6"/>
  <c r="L1379" i="6"/>
  <c r="O1378" i="6"/>
  <c r="P1378" i="6" s="1"/>
  <c r="R1378" i="6" s="1"/>
  <c r="N1378" i="6"/>
  <c r="M1378" i="6"/>
  <c r="L1378" i="6"/>
  <c r="O1377" i="6"/>
  <c r="P1377" i="6" s="1"/>
  <c r="R1377" i="6" s="1"/>
  <c r="M1377" i="6"/>
  <c r="N1377" i="6" s="1"/>
  <c r="L1377" i="6"/>
  <c r="P1376" i="6"/>
  <c r="R1376" i="6" s="1"/>
  <c r="O1376" i="6"/>
  <c r="M1376" i="6"/>
  <c r="N1376" i="6" s="1"/>
  <c r="L1376" i="6"/>
  <c r="O1375" i="6"/>
  <c r="P1375" i="6" s="1"/>
  <c r="M1375" i="6"/>
  <c r="N1375" i="6" s="1"/>
  <c r="L1375" i="6"/>
  <c r="O1374" i="6"/>
  <c r="P1374" i="6" s="1"/>
  <c r="M1374" i="6"/>
  <c r="N1374" i="6" s="1"/>
  <c r="L1374" i="6"/>
  <c r="P1373" i="6"/>
  <c r="R1373" i="6" s="1"/>
  <c r="O1373" i="6"/>
  <c r="M1373" i="6"/>
  <c r="N1373" i="6" s="1"/>
  <c r="L1373" i="6"/>
  <c r="O1372" i="6"/>
  <c r="N1372" i="6"/>
  <c r="M1372" i="6"/>
  <c r="L1372" i="6"/>
  <c r="O1371" i="6"/>
  <c r="M1371" i="6"/>
  <c r="N1371" i="6" s="1"/>
  <c r="L1371" i="6"/>
  <c r="O1370" i="6"/>
  <c r="N1370" i="6"/>
  <c r="M1370" i="6"/>
  <c r="L1370" i="6"/>
  <c r="P1369" i="6"/>
  <c r="R1369" i="6" s="1"/>
  <c r="O1369" i="6"/>
  <c r="M1369" i="6"/>
  <c r="N1369" i="6" s="1"/>
  <c r="L1369" i="6"/>
  <c r="O1368" i="6"/>
  <c r="P1368" i="6" s="1"/>
  <c r="Q1368" i="6" s="1"/>
  <c r="M1368" i="6"/>
  <c r="N1368" i="6" s="1"/>
  <c r="L1368" i="6"/>
  <c r="O1367" i="6"/>
  <c r="N1367" i="6"/>
  <c r="M1367" i="6"/>
  <c r="L1367" i="6"/>
  <c r="P1366" i="6"/>
  <c r="O1366" i="6"/>
  <c r="M1366" i="6"/>
  <c r="N1366" i="6" s="1"/>
  <c r="L1366" i="6"/>
  <c r="O1365" i="6"/>
  <c r="N1365" i="6"/>
  <c r="M1365" i="6"/>
  <c r="L1365" i="6"/>
  <c r="O1364" i="6"/>
  <c r="P1364" i="6" s="1"/>
  <c r="N1364" i="6"/>
  <c r="M1364" i="6"/>
  <c r="L1364" i="6"/>
  <c r="O1363" i="6"/>
  <c r="P1363" i="6" s="1"/>
  <c r="R1363" i="6" s="1"/>
  <c r="M1363" i="6"/>
  <c r="N1363" i="6" s="1"/>
  <c r="L1363" i="6"/>
  <c r="Q1362" i="6"/>
  <c r="P1362" i="6"/>
  <c r="R1362" i="6" s="1"/>
  <c r="O1362" i="6"/>
  <c r="N1362" i="6"/>
  <c r="M1362" i="6"/>
  <c r="L1362" i="6"/>
  <c r="P1361" i="6"/>
  <c r="O1361" i="6"/>
  <c r="N1361" i="6"/>
  <c r="M1361" i="6"/>
  <c r="L1361" i="6"/>
  <c r="P1360" i="6"/>
  <c r="O1360" i="6"/>
  <c r="M1360" i="6"/>
  <c r="N1360" i="6" s="1"/>
  <c r="L1360" i="6"/>
  <c r="O1359" i="6"/>
  <c r="N1359" i="6"/>
  <c r="M1359" i="6"/>
  <c r="L1359" i="6"/>
  <c r="O1358" i="6"/>
  <c r="M1358" i="6"/>
  <c r="N1358" i="6" s="1"/>
  <c r="L1358" i="6"/>
  <c r="P1357" i="6"/>
  <c r="O1357" i="6"/>
  <c r="M1357" i="6"/>
  <c r="N1357" i="6" s="1"/>
  <c r="L1357" i="6"/>
  <c r="O1356" i="6"/>
  <c r="N1356" i="6"/>
  <c r="M1356" i="6"/>
  <c r="L1356" i="6"/>
  <c r="O1355" i="6"/>
  <c r="M1355" i="6"/>
  <c r="N1355" i="6" s="1"/>
  <c r="L1355" i="6"/>
  <c r="O1354" i="6"/>
  <c r="P1354" i="6" s="1"/>
  <c r="N1354" i="6"/>
  <c r="M1354" i="6"/>
  <c r="L1354" i="6"/>
  <c r="O1353" i="6"/>
  <c r="P1353" i="6" s="1"/>
  <c r="N1353" i="6"/>
  <c r="M1353" i="6"/>
  <c r="L1353" i="6"/>
  <c r="O1352" i="6"/>
  <c r="M1352" i="6"/>
  <c r="N1352" i="6" s="1"/>
  <c r="L1352" i="6"/>
  <c r="O1351" i="6"/>
  <c r="P1351" i="6" s="1"/>
  <c r="M1351" i="6"/>
  <c r="N1351" i="6" s="1"/>
  <c r="L1351" i="6"/>
  <c r="O1350" i="6"/>
  <c r="P1350" i="6" s="1"/>
  <c r="M1350" i="6"/>
  <c r="N1350" i="6" s="1"/>
  <c r="L1350" i="6"/>
  <c r="P1349" i="6"/>
  <c r="R1349" i="6" s="1"/>
  <c r="O1349" i="6"/>
  <c r="M1349" i="6"/>
  <c r="N1349" i="6" s="1"/>
  <c r="L1349" i="6"/>
  <c r="P1348" i="6"/>
  <c r="R1348" i="6" s="1"/>
  <c r="O1348" i="6"/>
  <c r="N1348" i="6"/>
  <c r="M1348" i="6"/>
  <c r="L1348" i="6"/>
  <c r="O1347" i="6"/>
  <c r="M1347" i="6"/>
  <c r="N1347" i="6" s="1"/>
  <c r="L1347" i="6"/>
  <c r="O1346" i="6"/>
  <c r="N1346" i="6"/>
  <c r="M1346" i="6"/>
  <c r="L1346" i="6"/>
  <c r="O1345" i="6"/>
  <c r="M1345" i="6"/>
  <c r="N1345" i="6" s="1"/>
  <c r="L1345" i="6"/>
  <c r="P1344" i="6"/>
  <c r="R1344" i="6" s="1"/>
  <c r="O1344" i="6"/>
  <c r="M1344" i="6"/>
  <c r="N1344" i="6" s="1"/>
  <c r="L1344" i="6"/>
  <c r="P1343" i="6"/>
  <c r="R1343" i="6" s="1"/>
  <c r="O1343" i="6"/>
  <c r="N1343" i="6"/>
  <c r="M1343" i="6"/>
  <c r="L1343" i="6"/>
  <c r="R1342" i="6"/>
  <c r="O1342" i="6"/>
  <c r="P1342" i="6" s="1"/>
  <c r="Q1342" i="6" s="1"/>
  <c r="M1342" i="6"/>
  <c r="N1342" i="6" s="1"/>
  <c r="L1342" i="6"/>
  <c r="Q1341" i="6"/>
  <c r="O1341" i="6"/>
  <c r="P1341" i="6" s="1"/>
  <c r="R1341" i="6" s="1"/>
  <c r="N1341" i="6"/>
  <c r="M1341" i="6"/>
  <c r="L1341" i="6"/>
  <c r="O1340" i="6"/>
  <c r="M1340" i="6"/>
  <c r="N1340" i="6" s="1"/>
  <c r="L1340" i="6"/>
  <c r="O1339" i="6"/>
  <c r="N1339" i="6"/>
  <c r="M1339" i="6"/>
  <c r="L1339" i="6"/>
  <c r="O1338" i="6"/>
  <c r="M1338" i="6"/>
  <c r="N1338" i="6" s="1"/>
  <c r="L1338" i="6"/>
  <c r="P1337" i="6"/>
  <c r="R1337" i="6" s="1"/>
  <c r="O1337" i="6"/>
  <c r="N1337" i="6"/>
  <c r="M1337" i="6"/>
  <c r="L1337" i="6"/>
  <c r="P1336" i="6"/>
  <c r="O1336" i="6"/>
  <c r="M1336" i="6"/>
  <c r="N1336" i="6" s="1"/>
  <c r="L1336" i="6"/>
  <c r="P1335" i="6"/>
  <c r="O1335" i="6"/>
  <c r="M1335" i="6"/>
  <c r="N1335" i="6" s="1"/>
  <c r="L1335" i="6"/>
  <c r="O1334" i="6"/>
  <c r="P1334" i="6" s="1"/>
  <c r="M1334" i="6"/>
  <c r="N1334" i="6" s="1"/>
  <c r="L1334" i="6"/>
  <c r="O1333" i="6"/>
  <c r="P1333" i="6" s="1"/>
  <c r="M1333" i="6"/>
  <c r="N1333" i="6" s="1"/>
  <c r="L1333" i="6"/>
  <c r="O1332" i="6"/>
  <c r="P1332" i="6" s="1"/>
  <c r="N1332" i="6"/>
  <c r="M1332" i="6"/>
  <c r="L1332" i="6"/>
  <c r="O1331" i="6"/>
  <c r="P1331" i="6" s="1"/>
  <c r="N1331" i="6"/>
  <c r="M1331" i="6"/>
  <c r="L1331" i="6"/>
  <c r="O1330" i="6"/>
  <c r="M1330" i="6"/>
  <c r="N1330" i="6" s="1"/>
  <c r="L1330" i="6"/>
  <c r="P1329" i="6"/>
  <c r="R1329" i="6" s="1"/>
  <c r="O1329" i="6"/>
  <c r="N1329" i="6"/>
  <c r="M1329" i="6"/>
  <c r="L1329" i="6"/>
  <c r="R1328" i="6"/>
  <c r="O1328" i="6"/>
  <c r="P1328" i="6" s="1"/>
  <c r="Q1328" i="6" s="1"/>
  <c r="M1328" i="6"/>
  <c r="N1328" i="6" s="1"/>
  <c r="L1328" i="6"/>
  <c r="O1327" i="6"/>
  <c r="N1327" i="6"/>
  <c r="M1327" i="6"/>
  <c r="L1327" i="6"/>
  <c r="P1326" i="6"/>
  <c r="O1326" i="6"/>
  <c r="N1326" i="6"/>
  <c r="M1326" i="6"/>
  <c r="L1326" i="6"/>
  <c r="P1325" i="6"/>
  <c r="O1325" i="6"/>
  <c r="M1325" i="6"/>
  <c r="N1325" i="6" s="1"/>
  <c r="L1325" i="6"/>
  <c r="R1324" i="6"/>
  <c r="P1324" i="6"/>
  <c r="O1324" i="6"/>
  <c r="N1324" i="6"/>
  <c r="M1324" i="6"/>
  <c r="L1324" i="6"/>
  <c r="P1323" i="6"/>
  <c r="O1323" i="6"/>
  <c r="N1323" i="6"/>
  <c r="M1323" i="6"/>
  <c r="L1323" i="6"/>
  <c r="P1322" i="6"/>
  <c r="O1322" i="6"/>
  <c r="M1322" i="6"/>
  <c r="N1322" i="6" s="1"/>
  <c r="L1322" i="6"/>
  <c r="R1321" i="6"/>
  <c r="O1321" i="6"/>
  <c r="P1321" i="6" s="1"/>
  <c r="Q1321" i="6" s="1"/>
  <c r="M1321" i="6"/>
  <c r="N1321" i="6" s="1"/>
  <c r="L1321" i="6"/>
  <c r="O1320" i="6"/>
  <c r="N1320" i="6"/>
  <c r="M1320" i="6"/>
  <c r="L1320" i="6"/>
  <c r="R1319" i="6"/>
  <c r="O1319" i="6"/>
  <c r="P1319" i="6" s="1"/>
  <c r="N1319" i="6"/>
  <c r="M1319" i="6"/>
  <c r="L1319" i="6"/>
  <c r="P1318" i="6"/>
  <c r="O1318" i="6"/>
  <c r="N1318" i="6"/>
  <c r="M1318" i="6"/>
  <c r="L1318" i="6"/>
  <c r="O1317" i="6"/>
  <c r="M1317" i="6"/>
  <c r="N1317" i="6" s="1"/>
  <c r="L1317" i="6"/>
  <c r="O1316" i="6"/>
  <c r="P1316" i="6" s="1"/>
  <c r="M1316" i="6"/>
  <c r="N1316" i="6" s="1"/>
  <c r="L1316" i="6"/>
  <c r="P1315" i="6"/>
  <c r="R1315" i="6" s="1"/>
  <c r="O1315" i="6"/>
  <c r="M1315" i="6"/>
  <c r="N1315" i="6" s="1"/>
  <c r="L1315" i="6"/>
  <c r="O1314" i="6"/>
  <c r="N1314" i="6"/>
  <c r="M1314" i="6"/>
  <c r="L1314" i="6"/>
  <c r="O1313" i="6"/>
  <c r="M1313" i="6"/>
  <c r="N1313" i="6" s="1"/>
  <c r="L1313" i="6"/>
  <c r="P1312" i="6"/>
  <c r="R1312" i="6" s="1"/>
  <c r="O1312" i="6"/>
  <c r="N1312" i="6"/>
  <c r="M1312" i="6"/>
  <c r="L1312" i="6"/>
  <c r="P1311" i="6"/>
  <c r="O1311" i="6"/>
  <c r="M1311" i="6"/>
  <c r="N1311" i="6" s="1"/>
  <c r="L1311" i="6"/>
  <c r="P1310" i="6"/>
  <c r="O1310" i="6"/>
  <c r="M1310" i="6"/>
  <c r="N1310" i="6" s="1"/>
  <c r="L1310" i="6"/>
  <c r="O1309" i="6"/>
  <c r="N1309" i="6"/>
  <c r="M1309" i="6"/>
  <c r="L1309" i="6"/>
  <c r="O1308" i="6"/>
  <c r="M1308" i="6"/>
  <c r="N1308" i="6" s="1"/>
  <c r="L1308" i="6"/>
  <c r="O1307" i="6"/>
  <c r="N1307" i="6"/>
  <c r="M1307" i="6"/>
  <c r="L1307" i="6"/>
  <c r="O1306" i="6"/>
  <c r="M1306" i="6"/>
  <c r="N1306" i="6" s="1"/>
  <c r="L1306" i="6"/>
  <c r="O1305" i="6"/>
  <c r="N1305" i="6"/>
  <c r="M1305" i="6"/>
  <c r="L1305" i="6"/>
  <c r="O1304" i="6"/>
  <c r="P1304" i="6" s="1"/>
  <c r="R1304" i="6" s="1"/>
  <c r="M1304" i="6"/>
  <c r="N1304" i="6" s="1"/>
  <c r="L1304" i="6"/>
  <c r="P1303" i="6"/>
  <c r="R1303" i="6" s="1"/>
  <c r="O1303" i="6"/>
  <c r="M1303" i="6"/>
  <c r="N1303" i="6" s="1"/>
  <c r="L1303" i="6"/>
  <c r="O1302" i="6"/>
  <c r="N1302" i="6"/>
  <c r="M1302" i="6"/>
  <c r="L1302" i="6"/>
  <c r="O1301" i="6"/>
  <c r="M1301" i="6"/>
  <c r="N1301" i="6" s="1"/>
  <c r="L1301" i="6"/>
  <c r="O1300" i="6"/>
  <c r="N1300" i="6"/>
  <c r="M1300" i="6"/>
  <c r="L1300" i="6"/>
  <c r="O1299" i="6"/>
  <c r="M1299" i="6"/>
  <c r="N1299" i="6" s="1"/>
  <c r="L1299" i="6"/>
  <c r="O1298" i="6"/>
  <c r="N1298" i="6"/>
  <c r="M1298" i="6"/>
  <c r="L1298" i="6"/>
  <c r="O1297" i="6"/>
  <c r="P1297" i="6" s="1"/>
  <c r="R1297" i="6" s="1"/>
  <c r="M1297" i="6"/>
  <c r="N1297" i="6" s="1"/>
  <c r="L1297" i="6"/>
  <c r="Q1296" i="6"/>
  <c r="P1296" i="6"/>
  <c r="R1296" i="6" s="1"/>
  <c r="O1296" i="6"/>
  <c r="N1296" i="6"/>
  <c r="M1296" i="6"/>
  <c r="L1296" i="6"/>
  <c r="O1295" i="6"/>
  <c r="M1295" i="6"/>
  <c r="N1295" i="6" s="1"/>
  <c r="L1295" i="6"/>
  <c r="O1294" i="6"/>
  <c r="N1294" i="6"/>
  <c r="M1294" i="6"/>
  <c r="L1294" i="6"/>
  <c r="O1293" i="6"/>
  <c r="M1293" i="6"/>
  <c r="N1293" i="6" s="1"/>
  <c r="L1293" i="6"/>
  <c r="O1292" i="6"/>
  <c r="P1292" i="6" s="1"/>
  <c r="M1292" i="6"/>
  <c r="N1292" i="6" s="1"/>
  <c r="L1292" i="6"/>
  <c r="O1291" i="6"/>
  <c r="N1291" i="6"/>
  <c r="M1291" i="6"/>
  <c r="L1291" i="6"/>
  <c r="O1290" i="6"/>
  <c r="M1290" i="6"/>
  <c r="N1290" i="6" s="1"/>
  <c r="L1290" i="6"/>
  <c r="O1289" i="6"/>
  <c r="P1289" i="6" s="1"/>
  <c r="N1289" i="6"/>
  <c r="M1289" i="6"/>
  <c r="L1289" i="6"/>
  <c r="O1288" i="6"/>
  <c r="P1288" i="6" s="1"/>
  <c r="R1288" i="6" s="1"/>
  <c r="M1288" i="6"/>
  <c r="N1288" i="6" s="1"/>
  <c r="L1288" i="6"/>
  <c r="O1287" i="6"/>
  <c r="N1287" i="6"/>
  <c r="M1287" i="6"/>
  <c r="L1287" i="6"/>
  <c r="O1286" i="6"/>
  <c r="M1286" i="6"/>
  <c r="N1286" i="6" s="1"/>
  <c r="L1286" i="6"/>
  <c r="O1285" i="6"/>
  <c r="N1285" i="6"/>
  <c r="M1285" i="6"/>
  <c r="L1285" i="6"/>
  <c r="O1284" i="6"/>
  <c r="M1284" i="6"/>
  <c r="N1284" i="6" s="1"/>
  <c r="L1284" i="6"/>
  <c r="O1283" i="6"/>
  <c r="N1283" i="6"/>
  <c r="M1283" i="6"/>
  <c r="L1283" i="6"/>
  <c r="O1282" i="6"/>
  <c r="M1282" i="6"/>
  <c r="N1282" i="6" s="1"/>
  <c r="L1282" i="6"/>
  <c r="O1281" i="6"/>
  <c r="N1281" i="6"/>
  <c r="M1281" i="6"/>
  <c r="L1281" i="6"/>
  <c r="P1280" i="6"/>
  <c r="O1280" i="6"/>
  <c r="N1280" i="6"/>
  <c r="M1280" i="6"/>
  <c r="L1280" i="6"/>
  <c r="P1279" i="6"/>
  <c r="O1279" i="6"/>
  <c r="M1279" i="6"/>
  <c r="N1279" i="6" s="1"/>
  <c r="L1279" i="6"/>
  <c r="P1278" i="6"/>
  <c r="O1278" i="6"/>
  <c r="M1278" i="6"/>
  <c r="N1278" i="6" s="1"/>
  <c r="L1278" i="6"/>
  <c r="Q1277" i="6"/>
  <c r="O1277" i="6"/>
  <c r="P1277" i="6" s="1"/>
  <c r="R1277" i="6" s="1"/>
  <c r="N1277" i="6"/>
  <c r="M1277" i="6"/>
  <c r="L1277" i="6"/>
  <c r="O1276" i="6"/>
  <c r="M1276" i="6"/>
  <c r="N1276" i="6" s="1"/>
  <c r="L1276" i="6"/>
  <c r="R1275" i="6"/>
  <c r="P1275" i="6"/>
  <c r="O1275" i="6"/>
  <c r="N1275" i="6"/>
  <c r="M1275" i="6"/>
  <c r="L1275" i="6"/>
  <c r="P1274" i="6"/>
  <c r="O1274" i="6"/>
  <c r="N1274" i="6"/>
  <c r="M1274" i="6"/>
  <c r="L1274" i="6"/>
  <c r="R1273" i="6"/>
  <c r="O1273" i="6"/>
  <c r="P1273" i="6" s="1"/>
  <c r="N1273" i="6"/>
  <c r="M1273" i="6"/>
  <c r="L1273" i="6"/>
  <c r="P1272" i="6"/>
  <c r="O1272" i="6"/>
  <c r="N1272" i="6"/>
  <c r="M1272" i="6"/>
  <c r="L1272" i="6"/>
  <c r="O1271" i="6"/>
  <c r="M1271" i="6"/>
  <c r="N1271" i="6" s="1"/>
  <c r="L1271" i="6"/>
  <c r="O1270" i="6"/>
  <c r="N1270" i="6"/>
  <c r="M1270" i="6"/>
  <c r="L1270" i="6"/>
  <c r="R1269" i="6"/>
  <c r="O1269" i="6"/>
  <c r="P1269" i="6" s="1"/>
  <c r="N1269" i="6"/>
  <c r="M1269" i="6"/>
  <c r="L1269" i="6"/>
  <c r="O1268" i="6"/>
  <c r="M1268" i="6"/>
  <c r="N1268" i="6" s="1"/>
  <c r="L1268" i="6"/>
  <c r="O1267" i="6"/>
  <c r="N1267" i="6"/>
  <c r="M1267" i="6"/>
  <c r="L1267" i="6"/>
  <c r="O1266" i="6"/>
  <c r="P1266" i="6" s="1"/>
  <c r="R1266" i="6" s="1"/>
  <c r="M1266" i="6"/>
  <c r="N1266" i="6" s="1"/>
  <c r="L1266" i="6"/>
  <c r="O1265" i="6"/>
  <c r="N1265" i="6"/>
  <c r="M1265" i="6"/>
  <c r="L1265" i="6"/>
  <c r="P1264" i="6"/>
  <c r="O1264" i="6"/>
  <c r="M1264" i="6"/>
  <c r="N1264" i="6" s="1"/>
  <c r="L1264" i="6"/>
  <c r="P1263" i="6"/>
  <c r="O1263" i="6"/>
  <c r="M1263" i="6"/>
  <c r="N1263" i="6" s="1"/>
  <c r="L1263" i="6"/>
  <c r="P1262" i="6"/>
  <c r="O1262" i="6"/>
  <c r="M1262" i="6"/>
  <c r="N1262" i="6" s="1"/>
  <c r="L1262" i="6"/>
  <c r="O1261" i="6"/>
  <c r="N1261" i="6"/>
  <c r="M1261" i="6"/>
  <c r="L1261" i="6"/>
  <c r="R1260" i="6"/>
  <c r="O1260" i="6"/>
  <c r="P1260" i="6" s="1"/>
  <c r="M1260" i="6"/>
  <c r="N1260" i="6" s="1"/>
  <c r="L1260" i="6"/>
  <c r="O1259" i="6"/>
  <c r="N1259" i="6"/>
  <c r="M1259" i="6"/>
  <c r="L1259" i="6"/>
  <c r="O1258" i="6"/>
  <c r="M1258" i="6"/>
  <c r="N1258" i="6" s="1"/>
  <c r="L1258" i="6"/>
  <c r="O1257" i="6"/>
  <c r="N1257" i="6"/>
  <c r="M1257" i="6"/>
  <c r="L1257" i="6"/>
  <c r="O1256" i="6"/>
  <c r="M1256" i="6"/>
  <c r="N1256" i="6" s="1"/>
  <c r="L1256" i="6"/>
  <c r="O1255" i="6"/>
  <c r="N1255" i="6"/>
  <c r="M1255" i="6"/>
  <c r="L1255" i="6"/>
  <c r="O1254" i="6"/>
  <c r="M1254" i="6"/>
  <c r="N1254" i="6" s="1"/>
  <c r="L1254" i="6"/>
  <c r="O1253" i="6"/>
  <c r="M1253" i="6"/>
  <c r="N1253" i="6" s="1"/>
  <c r="L1253" i="6"/>
  <c r="R1252" i="6"/>
  <c r="O1252" i="6"/>
  <c r="P1252" i="6" s="1"/>
  <c r="N1252" i="6"/>
  <c r="M1252" i="6"/>
  <c r="L1252" i="6"/>
  <c r="P1251" i="6"/>
  <c r="O1251" i="6"/>
  <c r="N1251" i="6"/>
  <c r="M1251" i="6"/>
  <c r="L1251" i="6"/>
  <c r="P1250" i="6"/>
  <c r="O1250" i="6"/>
  <c r="M1250" i="6"/>
  <c r="N1250" i="6" s="1"/>
  <c r="L1250" i="6"/>
  <c r="R1249" i="6"/>
  <c r="O1249" i="6"/>
  <c r="P1249" i="6" s="1"/>
  <c r="N1249" i="6"/>
  <c r="M1249" i="6"/>
  <c r="L1249" i="6"/>
  <c r="O1248" i="6"/>
  <c r="P1248" i="6" s="1"/>
  <c r="R1248" i="6" s="1"/>
  <c r="M1248" i="6"/>
  <c r="N1248" i="6" s="1"/>
  <c r="L1248" i="6"/>
  <c r="O1247" i="6"/>
  <c r="P1247" i="6" s="1"/>
  <c r="N1247" i="6"/>
  <c r="M1247" i="6"/>
  <c r="L1247" i="6"/>
  <c r="O1246" i="6"/>
  <c r="P1246" i="6" s="1"/>
  <c r="R1246" i="6" s="1"/>
  <c r="M1246" i="6"/>
  <c r="N1246" i="6" s="1"/>
  <c r="L1246" i="6"/>
  <c r="O1245" i="6"/>
  <c r="N1245" i="6"/>
  <c r="M1245" i="6"/>
  <c r="L1245" i="6"/>
  <c r="O1244" i="6"/>
  <c r="M1244" i="6"/>
  <c r="N1244" i="6" s="1"/>
  <c r="L1244" i="6"/>
  <c r="O1243" i="6"/>
  <c r="N1243" i="6"/>
  <c r="M1243" i="6"/>
  <c r="L1243" i="6"/>
  <c r="O1242" i="6"/>
  <c r="M1242" i="6"/>
  <c r="N1242" i="6" s="1"/>
  <c r="L1242" i="6"/>
  <c r="O1241" i="6"/>
  <c r="N1241" i="6"/>
  <c r="M1241" i="6"/>
  <c r="L1241" i="6"/>
  <c r="P1240" i="6"/>
  <c r="O1240" i="6"/>
  <c r="M1240" i="6"/>
  <c r="N1240" i="6" s="1"/>
  <c r="L1240" i="6"/>
  <c r="O1239" i="6"/>
  <c r="M1239" i="6"/>
  <c r="N1239" i="6" s="1"/>
  <c r="L1239" i="6"/>
  <c r="O1238" i="6"/>
  <c r="P1238" i="6" s="1"/>
  <c r="R1238" i="6" s="1"/>
  <c r="M1238" i="6"/>
  <c r="N1238" i="6" s="1"/>
  <c r="L1238" i="6"/>
  <c r="O1237" i="6"/>
  <c r="N1237" i="6"/>
  <c r="M1237" i="6"/>
  <c r="L1237" i="6"/>
  <c r="P1236" i="6"/>
  <c r="Q1236" i="6" s="1"/>
  <c r="O1236" i="6"/>
  <c r="M1236" i="6"/>
  <c r="N1236" i="6" s="1"/>
  <c r="L1236" i="6"/>
  <c r="O1235" i="6"/>
  <c r="N1235" i="6"/>
  <c r="M1235" i="6"/>
  <c r="L1235" i="6"/>
  <c r="O1234" i="6"/>
  <c r="M1234" i="6"/>
  <c r="N1234" i="6" s="1"/>
  <c r="L1234" i="6"/>
  <c r="O1233" i="6"/>
  <c r="N1233" i="6"/>
  <c r="M1233" i="6"/>
  <c r="L1233" i="6"/>
  <c r="O1232" i="6"/>
  <c r="M1232" i="6"/>
  <c r="N1232" i="6" s="1"/>
  <c r="L1232" i="6"/>
  <c r="O1231" i="6"/>
  <c r="N1231" i="6"/>
  <c r="M1231" i="6"/>
  <c r="L1231" i="6"/>
  <c r="O1230" i="6"/>
  <c r="P1230" i="6" s="1"/>
  <c r="R1230" i="6" s="1"/>
  <c r="N1230" i="6"/>
  <c r="M1230" i="6"/>
  <c r="L1230" i="6"/>
  <c r="Q1229" i="6"/>
  <c r="O1229" i="6"/>
  <c r="P1229" i="6" s="1"/>
  <c r="R1229" i="6" s="1"/>
  <c r="N1229" i="6"/>
  <c r="M1229" i="6"/>
  <c r="L1229" i="6"/>
  <c r="R1228" i="6"/>
  <c r="O1228" i="6"/>
  <c r="P1228" i="6" s="1"/>
  <c r="M1228" i="6"/>
  <c r="N1228" i="6" s="1"/>
  <c r="L1228" i="6"/>
  <c r="R1227" i="6"/>
  <c r="Q1227" i="6"/>
  <c r="P1227" i="6"/>
  <c r="O1227" i="6"/>
  <c r="N1227" i="6"/>
  <c r="M1227" i="6"/>
  <c r="L1227" i="6"/>
  <c r="P1226" i="6"/>
  <c r="R1226" i="6" s="1"/>
  <c r="O1226" i="6"/>
  <c r="M1226" i="6"/>
  <c r="N1226" i="6" s="1"/>
  <c r="L1226" i="6"/>
  <c r="O1225" i="6"/>
  <c r="N1225" i="6"/>
  <c r="M1225" i="6"/>
  <c r="L1225" i="6"/>
  <c r="O1224" i="6"/>
  <c r="M1224" i="6"/>
  <c r="N1224" i="6" s="1"/>
  <c r="L1224" i="6"/>
  <c r="R1223" i="6"/>
  <c r="Q1223" i="6"/>
  <c r="P1223" i="6"/>
  <c r="O1223" i="6"/>
  <c r="N1223" i="6"/>
  <c r="M1223" i="6"/>
  <c r="L1223" i="6"/>
  <c r="O1222" i="6"/>
  <c r="P1222" i="6" s="1"/>
  <c r="N1222" i="6"/>
  <c r="M1222" i="6"/>
  <c r="L1222" i="6"/>
  <c r="R1221" i="6"/>
  <c r="O1221" i="6"/>
  <c r="P1221" i="6" s="1"/>
  <c r="M1221" i="6"/>
  <c r="N1221" i="6" s="1"/>
  <c r="L1221" i="6"/>
  <c r="O1220" i="6"/>
  <c r="N1220" i="6"/>
  <c r="M1220" i="6"/>
  <c r="L1220" i="6"/>
  <c r="P1219" i="6"/>
  <c r="O1219" i="6"/>
  <c r="N1219" i="6"/>
  <c r="M1219" i="6"/>
  <c r="L1219" i="6"/>
  <c r="P1218" i="6"/>
  <c r="O1218" i="6"/>
  <c r="M1218" i="6"/>
  <c r="N1218" i="6" s="1"/>
  <c r="L1218" i="6"/>
  <c r="O1217" i="6"/>
  <c r="N1217" i="6"/>
  <c r="M1217" i="6"/>
  <c r="L1217" i="6"/>
  <c r="R1216" i="6"/>
  <c r="O1216" i="6"/>
  <c r="P1216" i="6" s="1"/>
  <c r="M1216" i="6"/>
  <c r="N1216" i="6" s="1"/>
  <c r="L1216" i="6"/>
  <c r="R1215" i="6"/>
  <c r="Q1215" i="6"/>
  <c r="P1215" i="6"/>
  <c r="O1215" i="6"/>
  <c r="N1215" i="6"/>
  <c r="M1215" i="6"/>
  <c r="L1215" i="6"/>
  <c r="O1214" i="6"/>
  <c r="M1214" i="6"/>
  <c r="N1214" i="6" s="1"/>
  <c r="L1214" i="6"/>
  <c r="O1213" i="6"/>
  <c r="N1213" i="6"/>
  <c r="M1213" i="6"/>
  <c r="L1213" i="6"/>
  <c r="O1212" i="6"/>
  <c r="M1212" i="6"/>
  <c r="N1212" i="6" s="1"/>
  <c r="L1212" i="6"/>
  <c r="P1211" i="6"/>
  <c r="R1211" i="6" s="1"/>
  <c r="O1211" i="6"/>
  <c r="N1211" i="6"/>
  <c r="M1211" i="6"/>
  <c r="L1211" i="6"/>
  <c r="P1210" i="6"/>
  <c r="R1210" i="6" s="1"/>
  <c r="O1210" i="6"/>
  <c r="N1210" i="6"/>
  <c r="M1210" i="6"/>
  <c r="L1210" i="6"/>
  <c r="P1209" i="6"/>
  <c r="O1209" i="6"/>
  <c r="M1209" i="6"/>
  <c r="N1209" i="6" s="1"/>
  <c r="L1209" i="6"/>
  <c r="P1208" i="6"/>
  <c r="O1208" i="6"/>
  <c r="N1208" i="6"/>
  <c r="M1208" i="6"/>
  <c r="L1208" i="6"/>
  <c r="R1207" i="6"/>
  <c r="Q1207" i="6"/>
  <c r="O1207" i="6"/>
  <c r="P1207" i="6" s="1"/>
  <c r="M1207" i="6"/>
  <c r="N1207" i="6" s="1"/>
  <c r="L1207" i="6"/>
  <c r="P1206" i="6"/>
  <c r="O1206" i="6"/>
  <c r="N1206" i="6"/>
  <c r="M1206" i="6"/>
  <c r="L1206" i="6"/>
  <c r="O1205" i="6"/>
  <c r="P1205" i="6" s="1"/>
  <c r="R1205" i="6" s="1"/>
  <c r="N1205" i="6"/>
  <c r="M1205" i="6"/>
  <c r="L1205" i="6"/>
  <c r="R1204" i="6"/>
  <c r="P1204" i="6"/>
  <c r="O1204" i="6"/>
  <c r="M1204" i="6"/>
  <c r="N1204" i="6" s="1"/>
  <c r="L1204" i="6"/>
  <c r="O1203" i="6"/>
  <c r="N1203" i="6"/>
  <c r="M1203" i="6"/>
  <c r="L1203" i="6"/>
  <c r="O1202" i="6"/>
  <c r="P1202" i="6" s="1"/>
  <c r="M1202" i="6"/>
  <c r="N1202" i="6" s="1"/>
  <c r="L1202" i="6"/>
  <c r="O1201" i="6"/>
  <c r="N1201" i="6"/>
  <c r="M1201" i="6"/>
  <c r="L1201" i="6"/>
  <c r="O1200" i="6"/>
  <c r="M1200" i="6"/>
  <c r="N1200" i="6" s="1"/>
  <c r="L1200" i="6"/>
  <c r="O1199" i="6"/>
  <c r="N1199" i="6"/>
  <c r="M1199" i="6"/>
  <c r="L1199" i="6"/>
  <c r="O1198" i="6"/>
  <c r="M1198" i="6"/>
  <c r="N1198" i="6" s="1"/>
  <c r="L1198" i="6"/>
  <c r="O1197" i="6"/>
  <c r="N1197" i="6"/>
  <c r="M1197" i="6"/>
  <c r="L1197" i="6"/>
  <c r="O1196" i="6"/>
  <c r="M1196" i="6"/>
  <c r="N1196" i="6" s="1"/>
  <c r="L1196" i="6"/>
  <c r="O1195" i="6"/>
  <c r="N1195" i="6"/>
  <c r="M1195" i="6"/>
  <c r="L1195" i="6"/>
  <c r="O1194" i="6"/>
  <c r="M1194" i="6"/>
  <c r="N1194" i="6" s="1"/>
  <c r="L1194" i="6"/>
  <c r="O1193" i="6"/>
  <c r="N1193" i="6"/>
  <c r="M1193" i="6"/>
  <c r="L1193" i="6"/>
  <c r="O1192" i="6"/>
  <c r="M1192" i="6"/>
  <c r="N1192" i="6" s="1"/>
  <c r="L1192" i="6"/>
  <c r="O1191" i="6"/>
  <c r="N1191" i="6"/>
  <c r="M1191" i="6"/>
  <c r="L1191" i="6"/>
  <c r="O1190" i="6"/>
  <c r="P1190" i="6" s="1"/>
  <c r="R1190" i="6" s="1"/>
  <c r="N1190" i="6"/>
  <c r="M1190" i="6"/>
  <c r="L1190" i="6"/>
  <c r="O1189" i="6"/>
  <c r="M1189" i="6"/>
  <c r="N1189" i="6" s="1"/>
  <c r="L1189" i="6"/>
  <c r="O1188" i="6"/>
  <c r="N1188" i="6"/>
  <c r="M1188" i="6"/>
  <c r="L1188" i="6"/>
  <c r="O1187" i="6"/>
  <c r="M1187" i="6"/>
  <c r="N1187" i="6" s="1"/>
  <c r="L1187" i="6"/>
  <c r="Q1186" i="6"/>
  <c r="P1186" i="6"/>
  <c r="R1186" i="6" s="1"/>
  <c r="O1186" i="6"/>
  <c r="N1186" i="6"/>
  <c r="M1186" i="6"/>
  <c r="L1186" i="6"/>
  <c r="O1185" i="6"/>
  <c r="M1185" i="6"/>
  <c r="N1185" i="6" s="1"/>
  <c r="L1185" i="6"/>
  <c r="O1184" i="6"/>
  <c r="N1184" i="6"/>
  <c r="M1184" i="6"/>
  <c r="L1184" i="6"/>
  <c r="O1183" i="6"/>
  <c r="P1183" i="6" s="1"/>
  <c r="R1183" i="6" s="1"/>
  <c r="N1183" i="6"/>
  <c r="M1183" i="6"/>
  <c r="L1183" i="6"/>
  <c r="P1182" i="6"/>
  <c r="R1182" i="6" s="1"/>
  <c r="O1182" i="6"/>
  <c r="M1182" i="6"/>
  <c r="N1182" i="6" s="1"/>
  <c r="L1182" i="6"/>
  <c r="R1181" i="6"/>
  <c r="P1181" i="6"/>
  <c r="O1181" i="6"/>
  <c r="N1181" i="6"/>
  <c r="M1181" i="6"/>
  <c r="L1181" i="6"/>
  <c r="R1180" i="6"/>
  <c r="P1180" i="6"/>
  <c r="O1180" i="6"/>
  <c r="N1180" i="6"/>
  <c r="M1180" i="6"/>
  <c r="L1180" i="6"/>
  <c r="O1179" i="6"/>
  <c r="M1179" i="6"/>
  <c r="N1179" i="6" s="1"/>
  <c r="L1179" i="6"/>
  <c r="R1178" i="6"/>
  <c r="P1178" i="6"/>
  <c r="O1178" i="6"/>
  <c r="N1178" i="6"/>
  <c r="M1178" i="6"/>
  <c r="L1178" i="6"/>
  <c r="P1177" i="6"/>
  <c r="O1177" i="6"/>
  <c r="N1177" i="6"/>
  <c r="M1177" i="6"/>
  <c r="L1177" i="6"/>
  <c r="O1176" i="6"/>
  <c r="M1176" i="6"/>
  <c r="N1176" i="6" s="1"/>
  <c r="L1176" i="6"/>
  <c r="O1175" i="6"/>
  <c r="N1175" i="6"/>
  <c r="M1175" i="6"/>
  <c r="L1175" i="6"/>
  <c r="O1174" i="6"/>
  <c r="M1174" i="6"/>
  <c r="N1174" i="6" s="1"/>
  <c r="L1174" i="6"/>
  <c r="R1173" i="6"/>
  <c r="P1173" i="6"/>
  <c r="O1173" i="6"/>
  <c r="M1173" i="6"/>
  <c r="N1173" i="6" s="1"/>
  <c r="L1173" i="6"/>
  <c r="O1172" i="6"/>
  <c r="N1172" i="6"/>
  <c r="M1172" i="6"/>
  <c r="L1172" i="6"/>
  <c r="O1171" i="6"/>
  <c r="M1171" i="6"/>
  <c r="N1171" i="6" s="1"/>
  <c r="L1171" i="6"/>
  <c r="O1170" i="6"/>
  <c r="N1170" i="6"/>
  <c r="M1170" i="6"/>
  <c r="L1170" i="6"/>
  <c r="O1169" i="6"/>
  <c r="M1169" i="6"/>
  <c r="N1169" i="6" s="1"/>
  <c r="L1169" i="6"/>
  <c r="P1168" i="6"/>
  <c r="R1168" i="6" s="1"/>
  <c r="O1168" i="6"/>
  <c r="N1168" i="6"/>
  <c r="M1168" i="6"/>
  <c r="L1168" i="6"/>
  <c r="O1167" i="6"/>
  <c r="P1167" i="6" s="1"/>
  <c r="R1167" i="6" s="1"/>
  <c r="N1167" i="6"/>
  <c r="M1167" i="6"/>
  <c r="L1167" i="6"/>
  <c r="O1166" i="6"/>
  <c r="M1166" i="6"/>
  <c r="N1166" i="6" s="1"/>
  <c r="L1166" i="6"/>
  <c r="O1165" i="6"/>
  <c r="N1165" i="6"/>
  <c r="M1165" i="6"/>
  <c r="L1165" i="6"/>
  <c r="O1164" i="6"/>
  <c r="M1164" i="6"/>
  <c r="N1164" i="6" s="1"/>
  <c r="L1164" i="6"/>
  <c r="O1163" i="6"/>
  <c r="N1163" i="6"/>
  <c r="M1163" i="6"/>
  <c r="L1163" i="6"/>
  <c r="O1162" i="6"/>
  <c r="M1162" i="6"/>
  <c r="N1162" i="6" s="1"/>
  <c r="L1162" i="6"/>
  <c r="O1161" i="6"/>
  <c r="N1161" i="6"/>
  <c r="M1161" i="6"/>
  <c r="L1161" i="6"/>
  <c r="O1160" i="6"/>
  <c r="M1160" i="6"/>
  <c r="N1160" i="6" s="1"/>
  <c r="L1160" i="6"/>
  <c r="O1159" i="6"/>
  <c r="P1159" i="6" s="1"/>
  <c r="N1159" i="6"/>
  <c r="M1159" i="6"/>
  <c r="L1159" i="6"/>
  <c r="O1158" i="6"/>
  <c r="P1158" i="6" s="1"/>
  <c r="M1158" i="6"/>
  <c r="N1158" i="6" s="1"/>
  <c r="L1158" i="6"/>
  <c r="P1157" i="6"/>
  <c r="O1157" i="6"/>
  <c r="N1157" i="6"/>
  <c r="M1157" i="6"/>
  <c r="L1157" i="6"/>
  <c r="O1156" i="6"/>
  <c r="P1156" i="6" s="1"/>
  <c r="R1156" i="6" s="1"/>
  <c r="N1156" i="6"/>
  <c r="M1156" i="6"/>
  <c r="L1156" i="6"/>
  <c r="O1155" i="6"/>
  <c r="P1155" i="6" s="1"/>
  <c r="M1155" i="6"/>
  <c r="N1155" i="6" s="1"/>
  <c r="L1155" i="6"/>
  <c r="O1154" i="6"/>
  <c r="N1154" i="6"/>
  <c r="M1154" i="6"/>
  <c r="L1154" i="6"/>
  <c r="O1153" i="6"/>
  <c r="M1153" i="6"/>
  <c r="N1153" i="6" s="1"/>
  <c r="L1153" i="6"/>
  <c r="O1152" i="6"/>
  <c r="N1152" i="6"/>
  <c r="M1152" i="6"/>
  <c r="L1152" i="6"/>
  <c r="P1151" i="6"/>
  <c r="O1151" i="6"/>
  <c r="M1151" i="6"/>
  <c r="N1151" i="6" s="1"/>
  <c r="L1151" i="6"/>
  <c r="O1150" i="6"/>
  <c r="P1150" i="6" s="1"/>
  <c r="M1150" i="6"/>
  <c r="N1150" i="6" s="1"/>
  <c r="L1150" i="6"/>
  <c r="O1149" i="6"/>
  <c r="N1149" i="6"/>
  <c r="M1149" i="6"/>
  <c r="L1149" i="6"/>
  <c r="O1148" i="6"/>
  <c r="P1148" i="6" s="1"/>
  <c r="R1148" i="6" s="1"/>
  <c r="N1148" i="6"/>
  <c r="M1148" i="6"/>
  <c r="L1148" i="6"/>
  <c r="O1147" i="6"/>
  <c r="M1147" i="6"/>
  <c r="N1147" i="6" s="1"/>
  <c r="L1147" i="6"/>
  <c r="O1146" i="6"/>
  <c r="P1146" i="6" s="1"/>
  <c r="N1146" i="6"/>
  <c r="M1146" i="6"/>
  <c r="L1146" i="6"/>
  <c r="P1145" i="6"/>
  <c r="R1145" i="6" s="1"/>
  <c r="O1145" i="6"/>
  <c r="M1145" i="6"/>
  <c r="N1145" i="6" s="1"/>
  <c r="L1145" i="6"/>
  <c r="O1144" i="6"/>
  <c r="N1144" i="6"/>
  <c r="M1144" i="6"/>
  <c r="L1144" i="6"/>
  <c r="O1143" i="6"/>
  <c r="M1143" i="6"/>
  <c r="N1143" i="6" s="1"/>
  <c r="L1143" i="6"/>
  <c r="R1142" i="6"/>
  <c r="P1142" i="6"/>
  <c r="O1142" i="6"/>
  <c r="N1142" i="6"/>
  <c r="M1142" i="6"/>
  <c r="L1142" i="6"/>
  <c r="O1141" i="6"/>
  <c r="N1141" i="6"/>
  <c r="M1141" i="6"/>
  <c r="L1141" i="6"/>
  <c r="O1140" i="6"/>
  <c r="P1140" i="6" s="1"/>
  <c r="M1140" i="6"/>
  <c r="N1140" i="6" s="1"/>
  <c r="L1140" i="6"/>
  <c r="O1139" i="6"/>
  <c r="N1139" i="6"/>
  <c r="M1139" i="6"/>
  <c r="L1139" i="6"/>
  <c r="O1138" i="6"/>
  <c r="M1138" i="6"/>
  <c r="N1138" i="6" s="1"/>
  <c r="L1138" i="6"/>
  <c r="R1137" i="6"/>
  <c r="P1137" i="6"/>
  <c r="O1137" i="6"/>
  <c r="M1137" i="6"/>
  <c r="N1137" i="6" s="1"/>
  <c r="L1137" i="6"/>
  <c r="O1136" i="6"/>
  <c r="P1136" i="6" s="1"/>
  <c r="N1136" i="6"/>
  <c r="M1136" i="6"/>
  <c r="L1136" i="6"/>
  <c r="O1135" i="6"/>
  <c r="P1135" i="6" s="1"/>
  <c r="M1135" i="6"/>
  <c r="N1135" i="6" s="1"/>
  <c r="L1135" i="6"/>
  <c r="R1134" i="6"/>
  <c r="Q1134" i="6"/>
  <c r="P1134" i="6"/>
  <c r="O1134" i="6"/>
  <c r="N1134" i="6"/>
  <c r="M1134" i="6"/>
  <c r="L1134" i="6"/>
  <c r="O1133" i="6"/>
  <c r="N1133" i="6"/>
  <c r="M1133" i="6"/>
  <c r="L1133" i="6"/>
  <c r="O1132" i="6"/>
  <c r="P1132" i="6" s="1"/>
  <c r="M1132" i="6"/>
  <c r="N1132" i="6" s="1"/>
  <c r="L1132" i="6"/>
  <c r="O1131" i="6"/>
  <c r="N1131" i="6"/>
  <c r="M1131" i="6"/>
  <c r="L1131" i="6"/>
  <c r="O1130" i="6"/>
  <c r="M1130" i="6"/>
  <c r="N1130" i="6" s="1"/>
  <c r="L1130" i="6"/>
  <c r="R1129" i="6"/>
  <c r="Q1129" i="6"/>
  <c r="P1129" i="6"/>
  <c r="O1129" i="6"/>
  <c r="N1129" i="6"/>
  <c r="M1129" i="6"/>
  <c r="L1129" i="6"/>
  <c r="P1128" i="6"/>
  <c r="O1128" i="6"/>
  <c r="N1128" i="6"/>
  <c r="M1128" i="6"/>
  <c r="L1128" i="6"/>
  <c r="P1127" i="6"/>
  <c r="O1127" i="6"/>
  <c r="M1127" i="6"/>
  <c r="N1127" i="6" s="1"/>
  <c r="L1127" i="6"/>
  <c r="P1126" i="6"/>
  <c r="O1126" i="6"/>
  <c r="M1126" i="6"/>
  <c r="N1126" i="6" s="1"/>
  <c r="L1126" i="6"/>
  <c r="O1125" i="6"/>
  <c r="N1125" i="6"/>
  <c r="M1125" i="6"/>
  <c r="L1125" i="6"/>
  <c r="O1124" i="6"/>
  <c r="P1124" i="6" s="1"/>
  <c r="R1124" i="6" s="1"/>
  <c r="M1124" i="6"/>
  <c r="N1124" i="6" s="1"/>
  <c r="L1124" i="6"/>
  <c r="O1123" i="6"/>
  <c r="N1123" i="6"/>
  <c r="M1123" i="6"/>
  <c r="L1123" i="6"/>
  <c r="P1122" i="6"/>
  <c r="O1122" i="6"/>
  <c r="M1122" i="6"/>
  <c r="N1122" i="6" s="1"/>
  <c r="L1122" i="6"/>
  <c r="R1121" i="6"/>
  <c r="P1121" i="6"/>
  <c r="O1121" i="6"/>
  <c r="N1121" i="6"/>
  <c r="M1121" i="6"/>
  <c r="L1121" i="6"/>
  <c r="R1120" i="6"/>
  <c r="P1120" i="6"/>
  <c r="O1120" i="6"/>
  <c r="N1120" i="6"/>
  <c r="M1120" i="6"/>
  <c r="L1120" i="6"/>
  <c r="O1119" i="6"/>
  <c r="P1119" i="6" s="1"/>
  <c r="R1119" i="6" s="1"/>
  <c r="N1119" i="6"/>
  <c r="M1119" i="6"/>
  <c r="L1119" i="6"/>
  <c r="O1118" i="6"/>
  <c r="N1118" i="6"/>
  <c r="M1118" i="6"/>
  <c r="L1118" i="6"/>
  <c r="O1117" i="6"/>
  <c r="N1117" i="6"/>
  <c r="M1117" i="6"/>
  <c r="L1117" i="6"/>
  <c r="O1116" i="6"/>
  <c r="N1116" i="6"/>
  <c r="M1116" i="6"/>
  <c r="L1116" i="6"/>
  <c r="R1115" i="6"/>
  <c r="P1115" i="6"/>
  <c r="O1115" i="6"/>
  <c r="N1115" i="6"/>
  <c r="M1115" i="6"/>
  <c r="L1115" i="6"/>
  <c r="O1114" i="6"/>
  <c r="M1114" i="6"/>
  <c r="N1114" i="6" s="1"/>
  <c r="L1114" i="6"/>
  <c r="S1113" i="6" a="1"/>
  <c r="S1131" i="6" s="1"/>
  <c r="O1113" i="6"/>
  <c r="N1113" i="6"/>
  <c r="M1113" i="6"/>
  <c r="L1113" i="6"/>
  <c r="O1112" i="6"/>
  <c r="M1112" i="6"/>
  <c r="N1112" i="6" s="1"/>
  <c r="L1112" i="6"/>
  <c r="O1111" i="6"/>
  <c r="P1111" i="6" s="1"/>
  <c r="N1111" i="6"/>
  <c r="M1111" i="6"/>
  <c r="L1111" i="6"/>
  <c r="P1110" i="6"/>
  <c r="R1110" i="6" s="1"/>
  <c r="O1110" i="6"/>
  <c r="M1110" i="6"/>
  <c r="N1110" i="6" s="1"/>
  <c r="L1110" i="6"/>
  <c r="O1109" i="6"/>
  <c r="N1109" i="6"/>
  <c r="M1109" i="6"/>
  <c r="L1109" i="6"/>
  <c r="O1108" i="6"/>
  <c r="M1108" i="6"/>
  <c r="N1108" i="6" s="1"/>
  <c r="L1108" i="6"/>
  <c r="R1107" i="6"/>
  <c r="P1107" i="6"/>
  <c r="O1107" i="6"/>
  <c r="N1107" i="6"/>
  <c r="M1107" i="6"/>
  <c r="L1107" i="6"/>
  <c r="R1106" i="6"/>
  <c r="P1106" i="6"/>
  <c r="O1106" i="6"/>
  <c r="N1106" i="6"/>
  <c r="M1106" i="6"/>
  <c r="L1106" i="6"/>
  <c r="O1105" i="6"/>
  <c r="P1105" i="6" s="1"/>
  <c r="R1105" i="6" s="1"/>
  <c r="N1105" i="6"/>
  <c r="M1105" i="6"/>
  <c r="L1105" i="6"/>
  <c r="O1104" i="6"/>
  <c r="P1104" i="6" s="1"/>
  <c r="M1104" i="6"/>
  <c r="N1104" i="6" s="1"/>
  <c r="L1104" i="6"/>
  <c r="O1103" i="6"/>
  <c r="N1103" i="6"/>
  <c r="M1103" i="6"/>
  <c r="L1103" i="6"/>
  <c r="O1102" i="6"/>
  <c r="M1102" i="6"/>
  <c r="N1102" i="6" s="1"/>
  <c r="L1102" i="6"/>
  <c r="O1101" i="6"/>
  <c r="N1101" i="6"/>
  <c r="M1101" i="6"/>
  <c r="L1101" i="6"/>
  <c r="P1100" i="6"/>
  <c r="O1100" i="6"/>
  <c r="M1100" i="6"/>
  <c r="N1100" i="6" s="1"/>
  <c r="L1100" i="6"/>
  <c r="O1099" i="6"/>
  <c r="N1099" i="6"/>
  <c r="M1099" i="6"/>
  <c r="L1099" i="6"/>
  <c r="O1098" i="6"/>
  <c r="M1098" i="6"/>
  <c r="N1098" i="6" s="1"/>
  <c r="L1098" i="6"/>
  <c r="O1097" i="6"/>
  <c r="N1097" i="6"/>
  <c r="M1097" i="6"/>
  <c r="L1097" i="6"/>
  <c r="O1096" i="6"/>
  <c r="M1096" i="6"/>
  <c r="N1096" i="6" s="1"/>
  <c r="L1096" i="6"/>
  <c r="R1095" i="6"/>
  <c r="P1095" i="6"/>
  <c r="O1095" i="6"/>
  <c r="N1095" i="6"/>
  <c r="M1095" i="6"/>
  <c r="L1095" i="6"/>
  <c r="R1094" i="6"/>
  <c r="Q1094" i="6"/>
  <c r="P1094" i="6"/>
  <c r="O1094" i="6"/>
  <c r="M1094" i="6"/>
  <c r="N1094" i="6" s="1"/>
  <c r="L1094" i="6"/>
  <c r="O1093" i="6"/>
  <c r="N1093" i="6"/>
  <c r="M1093" i="6"/>
  <c r="L1093" i="6"/>
  <c r="O1092" i="6"/>
  <c r="M1092" i="6"/>
  <c r="N1092" i="6" s="1"/>
  <c r="L1092" i="6"/>
  <c r="O1091" i="6"/>
  <c r="N1091" i="6"/>
  <c r="M1091" i="6"/>
  <c r="L1091" i="6"/>
  <c r="O1090" i="6"/>
  <c r="M1090" i="6"/>
  <c r="N1090" i="6" s="1"/>
  <c r="L1090" i="6"/>
  <c r="Q1089" i="6"/>
  <c r="P1089" i="6"/>
  <c r="R1089" i="6" s="1"/>
  <c r="O1089" i="6"/>
  <c r="N1089" i="6"/>
  <c r="M1089" i="6"/>
  <c r="L1089" i="6"/>
  <c r="O1088" i="6"/>
  <c r="M1088" i="6"/>
  <c r="N1088" i="6" s="1"/>
  <c r="L1088" i="6"/>
  <c r="O1087" i="6"/>
  <c r="P1087" i="6" s="1"/>
  <c r="M1087" i="6"/>
  <c r="N1087" i="6" s="1"/>
  <c r="L1087" i="6"/>
  <c r="P1086" i="6"/>
  <c r="O1086" i="6"/>
  <c r="N1086" i="6"/>
  <c r="M1086" i="6"/>
  <c r="L1086" i="6"/>
  <c r="O1085" i="6"/>
  <c r="M1085" i="6"/>
  <c r="N1085" i="6" s="1"/>
  <c r="L1085" i="6"/>
  <c r="O1084" i="6"/>
  <c r="N1084" i="6"/>
  <c r="M1084" i="6"/>
  <c r="L1084" i="6"/>
  <c r="O1083" i="6"/>
  <c r="M1083" i="6"/>
  <c r="N1083" i="6" s="1"/>
  <c r="L1083" i="6"/>
  <c r="P1082" i="6"/>
  <c r="O1082" i="6"/>
  <c r="M1082" i="6"/>
  <c r="N1082" i="6" s="1"/>
  <c r="L1082" i="6"/>
  <c r="O1081" i="6"/>
  <c r="N1081" i="6"/>
  <c r="M1081" i="6"/>
  <c r="L1081" i="6"/>
  <c r="O1080" i="6"/>
  <c r="M1080" i="6"/>
  <c r="N1080" i="6" s="1"/>
  <c r="L1080" i="6"/>
  <c r="O1079" i="6"/>
  <c r="P1079" i="6" s="1"/>
  <c r="N1079" i="6"/>
  <c r="M1079" i="6"/>
  <c r="L1079" i="6"/>
  <c r="O1078" i="6"/>
  <c r="N1078" i="6"/>
  <c r="M1078" i="6"/>
  <c r="L1078" i="6"/>
  <c r="P1077" i="6"/>
  <c r="O1077" i="6"/>
  <c r="N1077" i="6"/>
  <c r="M1077" i="6"/>
  <c r="L1077" i="6"/>
  <c r="O1076" i="6"/>
  <c r="M1076" i="6"/>
  <c r="N1076" i="6" s="1"/>
  <c r="L1076" i="6"/>
  <c r="O1075" i="6"/>
  <c r="N1075" i="6"/>
  <c r="M1075" i="6"/>
  <c r="L1075" i="6"/>
  <c r="O1074" i="6"/>
  <c r="M1074" i="6"/>
  <c r="N1074" i="6" s="1"/>
  <c r="L1074" i="6"/>
  <c r="O1073" i="6"/>
  <c r="N1073" i="6"/>
  <c r="M1073" i="6"/>
  <c r="L1073" i="6"/>
  <c r="P1072" i="6"/>
  <c r="O1072" i="6"/>
  <c r="M1072" i="6"/>
  <c r="N1072" i="6" s="1"/>
  <c r="L1072" i="6"/>
  <c r="O1071" i="6"/>
  <c r="N1071" i="6"/>
  <c r="M1071" i="6"/>
  <c r="L1071" i="6"/>
  <c r="P1070" i="6"/>
  <c r="O1070" i="6"/>
  <c r="N1070" i="6"/>
  <c r="M1070" i="6"/>
  <c r="L1070" i="6"/>
  <c r="O1069" i="6"/>
  <c r="P1069" i="6" s="1"/>
  <c r="N1069" i="6"/>
  <c r="M1069" i="6"/>
  <c r="L1069" i="6"/>
  <c r="O1068" i="6"/>
  <c r="P1068" i="6" s="1"/>
  <c r="M1068" i="6"/>
  <c r="N1068" i="6" s="1"/>
  <c r="L1068" i="6"/>
  <c r="O1067" i="6"/>
  <c r="N1067" i="6"/>
  <c r="M1067" i="6"/>
  <c r="L1067" i="6"/>
  <c r="P1066" i="6"/>
  <c r="O1066" i="6"/>
  <c r="M1066" i="6"/>
  <c r="N1066" i="6" s="1"/>
  <c r="L1066" i="6"/>
  <c r="O1065" i="6"/>
  <c r="N1065" i="6"/>
  <c r="M1065" i="6"/>
  <c r="L1065" i="6"/>
  <c r="O1064" i="6"/>
  <c r="M1064" i="6"/>
  <c r="N1064" i="6" s="1"/>
  <c r="L1064" i="6"/>
  <c r="R1063" i="6"/>
  <c r="P1063" i="6"/>
  <c r="O1063" i="6"/>
  <c r="N1063" i="6"/>
  <c r="M1063" i="6"/>
  <c r="L1063" i="6"/>
  <c r="O1062" i="6"/>
  <c r="N1062" i="6"/>
  <c r="M1062" i="6"/>
  <c r="L1062" i="6"/>
  <c r="O1061" i="6"/>
  <c r="N1061" i="6"/>
  <c r="M1061" i="6"/>
  <c r="L1061" i="6"/>
  <c r="O1060" i="6"/>
  <c r="N1060" i="6"/>
  <c r="M1060" i="6"/>
  <c r="L1060" i="6"/>
  <c r="P1059" i="6"/>
  <c r="R1059" i="6" s="1"/>
  <c r="O1059" i="6"/>
  <c r="M1059" i="6"/>
  <c r="N1059" i="6" s="1"/>
  <c r="L1059" i="6"/>
  <c r="P1058" i="6"/>
  <c r="R1058" i="6" s="1"/>
  <c r="O1058" i="6"/>
  <c r="N1058" i="6"/>
  <c r="M1058" i="6"/>
  <c r="L1058" i="6"/>
  <c r="P1057" i="6"/>
  <c r="O1057" i="6"/>
  <c r="M1057" i="6"/>
  <c r="N1057" i="6" s="1"/>
  <c r="L1057" i="6"/>
  <c r="O1056" i="6"/>
  <c r="M1056" i="6"/>
  <c r="N1056" i="6" s="1"/>
  <c r="L1056" i="6"/>
  <c r="O1055" i="6"/>
  <c r="P1055" i="6" s="1"/>
  <c r="R1055" i="6" s="1"/>
  <c r="M1055" i="6"/>
  <c r="N1055" i="6" s="1"/>
  <c r="L1055" i="6"/>
  <c r="O1054" i="6"/>
  <c r="N1054" i="6"/>
  <c r="M1054" i="6"/>
  <c r="L1054" i="6"/>
  <c r="P1053" i="6"/>
  <c r="R1053" i="6" s="1"/>
  <c r="O1053" i="6"/>
  <c r="M1053" i="6"/>
  <c r="N1053" i="6" s="1"/>
  <c r="L1053" i="6"/>
  <c r="O1052" i="6"/>
  <c r="N1052" i="6"/>
  <c r="M1052" i="6"/>
  <c r="L1052" i="6"/>
  <c r="O1051" i="6"/>
  <c r="M1051" i="6"/>
  <c r="N1051" i="6" s="1"/>
  <c r="L1051" i="6"/>
  <c r="O1050" i="6"/>
  <c r="N1050" i="6"/>
  <c r="M1050" i="6"/>
  <c r="L1050" i="6"/>
  <c r="O1049" i="6"/>
  <c r="M1049" i="6"/>
  <c r="N1049" i="6" s="1"/>
  <c r="L1049" i="6"/>
  <c r="O1048" i="6"/>
  <c r="P1048" i="6" s="1"/>
  <c r="M1048" i="6"/>
  <c r="N1048" i="6" s="1"/>
  <c r="L1048" i="6"/>
  <c r="O1047" i="6"/>
  <c r="N1047" i="6"/>
  <c r="M1047" i="6"/>
  <c r="L1047" i="6"/>
  <c r="O1046" i="6"/>
  <c r="M1046" i="6"/>
  <c r="N1046" i="6" s="1"/>
  <c r="L1046" i="6"/>
  <c r="O1045" i="6"/>
  <c r="N1045" i="6"/>
  <c r="M1045" i="6"/>
  <c r="L1045" i="6"/>
  <c r="O1044" i="6"/>
  <c r="M1044" i="6"/>
  <c r="N1044" i="6" s="1"/>
  <c r="L1044" i="6"/>
  <c r="O1043" i="6"/>
  <c r="N1043" i="6"/>
  <c r="M1043" i="6"/>
  <c r="L1043" i="6"/>
  <c r="O1042" i="6"/>
  <c r="M1042" i="6"/>
  <c r="N1042" i="6" s="1"/>
  <c r="L1042" i="6"/>
  <c r="O1041" i="6"/>
  <c r="N1041" i="6"/>
  <c r="M1041" i="6"/>
  <c r="L1041" i="6"/>
  <c r="O1040" i="6"/>
  <c r="M1040" i="6"/>
  <c r="N1040" i="6" s="1"/>
  <c r="L1040" i="6"/>
  <c r="O1039" i="6"/>
  <c r="N1039" i="6"/>
  <c r="M1039" i="6"/>
  <c r="L1039" i="6"/>
  <c r="P1038" i="6"/>
  <c r="R1038" i="6" s="1"/>
  <c r="O1038" i="6"/>
  <c r="M1038" i="6"/>
  <c r="N1038" i="6" s="1"/>
  <c r="L1038" i="6"/>
  <c r="R1037" i="6"/>
  <c r="P1037" i="6"/>
  <c r="O1037" i="6"/>
  <c r="N1037" i="6"/>
  <c r="M1037" i="6"/>
  <c r="L1037" i="6"/>
  <c r="P1036" i="6"/>
  <c r="O1036" i="6"/>
  <c r="N1036" i="6"/>
  <c r="M1036" i="6"/>
  <c r="L1036" i="6"/>
  <c r="O1035" i="6"/>
  <c r="P1035" i="6" s="1"/>
  <c r="R1035" i="6" s="1"/>
  <c r="M1035" i="6"/>
  <c r="N1035" i="6" s="1"/>
  <c r="L1035" i="6"/>
  <c r="O1034" i="6"/>
  <c r="M1034" i="6"/>
  <c r="N1034" i="6" s="1"/>
  <c r="L1034" i="6"/>
  <c r="O1033" i="6"/>
  <c r="P1033" i="6" s="1"/>
  <c r="N1033" i="6"/>
  <c r="M1033" i="6"/>
  <c r="L1033" i="6"/>
  <c r="P1032" i="6"/>
  <c r="R1032" i="6" s="1"/>
  <c r="O1032" i="6"/>
  <c r="M1032" i="6"/>
  <c r="N1032" i="6" s="1"/>
  <c r="L1032" i="6"/>
  <c r="O1031" i="6"/>
  <c r="N1031" i="6"/>
  <c r="M1031" i="6"/>
  <c r="L1031" i="6"/>
  <c r="O1030" i="6"/>
  <c r="M1030" i="6"/>
  <c r="N1030" i="6" s="1"/>
  <c r="L1030" i="6"/>
  <c r="O1029" i="6"/>
  <c r="N1029" i="6"/>
  <c r="M1029" i="6"/>
  <c r="L1029" i="6"/>
  <c r="O1028" i="6"/>
  <c r="P1028" i="6" s="1"/>
  <c r="R1028" i="6" s="1"/>
  <c r="N1028" i="6"/>
  <c r="M1028" i="6"/>
  <c r="L1028" i="6"/>
  <c r="O1027" i="6"/>
  <c r="P1027" i="6" s="1"/>
  <c r="M1027" i="6"/>
  <c r="N1027" i="6" s="1"/>
  <c r="L1027" i="6"/>
  <c r="P1026" i="6"/>
  <c r="O1026" i="6"/>
  <c r="N1026" i="6"/>
  <c r="M1026" i="6"/>
  <c r="L1026" i="6"/>
  <c r="O1025" i="6"/>
  <c r="M1025" i="6"/>
  <c r="N1025" i="6" s="1"/>
  <c r="L1025" i="6"/>
  <c r="P1024" i="6"/>
  <c r="R1024" i="6" s="1"/>
  <c r="O1024" i="6"/>
  <c r="N1024" i="6"/>
  <c r="M1024" i="6"/>
  <c r="L1024" i="6"/>
  <c r="O1023" i="6"/>
  <c r="N1023" i="6"/>
  <c r="M1023" i="6"/>
  <c r="L1023" i="6"/>
  <c r="O1022" i="6"/>
  <c r="P1022" i="6" s="1"/>
  <c r="N1022" i="6"/>
  <c r="M1022" i="6"/>
  <c r="L1022" i="6"/>
  <c r="O1021" i="6"/>
  <c r="M1021" i="6"/>
  <c r="N1021" i="6" s="1"/>
  <c r="L1021" i="6"/>
  <c r="O1020" i="6"/>
  <c r="N1020" i="6"/>
  <c r="M1020" i="6"/>
  <c r="L1020" i="6"/>
  <c r="P1019" i="6"/>
  <c r="R1019" i="6" s="1"/>
  <c r="O1019" i="6"/>
  <c r="M1019" i="6"/>
  <c r="N1019" i="6" s="1"/>
  <c r="L1019" i="6"/>
  <c r="O1018" i="6"/>
  <c r="N1018" i="6"/>
  <c r="M1018" i="6"/>
  <c r="L1018" i="6"/>
  <c r="O1017" i="6"/>
  <c r="P1017" i="6" s="1"/>
  <c r="N1017" i="6"/>
  <c r="M1017" i="6"/>
  <c r="L1017" i="6"/>
  <c r="P1016" i="6"/>
  <c r="O1016" i="6"/>
  <c r="N1016" i="6"/>
  <c r="M1016" i="6"/>
  <c r="L1016" i="6"/>
  <c r="O1015" i="6"/>
  <c r="N1015" i="6"/>
  <c r="M1015" i="6"/>
  <c r="L1015" i="6"/>
  <c r="P1014" i="6"/>
  <c r="R1014" i="6" s="1"/>
  <c r="O1014" i="6"/>
  <c r="M1014" i="6"/>
  <c r="N1014" i="6" s="1"/>
  <c r="L1014" i="6"/>
  <c r="O1013" i="6"/>
  <c r="P1013" i="6" s="1"/>
  <c r="M1013" i="6"/>
  <c r="N1013" i="6" s="1"/>
  <c r="L1013" i="6"/>
  <c r="O1012" i="6"/>
  <c r="M1012" i="6"/>
  <c r="N1012" i="6" s="1"/>
  <c r="L1012" i="6"/>
  <c r="O1011" i="6"/>
  <c r="M1011" i="6"/>
  <c r="N1011" i="6" s="1"/>
  <c r="L1011" i="6"/>
  <c r="O1010" i="6"/>
  <c r="M1010" i="6"/>
  <c r="N1010" i="6" s="1"/>
  <c r="L1010" i="6"/>
  <c r="R1009" i="6"/>
  <c r="O1009" i="6"/>
  <c r="P1009" i="6" s="1"/>
  <c r="N1009" i="6"/>
  <c r="M1009" i="6"/>
  <c r="L1009" i="6"/>
  <c r="O1008" i="6"/>
  <c r="M1008" i="6"/>
  <c r="N1008" i="6" s="1"/>
  <c r="L1008" i="6"/>
  <c r="P1007" i="6"/>
  <c r="R1007" i="6" s="1"/>
  <c r="O1007" i="6"/>
  <c r="M1007" i="6"/>
  <c r="N1007" i="6" s="1"/>
  <c r="L1007" i="6"/>
  <c r="P1006" i="6"/>
  <c r="O1006" i="6"/>
  <c r="M1006" i="6"/>
  <c r="N1006" i="6" s="1"/>
  <c r="L1006" i="6"/>
  <c r="O1005" i="6"/>
  <c r="N1005" i="6"/>
  <c r="M1005" i="6"/>
  <c r="L1005" i="6"/>
  <c r="O1004" i="6"/>
  <c r="M1004" i="6"/>
  <c r="N1004" i="6" s="1"/>
  <c r="L1004" i="6"/>
  <c r="P1003" i="6"/>
  <c r="R1003" i="6" s="1"/>
  <c r="O1003" i="6"/>
  <c r="N1003" i="6"/>
  <c r="M1003" i="6"/>
  <c r="L1003" i="6"/>
  <c r="P1002" i="6"/>
  <c r="O1002" i="6"/>
  <c r="M1002" i="6"/>
  <c r="N1002" i="6" s="1"/>
  <c r="L1002" i="6"/>
  <c r="P1001" i="6"/>
  <c r="O1001" i="6"/>
  <c r="M1001" i="6"/>
  <c r="N1001" i="6" s="1"/>
  <c r="L1001" i="6"/>
  <c r="O1000" i="6"/>
  <c r="N1000" i="6"/>
  <c r="M1000" i="6"/>
  <c r="L1000" i="6"/>
  <c r="O999" i="6"/>
  <c r="M999" i="6"/>
  <c r="N999" i="6" s="1"/>
  <c r="L999" i="6"/>
  <c r="P998" i="6"/>
  <c r="R998" i="6" s="1"/>
  <c r="O998" i="6"/>
  <c r="N998" i="6"/>
  <c r="M998" i="6"/>
  <c r="L998" i="6"/>
  <c r="R997" i="6"/>
  <c r="P997" i="6"/>
  <c r="O997" i="6"/>
  <c r="N997" i="6"/>
  <c r="M997" i="6"/>
  <c r="L997" i="6"/>
  <c r="O996" i="6"/>
  <c r="M996" i="6"/>
  <c r="N996" i="6" s="1"/>
  <c r="L996" i="6"/>
  <c r="O995" i="6"/>
  <c r="N995" i="6"/>
  <c r="M995" i="6"/>
  <c r="L995" i="6"/>
  <c r="O994" i="6"/>
  <c r="P994" i="6" s="1"/>
  <c r="R994" i="6" s="1"/>
  <c r="N994" i="6"/>
  <c r="M994" i="6"/>
  <c r="L994" i="6"/>
  <c r="P993" i="6"/>
  <c r="R993" i="6" s="1"/>
  <c r="O993" i="6"/>
  <c r="M993" i="6"/>
  <c r="N993" i="6" s="1"/>
  <c r="L993" i="6"/>
  <c r="P992" i="6"/>
  <c r="R992" i="6" s="1"/>
  <c r="O992" i="6"/>
  <c r="N992" i="6"/>
  <c r="M992" i="6"/>
  <c r="L992" i="6"/>
  <c r="P991" i="6"/>
  <c r="O991" i="6"/>
  <c r="M991" i="6"/>
  <c r="N991" i="6" s="1"/>
  <c r="L991" i="6"/>
  <c r="R990" i="6"/>
  <c r="O990" i="6"/>
  <c r="P990" i="6" s="1"/>
  <c r="Q990" i="6" s="1"/>
  <c r="N990" i="6"/>
  <c r="M990" i="6"/>
  <c r="L990" i="6"/>
  <c r="P989" i="6"/>
  <c r="R989" i="6" s="1"/>
  <c r="O989" i="6"/>
  <c r="M989" i="6"/>
  <c r="N989" i="6" s="1"/>
  <c r="L989" i="6"/>
  <c r="O988" i="6"/>
  <c r="N988" i="6"/>
  <c r="M988" i="6"/>
  <c r="L988" i="6"/>
  <c r="O987" i="6"/>
  <c r="P987" i="6" s="1"/>
  <c r="M987" i="6"/>
  <c r="N987" i="6" s="1"/>
  <c r="L987" i="6"/>
  <c r="O986" i="6"/>
  <c r="M986" i="6"/>
  <c r="N986" i="6" s="1"/>
  <c r="L986" i="6"/>
  <c r="O985" i="6"/>
  <c r="M985" i="6"/>
  <c r="N985" i="6" s="1"/>
  <c r="L985" i="6"/>
  <c r="O984" i="6"/>
  <c r="M984" i="6"/>
  <c r="N984" i="6" s="1"/>
  <c r="L984" i="6"/>
  <c r="P983" i="6"/>
  <c r="O983" i="6"/>
  <c r="N983" i="6"/>
  <c r="M983" i="6"/>
  <c r="L983" i="6"/>
  <c r="O982" i="6"/>
  <c r="P982" i="6" s="1"/>
  <c r="N982" i="6"/>
  <c r="M982" i="6"/>
  <c r="L982" i="6"/>
  <c r="P981" i="6"/>
  <c r="O981" i="6"/>
  <c r="N981" i="6"/>
  <c r="M981" i="6"/>
  <c r="L981" i="6"/>
  <c r="P980" i="6"/>
  <c r="O980" i="6"/>
  <c r="M980" i="6"/>
  <c r="N980" i="6" s="1"/>
  <c r="L980" i="6"/>
  <c r="R979" i="6"/>
  <c r="O979" i="6"/>
  <c r="P979" i="6" s="1"/>
  <c r="Q979" i="6" s="1"/>
  <c r="N979" i="6"/>
  <c r="M979" i="6"/>
  <c r="L979" i="6"/>
  <c r="O978" i="6"/>
  <c r="N978" i="6"/>
  <c r="M978" i="6"/>
  <c r="L978" i="6"/>
  <c r="O977" i="6"/>
  <c r="N977" i="6"/>
  <c r="M977" i="6"/>
  <c r="L977" i="6"/>
  <c r="O976" i="6"/>
  <c r="P976" i="6" s="1"/>
  <c r="N976" i="6"/>
  <c r="M976" i="6"/>
  <c r="L976" i="6"/>
  <c r="P975" i="6"/>
  <c r="O975" i="6"/>
  <c r="N975" i="6"/>
  <c r="M975" i="6"/>
  <c r="L975" i="6"/>
  <c r="P974" i="6"/>
  <c r="O974" i="6"/>
  <c r="M974" i="6"/>
  <c r="N974" i="6" s="1"/>
  <c r="L974" i="6"/>
  <c r="O973" i="6"/>
  <c r="P973" i="6" s="1"/>
  <c r="Q973" i="6" s="1"/>
  <c r="N973" i="6"/>
  <c r="M973" i="6"/>
  <c r="L973" i="6"/>
  <c r="P972" i="6"/>
  <c r="R972" i="6" s="1"/>
  <c r="O972" i="6"/>
  <c r="M972" i="6"/>
  <c r="N972" i="6" s="1"/>
  <c r="L972" i="6"/>
  <c r="O971" i="6"/>
  <c r="P971" i="6" s="1"/>
  <c r="M971" i="6"/>
  <c r="N971" i="6" s="1"/>
  <c r="L971" i="6"/>
  <c r="O970" i="6"/>
  <c r="N970" i="6"/>
  <c r="M970" i="6"/>
  <c r="L970" i="6"/>
  <c r="O969" i="6"/>
  <c r="M969" i="6"/>
  <c r="N969" i="6" s="1"/>
  <c r="L969" i="6"/>
  <c r="O968" i="6"/>
  <c r="N968" i="6"/>
  <c r="M968" i="6"/>
  <c r="L968" i="6"/>
  <c r="O967" i="6"/>
  <c r="M967" i="6"/>
  <c r="N967" i="6" s="1"/>
  <c r="L967" i="6"/>
  <c r="O966" i="6"/>
  <c r="P966" i="6" s="1"/>
  <c r="R966" i="6" s="1"/>
  <c r="M966" i="6"/>
  <c r="N966" i="6" s="1"/>
  <c r="L966" i="6"/>
  <c r="O965" i="6"/>
  <c r="P965" i="6" s="1"/>
  <c r="R965" i="6" s="1"/>
  <c r="M965" i="6"/>
  <c r="N965" i="6" s="1"/>
  <c r="L965" i="6"/>
  <c r="R964" i="6"/>
  <c r="O964" i="6"/>
  <c r="P964" i="6" s="1"/>
  <c r="M964" i="6"/>
  <c r="N964" i="6" s="1"/>
  <c r="L964" i="6"/>
  <c r="P963" i="6"/>
  <c r="O963" i="6"/>
  <c r="N963" i="6"/>
  <c r="M963" i="6"/>
  <c r="L963" i="6"/>
  <c r="O962" i="6"/>
  <c r="P962" i="6" s="1"/>
  <c r="N962" i="6"/>
  <c r="M962" i="6"/>
  <c r="L962" i="6"/>
  <c r="O961" i="6"/>
  <c r="P961" i="6" s="1"/>
  <c r="R961" i="6" s="1"/>
  <c r="M961" i="6"/>
  <c r="N961" i="6" s="1"/>
  <c r="L961" i="6"/>
  <c r="P960" i="6"/>
  <c r="O960" i="6"/>
  <c r="N960" i="6"/>
  <c r="M960" i="6"/>
  <c r="L960" i="6"/>
  <c r="O959" i="6"/>
  <c r="P959" i="6" s="1"/>
  <c r="M959" i="6"/>
  <c r="N959" i="6" s="1"/>
  <c r="L959" i="6"/>
  <c r="O958" i="6"/>
  <c r="M958" i="6"/>
  <c r="N958" i="6" s="1"/>
  <c r="L958" i="6"/>
  <c r="O957" i="6"/>
  <c r="N957" i="6"/>
  <c r="M957" i="6"/>
  <c r="L957" i="6"/>
  <c r="O956" i="6"/>
  <c r="M956" i="6"/>
  <c r="N956" i="6" s="1"/>
  <c r="L956" i="6"/>
  <c r="O955" i="6"/>
  <c r="M955" i="6"/>
  <c r="N955" i="6" s="1"/>
  <c r="L955" i="6"/>
  <c r="O954" i="6"/>
  <c r="M954" i="6"/>
  <c r="N954" i="6" s="1"/>
  <c r="L954" i="6"/>
  <c r="O953" i="6"/>
  <c r="M953" i="6"/>
  <c r="N953" i="6" s="1"/>
  <c r="L953" i="6"/>
  <c r="O952" i="6"/>
  <c r="M952" i="6"/>
  <c r="N952" i="6" s="1"/>
  <c r="L952" i="6"/>
  <c r="O951" i="6"/>
  <c r="M951" i="6"/>
  <c r="N951" i="6" s="1"/>
  <c r="L951" i="6"/>
  <c r="P950" i="6"/>
  <c r="O950" i="6"/>
  <c r="N950" i="6"/>
  <c r="M950" i="6"/>
  <c r="L950" i="6"/>
  <c r="O949" i="6"/>
  <c r="N949" i="6"/>
  <c r="M949" i="6"/>
  <c r="L949" i="6"/>
  <c r="O948" i="6"/>
  <c r="N948" i="6"/>
  <c r="M948" i="6"/>
  <c r="L948" i="6"/>
  <c r="O947" i="6"/>
  <c r="N947" i="6"/>
  <c r="M947" i="6"/>
  <c r="L947" i="6"/>
  <c r="O946" i="6"/>
  <c r="N946" i="6"/>
  <c r="M946" i="6"/>
  <c r="L946" i="6"/>
  <c r="O945" i="6"/>
  <c r="N945" i="6"/>
  <c r="M945" i="6"/>
  <c r="L945" i="6"/>
  <c r="O944" i="6"/>
  <c r="P944" i="6" s="1"/>
  <c r="M944" i="6"/>
  <c r="N944" i="6" s="1"/>
  <c r="L944" i="6"/>
  <c r="O943" i="6"/>
  <c r="P943" i="6" s="1"/>
  <c r="R943" i="6" s="1"/>
  <c r="M943" i="6"/>
  <c r="N943" i="6" s="1"/>
  <c r="L943" i="6"/>
  <c r="O942" i="6"/>
  <c r="N942" i="6"/>
  <c r="M942" i="6"/>
  <c r="L942" i="6"/>
  <c r="O941" i="6"/>
  <c r="M941" i="6"/>
  <c r="N941" i="6" s="1"/>
  <c r="L941" i="6"/>
  <c r="O940" i="6"/>
  <c r="M940" i="6"/>
  <c r="N940" i="6" s="1"/>
  <c r="L940" i="6"/>
  <c r="O939" i="6"/>
  <c r="M939" i="6"/>
  <c r="N939" i="6" s="1"/>
  <c r="L939" i="6"/>
  <c r="O938" i="6"/>
  <c r="N938" i="6"/>
  <c r="M938" i="6"/>
  <c r="L938" i="6"/>
  <c r="O937" i="6"/>
  <c r="M937" i="6"/>
  <c r="N937" i="6" s="1"/>
  <c r="L937" i="6"/>
  <c r="O936" i="6"/>
  <c r="P936" i="6" s="1"/>
  <c r="N936" i="6"/>
  <c r="M936" i="6"/>
  <c r="L936" i="6"/>
  <c r="O935" i="6"/>
  <c r="M935" i="6"/>
  <c r="N935" i="6" s="1"/>
  <c r="L935" i="6"/>
  <c r="O934" i="6"/>
  <c r="N934" i="6"/>
  <c r="M934" i="6"/>
  <c r="L934" i="6"/>
  <c r="O933" i="6"/>
  <c r="M933" i="6"/>
  <c r="N933" i="6" s="1"/>
  <c r="L933" i="6"/>
  <c r="P932" i="6"/>
  <c r="O932" i="6"/>
  <c r="M932" i="6"/>
  <c r="N932" i="6" s="1"/>
  <c r="L932" i="6"/>
  <c r="O931" i="6"/>
  <c r="N931" i="6"/>
  <c r="M931" i="6"/>
  <c r="L931" i="6"/>
  <c r="R930" i="6"/>
  <c r="O930" i="6"/>
  <c r="P930" i="6" s="1"/>
  <c r="M930" i="6"/>
  <c r="N930" i="6" s="1"/>
  <c r="L930" i="6"/>
  <c r="P929" i="6"/>
  <c r="O929" i="6"/>
  <c r="N929" i="6"/>
  <c r="M929" i="6"/>
  <c r="L929" i="6"/>
  <c r="O928" i="6"/>
  <c r="M928" i="6"/>
  <c r="N928" i="6" s="1"/>
  <c r="L928" i="6"/>
  <c r="R927" i="6"/>
  <c r="P927" i="6"/>
  <c r="O927" i="6"/>
  <c r="N927" i="6"/>
  <c r="M927" i="6"/>
  <c r="L927" i="6"/>
  <c r="O926" i="6"/>
  <c r="M926" i="6"/>
  <c r="N926" i="6" s="1"/>
  <c r="L926" i="6"/>
  <c r="O925" i="6"/>
  <c r="N925" i="6"/>
  <c r="M925" i="6"/>
  <c r="L925" i="6"/>
  <c r="O924" i="6"/>
  <c r="M924" i="6"/>
  <c r="N924" i="6" s="1"/>
  <c r="L924" i="6"/>
  <c r="O923" i="6"/>
  <c r="N923" i="6"/>
  <c r="M923" i="6"/>
  <c r="L923" i="6"/>
  <c r="O922" i="6"/>
  <c r="M922" i="6"/>
  <c r="N922" i="6" s="1"/>
  <c r="L922" i="6"/>
  <c r="R921" i="6"/>
  <c r="P921" i="6"/>
  <c r="O921" i="6"/>
  <c r="M921" i="6"/>
  <c r="N921" i="6" s="1"/>
  <c r="L921" i="6"/>
  <c r="R920" i="6"/>
  <c r="P920" i="6"/>
  <c r="O920" i="6"/>
  <c r="N920" i="6"/>
  <c r="M920" i="6"/>
  <c r="L920" i="6"/>
  <c r="O919" i="6"/>
  <c r="P919" i="6" s="1"/>
  <c r="M919" i="6"/>
  <c r="N919" i="6" s="1"/>
  <c r="L919" i="6"/>
  <c r="P918" i="6"/>
  <c r="O918" i="6"/>
  <c r="M918" i="6"/>
  <c r="N918" i="6" s="1"/>
  <c r="L918" i="6"/>
  <c r="O917" i="6"/>
  <c r="N917" i="6"/>
  <c r="M917" i="6"/>
  <c r="L917" i="6"/>
  <c r="O916" i="6"/>
  <c r="M916" i="6"/>
  <c r="N916" i="6" s="1"/>
  <c r="L916" i="6"/>
  <c r="O915" i="6"/>
  <c r="N915" i="6"/>
  <c r="M915" i="6"/>
  <c r="L915" i="6"/>
  <c r="O914" i="6"/>
  <c r="M914" i="6"/>
  <c r="N914" i="6" s="1"/>
  <c r="L914" i="6"/>
  <c r="O913" i="6"/>
  <c r="N913" i="6"/>
  <c r="M913" i="6"/>
  <c r="L913" i="6"/>
  <c r="O912" i="6"/>
  <c r="M912" i="6"/>
  <c r="N912" i="6" s="1"/>
  <c r="L912" i="6"/>
  <c r="R911" i="6"/>
  <c r="Q911" i="6"/>
  <c r="O911" i="6"/>
  <c r="P911" i="6" s="1"/>
  <c r="M911" i="6"/>
  <c r="N911" i="6" s="1"/>
  <c r="L911" i="6"/>
  <c r="P910" i="6"/>
  <c r="O910" i="6"/>
  <c r="N910" i="6"/>
  <c r="M910" i="6"/>
  <c r="L910" i="6"/>
  <c r="O909" i="6"/>
  <c r="P909" i="6" s="1"/>
  <c r="N909" i="6"/>
  <c r="M909" i="6"/>
  <c r="L909" i="6"/>
  <c r="P908" i="6"/>
  <c r="O908" i="6"/>
  <c r="N908" i="6"/>
  <c r="M908" i="6"/>
  <c r="L908" i="6"/>
  <c r="O907" i="6"/>
  <c r="P907" i="6" s="1"/>
  <c r="R907" i="6" s="1"/>
  <c r="N907" i="6"/>
  <c r="M907" i="6"/>
  <c r="L907" i="6"/>
  <c r="O906" i="6"/>
  <c r="M906" i="6"/>
  <c r="N906" i="6" s="1"/>
  <c r="L906" i="6"/>
  <c r="O905" i="6"/>
  <c r="N905" i="6"/>
  <c r="M905" i="6"/>
  <c r="L905" i="6"/>
  <c r="O904" i="6"/>
  <c r="M904" i="6"/>
  <c r="N904" i="6" s="1"/>
  <c r="L904" i="6"/>
  <c r="O903" i="6"/>
  <c r="N903" i="6"/>
  <c r="M903" i="6"/>
  <c r="L903" i="6"/>
  <c r="O902" i="6"/>
  <c r="M902" i="6"/>
  <c r="N902" i="6" s="1"/>
  <c r="L902" i="6"/>
  <c r="Q901" i="6"/>
  <c r="O901" i="6"/>
  <c r="P901" i="6" s="1"/>
  <c r="R901" i="6" s="1"/>
  <c r="M901" i="6"/>
  <c r="N901" i="6" s="1"/>
  <c r="L901" i="6"/>
  <c r="P900" i="6"/>
  <c r="O900" i="6"/>
  <c r="N900" i="6"/>
  <c r="M900" i="6"/>
  <c r="L900" i="6"/>
  <c r="O899" i="6"/>
  <c r="P899" i="6" s="1"/>
  <c r="R899" i="6" s="1"/>
  <c r="N899" i="6"/>
  <c r="M899" i="6"/>
  <c r="L899" i="6"/>
  <c r="P898" i="6"/>
  <c r="R898" i="6" s="1"/>
  <c r="O898" i="6"/>
  <c r="M898" i="6"/>
  <c r="N898" i="6" s="1"/>
  <c r="L898" i="6"/>
  <c r="P897" i="6"/>
  <c r="R897" i="6" s="1"/>
  <c r="O897" i="6"/>
  <c r="N897" i="6"/>
  <c r="M897" i="6"/>
  <c r="L897" i="6"/>
  <c r="P896" i="6"/>
  <c r="R896" i="6" s="1"/>
  <c r="O896" i="6"/>
  <c r="N896" i="6"/>
  <c r="M896" i="6"/>
  <c r="L896" i="6"/>
  <c r="O895" i="6"/>
  <c r="P895" i="6" s="1"/>
  <c r="R895" i="6" s="1"/>
  <c r="N895" i="6"/>
  <c r="M895" i="6"/>
  <c r="L895" i="6"/>
  <c r="P894" i="6"/>
  <c r="R894" i="6" s="1"/>
  <c r="O894" i="6"/>
  <c r="M894" i="6"/>
  <c r="N894" i="6" s="1"/>
  <c r="L894" i="6"/>
  <c r="P893" i="6"/>
  <c r="R893" i="6" s="1"/>
  <c r="O893" i="6"/>
  <c r="N893" i="6"/>
  <c r="M893" i="6"/>
  <c r="L893" i="6"/>
  <c r="R892" i="6"/>
  <c r="P892" i="6"/>
  <c r="O892" i="6"/>
  <c r="N892" i="6"/>
  <c r="M892" i="6"/>
  <c r="L892" i="6"/>
  <c r="O891" i="6"/>
  <c r="N891" i="6"/>
  <c r="M891" i="6"/>
  <c r="L891" i="6"/>
  <c r="O890" i="6"/>
  <c r="N890" i="6"/>
  <c r="M890" i="6"/>
  <c r="L890" i="6"/>
  <c r="O889" i="6"/>
  <c r="N889" i="6"/>
  <c r="M889" i="6"/>
  <c r="L889" i="6"/>
  <c r="O888" i="6"/>
  <c r="P888" i="6" s="1"/>
  <c r="M888" i="6"/>
  <c r="N888" i="6" s="1"/>
  <c r="L888" i="6"/>
  <c r="P887" i="6"/>
  <c r="R887" i="6" s="1"/>
  <c r="O887" i="6"/>
  <c r="N887" i="6"/>
  <c r="M887" i="6"/>
  <c r="L887" i="6"/>
  <c r="O886" i="6"/>
  <c r="M886" i="6"/>
  <c r="N886" i="6" s="1"/>
  <c r="L886" i="6"/>
  <c r="R885" i="6"/>
  <c r="P885" i="6"/>
  <c r="O885" i="6"/>
  <c r="M885" i="6"/>
  <c r="N885" i="6" s="1"/>
  <c r="L885" i="6"/>
  <c r="O884" i="6"/>
  <c r="P884" i="6" s="1"/>
  <c r="M884" i="6"/>
  <c r="N884" i="6" s="1"/>
  <c r="L884" i="6"/>
  <c r="O883" i="6"/>
  <c r="N883" i="6"/>
  <c r="M883" i="6"/>
  <c r="L883" i="6"/>
  <c r="O882" i="6"/>
  <c r="M882" i="6"/>
  <c r="N882" i="6" s="1"/>
  <c r="L882" i="6"/>
  <c r="O881" i="6"/>
  <c r="N881" i="6"/>
  <c r="M881" i="6"/>
  <c r="L881" i="6"/>
  <c r="O880" i="6"/>
  <c r="M880" i="6"/>
  <c r="N880" i="6" s="1"/>
  <c r="L880" i="6"/>
  <c r="O879" i="6"/>
  <c r="N879" i="6"/>
  <c r="M879" i="6"/>
  <c r="L879" i="6"/>
  <c r="O878" i="6"/>
  <c r="P878" i="6" s="1"/>
  <c r="R878" i="6" s="1"/>
  <c r="N878" i="6"/>
  <c r="M878" i="6"/>
  <c r="L878" i="6"/>
  <c r="O877" i="6"/>
  <c r="P877" i="6" s="1"/>
  <c r="M877" i="6"/>
  <c r="N877" i="6" s="1"/>
  <c r="L877" i="6"/>
  <c r="P876" i="6"/>
  <c r="O876" i="6"/>
  <c r="N876" i="6"/>
  <c r="M876" i="6"/>
  <c r="L876" i="6"/>
  <c r="O875" i="6"/>
  <c r="N875" i="6"/>
  <c r="M875" i="6"/>
  <c r="L875" i="6"/>
  <c r="O874" i="6"/>
  <c r="N874" i="6"/>
  <c r="M874" i="6"/>
  <c r="L874" i="6"/>
  <c r="O873" i="6"/>
  <c r="N873" i="6"/>
  <c r="M873" i="6"/>
  <c r="L873" i="6"/>
  <c r="O872" i="6"/>
  <c r="N872" i="6"/>
  <c r="M872" i="6"/>
  <c r="L872" i="6"/>
  <c r="O871" i="6"/>
  <c r="P871" i="6" s="1"/>
  <c r="M871" i="6"/>
  <c r="N871" i="6" s="1"/>
  <c r="L871" i="6"/>
  <c r="R870" i="6"/>
  <c r="O870" i="6"/>
  <c r="P870" i="6" s="1"/>
  <c r="N870" i="6"/>
  <c r="M870" i="6"/>
  <c r="L870" i="6"/>
  <c r="P869" i="6"/>
  <c r="R869" i="6" s="1"/>
  <c r="O869" i="6"/>
  <c r="M869" i="6"/>
  <c r="N869" i="6" s="1"/>
  <c r="L869" i="6"/>
  <c r="P868" i="6"/>
  <c r="O868" i="6"/>
  <c r="N868" i="6"/>
  <c r="M868" i="6"/>
  <c r="L868" i="6"/>
  <c r="Q867" i="6"/>
  <c r="P867" i="6"/>
  <c r="R867" i="6" s="1"/>
  <c r="O867" i="6"/>
  <c r="N867" i="6"/>
  <c r="M867" i="6"/>
  <c r="L867" i="6"/>
  <c r="P866" i="6"/>
  <c r="O866" i="6"/>
  <c r="N866" i="6"/>
  <c r="M866" i="6"/>
  <c r="L866" i="6"/>
  <c r="O865" i="6"/>
  <c r="P865" i="6" s="1"/>
  <c r="M865" i="6"/>
  <c r="N865" i="6" s="1"/>
  <c r="L865" i="6"/>
  <c r="O864" i="6"/>
  <c r="P864" i="6" s="1"/>
  <c r="N864" i="6"/>
  <c r="M864" i="6"/>
  <c r="L864" i="6"/>
  <c r="R863" i="6"/>
  <c r="P863" i="6"/>
  <c r="O863" i="6"/>
  <c r="M863" i="6"/>
  <c r="N863" i="6" s="1"/>
  <c r="L863" i="6"/>
  <c r="O862" i="6"/>
  <c r="P862" i="6" s="1"/>
  <c r="M862" i="6"/>
  <c r="N862" i="6" s="1"/>
  <c r="L862" i="6"/>
  <c r="O861" i="6"/>
  <c r="P861" i="6" s="1"/>
  <c r="R861" i="6" s="1"/>
  <c r="M861" i="6"/>
  <c r="N861" i="6" s="1"/>
  <c r="L861" i="6"/>
  <c r="Q860" i="6"/>
  <c r="P860" i="6"/>
  <c r="R860" i="6" s="1"/>
  <c r="O860" i="6"/>
  <c r="N860" i="6"/>
  <c r="M860" i="6"/>
  <c r="L860" i="6"/>
  <c r="P859" i="6"/>
  <c r="O859" i="6"/>
  <c r="N859" i="6"/>
  <c r="M859" i="6"/>
  <c r="L859" i="6"/>
  <c r="O858" i="6"/>
  <c r="M858" i="6"/>
  <c r="N858" i="6" s="1"/>
  <c r="L858" i="6"/>
  <c r="P857" i="6"/>
  <c r="O857" i="6"/>
  <c r="N857" i="6"/>
  <c r="M857" i="6"/>
  <c r="L857" i="6"/>
  <c r="O856" i="6"/>
  <c r="P856" i="6" s="1"/>
  <c r="N856" i="6"/>
  <c r="M856" i="6"/>
  <c r="L856" i="6"/>
  <c r="O855" i="6"/>
  <c r="M855" i="6"/>
  <c r="N855" i="6" s="1"/>
  <c r="L855" i="6"/>
  <c r="O854" i="6"/>
  <c r="N854" i="6"/>
  <c r="M854" i="6"/>
  <c r="L854" i="6"/>
  <c r="O853" i="6"/>
  <c r="M853" i="6"/>
  <c r="N853" i="6" s="1"/>
  <c r="L853" i="6"/>
  <c r="O852" i="6"/>
  <c r="N852" i="6"/>
  <c r="M852" i="6"/>
  <c r="L852" i="6"/>
  <c r="P851" i="6"/>
  <c r="R851" i="6" s="1"/>
  <c r="O851" i="6"/>
  <c r="N851" i="6"/>
  <c r="M851" i="6"/>
  <c r="L851" i="6"/>
  <c r="O850" i="6"/>
  <c r="P850" i="6" s="1"/>
  <c r="M850" i="6"/>
  <c r="N850" i="6" s="1"/>
  <c r="L850" i="6"/>
  <c r="P849" i="6"/>
  <c r="O849" i="6"/>
  <c r="M849" i="6"/>
  <c r="N849" i="6" s="1"/>
  <c r="L849" i="6"/>
  <c r="O848" i="6"/>
  <c r="P848" i="6" s="1"/>
  <c r="N848" i="6"/>
  <c r="M848" i="6"/>
  <c r="L848" i="6"/>
  <c r="O847" i="6"/>
  <c r="M847" i="6"/>
  <c r="N847" i="6" s="1"/>
  <c r="L847" i="6"/>
  <c r="P846" i="6"/>
  <c r="O846" i="6"/>
  <c r="M846" i="6"/>
  <c r="N846" i="6" s="1"/>
  <c r="L846" i="6"/>
  <c r="O845" i="6"/>
  <c r="P845" i="6" s="1"/>
  <c r="M845" i="6"/>
  <c r="N845" i="6" s="1"/>
  <c r="L845" i="6"/>
  <c r="O844" i="6"/>
  <c r="P844" i="6" s="1"/>
  <c r="N844" i="6"/>
  <c r="M844" i="6"/>
  <c r="L844" i="6"/>
  <c r="O843" i="6"/>
  <c r="N843" i="6"/>
  <c r="M843" i="6"/>
  <c r="L843" i="6"/>
  <c r="O842" i="6"/>
  <c r="N842" i="6"/>
  <c r="M842" i="6"/>
  <c r="L842" i="6"/>
  <c r="P841" i="6"/>
  <c r="R841" i="6" s="1"/>
  <c r="O841" i="6"/>
  <c r="M841" i="6"/>
  <c r="N841" i="6" s="1"/>
  <c r="L841" i="6"/>
  <c r="P840" i="6"/>
  <c r="R840" i="6" s="1"/>
  <c r="O840" i="6"/>
  <c r="N840" i="6"/>
  <c r="M840" i="6"/>
  <c r="L840" i="6"/>
  <c r="O839" i="6"/>
  <c r="P839" i="6" s="1"/>
  <c r="M839" i="6"/>
  <c r="N839" i="6" s="1"/>
  <c r="L839" i="6"/>
  <c r="P838" i="6"/>
  <c r="O838" i="6"/>
  <c r="M838" i="6"/>
  <c r="N838" i="6" s="1"/>
  <c r="L838" i="6"/>
  <c r="O837" i="6"/>
  <c r="P837" i="6" s="1"/>
  <c r="N837" i="6"/>
  <c r="M837" i="6"/>
  <c r="L837" i="6"/>
  <c r="P836" i="6"/>
  <c r="O836" i="6"/>
  <c r="N836" i="6"/>
  <c r="M836" i="6"/>
  <c r="L836" i="6"/>
  <c r="O835" i="6"/>
  <c r="M835" i="6"/>
  <c r="N835" i="6" s="1"/>
  <c r="L835" i="6"/>
  <c r="O834" i="6"/>
  <c r="P834" i="6" s="1"/>
  <c r="M834" i="6"/>
  <c r="N834" i="6" s="1"/>
  <c r="L834" i="6"/>
  <c r="O833" i="6"/>
  <c r="P833" i="6" s="1"/>
  <c r="N833" i="6"/>
  <c r="M833" i="6"/>
  <c r="L833" i="6"/>
  <c r="O832" i="6"/>
  <c r="N832" i="6"/>
  <c r="M832" i="6"/>
  <c r="L832" i="6"/>
  <c r="O831" i="6"/>
  <c r="N831" i="6"/>
  <c r="M831" i="6"/>
  <c r="L831" i="6"/>
  <c r="O830" i="6"/>
  <c r="P830" i="6" s="1"/>
  <c r="N830" i="6"/>
  <c r="M830" i="6"/>
  <c r="L830" i="6"/>
  <c r="O829" i="6"/>
  <c r="M829" i="6"/>
  <c r="N829" i="6" s="1"/>
  <c r="L829" i="6"/>
  <c r="P828" i="6"/>
  <c r="O828" i="6"/>
  <c r="M828" i="6"/>
  <c r="N828" i="6" s="1"/>
  <c r="L828" i="6"/>
  <c r="O827" i="6"/>
  <c r="P827" i="6" s="1"/>
  <c r="M827" i="6"/>
  <c r="N827" i="6" s="1"/>
  <c r="L827" i="6"/>
  <c r="O826" i="6"/>
  <c r="P826" i="6" s="1"/>
  <c r="N826" i="6"/>
  <c r="M826" i="6"/>
  <c r="L826" i="6"/>
  <c r="O825" i="6"/>
  <c r="N825" i="6"/>
  <c r="M825" i="6"/>
  <c r="L825" i="6"/>
  <c r="P824" i="6"/>
  <c r="R824" i="6" s="1"/>
  <c r="O824" i="6"/>
  <c r="N824" i="6"/>
  <c r="M824" i="6"/>
  <c r="L824" i="6"/>
  <c r="O823" i="6"/>
  <c r="P823" i="6" s="1"/>
  <c r="R823" i="6" s="1"/>
  <c r="N823" i="6"/>
  <c r="M823" i="6"/>
  <c r="L823" i="6"/>
  <c r="Q822" i="6"/>
  <c r="P822" i="6"/>
  <c r="R822" i="6" s="1"/>
  <c r="O822" i="6"/>
  <c r="M822" i="6"/>
  <c r="N822" i="6" s="1"/>
  <c r="L822" i="6"/>
  <c r="P821" i="6"/>
  <c r="O821" i="6"/>
  <c r="N821" i="6"/>
  <c r="M821" i="6"/>
  <c r="L821" i="6"/>
  <c r="O820" i="6"/>
  <c r="N820" i="6"/>
  <c r="M820" i="6"/>
  <c r="L820" i="6"/>
  <c r="O819" i="6"/>
  <c r="N819" i="6"/>
  <c r="M819" i="6"/>
  <c r="L819" i="6"/>
  <c r="O818" i="6"/>
  <c r="N818" i="6"/>
  <c r="M818" i="6"/>
  <c r="L818" i="6"/>
  <c r="O817" i="6"/>
  <c r="N817" i="6"/>
  <c r="M817" i="6"/>
  <c r="L817" i="6"/>
  <c r="P816" i="6"/>
  <c r="R816" i="6" s="1"/>
  <c r="O816" i="6"/>
  <c r="N816" i="6"/>
  <c r="M816" i="6"/>
  <c r="L816" i="6"/>
  <c r="O815" i="6"/>
  <c r="P815" i="6" s="1"/>
  <c r="R815" i="6" s="1"/>
  <c r="N815" i="6"/>
  <c r="M815" i="6"/>
  <c r="L815" i="6"/>
  <c r="O814" i="6"/>
  <c r="N814" i="6"/>
  <c r="M814" i="6"/>
  <c r="L814" i="6"/>
  <c r="P813" i="6"/>
  <c r="R813" i="6" s="1"/>
  <c r="O813" i="6"/>
  <c r="N813" i="6"/>
  <c r="M813" i="6"/>
  <c r="L813" i="6"/>
  <c r="P812" i="6"/>
  <c r="O812" i="6"/>
  <c r="M812" i="6"/>
  <c r="N812" i="6" s="1"/>
  <c r="L812" i="6"/>
  <c r="O811" i="6"/>
  <c r="P811" i="6" s="1"/>
  <c r="R811" i="6" s="1"/>
  <c r="N811" i="6"/>
  <c r="M811" i="6"/>
  <c r="L811" i="6"/>
  <c r="O810" i="6"/>
  <c r="M810" i="6"/>
  <c r="N810" i="6" s="1"/>
  <c r="L810" i="6"/>
  <c r="R809" i="6"/>
  <c r="P809" i="6"/>
  <c r="O809" i="6"/>
  <c r="M809" i="6"/>
  <c r="N809" i="6" s="1"/>
  <c r="L809" i="6"/>
  <c r="O808" i="6"/>
  <c r="P808" i="6" s="1"/>
  <c r="R808" i="6" s="1"/>
  <c r="N808" i="6"/>
  <c r="M808" i="6"/>
  <c r="L808" i="6"/>
  <c r="O807" i="6"/>
  <c r="M807" i="6"/>
  <c r="N807" i="6" s="1"/>
  <c r="L807" i="6"/>
  <c r="R806" i="6"/>
  <c r="P806" i="6"/>
  <c r="O806" i="6"/>
  <c r="M806" i="6"/>
  <c r="N806" i="6" s="1"/>
  <c r="L806" i="6"/>
  <c r="P805" i="6"/>
  <c r="O805" i="6"/>
  <c r="M805" i="6"/>
  <c r="N805" i="6" s="1"/>
  <c r="L805" i="6"/>
  <c r="O804" i="6"/>
  <c r="P804" i="6" s="1"/>
  <c r="N804" i="6"/>
  <c r="M804" i="6"/>
  <c r="L804" i="6"/>
  <c r="P803" i="6"/>
  <c r="O803" i="6"/>
  <c r="N803" i="6"/>
  <c r="M803" i="6"/>
  <c r="L803" i="6"/>
  <c r="O802" i="6"/>
  <c r="M802" i="6"/>
  <c r="N802" i="6" s="1"/>
  <c r="L802" i="6"/>
  <c r="O801" i="6"/>
  <c r="N801" i="6"/>
  <c r="M801" i="6"/>
  <c r="L801" i="6"/>
  <c r="O800" i="6"/>
  <c r="P800" i="6" s="1"/>
  <c r="M800" i="6"/>
  <c r="N800" i="6" s="1"/>
  <c r="L800" i="6"/>
  <c r="R799" i="6"/>
  <c r="P799" i="6"/>
  <c r="O799" i="6"/>
  <c r="M799" i="6"/>
  <c r="N799" i="6" s="1"/>
  <c r="L799" i="6"/>
  <c r="O798" i="6"/>
  <c r="M798" i="6"/>
  <c r="N798" i="6" s="1"/>
  <c r="L798" i="6"/>
  <c r="O797" i="6"/>
  <c r="M797" i="6"/>
  <c r="N797" i="6" s="1"/>
  <c r="L797" i="6"/>
  <c r="O796" i="6"/>
  <c r="M796" i="6"/>
  <c r="N796" i="6" s="1"/>
  <c r="L796" i="6"/>
  <c r="O795" i="6"/>
  <c r="M795" i="6"/>
  <c r="N795" i="6" s="1"/>
  <c r="L795" i="6"/>
  <c r="P794" i="6"/>
  <c r="O794" i="6"/>
  <c r="N794" i="6"/>
  <c r="M794" i="6"/>
  <c r="L794" i="6"/>
  <c r="O793" i="6"/>
  <c r="N793" i="6"/>
  <c r="M793" i="6"/>
  <c r="L793" i="6"/>
  <c r="O792" i="6"/>
  <c r="N792" i="6"/>
  <c r="M792" i="6"/>
  <c r="L792" i="6"/>
  <c r="O791" i="6"/>
  <c r="N791" i="6"/>
  <c r="M791" i="6"/>
  <c r="L791" i="6"/>
  <c r="O790" i="6"/>
  <c r="N790" i="6"/>
  <c r="M790" i="6"/>
  <c r="L790" i="6"/>
  <c r="P789" i="6"/>
  <c r="R789" i="6" s="1"/>
  <c r="O789" i="6"/>
  <c r="N789" i="6"/>
  <c r="M789" i="6"/>
  <c r="L789" i="6"/>
  <c r="O788" i="6"/>
  <c r="P788" i="6" s="1"/>
  <c r="R788" i="6" s="1"/>
  <c r="N788" i="6"/>
  <c r="M788" i="6"/>
  <c r="L788" i="6"/>
  <c r="Q787" i="6"/>
  <c r="P787" i="6"/>
  <c r="R787" i="6" s="1"/>
  <c r="O787" i="6"/>
  <c r="M787" i="6"/>
  <c r="N787" i="6" s="1"/>
  <c r="L787" i="6"/>
  <c r="O786" i="6"/>
  <c r="P786" i="6" s="1"/>
  <c r="R786" i="6" s="1"/>
  <c r="N786" i="6"/>
  <c r="M786" i="6"/>
  <c r="L786" i="6"/>
  <c r="O785" i="6"/>
  <c r="M785" i="6"/>
  <c r="N785" i="6" s="1"/>
  <c r="L785" i="6"/>
  <c r="P784" i="6"/>
  <c r="O784" i="6"/>
  <c r="M784" i="6"/>
  <c r="N784" i="6" s="1"/>
  <c r="L784" i="6"/>
  <c r="O783" i="6"/>
  <c r="P783" i="6" s="1"/>
  <c r="M783" i="6"/>
  <c r="N783" i="6" s="1"/>
  <c r="L783" i="6"/>
  <c r="O782" i="6"/>
  <c r="M782" i="6"/>
  <c r="N782" i="6" s="1"/>
  <c r="L782" i="6"/>
  <c r="O781" i="6"/>
  <c r="M781" i="6"/>
  <c r="N781" i="6" s="1"/>
  <c r="L781" i="6"/>
  <c r="O780" i="6"/>
  <c r="M780" i="6"/>
  <c r="N780" i="6" s="1"/>
  <c r="L780" i="6"/>
  <c r="P779" i="6"/>
  <c r="O779" i="6"/>
  <c r="M779" i="6"/>
  <c r="N779" i="6" s="1"/>
  <c r="L779" i="6"/>
  <c r="P778" i="6"/>
  <c r="R778" i="6" s="1"/>
  <c r="O778" i="6"/>
  <c r="N778" i="6"/>
  <c r="M778" i="6"/>
  <c r="L778" i="6"/>
  <c r="O777" i="6"/>
  <c r="P777" i="6" s="1"/>
  <c r="M777" i="6"/>
  <c r="N777" i="6" s="1"/>
  <c r="L777" i="6"/>
  <c r="O776" i="6"/>
  <c r="N776" i="6"/>
  <c r="M776" i="6"/>
  <c r="L776" i="6"/>
  <c r="O775" i="6"/>
  <c r="M775" i="6"/>
  <c r="N775" i="6" s="1"/>
  <c r="L775" i="6"/>
  <c r="O774" i="6"/>
  <c r="N774" i="6"/>
  <c r="M774" i="6"/>
  <c r="L774" i="6"/>
  <c r="O773" i="6"/>
  <c r="P773" i="6" s="1"/>
  <c r="R773" i="6" s="1"/>
  <c r="M773" i="6"/>
  <c r="N773" i="6" s="1"/>
  <c r="L773" i="6"/>
  <c r="O772" i="6"/>
  <c r="M772" i="6"/>
  <c r="N772" i="6" s="1"/>
  <c r="L772" i="6"/>
  <c r="O771" i="6"/>
  <c r="M771" i="6"/>
  <c r="N771" i="6" s="1"/>
  <c r="L771" i="6"/>
  <c r="O770" i="6"/>
  <c r="M770" i="6"/>
  <c r="N770" i="6" s="1"/>
  <c r="L770" i="6"/>
  <c r="P769" i="6"/>
  <c r="O769" i="6"/>
  <c r="N769" i="6"/>
  <c r="M769" i="6"/>
  <c r="L769" i="6"/>
  <c r="O768" i="6"/>
  <c r="P768" i="6" s="1"/>
  <c r="M768" i="6"/>
  <c r="N768" i="6" s="1"/>
  <c r="L768" i="6"/>
  <c r="P767" i="6"/>
  <c r="O767" i="6"/>
  <c r="M767" i="6"/>
  <c r="N767" i="6" s="1"/>
  <c r="L767" i="6"/>
  <c r="P766" i="6"/>
  <c r="R766" i="6" s="1"/>
  <c r="O766" i="6"/>
  <c r="N766" i="6"/>
  <c r="M766" i="6"/>
  <c r="L766" i="6"/>
  <c r="O765" i="6"/>
  <c r="N765" i="6"/>
  <c r="M765" i="6"/>
  <c r="L765" i="6"/>
  <c r="O764" i="6"/>
  <c r="P764" i="6" s="1"/>
  <c r="N764" i="6"/>
  <c r="M764" i="6"/>
  <c r="L764" i="6"/>
  <c r="P763" i="6"/>
  <c r="O763" i="6"/>
  <c r="N763" i="6"/>
  <c r="M763" i="6"/>
  <c r="L763" i="6"/>
  <c r="O762" i="6"/>
  <c r="P762" i="6" s="1"/>
  <c r="M762" i="6"/>
  <c r="N762" i="6" s="1"/>
  <c r="L762" i="6"/>
  <c r="O761" i="6"/>
  <c r="N761" i="6"/>
  <c r="M761" i="6"/>
  <c r="L761" i="6"/>
  <c r="O760" i="6"/>
  <c r="M760" i="6"/>
  <c r="N760" i="6" s="1"/>
  <c r="L760" i="6"/>
  <c r="O759" i="6"/>
  <c r="N759" i="6"/>
  <c r="M759" i="6"/>
  <c r="L759" i="6"/>
  <c r="P758" i="6"/>
  <c r="O758" i="6"/>
  <c r="N758" i="6"/>
  <c r="M758" i="6"/>
  <c r="L758" i="6"/>
  <c r="O757" i="6"/>
  <c r="M757" i="6"/>
  <c r="N757" i="6" s="1"/>
  <c r="L757" i="6"/>
  <c r="O756" i="6"/>
  <c r="N756" i="6"/>
  <c r="M756" i="6"/>
  <c r="L756" i="6"/>
  <c r="O755" i="6"/>
  <c r="M755" i="6"/>
  <c r="N755" i="6" s="1"/>
  <c r="L755" i="6"/>
  <c r="P754" i="6"/>
  <c r="R754" i="6" s="1"/>
  <c r="O754" i="6"/>
  <c r="N754" i="6"/>
  <c r="M754" i="6"/>
  <c r="L754" i="6"/>
  <c r="O753" i="6"/>
  <c r="P753" i="6" s="1"/>
  <c r="M753" i="6"/>
  <c r="N753" i="6" s="1"/>
  <c r="L753" i="6"/>
  <c r="R752" i="6"/>
  <c r="P752" i="6"/>
  <c r="O752" i="6"/>
  <c r="M752" i="6"/>
  <c r="N752" i="6" s="1"/>
  <c r="L752" i="6"/>
  <c r="P751" i="6"/>
  <c r="O751" i="6"/>
  <c r="N751" i="6"/>
  <c r="M751" i="6"/>
  <c r="L751" i="6"/>
  <c r="O750" i="6"/>
  <c r="P750" i="6" s="1"/>
  <c r="M750" i="6"/>
  <c r="N750" i="6" s="1"/>
  <c r="L750" i="6"/>
  <c r="O749" i="6"/>
  <c r="P749" i="6" s="1"/>
  <c r="N749" i="6"/>
  <c r="M749" i="6"/>
  <c r="L749" i="6"/>
  <c r="P748" i="6"/>
  <c r="R748" i="6" s="1"/>
  <c r="O748" i="6"/>
  <c r="M748" i="6"/>
  <c r="N748" i="6" s="1"/>
  <c r="L748" i="6"/>
  <c r="O747" i="6"/>
  <c r="N747" i="6"/>
  <c r="M747" i="6"/>
  <c r="L747" i="6"/>
  <c r="O746" i="6"/>
  <c r="P746" i="6" s="1"/>
  <c r="R746" i="6" s="1"/>
  <c r="N746" i="6"/>
  <c r="M746" i="6"/>
  <c r="L746" i="6"/>
  <c r="O745" i="6"/>
  <c r="N745" i="6"/>
  <c r="M745" i="6"/>
  <c r="L745" i="6"/>
  <c r="O744" i="6"/>
  <c r="P744" i="6" s="1"/>
  <c r="M744" i="6"/>
  <c r="N744" i="6" s="1"/>
  <c r="L744" i="6"/>
  <c r="O743" i="6"/>
  <c r="N743" i="6"/>
  <c r="M743" i="6"/>
  <c r="L743" i="6"/>
  <c r="P742" i="6"/>
  <c r="O742" i="6"/>
  <c r="N742" i="6"/>
  <c r="M742" i="6"/>
  <c r="L742" i="6"/>
  <c r="P741" i="6"/>
  <c r="O741" i="6"/>
  <c r="M741" i="6"/>
  <c r="N741" i="6" s="1"/>
  <c r="L741" i="6"/>
  <c r="O740" i="6"/>
  <c r="P740" i="6" s="1"/>
  <c r="R740" i="6" s="1"/>
  <c r="N740" i="6"/>
  <c r="M740" i="6"/>
  <c r="L740" i="6"/>
  <c r="O739" i="6"/>
  <c r="M739" i="6"/>
  <c r="N739" i="6" s="1"/>
  <c r="L739" i="6"/>
  <c r="O738" i="6"/>
  <c r="N738" i="6"/>
  <c r="M738" i="6"/>
  <c r="L738" i="6"/>
  <c r="O737" i="6"/>
  <c r="M737" i="6"/>
  <c r="N737" i="6" s="1"/>
  <c r="L737" i="6"/>
  <c r="R736" i="6"/>
  <c r="O736" i="6"/>
  <c r="P736" i="6" s="1"/>
  <c r="Q736" i="6" s="1"/>
  <c r="N736" i="6"/>
  <c r="M736" i="6"/>
  <c r="L736" i="6"/>
  <c r="Q735" i="6"/>
  <c r="P735" i="6"/>
  <c r="R735" i="6" s="1"/>
  <c r="O735" i="6"/>
  <c r="M735" i="6"/>
  <c r="N735" i="6" s="1"/>
  <c r="L735" i="6"/>
  <c r="P734" i="6"/>
  <c r="Q734" i="6" s="1"/>
  <c r="O734" i="6"/>
  <c r="M734" i="6"/>
  <c r="N734" i="6" s="1"/>
  <c r="L734" i="6"/>
  <c r="O733" i="6"/>
  <c r="N733" i="6"/>
  <c r="M733" i="6"/>
  <c r="L733" i="6"/>
  <c r="O732" i="6"/>
  <c r="P732" i="6" s="1"/>
  <c r="M732" i="6"/>
  <c r="N732" i="6" s="1"/>
  <c r="L732" i="6"/>
  <c r="O731" i="6"/>
  <c r="N731" i="6"/>
  <c r="M731" i="6"/>
  <c r="L731" i="6"/>
  <c r="O730" i="6"/>
  <c r="M730" i="6"/>
  <c r="N730" i="6" s="1"/>
  <c r="L730" i="6"/>
  <c r="O729" i="6"/>
  <c r="N729" i="6"/>
  <c r="M729" i="6"/>
  <c r="L729" i="6"/>
  <c r="O728" i="6"/>
  <c r="M728" i="6"/>
  <c r="N728" i="6" s="1"/>
  <c r="L728" i="6"/>
  <c r="O727" i="6"/>
  <c r="N727" i="6"/>
  <c r="M727" i="6"/>
  <c r="L727" i="6"/>
  <c r="P726" i="6"/>
  <c r="O726" i="6"/>
  <c r="N726" i="6"/>
  <c r="M726" i="6"/>
  <c r="L726" i="6"/>
  <c r="O725" i="6"/>
  <c r="P725" i="6" s="1"/>
  <c r="R725" i="6" s="1"/>
  <c r="N725" i="6"/>
  <c r="M725" i="6"/>
  <c r="L725" i="6"/>
  <c r="P724" i="6"/>
  <c r="R724" i="6" s="1"/>
  <c r="O724" i="6"/>
  <c r="M724" i="6"/>
  <c r="N724" i="6" s="1"/>
  <c r="L724" i="6"/>
  <c r="O723" i="6"/>
  <c r="P723" i="6" s="1"/>
  <c r="M723" i="6"/>
  <c r="N723" i="6" s="1"/>
  <c r="L723" i="6"/>
  <c r="O722" i="6"/>
  <c r="P722" i="6" s="1"/>
  <c r="R722" i="6" s="1"/>
  <c r="M722" i="6"/>
  <c r="N722" i="6" s="1"/>
  <c r="L722" i="6"/>
  <c r="P721" i="6"/>
  <c r="O721" i="6"/>
  <c r="M721" i="6"/>
  <c r="N721" i="6" s="1"/>
  <c r="L721" i="6"/>
  <c r="O720" i="6"/>
  <c r="N720" i="6"/>
  <c r="M720" i="6"/>
  <c r="L720" i="6"/>
  <c r="O719" i="6"/>
  <c r="M719" i="6"/>
  <c r="N719" i="6" s="1"/>
  <c r="L719" i="6"/>
  <c r="O718" i="6"/>
  <c r="N718" i="6"/>
  <c r="M718" i="6"/>
  <c r="L718" i="6"/>
  <c r="P717" i="6"/>
  <c r="O717" i="6"/>
  <c r="M717" i="6"/>
  <c r="N717" i="6" s="1"/>
  <c r="L717" i="6"/>
  <c r="R716" i="6"/>
  <c r="O716" i="6"/>
  <c r="P716" i="6" s="1"/>
  <c r="N716" i="6"/>
  <c r="M716" i="6"/>
  <c r="L716" i="6"/>
  <c r="O715" i="6"/>
  <c r="M715" i="6"/>
  <c r="N715" i="6" s="1"/>
  <c r="L715" i="6"/>
  <c r="O714" i="6"/>
  <c r="N714" i="6"/>
  <c r="M714" i="6"/>
  <c r="L714" i="6"/>
  <c r="O713" i="6"/>
  <c r="M713" i="6"/>
  <c r="N713" i="6" s="1"/>
  <c r="L713" i="6"/>
  <c r="O712" i="6"/>
  <c r="N712" i="6"/>
  <c r="M712" i="6"/>
  <c r="L712" i="6"/>
  <c r="P711" i="6"/>
  <c r="O711" i="6"/>
  <c r="N711" i="6"/>
  <c r="M711" i="6"/>
  <c r="L711" i="6"/>
  <c r="O710" i="6"/>
  <c r="M710" i="6"/>
  <c r="N710" i="6" s="1"/>
  <c r="L710" i="6"/>
  <c r="O709" i="6"/>
  <c r="N709" i="6"/>
  <c r="M709" i="6"/>
  <c r="L709" i="6"/>
  <c r="R708" i="6"/>
  <c r="O708" i="6"/>
  <c r="P708" i="6" s="1"/>
  <c r="Q708" i="6" s="1"/>
  <c r="M708" i="6"/>
  <c r="N708" i="6" s="1"/>
  <c r="L708" i="6"/>
  <c r="Q707" i="6"/>
  <c r="O707" i="6"/>
  <c r="P707" i="6" s="1"/>
  <c r="R707" i="6" s="1"/>
  <c r="N707" i="6"/>
  <c r="M707" i="6"/>
  <c r="L707" i="6"/>
  <c r="O706" i="6"/>
  <c r="N706" i="6"/>
  <c r="M706" i="6"/>
  <c r="L706" i="6"/>
  <c r="O705" i="6"/>
  <c r="N705" i="6"/>
  <c r="M705" i="6"/>
  <c r="L705" i="6"/>
  <c r="O704" i="6"/>
  <c r="N704" i="6"/>
  <c r="M704" i="6"/>
  <c r="L704" i="6"/>
  <c r="O703" i="6"/>
  <c r="P703" i="6" s="1"/>
  <c r="M703" i="6"/>
  <c r="N703" i="6" s="1"/>
  <c r="L703" i="6"/>
  <c r="O702" i="6"/>
  <c r="N702" i="6"/>
  <c r="M702" i="6"/>
  <c r="L702" i="6"/>
  <c r="O701" i="6"/>
  <c r="P701" i="6" s="1"/>
  <c r="R701" i="6" s="1"/>
  <c r="M701" i="6"/>
  <c r="N701" i="6" s="1"/>
  <c r="L701" i="6"/>
  <c r="O700" i="6"/>
  <c r="M700" i="6"/>
  <c r="N700" i="6" s="1"/>
  <c r="L700" i="6"/>
  <c r="O699" i="6"/>
  <c r="M699" i="6"/>
  <c r="N699" i="6" s="1"/>
  <c r="L699" i="6"/>
  <c r="P698" i="6"/>
  <c r="Q698" i="6" s="1"/>
  <c r="O698" i="6"/>
  <c r="N698" i="6"/>
  <c r="M698" i="6"/>
  <c r="L698" i="6"/>
  <c r="R697" i="6"/>
  <c r="O697" i="6"/>
  <c r="P697" i="6" s="1"/>
  <c r="Q697" i="6" s="1"/>
  <c r="M697" i="6"/>
  <c r="N697" i="6" s="1"/>
  <c r="L697" i="6"/>
  <c r="P696" i="6"/>
  <c r="R696" i="6" s="1"/>
  <c r="O696" i="6"/>
  <c r="M696" i="6"/>
  <c r="N696" i="6" s="1"/>
  <c r="L696" i="6"/>
  <c r="O695" i="6"/>
  <c r="M695" i="6"/>
  <c r="N695" i="6" s="1"/>
  <c r="L695" i="6"/>
  <c r="O694" i="6"/>
  <c r="M694" i="6"/>
  <c r="N694" i="6" s="1"/>
  <c r="L694" i="6"/>
  <c r="O693" i="6"/>
  <c r="M693" i="6"/>
  <c r="N693" i="6" s="1"/>
  <c r="L693" i="6"/>
  <c r="O692" i="6"/>
  <c r="P692" i="6" s="1"/>
  <c r="R692" i="6" s="1"/>
  <c r="M692" i="6"/>
  <c r="N692" i="6" s="1"/>
  <c r="L692" i="6"/>
  <c r="R691" i="6"/>
  <c r="P691" i="6"/>
  <c r="O691" i="6"/>
  <c r="M691" i="6"/>
  <c r="N691" i="6" s="1"/>
  <c r="L691" i="6"/>
  <c r="O690" i="6"/>
  <c r="M690" i="6"/>
  <c r="N690" i="6" s="1"/>
  <c r="L690" i="6"/>
  <c r="O689" i="6"/>
  <c r="M689" i="6"/>
  <c r="N689" i="6" s="1"/>
  <c r="L689" i="6"/>
  <c r="O688" i="6"/>
  <c r="P688" i="6" s="1"/>
  <c r="M688" i="6"/>
  <c r="N688" i="6" s="1"/>
  <c r="L688" i="6"/>
  <c r="P687" i="6"/>
  <c r="R687" i="6" s="1"/>
  <c r="O687" i="6"/>
  <c r="M687" i="6"/>
  <c r="N687" i="6" s="1"/>
  <c r="L687" i="6"/>
  <c r="O686" i="6"/>
  <c r="N686" i="6"/>
  <c r="M686" i="6"/>
  <c r="L686" i="6"/>
  <c r="O685" i="6"/>
  <c r="P685" i="6" s="1"/>
  <c r="N685" i="6"/>
  <c r="M685" i="6"/>
  <c r="L685" i="6"/>
  <c r="P684" i="6"/>
  <c r="O684" i="6"/>
  <c r="M684" i="6"/>
  <c r="N684" i="6" s="1"/>
  <c r="L684" i="6"/>
  <c r="O683" i="6"/>
  <c r="P683" i="6" s="1"/>
  <c r="M683" i="6"/>
  <c r="N683" i="6" s="1"/>
  <c r="L683" i="6"/>
  <c r="O682" i="6"/>
  <c r="M682" i="6"/>
  <c r="N682" i="6" s="1"/>
  <c r="L682" i="6"/>
  <c r="R681" i="6"/>
  <c r="O681" i="6"/>
  <c r="P681" i="6" s="1"/>
  <c r="N681" i="6"/>
  <c r="M681" i="6"/>
  <c r="L681" i="6"/>
  <c r="O680" i="6"/>
  <c r="M680" i="6"/>
  <c r="N680" i="6" s="1"/>
  <c r="L680" i="6"/>
  <c r="P679" i="6"/>
  <c r="O679" i="6"/>
  <c r="M679" i="6"/>
  <c r="N679" i="6" s="1"/>
  <c r="L679" i="6"/>
  <c r="O678" i="6"/>
  <c r="P678" i="6" s="1"/>
  <c r="M678" i="6"/>
  <c r="N678" i="6" s="1"/>
  <c r="L678" i="6"/>
  <c r="O677" i="6"/>
  <c r="P677" i="6" s="1"/>
  <c r="R677" i="6" s="1"/>
  <c r="M677" i="6"/>
  <c r="N677" i="6" s="1"/>
  <c r="L677" i="6"/>
  <c r="O676" i="6"/>
  <c r="P676" i="6" s="1"/>
  <c r="M676" i="6"/>
  <c r="N676" i="6" s="1"/>
  <c r="L676" i="6"/>
  <c r="O675" i="6"/>
  <c r="N675" i="6"/>
  <c r="M675" i="6"/>
  <c r="L675" i="6"/>
  <c r="O674" i="6"/>
  <c r="P674" i="6" s="1"/>
  <c r="R674" i="6" s="1"/>
  <c r="N674" i="6"/>
  <c r="M674" i="6"/>
  <c r="L674" i="6"/>
  <c r="O673" i="6"/>
  <c r="P673" i="6" s="1"/>
  <c r="N673" i="6"/>
  <c r="M673" i="6"/>
  <c r="L673" i="6"/>
  <c r="O672" i="6"/>
  <c r="M672" i="6"/>
  <c r="N672" i="6" s="1"/>
  <c r="L672" i="6"/>
  <c r="O671" i="6"/>
  <c r="N671" i="6"/>
  <c r="M671" i="6"/>
  <c r="L671" i="6"/>
  <c r="P670" i="6"/>
  <c r="O670" i="6"/>
  <c r="N670" i="6"/>
  <c r="M670" i="6"/>
  <c r="L670" i="6"/>
  <c r="P669" i="6"/>
  <c r="O669" i="6"/>
  <c r="M669" i="6"/>
  <c r="N669" i="6" s="1"/>
  <c r="L669" i="6"/>
  <c r="O668" i="6"/>
  <c r="M668" i="6"/>
  <c r="N668" i="6" s="1"/>
  <c r="L668" i="6"/>
  <c r="O667" i="6"/>
  <c r="M667" i="6"/>
  <c r="N667" i="6" s="1"/>
  <c r="L667" i="6"/>
  <c r="O666" i="6"/>
  <c r="P666" i="6" s="1"/>
  <c r="M666" i="6"/>
  <c r="N666" i="6" s="1"/>
  <c r="L666" i="6"/>
  <c r="O665" i="6"/>
  <c r="N665" i="6"/>
  <c r="M665" i="6"/>
  <c r="L665" i="6"/>
  <c r="O664" i="6"/>
  <c r="M664" i="6"/>
  <c r="N664" i="6" s="1"/>
  <c r="L664" i="6"/>
  <c r="O663" i="6"/>
  <c r="P663" i="6" s="1"/>
  <c r="M663" i="6"/>
  <c r="N663" i="6" s="1"/>
  <c r="L663" i="6"/>
  <c r="O662" i="6"/>
  <c r="M662" i="6"/>
  <c r="N662" i="6" s="1"/>
  <c r="L662" i="6"/>
  <c r="P661" i="6"/>
  <c r="O661" i="6"/>
  <c r="M661" i="6"/>
  <c r="N661" i="6" s="1"/>
  <c r="L661" i="6"/>
  <c r="O660" i="6"/>
  <c r="P660" i="6" s="1"/>
  <c r="M660" i="6"/>
  <c r="N660" i="6" s="1"/>
  <c r="L660" i="6"/>
  <c r="O659" i="6"/>
  <c r="N659" i="6"/>
  <c r="M659" i="6"/>
  <c r="L659" i="6"/>
  <c r="O658" i="6"/>
  <c r="M658" i="6"/>
  <c r="N658" i="6" s="1"/>
  <c r="L658" i="6"/>
  <c r="P657" i="6"/>
  <c r="R657" i="6" s="1"/>
  <c r="O657" i="6"/>
  <c r="M657" i="6"/>
  <c r="N657" i="6" s="1"/>
  <c r="L657" i="6"/>
  <c r="P656" i="6"/>
  <c r="O656" i="6"/>
  <c r="M656" i="6"/>
  <c r="N656" i="6" s="1"/>
  <c r="L656" i="6"/>
  <c r="O655" i="6"/>
  <c r="N655" i="6"/>
  <c r="M655" i="6"/>
  <c r="L655" i="6"/>
  <c r="O654" i="6"/>
  <c r="M654" i="6"/>
  <c r="N654" i="6" s="1"/>
  <c r="L654" i="6"/>
  <c r="O653" i="6"/>
  <c r="N653" i="6"/>
  <c r="M653" i="6"/>
  <c r="L653" i="6"/>
  <c r="O652" i="6"/>
  <c r="M652" i="6"/>
  <c r="N652" i="6" s="1"/>
  <c r="L652" i="6"/>
  <c r="P651" i="6"/>
  <c r="R651" i="6" s="1"/>
  <c r="O651" i="6"/>
  <c r="M651" i="6"/>
  <c r="N651" i="6" s="1"/>
  <c r="L651" i="6"/>
  <c r="O650" i="6"/>
  <c r="N650" i="6"/>
  <c r="M650" i="6"/>
  <c r="L650" i="6"/>
  <c r="O649" i="6"/>
  <c r="M649" i="6"/>
  <c r="N649" i="6" s="1"/>
  <c r="L649" i="6"/>
  <c r="P648" i="6"/>
  <c r="R648" i="6" s="1"/>
  <c r="O648" i="6"/>
  <c r="N648" i="6"/>
  <c r="M648" i="6"/>
  <c r="L648" i="6"/>
  <c r="O647" i="6"/>
  <c r="M647" i="6"/>
  <c r="N647" i="6" s="1"/>
  <c r="L647" i="6"/>
  <c r="O646" i="6"/>
  <c r="N646" i="6"/>
  <c r="M646" i="6"/>
  <c r="L646" i="6"/>
  <c r="P645" i="6"/>
  <c r="O645" i="6"/>
  <c r="M645" i="6"/>
  <c r="N645" i="6" s="1"/>
  <c r="L645" i="6"/>
  <c r="O644" i="6"/>
  <c r="P644" i="6" s="1"/>
  <c r="R644" i="6" s="1"/>
  <c r="N644" i="6"/>
  <c r="M644" i="6"/>
  <c r="L644" i="6"/>
  <c r="O643" i="6"/>
  <c r="P643" i="6" s="1"/>
  <c r="R643" i="6" s="1"/>
  <c r="M643" i="6"/>
  <c r="N643" i="6" s="1"/>
  <c r="L643" i="6"/>
  <c r="O642" i="6"/>
  <c r="M642" i="6"/>
  <c r="N642" i="6" s="1"/>
  <c r="L642" i="6"/>
  <c r="O641" i="6"/>
  <c r="M641" i="6"/>
  <c r="N641" i="6" s="1"/>
  <c r="L641" i="6"/>
  <c r="O640" i="6"/>
  <c r="M640" i="6"/>
  <c r="N640" i="6" s="1"/>
  <c r="L640" i="6"/>
  <c r="P639" i="6"/>
  <c r="O639" i="6"/>
  <c r="N639" i="6"/>
  <c r="M639" i="6"/>
  <c r="L639" i="6"/>
  <c r="P638" i="6"/>
  <c r="R638" i="6" s="1"/>
  <c r="O638" i="6"/>
  <c r="N638" i="6"/>
  <c r="M638" i="6"/>
  <c r="L638" i="6"/>
  <c r="P637" i="6"/>
  <c r="O637" i="6"/>
  <c r="M637" i="6"/>
  <c r="N637" i="6" s="1"/>
  <c r="L637" i="6"/>
  <c r="O636" i="6"/>
  <c r="N636" i="6"/>
  <c r="M636" i="6"/>
  <c r="L636" i="6"/>
  <c r="O635" i="6"/>
  <c r="M635" i="6"/>
  <c r="N635" i="6" s="1"/>
  <c r="L635" i="6"/>
  <c r="O634" i="6"/>
  <c r="M634" i="6"/>
  <c r="N634" i="6" s="1"/>
  <c r="L634" i="6"/>
  <c r="O633" i="6"/>
  <c r="M633" i="6"/>
  <c r="N633" i="6" s="1"/>
  <c r="L633" i="6"/>
  <c r="P632" i="6"/>
  <c r="O632" i="6"/>
  <c r="M632" i="6"/>
  <c r="N632" i="6" s="1"/>
  <c r="L632" i="6"/>
  <c r="O631" i="6"/>
  <c r="P631" i="6" s="1"/>
  <c r="M631" i="6"/>
  <c r="N631" i="6" s="1"/>
  <c r="L631" i="6"/>
  <c r="P630" i="6"/>
  <c r="O630" i="6"/>
  <c r="M630" i="6"/>
  <c r="N630" i="6" s="1"/>
  <c r="L630" i="6"/>
  <c r="O629" i="6"/>
  <c r="P629" i="6" s="1"/>
  <c r="M629" i="6"/>
  <c r="N629" i="6" s="1"/>
  <c r="L629" i="6"/>
  <c r="O628" i="6"/>
  <c r="P628" i="6" s="1"/>
  <c r="R628" i="6" s="1"/>
  <c r="M628" i="6"/>
  <c r="N628" i="6" s="1"/>
  <c r="L628" i="6"/>
  <c r="R627" i="6"/>
  <c r="Q627" i="6"/>
  <c r="O627" i="6"/>
  <c r="P627" i="6" s="1"/>
  <c r="N627" i="6"/>
  <c r="M627" i="6"/>
  <c r="L627" i="6"/>
  <c r="P626" i="6"/>
  <c r="O626" i="6"/>
  <c r="M626" i="6"/>
  <c r="N626" i="6" s="1"/>
  <c r="L626" i="6"/>
  <c r="O625" i="6"/>
  <c r="N625" i="6"/>
  <c r="M625" i="6"/>
  <c r="L625" i="6"/>
  <c r="O624" i="6"/>
  <c r="M624" i="6"/>
  <c r="N624" i="6" s="1"/>
  <c r="L624" i="6"/>
  <c r="O623" i="6"/>
  <c r="P623" i="6" s="1"/>
  <c r="R623" i="6" s="1"/>
  <c r="N623" i="6"/>
  <c r="M623" i="6"/>
  <c r="L623" i="6"/>
  <c r="P622" i="6"/>
  <c r="O622" i="6"/>
  <c r="N622" i="6"/>
  <c r="M622" i="6"/>
  <c r="L622" i="6"/>
  <c r="O621" i="6"/>
  <c r="M621" i="6"/>
  <c r="N621" i="6" s="1"/>
  <c r="L621" i="6"/>
  <c r="P620" i="6"/>
  <c r="R620" i="6" s="1"/>
  <c r="O620" i="6"/>
  <c r="N620" i="6"/>
  <c r="M620" i="6"/>
  <c r="L620" i="6"/>
  <c r="P619" i="6"/>
  <c r="R619" i="6" s="1"/>
  <c r="O619" i="6"/>
  <c r="N619" i="6"/>
  <c r="M619" i="6"/>
  <c r="L619" i="6"/>
  <c r="O618" i="6"/>
  <c r="M618" i="6"/>
  <c r="N618" i="6" s="1"/>
  <c r="L618" i="6"/>
  <c r="P617" i="6"/>
  <c r="O617" i="6"/>
  <c r="N617" i="6"/>
  <c r="M617" i="6"/>
  <c r="L617" i="6"/>
  <c r="O616" i="6"/>
  <c r="M616" i="6"/>
  <c r="N616" i="6" s="1"/>
  <c r="L616" i="6"/>
  <c r="O615" i="6"/>
  <c r="N615" i="6"/>
  <c r="M615" i="6"/>
  <c r="L615" i="6"/>
  <c r="O614" i="6"/>
  <c r="P614" i="6" s="1"/>
  <c r="R614" i="6" s="1"/>
  <c r="M614" i="6"/>
  <c r="N614" i="6" s="1"/>
  <c r="L614" i="6"/>
  <c r="O613" i="6"/>
  <c r="M613" i="6"/>
  <c r="N613" i="6" s="1"/>
  <c r="L613" i="6"/>
  <c r="O612" i="6"/>
  <c r="M612" i="6"/>
  <c r="N612" i="6" s="1"/>
  <c r="L612" i="6"/>
  <c r="O611" i="6"/>
  <c r="M611" i="6"/>
  <c r="N611" i="6" s="1"/>
  <c r="L611" i="6"/>
  <c r="O610" i="6"/>
  <c r="M610" i="6"/>
  <c r="N610" i="6" s="1"/>
  <c r="L610" i="6"/>
  <c r="O609" i="6"/>
  <c r="M609" i="6"/>
  <c r="N609" i="6" s="1"/>
  <c r="L609" i="6"/>
  <c r="O608" i="6"/>
  <c r="M608" i="6"/>
  <c r="N608" i="6" s="1"/>
  <c r="L608" i="6"/>
  <c r="O607" i="6"/>
  <c r="P607" i="6" s="1"/>
  <c r="N607" i="6"/>
  <c r="M607" i="6"/>
  <c r="L607" i="6"/>
  <c r="O606" i="6"/>
  <c r="M606" i="6"/>
  <c r="N606" i="6" s="1"/>
  <c r="L606" i="6"/>
  <c r="O605" i="6"/>
  <c r="N605" i="6"/>
  <c r="M605" i="6"/>
  <c r="L605" i="6"/>
  <c r="O604" i="6"/>
  <c r="M604" i="6"/>
  <c r="N604" i="6" s="1"/>
  <c r="L604" i="6"/>
  <c r="O603" i="6"/>
  <c r="N603" i="6"/>
  <c r="M603" i="6"/>
  <c r="L603" i="6"/>
  <c r="O602" i="6"/>
  <c r="M602" i="6"/>
  <c r="N602" i="6" s="1"/>
  <c r="L602" i="6"/>
  <c r="O601" i="6"/>
  <c r="N601" i="6"/>
  <c r="M601" i="6"/>
  <c r="L601" i="6"/>
  <c r="O600" i="6"/>
  <c r="M600" i="6"/>
  <c r="N600" i="6" s="1"/>
  <c r="L600" i="6"/>
  <c r="R599" i="6"/>
  <c r="P599" i="6"/>
  <c r="O599" i="6"/>
  <c r="M599" i="6"/>
  <c r="N599" i="6" s="1"/>
  <c r="L599" i="6"/>
  <c r="P598" i="6"/>
  <c r="O598" i="6"/>
  <c r="M598" i="6"/>
  <c r="N598" i="6" s="1"/>
  <c r="L598" i="6"/>
  <c r="P597" i="6"/>
  <c r="R597" i="6" s="1"/>
  <c r="O597" i="6"/>
  <c r="M597" i="6"/>
  <c r="N597" i="6" s="1"/>
  <c r="L597" i="6"/>
  <c r="O596" i="6"/>
  <c r="P596" i="6" s="1"/>
  <c r="M596" i="6"/>
  <c r="N596" i="6" s="1"/>
  <c r="L596" i="6"/>
  <c r="O595" i="6"/>
  <c r="N595" i="6"/>
  <c r="M595" i="6"/>
  <c r="L595" i="6"/>
  <c r="P594" i="6"/>
  <c r="O594" i="6"/>
  <c r="N594" i="6"/>
  <c r="M594" i="6"/>
  <c r="L594" i="6"/>
  <c r="O593" i="6"/>
  <c r="M593" i="6"/>
  <c r="N593" i="6" s="1"/>
  <c r="L593" i="6"/>
  <c r="O592" i="6"/>
  <c r="N592" i="6"/>
  <c r="M592" i="6"/>
  <c r="L592" i="6"/>
  <c r="O591" i="6"/>
  <c r="M591" i="6"/>
  <c r="N591" i="6" s="1"/>
  <c r="L591" i="6"/>
  <c r="O590" i="6"/>
  <c r="N590" i="6"/>
  <c r="M590" i="6"/>
  <c r="L590" i="6"/>
  <c r="P589" i="6"/>
  <c r="O589" i="6"/>
  <c r="N589" i="6"/>
  <c r="M589" i="6"/>
  <c r="L589" i="6"/>
  <c r="R588" i="6"/>
  <c r="O588" i="6"/>
  <c r="P588" i="6" s="1"/>
  <c r="N588" i="6"/>
  <c r="M588" i="6"/>
  <c r="L588" i="6"/>
  <c r="P587" i="6"/>
  <c r="O587" i="6"/>
  <c r="N587" i="6"/>
  <c r="M587" i="6"/>
  <c r="L587" i="6"/>
  <c r="P586" i="6"/>
  <c r="O586" i="6"/>
  <c r="M586" i="6"/>
  <c r="N586" i="6" s="1"/>
  <c r="L586" i="6"/>
  <c r="O585" i="6"/>
  <c r="P585" i="6" s="1"/>
  <c r="R585" i="6" s="1"/>
  <c r="N585" i="6"/>
  <c r="M585" i="6"/>
  <c r="L585" i="6"/>
  <c r="O584" i="6"/>
  <c r="P584" i="6" s="1"/>
  <c r="N584" i="6"/>
  <c r="M584" i="6"/>
  <c r="L584" i="6"/>
  <c r="P583" i="6"/>
  <c r="O583" i="6"/>
  <c r="M583" i="6"/>
  <c r="N583" i="6" s="1"/>
  <c r="L583" i="6"/>
  <c r="O582" i="6"/>
  <c r="P582" i="6" s="1"/>
  <c r="M582" i="6"/>
  <c r="N582" i="6" s="1"/>
  <c r="L582" i="6"/>
  <c r="O581" i="6"/>
  <c r="N581" i="6"/>
  <c r="M581" i="6"/>
  <c r="L581" i="6"/>
  <c r="O580" i="6"/>
  <c r="M580" i="6"/>
  <c r="N580" i="6" s="1"/>
  <c r="L580" i="6"/>
  <c r="O579" i="6"/>
  <c r="P579" i="6" s="1"/>
  <c r="R579" i="6" s="1"/>
  <c r="N579" i="6"/>
  <c r="M579" i="6"/>
  <c r="L579" i="6"/>
  <c r="O578" i="6"/>
  <c r="P578" i="6" s="1"/>
  <c r="R578" i="6" s="1"/>
  <c r="M578" i="6"/>
  <c r="N578" i="6" s="1"/>
  <c r="L578" i="6"/>
  <c r="P577" i="6"/>
  <c r="R577" i="6" s="1"/>
  <c r="O577" i="6"/>
  <c r="M577" i="6"/>
  <c r="N577" i="6" s="1"/>
  <c r="L577" i="6"/>
  <c r="P576" i="6"/>
  <c r="O576" i="6"/>
  <c r="M576" i="6"/>
  <c r="N576" i="6" s="1"/>
  <c r="L576" i="6"/>
  <c r="O575" i="6"/>
  <c r="N575" i="6"/>
  <c r="M575" i="6"/>
  <c r="L575" i="6"/>
  <c r="O574" i="6"/>
  <c r="M574" i="6"/>
  <c r="N574" i="6" s="1"/>
  <c r="L574" i="6"/>
  <c r="O573" i="6"/>
  <c r="N573" i="6"/>
  <c r="M573" i="6"/>
  <c r="L573" i="6"/>
  <c r="O572" i="6"/>
  <c r="P572" i="6" s="1"/>
  <c r="M572" i="6"/>
  <c r="N572" i="6" s="1"/>
  <c r="L572" i="6"/>
  <c r="P571" i="6"/>
  <c r="O571" i="6"/>
  <c r="M571" i="6"/>
  <c r="N571" i="6" s="1"/>
  <c r="L571" i="6"/>
  <c r="O570" i="6"/>
  <c r="P570" i="6" s="1"/>
  <c r="N570" i="6"/>
  <c r="M570" i="6"/>
  <c r="L570" i="6"/>
  <c r="P569" i="6"/>
  <c r="R569" i="6" s="1"/>
  <c r="O569" i="6"/>
  <c r="M569" i="6"/>
  <c r="N569" i="6" s="1"/>
  <c r="L569" i="6"/>
  <c r="O568" i="6"/>
  <c r="P568" i="6" s="1"/>
  <c r="R568" i="6" s="1"/>
  <c r="N568" i="6"/>
  <c r="M568" i="6"/>
  <c r="L568" i="6"/>
  <c r="R567" i="6"/>
  <c r="O567" i="6"/>
  <c r="P567" i="6" s="1"/>
  <c r="Q567" i="6" s="1"/>
  <c r="M567" i="6"/>
  <c r="N567" i="6" s="1"/>
  <c r="L567" i="6"/>
  <c r="P566" i="6"/>
  <c r="R566" i="6" s="1"/>
  <c r="O566" i="6"/>
  <c r="M566" i="6"/>
  <c r="N566" i="6" s="1"/>
  <c r="L566" i="6"/>
  <c r="O565" i="6"/>
  <c r="M565" i="6"/>
  <c r="N565" i="6" s="1"/>
  <c r="L565" i="6"/>
  <c r="O564" i="6"/>
  <c r="M564" i="6"/>
  <c r="N564" i="6" s="1"/>
  <c r="L564" i="6"/>
  <c r="O563" i="6"/>
  <c r="M563" i="6"/>
  <c r="N563" i="6" s="1"/>
  <c r="L563" i="6"/>
  <c r="O562" i="6"/>
  <c r="M562" i="6"/>
  <c r="N562" i="6" s="1"/>
  <c r="L562" i="6"/>
  <c r="O561" i="6"/>
  <c r="P561" i="6" s="1"/>
  <c r="R561" i="6" s="1"/>
  <c r="N561" i="6"/>
  <c r="M561" i="6"/>
  <c r="L561" i="6"/>
  <c r="O560" i="6"/>
  <c r="P560" i="6" s="1"/>
  <c r="N560" i="6"/>
  <c r="M560" i="6"/>
  <c r="L560" i="6"/>
  <c r="R559" i="6"/>
  <c r="P559" i="6"/>
  <c r="O559" i="6"/>
  <c r="M559" i="6"/>
  <c r="N559" i="6" s="1"/>
  <c r="L559" i="6"/>
  <c r="O558" i="6"/>
  <c r="P558" i="6" s="1"/>
  <c r="R558" i="6" s="1"/>
  <c r="N558" i="6"/>
  <c r="M558" i="6"/>
  <c r="L558" i="6"/>
  <c r="O557" i="6"/>
  <c r="N557" i="6"/>
  <c r="M557" i="6"/>
  <c r="L557" i="6"/>
  <c r="O556" i="6"/>
  <c r="N556" i="6"/>
  <c r="M556" i="6"/>
  <c r="L556" i="6"/>
  <c r="O555" i="6"/>
  <c r="P555" i="6" s="1"/>
  <c r="N555" i="6"/>
  <c r="M555" i="6"/>
  <c r="L555" i="6"/>
  <c r="O554" i="6"/>
  <c r="P554" i="6" s="1"/>
  <c r="R554" i="6" s="1"/>
  <c r="M554" i="6"/>
  <c r="N554" i="6" s="1"/>
  <c r="L554" i="6"/>
  <c r="O553" i="6"/>
  <c r="M553" i="6"/>
  <c r="N553" i="6" s="1"/>
  <c r="L553" i="6"/>
  <c r="O552" i="6"/>
  <c r="M552" i="6"/>
  <c r="N552" i="6" s="1"/>
  <c r="L552" i="6"/>
  <c r="O551" i="6"/>
  <c r="P551" i="6" s="1"/>
  <c r="R551" i="6" s="1"/>
  <c r="M551" i="6"/>
  <c r="N551" i="6" s="1"/>
  <c r="L551" i="6"/>
  <c r="O550" i="6"/>
  <c r="N550" i="6"/>
  <c r="M550" i="6"/>
  <c r="L550" i="6"/>
  <c r="P549" i="6"/>
  <c r="R549" i="6" s="1"/>
  <c r="O549" i="6"/>
  <c r="M549" i="6"/>
  <c r="N549" i="6" s="1"/>
  <c r="L549" i="6"/>
  <c r="O548" i="6"/>
  <c r="P548" i="6" s="1"/>
  <c r="M548" i="6"/>
  <c r="N548" i="6" s="1"/>
  <c r="L548" i="6"/>
  <c r="O547" i="6"/>
  <c r="P547" i="6" s="1"/>
  <c r="N547" i="6"/>
  <c r="M547" i="6"/>
  <c r="L547" i="6"/>
  <c r="P546" i="6"/>
  <c r="R546" i="6" s="1"/>
  <c r="O546" i="6"/>
  <c r="M546" i="6"/>
  <c r="N546" i="6" s="1"/>
  <c r="L546" i="6"/>
  <c r="O545" i="6"/>
  <c r="M545" i="6"/>
  <c r="N545" i="6" s="1"/>
  <c r="L545" i="6"/>
  <c r="O544" i="6"/>
  <c r="M544" i="6"/>
  <c r="N544" i="6" s="1"/>
  <c r="L544" i="6"/>
  <c r="O543" i="6"/>
  <c r="M543" i="6"/>
  <c r="N543" i="6" s="1"/>
  <c r="L543" i="6"/>
  <c r="O542" i="6"/>
  <c r="M542" i="6"/>
  <c r="N542" i="6" s="1"/>
  <c r="L542" i="6"/>
  <c r="O541" i="6"/>
  <c r="P541" i="6" s="1"/>
  <c r="R541" i="6" s="1"/>
  <c r="N541" i="6"/>
  <c r="M541" i="6"/>
  <c r="L541" i="6"/>
  <c r="O540" i="6"/>
  <c r="N540" i="6"/>
  <c r="M540" i="6"/>
  <c r="L540" i="6"/>
  <c r="O539" i="6"/>
  <c r="N539" i="6"/>
  <c r="M539" i="6"/>
  <c r="L539" i="6"/>
  <c r="O538" i="6"/>
  <c r="N538" i="6"/>
  <c r="M538" i="6"/>
  <c r="L538" i="6"/>
  <c r="O537" i="6"/>
  <c r="N537" i="6"/>
  <c r="M537" i="6"/>
  <c r="L537" i="6"/>
  <c r="O536" i="6"/>
  <c r="N536" i="6"/>
  <c r="M536" i="6"/>
  <c r="L536" i="6"/>
  <c r="O535" i="6"/>
  <c r="N535" i="6"/>
  <c r="M535" i="6"/>
  <c r="L535" i="6"/>
  <c r="P534" i="6"/>
  <c r="O534" i="6"/>
  <c r="M534" i="6"/>
  <c r="N534" i="6" s="1"/>
  <c r="L534" i="6"/>
  <c r="O533" i="6"/>
  <c r="M533" i="6"/>
  <c r="N533" i="6" s="1"/>
  <c r="L533" i="6"/>
  <c r="P532" i="6"/>
  <c r="O532" i="6"/>
  <c r="N532" i="6"/>
  <c r="M532" i="6"/>
  <c r="L532" i="6"/>
  <c r="O531" i="6"/>
  <c r="M531" i="6"/>
  <c r="N531" i="6" s="1"/>
  <c r="L531" i="6"/>
  <c r="O530" i="6"/>
  <c r="N530" i="6"/>
  <c r="M530" i="6"/>
  <c r="L530" i="6"/>
  <c r="O529" i="6"/>
  <c r="M529" i="6"/>
  <c r="N529" i="6" s="1"/>
  <c r="L529" i="6"/>
  <c r="O528" i="6"/>
  <c r="N528" i="6"/>
  <c r="M528" i="6"/>
  <c r="L528" i="6"/>
  <c r="O527" i="6"/>
  <c r="P527" i="6" s="1"/>
  <c r="N527" i="6"/>
  <c r="M527" i="6"/>
  <c r="L527" i="6"/>
  <c r="O526" i="6"/>
  <c r="P526" i="6" s="1"/>
  <c r="R526" i="6" s="1"/>
  <c r="M526" i="6"/>
  <c r="N526" i="6" s="1"/>
  <c r="L526" i="6"/>
  <c r="O525" i="6"/>
  <c r="P525" i="6" s="1"/>
  <c r="R525" i="6" s="1"/>
  <c r="M525" i="6"/>
  <c r="N525" i="6" s="1"/>
  <c r="L525" i="6"/>
  <c r="P524" i="6"/>
  <c r="R524" i="6" s="1"/>
  <c r="O524" i="6"/>
  <c r="M524" i="6"/>
  <c r="N524" i="6" s="1"/>
  <c r="L524" i="6"/>
  <c r="O523" i="6"/>
  <c r="P523" i="6" s="1"/>
  <c r="R523" i="6" s="1"/>
  <c r="N523" i="6"/>
  <c r="M523" i="6"/>
  <c r="L523" i="6"/>
  <c r="O522" i="6"/>
  <c r="P522" i="6" s="1"/>
  <c r="R522" i="6" s="1"/>
  <c r="M522" i="6"/>
  <c r="N522" i="6" s="1"/>
  <c r="L522" i="6"/>
  <c r="O521" i="6"/>
  <c r="M521" i="6"/>
  <c r="N521" i="6" s="1"/>
  <c r="L521" i="6"/>
  <c r="O520" i="6"/>
  <c r="M520" i="6"/>
  <c r="N520" i="6" s="1"/>
  <c r="L520" i="6"/>
  <c r="O519" i="6"/>
  <c r="M519" i="6"/>
  <c r="N519" i="6" s="1"/>
  <c r="L519" i="6"/>
  <c r="P518" i="6"/>
  <c r="O518" i="6"/>
  <c r="M518" i="6"/>
  <c r="N518" i="6" s="1"/>
  <c r="L518" i="6"/>
  <c r="P517" i="6"/>
  <c r="R517" i="6" s="1"/>
  <c r="O517" i="6"/>
  <c r="N517" i="6"/>
  <c r="M517" i="6"/>
  <c r="L517" i="6"/>
  <c r="P516" i="6"/>
  <c r="O516" i="6"/>
  <c r="M516" i="6"/>
  <c r="N516" i="6" s="1"/>
  <c r="L516" i="6"/>
  <c r="O515" i="6"/>
  <c r="P515" i="6" s="1"/>
  <c r="R515" i="6" s="1"/>
  <c r="N515" i="6"/>
  <c r="M515" i="6"/>
  <c r="L515" i="6"/>
  <c r="P514" i="6"/>
  <c r="R514" i="6" s="1"/>
  <c r="O514" i="6"/>
  <c r="M514" i="6"/>
  <c r="N514" i="6" s="1"/>
  <c r="L514" i="6"/>
  <c r="P513" i="6"/>
  <c r="R513" i="6" s="1"/>
  <c r="O513" i="6"/>
  <c r="N513" i="6"/>
  <c r="M513" i="6"/>
  <c r="L513" i="6"/>
  <c r="R512" i="6"/>
  <c r="P512" i="6"/>
  <c r="O512" i="6"/>
  <c r="N512" i="6"/>
  <c r="M512" i="6"/>
  <c r="L512" i="6"/>
  <c r="O511" i="6"/>
  <c r="P511" i="6" s="1"/>
  <c r="R511" i="6" s="1"/>
  <c r="N511" i="6"/>
  <c r="M511" i="6"/>
  <c r="L511" i="6"/>
  <c r="P510" i="6"/>
  <c r="R510" i="6" s="1"/>
  <c r="O510" i="6"/>
  <c r="M510" i="6"/>
  <c r="N510" i="6" s="1"/>
  <c r="L510" i="6"/>
  <c r="O509" i="6"/>
  <c r="N509" i="6"/>
  <c r="M509" i="6"/>
  <c r="L509" i="6"/>
  <c r="P508" i="6"/>
  <c r="O508" i="6"/>
  <c r="M508" i="6"/>
  <c r="N508" i="6" s="1"/>
  <c r="L508" i="6"/>
  <c r="O507" i="6"/>
  <c r="P507" i="6" s="1"/>
  <c r="R507" i="6" s="1"/>
  <c r="N507" i="6"/>
  <c r="M507" i="6"/>
  <c r="L507" i="6"/>
  <c r="O506" i="6"/>
  <c r="P506" i="6" s="1"/>
  <c r="R506" i="6" s="1"/>
  <c r="M506" i="6"/>
  <c r="N506" i="6" s="1"/>
  <c r="L506" i="6"/>
  <c r="R505" i="6"/>
  <c r="P505" i="6"/>
  <c r="Q505" i="6" s="1"/>
  <c r="O505" i="6"/>
  <c r="N505" i="6"/>
  <c r="M505" i="6"/>
  <c r="L505" i="6"/>
  <c r="P504" i="6"/>
  <c r="O504" i="6"/>
  <c r="M504" i="6"/>
  <c r="N504" i="6" s="1"/>
  <c r="L504" i="6"/>
  <c r="O503" i="6"/>
  <c r="M503" i="6"/>
  <c r="N503" i="6" s="1"/>
  <c r="L503" i="6"/>
  <c r="P502" i="6"/>
  <c r="O502" i="6"/>
  <c r="N502" i="6"/>
  <c r="M502" i="6"/>
  <c r="L502" i="6"/>
  <c r="O501" i="6"/>
  <c r="M501" i="6"/>
  <c r="N501" i="6" s="1"/>
  <c r="L501" i="6"/>
  <c r="O500" i="6"/>
  <c r="P500" i="6" s="1"/>
  <c r="M500" i="6"/>
  <c r="N500" i="6" s="1"/>
  <c r="L500" i="6"/>
  <c r="O499" i="6"/>
  <c r="M499" i="6"/>
  <c r="N499" i="6" s="1"/>
  <c r="L499" i="6"/>
  <c r="O498" i="6"/>
  <c r="P498" i="6" s="1"/>
  <c r="R498" i="6" s="1"/>
  <c r="N498" i="6"/>
  <c r="M498" i="6"/>
  <c r="L498" i="6"/>
  <c r="P497" i="6"/>
  <c r="O497" i="6"/>
  <c r="N497" i="6"/>
  <c r="M497" i="6"/>
  <c r="L497" i="6"/>
  <c r="O496" i="6"/>
  <c r="N496" i="6"/>
  <c r="M496" i="6"/>
  <c r="L496" i="6"/>
  <c r="O495" i="6"/>
  <c r="N495" i="6"/>
  <c r="M495" i="6"/>
  <c r="L495" i="6"/>
  <c r="O494" i="6"/>
  <c r="N494" i="6"/>
  <c r="M494" i="6"/>
  <c r="L494" i="6"/>
  <c r="O493" i="6"/>
  <c r="N493" i="6"/>
  <c r="M493" i="6"/>
  <c r="L493" i="6"/>
  <c r="R492" i="6"/>
  <c r="P492" i="6"/>
  <c r="O492" i="6"/>
  <c r="N492" i="6"/>
  <c r="M492" i="6"/>
  <c r="L492" i="6"/>
  <c r="O491" i="6"/>
  <c r="P491" i="6" s="1"/>
  <c r="R491" i="6" s="1"/>
  <c r="N491" i="6"/>
  <c r="M491" i="6"/>
  <c r="L491" i="6"/>
  <c r="O490" i="6"/>
  <c r="P490" i="6" s="1"/>
  <c r="M490" i="6"/>
  <c r="N490" i="6" s="1"/>
  <c r="L490" i="6"/>
  <c r="R489" i="6"/>
  <c r="P489" i="6"/>
  <c r="Q489" i="6" s="1"/>
  <c r="O489" i="6"/>
  <c r="N489" i="6"/>
  <c r="M489" i="6"/>
  <c r="L489" i="6"/>
  <c r="O488" i="6"/>
  <c r="N488" i="6"/>
  <c r="M488" i="6"/>
  <c r="L488" i="6"/>
  <c r="O487" i="6"/>
  <c r="N487" i="6"/>
  <c r="M487" i="6"/>
  <c r="L487" i="6"/>
  <c r="O486" i="6"/>
  <c r="N486" i="6"/>
  <c r="M486" i="6"/>
  <c r="L486" i="6"/>
  <c r="O485" i="6"/>
  <c r="N485" i="6"/>
  <c r="M485" i="6"/>
  <c r="L485" i="6"/>
  <c r="O484" i="6"/>
  <c r="N484" i="6"/>
  <c r="M484" i="6"/>
  <c r="L484" i="6"/>
  <c r="O483" i="6"/>
  <c r="N483" i="6"/>
  <c r="M483" i="6"/>
  <c r="L483" i="6"/>
  <c r="O482" i="6"/>
  <c r="N482" i="6"/>
  <c r="M482" i="6"/>
  <c r="L482" i="6"/>
  <c r="O481" i="6"/>
  <c r="N481" i="6"/>
  <c r="M481" i="6"/>
  <c r="L481" i="6"/>
  <c r="P480" i="6"/>
  <c r="O480" i="6"/>
  <c r="M480" i="6"/>
  <c r="N480" i="6" s="1"/>
  <c r="L480" i="6"/>
  <c r="O479" i="6"/>
  <c r="P479" i="6" s="1"/>
  <c r="N479" i="6"/>
  <c r="M479" i="6"/>
  <c r="L479" i="6"/>
  <c r="O478" i="6"/>
  <c r="P478" i="6" s="1"/>
  <c r="M478" i="6"/>
  <c r="N478" i="6" s="1"/>
  <c r="L478" i="6"/>
  <c r="P477" i="6"/>
  <c r="O477" i="6"/>
  <c r="N477" i="6"/>
  <c r="M477" i="6"/>
  <c r="L477" i="6"/>
  <c r="O476" i="6"/>
  <c r="P476" i="6" s="1"/>
  <c r="N476" i="6"/>
  <c r="M476" i="6"/>
  <c r="L476" i="6"/>
  <c r="P475" i="6"/>
  <c r="O475" i="6"/>
  <c r="N475" i="6"/>
  <c r="M475" i="6"/>
  <c r="L475" i="6"/>
  <c r="P474" i="6"/>
  <c r="O474" i="6"/>
  <c r="M474" i="6"/>
  <c r="N474" i="6" s="1"/>
  <c r="L474" i="6"/>
  <c r="O473" i="6"/>
  <c r="M473" i="6"/>
  <c r="N473" i="6" s="1"/>
  <c r="L473" i="6"/>
  <c r="P472" i="6"/>
  <c r="O472" i="6"/>
  <c r="N472" i="6"/>
  <c r="M472" i="6"/>
  <c r="L472" i="6"/>
  <c r="O471" i="6"/>
  <c r="P471" i="6" s="1"/>
  <c r="R471" i="6" s="1"/>
  <c r="N471" i="6"/>
  <c r="M471" i="6"/>
  <c r="L471" i="6"/>
  <c r="P470" i="6"/>
  <c r="R470" i="6" s="1"/>
  <c r="O470" i="6"/>
  <c r="N470" i="6"/>
  <c r="M470" i="6"/>
  <c r="L470" i="6"/>
  <c r="O469" i="6"/>
  <c r="P469" i="6" s="1"/>
  <c r="M469" i="6"/>
  <c r="N469" i="6" s="1"/>
  <c r="L469" i="6"/>
  <c r="O468" i="6"/>
  <c r="M468" i="6"/>
  <c r="N468" i="6" s="1"/>
  <c r="L468" i="6"/>
  <c r="P467" i="6"/>
  <c r="O467" i="6"/>
  <c r="N467" i="6"/>
  <c r="M467" i="6"/>
  <c r="L467" i="6"/>
  <c r="O466" i="6"/>
  <c r="N466" i="6"/>
  <c r="M466" i="6"/>
  <c r="L466" i="6"/>
  <c r="O465" i="6"/>
  <c r="N465" i="6"/>
  <c r="M465" i="6"/>
  <c r="L465" i="6"/>
  <c r="O464" i="6"/>
  <c r="N464" i="6"/>
  <c r="M464" i="6"/>
  <c r="L464" i="6"/>
  <c r="P463" i="6"/>
  <c r="R463" i="6" s="1"/>
  <c r="O463" i="6"/>
  <c r="N463" i="6"/>
  <c r="M463" i="6"/>
  <c r="L463" i="6"/>
  <c r="P462" i="6"/>
  <c r="R462" i="6" s="1"/>
  <c r="O462" i="6"/>
  <c r="N462" i="6"/>
  <c r="M462" i="6"/>
  <c r="L462" i="6"/>
  <c r="P461" i="6"/>
  <c r="O461" i="6"/>
  <c r="M461" i="6"/>
  <c r="N461" i="6" s="1"/>
  <c r="L461" i="6"/>
  <c r="O460" i="6"/>
  <c r="P460" i="6" s="1"/>
  <c r="R460" i="6" s="1"/>
  <c r="M460" i="6"/>
  <c r="N460" i="6" s="1"/>
  <c r="L460" i="6"/>
  <c r="O459" i="6"/>
  <c r="M459" i="6"/>
  <c r="N459" i="6" s="1"/>
  <c r="L459" i="6"/>
  <c r="O458" i="6"/>
  <c r="M458" i="6"/>
  <c r="N458" i="6" s="1"/>
  <c r="L458" i="6"/>
  <c r="O457" i="6"/>
  <c r="M457" i="6"/>
  <c r="N457" i="6" s="1"/>
  <c r="L457" i="6"/>
  <c r="R456" i="6"/>
  <c r="O456" i="6"/>
  <c r="P456" i="6" s="1"/>
  <c r="M456" i="6"/>
  <c r="N456" i="6" s="1"/>
  <c r="L456" i="6"/>
  <c r="O455" i="6"/>
  <c r="M455" i="6"/>
  <c r="N455" i="6" s="1"/>
  <c r="L455" i="6"/>
  <c r="O454" i="6"/>
  <c r="M454" i="6"/>
  <c r="N454" i="6" s="1"/>
  <c r="L454" i="6"/>
  <c r="O453" i="6"/>
  <c r="M453" i="6"/>
  <c r="N453" i="6" s="1"/>
  <c r="L453" i="6"/>
  <c r="O452" i="6"/>
  <c r="M452" i="6"/>
  <c r="N452" i="6" s="1"/>
  <c r="L452" i="6"/>
  <c r="P451" i="6"/>
  <c r="O451" i="6"/>
  <c r="M451" i="6"/>
  <c r="N451" i="6" s="1"/>
  <c r="L451" i="6"/>
  <c r="O450" i="6"/>
  <c r="N450" i="6"/>
  <c r="M450" i="6"/>
  <c r="L450" i="6"/>
  <c r="O449" i="6"/>
  <c r="M449" i="6"/>
  <c r="N449" i="6" s="1"/>
  <c r="L449" i="6"/>
  <c r="O448" i="6"/>
  <c r="N448" i="6"/>
  <c r="M448" i="6"/>
  <c r="L448" i="6"/>
  <c r="O447" i="6"/>
  <c r="M447" i="6"/>
  <c r="N447" i="6" s="1"/>
  <c r="L447" i="6"/>
  <c r="O446" i="6"/>
  <c r="N446" i="6"/>
  <c r="M446" i="6"/>
  <c r="L446" i="6"/>
  <c r="O445" i="6"/>
  <c r="M445" i="6"/>
  <c r="N445" i="6" s="1"/>
  <c r="L445" i="6"/>
  <c r="O444" i="6"/>
  <c r="N444" i="6"/>
  <c r="M444" i="6"/>
  <c r="L444" i="6"/>
  <c r="O443" i="6"/>
  <c r="P443" i="6" s="1"/>
  <c r="M443" i="6"/>
  <c r="N443" i="6" s="1"/>
  <c r="L443" i="6"/>
  <c r="O442" i="6"/>
  <c r="M442" i="6"/>
  <c r="N442" i="6" s="1"/>
  <c r="L442" i="6"/>
  <c r="P441" i="6"/>
  <c r="R441" i="6" s="1"/>
  <c r="O441" i="6"/>
  <c r="N441" i="6"/>
  <c r="M441" i="6"/>
  <c r="L441" i="6"/>
  <c r="P440" i="6"/>
  <c r="R440" i="6" s="1"/>
  <c r="O440" i="6"/>
  <c r="N440" i="6"/>
  <c r="M440" i="6"/>
  <c r="L440" i="6"/>
  <c r="P439" i="6"/>
  <c r="R439" i="6" s="1"/>
  <c r="O439" i="6"/>
  <c r="M439" i="6"/>
  <c r="N439" i="6" s="1"/>
  <c r="L439" i="6"/>
  <c r="O438" i="6"/>
  <c r="N438" i="6"/>
  <c r="M438" i="6"/>
  <c r="L438" i="6"/>
  <c r="O437" i="6"/>
  <c r="M437" i="6"/>
  <c r="N437" i="6" s="1"/>
  <c r="L437" i="6"/>
  <c r="O436" i="6"/>
  <c r="N436" i="6"/>
  <c r="M436" i="6"/>
  <c r="L436" i="6"/>
  <c r="O435" i="6"/>
  <c r="M435" i="6"/>
  <c r="N435" i="6" s="1"/>
  <c r="L435" i="6"/>
  <c r="O434" i="6"/>
  <c r="P434" i="6" s="1"/>
  <c r="R434" i="6" s="1"/>
  <c r="M434" i="6"/>
  <c r="N434" i="6" s="1"/>
  <c r="L434" i="6"/>
  <c r="O433" i="6"/>
  <c r="M433" i="6"/>
  <c r="N433" i="6" s="1"/>
  <c r="L433" i="6"/>
  <c r="O432" i="6"/>
  <c r="P432" i="6" s="1"/>
  <c r="N432" i="6"/>
  <c r="M432" i="6"/>
  <c r="L432" i="6"/>
  <c r="O431" i="6"/>
  <c r="N431" i="6"/>
  <c r="M431" i="6"/>
  <c r="L431" i="6"/>
  <c r="O430" i="6"/>
  <c r="N430" i="6"/>
  <c r="M430" i="6"/>
  <c r="L430" i="6"/>
  <c r="O429" i="6"/>
  <c r="N429" i="6"/>
  <c r="M429" i="6"/>
  <c r="L429" i="6"/>
  <c r="O428" i="6"/>
  <c r="P428" i="6" s="1"/>
  <c r="M428" i="6"/>
  <c r="N428" i="6" s="1"/>
  <c r="L428" i="6"/>
  <c r="P427" i="6"/>
  <c r="O427" i="6"/>
  <c r="N427" i="6"/>
  <c r="M427" i="6"/>
  <c r="L427" i="6"/>
  <c r="O426" i="6"/>
  <c r="N426" i="6"/>
  <c r="M426" i="6"/>
  <c r="L426" i="6"/>
  <c r="P425" i="6"/>
  <c r="R425" i="6" s="1"/>
  <c r="O425" i="6"/>
  <c r="N425" i="6"/>
  <c r="M425" i="6"/>
  <c r="L425" i="6"/>
  <c r="O424" i="6"/>
  <c r="N424" i="6"/>
  <c r="M424" i="6"/>
  <c r="L424" i="6"/>
  <c r="O423" i="6"/>
  <c r="N423" i="6"/>
  <c r="M423" i="6"/>
  <c r="L423" i="6"/>
  <c r="O422" i="6"/>
  <c r="N422" i="6"/>
  <c r="M422" i="6"/>
  <c r="L422" i="6"/>
  <c r="O421" i="6"/>
  <c r="N421" i="6"/>
  <c r="M421" i="6"/>
  <c r="L421" i="6"/>
  <c r="O420" i="6"/>
  <c r="N420" i="6"/>
  <c r="M420" i="6"/>
  <c r="L420" i="6"/>
  <c r="O419" i="6"/>
  <c r="N419" i="6"/>
  <c r="M419" i="6"/>
  <c r="L419" i="6"/>
  <c r="O418" i="6"/>
  <c r="N418" i="6"/>
  <c r="M418" i="6"/>
  <c r="L418" i="6"/>
  <c r="O417" i="6"/>
  <c r="N417" i="6"/>
  <c r="M417" i="6"/>
  <c r="L417" i="6"/>
  <c r="O416" i="6"/>
  <c r="N416" i="6"/>
  <c r="M416" i="6"/>
  <c r="L416" i="6"/>
  <c r="O415" i="6"/>
  <c r="N415" i="6"/>
  <c r="M415" i="6"/>
  <c r="L415" i="6"/>
  <c r="Q414" i="6"/>
  <c r="O414" i="6"/>
  <c r="P414" i="6" s="1"/>
  <c r="R414" i="6" s="1"/>
  <c r="M414" i="6"/>
  <c r="N414" i="6" s="1"/>
  <c r="L414" i="6"/>
  <c r="O413" i="6"/>
  <c r="M413" i="6"/>
  <c r="N413" i="6" s="1"/>
  <c r="L413" i="6"/>
  <c r="R412" i="6"/>
  <c r="P412" i="6"/>
  <c r="O412" i="6"/>
  <c r="M412" i="6"/>
  <c r="N412" i="6" s="1"/>
  <c r="L412" i="6"/>
  <c r="O411" i="6"/>
  <c r="M411" i="6"/>
  <c r="N411" i="6" s="1"/>
  <c r="L411" i="6"/>
  <c r="R410" i="6"/>
  <c r="O410" i="6"/>
  <c r="P410" i="6" s="1"/>
  <c r="M410" i="6"/>
  <c r="N410" i="6" s="1"/>
  <c r="L410" i="6"/>
  <c r="O409" i="6"/>
  <c r="M409" i="6"/>
  <c r="N409" i="6" s="1"/>
  <c r="L409" i="6"/>
  <c r="O408" i="6"/>
  <c r="M408" i="6"/>
  <c r="N408" i="6" s="1"/>
  <c r="L408" i="6"/>
  <c r="O407" i="6"/>
  <c r="P407" i="6" s="1"/>
  <c r="R407" i="6" s="1"/>
  <c r="M407" i="6"/>
  <c r="N407" i="6" s="1"/>
  <c r="L407" i="6"/>
  <c r="R406" i="6"/>
  <c r="P406" i="6"/>
  <c r="Q406" i="6" s="1"/>
  <c r="O406" i="6"/>
  <c r="N406" i="6"/>
  <c r="M406" i="6"/>
  <c r="L406" i="6"/>
  <c r="O405" i="6"/>
  <c r="N405" i="6"/>
  <c r="M405" i="6"/>
  <c r="L405" i="6"/>
  <c r="O404" i="6"/>
  <c r="N404" i="6"/>
  <c r="M404" i="6"/>
  <c r="L404" i="6"/>
  <c r="O403" i="6"/>
  <c r="N403" i="6"/>
  <c r="M403" i="6"/>
  <c r="L403" i="6"/>
  <c r="P402" i="6"/>
  <c r="R402" i="6" s="1"/>
  <c r="O402" i="6"/>
  <c r="N402" i="6"/>
  <c r="M402" i="6"/>
  <c r="L402" i="6"/>
  <c r="O401" i="6"/>
  <c r="P401" i="6" s="1"/>
  <c r="N401" i="6"/>
  <c r="M401" i="6"/>
  <c r="L401" i="6"/>
  <c r="O400" i="6"/>
  <c r="P400" i="6" s="1"/>
  <c r="R400" i="6" s="1"/>
  <c r="M400" i="6"/>
  <c r="N400" i="6" s="1"/>
  <c r="L400" i="6"/>
  <c r="R399" i="6"/>
  <c r="O399" i="6"/>
  <c r="P399" i="6" s="1"/>
  <c r="M399" i="6"/>
  <c r="N399" i="6" s="1"/>
  <c r="L399" i="6"/>
  <c r="O398" i="6"/>
  <c r="M398" i="6"/>
  <c r="N398" i="6" s="1"/>
  <c r="L398" i="6"/>
  <c r="O397" i="6"/>
  <c r="M397" i="6"/>
  <c r="N397" i="6" s="1"/>
  <c r="L397" i="6"/>
  <c r="O396" i="6"/>
  <c r="M396" i="6"/>
  <c r="N396" i="6" s="1"/>
  <c r="L396" i="6"/>
  <c r="R395" i="6"/>
  <c r="O395" i="6"/>
  <c r="P395" i="6" s="1"/>
  <c r="M395" i="6"/>
  <c r="N395" i="6" s="1"/>
  <c r="L395" i="6"/>
  <c r="R394" i="6"/>
  <c r="O394" i="6"/>
  <c r="P394" i="6" s="1"/>
  <c r="M394" i="6"/>
  <c r="N394" i="6" s="1"/>
  <c r="L394" i="6"/>
  <c r="P393" i="6"/>
  <c r="O393" i="6"/>
  <c r="N393" i="6"/>
  <c r="M393" i="6"/>
  <c r="L393" i="6"/>
  <c r="P392" i="6"/>
  <c r="R392" i="6" s="1"/>
  <c r="O392" i="6"/>
  <c r="M392" i="6"/>
  <c r="N392" i="6" s="1"/>
  <c r="L392" i="6"/>
  <c r="Q391" i="6"/>
  <c r="O391" i="6"/>
  <c r="P391" i="6" s="1"/>
  <c r="R391" i="6" s="1"/>
  <c r="M391" i="6"/>
  <c r="N391" i="6" s="1"/>
  <c r="L391" i="6"/>
  <c r="O390" i="6"/>
  <c r="M390" i="6"/>
  <c r="N390" i="6" s="1"/>
  <c r="L390" i="6"/>
  <c r="R389" i="6"/>
  <c r="P389" i="6"/>
  <c r="Q389" i="6" s="1"/>
  <c r="O389" i="6"/>
  <c r="N389" i="6"/>
  <c r="M389" i="6"/>
  <c r="L389" i="6"/>
  <c r="O388" i="6"/>
  <c r="N388" i="6"/>
  <c r="M388" i="6"/>
  <c r="L388" i="6"/>
  <c r="Q387" i="6"/>
  <c r="O387" i="6"/>
  <c r="P387" i="6" s="1"/>
  <c r="R387" i="6" s="1"/>
  <c r="M387" i="6"/>
  <c r="N387" i="6" s="1"/>
  <c r="L387" i="6"/>
  <c r="R386" i="6"/>
  <c r="Q386" i="6"/>
  <c r="P386" i="6"/>
  <c r="O386" i="6"/>
  <c r="N386" i="6"/>
  <c r="M386" i="6"/>
  <c r="L386" i="6"/>
  <c r="P385" i="6"/>
  <c r="R385" i="6" s="1"/>
  <c r="O385" i="6"/>
  <c r="M385" i="6"/>
  <c r="N385" i="6" s="1"/>
  <c r="L385" i="6"/>
  <c r="R384" i="6"/>
  <c r="O384" i="6"/>
  <c r="P384" i="6" s="1"/>
  <c r="M384" i="6"/>
  <c r="N384" i="6" s="1"/>
  <c r="L384" i="6"/>
  <c r="O383" i="6"/>
  <c r="N383" i="6"/>
  <c r="M383" i="6"/>
  <c r="L383" i="6"/>
  <c r="O382" i="6"/>
  <c r="P382" i="6" s="1"/>
  <c r="R382" i="6" s="1"/>
  <c r="M382" i="6"/>
  <c r="N382" i="6" s="1"/>
  <c r="L382" i="6"/>
  <c r="O381" i="6"/>
  <c r="M381" i="6"/>
  <c r="N381" i="6" s="1"/>
  <c r="L381" i="6"/>
  <c r="O380" i="6"/>
  <c r="M380" i="6"/>
  <c r="N380" i="6" s="1"/>
  <c r="L380" i="6"/>
  <c r="P379" i="6"/>
  <c r="O379" i="6"/>
  <c r="N379" i="6"/>
  <c r="M379" i="6"/>
  <c r="L379" i="6"/>
  <c r="O378" i="6"/>
  <c r="P378" i="6" s="1"/>
  <c r="M378" i="6"/>
  <c r="N378" i="6" s="1"/>
  <c r="L378" i="6"/>
  <c r="R377" i="6"/>
  <c r="O377" i="6"/>
  <c r="P377" i="6" s="1"/>
  <c r="N377" i="6"/>
  <c r="M377" i="6"/>
  <c r="L377" i="6"/>
  <c r="O376" i="6"/>
  <c r="P376" i="6" s="1"/>
  <c r="N376" i="6"/>
  <c r="M376" i="6"/>
  <c r="L376" i="6"/>
  <c r="P375" i="6"/>
  <c r="O375" i="6"/>
  <c r="M375" i="6"/>
  <c r="N375" i="6" s="1"/>
  <c r="L375" i="6"/>
  <c r="O374" i="6"/>
  <c r="M374" i="6"/>
  <c r="N374" i="6" s="1"/>
  <c r="L374" i="6"/>
  <c r="O373" i="6"/>
  <c r="M373" i="6"/>
  <c r="N373" i="6" s="1"/>
  <c r="L373" i="6"/>
  <c r="O372" i="6"/>
  <c r="M372" i="6"/>
  <c r="N372" i="6" s="1"/>
  <c r="L372" i="6"/>
  <c r="O371" i="6"/>
  <c r="M371" i="6"/>
  <c r="N371" i="6" s="1"/>
  <c r="L371" i="6"/>
  <c r="O370" i="6"/>
  <c r="M370" i="6"/>
  <c r="N370" i="6" s="1"/>
  <c r="L370" i="6"/>
  <c r="O369" i="6"/>
  <c r="M369" i="6"/>
  <c r="N369" i="6" s="1"/>
  <c r="L369" i="6"/>
  <c r="O368" i="6"/>
  <c r="M368" i="6"/>
  <c r="N368" i="6" s="1"/>
  <c r="L368" i="6"/>
  <c r="O367" i="6"/>
  <c r="P367" i="6" s="1"/>
  <c r="N367" i="6"/>
  <c r="M367" i="6"/>
  <c r="L367" i="6"/>
  <c r="O366" i="6"/>
  <c r="N366" i="6"/>
  <c r="M366" i="6"/>
  <c r="L366" i="6"/>
  <c r="O365" i="6"/>
  <c r="N365" i="6"/>
  <c r="M365" i="6"/>
  <c r="L365" i="6"/>
  <c r="O364" i="6"/>
  <c r="P364" i="6" s="1"/>
  <c r="M364" i="6"/>
  <c r="N364" i="6" s="1"/>
  <c r="L364" i="6"/>
  <c r="O363" i="6"/>
  <c r="M363" i="6"/>
  <c r="N363" i="6" s="1"/>
  <c r="L363" i="6"/>
  <c r="O362" i="6"/>
  <c r="M362" i="6"/>
  <c r="N362" i="6" s="1"/>
  <c r="L362" i="6"/>
  <c r="O361" i="6"/>
  <c r="M361" i="6"/>
  <c r="N361" i="6" s="1"/>
  <c r="L361" i="6"/>
  <c r="O360" i="6"/>
  <c r="M360" i="6"/>
  <c r="N360" i="6" s="1"/>
  <c r="L360" i="6"/>
  <c r="P359" i="6"/>
  <c r="O359" i="6"/>
  <c r="N359" i="6"/>
  <c r="M359" i="6"/>
  <c r="L359" i="6"/>
  <c r="R358" i="6"/>
  <c r="P358" i="6"/>
  <c r="O358" i="6"/>
  <c r="N358" i="6"/>
  <c r="M358" i="6"/>
  <c r="L358" i="6"/>
  <c r="O357" i="6"/>
  <c r="P357" i="6" s="1"/>
  <c r="R357" i="6" s="1"/>
  <c r="N357" i="6"/>
  <c r="M357" i="6"/>
  <c r="L357" i="6"/>
  <c r="P356" i="6"/>
  <c r="O356" i="6"/>
  <c r="M356" i="6"/>
  <c r="N356" i="6" s="1"/>
  <c r="L356" i="6"/>
  <c r="O355" i="6"/>
  <c r="M355" i="6"/>
  <c r="N355" i="6" s="1"/>
  <c r="L355" i="6"/>
  <c r="O354" i="6"/>
  <c r="P354" i="6" s="1"/>
  <c r="R354" i="6" s="1"/>
  <c r="M354" i="6"/>
  <c r="N354" i="6" s="1"/>
  <c r="L354" i="6"/>
  <c r="R353" i="6"/>
  <c r="P353" i="6"/>
  <c r="O353" i="6"/>
  <c r="M353" i="6"/>
  <c r="N353" i="6" s="1"/>
  <c r="L353" i="6"/>
  <c r="O352" i="6"/>
  <c r="M352" i="6"/>
  <c r="N352" i="6" s="1"/>
  <c r="L352" i="6"/>
  <c r="O351" i="6"/>
  <c r="M351" i="6"/>
  <c r="N351" i="6" s="1"/>
  <c r="L351" i="6"/>
  <c r="O350" i="6"/>
  <c r="M350" i="6"/>
  <c r="N350" i="6" s="1"/>
  <c r="L350" i="6"/>
  <c r="O349" i="6"/>
  <c r="M349" i="6"/>
  <c r="N349" i="6" s="1"/>
  <c r="L349" i="6"/>
  <c r="O348" i="6"/>
  <c r="M348" i="6"/>
  <c r="N348" i="6" s="1"/>
  <c r="L348" i="6"/>
  <c r="O347" i="6"/>
  <c r="M347" i="6"/>
  <c r="N347" i="6" s="1"/>
  <c r="L347" i="6"/>
  <c r="P346" i="6"/>
  <c r="O346" i="6"/>
  <c r="N346" i="6"/>
  <c r="M346" i="6"/>
  <c r="L346" i="6"/>
  <c r="P345" i="6"/>
  <c r="R345" i="6" s="1"/>
  <c r="O345" i="6"/>
  <c r="N345" i="6"/>
  <c r="M345" i="6"/>
  <c r="L345" i="6"/>
  <c r="P344" i="6"/>
  <c r="O344" i="6"/>
  <c r="M344" i="6"/>
  <c r="N344" i="6" s="1"/>
  <c r="L344" i="6"/>
  <c r="O343" i="6"/>
  <c r="P343" i="6" s="1"/>
  <c r="R343" i="6" s="1"/>
  <c r="M343" i="6"/>
  <c r="N343" i="6" s="1"/>
  <c r="L343" i="6"/>
  <c r="O342" i="6"/>
  <c r="P342" i="6" s="1"/>
  <c r="R342" i="6" s="1"/>
  <c r="M342" i="6"/>
  <c r="N342" i="6" s="1"/>
  <c r="L342" i="6"/>
  <c r="O341" i="6"/>
  <c r="M341" i="6"/>
  <c r="N341" i="6" s="1"/>
  <c r="L341" i="6"/>
  <c r="O340" i="6"/>
  <c r="M340" i="6"/>
  <c r="N340" i="6" s="1"/>
  <c r="L340" i="6"/>
  <c r="O339" i="6"/>
  <c r="M339" i="6"/>
  <c r="N339" i="6" s="1"/>
  <c r="L339" i="6"/>
  <c r="O338" i="6"/>
  <c r="M338" i="6"/>
  <c r="N338" i="6" s="1"/>
  <c r="L338" i="6"/>
  <c r="P337" i="6"/>
  <c r="O337" i="6"/>
  <c r="M337" i="6"/>
  <c r="N337" i="6" s="1"/>
  <c r="L337" i="6"/>
  <c r="O336" i="6"/>
  <c r="P336" i="6" s="1"/>
  <c r="N336" i="6"/>
  <c r="M336" i="6"/>
  <c r="L336" i="6"/>
  <c r="R335" i="6"/>
  <c r="O335" i="6"/>
  <c r="P335" i="6" s="1"/>
  <c r="M335" i="6"/>
  <c r="N335" i="6" s="1"/>
  <c r="L335" i="6"/>
  <c r="O334" i="6"/>
  <c r="M334" i="6"/>
  <c r="N334" i="6" s="1"/>
  <c r="L334" i="6"/>
  <c r="R333" i="6"/>
  <c r="O333" i="6"/>
  <c r="P333" i="6" s="1"/>
  <c r="N333" i="6"/>
  <c r="M333" i="6"/>
  <c r="L333" i="6"/>
  <c r="R332" i="6"/>
  <c r="P332" i="6"/>
  <c r="O332" i="6"/>
  <c r="M332" i="6"/>
  <c r="N332" i="6" s="1"/>
  <c r="L332" i="6"/>
  <c r="R331" i="6"/>
  <c r="O331" i="6"/>
  <c r="P331" i="6" s="1"/>
  <c r="N331" i="6"/>
  <c r="M331" i="6"/>
  <c r="L331" i="6"/>
  <c r="P330" i="6"/>
  <c r="R330" i="6" s="1"/>
  <c r="O330" i="6"/>
  <c r="M330" i="6"/>
  <c r="N330" i="6" s="1"/>
  <c r="L330" i="6"/>
  <c r="R329" i="6"/>
  <c r="O329" i="6"/>
  <c r="P329" i="6" s="1"/>
  <c r="N329" i="6"/>
  <c r="M329" i="6"/>
  <c r="L329" i="6"/>
  <c r="Q328" i="6"/>
  <c r="P328" i="6"/>
  <c r="R328" i="6" s="1"/>
  <c r="O328" i="6"/>
  <c r="N328" i="6"/>
  <c r="M328" i="6"/>
  <c r="L328" i="6"/>
  <c r="O327" i="6"/>
  <c r="M327" i="6"/>
  <c r="N327" i="6" s="1"/>
  <c r="L327" i="6"/>
  <c r="O326" i="6"/>
  <c r="N326" i="6"/>
  <c r="M326" i="6"/>
  <c r="L326" i="6"/>
  <c r="O325" i="6"/>
  <c r="P325" i="6" s="1"/>
  <c r="R325" i="6" s="1"/>
  <c r="N325" i="6"/>
  <c r="M325" i="6"/>
  <c r="L325" i="6"/>
  <c r="P324" i="6"/>
  <c r="O324" i="6"/>
  <c r="N324" i="6"/>
  <c r="M324" i="6"/>
  <c r="L324" i="6"/>
  <c r="R323" i="6"/>
  <c r="P323" i="6"/>
  <c r="O323" i="6"/>
  <c r="N323" i="6"/>
  <c r="M323" i="6"/>
  <c r="L323" i="6"/>
  <c r="O322" i="6"/>
  <c r="P322" i="6" s="1"/>
  <c r="R322" i="6" s="1"/>
  <c r="N322" i="6"/>
  <c r="M322" i="6"/>
  <c r="L322" i="6"/>
  <c r="R321" i="6"/>
  <c r="P321" i="6"/>
  <c r="Q321" i="6" s="1"/>
  <c r="O321" i="6"/>
  <c r="N321" i="6"/>
  <c r="M321" i="6"/>
  <c r="L321" i="6"/>
  <c r="P320" i="6"/>
  <c r="R320" i="6" s="1"/>
  <c r="O320" i="6"/>
  <c r="N320" i="6"/>
  <c r="M320" i="6"/>
  <c r="L320" i="6"/>
  <c r="R319" i="6"/>
  <c r="P319" i="6"/>
  <c r="O319" i="6"/>
  <c r="N319" i="6"/>
  <c r="M319" i="6"/>
  <c r="L319" i="6"/>
  <c r="O318" i="6"/>
  <c r="N318" i="6"/>
  <c r="M318" i="6"/>
  <c r="L318" i="6"/>
  <c r="O317" i="6"/>
  <c r="N317" i="6"/>
  <c r="M317" i="6"/>
  <c r="L317" i="6"/>
  <c r="O316" i="6"/>
  <c r="N316" i="6"/>
  <c r="M316" i="6"/>
  <c r="L316" i="6"/>
  <c r="O315" i="6"/>
  <c r="P315" i="6" s="1"/>
  <c r="M315" i="6"/>
  <c r="N315" i="6" s="1"/>
  <c r="L315" i="6"/>
  <c r="R314" i="6"/>
  <c r="P314" i="6"/>
  <c r="O314" i="6"/>
  <c r="M314" i="6"/>
  <c r="N314" i="6" s="1"/>
  <c r="L314" i="6"/>
  <c r="O313" i="6"/>
  <c r="M313" i="6"/>
  <c r="N313" i="6" s="1"/>
  <c r="L313" i="6"/>
  <c r="P312" i="6"/>
  <c r="O312" i="6"/>
  <c r="N312" i="6"/>
  <c r="M312" i="6"/>
  <c r="L312" i="6"/>
  <c r="Q311" i="6"/>
  <c r="P311" i="6"/>
  <c r="R311" i="6" s="1"/>
  <c r="O311" i="6"/>
  <c r="M311" i="6"/>
  <c r="N311" i="6" s="1"/>
  <c r="L311" i="6"/>
  <c r="P310" i="6"/>
  <c r="O310" i="6"/>
  <c r="N310" i="6"/>
  <c r="M310" i="6"/>
  <c r="L310" i="6"/>
  <c r="O309" i="6"/>
  <c r="N309" i="6"/>
  <c r="M309" i="6"/>
  <c r="L309" i="6"/>
  <c r="O308" i="6"/>
  <c r="N308" i="6"/>
  <c r="M308" i="6"/>
  <c r="L308" i="6"/>
  <c r="O307" i="6"/>
  <c r="N307" i="6"/>
  <c r="M307" i="6"/>
  <c r="L307" i="6"/>
  <c r="O306" i="6"/>
  <c r="N306" i="6"/>
  <c r="M306" i="6"/>
  <c r="L306" i="6"/>
  <c r="O305" i="6"/>
  <c r="N305" i="6"/>
  <c r="M305" i="6"/>
  <c r="L305" i="6"/>
  <c r="O304" i="6"/>
  <c r="N304" i="6"/>
  <c r="M304" i="6"/>
  <c r="L304" i="6"/>
  <c r="O303" i="6"/>
  <c r="N303" i="6"/>
  <c r="M303" i="6"/>
  <c r="L303" i="6"/>
  <c r="P302" i="6"/>
  <c r="R302" i="6" s="1"/>
  <c r="O302" i="6"/>
  <c r="N302" i="6"/>
  <c r="M302" i="6"/>
  <c r="L302" i="6"/>
  <c r="O301" i="6"/>
  <c r="P301" i="6" s="1"/>
  <c r="M301" i="6"/>
  <c r="N301" i="6" s="1"/>
  <c r="L301" i="6"/>
  <c r="P300" i="6"/>
  <c r="O300" i="6"/>
  <c r="N300" i="6"/>
  <c r="M300" i="6"/>
  <c r="L300" i="6"/>
  <c r="O299" i="6"/>
  <c r="N299" i="6"/>
  <c r="M299" i="6"/>
  <c r="L299" i="6"/>
  <c r="O298" i="6"/>
  <c r="P298" i="6" s="1"/>
  <c r="M298" i="6"/>
  <c r="N298" i="6" s="1"/>
  <c r="L298" i="6"/>
  <c r="O297" i="6"/>
  <c r="N297" i="6"/>
  <c r="M297" i="6"/>
  <c r="L297" i="6"/>
  <c r="P296" i="6"/>
  <c r="O296" i="6"/>
  <c r="N296" i="6"/>
  <c r="M296" i="6"/>
  <c r="L296" i="6"/>
  <c r="O295" i="6"/>
  <c r="N295" i="6"/>
  <c r="M295" i="6"/>
  <c r="L295" i="6"/>
  <c r="O294" i="6"/>
  <c r="P294" i="6" s="1"/>
  <c r="N294" i="6"/>
  <c r="M294" i="6"/>
  <c r="L294" i="6"/>
  <c r="R293" i="6"/>
  <c r="O293" i="6"/>
  <c r="P293" i="6" s="1"/>
  <c r="M293" i="6"/>
  <c r="N293" i="6" s="1"/>
  <c r="L293" i="6"/>
  <c r="O292" i="6"/>
  <c r="M292" i="6"/>
  <c r="N292" i="6" s="1"/>
  <c r="L292" i="6"/>
  <c r="O291" i="6"/>
  <c r="M291" i="6"/>
  <c r="N291" i="6" s="1"/>
  <c r="L291" i="6"/>
  <c r="O290" i="6"/>
  <c r="M290" i="6"/>
  <c r="N290" i="6" s="1"/>
  <c r="L290" i="6"/>
  <c r="O289" i="6"/>
  <c r="M289" i="6"/>
  <c r="N289" i="6" s="1"/>
  <c r="L289" i="6"/>
  <c r="O288" i="6"/>
  <c r="P288" i="6" s="1"/>
  <c r="R288" i="6" s="1"/>
  <c r="M288" i="6"/>
  <c r="N288" i="6" s="1"/>
  <c r="L288" i="6"/>
  <c r="R287" i="6"/>
  <c r="P287" i="6"/>
  <c r="O287" i="6"/>
  <c r="M287" i="6"/>
  <c r="N287" i="6" s="1"/>
  <c r="L287" i="6"/>
  <c r="O286" i="6"/>
  <c r="M286" i="6"/>
  <c r="N286" i="6" s="1"/>
  <c r="L286" i="6"/>
  <c r="O285" i="6"/>
  <c r="M285" i="6"/>
  <c r="N285" i="6" s="1"/>
  <c r="L285" i="6"/>
  <c r="O284" i="6"/>
  <c r="M284" i="6"/>
  <c r="N284" i="6" s="1"/>
  <c r="L284" i="6"/>
  <c r="P283" i="6"/>
  <c r="O283" i="6"/>
  <c r="N283" i="6"/>
  <c r="M283" i="6"/>
  <c r="L283" i="6"/>
  <c r="O282" i="6"/>
  <c r="N282" i="6"/>
  <c r="M282" i="6"/>
  <c r="L282" i="6"/>
  <c r="O281" i="6"/>
  <c r="P281" i="6" s="1"/>
  <c r="M281" i="6"/>
  <c r="N281" i="6" s="1"/>
  <c r="L281" i="6"/>
  <c r="O280" i="6"/>
  <c r="N280" i="6"/>
  <c r="M280" i="6"/>
  <c r="L280" i="6"/>
  <c r="R279" i="6"/>
  <c r="O279" i="6"/>
  <c r="P279" i="6" s="1"/>
  <c r="M279" i="6"/>
  <c r="N279" i="6" s="1"/>
  <c r="L279" i="6"/>
  <c r="P278" i="6"/>
  <c r="O278" i="6"/>
  <c r="N278" i="6"/>
  <c r="M278" i="6"/>
  <c r="L278" i="6"/>
  <c r="R277" i="6"/>
  <c r="P277" i="6"/>
  <c r="O277" i="6"/>
  <c r="N277" i="6"/>
  <c r="M277" i="6"/>
  <c r="L277" i="6"/>
  <c r="O276" i="6"/>
  <c r="N276" i="6"/>
  <c r="M276" i="6"/>
  <c r="L276" i="6"/>
  <c r="O275" i="6"/>
  <c r="P275" i="6" s="1"/>
  <c r="M275" i="6"/>
  <c r="N275" i="6" s="1"/>
  <c r="L275" i="6"/>
  <c r="O274" i="6"/>
  <c r="N274" i="6"/>
  <c r="M274" i="6"/>
  <c r="L274" i="6"/>
  <c r="O273" i="6"/>
  <c r="M273" i="6"/>
  <c r="N273" i="6" s="1"/>
  <c r="L273" i="6"/>
  <c r="O272" i="6"/>
  <c r="N272" i="6"/>
  <c r="M272" i="6"/>
  <c r="L272" i="6"/>
  <c r="O271" i="6"/>
  <c r="M271" i="6"/>
  <c r="N271" i="6" s="1"/>
  <c r="L271" i="6"/>
  <c r="P270" i="6"/>
  <c r="O270" i="6"/>
  <c r="N270" i="6"/>
  <c r="M270" i="6"/>
  <c r="L270" i="6"/>
  <c r="O269" i="6"/>
  <c r="N269" i="6"/>
  <c r="M269" i="6"/>
  <c r="L269" i="6"/>
  <c r="O268" i="6"/>
  <c r="N268" i="6"/>
  <c r="M268" i="6"/>
  <c r="L268" i="6"/>
  <c r="O267" i="6"/>
  <c r="P267" i="6" s="1"/>
  <c r="M267" i="6"/>
  <c r="N267" i="6" s="1"/>
  <c r="L267" i="6"/>
  <c r="O266" i="6"/>
  <c r="M266" i="6"/>
  <c r="N266" i="6" s="1"/>
  <c r="L266" i="6"/>
  <c r="O265" i="6"/>
  <c r="M265" i="6"/>
  <c r="N265" i="6" s="1"/>
  <c r="L265" i="6"/>
  <c r="O264" i="6"/>
  <c r="P264" i="6" s="1"/>
  <c r="R264" i="6" s="1"/>
  <c r="M264" i="6"/>
  <c r="N264" i="6" s="1"/>
  <c r="L264" i="6"/>
  <c r="P263" i="6"/>
  <c r="O263" i="6"/>
  <c r="N263" i="6"/>
  <c r="M263" i="6"/>
  <c r="L263" i="6"/>
  <c r="O262" i="6"/>
  <c r="N262" i="6"/>
  <c r="M262" i="6"/>
  <c r="L262" i="6"/>
  <c r="O261" i="6"/>
  <c r="N261" i="6"/>
  <c r="M261" i="6"/>
  <c r="L261" i="6"/>
  <c r="P260" i="6"/>
  <c r="R260" i="6" s="1"/>
  <c r="O260" i="6"/>
  <c r="N260" i="6"/>
  <c r="M260" i="6"/>
  <c r="L260" i="6"/>
  <c r="O259" i="6"/>
  <c r="P259" i="6" s="1"/>
  <c r="M259" i="6"/>
  <c r="N259" i="6" s="1"/>
  <c r="L259" i="6"/>
  <c r="O258" i="6"/>
  <c r="N258" i="6"/>
  <c r="M258" i="6"/>
  <c r="L258" i="6"/>
  <c r="O257" i="6"/>
  <c r="M257" i="6"/>
  <c r="N257" i="6" s="1"/>
  <c r="L257" i="6"/>
  <c r="R256" i="6"/>
  <c r="Q256" i="6"/>
  <c r="P256" i="6"/>
  <c r="O256" i="6"/>
  <c r="N256" i="6"/>
  <c r="M256" i="6"/>
  <c r="L256" i="6"/>
  <c r="Q255" i="6"/>
  <c r="P255" i="6"/>
  <c r="R255" i="6" s="1"/>
  <c r="O255" i="6"/>
  <c r="M255" i="6"/>
  <c r="N255" i="6" s="1"/>
  <c r="L255" i="6"/>
  <c r="O254" i="6"/>
  <c r="M254" i="6"/>
  <c r="N254" i="6" s="1"/>
  <c r="L254" i="6"/>
  <c r="O253" i="6"/>
  <c r="M253" i="6"/>
  <c r="N253" i="6" s="1"/>
  <c r="L253" i="6"/>
  <c r="O252" i="6"/>
  <c r="M252" i="6"/>
  <c r="N252" i="6" s="1"/>
  <c r="L252" i="6"/>
  <c r="P251" i="6"/>
  <c r="O251" i="6"/>
  <c r="N251" i="6"/>
  <c r="M251" i="6"/>
  <c r="L251" i="6"/>
  <c r="O250" i="6"/>
  <c r="P250" i="6" s="1"/>
  <c r="N250" i="6"/>
  <c r="M250" i="6"/>
  <c r="L250" i="6"/>
  <c r="R249" i="6"/>
  <c r="P249" i="6"/>
  <c r="Q249" i="6" s="1"/>
  <c r="O249" i="6"/>
  <c r="N249" i="6"/>
  <c r="M249" i="6"/>
  <c r="L249" i="6"/>
  <c r="O248" i="6"/>
  <c r="N248" i="6"/>
  <c r="M248" i="6"/>
  <c r="L248" i="6"/>
  <c r="O247" i="6"/>
  <c r="N247" i="6"/>
  <c r="M247" i="6"/>
  <c r="L247" i="6"/>
  <c r="O246" i="6"/>
  <c r="N246" i="6"/>
  <c r="M246" i="6"/>
  <c r="L246" i="6"/>
  <c r="O245" i="6"/>
  <c r="N245" i="6"/>
  <c r="M245" i="6"/>
  <c r="L245" i="6"/>
  <c r="Q244" i="6"/>
  <c r="O244" i="6"/>
  <c r="P244" i="6" s="1"/>
  <c r="R244" i="6" s="1"/>
  <c r="M244" i="6"/>
  <c r="N244" i="6" s="1"/>
  <c r="L244" i="6"/>
  <c r="O243" i="6"/>
  <c r="M243" i="6"/>
  <c r="N243" i="6" s="1"/>
  <c r="L243" i="6"/>
  <c r="P242" i="6"/>
  <c r="O242" i="6"/>
  <c r="N242" i="6"/>
  <c r="M242" i="6"/>
  <c r="L242" i="6"/>
  <c r="P241" i="6"/>
  <c r="R241" i="6" s="1"/>
  <c r="O241" i="6"/>
  <c r="N241" i="6"/>
  <c r="M241" i="6"/>
  <c r="L241" i="6"/>
  <c r="R240" i="6"/>
  <c r="P240" i="6"/>
  <c r="O240" i="6"/>
  <c r="N240" i="6"/>
  <c r="M240" i="6"/>
  <c r="L240" i="6"/>
  <c r="O239" i="6"/>
  <c r="N239" i="6"/>
  <c r="M239" i="6"/>
  <c r="L239" i="6"/>
  <c r="O238" i="6"/>
  <c r="P238" i="6" s="1"/>
  <c r="M238" i="6"/>
  <c r="N238" i="6" s="1"/>
  <c r="L238" i="6"/>
  <c r="O237" i="6"/>
  <c r="N237" i="6"/>
  <c r="M237" i="6"/>
  <c r="L237" i="6"/>
  <c r="R236" i="6"/>
  <c r="P236" i="6"/>
  <c r="Q236" i="6" s="1"/>
  <c r="O236" i="6"/>
  <c r="N236" i="6"/>
  <c r="M236" i="6"/>
  <c r="L236" i="6"/>
  <c r="O235" i="6"/>
  <c r="N235" i="6"/>
  <c r="M235" i="6"/>
  <c r="L235" i="6"/>
  <c r="O234" i="6"/>
  <c r="N234" i="6"/>
  <c r="M234" i="6"/>
  <c r="L234" i="6"/>
  <c r="O233" i="6"/>
  <c r="N233" i="6"/>
  <c r="M233" i="6"/>
  <c r="L233" i="6"/>
  <c r="O232" i="6"/>
  <c r="N232" i="6"/>
  <c r="M232" i="6"/>
  <c r="L232" i="6"/>
  <c r="P231" i="6"/>
  <c r="R231" i="6" s="1"/>
  <c r="O231" i="6"/>
  <c r="N231" i="6"/>
  <c r="M231" i="6"/>
  <c r="L231" i="6"/>
  <c r="P230" i="6"/>
  <c r="O230" i="6"/>
  <c r="M230" i="6"/>
  <c r="N230" i="6" s="1"/>
  <c r="L230" i="6"/>
  <c r="O229" i="6"/>
  <c r="P229" i="6" s="1"/>
  <c r="R229" i="6" s="1"/>
  <c r="N229" i="6"/>
  <c r="M229" i="6"/>
  <c r="L229" i="6"/>
  <c r="R228" i="6"/>
  <c r="O228" i="6"/>
  <c r="P228" i="6" s="1"/>
  <c r="M228" i="6"/>
  <c r="N228" i="6" s="1"/>
  <c r="L228" i="6"/>
  <c r="P227" i="6"/>
  <c r="O227" i="6"/>
  <c r="N227" i="6"/>
  <c r="M227" i="6"/>
  <c r="L227" i="6"/>
  <c r="Q226" i="6"/>
  <c r="P226" i="6"/>
  <c r="R226" i="6" s="1"/>
  <c r="O226" i="6"/>
  <c r="M226" i="6"/>
  <c r="N226" i="6" s="1"/>
  <c r="L226" i="6"/>
  <c r="O225" i="6"/>
  <c r="M225" i="6"/>
  <c r="N225" i="6" s="1"/>
  <c r="L225" i="6"/>
  <c r="O224" i="6"/>
  <c r="M224" i="6"/>
  <c r="N224" i="6" s="1"/>
  <c r="L224" i="6"/>
  <c r="O223" i="6"/>
  <c r="M223" i="6"/>
  <c r="N223" i="6" s="1"/>
  <c r="L223" i="6"/>
  <c r="P222" i="6"/>
  <c r="O222" i="6"/>
  <c r="N222" i="6"/>
  <c r="M222" i="6"/>
  <c r="L222" i="6"/>
  <c r="O221" i="6"/>
  <c r="N221" i="6"/>
  <c r="M221" i="6"/>
  <c r="L221" i="6"/>
  <c r="P220" i="6"/>
  <c r="R220" i="6" s="1"/>
  <c r="O220" i="6"/>
  <c r="N220" i="6"/>
  <c r="M220" i="6"/>
  <c r="L220" i="6"/>
  <c r="O219" i="6"/>
  <c r="N219" i="6"/>
  <c r="M219" i="6"/>
  <c r="L219" i="6"/>
  <c r="P218" i="6"/>
  <c r="R218" i="6" s="1"/>
  <c r="O218" i="6"/>
  <c r="N218" i="6"/>
  <c r="M218" i="6"/>
  <c r="L218" i="6"/>
  <c r="P217" i="6"/>
  <c r="R217" i="6" s="1"/>
  <c r="O217" i="6"/>
  <c r="N217" i="6"/>
  <c r="M217" i="6"/>
  <c r="L217" i="6"/>
  <c r="O216" i="6"/>
  <c r="N216" i="6"/>
  <c r="M216" i="6"/>
  <c r="L216" i="6"/>
  <c r="O215" i="6"/>
  <c r="P215" i="6" s="1"/>
  <c r="M215" i="6"/>
  <c r="N215" i="6" s="1"/>
  <c r="L215" i="6"/>
  <c r="P214" i="6"/>
  <c r="O214" i="6"/>
  <c r="N214" i="6"/>
  <c r="M214" i="6"/>
  <c r="L214" i="6"/>
  <c r="O213" i="6"/>
  <c r="N213" i="6"/>
  <c r="M213" i="6"/>
  <c r="L213" i="6"/>
  <c r="O212" i="6"/>
  <c r="P212" i="6" s="1"/>
  <c r="M212" i="6"/>
  <c r="N212" i="6" s="1"/>
  <c r="L212" i="6"/>
  <c r="O211" i="6"/>
  <c r="N211" i="6"/>
  <c r="M211" i="6"/>
  <c r="L211" i="6"/>
  <c r="O210" i="6"/>
  <c r="M210" i="6"/>
  <c r="N210" i="6" s="1"/>
  <c r="L210" i="6"/>
  <c r="R209" i="6"/>
  <c r="Q209" i="6"/>
  <c r="P209" i="6"/>
  <c r="O209" i="6"/>
  <c r="N209" i="6"/>
  <c r="M209" i="6"/>
  <c r="L209" i="6"/>
  <c r="P208" i="6"/>
  <c r="R208" i="6" s="1"/>
  <c r="O208" i="6"/>
  <c r="N208" i="6"/>
  <c r="M208" i="6"/>
  <c r="L208" i="6"/>
  <c r="P207" i="6"/>
  <c r="R207" i="6" s="1"/>
  <c r="O207" i="6"/>
  <c r="N207" i="6"/>
  <c r="M207" i="6"/>
  <c r="L207" i="6"/>
  <c r="O206" i="6"/>
  <c r="N206" i="6"/>
  <c r="M206" i="6"/>
  <c r="L206" i="6"/>
  <c r="O205" i="6"/>
  <c r="N205" i="6"/>
  <c r="M205" i="6"/>
  <c r="L205" i="6"/>
  <c r="P204" i="6"/>
  <c r="R204" i="6" s="1"/>
  <c r="O204" i="6"/>
  <c r="N204" i="6"/>
  <c r="M204" i="6"/>
  <c r="L204" i="6"/>
  <c r="O203" i="6"/>
  <c r="N203" i="6"/>
  <c r="M203" i="6"/>
  <c r="L203" i="6"/>
  <c r="O202" i="6"/>
  <c r="N202" i="6"/>
  <c r="M202" i="6"/>
  <c r="L202" i="6"/>
  <c r="P201" i="6"/>
  <c r="O201" i="6"/>
  <c r="M201" i="6"/>
  <c r="N201" i="6" s="1"/>
  <c r="L201" i="6"/>
  <c r="O200" i="6"/>
  <c r="M200" i="6"/>
  <c r="N200" i="6" s="1"/>
  <c r="L200" i="6"/>
  <c r="O199" i="6"/>
  <c r="P199" i="6" s="1"/>
  <c r="R199" i="6" s="1"/>
  <c r="M199" i="6"/>
  <c r="N199" i="6" s="1"/>
  <c r="L199" i="6"/>
  <c r="O198" i="6"/>
  <c r="N198" i="6"/>
  <c r="M198" i="6"/>
  <c r="L198" i="6"/>
  <c r="O197" i="6"/>
  <c r="M197" i="6"/>
  <c r="N197" i="6" s="1"/>
  <c r="L197" i="6"/>
  <c r="R196" i="6"/>
  <c r="Q196" i="6"/>
  <c r="P196" i="6"/>
  <c r="O196" i="6"/>
  <c r="N196" i="6"/>
  <c r="M196" i="6"/>
  <c r="L196" i="6"/>
  <c r="O195" i="6"/>
  <c r="N195" i="6"/>
  <c r="M195" i="6"/>
  <c r="L195" i="6"/>
  <c r="O194" i="6"/>
  <c r="N194" i="6"/>
  <c r="M194" i="6"/>
  <c r="L194" i="6"/>
  <c r="O193" i="6"/>
  <c r="N193" i="6"/>
  <c r="M193" i="6"/>
  <c r="L193" i="6"/>
  <c r="O192" i="6"/>
  <c r="P192" i="6" s="1"/>
  <c r="M192" i="6"/>
  <c r="N192" i="6" s="1"/>
  <c r="L192" i="6"/>
  <c r="R191" i="6"/>
  <c r="P191" i="6"/>
  <c r="O191" i="6"/>
  <c r="M191" i="6"/>
  <c r="N191" i="6" s="1"/>
  <c r="L191" i="6"/>
  <c r="O190" i="6"/>
  <c r="M190" i="6"/>
  <c r="N190" i="6" s="1"/>
  <c r="L190" i="6"/>
  <c r="O189" i="6"/>
  <c r="P189" i="6" s="1"/>
  <c r="R189" i="6" s="1"/>
  <c r="M189" i="6"/>
  <c r="N189" i="6" s="1"/>
  <c r="L189" i="6"/>
  <c r="P188" i="6"/>
  <c r="O188" i="6"/>
  <c r="N188" i="6"/>
  <c r="M188" i="6"/>
  <c r="L188" i="6"/>
  <c r="O187" i="6"/>
  <c r="P187" i="6" s="1"/>
  <c r="N187" i="6"/>
  <c r="M187" i="6"/>
  <c r="L187" i="6"/>
  <c r="R186" i="6"/>
  <c r="O186" i="6"/>
  <c r="P186" i="6" s="1"/>
  <c r="M186" i="6"/>
  <c r="N186" i="6" s="1"/>
  <c r="L186" i="6"/>
  <c r="O185" i="6"/>
  <c r="P185" i="6" s="1"/>
  <c r="R185" i="6" s="1"/>
  <c r="M185" i="6"/>
  <c r="N185" i="6" s="1"/>
  <c r="L185" i="6"/>
  <c r="O184" i="6"/>
  <c r="N184" i="6"/>
  <c r="M184" i="6"/>
  <c r="L184" i="6"/>
  <c r="O183" i="6"/>
  <c r="M183" i="6"/>
  <c r="N183" i="6" s="1"/>
  <c r="L183" i="6"/>
  <c r="O182" i="6"/>
  <c r="N182" i="6"/>
  <c r="M182" i="6"/>
  <c r="L182" i="6"/>
  <c r="O181" i="6"/>
  <c r="M181" i="6"/>
  <c r="N181" i="6" s="1"/>
  <c r="L181" i="6"/>
  <c r="O180" i="6"/>
  <c r="N180" i="6"/>
  <c r="M180" i="6"/>
  <c r="L180" i="6"/>
  <c r="O179" i="6"/>
  <c r="M179" i="6"/>
  <c r="N179" i="6" s="1"/>
  <c r="L179" i="6"/>
  <c r="R178" i="6"/>
  <c r="Q178" i="6"/>
  <c r="P178" i="6"/>
  <c r="O178" i="6"/>
  <c r="N178" i="6"/>
  <c r="M178" i="6"/>
  <c r="L178" i="6"/>
  <c r="P177" i="6"/>
  <c r="R177" i="6" s="1"/>
  <c r="O177" i="6"/>
  <c r="N177" i="6"/>
  <c r="M177" i="6"/>
  <c r="L177" i="6"/>
  <c r="O176" i="6"/>
  <c r="N176" i="6"/>
  <c r="M176" i="6"/>
  <c r="L176" i="6"/>
  <c r="O175" i="6"/>
  <c r="N175" i="6"/>
  <c r="M175" i="6"/>
  <c r="L175" i="6"/>
  <c r="O174" i="6"/>
  <c r="P174" i="6" s="1"/>
  <c r="M174" i="6"/>
  <c r="N174" i="6" s="1"/>
  <c r="L174" i="6"/>
  <c r="O173" i="6"/>
  <c r="M173" i="6"/>
  <c r="N173" i="6" s="1"/>
  <c r="L173" i="6"/>
  <c r="O172" i="6"/>
  <c r="M172" i="6"/>
  <c r="N172" i="6" s="1"/>
  <c r="L172" i="6"/>
  <c r="P171" i="6"/>
  <c r="O171" i="6"/>
  <c r="N171" i="6"/>
  <c r="M171" i="6"/>
  <c r="L171" i="6"/>
  <c r="O170" i="6"/>
  <c r="P170" i="6" s="1"/>
  <c r="M170" i="6"/>
  <c r="N170" i="6" s="1"/>
  <c r="L170" i="6"/>
  <c r="R169" i="6"/>
  <c r="Q169" i="6"/>
  <c r="P169" i="6"/>
  <c r="O169" i="6"/>
  <c r="N169" i="6"/>
  <c r="M169" i="6"/>
  <c r="L169" i="6"/>
  <c r="Q168" i="6"/>
  <c r="P168" i="6"/>
  <c r="R168" i="6" s="1"/>
  <c r="O168" i="6"/>
  <c r="M168" i="6"/>
  <c r="N168" i="6" s="1"/>
  <c r="L168" i="6"/>
  <c r="P167" i="6"/>
  <c r="O167" i="6"/>
  <c r="N167" i="6"/>
  <c r="M167" i="6"/>
  <c r="L167" i="6"/>
  <c r="O166" i="6"/>
  <c r="P166" i="6" s="1"/>
  <c r="M166" i="6"/>
  <c r="N166" i="6" s="1"/>
  <c r="L166" i="6"/>
  <c r="R165" i="6"/>
  <c r="Q165" i="6"/>
  <c r="P165" i="6"/>
  <c r="O165" i="6"/>
  <c r="N165" i="6"/>
  <c r="M165" i="6"/>
  <c r="L165" i="6"/>
  <c r="P164" i="6"/>
  <c r="R164" i="6" s="1"/>
  <c r="O164" i="6"/>
  <c r="N164" i="6"/>
  <c r="M164" i="6"/>
  <c r="L164" i="6"/>
  <c r="O163" i="6"/>
  <c r="P163" i="6" s="1"/>
  <c r="M163" i="6"/>
  <c r="N163" i="6" s="1"/>
  <c r="L163" i="6"/>
  <c r="O162" i="6"/>
  <c r="P162" i="6" s="1"/>
  <c r="R162" i="6" s="1"/>
  <c r="M162" i="6"/>
  <c r="N162" i="6" s="1"/>
  <c r="L162" i="6"/>
  <c r="P161" i="6"/>
  <c r="O161" i="6"/>
  <c r="N161" i="6"/>
  <c r="M161" i="6"/>
  <c r="L161" i="6"/>
  <c r="P160" i="6"/>
  <c r="R160" i="6" s="1"/>
  <c r="O160" i="6"/>
  <c r="N160" i="6"/>
  <c r="M160" i="6"/>
  <c r="L160" i="6"/>
  <c r="O159" i="6"/>
  <c r="N159" i="6"/>
  <c r="M159" i="6"/>
  <c r="L159" i="6"/>
  <c r="O158" i="6"/>
  <c r="N158" i="6"/>
  <c r="M158" i="6"/>
  <c r="L158" i="6"/>
  <c r="O157" i="6"/>
  <c r="N157" i="6"/>
  <c r="M157" i="6"/>
  <c r="L157" i="6"/>
  <c r="O156" i="6"/>
  <c r="N156" i="6"/>
  <c r="M156" i="6"/>
  <c r="L156" i="6"/>
  <c r="O155" i="6"/>
  <c r="N155" i="6"/>
  <c r="M155" i="6"/>
  <c r="L155" i="6"/>
  <c r="O154" i="6"/>
  <c r="N154" i="6"/>
  <c r="M154" i="6"/>
  <c r="L154" i="6"/>
  <c r="O153" i="6"/>
  <c r="N153" i="6"/>
  <c r="M153" i="6"/>
  <c r="L153" i="6"/>
  <c r="O152" i="6"/>
  <c r="N152" i="6"/>
  <c r="M152" i="6"/>
  <c r="L152" i="6"/>
  <c r="O151" i="6"/>
  <c r="N151" i="6"/>
  <c r="M151" i="6"/>
  <c r="L151" i="6"/>
  <c r="O150" i="6"/>
  <c r="N150" i="6"/>
  <c r="M150" i="6"/>
  <c r="L150" i="6"/>
  <c r="O149" i="6"/>
  <c r="P149" i="6" s="1"/>
  <c r="M149" i="6"/>
  <c r="N149" i="6" s="1"/>
  <c r="L149" i="6"/>
  <c r="R148" i="6"/>
  <c r="O148" i="6"/>
  <c r="P148" i="6" s="1"/>
  <c r="M148" i="6"/>
  <c r="N148" i="6" s="1"/>
  <c r="L148" i="6"/>
  <c r="P147" i="6"/>
  <c r="O147" i="6"/>
  <c r="N147" i="6"/>
  <c r="M147" i="6"/>
  <c r="L147" i="6"/>
  <c r="P146" i="6"/>
  <c r="R146" i="6" s="1"/>
  <c r="O146" i="6"/>
  <c r="N146" i="6"/>
  <c r="M146" i="6"/>
  <c r="L146" i="6"/>
  <c r="O145" i="6"/>
  <c r="N145" i="6"/>
  <c r="M145" i="6"/>
  <c r="L145" i="6"/>
  <c r="O144" i="6"/>
  <c r="N144" i="6"/>
  <c r="M144" i="6"/>
  <c r="L144" i="6"/>
  <c r="O143" i="6"/>
  <c r="P143" i="6" s="1"/>
  <c r="M143" i="6"/>
  <c r="N143" i="6" s="1"/>
  <c r="L143" i="6"/>
  <c r="O142" i="6"/>
  <c r="P142" i="6" s="1"/>
  <c r="R142" i="6" s="1"/>
  <c r="M142" i="6"/>
  <c r="N142" i="6" s="1"/>
  <c r="L142" i="6"/>
  <c r="O141" i="6"/>
  <c r="M141" i="6"/>
  <c r="N141" i="6" s="1"/>
  <c r="L141" i="6"/>
  <c r="O140" i="6"/>
  <c r="M140" i="6"/>
  <c r="N140" i="6" s="1"/>
  <c r="L140" i="6"/>
  <c r="O139" i="6"/>
  <c r="P139" i="6" s="1"/>
  <c r="R139" i="6" s="1"/>
  <c r="M139" i="6"/>
  <c r="N139" i="6" s="1"/>
  <c r="L139" i="6"/>
  <c r="P138" i="6"/>
  <c r="O138" i="6"/>
  <c r="N138" i="6"/>
  <c r="M138" i="6"/>
  <c r="L138" i="6"/>
  <c r="O137" i="6"/>
  <c r="N137" i="6"/>
  <c r="M137" i="6"/>
  <c r="L137" i="6"/>
  <c r="O136" i="6"/>
  <c r="P136" i="6" s="1"/>
  <c r="R136" i="6" s="1"/>
  <c r="M136" i="6"/>
  <c r="N136" i="6" s="1"/>
  <c r="L136" i="6"/>
  <c r="P135" i="6"/>
  <c r="O135" i="6"/>
  <c r="N135" i="6"/>
  <c r="M135" i="6"/>
  <c r="L135" i="6"/>
  <c r="O134" i="6"/>
  <c r="N134" i="6"/>
  <c r="M134" i="6"/>
  <c r="L134" i="6"/>
  <c r="O133" i="6"/>
  <c r="N133" i="6"/>
  <c r="M133" i="6"/>
  <c r="L133" i="6"/>
  <c r="O132" i="6"/>
  <c r="N132" i="6"/>
  <c r="M132" i="6"/>
  <c r="L132" i="6"/>
  <c r="Q131" i="6"/>
  <c r="O131" i="6"/>
  <c r="P131" i="6" s="1"/>
  <c r="R131" i="6" s="1"/>
  <c r="M131" i="6"/>
  <c r="N131" i="6" s="1"/>
  <c r="L131" i="6"/>
  <c r="O130" i="6"/>
  <c r="P130" i="6" s="1"/>
  <c r="R130" i="6" s="1"/>
  <c r="M130" i="6"/>
  <c r="N130" i="6" s="1"/>
  <c r="L130" i="6"/>
  <c r="O129" i="6"/>
  <c r="M129" i="6"/>
  <c r="N129" i="6" s="1"/>
  <c r="L129" i="6"/>
  <c r="O128" i="6"/>
  <c r="M128" i="6"/>
  <c r="N128" i="6" s="1"/>
  <c r="L128" i="6"/>
  <c r="R127" i="6"/>
  <c r="P127" i="6"/>
  <c r="Q127" i="6" s="1"/>
  <c r="O127" i="6"/>
  <c r="N127" i="6"/>
  <c r="M127" i="6"/>
  <c r="L127" i="6"/>
  <c r="O126" i="6"/>
  <c r="N126" i="6"/>
  <c r="M126" i="6"/>
  <c r="L126" i="6"/>
  <c r="O125" i="6"/>
  <c r="N125" i="6"/>
  <c r="M125" i="6"/>
  <c r="L125" i="6"/>
  <c r="O124" i="6"/>
  <c r="P124" i="6" s="1"/>
  <c r="M124" i="6"/>
  <c r="N124" i="6" s="1"/>
  <c r="L124" i="6"/>
  <c r="O123" i="6"/>
  <c r="P123" i="6" s="1"/>
  <c r="R123" i="6" s="1"/>
  <c r="M123" i="6"/>
  <c r="N123" i="6" s="1"/>
  <c r="L123" i="6"/>
  <c r="O122" i="6"/>
  <c r="M122" i="6"/>
  <c r="N122" i="6" s="1"/>
  <c r="L122" i="6"/>
  <c r="O121" i="6"/>
  <c r="M121" i="6"/>
  <c r="N121" i="6" s="1"/>
  <c r="L121" i="6"/>
  <c r="O120" i="6"/>
  <c r="P120" i="6" s="1"/>
  <c r="R120" i="6" s="1"/>
  <c r="M120" i="6"/>
  <c r="N120" i="6" s="1"/>
  <c r="L120" i="6"/>
  <c r="O119" i="6"/>
  <c r="P119" i="6" s="1"/>
  <c r="R119" i="6" s="1"/>
  <c r="M119" i="6"/>
  <c r="N119" i="6" s="1"/>
  <c r="L119" i="6"/>
  <c r="O118" i="6"/>
  <c r="M118" i="6"/>
  <c r="N118" i="6" s="1"/>
  <c r="L118" i="6"/>
  <c r="O117" i="6"/>
  <c r="M117" i="6"/>
  <c r="N117" i="6" s="1"/>
  <c r="L117" i="6"/>
  <c r="O116" i="6"/>
  <c r="M116" i="6"/>
  <c r="N116" i="6" s="1"/>
  <c r="L116" i="6"/>
  <c r="O115" i="6"/>
  <c r="M115" i="6"/>
  <c r="N115" i="6" s="1"/>
  <c r="L115" i="6"/>
  <c r="O114" i="6"/>
  <c r="M114" i="6"/>
  <c r="N114" i="6" s="1"/>
  <c r="L114" i="6"/>
  <c r="P113" i="6"/>
  <c r="O113" i="6"/>
  <c r="N113" i="6"/>
  <c r="M113" i="6"/>
  <c r="L113" i="6"/>
  <c r="O112" i="6"/>
  <c r="N112" i="6"/>
  <c r="M112" i="6"/>
  <c r="L112" i="6"/>
  <c r="O111" i="6"/>
  <c r="N111" i="6"/>
  <c r="M111" i="6"/>
  <c r="L111" i="6"/>
  <c r="O110" i="6"/>
  <c r="P110" i="6" s="1"/>
  <c r="M110" i="6"/>
  <c r="N110" i="6" s="1"/>
  <c r="L110" i="6"/>
  <c r="P109" i="6"/>
  <c r="O109" i="6"/>
  <c r="N109" i="6"/>
  <c r="M109" i="6"/>
  <c r="L109" i="6"/>
  <c r="O108" i="6"/>
  <c r="P108" i="6" s="1"/>
  <c r="M108" i="6"/>
  <c r="N108" i="6" s="1"/>
  <c r="L108" i="6"/>
  <c r="R107" i="6"/>
  <c r="P107" i="6"/>
  <c r="Q107" i="6" s="1"/>
  <c r="O107" i="6"/>
  <c r="N107" i="6"/>
  <c r="M107" i="6"/>
  <c r="L107" i="6"/>
  <c r="O106" i="6"/>
  <c r="N106" i="6"/>
  <c r="M106" i="6"/>
  <c r="L106" i="6"/>
  <c r="O105" i="6"/>
  <c r="N105" i="6"/>
  <c r="M105" i="6"/>
  <c r="L105" i="6"/>
  <c r="O104" i="6"/>
  <c r="N104" i="6"/>
  <c r="M104" i="6"/>
  <c r="L104" i="6"/>
  <c r="P103" i="6"/>
  <c r="R103" i="6" s="1"/>
  <c r="O103" i="6"/>
  <c r="N103" i="6"/>
  <c r="M103" i="6"/>
  <c r="L103" i="6"/>
  <c r="O102" i="6"/>
  <c r="P102" i="6" s="1"/>
  <c r="M102" i="6"/>
  <c r="N102" i="6" s="1"/>
  <c r="L102" i="6"/>
  <c r="O101" i="6"/>
  <c r="M101" i="6"/>
  <c r="N101" i="6" s="1"/>
  <c r="L101" i="6"/>
  <c r="O100" i="6"/>
  <c r="M100" i="6"/>
  <c r="N100" i="6" s="1"/>
  <c r="L100" i="6"/>
  <c r="O99" i="6"/>
  <c r="M99" i="6"/>
  <c r="N99" i="6" s="1"/>
  <c r="L99" i="6"/>
  <c r="P98" i="6"/>
  <c r="O98" i="6"/>
  <c r="N98" i="6"/>
  <c r="M98" i="6"/>
  <c r="L98" i="6"/>
  <c r="O97" i="6"/>
  <c r="N97" i="6"/>
  <c r="M97" i="6"/>
  <c r="L97" i="6"/>
  <c r="O96" i="6"/>
  <c r="N96" i="6"/>
  <c r="M96" i="6"/>
  <c r="L96" i="6"/>
  <c r="O95" i="6"/>
  <c r="N95" i="6"/>
  <c r="M95" i="6"/>
  <c r="L95" i="6"/>
  <c r="O94" i="6"/>
  <c r="N94" i="6"/>
  <c r="M94" i="6"/>
  <c r="L94" i="6"/>
  <c r="O93" i="6"/>
  <c r="P93" i="6" s="1"/>
  <c r="M93" i="6"/>
  <c r="N93" i="6" s="1"/>
  <c r="L93" i="6"/>
  <c r="R92" i="6"/>
  <c r="P92" i="6"/>
  <c r="Q92" i="6" s="1"/>
  <c r="O92" i="6"/>
  <c r="N92" i="6"/>
  <c r="M92" i="6"/>
  <c r="L92" i="6"/>
  <c r="O91" i="6"/>
  <c r="N91" i="6"/>
  <c r="M91" i="6"/>
  <c r="L91" i="6"/>
  <c r="O90" i="6"/>
  <c r="N90" i="6"/>
  <c r="M90" i="6"/>
  <c r="L90" i="6"/>
  <c r="O89" i="6"/>
  <c r="N89" i="6"/>
  <c r="M89" i="6"/>
  <c r="L89" i="6"/>
  <c r="O88" i="6"/>
  <c r="N88" i="6"/>
  <c r="M88" i="6"/>
  <c r="L88" i="6"/>
  <c r="O87" i="6"/>
  <c r="P87" i="6" s="1"/>
  <c r="M87" i="6"/>
  <c r="N87" i="6" s="1"/>
  <c r="L87" i="6"/>
  <c r="O86" i="6"/>
  <c r="P86" i="6" s="1"/>
  <c r="R86" i="6" s="1"/>
  <c r="M86" i="6"/>
  <c r="N86" i="6" s="1"/>
  <c r="L86" i="6"/>
  <c r="P85" i="6"/>
  <c r="O85" i="6"/>
  <c r="N85" i="6"/>
  <c r="M85" i="6"/>
  <c r="L85" i="6"/>
  <c r="O84" i="6"/>
  <c r="P84" i="6" s="1"/>
  <c r="M84" i="6"/>
  <c r="N84" i="6" s="1"/>
  <c r="L84" i="6"/>
  <c r="O83" i="6"/>
  <c r="M83" i="6"/>
  <c r="N83" i="6" s="1"/>
  <c r="L83" i="6"/>
  <c r="P82" i="6"/>
  <c r="O82" i="6"/>
  <c r="N82" i="6"/>
  <c r="M82" i="6"/>
  <c r="L82" i="6"/>
  <c r="P81" i="6"/>
  <c r="R81" i="6" s="1"/>
  <c r="O81" i="6"/>
  <c r="N81" i="6"/>
  <c r="M81" i="6"/>
  <c r="L81" i="6"/>
  <c r="O80" i="6"/>
  <c r="P80" i="6" s="1"/>
  <c r="M80" i="6"/>
  <c r="N80" i="6" s="1"/>
  <c r="L80" i="6"/>
  <c r="O79" i="6"/>
  <c r="M79" i="6"/>
  <c r="N79" i="6" s="1"/>
  <c r="L79" i="6"/>
  <c r="O78" i="6"/>
  <c r="M78" i="6"/>
  <c r="N78" i="6" s="1"/>
  <c r="L78" i="6"/>
  <c r="O77" i="6"/>
  <c r="M77" i="6"/>
  <c r="N77" i="6" s="1"/>
  <c r="L77" i="6"/>
  <c r="O76" i="6"/>
  <c r="M76" i="6"/>
  <c r="N76" i="6" s="1"/>
  <c r="L76" i="6"/>
  <c r="O75" i="6"/>
  <c r="M75" i="6"/>
  <c r="N75" i="6" s="1"/>
  <c r="L75" i="6"/>
  <c r="O74" i="6"/>
  <c r="M74" i="6"/>
  <c r="N74" i="6" s="1"/>
  <c r="L74" i="6"/>
  <c r="O73" i="6"/>
  <c r="P73" i="6" s="1"/>
  <c r="R73" i="6" s="1"/>
  <c r="M73" i="6"/>
  <c r="N73" i="6" s="1"/>
  <c r="L73" i="6"/>
  <c r="O72" i="6"/>
  <c r="P72" i="6" s="1"/>
  <c r="R72" i="6" s="1"/>
  <c r="M72" i="6"/>
  <c r="N72" i="6" s="1"/>
  <c r="L72" i="6"/>
  <c r="O71" i="6"/>
  <c r="M71" i="6"/>
  <c r="N71" i="6" s="1"/>
  <c r="L71" i="6"/>
  <c r="O70" i="6"/>
  <c r="M70" i="6"/>
  <c r="N70" i="6" s="1"/>
  <c r="L70" i="6"/>
  <c r="R69" i="6"/>
  <c r="O69" i="6"/>
  <c r="P69" i="6" s="1"/>
  <c r="M69" i="6"/>
  <c r="N69" i="6" s="1"/>
  <c r="L69" i="6"/>
  <c r="O68" i="6"/>
  <c r="N68" i="6"/>
  <c r="M68" i="6"/>
  <c r="L68" i="6"/>
  <c r="O67" i="6"/>
  <c r="M67" i="6"/>
  <c r="N67" i="6" s="1"/>
  <c r="L67" i="6"/>
  <c r="O66" i="6"/>
  <c r="P66" i="6" s="1"/>
  <c r="N66" i="6"/>
  <c r="M66" i="6"/>
  <c r="L66" i="6"/>
  <c r="O65" i="6"/>
  <c r="N65" i="6"/>
  <c r="M65" i="6"/>
  <c r="L65" i="6"/>
  <c r="P64" i="6"/>
  <c r="O64" i="6"/>
  <c r="M64" i="6"/>
  <c r="N64" i="6" s="1"/>
  <c r="L64" i="6"/>
  <c r="O63" i="6"/>
  <c r="M63" i="6"/>
  <c r="N63" i="6" s="1"/>
  <c r="L63" i="6"/>
  <c r="P62" i="6"/>
  <c r="O62" i="6"/>
  <c r="N62" i="6"/>
  <c r="M62" i="6"/>
  <c r="L62" i="6"/>
  <c r="O61" i="6"/>
  <c r="M61" i="6"/>
  <c r="N61" i="6" s="1"/>
  <c r="L61" i="6"/>
  <c r="P60" i="6"/>
  <c r="R60" i="6" s="1"/>
  <c r="O60" i="6"/>
  <c r="N60" i="6"/>
  <c r="M60" i="6"/>
  <c r="L60" i="6"/>
  <c r="P59" i="6"/>
  <c r="R59" i="6" s="1"/>
  <c r="O59" i="6"/>
  <c r="N59" i="6"/>
  <c r="M59" i="6"/>
  <c r="L59" i="6"/>
  <c r="O58" i="6"/>
  <c r="P58" i="6" s="1"/>
  <c r="N58" i="6"/>
  <c r="M58" i="6"/>
  <c r="L58" i="6"/>
  <c r="O57" i="6"/>
  <c r="M57" i="6"/>
  <c r="N57" i="6" s="1"/>
  <c r="L57" i="6"/>
  <c r="O56" i="6"/>
  <c r="P56" i="6" s="1"/>
  <c r="N56" i="6"/>
  <c r="M56" i="6"/>
  <c r="L56" i="6"/>
  <c r="O55" i="6"/>
  <c r="N55" i="6"/>
  <c r="M55" i="6"/>
  <c r="L55" i="6"/>
  <c r="O54" i="6"/>
  <c r="N54" i="6"/>
  <c r="M54" i="6"/>
  <c r="L54" i="6"/>
  <c r="O53" i="6"/>
  <c r="P53" i="6" s="1"/>
  <c r="R53" i="6" s="1"/>
  <c r="M53" i="6"/>
  <c r="N53" i="6" s="1"/>
  <c r="L53" i="6"/>
  <c r="O52" i="6"/>
  <c r="M52" i="6"/>
  <c r="N52" i="6" s="1"/>
  <c r="L52" i="6"/>
  <c r="O51" i="6"/>
  <c r="N51" i="6"/>
  <c r="M51" i="6"/>
  <c r="L51" i="6"/>
  <c r="R50" i="6"/>
  <c r="O50" i="6"/>
  <c r="P50" i="6" s="1"/>
  <c r="M50" i="6"/>
  <c r="N50" i="6" s="1"/>
  <c r="L50" i="6"/>
  <c r="O49" i="6"/>
  <c r="M49" i="6"/>
  <c r="N49" i="6" s="1"/>
  <c r="L49" i="6"/>
  <c r="O48" i="6"/>
  <c r="M48" i="6"/>
  <c r="N48" i="6" s="1"/>
  <c r="L48" i="6"/>
  <c r="O47" i="6"/>
  <c r="M47" i="6"/>
  <c r="N47" i="6" s="1"/>
  <c r="L47" i="6"/>
  <c r="O46" i="6"/>
  <c r="M46" i="6"/>
  <c r="N46" i="6" s="1"/>
  <c r="L46" i="6"/>
  <c r="O45" i="6"/>
  <c r="M45" i="6"/>
  <c r="N45" i="6" s="1"/>
  <c r="L45" i="6"/>
  <c r="R44" i="6"/>
  <c r="O44" i="6"/>
  <c r="P44" i="6" s="1"/>
  <c r="N44" i="6"/>
  <c r="M44" i="6"/>
  <c r="L44" i="6"/>
  <c r="P43" i="6"/>
  <c r="O43" i="6"/>
  <c r="N43" i="6"/>
  <c r="M43" i="6"/>
  <c r="L43" i="6"/>
  <c r="R42" i="6"/>
  <c r="P42" i="6"/>
  <c r="O42" i="6"/>
  <c r="N42" i="6"/>
  <c r="M42" i="6"/>
  <c r="L42" i="6"/>
  <c r="P41" i="6"/>
  <c r="O41" i="6"/>
  <c r="R41" i="6" s="1"/>
  <c r="N41" i="6"/>
  <c r="M41" i="6"/>
  <c r="L41" i="6"/>
  <c r="P40" i="6"/>
  <c r="O40" i="6"/>
  <c r="R40" i="6" s="1"/>
  <c r="M40" i="6"/>
  <c r="N40" i="6" s="1"/>
  <c r="L40" i="6"/>
  <c r="O39" i="6"/>
  <c r="P39" i="6" s="1"/>
  <c r="M39" i="6"/>
  <c r="N39" i="6" s="1"/>
  <c r="L39" i="6"/>
  <c r="P38" i="6"/>
  <c r="O38" i="6"/>
  <c r="N38" i="6"/>
  <c r="M38" i="6"/>
  <c r="L38" i="6"/>
  <c r="O37" i="6"/>
  <c r="P37" i="6" s="1"/>
  <c r="M37" i="6"/>
  <c r="N37" i="6" s="1"/>
  <c r="L37" i="6"/>
  <c r="P36" i="6"/>
  <c r="O36" i="6"/>
  <c r="N36" i="6"/>
  <c r="M36" i="6"/>
  <c r="L36" i="6"/>
  <c r="P35" i="6"/>
  <c r="R35" i="6" s="1"/>
  <c r="O35" i="6"/>
  <c r="N35" i="6"/>
  <c r="M35" i="6"/>
  <c r="L35" i="6"/>
  <c r="O34" i="6"/>
  <c r="P34" i="6" s="1"/>
  <c r="M34" i="6"/>
  <c r="N34" i="6" s="1"/>
  <c r="L34" i="6"/>
  <c r="R33" i="6"/>
  <c r="O33" i="6"/>
  <c r="P33" i="6" s="1"/>
  <c r="M33" i="6"/>
  <c r="N33" i="6" s="1"/>
  <c r="L33" i="6"/>
  <c r="P32" i="6"/>
  <c r="O32" i="6"/>
  <c r="N32" i="6"/>
  <c r="M32" i="6"/>
  <c r="L32" i="6"/>
  <c r="O31" i="6"/>
  <c r="P31" i="6" s="1"/>
  <c r="M31" i="6"/>
  <c r="N31" i="6" s="1"/>
  <c r="L31" i="6"/>
  <c r="R30" i="6"/>
  <c r="O30" i="6"/>
  <c r="P30" i="6" s="1"/>
  <c r="M30" i="6"/>
  <c r="N30" i="6" s="1"/>
  <c r="L30" i="6"/>
  <c r="O29" i="6"/>
  <c r="M29" i="6"/>
  <c r="N29" i="6" s="1"/>
  <c r="L29" i="6"/>
  <c r="O28" i="6"/>
  <c r="M28" i="6"/>
  <c r="N28" i="6" s="1"/>
  <c r="L28" i="6"/>
  <c r="P27" i="6"/>
  <c r="R27" i="6" s="1"/>
  <c r="O27" i="6"/>
  <c r="M27" i="6"/>
  <c r="N27" i="6" s="1"/>
  <c r="L27" i="6"/>
  <c r="O26" i="6"/>
  <c r="M26" i="6"/>
  <c r="N26" i="6" s="1"/>
  <c r="L26" i="6"/>
  <c r="O25" i="6"/>
  <c r="M25" i="6"/>
  <c r="N25" i="6" s="1"/>
  <c r="L25" i="6"/>
  <c r="O24" i="6"/>
  <c r="M24" i="6"/>
  <c r="N24" i="6" s="1"/>
  <c r="L24" i="6"/>
  <c r="O23" i="6"/>
  <c r="M23" i="6"/>
  <c r="N23" i="6" s="1"/>
  <c r="L23" i="6"/>
  <c r="O22" i="6"/>
  <c r="M22" i="6"/>
  <c r="N22" i="6" s="1"/>
  <c r="L22" i="6"/>
  <c r="O21" i="6"/>
  <c r="M21" i="6"/>
  <c r="N21" i="6" s="1"/>
  <c r="L21" i="6"/>
  <c r="P20" i="6"/>
  <c r="O20" i="6"/>
  <c r="N20" i="6"/>
  <c r="M20" i="6"/>
  <c r="L20" i="6"/>
  <c r="O19" i="6"/>
  <c r="N19" i="6"/>
  <c r="M19" i="6"/>
  <c r="L19" i="6"/>
  <c r="O18" i="6"/>
  <c r="N18" i="6"/>
  <c r="M18" i="6"/>
  <c r="L18" i="6"/>
  <c r="O17" i="6"/>
  <c r="N17" i="6"/>
  <c r="M17" i="6"/>
  <c r="L17" i="6"/>
  <c r="O16" i="6"/>
  <c r="N16" i="6"/>
  <c r="M16" i="6"/>
  <c r="L16" i="6"/>
  <c r="O15" i="6"/>
  <c r="N15" i="6"/>
  <c r="M15" i="6"/>
  <c r="L15" i="6"/>
  <c r="O14" i="6"/>
  <c r="N14" i="6"/>
  <c r="M14" i="6"/>
  <c r="L14" i="6"/>
  <c r="O13" i="6"/>
  <c r="N13" i="6"/>
  <c r="M13" i="6"/>
  <c r="L13" i="6"/>
  <c r="O12" i="6"/>
  <c r="N12" i="6"/>
  <c r="M12" i="6"/>
  <c r="L12" i="6"/>
  <c r="O11" i="6"/>
  <c r="N11" i="6"/>
  <c r="M11" i="6"/>
  <c r="L11" i="6"/>
  <c r="O10" i="6"/>
  <c r="N10" i="6"/>
  <c r="M10" i="6"/>
  <c r="L10" i="6"/>
  <c r="O9" i="6"/>
  <c r="N9" i="6"/>
  <c r="M9" i="6"/>
  <c r="L9" i="6"/>
  <c r="A9" i="6"/>
  <c r="U2460" i="5"/>
  <c r="T2460" i="5"/>
  <c r="S2460" i="5"/>
  <c r="R2460" i="5"/>
  <c r="U2433" i="5"/>
  <c r="S2433" i="5"/>
  <c r="T2433" i="5" s="1"/>
  <c r="R2433" i="5"/>
  <c r="U2411" i="5"/>
  <c r="T2411" i="5"/>
  <c r="S2411" i="5"/>
  <c r="R2411" i="5"/>
  <c r="U2377" i="5"/>
  <c r="S2377" i="5"/>
  <c r="T2377" i="5" s="1"/>
  <c r="R2377" i="5"/>
  <c r="U2357" i="5"/>
  <c r="T2357" i="5"/>
  <c r="S2357" i="5"/>
  <c r="R2357" i="5"/>
  <c r="U2347" i="5"/>
  <c r="S2347" i="5"/>
  <c r="T2347" i="5" s="1"/>
  <c r="R2347" i="5"/>
  <c r="U2337" i="5"/>
  <c r="T2337" i="5"/>
  <c r="S2337" i="5"/>
  <c r="R2337" i="5"/>
  <c r="U2334" i="5"/>
  <c r="S2334" i="5"/>
  <c r="T2334" i="5" s="1"/>
  <c r="R2334" i="5"/>
  <c r="U2327" i="5"/>
  <c r="T2327" i="5"/>
  <c r="S2327" i="5"/>
  <c r="R2327" i="5"/>
  <c r="U2316" i="5"/>
  <c r="S2316" i="5"/>
  <c r="T2316" i="5" s="1"/>
  <c r="R2316" i="5"/>
  <c r="U2292" i="5"/>
  <c r="T2292" i="5"/>
  <c r="S2292" i="5"/>
  <c r="R2292" i="5"/>
  <c r="U2287" i="5"/>
  <c r="S2287" i="5"/>
  <c r="T2287" i="5" s="1"/>
  <c r="R2287" i="5"/>
  <c r="U2286" i="5"/>
  <c r="T2286" i="5"/>
  <c r="S2286" i="5"/>
  <c r="R2286" i="5"/>
  <c r="U2271" i="5"/>
  <c r="S2271" i="5"/>
  <c r="T2271" i="5" s="1"/>
  <c r="R2271" i="5"/>
  <c r="U2260" i="5"/>
  <c r="T2260" i="5"/>
  <c r="S2260" i="5"/>
  <c r="R2260" i="5"/>
  <c r="U2259" i="5"/>
  <c r="S2259" i="5"/>
  <c r="T2259" i="5" s="1"/>
  <c r="R2259" i="5"/>
  <c r="U2256" i="5"/>
  <c r="T2256" i="5"/>
  <c r="S2256" i="5"/>
  <c r="R2256" i="5"/>
  <c r="U2251" i="5"/>
  <c r="S2251" i="5"/>
  <c r="T2251" i="5" s="1"/>
  <c r="R2251" i="5"/>
  <c r="U2246" i="5"/>
  <c r="T2246" i="5"/>
  <c r="S2246" i="5"/>
  <c r="R2246" i="5"/>
  <c r="U2244" i="5"/>
  <c r="S2244" i="5"/>
  <c r="T2244" i="5" s="1"/>
  <c r="R2244" i="5"/>
  <c r="U2234" i="5"/>
  <c r="T2234" i="5"/>
  <c r="S2234" i="5"/>
  <c r="R2234" i="5"/>
  <c r="U2228" i="5"/>
  <c r="S2228" i="5"/>
  <c r="T2228" i="5" s="1"/>
  <c r="R2228" i="5"/>
  <c r="U2218" i="5"/>
  <c r="T2218" i="5"/>
  <c r="S2218" i="5"/>
  <c r="R2218" i="5"/>
  <c r="U2166" i="5"/>
  <c r="S2166" i="5"/>
  <c r="T2166" i="5" s="1"/>
  <c r="R2166" i="5"/>
  <c r="U2155" i="5"/>
  <c r="T2155" i="5"/>
  <c r="S2155" i="5"/>
  <c r="R2155" i="5"/>
  <c r="U2135" i="5"/>
  <c r="S2135" i="5"/>
  <c r="T2135" i="5" s="1"/>
  <c r="R2135" i="5"/>
  <c r="U2101" i="5"/>
  <c r="T2101" i="5"/>
  <c r="S2101" i="5"/>
  <c r="R2101" i="5"/>
  <c r="U2100" i="5"/>
  <c r="S2100" i="5"/>
  <c r="T2100" i="5" s="1"/>
  <c r="R2100" i="5"/>
  <c r="U2099" i="5"/>
  <c r="T2099" i="5"/>
  <c r="S2099" i="5"/>
  <c r="R2099" i="5"/>
  <c r="U2061" i="5"/>
  <c r="S2061" i="5"/>
  <c r="T2061" i="5" s="1"/>
  <c r="R2061" i="5"/>
  <c r="U1977" i="5"/>
  <c r="T1977" i="5"/>
  <c r="S1977" i="5"/>
  <c r="R1977" i="5"/>
  <c r="U1973" i="5"/>
  <c r="S1973" i="5"/>
  <c r="T1973" i="5" s="1"/>
  <c r="R1973" i="5"/>
  <c r="U1953" i="5"/>
  <c r="T1953" i="5"/>
  <c r="S1953" i="5"/>
  <c r="R1953" i="5"/>
  <c r="U1952" i="5"/>
  <c r="S1952" i="5"/>
  <c r="T1952" i="5" s="1"/>
  <c r="R1952" i="5"/>
  <c r="U1950" i="5"/>
  <c r="T1950" i="5"/>
  <c r="S1950" i="5"/>
  <c r="R1950" i="5"/>
  <c r="U1931" i="5"/>
  <c r="S1931" i="5"/>
  <c r="T1931" i="5" s="1"/>
  <c r="R1931" i="5"/>
  <c r="U1922" i="5"/>
  <c r="T1922" i="5"/>
  <c r="S1922" i="5"/>
  <c r="R1922" i="5"/>
  <c r="U1920" i="5"/>
  <c r="S1920" i="5"/>
  <c r="T1920" i="5" s="1"/>
  <c r="R1920" i="5"/>
  <c r="U1909" i="5"/>
  <c r="T1909" i="5"/>
  <c r="S1909" i="5"/>
  <c r="R1909" i="5"/>
  <c r="U1905" i="5"/>
  <c r="T1905" i="5"/>
  <c r="S1905" i="5"/>
  <c r="R1905" i="5"/>
  <c r="U1886" i="5"/>
  <c r="T1886" i="5"/>
  <c r="S1886" i="5"/>
  <c r="R1886" i="5"/>
  <c r="U1878" i="5"/>
  <c r="T1878" i="5"/>
  <c r="S1878" i="5"/>
  <c r="R1878" i="5"/>
  <c r="U1863" i="5"/>
  <c r="T1863" i="5"/>
  <c r="S1863" i="5"/>
  <c r="R1863" i="5"/>
  <c r="U1850" i="5"/>
  <c r="T1850" i="5"/>
  <c r="S1850" i="5"/>
  <c r="R1850" i="5"/>
  <c r="U1830" i="5"/>
  <c r="T1830" i="5"/>
  <c r="S1830" i="5"/>
  <c r="R1830" i="5"/>
  <c r="U1826" i="5"/>
  <c r="T1826" i="5"/>
  <c r="S1826" i="5"/>
  <c r="R1826" i="5"/>
  <c r="U1822" i="5"/>
  <c r="T1822" i="5"/>
  <c r="S1822" i="5"/>
  <c r="R1822" i="5"/>
  <c r="U1799" i="5"/>
  <c r="T1799" i="5"/>
  <c r="S1799" i="5"/>
  <c r="R1799" i="5"/>
  <c r="U1798" i="5"/>
  <c r="T1798" i="5"/>
  <c r="S1798" i="5"/>
  <c r="R1798" i="5"/>
  <c r="U1797" i="5"/>
  <c r="T1797" i="5"/>
  <c r="S1797" i="5"/>
  <c r="R1797" i="5"/>
  <c r="U1784" i="5"/>
  <c r="T1784" i="5"/>
  <c r="S1784" i="5"/>
  <c r="R1784" i="5"/>
  <c r="U1773" i="5"/>
  <c r="T1773" i="5"/>
  <c r="S1773" i="5"/>
  <c r="R1773" i="5"/>
  <c r="U1736" i="5"/>
  <c r="T1736" i="5"/>
  <c r="S1736" i="5"/>
  <c r="R1736" i="5"/>
  <c r="U1733" i="5"/>
  <c r="T1733" i="5"/>
  <c r="S1733" i="5"/>
  <c r="R1733" i="5"/>
  <c r="U1694" i="5"/>
  <c r="T1694" i="5"/>
  <c r="S1694" i="5"/>
  <c r="R1694" i="5"/>
  <c r="U1674" i="5"/>
  <c r="T1674" i="5"/>
  <c r="S1674" i="5"/>
  <c r="R1674" i="5"/>
  <c r="U1663" i="5"/>
  <c r="T1663" i="5"/>
  <c r="S1663" i="5"/>
  <c r="R1663" i="5"/>
  <c r="U1650" i="5"/>
  <c r="T1650" i="5"/>
  <c r="S1650" i="5"/>
  <c r="R1650" i="5"/>
  <c r="U1649" i="5"/>
  <c r="T1649" i="5"/>
  <c r="S1649" i="5"/>
  <c r="R1649" i="5"/>
  <c r="U1644" i="5"/>
  <c r="T1644" i="5"/>
  <c r="S1644" i="5"/>
  <c r="R1644" i="5"/>
  <c r="U1631" i="5"/>
  <c r="T1631" i="5"/>
  <c r="S1631" i="5"/>
  <c r="R1631" i="5"/>
  <c r="U1617" i="5"/>
  <c r="T1617" i="5"/>
  <c r="S1617" i="5"/>
  <c r="R1617" i="5"/>
  <c r="U1611" i="5"/>
  <c r="T1611" i="5"/>
  <c r="S1611" i="5"/>
  <c r="R1611" i="5"/>
  <c r="U1591" i="5"/>
  <c r="T1591" i="5"/>
  <c r="S1591" i="5"/>
  <c r="R1591" i="5"/>
  <c r="U1570" i="5"/>
  <c r="T1570" i="5"/>
  <c r="S1570" i="5"/>
  <c r="R1570" i="5"/>
  <c r="U1541" i="5"/>
  <c r="T1541" i="5"/>
  <c r="S1541" i="5"/>
  <c r="R1541" i="5"/>
  <c r="U1538" i="5"/>
  <c r="T1538" i="5"/>
  <c r="S1538" i="5"/>
  <c r="R1538" i="5"/>
  <c r="U1529" i="5"/>
  <c r="T1529" i="5"/>
  <c r="S1529" i="5"/>
  <c r="R1529" i="5"/>
  <c r="U1523" i="5"/>
  <c r="T1523" i="5"/>
  <c r="S1523" i="5"/>
  <c r="R1523" i="5"/>
  <c r="U1522" i="5"/>
  <c r="T1522" i="5"/>
  <c r="S1522" i="5"/>
  <c r="R1522" i="5"/>
  <c r="U1553" i="5"/>
  <c r="T1553" i="5"/>
  <c r="S1553" i="5"/>
  <c r="R1553" i="5"/>
  <c r="U1512" i="5"/>
  <c r="T1512" i="5"/>
  <c r="S1512" i="5"/>
  <c r="R1512" i="5"/>
  <c r="U1509" i="5"/>
  <c r="T1509" i="5"/>
  <c r="S1509" i="5"/>
  <c r="R1509" i="5"/>
  <c r="U1504" i="5"/>
  <c r="T1504" i="5"/>
  <c r="S1504" i="5"/>
  <c r="R1504" i="5"/>
  <c r="U1500" i="5"/>
  <c r="T1500" i="5"/>
  <c r="S1500" i="5"/>
  <c r="R1500" i="5"/>
  <c r="U1491" i="5"/>
  <c r="T1491" i="5"/>
  <c r="S1491" i="5"/>
  <c r="R1491" i="5"/>
  <c r="U1488" i="5"/>
  <c r="T1488" i="5"/>
  <c r="S1488" i="5"/>
  <c r="R1488" i="5"/>
  <c r="U1486" i="5"/>
  <c r="T1486" i="5"/>
  <c r="S1486" i="5"/>
  <c r="R1486" i="5"/>
  <c r="U1485" i="5"/>
  <c r="T1485" i="5"/>
  <c r="S1485" i="5"/>
  <c r="R1485" i="5"/>
  <c r="U1476" i="5"/>
  <c r="T1476" i="5"/>
  <c r="S1476" i="5"/>
  <c r="R1476" i="5"/>
  <c r="U1461" i="5"/>
  <c r="T1461" i="5"/>
  <c r="S1461" i="5"/>
  <c r="R1461" i="5"/>
  <c r="U1449" i="5"/>
  <c r="T1449" i="5"/>
  <c r="S1449" i="5"/>
  <c r="R1449" i="5"/>
  <c r="U1431" i="5"/>
  <c r="T1431" i="5"/>
  <c r="S1431" i="5"/>
  <c r="R1431" i="5"/>
  <c r="U1423" i="5"/>
  <c r="T1423" i="5"/>
  <c r="S1423" i="5"/>
  <c r="R1423" i="5"/>
  <c r="U1368" i="5"/>
  <c r="T1368" i="5"/>
  <c r="S1368" i="5"/>
  <c r="R1368" i="5"/>
  <c r="U1364" i="5"/>
  <c r="T1364" i="5"/>
  <c r="S1364" i="5"/>
  <c r="R1364" i="5"/>
  <c r="U1339" i="5"/>
  <c r="S1339" i="5"/>
  <c r="T1339" i="5" s="1"/>
  <c r="R1339" i="5"/>
  <c r="U1327" i="5"/>
  <c r="S1327" i="5"/>
  <c r="T1327" i="5" s="1"/>
  <c r="R1327" i="5"/>
  <c r="U1314" i="5"/>
  <c r="S1314" i="5"/>
  <c r="T1314" i="5" s="1"/>
  <c r="R1314" i="5"/>
  <c r="U1313" i="5"/>
  <c r="T1313" i="5"/>
  <c r="S1313" i="5"/>
  <c r="R1313" i="5"/>
  <c r="U1264" i="5"/>
  <c r="S1264" i="5"/>
  <c r="T1264" i="5" s="1"/>
  <c r="R1264" i="5"/>
  <c r="U1244" i="5"/>
  <c r="S1244" i="5"/>
  <c r="T1244" i="5" s="1"/>
  <c r="R1244" i="5"/>
  <c r="U1237" i="5"/>
  <c r="S1237" i="5"/>
  <c r="T1237" i="5" s="1"/>
  <c r="R1237" i="5"/>
  <c r="U1223" i="5"/>
  <c r="T1223" i="5"/>
  <c r="S1223" i="5"/>
  <c r="R1223" i="5"/>
  <c r="U1206" i="5"/>
  <c r="S1206" i="5"/>
  <c r="T1206" i="5" s="1"/>
  <c r="R1206" i="5"/>
  <c r="U1200" i="5"/>
  <c r="S1200" i="5"/>
  <c r="T1200" i="5" s="1"/>
  <c r="R1200" i="5"/>
  <c r="U1197" i="5"/>
  <c r="S1197" i="5"/>
  <c r="T1197" i="5" s="1"/>
  <c r="R1197" i="5"/>
  <c r="U1194" i="5"/>
  <c r="T1194" i="5"/>
  <c r="S1194" i="5"/>
  <c r="R1194" i="5"/>
  <c r="U1190" i="5"/>
  <c r="S1190" i="5"/>
  <c r="T1190" i="5" s="1"/>
  <c r="R1190" i="5"/>
  <c r="U1184" i="5"/>
  <c r="S1184" i="5"/>
  <c r="T1184" i="5" s="1"/>
  <c r="R1184" i="5"/>
  <c r="U1171" i="5"/>
  <c r="S1171" i="5"/>
  <c r="T1171" i="5" s="1"/>
  <c r="R1171" i="5"/>
  <c r="U1164" i="5"/>
  <c r="T1164" i="5"/>
  <c r="S1164" i="5"/>
  <c r="R1164" i="5"/>
  <c r="U1160" i="5"/>
  <c r="S1160" i="5"/>
  <c r="T1160" i="5" s="1"/>
  <c r="R1160" i="5"/>
  <c r="U1156" i="5"/>
  <c r="S1156" i="5"/>
  <c r="T1156" i="5" s="1"/>
  <c r="R1156" i="5"/>
  <c r="U1137" i="5"/>
  <c r="S1137" i="5"/>
  <c r="T1137" i="5" s="1"/>
  <c r="R1137" i="5"/>
  <c r="U1104" i="5"/>
  <c r="T1104" i="5"/>
  <c r="S1104" i="5"/>
  <c r="R1104" i="5"/>
  <c r="U1075" i="5"/>
  <c r="S1075" i="5"/>
  <c r="T1075" i="5" s="1"/>
  <c r="R1075" i="5"/>
  <c r="U1072" i="5"/>
  <c r="S1072" i="5"/>
  <c r="T1072" i="5" s="1"/>
  <c r="R1072" i="5"/>
  <c r="U1064" i="5"/>
  <c r="S1064" i="5"/>
  <c r="T1064" i="5" s="1"/>
  <c r="R1064" i="5"/>
  <c r="U1053" i="5"/>
  <c r="T1053" i="5"/>
  <c r="S1053" i="5"/>
  <c r="R1053" i="5"/>
  <c r="U1049" i="5"/>
  <c r="S1049" i="5"/>
  <c r="T1049" i="5" s="1"/>
  <c r="R1049" i="5"/>
  <c r="U1046" i="5"/>
  <c r="S1046" i="5"/>
  <c r="T1046" i="5" s="1"/>
  <c r="R1046" i="5"/>
  <c r="U993" i="5"/>
  <c r="S993" i="5"/>
  <c r="T993" i="5" s="1"/>
  <c r="R993" i="5"/>
  <c r="U967" i="5"/>
  <c r="T967" i="5"/>
  <c r="S967" i="5"/>
  <c r="R967" i="5"/>
  <c r="U937" i="5"/>
  <c r="S937" i="5"/>
  <c r="T937" i="5" s="1"/>
  <c r="R937" i="5"/>
  <c r="U903" i="5"/>
  <c r="S903" i="5"/>
  <c r="T903" i="5" s="1"/>
  <c r="R903" i="5"/>
  <c r="U880" i="5"/>
  <c r="S880" i="5"/>
  <c r="T880" i="5" s="1"/>
  <c r="R880" i="5"/>
  <c r="U868" i="5"/>
  <c r="T868" i="5"/>
  <c r="S868" i="5"/>
  <c r="R868" i="5"/>
  <c r="U866" i="5"/>
  <c r="S866" i="5"/>
  <c r="T866" i="5" s="1"/>
  <c r="R866" i="5"/>
  <c r="U844" i="5"/>
  <c r="S844" i="5"/>
  <c r="T844" i="5" s="1"/>
  <c r="R844" i="5"/>
  <c r="U836" i="5"/>
  <c r="S836" i="5"/>
  <c r="T836" i="5" s="1"/>
  <c r="R836" i="5"/>
  <c r="U797" i="5"/>
  <c r="T797" i="5"/>
  <c r="S797" i="5"/>
  <c r="R797" i="5"/>
  <c r="U264" i="5"/>
  <c r="S264" i="5"/>
  <c r="T264" i="5" s="1"/>
  <c r="R264" i="5"/>
  <c r="U788" i="5"/>
  <c r="S788" i="5"/>
  <c r="T788" i="5" s="1"/>
  <c r="R788" i="5"/>
  <c r="U30" i="5"/>
  <c r="S30" i="5"/>
  <c r="T30" i="5" s="1"/>
  <c r="R30" i="5"/>
  <c r="U750" i="5"/>
  <c r="T750" i="5"/>
  <c r="S750" i="5"/>
  <c r="R750" i="5"/>
  <c r="U2060" i="5"/>
  <c r="S2060" i="5"/>
  <c r="T2060" i="5" s="1"/>
  <c r="R2060" i="5"/>
  <c r="U702" i="5"/>
  <c r="S702" i="5"/>
  <c r="T702" i="5" s="1"/>
  <c r="R702" i="5"/>
  <c r="U689" i="5"/>
  <c r="S689" i="5"/>
  <c r="T689" i="5" s="1"/>
  <c r="R689" i="5"/>
  <c r="U681" i="5"/>
  <c r="T681" i="5"/>
  <c r="S681" i="5"/>
  <c r="R681" i="5"/>
  <c r="U656" i="5"/>
  <c r="S656" i="5"/>
  <c r="T656" i="5" s="1"/>
  <c r="R656" i="5"/>
  <c r="U725" i="5"/>
  <c r="S725" i="5"/>
  <c r="T725" i="5" s="1"/>
  <c r="R725" i="5"/>
  <c r="U620" i="5"/>
  <c r="S620" i="5"/>
  <c r="T620" i="5" s="1"/>
  <c r="R620" i="5"/>
  <c r="U1111" i="5"/>
  <c r="T1111" i="5"/>
  <c r="S1111" i="5"/>
  <c r="R1111" i="5"/>
  <c r="U1996" i="5"/>
  <c r="S1996" i="5"/>
  <c r="T1996" i="5" s="1"/>
  <c r="R1996" i="5"/>
  <c r="U568" i="5"/>
  <c r="S568" i="5"/>
  <c r="T568" i="5" s="1"/>
  <c r="R568" i="5"/>
  <c r="U534" i="5"/>
  <c r="S534" i="5"/>
  <c r="T534" i="5" s="1"/>
  <c r="R534" i="5"/>
  <c r="U2059" i="5"/>
  <c r="T2059" i="5"/>
  <c r="S2059" i="5"/>
  <c r="R2059" i="5"/>
  <c r="U513" i="5"/>
  <c r="S513" i="5"/>
  <c r="T513" i="5" s="1"/>
  <c r="R513" i="5"/>
  <c r="U489" i="5"/>
  <c r="S489" i="5"/>
  <c r="T489" i="5" s="1"/>
  <c r="R489" i="5"/>
  <c r="U463" i="5"/>
  <c r="S463" i="5"/>
  <c r="T463" i="5" s="1"/>
  <c r="R463" i="5"/>
  <c r="U453" i="5"/>
  <c r="T453" i="5"/>
  <c r="S453" i="5"/>
  <c r="R453" i="5"/>
  <c r="U407" i="5"/>
  <c r="S407" i="5"/>
  <c r="T407" i="5" s="1"/>
  <c r="R407" i="5"/>
  <c r="U390" i="5"/>
  <c r="S390" i="5"/>
  <c r="T390" i="5" s="1"/>
  <c r="R390" i="5"/>
  <c r="U263" i="5"/>
  <c r="S263" i="5"/>
  <c r="T263" i="5" s="1"/>
  <c r="R263" i="5"/>
  <c r="U365" i="5"/>
  <c r="T365" i="5"/>
  <c r="S365" i="5"/>
  <c r="R365" i="5"/>
  <c r="U351" i="5"/>
  <c r="S351" i="5"/>
  <c r="T351" i="5" s="1"/>
  <c r="R351" i="5"/>
  <c r="U350" i="5"/>
  <c r="S350" i="5"/>
  <c r="T350" i="5" s="1"/>
  <c r="R350" i="5"/>
  <c r="U342" i="5"/>
  <c r="S342" i="5"/>
  <c r="T342" i="5" s="1"/>
  <c r="R342" i="5"/>
  <c r="U317" i="5"/>
  <c r="T317" i="5"/>
  <c r="S317" i="5"/>
  <c r="R317" i="5"/>
  <c r="U262" i="5"/>
  <c r="S262" i="5"/>
  <c r="T262" i="5" s="1"/>
  <c r="R262" i="5"/>
  <c r="U1110" i="5"/>
  <c r="S1110" i="5"/>
  <c r="T1110" i="5" s="1"/>
  <c r="R1110" i="5"/>
  <c r="U283" i="5"/>
  <c r="S283" i="5"/>
  <c r="T283" i="5" s="1"/>
  <c r="R283" i="5"/>
  <c r="U280" i="5"/>
  <c r="T280" i="5"/>
  <c r="S280" i="5"/>
  <c r="R280" i="5"/>
  <c r="U261" i="5"/>
  <c r="S261" i="5"/>
  <c r="T261" i="5" s="1"/>
  <c r="R261" i="5"/>
  <c r="U205" i="5"/>
  <c r="S205" i="5"/>
  <c r="T205" i="5" s="1"/>
  <c r="R205" i="5"/>
  <c r="U186" i="5"/>
  <c r="S186" i="5"/>
  <c r="T186" i="5" s="1"/>
  <c r="R186" i="5"/>
  <c r="U175" i="5"/>
  <c r="T175" i="5"/>
  <c r="S175" i="5"/>
  <c r="R175" i="5"/>
  <c r="U161" i="5"/>
  <c r="S161" i="5"/>
  <c r="T161" i="5" s="1"/>
  <c r="R161" i="5"/>
  <c r="U145" i="5"/>
  <c r="S145" i="5"/>
  <c r="T145" i="5" s="1"/>
  <c r="R145" i="5"/>
  <c r="U110" i="5"/>
  <c r="S110" i="5"/>
  <c r="T110" i="5" s="1"/>
  <c r="R110" i="5"/>
  <c r="U86" i="5"/>
  <c r="T86" i="5"/>
  <c r="S86" i="5"/>
  <c r="R86" i="5"/>
  <c r="U72" i="5"/>
  <c r="S72" i="5"/>
  <c r="T72" i="5" s="1"/>
  <c r="R72" i="5"/>
  <c r="U52" i="5"/>
  <c r="S52" i="5"/>
  <c r="T52" i="5" s="1"/>
  <c r="R52" i="5"/>
  <c r="U1692" i="5"/>
  <c r="S1692" i="5"/>
  <c r="T1692" i="5" s="1"/>
  <c r="R1692" i="5"/>
  <c r="U2463" i="5"/>
  <c r="T2463" i="5"/>
  <c r="S2463" i="5"/>
  <c r="R2463" i="5"/>
  <c r="U2462" i="5"/>
  <c r="S2462" i="5"/>
  <c r="T2462" i="5" s="1"/>
  <c r="R2462" i="5"/>
  <c r="U2459" i="5"/>
  <c r="S2459" i="5"/>
  <c r="T2459" i="5" s="1"/>
  <c r="R2459" i="5"/>
  <c r="U2457" i="5"/>
  <c r="S2457" i="5"/>
  <c r="T2457" i="5" s="1"/>
  <c r="R2457" i="5"/>
  <c r="U2456" i="5"/>
  <c r="T2456" i="5"/>
  <c r="S2456" i="5"/>
  <c r="R2456" i="5"/>
  <c r="U2455" i="5"/>
  <c r="S2455" i="5"/>
  <c r="T2455" i="5" s="1"/>
  <c r="R2455" i="5"/>
  <c r="U2454" i="5"/>
  <c r="S2454" i="5"/>
  <c r="T2454" i="5" s="1"/>
  <c r="R2454" i="5"/>
  <c r="U2453" i="5"/>
  <c r="S2453" i="5"/>
  <c r="T2453" i="5" s="1"/>
  <c r="R2453" i="5"/>
  <c r="U2452" i="5"/>
  <c r="T2452" i="5"/>
  <c r="S2452" i="5"/>
  <c r="R2452" i="5"/>
  <c r="U2451" i="5"/>
  <c r="S2451" i="5"/>
  <c r="T2451" i="5" s="1"/>
  <c r="R2451" i="5"/>
  <c r="U2450" i="5"/>
  <c r="S2450" i="5"/>
  <c r="T2450" i="5" s="1"/>
  <c r="R2450" i="5"/>
  <c r="U2449" i="5"/>
  <c r="S2449" i="5"/>
  <c r="T2449" i="5" s="1"/>
  <c r="R2449" i="5"/>
  <c r="U2448" i="5"/>
  <c r="T2448" i="5"/>
  <c r="S2448" i="5"/>
  <c r="R2448" i="5"/>
  <c r="U2447" i="5"/>
  <c r="S2447" i="5"/>
  <c r="T2447" i="5" s="1"/>
  <c r="R2447" i="5"/>
  <c r="U2445" i="5"/>
  <c r="S2445" i="5"/>
  <c r="T2445" i="5" s="1"/>
  <c r="R2445" i="5"/>
  <c r="U2444" i="5"/>
  <c r="S2444" i="5"/>
  <c r="T2444" i="5" s="1"/>
  <c r="R2444" i="5"/>
  <c r="U2443" i="5"/>
  <c r="T2443" i="5"/>
  <c r="S2443" i="5"/>
  <c r="R2443" i="5"/>
  <c r="U2442" i="5"/>
  <c r="S2442" i="5"/>
  <c r="T2442" i="5" s="1"/>
  <c r="R2442" i="5"/>
  <c r="U2441" i="5"/>
  <c r="S2441" i="5"/>
  <c r="T2441" i="5" s="1"/>
  <c r="R2441" i="5"/>
  <c r="U2440" i="5"/>
  <c r="S2440" i="5"/>
  <c r="T2440" i="5" s="1"/>
  <c r="R2440" i="5"/>
  <c r="U2439" i="5"/>
  <c r="T2439" i="5"/>
  <c r="S2439" i="5"/>
  <c r="R2439" i="5"/>
  <c r="U2438" i="5"/>
  <c r="S2438" i="5"/>
  <c r="T2438" i="5" s="1"/>
  <c r="R2438" i="5"/>
  <c r="U2435" i="5"/>
  <c r="S2435" i="5"/>
  <c r="T2435" i="5" s="1"/>
  <c r="R2435" i="5"/>
  <c r="U2434" i="5"/>
  <c r="S2434" i="5"/>
  <c r="T2434" i="5" s="1"/>
  <c r="R2434" i="5"/>
  <c r="U2432" i="5"/>
  <c r="T2432" i="5"/>
  <c r="S2432" i="5"/>
  <c r="R2432" i="5"/>
  <c r="U2431" i="5"/>
  <c r="S2431" i="5"/>
  <c r="T2431" i="5" s="1"/>
  <c r="R2431" i="5"/>
  <c r="U2429" i="5"/>
  <c r="S2429" i="5"/>
  <c r="T2429" i="5" s="1"/>
  <c r="R2429" i="5"/>
  <c r="U2428" i="5"/>
  <c r="S2428" i="5"/>
  <c r="T2428" i="5" s="1"/>
  <c r="R2428" i="5"/>
  <c r="U2427" i="5"/>
  <c r="T2427" i="5"/>
  <c r="S2427" i="5"/>
  <c r="R2427" i="5"/>
  <c r="U2425" i="5"/>
  <c r="S2425" i="5"/>
  <c r="T2425" i="5" s="1"/>
  <c r="R2425" i="5"/>
  <c r="U2424" i="5"/>
  <c r="S2424" i="5"/>
  <c r="T2424" i="5" s="1"/>
  <c r="R2424" i="5"/>
  <c r="U2423" i="5"/>
  <c r="S2423" i="5"/>
  <c r="T2423" i="5" s="1"/>
  <c r="R2423" i="5"/>
  <c r="U2422" i="5"/>
  <c r="T2422" i="5"/>
  <c r="S2422" i="5"/>
  <c r="R2422" i="5"/>
  <c r="U2416" i="5"/>
  <c r="S2416" i="5"/>
  <c r="T2416" i="5" s="1"/>
  <c r="R2416" i="5"/>
  <c r="U2415" i="5"/>
  <c r="S2415" i="5"/>
  <c r="T2415" i="5" s="1"/>
  <c r="R2415" i="5"/>
  <c r="U2414" i="5"/>
  <c r="S2414" i="5"/>
  <c r="T2414" i="5" s="1"/>
  <c r="R2414" i="5"/>
  <c r="U2413" i="5"/>
  <c r="T2413" i="5"/>
  <c r="S2413" i="5"/>
  <c r="R2413" i="5"/>
  <c r="U2412" i="5"/>
  <c r="S2412" i="5"/>
  <c r="T2412" i="5" s="1"/>
  <c r="R2412" i="5"/>
  <c r="U2410" i="5"/>
  <c r="S2410" i="5"/>
  <c r="T2410" i="5" s="1"/>
  <c r="R2410" i="5"/>
  <c r="U2409" i="5"/>
  <c r="S2409" i="5"/>
  <c r="T2409" i="5" s="1"/>
  <c r="R2409" i="5"/>
  <c r="U2408" i="5"/>
  <c r="T2408" i="5"/>
  <c r="S2408" i="5"/>
  <c r="R2408" i="5"/>
  <c r="U2407" i="5"/>
  <c r="S2407" i="5"/>
  <c r="T2407" i="5" s="1"/>
  <c r="R2407" i="5"/>
  <c r="U2406" i="5"/>
  <c r="S2406" i="5"/>
  <c r="T2406" i="5" s="1"/>
  <c r="R2406" i="5"/>
  <c r="U2405" i="5"/>
  <c r="S2405" i="5"/>
  <c r="T2405" i="5" s="1"/>
  <c r="R2405" i="5"/>
  <c r="U2404" i="5"/>
  <c r="T2404" i="5"/>
  <c r="S2404" i="5"/>
  <c r="R2404" i="5"/>
  <c r="U2403" i="5"/>
  <c r="S2403" i="5"/>
  <c r="T2403" i="5" s="1"/>
  <c r="R2403" i="5"/>
  <c r="U2402" i="5"/>
  <c r="S2402" i="5"/>
  <c r="T2402" i="5" s="1"/>
  <c r="R2402" i="5"/>
  <c r="U2401" i="5"/>
  <c r="S2401" i="5"/>
  <c r="T2401" i="5" s="1"/>
  <c r="R2401" i="5"/>
  <c r="U2396" i="5"/>
  <c r="T2396" i="5"/>
  <c r="S2396" i="5"/>
  <c r="R2396" i="5"/>
  <c r="U2395" i="5"/>
  <c r="S2395" i="5"/>
  <c r="T2395" i="5" s="1"/>
  <c r="R2395" i="5"/>
  <c r="U2391" i="5"/>
  <c r="S2391" i="5"/>
  <c r="T2391" i="5" s="1"/>
  <c r="R2391" i="5"/>
  <c r="U2390" i="5"/>
  <c r="S2390" i="5"/>
  <c r="T2390" i="5" s="1"/>
  <c r="R2390" i="5"/>
  <c r="U2389" i="5"/>
  <c r="T2389" i="5"/>
  <c r="S2389" i="5"/>
  <c r="R2389" i="5"/>
  <c r="U2386" i="5"/>
  <c r="S2386" i="5"/>
  <c r="T2386" i="5" s="1"/>
  <c r="R2386" i="5"/>
  <c r="U2385" i="5"/>
  <c r="S2385" i="5"/>
  <c r="T2385" i="5" s="1"/>
  <c r="R2385" i="5"/>
  <c r="U2384" i="5"/>
  <c r="S2384" i="5"/>
  <c r="T2384" i="5" s="1"/>
  <c r="R2384" i="5"/>
  <c r="U2379" i="5"/>
  <c r="T2379" i="5"/>
  <c r="S2379" i="5"/>
  <c r="R2379" i="5"/>
  <c r="U2378" i="5"/>
  <c r="S2378" i="5"/>
  <c r="T2378" i="5" s="1"/>
  <c r="R2378" i="5"/>
  <c r="U2373" i="5"/>
  <c r="S2373" i="5"/>
  <c r="T2373" i="5" s="1"/>
  <c r="R2373" i="5"/>
  <c r="U2372" i="5"/>
  <c r="S2372" i="5"/>
  <c r="T2372" i="5" s="1"/>
  <c r="R2372" i="5"/>
  <c r="U2371" i="5"/>
  <c r="T2371" i="5"/>
  <c r="S2371" i="5"/>
  <c r="R2371" i="5"/>
  <c r="U2370" i="5"/>
  <c r="S2370" i="5"/>
  <c r="T2370" i="5" s="1"/>
  <c r="R2370" i="5"/>
  <c r="U2369" i="5"/>
  <c r="S2369" i="5"/>
  <c r="T2369" i="5" s="1"/>
  <c r="R2369" i="5"/>
  <c r="U2365" i="5"/>
  <c r="S2365" i="5"/>
  <c r="T2365" i="5" s="1"/>
  <c r="R2365" i="5"/>
  <c r="U2361" i="5"/>
  <c r="T2361" i="5"/>
  <c r="S2361" i="5"/>
  <c r="R2361" i="5"/>
  <c r="U2360" i="5"/>
  <c r="S2360" i="5"/>
  <c r="T2360" i="5" s="1"/>
  <c r="R2360" i="5"/>
  <c r="U2359" i="5"/>
  <c r="S2359" i="5"/>
  <c r="T2359" i="5" s="1"/>
  <c r="R2359" i="5"/>
  <c r="U2356" i="5"/>
  <c r="S2356" i="5"/>
  <c r="T2356" i="5" s="1"/>
  <c r="R2356" i="5"/>
  <c r="U2355" i="5"/>
  <c r="T2355" i="5"/>
  <c r="S2355" i="5"/>
  <c r="R2355" i="5"/>
  <c r="U2354" i="5"/>
  <c r="S2354" i="5"/>
  <c r="T2354" i="5" s="1"/>
  <c r="R2354" i="5"/>
  <c r="U2353" i="5"/>
  <c r="S2353" i="5"/>
  <c r="T2353" i="5" s="1"/>
  <c r="R2353" i="5"/>
  <c r="U2346" i="5"/>
  <c r="S2346" i="5"/>
  <c r="T2346" i="5" s="1"/>
  <c r="R2346" i="5"/>
  <c r="U2345" i="5"/>
  <c r="T2345" i="5"/>
  <c r="S2345" i="5"/>
  <c r="R2345" i="5"/>
  <c r="U2344" i="5"/>
  <c r="S2344" i="5"/>
  <c r="T2344" i="5" s="1"/>
  <c r="R2344" i="5"/>
  <c r="U2343" i="5"/>
  <c r="S2343" i="5"/>
  <c r="T2343" i="5" s="1"/>
  <c r="R2343" i="5"/>
  <c r="U2336" i="5"/>
  <c r="S2336" i="5"/>
  <c r="T2336" i="5" s="1"/>
  <c r="R2336" i="5"/>
  <c r="U2335" i="5"/>
  <c r="T2335" i="5"/>
  <c r="S2335" i="5"/>
  <c r="R2335" i="5"/>
  <c r="U2333" i="5"/>
  <c r="S2333" i="5"/>
  <c r="T2333" i="5" s="1"/>
  <c r="R2333" i="5"/>
  <c r="U2332" i="5"/>
  <c r="S2332" i="5"/>
  <c r="T2332" i="5" s="1"/>
  <c r="R2332" i="5"/>
  <c r="U2331" i="5"/>
  <c r="S2331" i="5"/>
  <c r="T2331" i="5" s="1"/>
  <c r="R2331" i="5"/>
  <c r="U2326" i="5"/>
  <c r="T2326" i="5"/>
  <c r="S2326" i="5"/>
  <c r="R2326" i="5"/>
  <c r="U2325" i="5"/>
  <c r="S2325" i="5"/>
  <c r="T2325" i="5" s="1"/>
  <c r="R2325" i="5"/>
  <c r="U2324" i="5"/>
  <c r="S2324" i="5"/>
  <c r="T2324" i="5" s="1"/>
  <c r="R2324" i="5"/>
  <c r="U2323" i="5"/>
  <c r="S2323" i="5"/>
  <c r="T2323" i="5" s="1"/>
  <c r="R2323" i="5"/>
  <c r="U2322" i="5"/>
  <c r="T2322" i="5"/>
  <c r="S2322" i="5"/>
  <c r="R2322" i="5"/>
  <c r="U2321" i="5"/>
  <c r="S2321" i="5"/>
  <c r="T2321" i="5" s="1"/>
  <c r="R2321" i="5"/>
  <c r="U2318" i="5"/>
  <c r="S2318" i="5"/>
  <c r="T2318" i="5" s="1"/>
  <c r="R2318" i="5"/>
  <c r="U2317" i="5"/>
  <c r="S2317" i="5"/>
  <c r="T2317" i="5" s="1"/>
  <c r="R2317" i="5"/>
  <c r="U2315" i="5"/>
  <c r="T2315" i="5"/>
  <c r="S2315" i="5"/>
  <c r="R2315" i="5"/>
  <c r="U2313" i="5"/>
  <c r="S2313" i="5"/>
  <c r="T2313" i="5" s="1"/>
  <c r="R2313" i="5"/>
  <c r="U2312" i="5"/>
  <c r="S2312" i="5"/>
  <c r="T2312" i="5" s="1"/>
  <c r="R2312" i="5"/>
  <c r="U2311" i="5"/>
  <c r="S2311" i="5"/>
  <c r="T2311" i="5" s="1"/>
  <c r="R2311" i="5"/>
  <c r="U2310" i="5"/>
  <c r="T2310" i="5"/>
  <c r="S2310" i="5"/>
  <c r="R2310" i="5"/>
  <c r="U2309" i="5"/>
  <c r="S2309" i="5"/>
  <c r="T2309" i="5" s="1"/>
  <c r="R2309" i="5"/>
  <c r="U2308" i="5"/>
  <c r="S2308" i="5"/>
  <c r="T2308" i="5" s="1"/>
  <c r="R2308" i="5"/>
  <c r="U2307" i="5"/>
  <c r="S2307" i="5"/>
  <c r="T2307" i="5" s="1"/>
  <c r="R2307" i="5"/>
  <c r="U2306" i="5"/>
  <c r="T2306" i="5"/>
  <c r="S2306" i="5"/>
  <c r="R2306" i="5"/>
  <c r="U2305" i="5"/>
  <c r="S2305" i="5"/>
  <c r="T2305" i="5" s="1"/>
  <c r="R2305" i="5"/>
  <c r="U2302" i="5"/>
  <c r="S2302" i="5"/>
  <c r="T2302" i="5" s="1"/>
  <c r="R2302" i="5"/>
  <c r="U2300" i="5"/>
  <c r="S2300" i="5"/>
  <c r="T2300" i="5" s="1"/>
  <c r="R2300" i="5"/>
  <c r="U2299" i="5"/>
  <c r="T2299" i="5"/>
  <c r="S2299" i="5"/>
  <c r="R2299" i="5"/>
  <c r="U2298" i="5"/>
  <c r="S2298" i="5"/>
  <c r="T2298" i="5" s="1"/>
  <c r="R2298" i="5"/>
  <c r="U2295" i="5"/>
  <c r="S2295" i="5"/>
  <c r="T2295" i="5" s="1"/>
  <c r="R2295" i="5"/>
  <c r="U2291" i="5"/>
  <c r="S2291" i="5"/>
  <c r="T2291" i="5" s="1"/>
  <c r="R2291" i="5"/>
  <c r="U2290" i="5"/>
  <c r="T2290" i="5"/>
  <c r="S2290" i="5"/>
  <c r="R2290" i="5"/>
  <c r="U2289" i="5"/>
  <c r="S2289" i="5"/>
  <c r="T2289" i="5" s="1"/>
  <c r="R2289" i="5"/>
  <c r="U2285" i="5"/>
  <c r="S2285" i="5"/>
  <c r="T2285" i="5" s="1"/>
  <c r="R2285" i="5"/>
  <c r="U2284" i="5"/>
  <c r="S2284" i="5"/>
  <c r="T2284" i="5" s="1"/>
  <c r="R2284" i="5"/>
  <c r="U2283" i="5"/>
  <c r="T2283" i="5"/>
  <c r="S2283" i="5"/>
  <c r="R2283" i="5"/>
  <c r="U2282" i="5"/>
  <c r="S2282" i="5"/>
  <c r="T2282" i="5" s="1"/>
  <c r="R2282" i="5"/>
  <c r="U2281" i="5"/>
  <c r="S2281" i="5"/>
  <c r="T2281" i="5" s="1"/>
  <c r="R2281" i="5"/>
  <c r="U2280" i="5"/>
  <c r="S2280" i="5"/>
  <c r="T2280" i="5" s="1"/>
  <c r="R2280" i="5"/>
  <c r="U2279" i="5"/>
  <c r="T2279" i="5"/>
  <c r="S2279" i="5"/>
  <c r="R2279" i="5"/>
  <c r="U2278" i="5"/>
  <c r="S2278" i="5"/>
  <c r="T2278" i="5" s="1"/>
  <c r="R2278" i="5"/>
  <c r="U2277" i="5"/>
  <c r="S2277" i="5"/>
  <c r="T2277" i="5" s="1"/>
  <c r="R2277" i="5"/>
  <c r="U2276" i="5"/>
  <c r="S2276" i="5"/>
  <c r="T2276" i="5" s="1"/>
  <c r="R2276" i="5"/>
  <c r="U2275" i="5"/>
  <c r="T2275" i="5"/>
  <c r="S2275" i="5"/>
  <c r="R2275" i="5"/>
  <c r="U2272" i="5"/>
  <c r="S2272" i="5"/>
  <c r="T2272" i="5" s="1"/>
  <c r="R2272" i="5"/>
  <c r="U2269" i="5"/>
  <c r="S2269" i="5"/>
  <c r="T2269" i="5" s="1"/>
  <c r="R2269" i="5"/>
  <c r="U2268" i="5"/>
  <c r="S2268" i="5"/>
  <c r="T2268" i="5" s="1"/>
  <c r="R2268" i="5"/>
  <c r="U2267" i="5"/>
  <c r="T2267" i="5"/>
  <c r="S2267" i="5"/>
  <c r="R2267" i="5"/>
  <c r="U2266" i="5"/>
  <c r="S2266" i="5"/>
  <c r="T2266" i="5" s="1"/>
  <c r="R2266" i="5"/>
  <c r="U2265" i="5"/>
  <c r="S2265" i="5"/>
  <c r="T2265" i="5" s="1"/>
  <c r="R2265" i="5"/>
  <c r="U2264" i="5"/>
  <c r="S2264" i="5"/>
  <c r="T2264" i="5" s="1"/>
  <c r="R2264" i="5"/>
  <c r="U2263" i="5"/>
  <c r="T2263" i="5"/>
  <c r="S2263" i="5"/>
  <c r="R2263" i="5"/>
  <c r="U2262" i="5"/>
  <c r="S2262" i="5"/>
  <c r="T2262" i="5" s="1"/>
  <c r="R2262" i="5"/>
  <c r="U2261" i="5"/>
  <c r="S2261" i="5"/>
  <c r="T2261" i="5" s="1"/>
  <c r="R2261" i="5"/>
  <c r="U2255" i="5"/>
  <c r="S2255" i="5"/>
  <c r="T2255" i="5" s="1"/>
  <c r="R2255" i="5"/>
  <c r="U2254" i="5"/>
  <c r="T2254" i="5"/>
  <c r="S2254" i="5"/>
  <c r="R2254" i="5"/>
  <c r="U2253" i="5"/>
  <c r="S2253" i="5"/>
  <c r="T2253" i="5" s="1"/>
  <c r="R2253" i="5"/>
  <c r="U2250" i="5"/>
  <c r="S2250" i="5"/>
  <c r="T2250" i="5" s="1"/>
  <c r="R2250" i="5"/>
  <c r="U2249" i="5"/>
  <c r="S2249" i="5"/>
  <c r="T2249" i="5" s="1"/>
  <c r="R2249" i="5"/>
  <c r="U2248" i="5"/>
  <c r="T2248" i="5"/>
  <c r="S2248" i="5"/>
  <c r="R2248" i="5"/>
  <c r="U2247" i="5"/>
  <c r="S2247" i="5"/>
  <c r="T2247" i="5" s="1"/>
  <c r="R2247" i="5"/>
  <c r="U2245" i="5"/>
  <c r="S2245" i="5"/>
  <c r="T2245" i="5" s="1"/>
  <c r="R2245" i="5"/>
  <c r="U2243" i="5"/>
  <c r="S2243" i="5"/>
  <c r="T2243" i="5" s="1"/>
  <c r="R2243" i="5"/>
  <c r="U2242" i="5"/>
  <c r="T2242" i="5"/>
  <c r="S2242" i="5"/>
  <c r="R2242" i="5"/>
  <c r="U2241" i="5"/>
  <c r="S2241" i="5"/>
  <c r="T2241" i="5" s="1"/>
  <c r="R2241" i="5"/>
  <c r="U2240" i="5"/>
  <c r="S2240" i="5"/>
  <c r="T2240" i="5" s="1"/>
  <c r="R2240" i="5"/>
  <c r="U2239" i="5"/>
  <c r="S2239" i="5"/>
  <c r="T2239" i="5" s="1"/>
  <c r="R2239" i="5"/>
  <c r="U2237" i="5"/>
  <c r="T2237" i="5"/>
  <c r="S2237" i="5"/>
  <c r="R2237" i="5"/>
  <c r="U2236" i="5"/>
  <c r="S2236" i="5"/>
  <c r="T2236" i="5" s="1"/>
  <c r="R2236" i="5"/>
  <c r="U2233" i="5"/>
  <c r="S2233" i="5"/>
  <c r="T2233" i="5" s="1"/>
  <c r="R2233" i="5"/>
  <c r="U2232" i="5"/>
  <c r="S2232" i="5"/>
  <c r="T2232" i="5" s="1"/>
  <c r="R2232" i="5"/>
  <c r="U2231" i="5"/>
  <c r="T2231" i="5"/>
  <c r="S2231" i="5"/>
  <c r="R2231" i="5"/>
  <c r="U2230" i="5"/>
  <c r="S2230" i="5"/>
  <c r="T2230" i="5" s="1"/>
  <c r="R2230" i="5"/>
  <c r="U2227" i="5"/>
  <c r="S2227" i="5"/>
  <c r="T2227" i="5" s="1"/>
  <c r="R2227" i="5"/>
  <c r="U2226" i="5"/>
  <c r="S2226" i="5"/>
  <c r="T2226" i="5" s="1"/>
  <c r="R2226" i="5"/>
  <c r="U2225" i="5"/>
  <c r="T2225" i="5"/>
  <c r="S2225" i="5"/>
  <c r="R2225" i="5"/>
  <c r="U2224" i="5"/>
  <c r="S2224" i="5"/>
  <c r="T2224" i="5" s="1"/>
  <c r="R2224" i="5"/>
  <c r="U2223" i="5"/>
  <c r="S2223" i="5"/>
  <c r="T2223" i="5" s="1"/>
  <c r="R2223" i="5"/>
  <c r="U2222" i="5"/>
  <c r="S2222" i="5"/>
  <c r="T2222" i="5" s="1"/>
  <c r="R2222" i="5"/>
  <c r="U2221" i="5"/>
  <c r="T2221" i="5"/>
  <c r="S2221" i="5"/>
  <c r="R2221" i="5"/>
  <c r="U2220" i="5"/>
  <c r="S2220" i="5"/>
  <c r="T2220" i="5" s="1"/>
  <c r="R2220" i="5"/>
  <c r="U2217" i="5"/>
  <c r="S2217" i="5"/>
  <c r="T2217" i="5" s="1"/>
  <c r="R2217" i="5"/>
  <c r="U2216" i="5"/>
  <c r="S2216" i="5"/>
  <c r="T2216" i="5" s="1"/>
  <c r="R2216" i="5"/>
  <c r="U2214" i="5"/>
  <c r="T2214" i="5"/>
  <c r="S2214" i="5"/>
  <c r="R2214" i="5"/>
  <c r="U2213" i="5"/>
  <c r="S2213" i="5"/>
  <c r="T2213" i="5" s="1"/>
  <c r="R2213" i="5"/>
  <c r="U2212" i="5"/>
  <c r="S2212" i="5"/>
  <c r="T2212" i="5" s="1"/>
  <c r="R2212" i="5"/>
  <c r="U2211" i="5"/>
  <c r="S2211" i="5"/>
  <c r="T2211" i="5" s="1"/>
  <c r="R2211" i="5"/>
  <c r="U2210" i="5"/>
  <c r="T2210" i="5"/>
  <c r="S2210" i="5"/>
  <c r="R2210" i="5"/>
  <c r="U2209" i="5"/>
  <c r="S2209" i="5"/>
  <c r="T2209" i="5" s="1"/>
  <c r="R2209" i="5"/>
  <c r="U2206" i="5"/>
  <c r="S2206" i="5"/>
  <c r="T2206" i="5" s="1"/>
  <c r="R2206" i="5"/>
  <c r="U2205" i="5"/>
  <c r="S2205" i="5"/>
  <c r="T2205" i="5" s="1"/>
  <c r="R2205" i="5"/>
  <c r="U2204" i="5"/>
  <c r="T2204" i="5"/>
  <c r="S2204" i="5"/>
  <c r="R2204" i="5"/>
  <c r="U2203" i="5"/>
  <c r="S2203" i="5"/>
  <c r="T2203" i="5" s="1"/>
  <c r="R2203" i="5"/>
  <c r="U2202" i="5"/>
  <c r="S2202" i="5"/>
  <c r="T2202" i="5" s="1"/>
  <c r="R2202" i="5"/>
  <c r="U2201" i="5"/>
  <c r="S2201" i="5"/>
  <c r="T2201" i="5" s="1"/>
  <c r="R2201" i="5"/>
  <c r="U2200" i="5"/>
  <c r="T2200" i="5"/>
  <c r="S2200" i="5"/>
  <c r="R2200" i="5"/>
  <c r="U2199" i="5"/>
  <c r="S2199" i="5"/>
  <c r="T2199" i="5" s="1"/>
  <c r="R2199" i="5"/>
  <c r="U2198" i="5"/>
  <c r="S2198" i="5"/>
  <c r="T2198" i="5" s="1"/>
  <c r="R2198" i="5"/>
  <c r="U2193" i="5"/>
  <c r="S2193" i="5"/>
  <c r="T2193" i="5" s="1"/>
  <c r="R2193" i="5"/>
  <c r="U2192" i="5"/>
  <c r="T2192" i="5"/>
  <c r="S2192" i="5"/>
  <c r="R2192" i="5"/>
  <c r="U2191" i="5"/>
  <c r="S2191" i="5"/>
  <c r="T2191" i="5" s="1"/>
  <c r="R2191" i="5"/>
  <c r="U2189" i="5"/>
  <c r="S2189" i="5"/>
  <c r="T2189" i="5" s="1"/>
  <c r="R2189" i="5"/>
  <c r="U2188" i="5"/>
  <c r="S2188" i="5"/>
  <c r="T2188" i="5" s="1"/>
  <c r="R2188" i="5"/>
  <c r="U2187" i="5"/>
  <c r="T2187" i="5"/>
  <c r="S2187" i="5"/>
  <c r="R2187" i="5"/>
  <c r="U2185" i="5"/>
  <c r="S2185" i="5"/>
  <c r="T2185" i="5" s="1"/>
  <c r="R2185" i="5"/>
  <c r="U2184" i="5"/>
  <c r="S2184" i="5"/>
  <c r="T2184" i="5" s="1"/>
  <c r="R2184" i="5"/>
  <c r="U2183" i="5"/>
  <c r="S2183" i="5"/>
  <c r="T2183" i="5" s="1"/>
  <c r="R2183" i="5"/>
  <c r="U2182" i="5"/>
  <c r="T2182" i="5"/>
  <c r="S2182" i="5"/>
  <c r="R2182" i="5"/>
  <c r="U2179" i="5"/>
  <c r="S2179" i="5"/>
  <c r="T2179" i="5" s="1"/>
  <c r="R2179" i="5"/>
  <c r="U2178" i="5"/>
  <c r="S2178" i="5"/>
  <c r="T2178" i="5" s="1"/>
  <c r="R2178" i="5"/>
  <c r="U2177" i="5"/>
  <c r="S2177" i="5"/>
  <c r="T2177" i="5" s="1"/>
  <c r="R2177" i="5"/>
  <c r="U2176" i="5"/>
  <c r="T2176" i="5"/>
  <c r="S2176" i="5"/>
  <c r="R2176" i="5"/>
  <c r="U2175" i="5"/>
  <c r="S2175" i="5"/>
  <c r="T2175" i="5" s="1"/>
  <c r="R2175" i="5"/>
  <c r="U2174" i="5"/>
  <c r="S2174" i="5"/>
  <c r="T2174" i="5" s="1"/>
  <c r="R2174" i="5"/>
  <c r="U2173" i="5"/>
  <c r="S2173" i="5"/>
  <c r="T2173" i="5" s="1"/>
  <c r="R2173" i="5"/>
  <c r="U2172" i="5"/>
  <c r="T2172" i="5"/>
  <c r="S2172" i="5"/>
  <c r="R2172" i="5"/>
  <c r="U2171" i="5"/>
  <c r="S2171" i="5"/>
  <c r="T2171" i="5" s="1"/>
  <c r="R2171" i="5"/>
  <c r="U2170" i="5"/>
  <c r="S2170" i="5"/>
  <c r="T2170" i="5" s="1"/>
  <c r="R2170" i="5"/>
  <c r="U2169" i="5"/>
  <c r="S2169" i="5"/>
  <c r="T2169" i="5" s="1"/>
  <c r="R2169" i="5"/>
  <c r="U2165" i="5"/>
  <c r="T2165" i="5"/>
  <c r="S2165" i="5"/>
  <c r="R2165" i="5"/>
  <c r="U2164" i="5"/>
  <c r="S2164" i="5"/>
  <c r="T2164" i="5" s="1"/>
  <c r="R2164" i="5"/>
  <c r="U2163" i="5"/>
  <c r="S2163" i="5"/>
  <c r="T2163" i="5" s="1"/>
  <c r="R2163" i="5"/>
  <c r="U2162" i="5"/>
  <c r="S2162" i="5"/>
  <c r="T2162" i="5" s="1"/>
  <c r="R2162" i="5"/>
  <c r="U2161" i="5"/>
  <c r="T2161" i="5"/>
  <c r="S2161" i="5"/>
  <c r="R2161" i="5"/>
  <c r="U2160" i="5"/>
  <c r="S2160" i="5"/>
  <c r="T2160" i="5" s="1"/>
  <c r="R2160" i="5"/>
  <c r="U2159" i="5"/>
  <c r="S2159" i="5"/>
  <c r="T2159" i="5" s="1"/>
  <c r="R2159" i="5"/>
  <c r="U2158" i="5"/>
  <c r="S2158" i="5"/>
  <c r="T2158" i="5" s="1"/>
  <c r="R2158" i="5"/>
  <c r="U2156" i="5"/>
  <c r="T2156" i="5"/>
  <c r="S2156" i="5"/>
  <c r="R2156" i="5"/>
  <c r="U2154" i="5"/>
  <c r="S2154" i="5"/>
  <c r="T2154" i="5" s="1"/>
  <c r="R2154" i="5"/>
  <c r="U2153" i="5"/>
  <c r="S2153" i="5"/>
  <c r="T2153" i="5" s="1"/>
  <c r="R2153" i="5"/>
  <c r="U2152" i="5"/>
  <c r="S2152" i="5"/>
  <c r="T2152" i="5" s="1"/>
  <c r="R2152" i="5"/>
  <c r="U2150" i="5"/>
  <c r="T2150" i="5"/>
  <c r="S2150" i="5"/>
  <c r="R2150" i="5"/>
  <c r="U2149" i="5"/>
  <c r="S2149" i="5"/>
  <c r="T2149" i="5" s="1"/>
  <c r="R2149" i="5"/>
  <c r="U2148" i="5"/>
  <c r="S2148" i="5"/>
  <c r="T2148" i="5" s="1"/>
  <c r="R2148" i="5"/>
  <c r="U2147" i="5"/>
  <c r="S2147" i="5"/>
  <c r="T2147" i="5" s="1"/>
  <c r="R2147" i="5"/>
  <c r="U2146" i="5"/>
  <c r="T2146" i="5"/>
  <c r="S2146" i="5"/>
  <c r="R2146" i="5"/>
  <c r="U2145" i="5"/>
  <c r="S2145" i="5"/>
  <c r="T2145" i="5" s="1"/>
  <c r="R2145" i="5"/>
  <c r="U2144" i="5"/>
  <c r="S2144" i="5"/>
  <c r="T2144" i="5" s="1"/>
  <c r="R2144" i="5"/>
  <c r="U2143" i="5"/>
  <c r="S2143" i="5"/>
  <c r="T2143" i="5" s="1"/>
  <c r="R2143" i="5"/>
  <c r="U2142" i="5"/>
  <c r="T2142" i="5"/>
  <c r="S2142" i="5"/>
  <c r="R2142" i="5"/>
  <c r="U2141" i="5"/>
  <c r="S2141" i="5"/>
  <c r="T2141" i="5" s="1"/>
  <c r="R2141" i="5"/>
  <c r="U2140" i="5"/>
  <c r="S2140" i="5"/>
  <c r="T2140" i="5" s="1"/>
  <c r="R2140" i="5"/>
  <c r="U2139" i="5"/>
  <c r="S2139" i="5"/>
  <c r="T2139" i="5" s="1"/>
  <c r="R2139" i="5"/>
  <c r="U2134" i="5"/>
  <c r="T2134" i="5"/>
  <c r="S2134" i="5"/>
  <c r="R2134" i="5"/>
  <c r="U2133" i="5"/>
  <c r="S2133" i="5"/>
  <c r="T2133" i="5" s="1"/>
  <c r="R2133" i="5"/>
  <c r="U2132" i="5"/>
  <c r="S2132" i="5"/>
  <c r="T2132" i="5" s="1"/>
  <c r="R2132" i="5"/>
  <c r="U2131" i="5"/>
  <c r="S2131" i="5"/>
  <c r="T2131" i="5" s="1"/>
  <c r="R2131" i="5"/>
  <c r="U2130" i="5"/>
  <c r="T2130" i="5"/>
  <c r="S2130" i="5"/>
  <c r="R2130" i="5"/>
  <c r="U2129" i="5"/>
  <c r="S2129" i="5"/>
  <c r="T2129" i="5" s="1"/>
  <c r="R2129" i="5"/>
  <c r="U2128" i="5"/>
  <c r="S2128" i="5"/>
  <c r="T2128" i="5" s="1"/>
  <c r="R2128" i="5"/>
  <c r="U2127" i="5"/>
  <c r="S2127" i="5"/>
  <c r="T2127" i="5" s="1"/>
  <c r="R2127" i="5"/>
  <c r="U2126" i="5"/>
  <c r="T2126" i="5"/>
  <c r="S2126" i="5"/>
  <c r="R2126" i="5"/>
  <c r="U2125" i="5"/>
  <c r="S2125" i="5"/>
  <c r="T2125" i="5" s="1"/>
  <c r="R2125" i="5"/>
  <c r="U2124" i="5"/>
  <c r="S2124" i="5"/>
  <c r="T2124" i="5" s="1"/>
  <c r="R2124" i="5"/>
  <c r="U2123" i="5"/>
  <c r="S2123" i="5"/>
  <c r="T2123" i="5" s="1"/>
  <c r="R2123" i="5"/>
  <c r="U2114" i="5"/>
  <c r="T2114" i="5"/>
  <c r="S2114" i="5"/>
  <c r="R2114" i="5"/>
  <c r="U2113" i="5"/>
  <c r="S2113" i="5"/>
  <c r="T2113" i="5" s="1"/>
  <c r="R2113" i="5"/>
  <c r="U2112" i="5"/>
  <c r="S2112" i="5"/>
  <c r="T2112" i="5" s="1"/>
  <c r="R2112" i="5"/>
  <c r="U2108" i="5"/>
  <c r="S2108" i="5"/>
  <c r="T2108" i="5" s="1"/>
  <c r="R2108" i="5"/>
  <c r="U2107" i="5"/>
  <c r="T2107" i="5"/>
  <c r="S2107" i="5"/>
  <c r="R2107" i="5"/>
  <c r="U2106" i="5"/>
  <c r="S2106" i="5"/>
  <c r="T2106" i="5" s="1"/>
  <c r="R2106" i="5"/>
  <c r="U2105" i="5"/>
  <c r="S2105" i="5"/>
  <c r="T2105" i="5" s="1"/>
  <c r="R2105" i="5"/>
  <c r="U2104" i="5"/>
  <c r="S2104" i="5"/>
  <c r="T2104" i="5" s="1"/>
  <c r="R2104" i="5"/>
  <c r="U2098" i="5"/>
  <c r="T2098" i="5"/>
  <c r="S2098" i="5"/>
  <c r="R2098" i="5"/>
  <c r="U2097" i="5"/>
  <c r="S2097" i="5"/>
  <c r="T2097" i="5" s="1"/>
  <c r="R2097" i="5"/>
  <c r="U2096" i="5"/>
  <c r="S2096" i="5"/>
  <c r="T2096" i="5" s="1"/>
  <c r="R2096" i="5"/>
  <c r="U2095" i="5"/>
  <c r="S2095" i="5"/>
  <c r="T2095" i="5" s="1"/>
  <c r="R2095" i="5"/>
  <c r="U2094" i="5"/>
  <c r="T2094" i="5"/>
  <c r="S2094" i="5"/>
  <c r="R2094" i="5"/>
  <c r="U2093" i="5"/>
  <c r="S2093" i="5"/>
  <c r="T2093" i="5" s="1"/>
  <c r="R2093" i="5"/>
  <c r="U2092" i="5"/>
  <c r="S2092" i="5"/>
  <c r="T2092" i="5" s="1"/>
  <c r="R2092" i="5"/>
  <c r="U2091" i="5"/>
  <c r="S2091" i="5"/>
  <c r="T2091" i="5" s="1"/>
  <c r="R2091" i="5"/>
  <c r="U2090" i="5"/>
  <c r="T2090" i="5"/>
  <c r="S2090" i="5"/>
  <c r="R2090" i="5"/>
  <c r="U2089" i="5"/>
  <c r="S2089" i="5"/>
  <c r="T2089" i="5" s="1"/>
  <c r="R2089" i="5"/>
  <c r="U2088" i="5"/>
  <c r="S2088" i="5"/>
  <c r="T2088" i="5" s="1"/>
  <c r="R2088" i="5"/>
  <c r="U2087" i="5"/>
  <c r="S2087" i="5"/>
  <c r="T2087" i="5" s="1"/>
  <c r="R2087" i="5"/>
  <c r="U2086" i="5"/>
  <c r="T2086" i="5"/>
  <c r="S2086" i="5"/>
  <c r="R2086" i="5"/>
  <c r="U2085" i="5"/>
  <c r="S2085" i="5"/>
  <c r="T2085" i="5" s="1"/>
  <c r="R2085" i="5"/>
  <c r="U2084" i="5"/>
  <c r="S2084" i="5"/>
  <c r="T2084" i="5" s="1"/>
  <c r="R2084" i="5"/>
  <c r="U2083" i="5"/>
  <c r="S2083" i="5"/>
  <c r="T2083" i="5" s="1"/>
  <c r="R2083" i="5"/>
  <c r="U2082" i="5"/>
  <c r="T2082" i="5"/>
  <c r="S2082" i="5"/>
  <c r="R2082" i="5"/>
  <c r="U2081" i="5"/>
  <c r="S2081" i="5"/>
  <c r="T2081" i="5" s="1"/>
  <c r="R2081" i="5"/>
  <c r="U2080" i="5"/>
  <c r="S2080" i="5"/>
  <c r="T2080" i="5" s="1"/>
  <c r="R2080" i="5"/>
  <c r="U2079" i="5"/>
  <c r="S2079" i="5"/>
  <c r="T2079" i="5" s="1"/>
  <c r="R2079" i="5"/>
  <c r="U2078" i="5"/>
  <c r="T2078" i="5"/>
  <c r="S2078" i="5"/>
  <c r="R2078" i="5"/>
  <c r="U2077" i="5"/>
  <c r="S2077" i="5"/>
  <c r="T2077" i="5" s="1"/>
  <c r="R2077" i="5"/>
  <c r="U2076" i="5"/>
  <c r="S2076" i="5"/>
  <c r="T2076" i="5" s="1"/>
  <c r="R2076" i="5"/>
  <c r="U2075" i="5"/>
  <c r="S2075" i="5"/>
  <c r="T2075" i="5" s="1"/>
  <c r="R2075" i="5"/>
  <c r="U2074" i="5"/>
  <c r="T2074" i="5"/>
  <c r="S2074" i="5"/>
  <c r="R2074" i="5"/>
  <c r="U2073" i="5"/>
  <c r="S2073" i="5"/>
  <c r="T2073" i="5" s="1"/>
  <c r="R2073" i="5"/>
  <c r="U2072" i="5"/>
  <c r="S2072" i="5"/>
  <c r="T2072" i="5" s="1"/>
  <c r="R2072" i="5"/>
  <c r="U2071" i="5"/>
  <c r="S2071" i="5"/>
  <c r="T2071" i="5" s="1"/>
  <c r="R2071" i="5"/>
  <c r="U2070" i="5"/>
  <c r="T2070" i="5"/>
  <c r="S2070" i="5"/>
  <c r="R2070" i="5"/>
  <c r="U2069" i="5"/>
  <c r="S2069" i="5"/>
  <c r="T2069" i="5" s="1"/>
  <c r="R2069" i="5"/>
  <c r="U2068" i="5"/>
  <c r="S2068" i="5"/>
  <c r="T2068" i="5" s="1"/>
  <c r="R2068" i="5"/>
  <c r="U2067" i="5"/>
  <c r="S2067" i="5"/>
  <c r="T2067" i="5" s="1"/>
  <c r="R2067" i="5"/>
  <c r="U2066" i="5"/>
  <c r="T2066" i="5"/>
  <c r="S2066" i="5"/>
  <c r="R2066" i="5"/>
  <c r="U2065" i="5"/>
  <c r="S2065" i="5"/>
  <c r="T2065" i="5" s="1"/>
  <c r="R2065" i="5"/>
  <c r="U2064" i="5"/>
  <c r="S2064" i="5"/>
  <c r="T2064" i="5" s="1"/>
  <c r="R2064" i="5"/>
  <c r="U2063" i="5"/>
  <c r="S2063" i="5"/>
  <c r="T2063" i="5" s="1"/>
  <c r="R2063" i="5"/>
  <c r="U2062" i="5"/>
  <c r="T2062" i="5"/>
  <c r="S2062" i="5"/>
  <c r="R2062" i="5"/>
  <c r="U2058" i="5"/>
  <c r="S2058" i="5"/>
  <c r="T2058" i="5" s="1"/>
  <c r="R2058" i="5"/>
  <c r="U2057" i="5"/>
  <c r="S2057" i="5"/>
  <c r="T2057" i="5" s="1"/>
  <c r="R2057" i="5"/>
  <c r="U2056" i="5"/>
  <c r="S2056" i="5"/>
  <c r="T2056" i="5" s="1"/>
  <c r="R2056" i="5"/>
  <c r="U2055" i="5"/>
  <c r="T2055" i="5"/>
  <c r="S2055" i="5"/>
  <c r="R2055" i="5"/>
  <c r="U2054" i="5"/>
  <c r="S2054" i="5"/>
  <c r="T2054" i="5" s="1"/>
  <c r="R2054" i="5"/>
  <c r="U2053" i="5"/>
  <c r="S2053" i="5"/>
  <c r="T2053" i="5" s="1"/>
  <c r="R2053" i="5"/>
  <c r="U2052" i="5"/>
  <c r="S2052" i="5"/>
  <c r="T2052" i="5" s="1"/>
  <c r="R2052" i="5"/>
  <c r="U2051" i="5"/>
  <c r="T2051" i="5"/>
  <c r="S2051" i="5"/>
  <c r="R2051" i="5"/>
  <c r="U2050" i="5"/>
  <c r="S2050" i="5"/>
  <c r="T2050" i="5" s="1"/>
  <c r="R2050" i="5"/>
  <c r="U2049" i="5"/>
  <c r="S2049" i="5"/>
  <c r="T2049" i="5" s="1"/>
  <c r="R2049" i="5"/>
  <c r="U2048" i="5"/>
  <c r="S2048" i="5"/>
  <c r="T2048" i="5" s="1"/>
  <c r="R2048" i="5"/>
  <c r="U2047" i="5"/>
  <c r="T2047" i="5"/>
  <c r="S2047" i="5"/>
  <c r="R2047" i="5"/>
  <c r="U2046" i="5"/>
  <c r="S2046" i="5"/>
  <c r="T2046" i="5" s="1"/>
  <c r="R2046" i="5"/>
  <c r="U2045" i="5"/>
  <c r="S2045" i="5"/>
  <c r="T2045" i="5" s="1"/>
  <c r="R2045" i="5"/>
  <c r="U2044" i="5"/>
  <c r="S2044" i="5"/>
  <c r="T2044" i="5" s="1"/>
  <c r="R2044" i="5"/>
  <c r="U2043" i="5"/>
  <c r="T2043" i="5"/>
  <c r="S2043" i="5"/>
  <c r="R2043" i="5"/>
  <c r="U2042" i="5"/>
  <c r="S2042" i="5"/>
  <c r="T2042" i="5" s="1"/>
  <c r="R2042" i="5"/>
  <c r="U2041" i="5"/>
  <c r="S2041" i="5"/>
  <c r="T2041" i="5" s="1"/>
  <c r="R2041" i="5"/>
  <c r="U2040" i="5"/>
  <c r="S2040" i="5"/>
  <c r="T2040" i="5" s="1"/>
  <c r="R2040" i="5"/>
  <c r="U2039" i="5"/>
  <c r="T2039" i="5"/>
  <c r="S2039" i="5"/>
  <c r="R2039" i="5"/>
  <c r="U2038" i="5"/>
  <c r="S2038" i="5"/>
  <c r="T2038" i="5" s="1"/>
  <c r="R2038" i="5"/>
  <c r="U2037" i="5"/>
  <c r="S2037" i="5"/>
  <c r="T2037" i="5" s="1"/>
  <c r="R2037" i="5"/>
  <c r="U2036" i="5"/>
  <c r="S2036" i="5"/>
  <c r="T2036" i="5" s="1"/>
  <c r="R2036" i="5"/>
  <c r="U2035" i="5"/>
  <c r="T2035" i="5"/>
  <c r="S2035" i="5"/>
  <c r="R2035" i="5"/>
  <c r="U2034" i="5"/>
  <c r="S2034" i="5"/>
  <c r="T2034" i="5" s="1"/>
  <c r="R2034" i="5"/>
  <c r="U2033" i="5"/>
  <c r="S2033" i="5"/>
  <c r="T2033" i="5" s="1"/>
  <c r="R2033" i="5"/>
  <c r="U2032" i="5"/>
  <c r="S2032" i="5"/>
  <c r="T2032" i="5" s="1"/>
  <c r="R2032" i="5"/>
  <c r="U2031" i="5"/>
  <c r="T2031" i="5"/>
  <c r="S2031" i="5"/>
  <c r="R2031" i="5"/>
  <c r="U2030" i="5"/>
  <c r="S2030" i="5"/>
  <c r="T2030" i="5" s="1"/>
  <c r="R2030" i="5"/>
  <c r="U2029" i="5"/>
  <c r="S2029" i="5"/>
  <c r="T2029" i="5" s="1"/>
  <c r="R2029" i="5"/>
  <c r="U2028" i="5"/>
  <c r="S2028" i="5"/>
  <c r="T2028" i="5" s="1"/>
  <c r="R2028" i="5"/>
  <c r="U2027" i="5"/>
  <c r="T2027" i="5"/>
  <c r="S2027" i="5"/>
  <c r="R2027" i="5"/>
  <c r="U2026" i="5"/>
  <c r="S2026" i="5"/>
  <c r="T2026" i="5" s="1"/>
  <c r="R2026" i="5"/>
  <c r="U2025" i="5"/>
  <c r="S2025" i="5"/>
  <c r="T2025" i="5" s="1"/>
  <c r="R2025" i="5"/>
  <c r="U2024" i="5"/>
  <c r="S2024" i="5"/>
  <c r="T2024" i="5" s="1"/>
  <c r="R2024" i="5"/>
  <c r="U2023" i="5"/>
  <c r="T2023" i="5"/>
  <c r="S2023" i="5"/>
  <c r="R2023" i="5"/>
  <c r="U2022" i="5"/>
  <c r="S2022" i="5"/>
  <c r="T2022" i="5" s="1"/>
  <c r="R2022" i="5"/>
  <c r="U2021" i="5"/>
  <c r="S2021" i="5"/>
  <c r="T2021" i="5" s="1"/>
  <c r="R2021" i="5"/>
  <c r="U2020" i="5"/>
  <c r="S2020" i="5"/>
  <c r="T2020" i="5" s="1"/>
  <c r="R2020" i="5"/>
  <c r="U2019" i="5"/>
  <c r="T2019" i="5"/>
  <c r="S2019" i="5"/>
  <c r="R2019" i="5"/>
  <c r="U2018" i="5"/>
  <c r="S2018" i="5"/>
  <c r="T2018" i="5" s="1"/>
  <c r="R2018" i="5"/>
  <c r="U2017" i="5"/>
  <c r="S2017" i="5"/>
  <c r="T2017" i="5" s="1"/>
  <c r="R2017" i="5"/>
  <c r="U2016" i="5"/>
  <c r="S2016" i="5"/>
  <c r="T2016" i="5" s="1"/>
  <c r="R2016" i="5"/>
  <c r="U2015" i="5"/>
  <c r="T2015" i="5"/>
  <c r="S2015" i="5"/>
  <c r="R2015" i="5"/>
  <c r="U2014" i="5"/>
  <c r="S2014" i="5"/>
  <c r="T2014" i="5" s="1"/>
  <c r="R2014" i="5"/>
  <c r="U2013" i="5"/>
  <c r="S2013" i="5"/>
  <c r="T2013" i="5" s="1"/>
  <c r="R2013" i="5"/>
  <c r="U2012" i="5"/>
  <c r="S2012" i="5"/>
  <c r="T2012" i="5" s="1"/>
  <c r="R2012" i="5"/>
  <c r="U2011" i="5"/>
  <c r="T2011" i="5"/>
  <c r="S2011" i="5"/>
  <c r="R2011" i="5"/>
  <c r="U2010" i="5"/>
  <c r="S2010" i="5"/>
  <c r="T2010" i="5" s="1"/>
  <c r="R2010" i="5"/>
  <c r="U2009" i="5"/>
  <c r="S2009" i="5"/>
  <c r="T2009" i="5" s="1"/>
  <c r="R2009" i="5"/>
  <c r="U2008" i="5"/>
  <c r="S2008" i="5"/>
  <c r="T2008" i="5" s="1"/>
  <c r="R2008" i="5"/>
  <c r="U2007" i="5"/>
  <c r="T2007" i="5"/>
  <c r="S2007" i="5"/>
  <c r="R2007" i="5"/>
  <c r="U2006" i="5"/>
  <c r="S2006" i="5"/>
  <c r="T2006" i="5" s="1"/>
  <c r="R2006" i="5"/>
  <c r="U2005" i="5"/>
  <c r="S2005" i="5"/>
  <c r="T2005" i="5" s="1"/>
  <c r="R2005" i="5"/>
  <c r="U2004" i="5"/>
  <c r="S2004" i="5"/>
  <c r="T2004" i="5" s="1"/>
  <c r="R2004" i="5"/>
  <c r="U2003" i="5"/>
  <c r="T2003" i="5"/>
  <c r="S2003" i="5"/>
  <c r="R2003" i="5"/>
  <c r="U2002" i="5"/>
  <c r="S2002" i="5"/>
  <c r="T2002" i="5" s="1"/>
  <c r="R2002" i="5"/>
  <c r="U2001" i="5"/>
  <c r="S2001" i="5"/>
  <c r="T2001" i="5" s="1"/>
  <c r="R2001" i="5"/>
  <c r="U2000" i="5"/>
  <c r="S2000" i="5"/>
  <c r="T2000" i="5" s="1"/>
  <c r="R2000" i="5"/>
  <c r="U1999" i="5"/>
  <c r="T1999" i="5"/>
  <c r="S1999" i="5"/>
  <c r="R1999" i="5"/>
  <c r="U1998" i="5"/>
  <c r="S1998" i="5"/>
  <c r="T1998" i="5" s="1"/>
  <c r="R1998" i="5"/>
  <c r="U1997" i="5"/>
  <c r="S1997" i="5"/>
  <c r="T1997" i="5" s="1"/>
  <c r="R1997" i="5"/>
  <c r="U1995" i="5"/>
  <c r="S1995" i="5"/>
  <c r="T1995" i="5" s="1"/>
  <c r="R1995" i="5"/>
  <c r="U1994" i="5"/>
  <c r="T1994" i="5"/>
  <c r="S1994" i="5"/>
  <c r="R1994" i="5"/>
  <c r="U1993" i="5"/>
  <c r="S1993" i="5"/>
  <c r="T1993" i="5" s="1"/>
  <c r="R1993" i="5"/>
  <c r="U1992" i="5"/>
  <c r="S1992" i="5"/>
  <c r="T1992" i="5" s="1"/>
  <c r="R1992" i="5"/>
  <c r="U1991" i="5"/>
  <c r="S1991" i="5"/>
  <c r="T1991" i="5" s="1"/>
  <c r="R1991" i="5"/>
  <c r="U1990" i="5"/>
  <c r="T1990" i="5"/>
  <c r="S1990" i="5"/>
  <c r="R1990" i="5"/>
  <c r="U1989" i="5"/>
  <c r="S1989" i="5"/>
  <c r="T1989" i="5" s="1"/>
  <c r="R1989" i="5"/>
  <c r="U1988" i="5"/>
  <c r="S1988" i="5"/>
  <c r="T1988" i="5" s="1"/>
  <c r="R1988" i="5"/>
  <c r="U1987" i="5"/>
  <c r="S1987" i="5"/>
  <c r="T1987" i="5" s="1"/>
  <c r="R1987" i="5"/>
  <c r="U1986" i="5"/>
  <c r="T1986" i="5"/>
  <c r="S1986" i="5"/>
  <c r="R1986" i="5"/>
  <c r="U1985" i="5"/>
  <c r="S1985" i="5"/>
  <c r="T1985" i="5" s="1"/>
  <c r="R1985" i="5"/>
  <c r="U1984" i="5"/>
  <c r="S1984" i="5"/>
  <c r="T1984" i="5" s="1"/>
  <c r="R1984" i="5"/>
  <c r="U1983" i="5"/>
  <c r="S1983" i="5"/>
  <c r="T1983" i="5" s="1"/>
  <c r="R1983" i="5"/>
  <c r="U1982" i="5"/>
  <c r="T1982" i="5"/>
  <c r="S1982" i="5"/>
  <c r="R1982" i="5"/>
  <c r="U1981" i="5"/>
  <c r="S1981" i="5"/>
  <c r="T1981" i="5" s="1"/>
  <c r="R1981" i="5"/>
  <c r="U1980" i="5"/>
  <c r="S1980" i="5"/>
  <c r="T1980" i="5" s="1"/>
  <c r="R1980" i="5"/>
  <c r="U1979" i="5"/>
  <c r="S1979" i="5"/>
  <c r="T1979" i="5" s="1"/>
  <c r="R1979" i="5"/>
  <c r="U1976" i="5"/>
  <c r="T1976" i="5"/>
  <c r="S1976" i="5"/>
  <c r="R1976" i="5"/>
  <c r="U1975" i="5"/>
  <c r="S1975" i="5"/>
  <c r="T1975" i="5" s="1"/>
  <c r="R1975" i="5"/>
  <c r="U1974" i="5"/>
  <c r="S1974" i="5"/>
  <c r="T1974" i="5" s="1"/>
  <c r="R1974" i="5"/>
  <c r="U1972" i="5"/>
  <c r="S1972" i="5"/>
  <c r="T1972" i="5" s="1"/>
  <c r="R1972" i="5"/>
  <c r="U1971" i="5"/>
  <c r="T1971" i="5"/>
  <c r="S1971" i="5"/>
  <c r="R1971" i="5"/>
  <c r="U1970" i="5"/>
  <c r="S1970" i="5"/>
  <c r="T1970" i="5" s="1"/>
  <c r="R1970" i="5"/>
  <c r="U1969" i="5"/>
  <c r="S1969" i="5"/>
  <c r="T1969" i="5" s="1"/>
  <c r="R1969" i="5"/>
  <c r="U1968" i="5"/>
  <c r="S1968" i="5"/>
  <c r="T1968" i="5" s="1"/>
  <c r="R1968" i="5"/>
  <c r="U1967" i="5"/>
  <c r="T1967" i="5"/>
  <c r="S1967" i="5"/>
  <c r="R1967" i="5"/>
  <c r="U1966" i="5"/>
  <c r="S1966" i="5"/>
  <c r="T1966" i="5" s="1"/>
  <c r="R1966" i="5"/>
  <c r="U1965" i="5"/>
  <c r="S1965" i="5"/>
  <c r="T1965" i="5" s="1"/>
  <c r="R1965" i="5"/>
  <c r="U1964" i="5"/>
  <c r="S1964" i="5"/>
  <c r="T1964" i="5" s="1"/>
  <c r="R1964" i="5"/>
  <c r="U1963" i="5"/>
  <c r="T1963" i="5"/>
  <c r="S1963" i="5"/>
  <c r="R1963" i="5"/>
  <c r="U1962" i="5"/>
  <c r="S1962" i="5"/>
  <c r="T1962" i="5" s="1"/>
  <c r="R1962" i="5"/>
  <c r="U1961" i="5"/>
  <c r="S1961" i="5"/>
  <c r="T1961" i="5" s="1"/>
  <c r="R1961" i="5"/>
  <c r="U1959" i="5"/>
  <c r="S1959" i="5"/>
  <c r="T1959" i="5" s="1"/>
  <c r="R1959" i="5"/>
  <c r="U1958" i="5"/>
  <c r="T1958" i="5"/>
  <c r="S1958" i="5"/>
  <c r="R1958" i="5"/>
  <c r="U1951" i="5"/>
  <c r="S1951" i="5"/>
  <c r="T1951" i="5" s="1"/>
  <c r="R1951" i="5"/>
  <c r="U1949" i="5"/>
  <c r="S1949" i="5"/>
  <c r="T1949" i="5" s="1"/>
  <c r="R1949" i="5"/>
  <c r="U1948" i="5"/>
  <c r="S1948" i="5"/>
  <c r="T1948" i="5" s="1"/>
  <c r="R1948" i="5"/>
  <c r="U1947" i="5"/>
  <c r="T1947" i="5"/>
  <c r="S1947" i="5"/>
  <c r="R1947" i="5"/>
  <c r="U1946" i="5"/>
  <c r="S1946" i="5"/>
  <c r="T1946" i="5" s="1"/>
  <c r="R1946" i="5"/>
  <c r="U1945" i="5"/>
  <c r="S1945" i="5"/>
  <c r="T1945" i="5" s="1"/>
  <c r="R1945" i="5"/>
  <c r="U1944" i="5"/>
  <c r="S1944" i="5"/>
  <c r="T1944" i="5" s="1"/>
  <c r="R1944" i="5"/>
  <c r="U1943" i="5"/>
  <c r="T1943" i="5"/>
  <c r="S1943" i="5"/>
  <c r="R1943" i="5"/>
  <c r="U1942" i="5"/>
  <c r="S1942" i="5"/>
  <c r="T1942" i="5" s="1"/>
  <c r="R1942" i="5"/>
  <c r="U1941" i="5"/>
  <c r="S1941" i="5"/>
  <c r="T1941" i="5" s="1"/>
  <c r="R1941" i="5"/>
  <c r="U1940" i="5"/>
  <c r="S1940" i="5"/>
  <c r="T1940" i="5" s="1"/>
  <c r="R1940" i="5"/>
  <c r="U1939" i="5"/>
  <c r="T1939" i="5"/>
  <c r="S1939" i="5"/>
  <c r="R1939" i="5"/>
  <c r="U1938" i="5"/>
  <c r="S1938" i="5"/>
  <c r="T1938" i="5" s="1"/>
  <c r="R1938" i="5"/>
  <c r="U1937" i="5"/>
  <c r="S1937" i="5"/>
  <c r="T1937" i="5" s="1"/>
  <c r="R1937" i="5"/>
  <c r="U1936" i="5"/>
  <c r="S1936" i="5"/>
  <c r="T1936" i="5" s="1"/>
  <c r="R1936" i="5"/>
  <c r="U1932" i="5"/>
  <c r="T1932" i="5"/>
  <c r="S1932" i="5"/>
  <c r="R1932" i="5"/>
  <c r="U1926" i="5"/>
  <c r="S1926" i="5"/>
  <c r="T1926" i="5" s="1"/>
  <c r="R1926" i="5"/>
  <c r="U1925" i="5"/>
  <c r="S1925" i="5"/>
  <c r="T1925" i="5" s="1"/>
  <c r="R1925" i="5"/>
  <c r="U1924" i="5"/>
  <c r="S1924" i="5"/>
  <c r="T1924" i="5" s="1"/>
  <c r="R1924" i="5"/>
  <c r="U1923" i="5"/>
  <c r="T1923" i="5"/>
  <c r="S1923" i="5"/>
  <c r="R1923" i="5"/>
  <c r="U1919" i="5"/>
  <c r="S1919" i="5"/>
  <c r="T1919" i="5" s="1"/>
  <c r="R1919" i="5"/>
  <c r="U1918" i="5"/>
  <c r="S1918" i="5"/>
  <c r="T1918" i="5" s="1"/>
  <c r="R1918" i="5"/>
  <c r="U1917" i="5"/>
  <c r="S1917" i="5"/>
  <c r="T1917" i="5" s="1"/>
  <c r="R1917" i="5"/>
  <c r="U1916" i="5"/>
  <c r="T1916" i="5"/>
  <c r="S1916" i="5"/>
  <c r="R1916" i="5"/>
  <c r="U1915" i="5"/>
  <c r="S1915" i="5"/>
  <c r="T1915" i="5" s="1"/>
  <c r="R1915" i="5"/>
  <c r="U1913" i="5"/>
  <c r="S1913" i="5"/>
  <c r="T1913" i="5" s="1"/>
  <c r="R1913" i="5"/>
  <c r="U1912" i="5"/>
  <c r="S1912" i="5"/>
  <c r="T1912" i="5" s="1"/>
  <c r="R1912" i="5"/>
  <c r="U1911" i="5"/>
  <c r="T1911" i="5"/>
  <c r="S1911" i="5"/>
  <c r="R1911" i="5"/>
  <c r="U1910" i="5"/>
  <c r="S1910" i="5"/>
  <c r="T1910" i="5" s="1"/>
  <c r="R1910" i="5"/>
  <c r="U1904" i="5"/>
  <c r="S1904" i="5"/>
  <c r="T1904" i="5" s="1"/>
  <c r="R1904" i="5"/>
  <c r="U1903" i="5"/>
  <c r="S1903" i="5"/>
  <c r="T1903" i="5" s="1"/>
  <c r="R1903" i="5"/>
  <c r="U1902" i="5"/>
  <c r="T1902" i="5"/>
  <c r="S1902" i="5"/>
  <c r="R1902" i="5"/>
  <c r="U1901" i="5"/>
  <c r="S1901" i="5"/>
  <c r="T1901" i="5" s="1"/>
  <c r="R1901" i="5"/>
  <c r="U1900" i="5"/>
  <c r="S1900" i="5"/>
  <c r="T1900" i="5" s="1"/>
  <c r="R1900" i="5"/>
  <c r="U1896" i="5"/>
  <c r="S1896" i="5"/>
  <c r="T1896" i="5" s="1"/>
  <c r="R1896" i="5"/>
  <c r="U1892" i="5"/>
  <c r="T1892" i="5"/>
  <c r="S1892" i="5"/>
  <c r="R1892" i="5"/>
  <c r="U1891" i="5"/>
  <c r="S1891" i="5"/>
  <c r="T1891" i="5" s="1"/>
  <c r="R1891" i="5"/>
  <c r="U1889" i="5"/>
  <c r="S1889" i="5"/>
  <c r="T1889" i="5" s="1"/>
  <c r="R1889" i="5"/>
  <c r="U1888" i="5"/>
  <c r="S1888" i="5"/>
  <c r="T1888" i="5" s="1"/>
  <c r="R1888" i="5"/>
  <c r="U1885" i="5"/>
  <c r="T1885" i="5"/>
  <c r="S1885" i="5"/>
  <c r="R1885" i="5"/>
  <c r="U1884" i="5"/>
  <c r="S1884" i="5"/>
  <c r="T1884" i="5" s="1"/>
  <c r="R1884" i="5"/>
  <c r="U1883" i="5"/>
  <c r="S1883" i="5"/>
  <c r="T1883" i="5" s="1"/>
  <c r="R1883" i="5"/>
  <c r="U1882" i="5"/>
  <c r="S1882" i="5"/>
  <c r="T1882" i="5" s="1"/>
  <c r="R1882" i="5"/>
  <c r="U1881" i="5"/>
  <c r="T1881" i="5"/>
  <c r="S1881" i="5"/>
  <c r="R1881" i="5"/>
  <c r="U1880" i="5"/>
  <c r="S1880" i="5"/>
  <c r="T1880" i="5" s="1"/>
  <c r="R1880" i="5"/>
  <c r="U1879" i="5"/>
  <c r="S1879" i="5"/>
  <c r="T1879" i="5" s="1"/>
  <c r="R1879" i="5"/>
  <c r="U1877" i="5"/>
  <c r="S1877" i="5"/>
  <c r="T1877" i="5" s="1"/>
  <c r="R1877" i="5"/>
  <c r="U1874" i="5"/>
  <c r="T1874" i="5"/>
  <c r="S1874" i="5"/>
  <c r="R1874" i="5"/>
  <c r="U1873" i="5"/>
  <c r="S1873" i="5"/>
  <c r="T1873" i="5" s="1"/>
  <c r="R1873" i="5"/>
  <c r="U1872" i="5"/>
  <c r="S1872" i="5"/>
  <c r="T1872" i="5" s="1"/>
  <c r="R1872" i="5"/>
  <c r="U1871" i="5"/>
  <c r="S1871" i="5"/>
  <c r="T1871" i="5" s="1"/>
  <c r="R1871" i="5"/>
  <c r="U1870" i="5"/>
  <c r="T1870" i="5"/>
  <c r="S1870" i="5"/>
  <c r="R1870" i="5"/>
  <c r="U1866" i="5"/>
  <c r="S1866" i="5"/>
  <c r="T1866" i="5" s="1"/>
  <c r="R1866" i="5"/>
  <c r="U1865" i="5"/>
  <c r="S1865" i="5"/>
  <c r="T1865" i="5" s="1"/>
  <c r="R1865" i="5"/>
  <c r="U1864" i="5"/>
  <c r="S1864" i="5"/>
  <c r="T1864" i="5" s="1"/>
  <c r="R1864" i="5"/>
  <c r="U1862" i="5"/>
  <c r="T1862" i="5"/>
  <c r="S1862" i="5"/>
  <c r="R1862" i="5"/>
  <c r="U1861" i="5"/>
  <c r="S1861" i="5"/>
  <c r="T1861" i="5" s="1"/>
  <c r="R1861" i="5"/>
  <c r="U1860" i="5"/>
  <c r="S1860" i="5"/>
  <c r="T1860" i="5" s="1"/>
  <c r="R1860" i="5"/>
  <c r="U1859" i="5"/>
  <c r="S1859" i="5"/>
  <c r="T1859" i="5" s="1"/>
  <c r="R1859" i="5"/>
  <c r="U1858" i="5"/>
  <c r="T1858" i="5"/>
  <c r="S1858" i="5"/>
  <c r="R1858" i="5"/>
  <c r="U1857" i="5"/>
  <c r="S1857" i="5"/>
  <c r="T1857" i="5" s="1"/>
  <c r="R1857" i="5"/>
  <c r="U1856" i="5"/>
  <c r="S1856" i="5"/>
  <c r="T1856" i="5" s="1"/>
  <c r="R1856" i="5"/>
  <c r="U1855" i="5"/>
  <c r="S1855" i="5"/>
  <c r="T1855" i="5" s="1"/>
  <c r="R1855" i="5"/>
  <c r="U1854" i="5"/>
  <c r="T1854" i="5"/>
  <c r="S1854" i="5"/>
  <c r="R1854" i="5"/>
  <c r="U1853" i="5"/>
  <c r="S1853" i="5"/>
  <c r="T1853" i="5" s="1"/>
  <c r="R1853" i="5"/>
  <c r="U1852" i="5"/>
  <c r="S1852" i="5"/>
  <c r="T1852" i="5" s="1"/>
  <c r="R1852" i="5"/>
  <c r="U1851" i="5"/>
  <c r="S1851" i="5"/>
  <c r="T1851" i="5" s="1"/>
  <c r="R1851" i="5"/>
  <c r="U1849" i="5"/>
  <c r="T1849" i="5"/>
  <c r="S1849" i="5"/>
  <c r="R1849" i="5"/>
  <c r="U1848" i="5"/>
  <c r="S1848" i="5"/>
  <c r="T1848" i="5" s="1"/>
  <c r="R1848" i="5"/>
  <c r="U1847" i="5"/>
  <c r="S1847" i="5"/>
  <c r="T1847" i="5" s="1"/>
  <c r="R1847" i="5"/>
  <c r="U1846" i="5"/>
  <c r="S1846" i="5"/>
  <c r="T1846" i="5" s="1"/>
  <c r="R1846" i="5"/>
  <c r="U1845" i="5"/>
  <c r="T1845" i="5"/>
  <c r="S1845" i="5"/>
  <c r="R1845" i="5"/>
  <c r="U1844" i="5"/>
  <c r="S1844" i="5"/>
  <c r="T1844" i="5" s="1"/>
  <c r="R1844" i="5"/>
  <c r="U1843" i="5"/>
  <c r="S1843" i="5"/>
  <c r="T1843" i="5" s="1"/>
  <c r="R1843" i="5"/>
  <c r="U1842" i="5"/>
  <c r="S1842" i="5"/>
  <c r="T1842" i="5" s="1"/>
  <c r="R1842" i="5"/>
  <c r="U1841" i="5"/>
  <c r="T1841" i="5"/>
  <c r="S1841" i="5"/>
  <c r="R1841" i="5"/>
  <c r="U1840" i="5"/>
  <c r="S1840" i="5"/>
  <c r="T1840" i="5" s="1"/>
  <c r="R1840" i="5"/>
  <c r="U1839" i="5"/>
  <c r="S1839" i="5"/>
  <c r="T1839" i="5" s="1"/>
  <c r="R1839" i="5"/>
  <c r="U1838" i="5"/>
  <c r="S1838" i="5"/>
  <c r="T1838" i="5" s="1"/>
  <c r="R1838" i="5"/>
  <c r="U1837" i="5"/>
  <c r="T1837" i="5"/>
  <c r="S1837" i="5"/>
  <c r="R1837" i="5"/>
  <c r="U1836" i="5"/>
  <c r="S1836" i="5"/>
  <c r="T1836" i="5" s="1"/>
  <c r="R1836" i="5"/>
  <c r="U1835" i="5"/>
  <c r="S1835" i="5"/>
  <c r="T1835" i="5" s="1"/>
  <c r="R1835" i="5"/>
  <c r="U1834" i="5"/>
  <c r="S1834" i="5"/>
  <c r="T1834" i="5" s="1"/>
  <c r="R1834" i="5"/>
  <c r="U1829" i="5"/>
  <c r="T1829" i="5"/>
  <c r="S1829" i="5"/>
  <c r="R1829" i="5"/>
  <c r="U1825" i="5"/>
  <c r="S1825" i="5"/>
  <c r="T1825" i="5" s="1"/>
  <c r="R1825" i="5"/>
  <c r="U1824" i="5"/>
  <c r="S1824" i="5"/>
  <c r="T1824" i="5" s="1"/>
  <c r="R1824" i="5"/>
  <c r="U1823" i="5"/>
  <c r="S1823" i="5"/>
  <c r="T1823" i="5" s="1"/>
  <c r="R1823" i="5"/>
  <c r="U1821" i="5"/>
  <c r="T1821" i="5"/>
  <c r="S1821" i="5"/>
  <c r="R1821" i="5"/>
  <c r="U1820" i="5"/>
  <c r="S1820" i="5"/>
  <c r="T1820" i="5" s="1"/>
  <c r="R1820" i="5"/>
  <c r="U1819" i="5"/>
  <c r="S1819" i="5"/>
  <c r="T1819" i="5" s="1"/>
  <c r="R1819" i="5"/>
  <c r="U1818" i="5"/>
  <c r="S1818" i="5"/>
  <c r="T1818" i="5" s="1"/>
  <c r="R1818" i="5"/>
  <c r="U1817" i="5"/>
  <c r="T1817" i="5"/>
  <c r="S1817" i="5"/>
  <c r="R1817" i="5"/>
  <c r="U1816" i="5"/>
  <c r="S1816" i="5"/>
  <c r="T1816" i="5" s="1"/>
  <c r="R1816" i="5"/>
  <c r="U1815" i="5"/>
  <c r="S1815" i="5"/>
  <c r="T1815" i="5" s="1"/>
  <c r="R1815" i="5"/>
  <c r="U1814" i="5"/>
  <c r="S1814" i="5"/>
  <c r="T1814" i="5" s="1"/>
  <c r="R1814" i="5"/>
  <c r="U1809" i="5"/>
  <c r="T1809" i="5"/>
  <c r="S1809" i="5"/>
  <c r="R1809" i="5"/>
  <c r="U1808" i="5"/>
  <c r="S1808" i="5"/>
  <c r="T1808" i="5" s="1"/>
  <c r="R1808" i="5"/>
  <c r="U1807" i="5"/>
  <c r="S1807" i="5"/>
  <c r="T1807" i="5" s="1"/>
  <c r="R1807" i="5"/>
  <c r="U1806" i="5"/>
  <c r="S1806" i="5"/>
  <c r="T1806" i="5" s="1"/>
  <c r="R1806" i="5"/>
  <c r="U1804" i="5"/>
  <c r="T1804" i="5"/>
  <c r="S1804" i="5"/>
  <c r="R1804" i="5"/>
  <c r="U1803" i="5"/>
  <c r="S1803" i="5"/>
  <c r="T1803" i="5" s="1"/>
  <c r="R1803" i="5"/>
  <c r="U1795" i="5"/>
  <c r="S1795" i="5"/>
  <c r="T1795" i="5" s="1"/>
  <c r="R1795" i="5"/>
  <c r="U1794" i="5"/>
  <c r="S1794" i="5"/>
  <c r="T1794" i="5" s="1"/>
  <c r="R1794" i="5"/>
  <c r="U1792" i="5"/>
  <c r="T1792" i="5"/>
  <c r="S1792" i="5"/>
  <c r="R1792" i="5"/>
  <c r="U1791" i="5"/>
  <c r="S1791" i="5"/>
  <c r="T1791" i="5" s="1"/>
  <c r="R1791" i="5"/>
  <c r="U1790" i="5"/>
  <c r="S1790" i="5"/>
  <c r="T1790" i="5" s="1"/>
  <c r="R1790" i="5"/>
  <c r="U1789" i="5"/>
  <c r="S1789" i="5"/>
  <c r="T1789" i="5" s="1"/>
  <c r="R1789" i="5"/>
  <c r="U1788" i="5"/>
  <c r="T1788" i="5"/>
  <c r="S1788" i="5"/>
  <c r="R1788" i="5"/>
  <c r="U1778" i="5"/>
  <c r="S1778" i="5"/>
  <c r="T1778" i="5" s="1"/>
  <c r="R1778" i="5"/>
  <c r="U1766" i="5"/>
  <c r="S1766" i="5"/>
  <c r="T1766" i="5" s="1"/>
  <c r="R1766" i="5"/>
  <c r="U1765" i="5"/>
  <c r="S1765" i="5"/>
  <c r="T1765" i="5" s="1"/>
  <c r="R1765" i="5"/>
  <c r="U1764" i="5"/>
  <c r="T1764" i="5"/>
  <c r="S1764" i="5"/>
  <c r="R1764" i="5"/>
  <c r="U1763" i="5"/>
  <c r="S1763" i="5"/>
  <c r="T1763" i="5" s="1"/>
  <c r="R1763" i="5"/>
  <c r="U1762" i="5"/>
  <c r="S1762" i="5"/>
  <c r="T1762" i="5" s="1"/>
  <c r="R1762" i="5"/>
  <c r="U1761" i="5"/>
  <c r="S1761" i="5"/>
  <c r="T1761" i="5" s="1"/>
  <c r="R1761" i="5"/>
  <c r="U1760" i="5"/>
  <c r="T1760" i="5"/>
  <c r="S1760" i="5"/>
  <c r="R1760" i="5"/>
  <c r="U1759" i="5"/>
  <c r="S1759" i="5"/>
  <c r="T1759" i="5" s="1"/>
  <c r="R1759" i="5"/>
  <c r="U1758" i="5"/>
  <c r="S1758" i="5"/>
  <c r="T1758" i="5" s="1"/>
  <c r="R1758" i="5"/>
  <c r="U1757" i="5"/>
  <c r="S1757" i="5"/>
  <c r="T1757" i="5" s="1"/>
  <c r="R1757" i="5"/>
  <c r="U1756" i="5"/>
  <c r="T1756" i="5"/>
  <c r="S1756" i="5"/>
  <c r="R1756" i="5"/>
  <c r="U1753" i="5"/>
  <c r="S1753" i="5"/>
  <c r="T1753" i="5" s="1"/>
  <c r="R1753" i="5"/>
  <c r="U1752" i="5"/>
  <c r="S1752" i="5"/>
  <c r="T1752" i="5" s="1"/>
  <c r="R1752" i="5"/>
  <c r="U1751" i="5"/>
  <c r="S1751" i="5"/>
  <c r="T1751" i="5" s="1"/>
  <c r="R1751" i="5"/>
  <c r="U1750" i="5"/>
  <c r="T1750" i="5"/>
  <c r="S1750" i="5"/>
  <c r="R1750" i="5"/>
  <c r="U1749" i="5"/>
  <c r="S1749" i="5"/>
  <c r="T1749" i="5" s="1"/>
  <c r="R1749" i="5"/>
  <c r="U1742" i="5"/>
  <c r="S1742" i="5"/>
  <c r="T1742" i="5" s="1"/>
  <c r="R1742" i="5"/>
  <c r="U1741" i="5"/>
  <c r="S1741" i="5"/>
  <c r="T1741" i="5" s="1"/>
  <c r="R1741" i="5"/>
  <c r="U1739" i="5"/>
  <c r="T1739" i="5"/>
  <c r="S1739" i="5"/>
  <c r="R1739" i="5"/>
  <c r="U1738" i="5"/>
  <c r="S1738" i="5"/>
  <c r="T1738" i="5" s="1"/>
  <c r="R1738" i="5"/>
  <c r="U1724" i="5"/>
  <c r="S1724" i="5"/>
  <c r="T1724" i="5" s="1"/>
  <c r="R1724" i="5"/>
  <c r="U1723" i="5"/>
  <c r="S1723" i="5"/>
  <c r="T1723" i="5" s="1"/>
  <c r="R1723" i="5"/>
  <c r="U1722" i="5"/>
  <c r="T1722" i="5"/>
  <c r="S1722" i="5"/>
  <c r="R1722" i="5"/>
  <c r="U1721" i="5"/>
  <c r="S1721" i="5"/>
  <c r="T1721" i="5" s="1"/>
  <c r="R1721" i="5"/>
  <c r="U1720" i="5"/>
  <c r="S1720" i="5"/>
  <c r="T1720" i="5" s="1"/>
  <c r="R1720" i="5"/>
  <c r="U1719" i="5"/>
  <c r="S1719" i="5"/>
  <c r="T1719" i="5" s="1"/>
  <c r="R1719" i="5"/>
  <c r="U1718" i="5"/>
  <c r="T1718" i="5"/>
  <c r="S1718" i="5"/>
  <c r="R1718" i="5"/>
  <c r="U1717" i="5"/>
  <c r="S1717" i="5"/>
  <c r="T1717" i="5" s="1"/>
  <c r="R1717" i="5"/>
  <c r="U1716" i="5"/>
  <c r="S1716" i="5"/>
  <c r="T1716" i="5" s="1"/>
  <c r="R1716" i="5"/>
  <c r="U1715" i="5"/>
  <c r="S1715" i="5"/>
  <c r="T1715" i="5" s="1"/>
  <c r="R1715" i="5"/>
  <c r="U1714" i="5"/>
  <c r="T1714" i="5"/>
  <c r="S1714" i="5"/>
  <c r="R1714" i="5"/>
  <c r="U1713" i="5"/>
  <c r="S1713" i="5"/>
  <c r="T1713" i="5" s="1"/>
  <c r="R1713" i="5"/>
  <c r="U1712" i="5"/>
  <c r="S1712" i="5"/>
  <c r="T1712" i="5" s="1"/>
  <c r="R1712" i="5"/>
  <c r="U1711" i="5"/>
  <c r="S1711" i="5"/>
  <c r="T1711" i="5" s="1"/>
  <c r="R1711" i="5"/>
  <c r="U1710" i="5"/>
  <c r="T1710" i="5"/>
  <c r="S1710" i="5"/>
  <c r="R1710" i="5"/>
  <c r="U1709" i="5"/>
  <c r="S1709" i="5"/>
  <c r="T1709" i="5" s="1"/>
  <c r="R1709" i="5"/>
  <c r="U1708" i="5"/>
  <c r="S1708" i="5"/>
  <c r="T1708" i="5" s="1"/>
  <c r="R1708" i="5"/>
  <c r="U1707" i="5"/>
  <c r="S1707" i="5"/>
  <c r="T1707" i="5" s="1"/>
  <c r="R1707" i="5"/>
  <c r="U1706" i="5"/>
  <c r="T1706" i="5"/>
  <c r="S1706" i="5"/>
  <c r="R1706" i="5"/>
  <c r="U1705" i="5"/>
  <c r="S1705" i="5"/>
  <c r="T1705" i="5" s="1"/>
  <c r="R1705" i="5"/>
  <c r="U1704" i="5"/>
  <c r="S1704" i="5"/>
  <c r="T1704" i="5" s="1"/>
  <c r="R1704" i="5"/>
  <c r="U1703" i="5"/>
  <c r="S1703" i="5"/>
  <c r="T1703" i="5" s="1"/>
  <c r="R1703" i="5"/>
  <c r="U1702" i="5"/>
  <c r="T1702" i="5"/>
  <c r="S1702" i="5"/>
  <c r="R1702" i="5"/>
  <c r="U1701" i="5"/>
  <c r="S1701" i="5"/>
  <c r="T1701" i="5" s="1"/>
  <c r="R1701" i="5"/>
  <c r="U1700" i="5"/>
  <c r="S1700" i="5"/>
  <c r="T1700" i="5" s="1"/>
  <c r="R1700" i="5"/>
  <c r="U1699" i="5"/>
  <c r="S1699" i="5"/>
  <c r="T1699" i="5" s="1"/>
  <c r="R1699" i="5"/>
  <c r="U1698" i="5"/>
  <c r="T1698" i="5"/>
  <c r="S1698" i="5"/>
  <c r="R1698" i="5"/>
  <c r="U1697" i="5"/>
  <c r="S1697" i="5"/>
  <c r="T1697" i="5" s="1"/>
  <c r="R1697" i="5"/>
  <c r="U1691" i="5"/>
  <c r="S1691" i="5"/>
  <c r="T1691" i="5" s="1"/>
  <c r="R1691" i="5"/>
  <c r="U1690" i="5"/>
  <c r="S1690" i="5"/>
  <c r="T1690" i="5" s="1"/>
  <c r="R1690" i="5"/>
  <c r="U1689" i="5"/>
  <c r="T1689" i="5"/>
  <c r="S1689" i="5"/>
  <c r="R1689" i="5"/>
  <c r="U1688" i="5"/>
  <c r="S1688" i="5"/>
  <c r="T1688" i="5" s="1"/>
  <c r="R1688" i="5"/>
  <c r="U1687" i="5"/>
  <c r="S1687" i="5"/>
  <c r="T1687" i="5" s="1"/>
  <c r="R1687" i="5"/>
  <c r="U1686" i="5"/>
  <c r="S1686" i="5"/>
  <c r="T1686" i="5" s="1"/>
  <c r="R1686" i="5"/>
  <c r="U1685" i="5"/>
  <c r="T1685" i="5"/>
  <c r="S1685" i="5"/>
  <c r="R1685" i="5"/>
  <c r="U1684" i="5"/>
  <c r="S1684" i="5"/>
  <c r="T1684" i="5" s="1"/>
  <c r="R1684" i="5"/>
  <c r="U1683" i="5"/>
  <c r="S1683" i="5"/>
  <c r="T1683" i="5" s="1"/>
  <c r="R1683" i="5"/>
  <c r="U1682" i="5"/>
  <c r="S1682" i="5"/>
  <c r="T1682" i="5" s="1"/>
  <c r="R1682" i="5"/>
  <c r="U1680" i="5"/>
  <c r="T1680" i="5"/>
  <c r="S1680" i="5"/>
  <c r="R1680" i="5"/>
  <c r="U1679" i="5"/>
  <c r="S1679" i="5"/>
  <c r="T1679" i="5" s="1"/>
  <c r="R1679" i="5"/>
  <c r="U1678" i="5"/>
  <c r="S1678" i="5"/>
  <c r="T1678" i="5" s="1"/>
  <c r="R1678" i="5"/>
  <c r="U1675" i="5"/>
  <c r="S1675" i="5"/>
  <c r="T1675" i="5" s="1"/>
  <c r="R1675" i="5"/>
  <c r="U1673" i="5"/>
  <c r="T1673" i="5"/>
  <c r="S1673" i="5"/>
  <c r="R1673" i="5"/>
  <c r="U1672" i="5"/>
  <c r="S1672" i="5"/>
  <c r="T1672" i="5" s="1"/>
  <c r="R1672" i="5"/>
  <c r="U1671" i="5"/>
  <c r="S1671" i="5"/>
  <c r="T1671" i="5" s="1"/>
  <c r="R1671" i="5"/>
  <c r="U1670" i="5"/>
  <c r="S1670" i="5"/>
  <c r="T1670" i="5" s="1"/>
  <c r="R1670" i="5"/>
  <c r="U1668" i="5"/>
  <c r="T1668" i="5"/>
  <c r="S1668" i="5"/>
  <c r="R1668" i="5"/>
  <c r="U1661" i="5"/>
  <c r="S1661" i="5"/>
  <c r="T1661" i="5" s="1"/>
  <c r="R1661" i="5"/>
  <c r="U1655" i="5"/>
  <c r="S1655" i="5"/>
  <c r="T1655" i="5" s="1"/>
  <c r="R1655" i="5"/>
  <c r="U1654" i="5"/>
  <c r="S1654" i="5"/>
  <c r="T1654" i="5" s="1"/>
  <c r="R1654" i="5"/>
  <c r="U1653" i="5"/>
  <c r="T1653" i="5"/>
  <c r="S1653" i="5"/>
  <c r="R1653" i="5"/>
  <c r="U1648" i="5"/>
  <c r="S1648" i="5"/>
  <c r="T1648" i="5" s="1"/>
  <c r="R1648" i="5"/>
  <c r="U1647" i="5"/>
  <c r="S1647" i="5"/>
  <c r="T1647" i="5" s="1"/>
  <c r="R1647" i="5"/>
  <c r="U1646" i="5"/>
  <c r="S1646" i="5"/>
  <c r="T1646" i="5" s="1"/>
  <c r="R1646" i="5"/>
  <c r="U1645" i="5"/>
  <c r="T1645" i="5"/>
  <c r="S1645" i="5"/>
  <c r="R1645" i="5"/>
  <c r="U1643" i="5"/>
  <c r="S1643" i="5"/>
  <c r="T1643" i="5" s="1"/>
  <c r="R1643" i="5"/>
  <c r="U1642" i="5"/>
  <c r="S1642" i="5"/>
  <c r="T1642" i="5" s="1"/>
  <c r="R1642" i="5"/>
  <c r="U1641" i="5"/>
  <c r="S1641" i="5"/>
  <c r="T1641" i="5" s="1"/>
  <c r="R1641" i="5"/>
  <c r="U1640" i="5"/>
  <c r="T1640" i="5"/>
  <c r="S1640" i="5"/>
  <c r="R1640" i="5"/>
  <c r="U1639" i="5"/>
  <c r="S1639" i="5"/>
  <c r="T1639" i="5" s="1"/>
  <c r="R1639" i="5"/>
  <c r="U1638" i="5"/>
  <c r="S1638" i="5"/>
  <c r="T1638" i="5" s="1"/>
  <c r="R1638" i="5"/>
  <c r="U1637" i="5"/>
  <c r="S1637" i="5"/>
  <c r="T1637" i="5" s="1"/>
  <c r="R1637" i="5"/>
  <c r="U1636" i="5"/>
  <c r="T1636" i="5"/>
  <c r="S1636" i="5"/>
  <c r="R1636" i="5"/>
  <c r="U1635" i="5"/>
  <c r="S1635" i="5"/>
  <c r="T1635" i="5" s="1"/>
  <c r="R1635" i="5"/>
  <c r="U1634" i="5"/>
  <c r="S1634" i="5"/>
  <c r="T1634" i="5" s="1"/>
  <c r="R1634" i="5"/>
  <c r="U1633" i="5"/>
  <c r="S1633" i="5"/>
  <c r="T1633" i="5" s="1"/>
  <c r="R1633" i="5"/>
  <c r="U1630" i="5"/>
  <c r="T1630" i="5"/>
  <c r="S1630" i="5"/>
  <c r="R1630" i="5"/>
  <c r="U1629" i="5"/>
  <c r="S1629" i="5"/>
  <c r="T1629" i="5" s="1"/>
  <c r="R1629" i="5"/>
  <c r="U1628" i="5"/>
  <c r="S1628" i="5"/>
  <c r="T1628" i="5" s="1"/>
  <c r="R1628" i="5"/>
  <c r="U1626" i="5"/>
  <c r="S1626" i="5"/>
  <c r="T1626" i="5" s="1"/>
  <c r="R1626" i="5"/>
  <c r="U1625" i="5"/>
  <c r="T1625" i="5"/>
  <c r="S1625" i="5"/>
  <c r="R1625" i="5"/>
  <c r="U1624" i="5"/>
  <c r="S1624" i="5"/>
  <c r="T1624" i="5" s="1"/>
  <c r="R1624" i="5"/>
  <c r="U1623" i="5"/>
  <c r="S1623" i="5"/>
  <c r="T1623" i="5" s="1"/>
  <c r="R1623" i="5"/>
  <c r="U1622" i="5"/>
  <c r="S1622" i="5"/>
  <c r="T1622" i="5" s="1"/>
  <c r="R1622" i="5"/>
  <c r="U1621" i="5"/>
  <c r="T1621" i="5"/>
  <c r="S1621" i="5"/>
  <c r="R1621" i="5"/>
  <c r="U1620" i="5"/>
  <c r="S1620" i="5"/>
  <c r="T1620" i="5" s="1"/>
  <c r="R1620" i="5"/>
  <c r="U1619" i="5"/>
  <c r="S1619" i="5"/>
  <c r="T1619" i="5" s="1"/>
  <c r="R1619" i="5"/>
  <c r="U1618" i="5"/>
  <c r="S1618" i="5"/>
  <c r="T1618" i="5" s="1"/>
  <c r="R1618" i="5"/>
  <c r="U1616" i="5"/>
  <c r="T1616" i="5"/>
  <c r="S1616" i="5"/>
  <c r="R1616" i="5"/>
  <c r="U1615" i="5"/>
  <c r="S1615" i="5"/>
  <c r="T1615" i="5" s="1"/>
  <c r="R1615" i="5"/>
  <c r="U1614" i="5"/>
  <c r="S1614" i="5"/>
  <c r="T1614" i="5" s="1"/>
  <c r="R1614" i="5"/>
  <c r="U1613" i="5"/>
  <c r="S1613" i="5"/>
  <c r="T1613" i="5" s="1"/>
  <c r="R1613" i="5"/>
  <c r="U1612" i="5"/>
  <c r="T1612" i="5"/>
  <c r="S1612" i="5"/>
  <c r="R1612" i="5"/>
  <c r="U1610" i="5"/>
  <c r="S1610" i="5"/>
  <c r="T1610" i="5" s="1"/>
  <c r="R1610" i="5"/>
  <c r="U1609" i="5"/>
  <c r="S1609" i="5"/>
  <c r="T1609" i="5" s="1"/>
  <c r="R1609" i="5"/>
  <c r="U1608" i="5"/>
  <c r="S1608" i="5"/>
  <c r="T1608" i="5" s="1"/>
  <c r="R1608" i="5"/>
  <c r="U1607" i="5"/>
  <c r="T1607" i="5"/>
  <c r="S1607" i="5"/>
  <c r="R1607" i="5"/>
  <c r="U1606" i="5"/>
  <c r="S1606" i="5"/>
  <c r="T1606" i="5" s="1"/>
  <c r="R1606" i="5"/>
  <c r="U1605" i="5"/>
  <c r="S1605" i="5"/>
  <c r="T1605" i="5" s="1"/>
  <c r="R1605" i="5"/>
  <c r="U1604" i="5"/>
  <c r="S1604" i="5"/>
  <c r="T1604" i="5" s="1"/>
  <c r="R1604" i="5"/>
  <c r="U1603" i="5"/>
  <c r="T1603" i="5"/>
  <c r="S1603" i="5"/>
  <c r="R1603" i="5"/>
  <c r="U1602" i="5"/>
  <c r="S1602" i="5"/>
  <c r="T1602" i="5" s="1"/>
  <c r="R1602" i="5"/>
  <c r="U1601" i="5"/>
  <c r="S1601" i="5"/>
  <c r="T1601" i="5" s="1"/>
  <c r="R1601" i="5"/>
  <c r="U1600" i="5"/>
  <c r="S1600" i="5"/>
  <c r="T1600" i="5" s="1"/>
  <c r="R1600" i="5"/>
  <c r="U1599" i="5"/>
  <c r="T1599" i="5"/>
  <c r="S1599" i="5"/>
  <c r="R1599" i="5"/>
  <c r="U1598" i="5"/>
  <c r="T1598" i="5"/>
  <c r="S1598" i="5"/>
  <c r="R1598" i="5"/>
  <c r="U1597" i="5"/>
  <c r="T1597" i="5"/>
  <c r="S1597" i="5"/>
  <c r="R1597" i="5"/>
  <c r="U1596" i="5"/>
  <c r="T1596" i="5"/>
  <c r="S1596" i="5"/>
  <c r="R1596" i="5"/>
  <c r="U1595" i="5"/>
  <c r="T1595" i="5"/>
  <c r="S1595" i="5"/>
  <c r="R1595" i="5"/>
  <c r="U1594" i="5"/>
  <c r="T1594" i="5"/>
  <c r="S1594" i="5"/>
  <c r="R1594" i="5"/>
  <c r="U1593" i="5"/>
  <c r="T1593" i="5"/>
  <c r="S1593" i="5"/>
  <c r="R1593" i="5"/>
  <c r="U1592" i="5"/>
  <c r="T1592" i="5"/>
  <c r="S1592" i="5"/>
  <c r="R1592" i="5"/>
  <c r="U1584" i="5"/>
  <c r="T1584" i="5"/>
  <c r="S1584" i="5"/>
  <c r="R1584" i="5"/>
  <c r="U1583" i="5"/>
  <c r="T1583" i="5"/>
  <c r="S1583" i="5"/>
  <c r="R1583" i="5"/>
  <c r="U1582" i="5"/>
  <c r="T1582" i="5"/>
  <c r="S1582" i="5"/>
  <c r="R1582" i="5"/>
  <c r="U1581" i="5"/>
  <c r="T1581" i="5"/>
  <c r="S1581" i="5"/>
  <c r="R1581" i="5"/>
  <c r="U1580" i="5"/>
  <c r="T1580" i="5"/>
  <c r="S1580" i="5"/>
  <c r="R1580" i="5"/>
  <c r="U1579" i="5"/>
  <c r="T1579" i="5"/>
  <c r="S1579" i="5"/>
  <c r="R1579" i="5"/>
  <c r="U1578" i="5"/>
  <c r="T1578" i="5"/>
  <c r="S1578" i="5"/>
  <c r="R1578" i="5"/>
  <c r="U1577" i="5"/>
  <c r="T1577" i="5"/>
  <c r="S1577" i="5"/>
  <c r="R1577" i="5"/>
  <c r="U1576" i="5"/>
  <c r="T1576" i="5"/>
  <c r="S1576" i="5"/>
  <c r="R1576" i="5"/>
  <c r="U1573" i="5"/>
  <c r="T1573" i="5"/>
  <c r="S1573" i="5"/>
  <c r="R1573" i="5"/>
  <c r="U1572" i="5"/>
  <c r="T1572" i="5"/>
  <c r="S1572" i="5"/>
  <c r="R1572" i="5"/>
  <c r="U1571" i="5"/>
  <c r="T1571" i="5"/>
  <c r="S1571" i="5"/>
  <c r="R1571" i="5"/>
  <c r="U1569" i="5"/>
  <c r="T1569" i="5"/>
  <c r="S1569" i="5"/>
  <c r="R1569" i="5"/>
  <c r="U1568" i="5"/>
  <c r="T1568" i="5"/>
  <c r="S1568" i="5"/>
  <c r="R1568" i="5"/>
  <c r="U1567" i="5"/>
  <c r="T1567" i="5"/>
  <c r="S1567" i="5"/>
  <c r="R1567" i="5"/>
  <c r="U1566" i="5"/>
  <c r="T1566" i="5"/>
  <c r="S1566" i="5"/>
  <c r="R1566" i="5"/>
  <c r="U1565" i="5"/>
  <c r="T1565" i="5"/>
  <c r="S1565" i="5"/>
  <c r="R1565" i="5"/>
  <c r="U1564" i="5"/>
  <c r="T1564" i="5"/>
  <c r="S1564" i="5"/>
  <c r="R1564" i="5"/>
  <c r="U1561" i="5"/>
  <c r="T1561" i="5"/>
  <c r="S1561" i="5"/>
  <c r="R1561" i="5"/>
  <c r="U1560" i="5"/>
  <c r="T1560" i="5"/>
  <c r="S1560" i="5"/>
  <c r="R1560" i="5"/>
  <c r="U1557" i="5"/>
  <c r="T1557" i="5"/>
  <c r="S1557" i="5"/>
  <c r="R1557" i="5"/>
  <c r="U1556" i="5"/>
  <c r="T1556" i="5"/>
  <c r="S1556" i="5"/>
  <c r="R1556" i="5"/>
  <c r="U1555" i="5"/>
  <c r="T1555" i="5"/>
  <c r="S1555" i="5"/>
  <c r="R1555" i="5"/>
  <c r="U1550" i="5"/>
  <c r="T1550" i="5"/>
  <c r="S1550" i="5"/>
  <c r="R1550" i="5"/>
  <c r="U1549" i="5"/>
  <c r="T1549" i="5"/>
  <c r="S1549" i="5"/>
  <c r="R1549" i="5"/>
  <c r="U1548" i="5"/>
  <c r="T1548" i="5"/>
  <c r="S1548" i="5"/>
  <c r="R1548" i="5"/>
  <c r="U1544" i="5"/>
  <c r="T1544" i="5"/>
  <c r="S1544" i="5"/>
  <c r="R1544" i="5"/>
  <c r="U1543" i="5"/>
  <c r="T1543" i="5"/>
  <c r="S1543" i="5"/>
  <c r="R1543" i="5"/>
  <c r="U1542" i="5"/>
  <c r="T1542" i="5"/>
  <c r="S1542" i="5"/>
  <c r="R1542" i="5"/>
  <c r="U1540" i="5"/>
  <c r="T1540" i="5"/>
  <c r="S1540" i="5"/>
  <c r="R1540" i="5"/>
  <c r="U1539" i="5"/>
  <c r="T1539" i="5"/>
  <c r="S1539" i="5"/>
  <c r="R1539" i="5"/>
  <c r="U1537" i="5"/>
  <c r="T1537" i="5"/>
  <c r="S1537" i="5"/>
  <c r="R1537" i="5"/>
  <c r="U1536" i="5"/>
  <c r="T1536" i="5"/>
  <c r="S1536" i="5"/>
  <c r="R1536" i="5"/>
  <c r="U1535" i="5"/>
  <c r="T1535" i="5"/>
  <c r="S1535" i="5"/>
  <c r="R1535" i="5"/>
  <c r="U1534" i="5"/>
  <c r="T1534" i="5"/>
  <c r="S1534" i="5"/>
  <c r="R1534" i="5"/>
  <c r="U1532" i="5"/>
  <c r="T1532" i="5"/>
  <c r="S1532" i="5"/>
  <c r="R1532" i="5"/>
  <c r="U1531" i="5"/>
  <c r="T1531" i="5"/>
  <c r="S1531" i="5"/>
  <c r="R1531" i="5"/>
  <c r="U1530" i="5"/>
  <c r="T1530" i="5"/>
  <c r="S1530" i="5"/>
  <c r="R1530" i="5"/>
  <c r="U1528" i="5"/>
  <c r="T1528" i="5"/>
  <c r="S1528" i="5"/>
  <c r="R1528" i="5"/>
  <c r="U1527" i="5"/>
  <c r="T1527" i="5"/>
  <c r="S1527" i="5"/>
  <c r="R1527" i="5"/>
  <c r="U1526" i="5"/>
  <c r="T1526" i="5"/>
  <c r="S1526" i="5"/>
  <c r="R1526" i="5"/>
  <c r="U1525" i="5"/>
  <c r="T1525" i="5"/>
  <c r="S1525" i="5"/>
  <c r="R1525" i="5"/>
  <c r="U1524" i="5"/>
  <c r="T1524" i="5"/>
  <c r="S1524" i="5"/>
  <c r="R1524" i="5"/>
  <c r="U1521" i="5"/>
  <c r="T1521" i="5"/>
  <c r="S1521" i="5"/>
  <c r="R1521" i="5"/>
  <c r="U1520" i="5"/>
  <c r="T1520" i="5"/>
  <c r="S1520" i="5"/>
  <c r="R1520" i="5"/>
  <c r="U1517" i="5"/>
  <c r="T1517" i="5"/>
  <c r="S1517" i="5"/>
  <c r="R1517" i="5"/>
  <c r="U1515" i="5"/>
  <c r="T1515" i="5"/>
  <c r="S1515" i="5"/>
  <c r="R1515" i="5"/>
  <c r="U1505" i="5"/>
  <c r="T1505" i="5"/>
  <c r="S1505" i="5"/>
  <c r="R1505" i="5"/>
  <c r="U1502" i="5"/>
  <c r="T1502" i="5"/>
  <c r="S1502" i="5"/>
  <c r="R1502" i="5"/>
  <c r="U1501" i="5"/>
  <c r="T1501" i="5"/>
  <c r="S1501" i="5"/>
  <c r="R1501" i="5"/>
  <c r="U1499" i="5"/>
  <c r="T1499" i="5"/>
  <c r="S1499" i="5"/>
  <c r="R1499" i="5"/>
  <c r="U1496" i="5"/>
  <c r="T1496" i="5"/>
  <c r="S1496" i="5"/>
  <c r="R1496" i="5"/>
  <c r="U1495" i="5"/>
  <c r="T1495" i="5"/>
  <c r="S1495" i="5"/>
  <c r="R1495" i="5"/>
  <c r="U1494" i="5"/>
  <c r="T1494" i="5"/>
  <c r="S1494" i="5"/>
  <c r="R1494" i="5"/>
  <c r="U1481" i="5"/>
  <c r="T1481" i="5"/>
  <c r="S1481" i="5"/>
  <c r="R1481" i="5"/>
  <c r="U1480" i="5"/>
  <c r="T1480" i="5"/>
  <c r="S1480" i="5"/>
  <c r="R1480" i="5"/>
  <c r="U1479" i="5"/>
  <c r="T1479" i="5"/>
  <c r="S1479" i="5"/>
  <c r="R1479" i="5"/>
  <c r="U1475" i="5"/>
  <c r="T1475" i="5"/>
  <c r="S1475" i="5"/>
  <c r="R1475" i="5"/>
  <c r="U1474" i="5"/>
  <c r="T1474" i="5"/>
  <c r="S1474" i="5"/>
  <c r="R1474" i="5"/>
  <c r="U1473" i="5"/>
  <c r="T1473" i="5"/>
  <c r="S1473" i="5"/>
  <c r="R1473" i="5"/>
  <c r="U1472" i="5"/>
  <c r="T1472" i="5"/>
  <c r="S1472" i="5"/>
  <c r="R1472" i="5"/>
  <c r="U1471" i="5"/>
  <c r="T1471" i="5"/>
  <c r="S1471" i="5"/>
  <c r="R1471" i="5"/>
  <c r="U1470" i="5"/>
  <c r="T1470" i="5"/>
  <c r="S1470" i="5"/>
  <c r="R1470" i="5"/>
  <c r="U1469" i="5"/>
  <c r="T1469" i="5"/>
  <c r="S1469" i="5"/>
  <c r="R1469" i="5"/>
  <c r="U1465" i="5"/>
  <c r="T1465" i="5"/>
  <c r="S1465" i="5"/>
  <c r="R1465" i="5"/>
  <c r="U1460" i="5"/>
  <c r="T1460" i="5"/>
  <c r="S1460" i="5"/>
  <c r="R1460" i="5"/>
  <c r="U1459" i="5"/>
  <c r="T1459" i="5"/>
  <c r="S1459" i="5"/>
  <c r="R1459" i="5"/>
  <c r="U1458" i="5"/>
  <c r="T1458" i="5"/>
  <c r="S1458" i="5"/>
  <c r="R1458" i="5"/>
  <c r="U1457" i="5"/>
  <c r="T1457" i="5"/>
  <c r="S1457" i="5"/>
  <c r="R1457" i="5"/>
  <c r="U1456" i="5"/>
  <c r="T1456" i="5"/>
  <c r="S1456" i="5"/>
  <c r="R1456" i="5"/>
  <c r="U1448" i="5"/>
  <c r="T1448" i="5"/>
  <c r="S1448" i="5"/>
  <c r="R1448" i="5"/>
  <c r="U1447" i="5"/>
  <c r="T1447" i="5"/>
  <c r="S1447" i="5"/>
  <c r="R1447" i="5"/>
  <c r="U1446" i="5"/>
  <c r="T1446" i="5"/>
  <c r="S1446" i="5"/>
  <c r="R1446" i="5"/>
  <c r="U1445" i="5"/>
  <c r="T1445" i="5"/>
  <c r="S1445" i="5"/>
  <c r="R1445" i="5"/>
  <c r="U1444" i="5"/>
  <c r="T1444" i="5"/>
  <c r="S1444" i="5"/>
  <c r="R1444" i="5"/>
  <c r="U1443" i="5"/>
  <c r="T1443" i="5"/>
  <c r="S1443" i="5"/>
  <c r="R1443" i="5"/>
  <c r="U1442" i="5"/>
  <c r="T1442" i="5"/>
  <c r="S1442" i="5"/>
  <c r="R1442" i="5"/>
  <c r="U1441" i="5"/>
  <c r="T1441" i="5"/>
  <c r="S1441" i="5"/>
  <c r="R1441" i="5"/>
  <c r="U1440" i="5"/>
  <c r="T1440" i="5"/>
  <c r="S1440" i="5"/>
  <c r="R1440" i="5"/>
  <c r="U1439" i="5"/>
  <c r="T1439" i="5"/>
  <c r="S1439" i="5"/>
  <c r="R1439" i="5"/>
  <c r="U1438" i="5"/>
  <c r="T1438" i="5"/>
  <c r="S1438" i="5"/>
  <c r="R1438" i="5"/>
  <c r="U1437" i="5"/>
  <c r="T1437" i="5"/>
  <c r="S1437" i="5"/>
  <c r="R1437" i="5"/>
  <c r="U1436" i="5"/>
  <c r="T1436" i="5"/>
  <c r="S1436" i="5"/>
  <c r="R1436" i="5"/>
  <c r="U1435" i="5"/>
  <c r="T1435" i="5"/>
  <c r="S1435" i="5"/>
  <c r="R1435" i="5"/>
  <c r="U1434" i="5"/>
  <c r="T1434" i="5"/>
  <c r="S1434" i="5"/>
  <c r="R1434" i="5"/>
  <c r="U1426" i="5"/>
  <c r="T1426" i="5"/>
  <c r="S1426" i="5"/>
  <c r="R1426" i="5"/>
  <c r="U1424" i="5"/>
  <c r="T1424" i="5"/>
  <c r="S1424" i="5"/>
  <c r="R1424" i="5"/>
  <c r="U1422" i="5"/>
  <c r="T1422" i="5"/>
  <c r="S1422" i="5"/>
  <c r="R1422" i="5"/>
  <c r="U1421" i="5"/>
  <c r="T1421" i="5"/>
  <c r="S1421" i="5"/>
  <c r="R1421" i="5"/>
  <c r="U1420" i="5"/>
  <c r="T1420" i="5"/>
  <c r="S1420" i="5"/>
  <c r="R1420" i="5"/>
  <c r="U1419" i="5"/>
  <c r="T1419" i="5"/>
  <c r="S1419" i="5"/>
  <c r="R1419" i="5"/>
  <c r="U1418" i="5"/>
  <c r="T1418" i="5"/>
  <c r="S1418" i="5"/>
  <c r="R1418" i="5"/>
  <c r="U1417" i="5"/>
  <c r="T1417" i="5"/>
  <c r="S1417" i="5"/>
  <c r="R1417" i="5"/>
  <c r="U1416" i="5"/>
  <c r="T1416" i="5"/>
  <c r="S1416" i="5"/>
  <c r="R1416" i="5"/>
  <c r="U1415" i="5"/>
  <c r="T1415" i="5"/>
  <c r="S1415" i="5"/>
  <c r="R1415" i="5"/>
  <c r="U1414" i="5"/>
  <c r="T1414" i="5"/>
  <c r="S1414" i="5"/>
  <c r="R1414" i="5"/>
  <c r="U1413" i="5"/>
  <c r="T1413" i="5"/>
  <c r="S1413" i="5"/>
  <c r="R1413" i="5"/>
  <c r="U1412" i="5"/>
  <c r="T1412" i="5"/>
  <c r="S1412" i="5"/>
  <c r="R1412" i="5"/>
  <c r="U1411" i="5"/>
  <c r="T1411" i="5"/>
  <c r="S1411" i="5"/>
  <c r="R1411" i="5"/>
  <c r="U1410" i="5"/>
  <c r="T1410" i="5"/>
  <c r="S1410" i="5"/>
  <c r="R1410" i="5"/>
  <c r="U1409" i="5"/>
  <c r="T1409" i="5"/>
  <c r="S1409" i="5"/>
  <c r="R1409" i="5"/>
  <c r="U1408" i="5"/>
  <c r="T1408" i="5"/>
  <c r="S1408" i="5"/>
  <c r="R1408" i="5"/>
  <c r="U1407" i="5"/>
  <c r="T1407" i="5"/>
  <c r="S1407" i="5"/>
  <c r="R1407" i="5"/>
  <c r="U1406" i="5"/>
  <c r="T1406" i="5"/>
  <c r="S1406" i="5"/>
  <c r="R1406" i="5"/>
  <c r="U1405" i="5"/>
  <c r="T1405" i="5"/>
  <c r="S1405" i="5"/>
  <c r="R1405" i="5"/>
  <c r="U1404" i="5"/>
  <c r="T1404" i="5"/>
  <c r="S1404" i="5"/>
  <c r="R1404" i="5"/>
  <c r="U1403" i="5"/>
  <c r="T1403" i="5"/>
  <c r="S1403" i="5"/>
  <c r="R1403" i="5"/>
  <c r="U1402" i="5"/>
  <c r="T1402" i="5"/>
  <c r="S1402" i="5"/>
  <c r="R1402" i="5"/>
  <c r="U1401" i="5"/>
  <c r="T1401" i="5"/>
  <c r="S1401" i="5"/>
  <c r="R1401" i="5"/>
  <c r="U1400" i="5"/>
  <c r="T1400" i="5"/>
  <c r="S1400" i="5"/>
  <c r="R1400" i="5"/>
  <c r="U1399" i="5"/>
  <c r="T1399" i="5"/>
  <c r="S1399" i="5"/>
  <c r="R1399" i="5"/>
  <c r="U1395" i="5"/>
  <c r="T1395" i="5"/>
  <c r="S1395" i="5"/>
  <c r="R1395" i="5"/>
  <c r="U1394" i="5"/>
  <c r="T1394" i="5"/>
  <c r="S1394" i="5"/>
  <c r="R1394" i="5"/>
  <c r="U1393" i="5"/>
  <c r="T1393" i="5"/>
  <c r="S1393" i="5"/>
  <c r="R1393" i="5"/>
  <c r="U1392" i="5"/>
  <c r="T1392" i="5"/>
  <c r="S1392" i="5"/>
  <c r="R1392" i="5"/>
  <c r="U1391" i="5"/>
  <c r="T1391" i="5"/>
  <c r="S1391" i="5"/>
  <c r="R1391" i="5"/>
  <c r="U1390" i="5"/>
  <c r="T1390" i="5"/>
  <c r="S1390" i="5"/>
  <c r="R1390" i="5"/>
  <c r="U1388" i="5"/>
  <c r="T1388" i="5"/>
  <c r="S1388" i="5"/>
  <c r="R1388" i="5"/>
  <c r="U1387" i="5"/>
  <c r="T1387" i="5"/>
  <c r="S1387" i="5"/>
  <c r="R1387" i="5"/>
  <c r="U1376" i="5"/>
  <c r="T1376" i="5"/>
  <c r="S1376" i="5"/>
  <c r="R1376" i="5"/>
  <c r="U1375" i="5"/>
  <c r="T1375" i="5"/>
  <c r="S1375" i="5"/>
  <c r="R1375" i="5"/>
  <c r="U1374" i="5"/>
  <c r="T1374" i="5"/>
  <c r="S1374" i="5"/>
  <c r="R1374" i="5"/>
  <c r="U1373" i="5"/>
  <c r="T1373" i="5"/>
  <c r="S1373" i="5"/>
  <c r="R1373" i="5"/>
  <c r="U1372" i="5"/>
  <c r="T1372" i="5"/>
  <c r="S1372" i="5"/>
  <c r="R1372" i="5"/>
  <c r="U1371" i="5"/>
  <c r="T1371" i="5"/>
  <c r="S1371" i="5"/>
  <c r="R1371" i="5"/>
  <c r="U1370" i="5"/>
  <c r="T1370" i="5"/>
  <c r="S1370" i="5"/>
  <c r="R1370" i="5"/>
  <c r="U1366" i="5"/>
  <c r="T1366" i="5"/>
  <c r="S1366" i="5"/>
  <c r="R1366" i="5"/>
  <c r="U1365" i="5"/>
  <c r="T1365" i="5"/>
  <c r="S1365" i="5"/>
  <c r="R1365" i="5"/>
  <c r="U1363" i="5"/>
  <c r="T1363" i="5"/>
  <c r="S1363" i="5"/>
  <c r="R1363" i="5"/>
  <c r="U1362" i="5"/>
  <c r="T1362" i="5"/>
  <c r="S1362" i="5"/>
  <c r="R1362" i="5"/>
  <c r="U1361" i="5"/>
  <c r="T1361" i="5"/>
  <c r="S1361" i="5"/>
  <c r="R1361" i="5"/>
  <c r="U1360" i="5"/>
  <c r="T1360" i="5"/>
  <c r="S1360" i="5"/>
  <c r="R1360" i="5"/>
  <c r="U1359" i="5"/>
  <c r="T1359" i="5"/>
  <c r="S1359" i="5"/>
  <c r="R1359" i="5"/>
  <c r="U1358" i="5"/>
  <c r="T1358" i="5"/>
  <c r="S1358" i="5"/>
  <c r="R1358" i="5"/>
  <c r="U1357" i="5"/>
  <c r="T1357" i="5"/>
  <c r="S1357" i="5"/>
  <c r="R1357" i="5"/>
  <c r="U1356" i="5"/>
  <c r="T1356" i="5"/>
  <c r="S1356" i="5"/>
  <c r="R1356" i="5"/>
  <c r="U1353" i="5"/>
  <c r="T1353" i="5"/>
  <c r="S1353" i="5"/>
  <c r="R1353" i="5"/>
  <c r="U1350" i="5"/>
  <c r="T1350" i="5"/>
  <c r="S1350" i="5"/>
  <c r="R1350" i="5"/>
  <c r="U1349" i="5"/>
  <c r="T1349" i="5"/>
  <c r="S1349" i="5"/>
  <c r="R1349" i="5"/>
  <c r="U1348" i="5"/>
  <c r="T1348" i="5"/>
  <c r="S1348" i="5"/>
  <c r="R1348" i="5"/>
  <c r="U1347" i="5"/>
  <c r="T1347" i="5"/>
  <c r="S1347" i="5"/>
  <c r="R1347" i="5"/>
  <c r="U1346" i="5"/>
  <c r="T1346" i="5"/>
  <c r="S1346" i="5"/>
  <c r="R1346" i="5"/>
  <c r="U1345" i="5"/>
  <c r="T1345" i="5"/>
  <c r="S1345" i="5"/>
  <c r="R1345" i="5"/>
  <c r="U1344" i="5"/>
  <c r="T1344" i="5"/>
  <c r="S1344" i="5"/>
  <c r="R1344" i="5"/>
  <c r="U1340" i="5"/>
  <c r="T1340" i="5"/>
  <c r="S1340" i="5"/>
  <c r="R1340" i="5"/>
  <c r="U1338" i="5"/>
  <c r="T1338" i="5"/>
  <c r="S1338" i="5"/>
  <c r="R1338" i="5"/>
  <c r="U1337" i="5"/>
  <c r="T1337" i="5"/>
  <c r="S1337" i="5"/>
  <c r="R1337" i="5"/>
  <c r="U1336" i="5"/>
  <c r="T1336" i="5"/>
  <c r="S1336" i="5"/>
  <c r="R1336" i="5"/>
  <c r="U1335" i="5"/>
  <c r="T1335" i="5"/>
  <c r="S1335" i="5"/>
  <c r="R1335" i="5"/>
  <c r="U1334" i="5"/>
  <c r="T1334" i="5"/>
  <c r="S1334" i="5"/>
  <c r="R1334" i="5"/>
  <c r="U1333" i="5"/>
  <c r="T1333" i="5"/>
  <c r="S1333" i="5"/>
  <c r="R1333" i="5"/>
  <c r="U1332" i="5"/>
  <c r="T1332" i="5"/>
  <c r="S1332" i="5"/>
  <c r="R1332" i="5"/>
  <c r="U1324" i="5"/>
  <c r="T1324" i="5"/>
  <c r="S1324" i="5"/>
  <c r="R1324" i="5"/>
  <c r="U1323" i="5"/>
  <c r="T1323" i="5"/>
  <c r="S1323" i="5"/>
  <c r="R1323" i="5"/>
  <c r="U1322" i="5"/>
  <c r="T1322" i="5"/>
  <c r="S1322" i="5"/>
  <c r="R1322" i="5"/>
  <c r="U1321" i="5"/>
  <c r="T1321" i="5"/>
  <c r="S1321" i="5"/>
  <c r="R1321" i="5"/>
  <c r="U1320" i="5"/>
  <c r="T1320" i="5"/>
  <c r="S1320" i="5"/>
  <c r="R1320" i="5"/>
  <c r="U1317" i="5"/>
  <c r="T1317" i="5"/>
  <c r="S1317" i="5"/>
  <c r="R1317" i="5"/>
  <c r="U1316" i="5"/>
  <c r="T1316" i="5"/>
  <c r="S1316" i="5"/>
  <c r="R1316" i="5"/>
  <c r="U1315" i="5"/>
  <c r="T1315" i="5"/>
  <c r="S1315" i="5"/>
  <c r="R1315" i="5"/>
  <c r="U1311" i="5"/>
  <c r="T1311" i="5"/>
  <c r="S1311" i="5"/>
  <c r="R1311" i="5"/>
  <c r="U1310" i="5"/>
  <c r="T1310" i="5"/>
  <c r="S1310" i="5"/>
  <c r="R1310" i="5"/>
  <c r="U1307" i="5"/>
  <c r="T1307" i="5"/>
  <c r="S1307" i="5"/>
  <c r="R1307" i="5"/>
  <c r="U1306" i="5"/>
  <c r="T1306" i="5"/>
  <c r="S1306" i="5"/>
  <c r="R1306" i="5"/>
  <c r="U1305" i="5"/>
  <c r="T1305" i="5"/>
  <c r="S1305" i="5"/>
  <c r="R1305" i="5"/>
  <c r="U1304" i="5"/>
  <c r="T1304" i="5"/>
  <c r="S1304" i="5"/>
  <c r="R1304" i="5"/>
  <c r="U1303" i="5"/>
  <c r="T1303" i="5"/>
  <c r="S1303" i="5"/>
  <c r="R1303" i="5"/>
  <c r="U1302" i="5"/>
  <c r="T1302" i="5"/>
  <c r="S1302" i="5"/>
  <c r="R1302" i="5"/>
  <c r="U1301" i="5"/>
  <c r="T1301" i="5"/>
  <c r="S1301" i="5"/>
  <c r="R1301" i="5"/>
  <c r="U1300" i="5"/>
  <c r="T1300" i="5"/>
  <c r="S1300" i="5"/>
  <c r="R1300" i="5"/>
  <c r="U1299" i="5"/>
  <c r="T1299" i="5"/>
  <c r="S1299" i="5"/>
  <c r="R1299" i="5"/>
  <c r="U1298" i="5"/>
  <c r="T1298" i="5"/>
  <c r="S1298" i="5"/>
  <c r="R1298" i="5"/>
  <c r="U1297" i="5"/>
  <c r="T1297" i="5"/>
  <c r="S1297" i="5"/>
  <c r="R1297" i="5"/>
  <c r="U1295" i="5"/>
  <c r="T1295" i="5"/>
  <c r="S1295" i="5"/>
  <c r="R1295" i="5"/>
  <c r="U1294" i="5"/>
  <c r="T1294" i="5"/>
  <c r="S1294" i="5"/>
  <c r="R1294" i="5"/>
  <c r="U1291" i="5"/>
  <c r="T1291" i="5"/>
  <c r="S1291" i="5"/>
  <c r="R1291" i="5"/>
  <c r="U1290" i="5"/>
  <c r="T1290" i="5"/>
  <c r="S1290" i="5"/>
  <c r="R1290" i="5"/>
  <c r="U1289" i="5"/>
  <c r="T1289" i="5"/>
  <c r="S1289" i="5"/>
  <c r="R1289" i="5"/>
  <c r="U1288" i="5"/>
  <c r="T1288" i="5"/>
  <c r="S1288" i="5"/>
  <c r="R1288" i="5"/>
  <c r="U1287" i="5"/>
  <c r="T1287" i="5"/>
  <c r="S1287" i="5"/>
  <c r="R1287" i="5"/>
  <c r="U1286" i="5"/>
  <c r="T1286" i="5"/>
  <c r="S1286" i="5"/>
  <c r="R1286" i="5"/>
  <c r="U1285" i="5"/>
  <c r="T1285" i="5"/>
  <c r="S1285" i="5"/>
  <c r="R1285" i="5"/>
  <c r="U1284" i="5"/>
  <c r="T1284" i="5"/>
  <c r="S1284" i="5"/>
  <c r="R1284" i="5"/>
  <c r="U1282" i="5"/>
  <c r="T1282" i="5"/>
  <c r="S1282" i="5"/>
  <c r="R1282" i="5"/>
  <c r="U1281" i="5"/>
  <c r="T1281" i="5"/>
  <c r="S1281" i="5"/>
  <c r="R1281" i="5"/>
  <c r="U1280" i="5"/>
  <c r="T1280" i="5"/>
  <c r="S1280" i="5"/>
  <c r="R1280" i="5"/>
  <c r="U1279" i="5"/>
  <c r="T1279" i="5"/>
  <c r="S1279" i="5"/>
  <c r="R1279" i="5"/>
  <c r="U1277" i="5"/>
  <c r="T1277" i="5"/>
  <c r="S1277" i="5"/>
  <c r="R1277" i="5"/>
  <c r="U1276" i="5"/>
  <c r="T1276" i="5"/>
  <c r="S1276" i="5"/>
  <c r="R1276" i="5"/>
  <c r="U1275" i="5"/>
  <c r="T1275" i="5"/>
  <c r="S1275" i="5"/>
  <c r="R1275" i="5"/>
  <c r="U1274" i="5"/>
  <c r="T1274" i="5"/>
  <c r="S1274" i="5"/>
  <c r="R1274" i="5"/>
  <c r="U1273" i="5"/>
  <c r="T1273" i="5"/>
  <c r="S1273" i="5"/>
  <c r="R1273" i="5"/>
  <c r="U1272" i="5"/>
  <c r="T1272" i="5"/>
  <c r="S1272" i="5"/>
  <c r="R1272" i="5"/>
  <c r="U1271" i="5"/>
  <c r="T1271" i="5"/>
  <c r="S1271" i="5"/>
  <c r="R1271" i="5"/>
  <c r="U1270" i="5"/>
  <c r="T1270" i="5"/>
  <c r="S1270" i="5"/>
  <c r="R1270" i="5"/>
  <c r="U1269" i="5"/>
  <c r="T1269" i="5"/>
  <c r="S1269" i="5"/>
  <c r="R1269" i="5"/>
  <c r="U1268" i="5"/>
  <c r="T1268" i="5"/>
  <c r="S1268" i="5"/>
  <c r="R1268" i="5"/>
  <c r="U1267" i="5"/>
  <c r="T1267" i="5"/>
  <c r="S1267" i="5"/>
  <c r="R1267" i="5"/>
  <c r="U1266" i="5"/>
  <c r="T1266" i="5"/>
  <c r="S1266" i="5"/>
  <c r="R1266" i="5"/>
  <c r="U1265" i="5"/>
  <c r="T1265" i="5"/>
  <c r="S1265" i="5"/>
  <c r="R1265" i="5"/>
  <c r="U1263" i="5"/>
  <c r="T1263" i="5"/>
  <c r="S1263" i="5"/>
  <c r="R1263" i="5"/>
  <c r="U1262" i="5"/>
  <c r="T1262" i="5"/>
  <c r="S1262" i="5"/>
  <c r="R1262" i="5"/>
  <c r="U1261" i="5"/>
  <c r="T1261" i="5"/>
  <c r="S1261" i="5"/>
  <c r="R1261" i="5"/>
  <c r="U1260" i="5"/>
  <c r="T1260" i="5"/>
  <c r="S1260" i="5"/>
  <c r="R1260" i="5"/>
  <c r="U1259" i="5"/>
  <c r="T1259" i="5"/>
  <c r="S1259" i="5"/>
  <c r="R1259" i="5"/>
  <c r="U1258" i="5"/>
  <c r="T1258" i="5"/>
  <c r="S1258" i="5"/>
  <c r="R1258" i="5"/>
  <c r="U1255" i="5"/>
  <c r="T1255" i="5"/>
  <c r="S1255" i="5"/>
  <c r="R1255" i="5"/>
  <c r="U1254" i="5"/>
  <c r="T1254" i="5"/>
  <c r="S1254" i="5"/>
  <c r="R1254" i="5"/>
  <c r="U1251" i="5"/>
  <c r="T1251" i="5"/>
  <c r="S1251" i="5"/>
  <c r="R1251" i="5"/>
  <c r="U1250" i="5"/>
  <c r="T1250" i="5"/>
  <c r="S1250" i="5"/>
  <c r="R1250" i="5"/>
  <c r="U1249" i="5"/>
  <c r="T1249" i="5"/>
  <c r="S1249" i="5"/>
  <c r="R1249" i="5"/>
  <c r="U1246" i="5"/>
  <c r="T1246" i="5"/>
  <c r="S1246" i="5"/>
  <c r="R1246" i="5"/>
  <c r="U1243" i="5"/>
  <c r="T1243" i="5"/>
  <c r="S1243" i="5"/>
  <c r="R1243" i="5"/>
  <c r="U1242" i="5"/>
  <c r="T1242" i="5"/>
  <c r="S1242" i="5"/>
  <c r="R1242" i="5"/>
  <c r="U1241" i="5"/>
  <c r="T1241" i="5"/>
  <c r="S1241" i="5"/>
  <c r="R1241" i="5"/>
  <c r="U1240" i="5"/>
  <c r="T1240" i="5"/>
  <c r="S1240" i="5"/>
  <c r="R1240" i="5"/>
  <c r="U1239" i="5"/>
  <c r="T1239" i="5"/>
  <c r="S1239" i="5"/>
  <c r="R1239" i="5"/>
  <c r="U1238" i="5"/>
  <c r="T1238" i="5"/>
  <c r="S1238" i="5"/>
  <c r="R1238" i="5"/>
  <c r="U1236" i="5"/>
  <c r="T1236" i="5"/>
  <c r="S1236" i="5"/>
  <c r="R1236" i="5"/>
  <c r="U1235" i="5"/>
  <c r="T1235" i="5"/>
  <c r="S1235" i="5"/>
  <c r="R1235" i="5"/>
  <c r="U1234" i="5"/>
  <c r="T1234" i="5"/>
  <c r="S1234" i="5"/>
  <c r="R1234" i="5"/>
  <c r="U1233" i="5"/>
  <c r="T1233" i="5"/>
  <c r="S1233" i="5"/>
  <c r="R1233" i="5"/>
  <c r="U1232" i="5"/>
  <c r="T1232" i="5"/>
  <c r="S1232" i="5"/>
  <c r="R1232" i="5"/>
  <c r="U1231" i="5"/>
  <c r="T1231" i="5"/>
  <c r="S1231" i="5"/>
  <c r="R1231" i="5"/>
  <c r="U1230" i="5"/>
  <c r="T1230" i="5"/>
  <c r="S1230" i="5"/>
  <c r="R1230" i="5"/>
  <c r="U1229" i="5"/>
  <c r="T1229" i="5"/>
  <c r="S1229" i="5"/>
  <c r="R1229" i="5"/>
  <c r="U1228" i="5"/>
  <c r="T1228" i="5"/>
  <c r="S1228" i="5"/>
  <c r="R1228" i="5"/>
  <c r="U1227" i="5"/>
  <c r="T1227" i="5"/>
  <c r="S1227" i="5"/>
  <c r="R1227" i="5"/>
  <c r="U1226" i="5"/>
  <c r="T1226" i="5"/>
  <c r="S1226" i="5"/>
  <c r="R1226" i="5"/>
  <c r="U1222" i="5"/>
  <c r="T1222" i="5"/>
  <c r="S1222" i="5"/>
  <c r="R1222" i="5"/>
  <c r="U1221" i="5"/>
  <c r="T1221" i="5"/>
  <c r="S1221" i="5"/>
  <c r="R1221" i="5"/>
  <c r="U1220" i="5"/>
  <c r="T1220" i="5"/>
  <c r="S1220" i="5"/>
  <c r="R1220" i="5"/>
  <c r="U1217" i="5"/>
  <c r="T1217" i="5"/>
  <c r="S1217" i="5"/>
  <c r="R1217" i="5"/>
  <c r="U1216" i="5"/>
  <c r="T1216" i="5"/>
  <c r="S1216" i="5"/>
  <c r="R1216" i="5"/>
  <c r="U1215" i="5"/>
  <c r="T1215" i="5"/>
  <c r="S1215" i="5"/>
  <c r="R1215" i="5"/>
  <c r="U1214" i="5"/>
  <c r="T1214" i="5"/>
  <c r="S1214" i="5"/>
  <c r="R1214" i="5"/>
  <c r="U1213" i="5"/>
  <c r="T1213" i="5"/>
  <c r="S1213" i="5"/>
  <c r="R1213" i="5"/>
  <c r="U1211" i="5"/>
  <c r="T1211" i="5"/>
  <c r="S1211" i="5"/>
  <c r="R1211" i="5"/>
  <c r="U1209" i="5"/>
  <c r="T1209" i="5"/>
  <c r="S1209" i="5"/>
  <c r="R1209" i="5"/>
  <c r="U1208" i="5"/>
  <c r="T1208" i="5"/>
  <c r="S1208" i="5"/>
  <c r="R1208" i="5"/>
  <c r="U1207" i="5"/>
  <c r="T1207" i="5"/>
  <c r="S1207" i="5"/>
  <c r="R1207" i="5"/>
  <c r="U1205" i="5"/>
  <c r="T1205" i="5"/>
  <c r="S1205" i="5"/>
  <c r="R1205" i="5"/>
  <c r="U1204" i="5"/>
  <c r="S1204" i="5"/>
  <c r="T1204" i="5" s="1"/>
  <c r="R1204" i="5"/>
  <c r="U1203" i="5"/>
  <c r="S1203" i="5"/>
  <c r="T1203" i="5" s="1"/>
  <c r="R1203" i="5"/>
  <c r="U1189" i="5"/>
  <c r="S1189" i="5"/>
  <c r="T1189" i="5" s="1"/>
  <c r="R1189" i="5"/>
  <c r="U1188" i="5"/>
  <c r="T1188" i="5"/>
  <c r="S1188" i="5"/>
  <c r="R1188" i="5"/>
  <c r="U1187" i="5"/>
  <c r="S1187" i="5"/>
  <c r="T1187" i="5" s="1"/>
  <c r="R1187" i="5"/>
  <c r="U1186" i="5"/>
  <c r="S1186" i="5"/>
  <c r="T1186" i="5" s="1"/>
  <c r="R1186" i="5"/>
  <c r="U1183" i="5"/>
  <c r="S1183" i="5"/>
  <c r="T1183" i="5" s="1"/>
  <c r="R1183" i="5"/>
  <c r="U1182" i="5"/>
  <c r="T1182" i="5"/>
  <c r="S1182" i="5"/>
  <c r="R1182" i="5"/>
  <c r="U1181" i="5"/>
  <c r="S1181" i="5"/>
  <c r="T1181" i="5" s="1"/>
  <c r="R1181" i="5"/>
  <c r="U1180" i="5"/>
  <c r="S1180" i="5"/>
  <c r="T1180" i="5" s="1"/>
  <c r="R1180" i="5"/>
  <c r="U1179" i="5"/>
  <c r="S1179" i="5"/>
  <c r="T1179" i="5" s="1"/>
  <c r="R1179" i="5"/>
  <c r="U1178" i="5"/>
  <c r="T1178" i="5"/>
  <c r="S1178" i="5"/>
  <c r="R1178" i="5"/>
  <c r="U1177" i="5"/>
  <c r="S1177" i="5"/>
  <c r="T1177" i="5" s="1"/>
  <c r="R1177" i="5"/>
  <c r="U1176" i="5"/>
  <c r="S1176" i="5"/>
  <c r="T1176" i="5" s="1"/>
  <c r="R1176" i="5"/>
  <c r="U1173" i="5"/>
  <c r="S1173" i="5"/>
  <c r="T1173" i="5" s="1"/>
  <c r="R1173" i="5"/>
  <c r="U1172" i="5"/>
  <c r="T1172" i="5"/>
  <c r="S1172" i="5"/>
  <c r="R1172" i="5"/>
  <c r="U1170" i="5"/>
  <c r="S1170" i="5"/>
  <c r="T1170" i="5" s="1"/>
  <c r="R1170" i="5"/>
  <c r="U1169" i="5"/>
  <c r="S1169" i="5"/>
  <c r="T1169" i="5" s="1"/>
  <c r="R1169" i="5"/>
  <c r="U1168" i="5"/>
  <c r="S1168" i="5"/>
  <c r="T1168" i="5" s="1"/>
  <c r="R1168" i="5"/>
  <c r="U1167" i="5"/>
  <c r="T1167" i="5"/>
  <c r="S1167" i="5"/>
  <c r="R1167" i="5"/>
  <c r="U1166" i="5"/>
  <c r="S1166" i="5"/>
  <c r="T1166" i="5" s="1"/>
  <c r="R1166" i="5"/>
  <c r="U1165" i="5"/>
  <c r="S1165" i="5"/>
  <c r="T1165" i="5" s="1"/>
  <c r="R1165" i="5"/>
  <c r="U1163" i="5"/>
  <c r="S1163" i="5"/>
  <c r="T1163" i="5" s="1"/>
  <c r="R1163" i="5"/>
  <c r="U1162" i="5"/>
  <c r="T1162" i="5"/>
  <c r="S1162" i="5"/>
  <c r="R1162" i="5"/>
  <c r="U1158" i="5"/>
  <c r="S1158" i="5"/>
  <c r="T1158" i="5" s="1"/>
  <c r="R1158" i="5"/>
  <c r="U1155" i="5"/>
  <c r="S1155" i="5"/>
  <c r="T1155" i="5" s="1"/>
  <c r="R1155" i="5"/>
  <c r="U1146" i="5"/>
  <c r="S1146" i="5"/>
  <c r="T1146" i="5" s="1"/>
  <c r="R1146" i="5"/>
  <c r="U1144" i="5"/>
  <c r="T1144" i="5"/>
  <c r="S1144" i="5"/>
  <c r="R1144" i="5"/>
  <c r="U1143" i="5"/>
  <c r="S1143" i="5"/>
  <c r="T1143" i="5" s="1"/>
  <c r="R1143" i="5"/>
  <c r="U1139" i="5"/>
  <c r="S1139" i="5"/>
  <c r="T1139" i="5" s="1"/>
  <c r="R1139" i="5"/>
  <c r="U1136" i="5"/>
  <c r="S1136" i="5"/>
  <c r="T1136" i="5" s="1"/>
  <c r="R1136" i="5"/>
  <c r="U1135" i="5"/>
  <c r="T1135" i="5"/>
  <c r="S1135" i="5"/>
  <c r="R1135" i="5"/>
  <c r="U1134" i="5"/>
  <c r="S1134" i="5"/>
  <c r="T1134" i="5" s="1"/>
  <c r="R1134" i="5"/>
  <c r="U1133" i="5"/>
  <c r="S1133" i="5"/>
  <c r="T1133" i="5" s="1"/>
  <c r="R1133" i="5"/>
  <c r="U1132" i="5"/>
  <c r="S1132" i="5"/>
  <c r="T1132" i="5" s="1"/>
  <c r="R1132" i="5"/>
  <c r="U1130" i="5"/>
  <c r="T1130" i="5"/>
  <c r="S1130" i="5"/>
  <c r="R1130" i="5"/>
  <c r="U1129" i="5"/>
  <c r="S1129" i="5"/>
  <c r="T1129" i="5" s="1"/>
  <c r="R1129" i="5"/>
  <c r="U1128" i="5"/>
  <c r="S1128" i="5"/>
  <c r="T1128" i="5" s="1"/>
  <c r="R1128" i="5"/>
  <c r="U1127" i="5"/>
  <c r="S1127" i="5"/>
  <c r="T1127" i="5" s="1"/>
  <c r="R1127" i="5"/>
  <c r="U1126" i="5"/>
  <c r="T1126" i="5"/>
  <c r="S1126" i="5"/>
  <c r="R1126" i="5"/>
  <c r="U1125" i="5"/>
  <c r="S1125" i="5"/>
  <c r="T1125" i="5" s="1"/>
  <c r="R1125" i="5"/>
  <c r="U1124" i="5"/>
  <c r="S1124" i="5"/>
  <c r="T1124" i="5" s="1"/>
  <c r="R1124" i="5"/>
  <c r="U1123" i="5"/>
  <c r="S1123" i="5"/>
  <c r="T1123" i="5" s="1"/>
  <c r="R1123" i="5"/>
  <c r="U1122" i="5"/>
  <c r="T1122" i="5"/>
  <c r="S1122" i="5"/>
  <c r="R1122" i="5"/>
  <c r="U1121" i="5"/>
  <c r="S1121" i="5"/>
  <c r="T1121" i="5" s="1"/>
  <c r="R1121" i="5"/>
  <c r="U1120" i="5"/>
  <c r="S1120" i="5"/>
  <c r="T1120" i="5" s="1"/>
  <c r="R1120" i="5"/>
  <c r="U1119" i="5"/>
  <c r="S1119" i="5"/>
  <c r="T1119" i="5" s="1"/>
  <c r="R1119" i="5"/>
  <c r="U1118" i="5"/>
  <c r="T1118" i="5"/>
  <c r="S1118" i="5"/>
  <c r="R1118" i="5"/>
  <c r="U1117" i="5"/>
  <c r="S1117" i="5"/>
  <c r="T1117" i="5" s="1"/>
  <c r="R1117" i="5"/>
  <c r="U1116" i="5"/>
  <c r="S1116" i="5"/>
  <c r="T1116" i="5" s="1"/>
  <c r="R1116" i="5"/>
  <c r="U1115" i="5"/>
  <c r="S1115" i="5"/>
  <c r="T1115" i="5" s="1"/>
  <c r="R1115" i="5"/>
  <c r="U1114" i="5"/>
  <c r="T1114" i="5"/>
  <c r="S1114" i="5"/>
  <c r="R1114" i="5"/>
  <c r="U1113" i="5"/>
  <c r="S1113" i="5"/>
  <c r="T1113" i="5" s="1"/>
  <c r="R1113" i="5"/>
  <c r="U1112" i="5"/>
  <c r="S1112" i="5"/>
  <c r="T1112" i="5" s="1"/>
  <c r="R1112" i="5"/>
  <c r="U1109" i="5"/>
  <c r="S1109" i="5"/>
  <c r="T1109" i="5" s="1"/>
  <c r="R1109" i="5"/>
  <c r="U1108" i="5"/>
  <c r="T1108" i="5"/>
  <c r="S1108" i="5"/>
  <c r="R1108" i="5"/>
  <c r="U1107" i="5"/>
  <c r="S1107" i="5"/>
  <c r="T1107" i="5" s="1"/>
  <c r="R1107" i="5"/>
  <c r="U1106" i="5"/>
  <c r="S1106" i="5"/>
  <c r="T1106" i="5" s="1"/>
  <c r="R1106" i="5"/>
  <c r="U1105" i="5"/>
  <c r="S1105" i="5"/>
  <c r="T1105" i="5" s="1"/>
  <c r="R1105" i="5"/>
  <c r="U1101" i="5"/>
  <c r="T1101" i="5"/>
  <c r="S1101" i="5"/>
  <c r="R1101" i="5"/>
  <c r="U1100" i="5"/>
  <c r="S1100" i="5"/>
  <c r="T1100" i="5" s="1"/>
  <c r="R1100" i="5"/>
  <c r="U1099" i="5"/>
  <c r="S1099" i="5"/>
  <c r="T1099" i="5" s="1"/>
  <c r="R1099" i="5"/>
  <c r="U1098" i="5"/>
  <c r="S1098" i="5"/>
  <c r="T1098" i="5" s="1"/>
  <c r="R1098" i="5"/>
  <c r="U1097" i="5"/>
  <c r="T1097" i="5"/>
  <c r="S1097" i="5"/>
  <c r="R1097" i="5"/>
  <c r="U1096" i="5"/>
  <c r="S1096" i="5"/>
  <c r="T1096" i="5" s="1"/>
  <c r="R1096" i="5"/>
  <c r="U1095" i="5"/>
  <c r="S1095" i="5"/>
  <c r="T1095" i="5" s="1"/>
  <c r="R1095" i="5"/>
  <c r="U1094" i="5"/>
  <c r="S1094" i="5"/>
  <c r="T1094" i="5" s="1"/>
  <c r="R1094" i="5"/>
  <c r="U1093" i="5"/>
  <c r="T1093" i="5"/>
  <c r="S1093" i="5"/>
  <c r="R1093" i="5"/>
  <c r="U1092" i="5"/>
  <c r="S1092" i="5"/>
  <c r="T1092" i="5" s="1"/>
  <c r="R1092" i="5"/>
  <c r="U1091" i="5"/>
  <c r="S1091" i="5"/>
  <c r="T1091" i="5" s="1"/>
  <c r="R1091" i="5"/>
  <c r="U1090" i="5"/>
  <c r="S1090" i="5"/>
  <c r="T1090" i="5" s="1"/>
  <c r="R1090" i="5"/>
  <c r="U1089" i="5"/>
  <c r="T1089" i="5"/>
  <c r="S1089" i="5"/>
  <c r="R1089" i="5"/>
  <c r="U1088" i="5"/>
  <c r="S1088" i="5"/>
  <c r="T1088" i="5" s="1"/>
  <c r="R1088" i="5"/>
  <c r="U1087" i="5"/>
  <c r="S1087" i="5"/>
  <c r="T1087" i="5" s="1"/>
  <c r="R1087" i="5"/>
  <c r="U1086" i="5"/>
  <c r="S1086" i="5"/>
  <c r="T1086" i="5" s="1"/>
  <c r="R1086" i="5"/>
  <c r="U1085" i="5"/>
  <c r="T1085" i="5"/>
  <c r="S1085" i="5"/>
  <c r="R1085" i="5"/>
  <c r="U1084" i="5"/>
  <c r="S1084" i="5"/>
  <c r="T1084" i="5" s="1"/>
  <c r="R1084" i="5"/>
  <c r="U1083" i="5"/>
  <c r="S1083" i="5"/>
  <c r="T1083" i="5" s="1"/>
  <c r="R1083" i="5"/>
  <c r="U1082" i="5"/>
  <c r="S1082" i="5"/>
  <c r="T1082" i="5" s="1"/>
  <c r="R1082" i="5"/>
  <c r="U1081" i="5"/>
  <c r="T1081" i="5"/>
  <c r="S1081" i="5"/>
  <c r="R1081" i="5"/>
  <c r="U1080" i="5"/>
  <c r="S1080" i="5"/>
  <c r="T1080" i="5" s="1"/>
  <c r="R1080" i="5"/>
  <c r="U1078" i="5"/>
  <c r="S1078" i="5"/>
  <c r="T1078" i="5" s="1"/>
  <c r="R1078" i="5"/>
  <c r="U1077" i="5"/>
  <c r="S1077" i="5"/>
  <c r="T1077" i="5" s="1"/>
  <c r="R1077" i="5"/>
  <c r="U1076" i="5"/>
  <c r="T1076" i="5"/>
  <c r="S1076" i="5"/>
  <c r="R1076" i="5"/>
  <c r="U1074" i="5"/>
  <c r="S1074" i="5"/>
  <c r="T1074" i="5" s="1"/>
  <c r="R1074" i="5"/>
  <c r="U1073" i="5"/>
  <c r="S1073" i="5"/>
  <c r="T1073" i="5" s="1"/>
  <c r="R1073" i="5"/>
  <c r="U1070" i="5"/>
  <c r="S1070" i="5"/>
  <c r="T1070" i="5" s="1"/>
  <c r="R1070" i="5"/>
  <c r="U1069" i="5"/>
  <c r="T1069" i="5"/>
  <c r="S1069" i="5"/>
  <c r="R1069" i="5"/>
  <c r="U1068" i="5"/>
  <c r="S1068" i="5"/>
  <c r="T1068" i="5" s="1"/>
  <c r="R1068" i="5"/>
  <c r="U1067" i="5"/>
  <c r="S1067" i="5"/>
  <c r="T1067" i="5" s="1"/>
  <c r="R1067" i="5"/>
  <c r="U1066" i="5"/>
  <c r="S1066" i="5"/>
  <c r="T1066" i="5" s="1"/>
  <c r="R1066" i="5"/>
  <c r="U1065" i="5"/>
  <c r="T1065" i="5"/>
  <c r="S1065" i="5"/>
  <c r="R1065" i="5"/>
  <c r="U1059" i="5"/>
  <c r="S1059" i="5"/>
  <c r="T1059" i="5" s="1"/>
  <c r="R1059" i="5"/>
  <c r="U1055" i="5"/>
  <c r="S1055" i="5"/>
  <c r="T1055" i="5" s="1"/>
  <c r="R1055" i="5"/>
  <c r="U1047" i="5"/>
  <c r="S1047" i="5"/>
  <c r="T1047" i="5" s="1"/>
  <c r="R1047" i="5"/>
  <c r="U1045" i="5"/>
  <c r="T1045" i="5"/>
  <c r="S1045" i="5"/>
  <c r="R1045" i="5"/>
  <c r="U1044" i="5"/>
  <c r="S1044" i="5"/>
  <c r="T1044" i="5" s="1"/>
  <c r="R1044" i="5"/>
  <c r="U1043" i="5"/>
  <c r="S1043" i="5"/>
  <c r="T1043" i="5" s="1"/>
  <c r="R1043" i="5"/>
  <c r="U1042" i="5"/>
  <c r="S1042" i="5"/>
  <c r="T1042" i="5" s="1"/>
  <c r="R1042" i="5"/>
  <c r="U1040" i="5"/>
  <c r="T1040" i="5"/>
  <c r="S1040" i="5"/>
  <c r="R1040" i="5"/>
  <c r="U1039" i="5"/>
  <c r="S1039" i="5"/>
  <c r="T1039" i="5" s="1"/>
  <c r="R1039" i="5"/>
  <c r="U1037" i="5"/>
  <c r="S1037" i="5"/>
  <c r="T1037" i="5" s="1"/>
  <c r="R1037" i="5"/>
  <c r="U1036" i="5"/>
  <c r="S1036" i="5"/>
  <c r="T1036" i="5" s="1"/>
  <c r="R1036" i="5"/>
  <c r="U1035" i="5"/>
  <c r="T1035" i="5"/>
  <c r="S1035" i="5"/>
  <c r="R1035" i="5"/>
  <c r="U1034" i="5"/>
  <c r="S1034" i="5"/>
  <c r="T1034" i="5" s="1"/>
  <c r="R1034" i="5"/>
  <c r="U1032" i="5"/>
  <c r="S1032" i="5"/>
  <c r="T1032" i="5" s="1"/>
  <c r="R1032" i="5"/>
  <c r="U1031" i="5"/>
  <c r="S1031" i="5"/>
  <c r="T1031" i="5" s="1"/>
  <c r="R1031" i="5"/>
  <c r="U1030" i="5"/>
  <c r="T1030" i="5"/>
  <c r="S1030" i="5"/>
  <c r="R1030" i="5"/>
  <c r="U1029" i="5"/>
  <c r="S1029" i="5"/>
  <c r="T1029" i="5" s="1"/>
  <c r="R1029" i="5"/>
  <c r="U1028" i="5"/>
  <c r="S1028" i="5"/>
  <c r="T1028" i="5" s="1"/>
  <c r="R1028" i="5"/>
  <c r="U1027" i="5"/>
  <c r="S1027" i="5"/>
  <c r="T1027" i="5" s="1"/>
  <c r="R1027" i="5"/>
  <c r="U1024" i="5"/>
  <c r="T1024" i="5"/>
  <c r="S1024" i="5"/>
  <c r="R1024" i="5"/>
  <c r="U1023" i="5"/>
  <c r="S1023" i="5"/>
  <c r="T1023" i="5" s="1"/>
  <c r="R1023" i="5"/>
  <c r="U1022" i="5"/>
  <c r="S1022" i="5"/>
  <c r="T1022" i="5" s="1"/>
  <c r="R1022" i="5"/>
  <c r="U1021" i="5"/>
  <c r="S1021" i="5"/>
  <c r="T1021" i="5" s="1"/>
  <c r="R1021" i="5"/>
  <c r="U1020" i="5"/>
  <c r="T1020" i="5"/>
  <c r="S1020" i="5"/>
  <c r="R1020" i="5"/>
  <c r="U1019" i="5"/>
  <c r="S1019" i="5"/>
  <c r="T1019" i="5" s="1"/>
  <c r="R1019" i="5"/>
  <c r="U1018" i="5"/>
  <c r="S1018" i="5"/>
  <c r="T1018" i="5" s="1"/>
  <c r="R1018" i="5"/>
  <c r="U1015" i="5"/>
  <c r="S1015" i="5"/>
  <c r="T1015" i="5" s="1"/>
  <c r="R1015" i="5"/>
  <c r="U1013" i="5"/>
  <c r="T1013" i="5"/>
  <c r="S1013" i="5"/>
  <c r="R1013" i="5"/>
  <c r="U1012" i="5"/>
  <c r="S1012" i="5"/>
  <c r="T1012" i="5" s="1"/>
  <c r="R1012" i="5"/>
  <c r="U1011" i="5"/>
  <c r="S1011" i="5"/>
  <c r="T1011" i="5" s="1"/>
  <c r="R1011" i="5"/>
  <c r="U1010" i="5"/>
  <c r="S1010" i="5"/>
  <c r="T1010" i="5" s="1"/>
  <c r="R1010" i="5"/>
  <c r="U1006" i="5"/>
  <c r="T1006" i="5"/>
  <c r="S1006" i="5"/>
  <c r="R1006" i="5"/>
  <c r="U1005" i="5"/>
  <c r="S1005" i="5"/>
  <c r="T1005" i="5" s="1"/>
  <c r="R1005" i="5"/>
  <c r="U1004" i="5"/>
  <c r="S1004" i="5"/>
  <c r="T1004" i="5" s="1"/>
  <c r="R1004" i="5"/>
  <c r="U1002" i="5"/>
  <c r="S1002" i="5"/>
  <c r="T1002" i="5" s="1"/>
  <c r="R1002" i="5"/>
  <c r="U1001" i="5"/>
  <c r="T1001" i="5"/>
  <c r="S1001" i="5"/>
  <c r="R1001" i="5"/>
  <c r="U1000" i="5"/>
  <c r="S1000" i="5"/>
  <c r="T1000" i="5" s="1"/>
  <c r="R1000" i="5"/>
  <c r="U998" i="5"/>
  <c r="S998" i="5"/>
  <c r="T998" i="5" s="1"/>
  <c r="R998" i="5"/>
  <c r="U997" i="5"/>
  <c r="S997" i="5"/>
  <c r="T997" i="5" s="1"/>
  <c r="R997" i="5"/>
  <c r="U996" i="5"/>
  <c r="T996" i="5"/>
  <c r="S996" i="5"/>
  <c r="R996" i="5"/>
  <c r="U995" i="5"/>
  <c r="S995" i="5"/>
  <c r="T995" i="5" s="1"/>
  <c r="R995" i="5"/>
  <c r="U994" i="5"/>
  <c r="S994" i="5"/>
  <c r="T994" i="5" s="1"/>
  <c r="R994" i="5"/>
  <c r="U990" i="5"/>
  <c r="S990" i="5"/>
  <c r="T990" i="5" s="1"/>
  <c r="R990" i="5"/>
  <c r="U989" i="5"/>
  <c r="T989" i="5"/>
  <c r="S989" i="5"/>
  <c r="R989" i="5"/>
  <c r="U988" i="5"/>
  <c r="S988" i="5"/>
  <c r="T988" i="5" s="1"/>
  <c r="R988" i="5"/>
  <c r="U987" i="5"/>
  <c r="S987" i="5"/>
  <c r="T987" i="5" s="1"/>
  <c r="R987" i="5"/>
  <c r="U984" i="5"/>
  <c r="S984" i="5"/>
  <c r="T984" i="5" s="1"/>
  <c r="R984" i="5"/>
  <c r="U983" i="5"/>
  <c r="T983" i="5"/>
  <c r="S983" i="5"/>
  <c r="R983" i="5"/>
  <c r="U980" i="5"/>
  <c r="S980" i="5"/>
  <c r="T980" i="5" s="1"/>
  <c r="R980" i="5"/>
  <c r="U979" i="5"/>
  <c r="S979" i="5"/>
  <c r="T979" i="5" s="1"/>
  <c r="R979" i="5"/>
  <c r="U976" i="5"/>
  <c r="S976" i="5"/>
  <c r="T976" i="5" s="1"/>
  <c r="R976" i="5"/>
  <c r="U975" i="5"/>
  <c r="T975" i="5"/>
  <c r="S975" i="5"/>
  <c r="R975" i="5"/>
  <c r="U974" i="5"/>
  <c r="S974" i="5"/>
  <c r="T974" i="5" s="1"/>
  <c r="R974" i="5"/>
  <c r="U973" i="5"/>
  <c r="S973" i="5"/>
  <c r="T973" i="5" s="1"/>
  <c r="R973" i="5"/>
  <c r="U966" i="5"/>
  <c r="S966" i="5"/>
  <c r="T966" i="5" s="1"/>
  <c r="R966" i="5"/>
  <c r="U965" i="5"/>
  <c r="T965" i="5"/>
  <c r="S965" i="5"/>
  <c r="R965" i="5"/>
  <c r="U964" i="5"/>
  <c r="S964" i="5"/>
  <c r="T964" i="5" s="1"/>
  <c r="R964" i="5"/>
  <c r="U963" i="5"/>
  <c r="S963" i="5"/>
  <c r="T963" i="5" s="1"/>
  <c r="R963" i="5"/>
  <c r="U962" i="5"/>
  <c r="S962" i="5"/>
  <c r="T962" i="5" s="1"/>
  <c r="R962" i="5"/>
  <c r="U961" i="5"/>
  <c r="T961" i="5"/>
  <c r="S961" i="5"/>
  <c r="R961" i="5"/>
  <c r="U957" i="5"/>
  <c r="S957" i="5"/>
  <c r="T957" i="5" s="1"/>
  <c r="R957" i="5"/>
  <c r="U956" i="5"/>
  <c r="S956" i="5"/>
  <c r="T956" i="5" s="1"/>
  <c r="R956" i="5"/>
  <c r="U954" i="5"/>
  <c r="S954" i="5"/>
  <c r="T954" i="5" s="1"/>
  <c r="R954" i="5"/>
  <c r="U953" i="5"/>
  <c r="T953" i="5"/>
  <c r="S953" i="5"/>
  <c r="R953" i="5"/>
  <c r="U952" i="5"/>
  <c r="S952" i="5"/>
  <c r="T952" i="5" s="1"/>
  <c r="R952" i="5"/>
  <c r="U951" i="5"/>
  <c r="S951" i="5"/>
  <c r="T951" i="5" s="1"/>
  <c r="R951" i="5"/>
  <c r="U949" i="5"/>
  <c r="S949" i="5"/>
  <c r="T949" i="5" s="1"/>
  <c r="R949" i="5"/>
  <c r="U948" i="5"/>
  <c r="T948" i="5"/>
  <c r="S948" i="5"/>
  <c r="R948" i="5"/>
  <c r="U946" i="5"/>
  <c r="S946" i="5"/>
  <c r="T946" i="5" s="1"/>
  <c r="R946" i="5"/>
  <c r="U944" i="5"/>
  <c r="S944" i="5"/>
  <c r="T944" i="5" s="1"/>
  <c r="R944" i="5"/>
  <c r="U941" i="5"/>
  <c r="S941" i="5"/>
  <c r="T941" i="5" s="1"/>
  <c r="R941" i="5"/>
  <c r="U940" i="5"/>
  <c r="T940" i="5"/>
  <c r="S940" i="5"/>
  <c r="R940" i="5"/>
  <c r="U939" i="5"/>
  <c r="S939" i="5"/>
  <c r="T939" i="5" s="1"/>
  <c r="R939" i="5"/>
  <c r="U936" i="5"/>
  <c r="S936" i="5"/>
  <c r="T936" i="5" s="1"/>
  <c r="R936" i="5"/>
  <c r="U935" i="5"/>
  <c r="S935" i="5"/>
  <c r="T935" i="5" s="1"/>
  <c r="R935" i="5"/>
  <c r="U934" i="5"/>
  <c r="T934" i="5"/>
  <c r="S934" i="5"/>
  <c r="R934" i="5"/>
  <c r="U933" i="5"/>
  <c r="S933" i="5"/>
  <c r="T933" i="5" s="1"/>
  <c r="R933" i="5"/>
  <c r="U932" i="5"/>
  <c r="S932" i="5"/>
  <c r="T932" i="5" s="1"/>
  <c r="R932" i="5"/>
  <c r="U931" i="5"/>
  <c r="S931" i="5"/>
  <c r="T931" i="5" s="1"/>
  <c r="R931" i="5"/>
  <c r="U930" i="5"/>
  <c r="T930" i="5"/>
  <c r="S930" i="5"/>
  <c r="R930" i="5"/>
  <c r="U926" i="5"/>
  <c r="S926" i="5"/>
  <c r="T926" i="5" s="1"/>
  <c r="R926" i="5"/>
  <c r="U925" i="5"/>
  <c r="S925" i="5"/>
  <c r="T925" i="5" s="1"/>
  <c r="R925" i="5"/>
  <c r="U924" i="5"/>
  <c r="S924" i="5"/>
  <c r="T924" i="5" s="1"/>
  <c r="R924" i="5"/>
  <c r="U923" i="5"/>
  <c r="T923" i="5"/>
  <c r="S923" i="5"/>
  <c r="R923" i="5"/>
  <c r="U916" i="5"/>
  <c r="S916" i="5"/>
  <c r="T916" i="5" s="1"/>
  <c r="R916" i="5"/>
  <c r="U915" i="5"/>
  <c r="S915" i="5"/>
  <c r="T915" i="5" s="1"/>
  <c r="R915" i="5"/>
  <c r="U914" i="5"/>
  <c r="S914" i="5"/>
  <c r="T914" i="5" s="1"/>
  <c r="R914" i="5"/>
  <c r="U913" i="5"/>
  <c r="T913" i="5"/>
  <c r="S913" i="5"/>
  <c r="R913" i="5"/>
  <c r="U909" i="5"/>
  <c r="S909" i="5"/>
  <c r="T909" i="5" s="1"/>
  <c r="R909" i="5"/>
  <c r="U908" i="5"/>
  <c r="S908" i="5"/>
  <c r="T908" i="5" s="1"/>
  <c r="R908" i="5"/>
  <c r="U906" i="5"/>
  <c r="S906" i="5"/>
  <c r="T906" i="5" s="1"/>
  <c r="R906" i="5"/>
  <c r="U905" i="5"/>
  <c r="T905" i="5"/>
  <c r="S905" i="5"/>
  <c r="R905" i="5"/>
  <c r="U904" i="5"/>
  <c r="S904" i="5"/>
  <c r="T904" i="5" s="1"/>
  <c r="R904" i="5"/>
  <c r="U901" i="5"/>
  <c r="S901" i="5"/>
  <c r="T901" i="5" s="1"/>
  <c r="R901" i="5"/>
  <c r="U900" i="5"/>
  <c r="S900" i="5"/>
  <c r="T900" i="5" s="1"/>
  <c r="R900" i="5"/>
  <c r="U899" i="5"/>
  <c r="T899" i="5"/>
  <c r="S899" i="5"/>
  <c r="R899" i="5"/>
  <c r="U898" i="5"/>
  <c r="S898" i="5"/>
  <c r="T898" i="5" s="1"/>
  <c r="R898" i="5"/>
  <c r="U897" i="5"/>
  <c r="S897" i="5"/>
  <c r="T897" i="5" s="1"/>
  <c r="R897" i="5"/>
  <c r="U896" i="5"/>
  <c r="S896" i="5"/>
  <c r="T896" i="5" s="1"/>
  <c r="R896" i="5"/>
  <c r="U895" i="5"/>
  <c r="T895" i="5"/>
  <c r="S895" i="5"/>
  <c r="R895" i="5"/>
  <c r="U894" i="5"/>
  <c r="S894" i="5"/>
  <c r="T894" i="5" s="1"/>
  <c r="R894" i="5"/>
  <c r="U893" i="5"/>
  <c r="S893" i="5"/>
  <c r="T893" i="5" s="1"/>
  <c r="R893" i="5"/>
  <c r="U892" i="5"/>
  <c r="S892" i="5"/>
  <c r="T892" i="5" s="1"/>
  <c r="R892" i="5"/>
  <c r="U891" i="5"/>
  <c r="T891" i="5"/>
  <c r="S891" i="5"/>
  <c r="R891" i="5"/>
  <c r="U890" i="5"/>
  <c r="S890" i="5"/>
  <c r="T890" i="5" s="1"/>
  <c r="R890" i="5"/>
  <c r="U889" i="5"/>
  <c r="S889" i="5"/>
  <c r="T889" i="5" s="1"/>
  <c r="R889" i="5"/>
  <c r="U888" i="5"/>
  <c r="S888" i="5"/>
  <c r="T888" i="5" s="1"/>
  <c r="R888" i="5"/>
  <c r="U887" i="5"/>
  <c r="T887" i="5"/>
  <c r="S887" i="5"/>
  <c r="R887" i="5"/>
  <c r="U879" i="5"/>
  <c r="S879" i="5"/>
  <c r="T879" i="5" s="1"/>
  <c r="R879" i="5"/>
  <c r="U878" i="5"/>
  <c r="S878" i="5"/>
  <c r="T878" i="5" s="1"/>
  <c r="R878" i="5"/>
  <c r="U877" i="5"/>
  <c r="S877" i="5"/>
  <c r="T877" i="5" s="1"/>
  <c r="R877" i="5"/>
  <c r="U876" i="5"/>
  <c r="T876" i="5"/>
  <c r="S876" i="5"/>
  <c r="R876" i="5"/>
  <c r="U875" i="5"/>
  <c r="S875" i="5"/>
  <c r="T875" i="5" s="1"/>
  <c r="R875" i="5"/>
  <c r="U874" i="5"/>
  <c r="S874" i="5"/>
  <c r="T874" i="5" s="1"/>
  <c r="R874" i="5"/>
  <c r="U871" i="5"/>
  <c r="S871" i="5"/>
  <c r="T871" i="5" s="1"/>
  <c r="R871" i="5"/>
  <c r="U870" i="5"/>
  <c r="T870" i="5"/>
  <c r="S870" i="5"/>
  <c r="R870" i="5"/>
  <c r="U867" i="5"/>
  <c r="S867" i="5"/>
  <c r="T867" i="5" s="1"/>
  <c r="R867" i="5"/>
  <c r="U865" i="5"/>
  <c r="S865" i="5"/>
  <c r="T865" i="5" s="1"/>
  <c r="R865" i="5"/>
  <c r="U864" i="5"/>
  <c r="S864" i="5"/>
  <c r="T864" i="5" s="1"/>
  <c r="R864" i="5"/>
  <c r="U863" i="5"/>
  <c r="T863" i="5"/>
  <c r="S863" i="5"/>
  <c r="R863" i="5"/>
  <c r="U862" i="5"/>
  <c r="S862" i="5"/>
  <c r="T862" i="5" s="1"/>
  <c r="R862" i="5"/>
  <c r="U861" i="5"/>
  <c r="S861" i="5"/>
  <c r="T861" i="5" s="1"/>
  <c r="R861" i="5"/>
  <c r="U860" i="5"/>
  <c r="S860" i="5"/>
  <c r="T860" i="5" s="1"/>
  <c r="R860" i="5"/>
  <c r="U859" i="5"/>
  <c r="T859" i="5"/>
  <c r="S859" i="5"/>
  <c r="R859" i="5"/>
  <c r="U858" i="5"/>
  <c r="S858" i="5"/>
  <c r="T858" i="5" s="1"/>
  <c r="R858" i="5"/>
  <c r="U857" i="5"/>
  <c r="S857" i="5"/>
  <c r="T857" i="5" s="1"/>
  <c r="R857" i="5"/>
  <c r="U843" i="5"/>
  <c r="S843" i="5"/>
  <c r="T843" i="5" s="1"/>
  <c r="R843" i="5"/>
  <c r="U842" i="5"/>
  <c r="T842" i="5"/>
  <c r="S842" i="5"/>
  <c r="R842" i="5"/>
  <c r="U841" i="5"/>
  <c r="S841" i="5"/>
  <c r="T841" i="5" s="1"/>
  <c r="R841" i="5"/>
  <c r="U840" i="5"/>
  <c r="S840" i="5"/>
  <c r="T840" i="5" s="1"/>
  <c r="R840" i="5"/>
  <c r="U839" i="5"/>
  <c r="S839" i="5"/>
  <c r="T839" i="5" s="1"/>
  <c r="R839" i="5"/>
  <c r="U838" i="5"/>
  <c r="T838" i="5"/>
  <c r="S838" i="5"/>
  <c r="R838" i="5"/>
  <c r="U837" i="5"/>
  <c r="S837" i="5"/>
  <c r="T837" i="5" s="1"/>
  <c r="R837" i="5"/>
  <c r="U835" i="5"/>
  <c r="S835" i="5"/>
  <c r="T835" i="5" s="1"/>
  <c r="R835" i="5"/>
  <c r="U834" i="5"/>
  <c r="S834" i="5"/>
  <c r="T834" i="5" s="1"/>
  <c r="R834" i="5"/>
  <c r="U833" i="5"/>
  <c r="T833" i="5"/>
  <c r="S833" i="5"/>
  <c r="R833" i="5"/>
  <c r="U832" i="5"/>
  <c r="S832" i="5"/>
  <c r="T832" i="5" s="1"/>
  <c r="R832" i="5"/>
  <c r="U831" i="5"/>
  <c r="S831" i="5"/>
  <c r="T831" i="5" s="1"/>
  <c r="R831" i="5"/>
  <c r="U830" i="5"/>
  <c r="S830" i="5"/>
  <c r="T830" i="5" s="1"/>
  <c r="R830" i="5"/>
  <c r="U829" i="5"/>
  <c r="T829" i="5"/>
  <c r="S829" i="5"/>
  <c r="R829" i="5"/>
  <c r="U828" i="5"/>
  <c r="S828" i="5"/>
  <c r="T828" i="5" s="1"/>
  <c r="R828" i="5"/>
  <c r="U822" i="5"/>
  <c r="S822" i="5"/>
  <c r="T822" i="5" s="1"/>
  <c r="R822" i="5"/>
  <c r="U821" i="5"/>
  <c r="S821" i="5"/>
  <c r="T821" i="5" s="1"/>
  <c r="R821" i="5"/>
  <c r="U818" i="5"/>
  <c r="T818" i="5"/>
  <c r="S818" i="5"/>
  <c r="R818" i="5"/>
  <c r="U816" i="5"/>
  <c r="S816" i="5"/>
  <c r="T816" i="5" s="1"/>
  <c r="R816" i="5"/>
  <c r="U815" i="5"/>
  <c r="S815" i="5"/>
  <c r="T815" i="5" s="1"/>
  <c r="R815" i="5"/>
  <c r="U814" i="5"/>
  <c r="S814" i="5"/>
  <c r="T814" i="5" s="1"/>
  <c r="R814" i="5"/>
  <c r="U810" i="5"/>
  <c r="T810" i="5"/>
  <c r="S810" i="5"/>
  <c r="R810" i="5"/>
  <c r="U809" i="5"/>
  <c r="S809" i="5"/>
  <c r="T809" i="5" s="1"/>
  <c r="R809" i="5"/>
  <c r="U808" i="5"/>
  <c r="S808" i="5"/>
  <c r="T808" i="5" s="1"/>
  <c r="R808" i="5"/>
  <c r="U807" i="5"/>
  <c r="S807" i="5"/>
  <c r="T807" i="5" s="1"/>
  <c r="R807" i="5"/>
  <c r="U806" i="5"/>
  <c r="T806" i="5"/>
  <c r="S806" i="5"/>
  <c r="R806" i="5"/>
  <c r="U805" i="5"/>
  <c r="S805" i="5"/>
  <c r="T805" i="5" s="1"/>
  <c r="R805" i="5"/>
  <c r="U804" i="5"/>
  <c r="S804" i="5"/>
  <c r="T804" i="5" s="1"/>
  <c r="R804" i="5"/>
  <c r="U803" i="5"/>
  <c r="S803" i="5"/>
  <c r="T803" i="5" s="1"/>
  <c r="R803" i="5"/>
  <c r="U802" i="5"/>
  <c r="T802" i="5"/>
  <c r="S802" i="5"/>
  <c r="R802" i="5"/>
  <c r="U801" i="5"/>
  <c r="S801" i="5"/>
  <c r="T801" i="5" s="1"/>
  <c r="R801" i="5"/>
  <c r="U800" i="5"/>
  <c r="S800" i="5"/>
  <c r="T800" i="5" s="1"/>
  <c r="R800" i="5"/>
  <c r="U798" i="5"/>
  <c r="S798" i="5"/>
  <c r="T798" i="5" s="1"/>
  <c r="R798" i="5"/>
  <c r="U796" i="5"/>
  <c r="T796" i="5"/>
  <c r="S796" i="5"/>
  <c r="R796" i="5"/>
  <c r="U795" i="5"/>
  <c r="S795" i="5"/>
  <c r="T795" i="5" s="1"/>
  <c r="R795" i="5"/>
  <c r="U794" i="5"/>
  <c r="S794" i="5"/>
  <c r="T794" i="5" s="1"/>
  <c r="R794" i="5"/>
  <c r="U787" i="5"/>
  <c r="S787" i="5"/>
  <c r="T787" i="5" s="1"/>
  <c r="R787" i="5"/>
  <c r="U786" i="5"/>
  <c r="T786" i="5"/>
  <c r="S786" i="5"/>
  <c r="R786" i="5"/>
  <c r="U785" i="5"/>
  <c r="S785" i="5"/>
  <c r="T785" i="5" s="1"/>
  <c r="R785" i="5"/>
  <c r="U784" i="5"/>
  <c r="S784" i="5"/>
  <c r="T784" i="5" s="1"/>
  <c r="R784" i="5"/>
  <c r="U783" i="5"/>
  <c r="S783" i="5"/>
  <c r="T783" i="5" s="1"/>
  <c r="R783" i="5"/>
  <c r="U782" i="5"/>
  <c r="T782" i="5"/>
  <c r="S782" i="5"/>
  <c r="R782" i="5"/>
  <c r="U781" i="5"/>
  <c r="S781" i="5"/>
  <c r="T781" i="5" s="1"/>
  <c r="R781" i="5"/>
  <c r="U773" i="5"/>
  <c r="S773" i="5"/>
  <c r="T773" i="5" s="1"/>
  <c r="R773" i="5"/>
  <c r="U770" i="5"/>
  <c r="S770" i="5"/>
  <c r="T770" i="5" s="1"/>
  <c r="R770" i="5"/>
  <c r="U769" i="5"/>
  <c r="T769" i="5"/>
  <c r="S769" i="5"/>
  <c r="R769" i="5"/>
  <c r="U768" i="5"/>
  <c r="S768" i="5"/>
  <c r="T768" i="5" s="1"/>
  <c r="R768" i="5"/>
  <c r="U755" i="5"/>
  <c r="S755" i="5"/>
  <c r="T755" i="5" s="1"/>
  <c r="R755" i="5"/>
  <c r="U754" i="5"/>
  <c r="S754" i="5"/>
  <c r="T754" i="5" s="1"/>
  <c r="R754" i="5"/>
  <c r="U753" i="5"/>
  <c r="T753" i="5"/>
  <c r="S753" i="5"/>
  <c r="R753" i="5"/>
  <c r="U752" i="5"/>
  <c r="S752" i="5"/>
  <c r="T752" i="5" s="1"/>
  <c r="R752" i="5"/>
  <c r="U751" i="5"/>
  <c r="S751" i="5"/>
  <c r="T751" i="5" s="1"/>
  <c r="R751" i="5"/>
  <c r="U749" i="5"/>
  <c r="S749" i="5"/>
  <c r="T749" i="5" s="1"/>
  <c r="R749" i="5"/>
  <c r="U748" i="5"/>
  <c r="T748" i="5"/>
  <c r="S748" i="5"/>
  <c r="R748" i="5"/>
  <c r="U747" i="5"/>
  <c r="S747" i="5"/>
  <c r="T747" i="5" s="1"/>
  <c r="R747" i="5"/>
  <c r="U746" i="5"/>
  <c r="S746" i="5"/>
  <c r="T746" i="5" s="1"/>
  <c r="R746" i="5"/>
  <c r="U745" i="5"/>
  <c r="S745" i="5"/>
  <c r="T745" i="5" s="1"/>
  <c r="R745" i="5"/>
  <c r="U744" i="5"/>
  <c r="T744" i="5"/>
  <c r="S744" i="5"/>
  <c r="R744" i="5"/>
  <c r="U743" i="5"/>
  <c r="S743" i="5"/>
  <c r="T743" i="5" s="1"/>
  <c r="R743" i="5"/>
  <c r="U742" i="5"/>
  <c r="S742" i="5"/>
  <c r="T742" i="5" s="1"/>
  <c r="R742" i="5"/>
  <c r="U741" i="5"/>
  <c r="S741" i="5"/>
  <c r="T741" i="5" s="1"/>
  <c r="R741" i="5"/>
  <c r="U735" i="5"/>
  <c r="T735" i="5"/>
  <c r="S735" i="5"/>
  <c r="R735" i="5"/>
  <c r="U734" i="5"/>
  <c r="S734" i="5"/>
  <c r="T734" i="5" s="1"/>
  <c r="R734" i="5"/>
  <c r="U733" i="5"/>
  <c r="S733" i="5"/>
  <c r="T733" i="5" s="1"/>
  <c r="R733" i="5"/>
  <c r="U729" i="5"/>
  <c r="S729" i="5"/>
  <c r="T729" i="5" s="1"/>
  <c r="R729" i="5"/>
  <c r="U728" i="5"/>
  <c r="T728" i="5"/>
  <c r="S728" i="5"/>
  <c r="R728" i="5"/>
  <c r="U724" i="5"/>
  <c r="S724" i="5"/>
  <c r="T724" i="5" s="1"/>
  <c r="R724" i="5"/>
  <c r="U723" i="5"/>
  <c r="S723" i="5"/>
  <c r="T723" i="5" s="1"/>
  <c r="R723" i="5"/>
  <c r="U722" i="5"/>
  <c r="S722" i="5"/>
  <c r="T722" i="5" s="1"/>
  <c r="R722" i="5"/>
  <c r="U721" i="5"/>
  <c r="T721" i="5"/>
  <c r="S721" i="5"/>
  <c r="R721" i="5"/>
  <c r="U720" i="5"/>
  <c r="S720" i="5"/>
  <c r="T720" i="5" s="1"/>
  <c r="R720" i="5"/>
  <c r="U719" i="5"/>
  <c r="S719" i="5"/>
  <c r="T719" i="5" s="1"/>
  <c r="R719" i="5"/>
  <c r="U718" i="5"/>
  <c r="S718" i="5"/>
  <c r="T718" i="5" s="1"/>
  <c r="R718" i="5"/>
  <c r="U717" i="5"/>
  <c r="T717" i="5"/>
  <c r="S717" i="5"/>
  <c r="R717" i="5"/>
  <c r="U716" i="5"/>
  <c r="S716" i="5"/>
  <c r="T716" i="5" s="1"/>
  <c r="R716" i="5"/>
  <c r="U715" i="5"/>
  <c r="S715" i="5"/>
  <c r="T715" i="5" s="1"/>
  <c r="R715" i="5"/>
  <c r="U714" i="5"/>
  <c r="S714" i="5"/>
  <c r="T714" i="5" s="1"/>
  <c r="R714" i="5"/>
  <c r="U713" i="5"/>
  <c r="T713" i="5"/>
  <c r="S713" i="5"/>
  <c r="R713" i="5"/>
  <c r="U712" i="5"/>
  <c r="S712" i="5"/>
  <c r="T712" i="5" s="1"/>
  <c r="R712" i="5"/>
  <c r="U711" i="5"/>
  <c r="S711" i="5"/>
  <c r="T711" i="5" s="1"/>
  <c r="R711" i="5"/>
  <c r="U710" i="5"/>
  <c r="S710" i="5"/>
  <c r="T710" i="5" s="1"/>
  <c r="R710" i="5"/>
  <c r="U709" i="5"/>
  <c r="T709" i="5"/>
  <c r="S709" i="5"/>
  <c r="R709" i="5"/>
  <c r="U708" i="5"/>
  <c r="S708" i="5"/>
  <c r="T708" i="5" s="1"/>
  <c r="R708" i="5"/>
  <c r="U707" i="5"/>
  <c r="S707" i="5"/>
  <c r="T707" i="5" s="1"/>
  <c r="R707" i="5"/>
  <c r="U706" i="5"/>
  <c r="S706" i="5"/>
  <c r="T706" i="5" s="1"/>
  <c r="R706" i="5"/>
  <c r="U705" i="5"/>
  <c r="T705" i="5"/>
  <c r="S705" i="5"/>
  <c r="R705" i="5"/>
  <c r="U703" i="5"/>
  <c r="S703" i="5"/>
  <c r="T703" i="5" s="1"/>
  <c r="R703" i="5"/>
  <c r="U701" i="5"/>
  <c r="S701" i="5"/>
  <c r="T701" i="5" s="1"/>
  <c r="R701" i="5"/>
  <c r="U700" i="5"/>
  <c r="S700" i="5"/>
  <c r="T700" i="5" s="1"/>
  <c r="R700" i="5"/>
  <c r="U699" i="5"/>
  <c r="T699" i="5"/>
  <c r="S699" i="5"/>
  <c r="R699" i="5"/>
  <c r="U698" i="5"/>
  <c r="S698" i="5"/>
  <c r="T698" i="5" s="1"/>
  <c r="R698" i="5"/>
  <c r="U697" i="5"/>
  <c r="S697" i="5"/>
  <c r="T697" i="5" s="1"/>
  <c r="R697" i="5"/>
  <c r="U696" i="5"/>
  <c r="S696" i="5"/>
  <c r="T696" i="5" s="1"/>
  <c r="R696" i="5"/>
  <c r="U695" i="5"/>
  <c r="T695" i="5"/>
  <c r="S695" i="5"/>
  <c r="R695" i="5"/>
  <c r="U688" i="5"/>
  <c r="S688" i="5"/>
  <c r="T688" i="5" s="1"/>
  <c r="R688" i="5"/>
  <c r="U686" i="5"/>
  <c r="S686" i="5"/>
  <c r="T686" i="5" s="1"/>
  <c r="R686" i="5"/>
  <c r="U684" i="5"/>
  <c r="S684" i="5"/>
  <c r="T684" i="5" s="1"/>
  <c r="R684" i="5"/>
  <c r="U683" i="5"/>
  <c r="T683" i="5"/>
  <c r="S683" i="5"/>
  <c r="R683" i="5"/>
  <c r="U680" i="5"/>
  <c r="S680" i="5"/>
  <c r="T680" i="5" s="1"/>
  <c r="R680" i="5"/>
  <c r="U679" i="5"/>
  <c r="S679" i="5"/>
  <c r="T679" i="5" s="1"/>
  <c r="R679" i="5"/>
  <c r="U678" i="5"/>
  <c r="S678" i="5"/>
  <c r="T678" i="5" s="1"/>
  <c r="R678" i="5"/>
  <c r="U677" i="5"/>
  <c r="T677" i="5"/>
  <c r="S677" i="5"/>
  <c r="R677" i="5"/>
  <c r="U676" i="5"/>
  <c r="S676" i="5"/>
  <c r="T676" i="5" s="1"/>
  <c r="R676" i="5"/>
  <c r="U675" i="5"/>
  <c r="S675" i="5"/>
  <c r="T675" i="5" s="1"/>
  <c r="R675" i="5"/>
  <c r="U674" i="5"/>
  <c r="S674" i="5"/>
  <c r="T674" i="5" s="1"/>
  <c r="R674" i="5"/>
  <c r="U673" i="5"/>
  <c r="T673" i="5"/>
  <c r="S673" i="5"/>
  <c r="R673" i="5"/>
  <c r="U672" i="5"/>
  <c r="S672" i="5"/>
  <c r="T672" i="5" s="1"/>
  <c r="R672" i="5"/>
  <c r="U669" i="5"/>
  <c r="S669" i="5"/>
  <c r="T669" i="5" s="1"/>
  <c r="R669" i="5"/>
  <c r="U668" i="5"/>
  <c r="S668" i="5"/>
  <c r="T668" i="5" s="1"/>
  <c r="R668" i="5"/>
  <c r="U667" i="5"/>
  <c r="T667" i="5"/>
  <c r="S667" i="5"/>
  <c r="R667" i="5"/>
  <c r="U666" i="5"/>
  <c r="S666" i="5"/>
  <c r="T666" i="5" s="1"/>
  <c r="R666" i="5"/>
  <c r="U665" i="5"/>
  <c r="S665" i="5"/>
  <c r="T665" i="5" s="1"/>
  <c r="R665" i="5"/>
  <c r="U663" i="5"/>
  <c r="S663" i="5"/>
  <c r="T663" i="5" s="1"/>
  <c r="R663" i="5"/>
  <c r="U662" i="5"/>
  <c r="T662" i="5"/>
  <c r="S662" i="5"/>
  <c r="R662" i="5"/>
  <c r="U660" i="5"/>
  <c r="S660" i="5"/>
  <c r="T660" i="5" s="1"/>
  <c r="R660" i="5"/>
  <c r="U655" i="5"/>
  <c r="S655" i="5"/>
  <c r="T655" i="5" s="1"/>
  <c r="R655" i="5"/>
  <c r="U654" i="5"/>
  <c r="S654" i="5"/>
  <c r="T654" i="5" s="1"/>
  <c r="R654" i="5"/>
  <c r="U653" i="5"/>
  <c r="T653" i="5"/>
  <c r="S653" i="5"/>
  <c r="R653" i="5"/>
  <c r="U652" i="5"/>
  <c r="S652" i="5"/>
  <c r="T652" i="5" s="1"/>
  <c r="R652" i="5"/>
  <c r="U651" i="5"/>
  <c r="S651" i="5"/>
  <c r="T651" i="5" s="1"/>
  <c r="R651" i="5"/>
  <c r="U650" i="5"/>
  <c r="S650" i="5"/>
  <c r="T650" i="5" s="1"/>
  <c r="R650" i="5"/>
  <c r="U649" i="5"/>
  <c r="T649" i="5"/>
  <c r="S649" i="5"/>
  <c r="R649" i="5"/>
  <c r="U648" i="5"/>
  <c r="S648" i="5"/>
  <c r="T648" i="5" s="1"/>
  <c r="R648" i="5"/>
  <c r="U647" i="5"/>
  <c r="S647" i="5"/>
  <c r="T647" i="5" s="1"/>
  <c r="R647" i="5"/>
  <c r="U646" i="5"/>
  <c r="S646" i="5"/>
  <c r="T646" i="5" s="1"/>
  <c r="R646" i="5"/>
  <c r="U645" i="5"/>
  <c r="T645" i="5"/>
  <c r="S645" i="5"/>
  <c r="R645" i="5"/>
  <c r="U644" i="5"/>
  <c r="S644" i="5"/>
  <c r="T644" i="5" s="1"/>
  <c r="R644" i="5"/>
  <c r="U643" i="5"/>
  <c r="S643" i="5"/>
  <c r="T643" i="5" s="1"/>
  <c r="R643" i="5"/>
  <c r="U633" i="5"/>
  <c r="S633" i="5"/>
  <c r="T633" i="5" s="1"/>
  <c r="R633" i="5"/>
  <c r="U632" i="5"/>
  <c r="T632" i="5"/>
  <c r="S632" i="5"/>
  <c r="R632" i="5"/>
  <c r="U631" i="5"/>
  <c r="S631" i="5"/>
  <c r="T631" i="5" s="1"/>
  <c r="R631" i="5"/>
  <c r="U630" i="5"/>
  <c r="S630" i="5"/>
  <c r="T630" i="5" s="1"/>
  <c r="R630" i="5"/>
  <c r="U629" i="5"/>
  <c r="S629" i="5"/>
  <c r="T629" i="5" s="1"/>
  <c r="R629" i="5"/>
  <c r="U622" i="5"/>
  <c r="T622" i="5"/>
  <c r="S622" i="5"/>
  <c r="R622" i="5"/>
  <c r="U621" i="5"/>
  <c r="S621" i="5"/>
  <c r="T621" i="5" s="1"/>
  <c r="R621" i="5"/>
  <c r="U619" i="5"/>
  <c r="S619" i="5"/>
  <c r="T619" i="5" s="1"/>
  <c r="R619" i="5"/>
  <c r="U618" i="5"/>
  <c r="S618" i="5"/>
  <c r="T618" i="5" s="1"/>
  <c r="R618" i="5"/>
  <c r="U617" i="5"/>
  <c r="T617" i="5"/>
  <c r="S617" i="5"/>
  <c r="R617" i="5"/>
  <c r="U616" i="5"/>
  <c r="S616" i="5"/>
  <c r="T616" i="5" s="1"/>
  <c r="R616" i="5"/>
  <c r="U614" i="5"/>
  <c r="S614" i="5"/>
  <c r="T614" i="5" s="1"/>
  <c r="R614" i="5"/>
  <c r="U613" i="5"/>
  <c r="S613" i="5"/>
  <c r="T613" i="5" s="1"/>
  <c r="R613" i="5"/>
  <c r="U611" i="5"/>
  <c r="T611" i="5"/>
  <c r="S611" i="5"/>
  <c r="R611" i="5"/>
  <c r="U610" i="5"/>
  <c r="S610" i="5"/>
  <c r="T610" i="5" s="1"/>
  <c r="R610" i="5"/>
  <c r="U609" i="5"/>
  <c r="S609" i="5"/>
  <c r="T609" i="5" s="1"/>
  <c r="R609" i="5"/>
  <c r="U608" i="5"/>
  <c r="S608" i="5"/>
  <c r="T608" i="5" s="1"/>
  <c r="R608" i="5"/>
  <c r="U606" i="5"/>
  <c r="T606" i="5"/>
  <c r="S606" i="5"/>
  <c r="R606" i="5"/>
  <c r="U605" i="5"/>
  <c r="S605" i="5"/>
  <c r="T605" i="5" s="1"/>
  <c r="R605" i="5"/>
  <c r="U604" i="5"/>
  <c r="S604" i="5"/>
  <c r="T604" i="5" s="1"/>
  <c r="R604" i="5"/>
  <c r="U603" i="5"/>
  <c r="S603" i="5"/>
  <c r="T603" i="5" s="1"/>
  <c r="R603" i="5"/>
  <c r="U602" i="5"/>
  <c r="T602" i="5"/>
  <c r="S602" i="5"/>
  <c r="R602" i="5"/>
  <c r="U601" i="5"/>
  <c r="S601" i="5"/>
  <c r="T601" i="5" s="1"/>
  <c r="R601" i="5"/>
  <c r="U600" i="5"/>
  <c r="S600" i="5"/>
  <c r="T600" i="5" s="1"/>
  <c r="R600" i="5"/>
  <c r="U599" i="5"/>
  <c r="S599" i="5"/>
  <c r="T599" i="5" s="1"/>
  <c r="R599" i="5"/>
  <c r="U594" i="5"/>
  <c r="T594" i="5"/>
  <c r="S594" i="5"/>
  <c r="R594" i="5"/>
  <c r="U593" i="5"/>
  <c r="S593" i="5"/>
  <c r="T593" i="5" s="1"/>
  <c r="R593" i="5"/>
  <c r="U592" i="5"/>
  <c r="S592" i="5"/>
  <c r="T592" i="5" s="1"/>
  <c r="R592" i="5"/>
  <c r="U591" i="5"/>
  <c r="S591" i="5"/>
  <c r="T591" i="5" s="1"/>
  <c r="R591" i="5"/>
  <c r="U590" i="5"/>
  <c r="T590" i="5"/>
  <c r="S590" i="5"/>
  <c r="R590" i="5"/>
  <c r="U589" i="5"/>
  <c r="S589" i="5"/>
  <c r="T589" i="5" s="1"/>
  <c r="R589" i="5"/>
  <c r="U588" i="5"/>
  <c r="S588" i="5"/>
  <c r="T588" i="5" s="1"/>
  <c r="R588" i="5"/>
  <c r="U587" i="5"/>
  <c r="S587" i="5"/>
  <c r="T587" i="5" s="1"/>
  <c r="R587" i="5"/>
  <c r="U586" i="5"/>
  <c r="T586" i="5"/>
  <c r="S586" i="5"/>
  <c r="R586" i="5"/>
  <c r="U585" i="5"/>
  <c r="S585" i="5"/>
  <c r="T585" i="5" s="1"/>
  <c r="R585" i="5"/>
  <c r="U581" i="5"/>
  <c r="S581" i="5"/>
  <c r="T581" i="5" s="1"/>
  <c r="R581" i="5"/>
  <c r="U579" i="5"/>
  <c r="S579" i="5"/>
  <c r="T579" i="5" s="1"/>
  <c r="R579" i="5"/>
  <c r="U578" i="5"/>
  <c r="T578" i="5"/>
  <c r="S578" i="5"/>
  <c r="R578" i="5"/>
  <c r="U577" i="5"/>
  <c r="S577" i="5"/>
  <c r="T577" i="5" s="1"/>
  <c r="R577" i="5"/>
  <c r="U576" i="5"/>
  <c r="S576" i="5"/>
  <c r="T576" i="5" s="1"/>
  <c r="R576" i="5"/>
  <c r="U575" i="5"/>
  <c r="S575" i="5"/>
  <c r="T575" i="5" s="1"/>
  <c r="R575" i="5"/>
  <c r="U566" i="5"/>
  <c r="T566" i="5"/>
  <c r="S566" i="5"/>
  <c r="R566" i="5"/>
  <c r="U565" i="5"/>
  <c r="S565" i="5"/>
  <c r="T565" i="5" s="1"/>
  <c r="R565" i="5"/>
  <c r="U564" i="5"/>
  <c r="S564" i="5"/>
  <c r="T564" i="5" s="1"/>
  <c r="R564" i="5"/>
  <c r="U563" i="5"/>
  <c r="S563" i="5"/>
  <c r="T563" i="5" s="1"/>
  <c r="R563" i="5"/>
  <c r="U562" i="5"/>
  <c r="T562" i="5"/>
  <c r="S562" i="5"/>
  <c r="R562" i="5"/>
  <c r="U557" i="5"/>
  <c r="S557" i="5"/>
  <c r="T557" i="5" s="1"/>
  <c r="R557" i="5"/>
  <c r="U551" i="5"/>
  <c r="S551" i="5"/>
  <c r="T551" i="5" s="1"/>
  <c r="R551" i="5"/>
  <c r="U549" i="5"/>
  <c r="S549" i="5"/>
  <c r="T549" i="5" s="1"/>
  <c r="R549" i="5"/>
  <c r="U548" i="5"/>
  <c r="T548" i="5"/>
  <c r="S548" i="5"/>
  <c r="R548" i="5"/>
  <c r="U544" i="5"/>
  <c r="S544" i="5"/>
  <c r="T544" i="5" s="1"/>
  <c r="R544" i="5"/>
  <c r="U543" i="5"/>
  <c r="S543" i="5"/>
  <c r="T543" i="5" s="1"/>
  <c r="R543" i="5"/>
  <c r="U542" i="5"/>
  <c r="S542" i="5"/>
  <c r="T542" i="5" s="1"/>
  <c r="R542" i="5"/>
  <c r="U541" i="5"/>
  <c r="T541" i="5"/>
  <c r="S541" i="5"/>
  <c r="R541" i="5"/>
  <c r="U540" i="5"/>
  <c r="S540" i="5"/>
  <c r="T540" i="5" s="1"/>
  <c r="R540" i="5"/>
  <c r="U539" i="5"/>
  <c r="S539" i="5"/>
  <c r="T539" i="5" s="1"/>
  <c r="R539" i="5"/>
  <c r="U538" i="5"/>
  <c r="S538" i="5"/>
  <c r="T538" i="5" s="1"/>
  <c r="R538" i="5"/>
  <c r="U537" i="5"/>
  <c r="T537" i="5"/>
  <c r="S537" i="5"/>
  <c r="R537" i="5"/>
  <c r="U536" i="5"/>
  <c r="S536" i="5"/>
  <c r="T536" i="5" s="1"/>
  <c r="R536" i="5"/>
  <c r="U547" i="5"/>
  <c r="S547" i="5"/>
  <c r="T547" i="5" s="1"/>
  <c r="R547" i="5"/>
  <c r="U546" i="5"/>
  <c r="S546" i="5"/>
  <c r="T546" i="5" s="1"/>
  <c r="R546" i="5"/>
  <c r="U545" i="5"/>
  <c r="T545" i="5"/>
  <c r="S545" i="5"/>
  <c r="R545" i="5"/>
  <c r="U535" i="5"/>
  <c r="S535" i="5"/>
  <c r="T535" i="5" s="1"/>
  <c r="R535" i="5"/>
  <c r="U533" i="5"/>
  <c r="S533" i="5"/>
  <c r="T533" i="5" s="1"/>
  <c r="R533" i="5"/>
  <c r="U532" i="5"/>
  <c r="S532" i="5"/>
  <c r="T532" i="5" s="1"/>
  <c r="R532" i="5"/>
  <c r="U531" i="5"/>
  <c r="T531" i="5"/>
  <c r="S531" i="5"/>
  <c r="R531" i="5"/>
  <c r="U530" i="5"/>
  <c r="S530" i="5"/>
  <c r="T530" i="5" s="1"/>
  <c r="R530" i="5"/>
  <c r="U521" i="5"/>
  <c r="S521" i="5"/>
  <c r="T521" i="5" s="1"/>
  <c r="R521" i="5"/>
  <c r="U520" i="5"/>
  <c r="S520" i="5"/>
  <c r="T520" i="5" s="1"/>
  <c r="R520" i="5"/>
  <c r="U519" i="5"/>
  <c r="T519" i="5"/>
  <c r="S519" i="5"/>
  <c r="R519" i="5"/>
  <c r="U515" i="5"/>
  <c r="S515" i="5"/>
  <c r="T515" i="5" s="1"/>
  <c r="R515" i="5"/>
  <c r="U514" i="5"/>
  <c r="S514" i="5"/>
  <c r="T514" i="5" s="1"/>
  <c r="R514" i="5"/>
  <c r="U512" i="5"/>
  <c r="S512" i="5"/>
  <c r="T512" i="5" s="1"/>
  <c r="R512" i="5"/>
  <c r="U511" i="5"/>
  <c r="T511" i="5"/>
  <c r="S511" i="5"/>
  <c r="R511" i="5"/>
  <c r="U510" i="5"/>
  <c r="S510" i="5"/>
  <c r="T510" i="5" s="1"/>
  <c r="R510" i="5"/>
  <c r="U509" i="5"/>
  <c r="S509" i="5"/>
  <c r="T509" i="5" s="1"/>
  <c r="R509" i="5"/>
  <c r="U508" i="5"/>
  <c r="S508" i="5"/>
  <c r="T508" i="5" s="1"/>
  <c r="R508" i="5"/>
  <c r="U507" i="5"/>
  <c r="T507" i="5"/>
  <c r="S507" i="5"/>
  <c r="R507" i="5"/>
  <c r="U506" i="5"/>
  <c r="S506" i="5"/>
  <c r="T506" i="5" s="1"/>
  <c r="R506" i="5"/>
  <c r="U505" i="5"/>
  <c r="S505" i="5"/>
  <c r="T505" i="5" s="1"/>
  <c r="R505" i="5"/>
  <c r="U504" i="5"/>
  <c r="S504" i="5"/>
  <c r="T504" i="5" s="1"/>
  <c r="R504" i="5"/>
  <c r="U496" i="5"/>
  <c r="T496" i="5"/>
  <c r="S496" i="5"/>
  <c r="R496" i="5"/>
  <c r="U495" i="5"/>
  <c r="S495" i="5"/>
  <c r="T495" i="5" s="1"/>
  <c r="R495" i="5"/>
  <c r="U494" i="5"/>
  <c r="S494" i="5"/>
  <c r="T494" i="5" s="1"/>
  <c r="R494" i="5"/>
  <c r="U493" i="5"/>
  <c r="S493" i="5"/>
  <c r="T493" i="5" s="1"/>
  <c r="R493" i="5"/>
  <c r="U492" i="5"/>
  <c r="T492" i="5"/>
  <c r="S492" i="5"/>
  <c r="R492" i="5"/>
  <c r="U491" i="5"/>
  <c r="S491" i="5"/>
  <c r="T491" i="5" s="1"/>
  <c r="R491" i="5"/>
  <c r="U488" i="5"/>
  <c r="S488" i="5"/>
  <c r="T488" i="5" s="1"/>
  <c r="R488" i="5"/>
  <c r="U487" i="5"/>
  <c r="S487" i="5"/>
  <c r="T487" i="5" s="1"/>
  <c r="R487" i="5"/>
  <c r="U485" i="5"/>
  <c r="T485" i="5"/>
  <c r="S485" i="5"/>
  <c r="R485" i="5"/>
  <c r="U484" i="5"/>
  <c r="S484" i="5"/>
  <c r="T484" i="5" s="1"/>
  <c r="R484" i="5"/>
  <c r="U483" i="5"/>
  <c r="S483" i="5"/>
  <c r="T483" i="5" s="1"/>
  <c r="R483" i="5"/>
  <c r="U482" i="5"/>
  <c r="S482" i="5"/>
  <c r="T482" i="5" s="1"/>
  <c r="R482" i="5"/>
  <c r="U481" i="5"/>
  <c r="T481" i="5"/>
  <c r="S481" i="5"/>
  <c r="R481" i="5"/>
  <c r="U480" i="5"/>
  <c r="S480" i="5"/>
  <c r="T480" i="5" s="1"/>
  <c r="R480" i="5"/>
  <c r="U479" i="5"/>
  <c r="S479" i="5"/>
  <c r="T479" i="5" s="1"/>
  <c r="R479" i="5"/>
  <c r="U478" i="5"/>
  <c r="S478" i="5"/>
  <c r="T478" i="5" s="1"/>
  <c r="R478" i="5"/>
  <c r="U477" i="5"/>
  <c r="T477" i="5"/>
  <c r="S477" i="5"/>
  <c r="R477" i="5"/>
  <c r="U476" i="5"/>
  <c r="S476" i="5"/>
  <c r="T476" i="5" s="1"/>
  <c r="R476" i="5"/>
  <c r="U475" i="5"/>
  <c r="S475" i="5"/>
  <c r="T475" i="5" s="1"/>
  <c r="R475" i="5"/>
  <c r="U472" i="5"/>
  <c r="S472" i="5"/>
  <c r="T472" i="5" s="1"/>
  <c r="R472" i="5"/>
  <c r="U471" i="5"/>
  <c r="T471" i="5"/>
  <c r="S471" i="5"/>
  <c r="R471" i="5"/>
  <c r="U468" i="5"/>
  <c r="S468" i="5"/>
  <c r="T468" i="5" s="1"/>
  <c r="R468" i="5"/>
  <c r="U467" i="5"/>
  <c r="S467" i="5"/>
  <c r="T467" i="5" s="1"/>
  <c r="R467" i="5"/>
  <c r="U466" i="5"/>
  <c r="S466" i="5"/>
  <c r="T466" i="5" s="1"/>
  <c r="R466" i="5"/>
  <c r="U465" i="5"/>
  <c r="T465" i="5"/>
  <c r="S465" i="5"/>
  <c r="R465" i="5"/>
  <c r="U464" i="5"/>
  <c r="S464" i="5"/>
  <c r="T464" i="5" s="1"/>
  <c r="R464" i="5"/>
  <c r="U462" i="5"/>
  <c r="S462" i="5"/>
  <c r="T462" i="5" s="1"/>
  <c r="R462" i="5"/>
  <c r="U461" i="5"/>
  <c r="S461" i="5"/>
  <c r="T461" i="5" s="1"/>
  <c r="R461" i="5"/>
  <c r="U460" i="5"/>
  <c r="T460" i="5"/>
  <c r="S460" i="5"/>
  <c r="R460" i="5"/>
  <c r="U459" i="5"/>
  <c r="S459" i="5"/>
  <c r="T459" i="5" s="1"/>
  <c r="R459" i="5"/>
  <c r="U458" i="5"/>
  <c r="S458" i="5"/>
  <c r="T458" i="5" s="1"/>
  <c r="R458" i="5"/>
  <c r="U457" i="5"/>
  <c r="S457" i="5"/>
  <c r="T457" i="5" s="1"/>
  <c r="R457" i="5"/>
  <c r="U452" i="5"/>
  <c r="T452" i="5"/>
  <c r="S452" i="5"/>
  <c r="R452" i="5"/>
  <c r="U451" i="5"/>
  <c r="S451" i="5"/>
  <c r="T451" i="5" s="1"/>
  <c r="R451" i="5"/>
  <c r="U450" i="5"/>
  <c r="S450" i="5"/>
  <c r="T450" i="5" s="1"/>
  <c r="R450" i="5"/>
  <c r="U449" i="5"/>
  <c r="S449" i="5"/>
  <c r="T449" i="5" s="1"/>
  <c r="R449" i="5"/>
  <c r="U448" i="5"/>
  <c r="T448" i="5"/>
  <c r="S448" i="5"/>
  <c r="R448" i="5"/>
  <c r="U447" i="5"/>
  <c r="S447" i="5"/>
  <c r="T447" i="5" s="1"/>
  <c r="R447" i="5"/>
  <c r="U446" i="5"/>
  <c r="S446" i="5"/>
  <c r="T446" i="5" s="1"/>
  <c r="R446" i="5"/>
  <c r="U445" i="5"/>
  <c r="S445" i="5"/>
  <c r="T445" i="5" s="1"/>
  <c r="R445" i="5"/>
  <c r="U440" i="5"/>
  <c r="T440" i="5"/>
  <c r="S440" i="5"/>
  <c r="R440" i="5"/>
  <c r="U439" i="5"/>
  <c r="S439" i="5"/>
  <c r="T439" i="5" s="1"/>
  <c r="R439" i="5"/>
  <c r="U438" i="5"/>
  <c r="S438" i="5"/>
  <c r="T438" i="5" s="1"/>
  <c r="R438" i="5"/>
  <c r="U437" i="5"/>
  <c r="S437" i="5"/>
  <c r="T437" i="5" s="1"/>
  <c r="R437" i="5"/>
  <c r="U436" i="5"/>
  <c r="T436" i="5"/>
  <c r="S436" i="5"/>
  <c r="R436" i="5"/>
  <c r="U435" i="5"/>
  <c r="S435" i="5"/>
  <c r="T435" i="5" s="1"/>
  <c r="R435" i="5"/>
  <c r="U434" i="5"/>
  <c r="S434" i="5"/>
  <c r="T434" i="5" s="1"/>
  <c r="R434" i="5"/>
  <c r="U433" i="5"/>
  <c r="S433" i="5"/>
  <c r="T433" i="5" s="1"/>
  <c r="R433" i="5"/>
  <c r="U432" i="5"/>
  <c r="T432" i="5"/>
  <c r="S432" i="5"/>
  <c r="R432" i="5"/>
  <c r="U431" i="5"/>
  <c r="S431" i="5"/>
  <c r="T431" i="5" s="1"/>
  <c r="R431" i="5"/>
  <c r="U430" i="5"/>
  <c r="S430" i="5"/>
  <c r="T430" i="5" s="1"/>
  <c r="R430" i="5"/>
  <c r="U429" i="5"/>
  <c r="S429" i="5"/>
  <c r="T429" i="5" s="1"/>
  <c r="R429" i="5"/>
  <c r="U428" i="5"/>
  <c r="T428" i="5"/>
  <c r="S428" i="5"/>
  <c r="R428" i="5"/>
  <c r="U427" i="5"/>
  <c r="S427" i="5"/>
  <c r="T427" i="5" s="1"/>
  <c r="R427" i="5"/>
  <c r="U426" i="5"/>
  <c r="S426" i="5"/>
  <c r="T426" i="5" s="1"/>
  <c r="R426" i="5"/>
  <c r="U425" i="5"/>
  <c r="S425" i="5"/>
  <c r="T425" i="5" s="1"/>
  <c r="R425" i="5"/>
  <c r="U424" i="5"/>
  <c r="T424" i="5"/>
  <c r="S424" i="5"/>
  <c r="R424" i="5"/>
  <c r="U423" i="5"/>
  <c r="S423" i="5"/>
  <c r="T423" i="5" s="1"/>
  <c r="R423" i="5"/>
  <c r="U422" i="5"/>
  <c r="S422" i="5"/>
  <c r="T422" i="5" s="1"/>
  <c r="R422" i="5"/>
  <c r="U421" i="5"/>
  <c r="S421" i="5"/>
  <c r="T421" i="5" s="1"/>
  <c r="R421" i="5"/>
  <c r="U420" i="5"/>
  <c r="T420" i="5"/>
  <c r="S420" i="5"/>
  <c r="R420" i="5"/>
  <c r="U419" i="5"/>
  <c r="S419" i="5"/>
  <c r="T419" i="5" s="1"/>
  <c r="R419" i="5"/>
  <c r="U418" i="5"/>
  <c r="S418" i="5"/>
  <c r="T418" i="5" s="1"/>
  <c r="R418" i="5"/>
  <c r="U417" i="5"/>
  <c r="S417" i="5"/>
  <c r="T417" i="5" s="1"/>
  <c r="R417" i="5"/>
  <c r="U416" i="5"/>
  <c r="T416" i="5"/>
  <c r="S416" i="5"/>
  <c r="R416" i="5"/>
  <c r="U415" i="5"/>
  <c r="S415" i="5"/>
  <c r="T415" i="5" s="1"/>
  <c r="R415" i="5"/>
  <c r="U414" i="5"/>
  <c r="S414" i="5"/>
  <c r="T414" i="5" s="1"/>
  <c r="R414" i="5"/>
  <c r="U413" i="5"/>
  <c r="S413" i="5"/>
  <c r="T413" i="5" s="1"/>
  <c r="R413" i="5"/>
  <c r="U412" i="5"/>
  <c r="T412" i="5"/>
  <c r="S412" i="5"/>
  <c r="R412" i="5"/>
  <c r="U411" i="5"/>
  <c r="S411" i="5"/>
  <c r="T411" i="5" s="1"/>
  <c r="R411" i="5"/>
  <c r="U410" i="5"/>
  <c r="S410" i="5"/>
  <c r="T410" i="5" s="1"/>
  <c r="R410" i="5"/>
  <c r="U409" i="5"/>
  <c r="S409" i="5"/>
  <c r="T409" i="5" s="1"/>
  <c r="R409" i="5"/>
  <c r="U406" i="5"/>
  <c r="T406" i="5"/>
  <c r="S406" i="5"/>
  <c r="R406" i="5"/>
  <c r="U405" i="5"/>
  <c r="S405" i="5"/>
  <c r="T405" i="5" s="1"/>
  <c r="R405" i="5"/>
  <c r="U404" i="5"/>
  <c r="S404" i="5"/>
  <c r="T404" i="5" s="1"/>
  <c r="R404" i="5"/>
  <c r="U402" i="5"/>
  <c r="S402" i="5"/>
  <c r="T402" i="5" s="1"/>
  <c r="R402" i="5"/>
  <c r="U398" i="5"/>
  <c r="T398" i="5"/>
  <c r="S398" i="5"/>
  <c r="R398" i="5"/>
  <c r="U397" i="5"/>
  <c r="S397" i="5"/>
  <c r="T397" i="5" s="1"/>
  <c r="R397" i="5"/>
  <c r="U396" i="5"/>
  <c r="S396" i="5"/>
  <c r="T396" i="5" s="1"/>
  <c r="R396" i="5"/>
  <c r="U395" i="5"/>
  <c r="S395" i="5"/>
  <c r="T395" i="5" s="1"/>
  <c r="R395" i="5"/>
  <c r="U394" i="5"/>
  <c r="T394" i="5"/>
  <c r="S394" i="5"/>
  <c r="R394" i="5"/>
  <c r="U393" i="5"/>
  <c r="S393" i="5"/>
  <c r="T393" i="5" s="1"/>
  <c r="R393" i="5"/>
  <c r="U392" i="5"/>
  <c r="S392" i="5"/>
  <c r="T392" i="5" s="1"/>
  <c r="R392" i="5"/>
  <c r="U391" i="5"/>
  <c r="S391" i="5"/>
  <c r="T391" i="5" s="1"/>
  <c r="R391" i="5"/>
  <c r="U389" i="5"/>
  <c r="T389" i="5"/>
  <c r="S389" i="5"/>
  <c r="R389" i="5"/>
  <c r="U388" i="5"/>
  <c r="S388" i="5"/>
  <c r="T388" i="5" s="1"/>
  <c r="R388" i="5"/>
  <c r="U387" i="5"/>
  <c r="S387" i="5"/>
  <c r="T387" i="5" s="1"/>
  <c r="R387" i="5"/>
  <c r="U386" i="5"/>
  <c r="S386" i="5"/>
  <c r="T386" i="5" s="1"/>
  <c r="R386" i="5"/>
  <c r="U382" i="5"/>
  <c r="T382" i="5"/>
  <c r="S382" i="5"/>
  <c r="R382" i="5"/>
  <c r="U381" i="5"/>
  <c r="S381" i="5"/>
  <c r="T381" i="5" s="1"/>
  <c r="R381" i="5"/>
  <c r="U380" i="5"/>
  <c r="S380" i="5"/>
  <c r="T380" i="5" s="1"/>
  <c r="R380" i="5"/>
  <c r="U379" i="5"/>
  <c r="S379" i="5"/>
  <c r="T379" i="5" s="1"/>
  <c r="R379" i="5"/>
  <c r="U377" i="5"/>
  <c r="T377" i="5"/>
  <c r="S377" i="5"/>
  <c r="R377" i="5"/>
  <c r="U375" i="5"/>
  <c r="S375" i="5"/>
  <c r="T375" i="5" s="1"/>
  <c r="R375" i="5"/>
  <c r="U374" i="5"/>
  <c r="S374" i="5"/>
  <c r="T374" i="5" s="1"/>
  <c r="R374" i="5"/>
  <c r="U373" i="5"/>
  <c r="S373" i="5"/>
  <c r="T373" i="5" s="1"/>
  <c r="R373" i="5"/>
  <c r="U372" i="5"/>
  <c r="T372" i="5"/>
  <c r="S372" i="5"/>
  <c r="R372" i="5"/>
  <c r="U371" i="5"/>
  <c r="S371" i="5"/>
  <c r="T371" i="5" s="1"/>
  <c r="R371" i="5"/>
  <c r="U370" i="5"/>
  <c r="S370" i="5"/>
  <c r="T370" i="5" s="1"/>
  <c r="R370" i="5"/>
  <c r="U369" i="5"/>
  <c r="S369" i="5"/>
  <c r="T369" i="5" s="1"/>
  <c r="R369" i="5"/>
  <c r="U368" i="5"/>
  <c r="T368" i="5"/>
  <c r="S368" i="5"/>
  <c r="R368" i="5"/>
  <c r="U364" i="5"/>
  <c r="S364" i="5"/>
  <c r="T364" i="5" s="1"/>
  <c r="R364" i="5"/>
  <c r="U363" i="5"/>
  <c r="S363" i="5"/>
  <c r="T363" i="5" s="1"/>
  <c r="R363" i="5"/>
  <c r="U362" i="5"/>
  <c r="S362" i="5"/>
  <c r="T362" i="5" s="1"/>
  <c r="R362" i="5"/>
  <c r="U361" i="5"/>
  <c r="T361" i="5"/>
  <c r="S361" i="5"/>
  <c r="R361" i="5"/>
  <c r="U360" i="5"/>
  <c r="S360" i="5"/>
  <c r="T360" i="5" s="1"/>
  <c r="R360" i="5"/>
  <c r="U359" i="5"/>
  <c r="S359" i="5"/>
  <c r="T359" i="5" s="1"/>
  <c r="R359" i="5"/>
  <c r="U358" i="5"/>
  <c r="S358" i="5"/>
  <c r="T358" i="5" s="1"/>
  <c r="R358" i="5"/>
  <c r="U357" i="5"/>
  <c r="T357" i="5"/>
  <c r="S357" i="5"/>
  <c r="R357" i="5"/>
  <c r="U356" i="5"/>
  <c r="S356" i="5"/>
  <c r="T356" i="5" s="1"/>
  <c r="R356" i="5"/>
  <c r="U355" i="5"/>
  <c r="S355" i="5"/>
  <c r="T355" i="5" s="1"/>
  <c r="R355" i="5"/>
  <c r="U354" i="5"/>
  <c r="S354" i="5"/>
  <c r="T354" i="5" s="1"/>
  <c r="R354" i="5"/>
  <c r="U353" i="5"/>
  <c r="T353" i="5"/>
  <c r="S353" i="5"/>
  <c r="R353" i="5"/>
  <c r="U352" i="5"/>
  <c r="S352" i="5"/>
  <c r="T352" i="5" s="1"/>
  <c r="R352" i="5"/>
  <c r="U349" i="5"/>
  <c r="S349" i="5"/>
  <c r="T349" i="5" s="1"/>
  <c r="R349" i="5"/>
  <c r="U348" i="5"/>
  <c r="S348" i="5"/>
  <c r="T348" i="5" s="1"/>
  <c r="R348" i="5"/>
  <c r="U347" i="5"/>
  <c r="T347" i="5"/>
  <c r="S347" i="5"/>
  <c r="R347" i="5"/>
  <c r="U346" i="5"/>
  <c r="S346" i="5"/>
  <c r="T346" i="5" s="1"/>
  <c r="R346" i="5"/>
  <c r="U345" i="5"/>
  <c r="S345" i="5"/>
  <c r="T345" i="5" s="1"/>
  <c r="R345" i="5"/>
  <c r="U344" i="5"/>
  <c r="S344" i="5"/>
  <c r="T344" i="5" s="1"/>
  <c r="R344" i="5"/>
  <c r="U341" i="5"/>
  <c r="T341" i="5"/>
  <c r="S341" i="5"/>
  <c r="R341" i="5"/>
  <c r="U340" i="5"/>
  <c r="S340" i="5"/>
  <c r="T340" i="5" s="1"/>
  <c r="R340" i="5"/>
  <c r="U339" i="5"/>
  <c r="S339" i="5"/>
  <c r="T339" i="5" s="1"/>
  <c r="R339" i="5"/>
  <c r="U338" i="5"/>
  <c r="S338" i="5"/>
  <c r="T338" i="5" s="1"/>
  <c r="R338" i="5"/>
  <c r="U337" i="5"/>
  <c r="T337" i="5"/>
  <c r="S337" i="5"/>
  <c r="R337" i="5"/>
  <c r="U334" i="5"/>
  <c r="S334" i="5"/>
  <c r="T334" i="5" s="1"/>
  <c r="R334" i="5"/>
  <c r="U333" i="5"/>
  <c r="S333" i="5"/>
  <c r="T333" i="5" s="1"/>
  <c r="R333" i="5"/>
  <c r="U332" i="5"/>
  <c r="S332" i="5"/>
  <c r="T332" i="5" s="1"/>
  <c r="R332" i="5"/>
  <c r="U331" i="5"/>
  <c r="T331" i="5"/>
  <c r="S331" i="5"/>
  <c r="R331" i="5"/>
  <c r="U330" i="5"/>
  <c r="S330" i="5"/>
  <c r="T330" i="5" s="1"/>
  <c r="R330" i="5"/>
  <c r="U329" i="5"/>
  <c r="S329" i="5"/>
  <c r="T329" i="5" s="1"/>
  <c r="R329" i="5"/>
  <c r="U325" i="5"/>
  <c r="S325" i="5"/>
  <c r="T325" i="5" s="1"/>
  <c r="R325" i="5"/>
  <c r="U324" i="5"/>
  <c r="T324" i="5"/>
  <c r="S324" i="5"/>
  <c r="R324" i="5"/>
  <c r="U323" i="5"/>
  <c r="S323" i="5"/>
  <c r="T323" i="5" s="1"/>
  <c r="R323" i="5"/>
  <c r="U319" i="5"/>
  <c r="S319" i="5"/>
  <c r="T319" i="5" s="1"/>
  <c r="R319" i="5"/>
  <c r="U316" i="5"/>
  <c r="S316" i="5"/>
  <c r="T316" i="5" s="1"/>
  <c r="R316" i="5"/>
  <c r="U315" i="5"/>
  <c r="T315" i="5"/>
  <c r="S315" i="5"/>
  <c r="R315" i="5"/>
  <c r="U314" i="5"/>
  <c r="S314" i="5"/>
  <c r="T314" i="5" s="1"/>
  <c r="R314" i="5"/>
  <c r="U313" i="5"/>
  <c r="S313" i="5"/>
  <c r="T313" i="5" s="1"/>
  <c r="R313" i="5"/>
  <c r="U312" i="5"/>
  <c r="S312" i="5"/>
  <c r="T312" i="5" s="1"/>
  <c r="R312" i="5"/>
  <c r="U311" i="5"/>
  <c r="T311" i="5"/>
  <c r="S311" i="5"/>
  <c r="R311" i="5"/>
  <c r="U310" i="5"/>
  <c r="S310" i="5"/>
  <c r="T310" i="5" s="1"/>
  <c r="R310" i="5"/>
  <c r="U309" i="5"/>
  <c r="S309" i="5"/>
  <c r="T309" i="5" s="1"/>
  <c r="R309" i="5"/>
  <c r="U308" i="5"/>
  <c r="S308" i="5"/>
  <c r="T308" i="5" s="1"/>
  <c r="R308" i="5"/>
  <c r="U307" i="5"/>
  <c r="T307" i="5"/>
  <c r="S307" i="5"/>
  <c r="R307" i="5"/>
  <c r="U306" i="5"/>
  <c r="S306" i="5"/>
  <c r="T306" i="5" s="1"/>
  <c r="R306" i="5"/>
  <c r="U303" i="5"/>
  <c r="S303" i="5"/>
  <c r="T303" i="5" s="1"/>
  <c r="R303" i="5"/>
  <c r="U302" i="5"/>
  <c r="S302" i="5"/>
  <c r="T302" i="5" s="1"/>
  <c r="R302" i="5"/>
  <c r="U301" i="5"/>
  <c r="T301" i="5"/>
  <c r="S301" i="5"/>
  <c r="R301" i="5"/>
  <c r="U300" i="5"/>
  <c r="S300" i="5"/>
  <c r="T300" i="5" s="1"/>
  <c r="R300" i="5"/>
  <c r="U299" i="5"/>
  <c r="S299" i="5"/>
  <c r="T299" i="5" s="1"/>
  <c r="R299" i="5"/>
  <c r="U298" i="5"/>
  <c r="S298" i="5"/>
  <c r="T298" i="5" s="1"/>
  <c r="R298" i="5"/>
  <c r="U297" i="5"/>
  <c r="T297" i="5"/>
  <c r="S297" i="5"/>
  <c r="R297" i="5"/>
  <c r="U296" i="5"/>
  <c r="S296" i="5"/>
  <c r="T296" i="5" s="1"/>
  <c r="R296" i="5"/>
  <c r="U295" i="5"/>
  <c r="S295" i="5"/>
  <c r="T295" i="5" s="1"/>
  <c r="R295" i="5"/>
  <c r="U292" i="5"/>
  <c r="S292" i="5"/>
  <c r="T292" i="5" s="1"/>
  <c r="R292" i="5"/>
  <c r="U289" i="5"/>
  <c r="T289" i="5"/>
  <c r="S289" i="5"/>
  <c r="R289" i="5"/>
  <c r="U287" i="5"/>
  <c r="S287" i="5"/>
  <c r="T287" i="5" s="1"/>
  <c r="R287" i="5"/>
  <c r="U286" i="5"/>
  <c r="S286" i="5"/>
  <c r="T286" i="5" s="1"/>
  <c r="R286" i="5"/>
  <c r="U285" i="5"/>
  <c r="S285" i="5"/>
  <c r="T285" i="5" s="1"/>
  <c r="R285" i="5"/>
  <c r="U284" i="5"/>
  <c r="T284" i="5"/>
  <c r="S284" i="5"/>
  <c r="R284" i="5"/>
  <c r="U282" i="5"/>
  <c r="S282" i="5"/>
  <c r="T282" i="5" s="1"/>
  <c r="R282" i="5"/>
  <c r="U281" i="5"/>
  <c r="S281" i="5"/>
  <c r="T281" i="5" s="1"/>
  <c r="R281" i="5"/>
  <c r="U279" i="5"/>
  <c r="S279" i="5"/>
  <c r="T279" i="5" s="1"/>
  <c r="R279" i="5"/>
  <c r="U278" i="5"/>
  <c r="T278" i="5"/>
  <c r="S278" i="5"/>
  <c r="R278" i="5"/>
  <c r="U277" i="5"/>
  <c r="S277" i="5"/>
  <c r="T277" i="5" s="1"/>
  <c r="R277" i="5"/>
  <c r="U275" i="5"/>
  <c r="S275" i="5"/>
  <c r="T275" i="5" s="1"/>
  <c r="R275" i="5"/>
  <c r="U273" i="5"/>
  <c r="S273" i="5"/>
  <c r="T273" i="5" s="1"/>
  <c r="R273" i="5"/>
  <c r="U272" i="5"/>
  <c r="T272" i="5"/>
  <c r="S272" i="5"/>
  <c r="R272" i="5"/>
  <c r="U271" i="5"/>
  <c r="S271" i="5"/>
  <c r="T271" i="5" s="1"/>
  <c r="R271" i="5"/>
  <c r="U270" i="5"/>
  <c r="S270" i="5"/>
  <c r="T270" i="5" s="1"/>
  <c r="R270" i="5"/>
  <c r="U269" i="5"/>
  <c r="S269" i="5"/>
  <c r="T269" i="5" s="1"/>
  <c r="R269" i="5"/>
  <c r="U268" i="5"/>
  <c r="T268" i="5"/>
  <c r="S268" i="5"/>
  <c r="R268" i="5"/>
  <c r="U267" i="5"/>
  <c r="S267" i="5"/>
  <c r="T267" i="5" s="1"/>
  <c r="R267" i="5"/>
  <c r="U260" i="5"/>
  <c r="S260" i="5"/>
  <c r="T260" i="5" s="1"/>
  <c r="R260" i="5"/>
  <c r="U259" i="5"/>
  <c r="S259" i="5"/>
  <c r="T259" i="5" s="1"/>
  <c r="R259" i="5"/>
  <c r="U258" i="5"/>
  <c r="T258" i="5"/>
  <c r="S258" i="5"/>
  <c r="R258" i="5"/>
  <c r="U257" i="5"/>
  <c r="S257" i="5"/>
  <c r="T257" i="5" s="1"/>
  <c r="R257" i="5"/>
  <c r="U256" i="5"/>
  <c r="S256" i="5"/>
  <c r="T256" i="5" s="1"/>
  <c r="R256" i="5"/>
  <c r="U255" i="5"/>
  <c r="S255" i="5"/>
  <c r="T255" i="5" s="1"/>
  <c r="R255" i="5"/>
  <c r="U254" i="5"/>
  <c r="T254" i="5"/>
  <c r="S254" i="5"/>
  <c r="R254" i="5"/>
  <c r="U253" i="5"/>
  <c r="S253" i="5"/>
  <c r="T253" i="5" s="1"/>
  <c r="R253" i="5"/>
  <c r="U252" i="5"/>
  <c r="S252" i="5"/>
  <c r="T252" i="5" s="1"/>
  <c r="R252" i="5"/>
  <c r="U251" i="5"/>
  <c r="S251" i="5"/>
  <c r="T251" i="5" s="1"/>
  <c r="R251" i="5"/>
  <c r="U250" i="5"/>
  <c r="T250" i="5"/>
  <c r="S250" i="5"/>
  <c r="R250" i="5"/>
  <c r="U249" i="5"/>
  <c r="S249" i="5"/>
  <c r="T249" i="5" s="1"/>
  <c r="R249" i="5"/>
  <c r="U248" i="5"/>
  <c r="S248" i="5"/>
  <c r="T248" i="5" s="1"/>
  <c r="R248" i="5"/>
  <c r="U247" i="5"/>
  <c r="S247" i="5"/>
  <c r="T247" i="5" s="1"/>
  <c r="R247" i="5"/>
  <c r="U246" i="5"/>
  <c r="T246" i="5"/>
  <c r="S246" i="5"/>
  <c r="R246" i="5"/>
  <c r="U245" i="5"/>
  <c r="S245" i="5"/>
  <c r="T245" i="5" s="1"/>
  <c r="R245" i="5"/>
  <c r="U244" i="5"/>
  <c r="S244" i="5"/>
  <c r="T244" i="5" s="1"/>
  <c r="R244" i="5"/>
  <c r="U243" i="5"/>
  <c r="S243" i="5"/>
  <c r="T243" i="5" s="1"/>
  <c r="R243" i="5"/>
  <c r="U242" i="5"/>
  <c r="T242" i="5"/>
  <c r="S242" i="5"/>
  <c r="R242" i="5"/>
  <c r="U241" i="5"/>
  <c r="S241" i="5"/>
  <c r="T241" i="5" s="1"/>
  <c r="R241" i="5"/>
  <c r="U240" i="5"/>
  <c r="S240" i="5"/>
  <c r="T240" i="5" s="1"/>
  <c r="R240" i="5"/>
  <c r="U239" i="5"/>
  <c r="S239" i="5"/>
  <c r="T239" i="5" s="1"/>
  <c r="R239" i="5"/>
  <c r="U238" i="5"/>
  <c r="T238" i="5"/>
  <c r="S238" i="5"/>
  <c r="R238" i="5"/>
  <c r="U237" i="5"/>
  <c r="S237" i="5"/>
  <c r="T237" i="5" s="1"/>
  <c r="R237" i="5"/>
  <c r="U236" i="5"/>
  <c r="S236" i="5"/>
  <c r="T236" i="5" s="1"/>
  <c r="R236" i="5"/>
  <c r="U235" i="5"/>
  <c r="S235" i="5"/>
  <c r="T235" i="5" s="1"/>
  <c r="R235" i="5"/>
  <c r="U234" i="5"/>
  <c r="T234" i="5"/>
  <c r="S234" i="5"/>
  <c r="R234" i="5"/>
  <c r="U233" i="5"/>
  <c r="S233" i="5"/>
  <c r="T233" i="5" s="1"/>
  <c r="R233" i="5"/>
  <c r="U232" i="5"/>
  <c r="S232" i="5"/>
  <c r="T232" i="5" s="1"/>
  <c r="R232" i="5"/>
  <c r="U231" i="5"/>
  <c r="S231" i="5"/>
  <c r="T231" i="5" s="1"/>
  <c r="R231" i="5"/>
  <c r="U230" i="5"/>
  <c r="T230" i="5"/>
  <c r="S230" i="5"/>
  <c r="R230" i="5"/>
  <c r="U229" i="5"/>
  <c r="S229" i="5"/>
  <c r="T229" i="5" s="1"/>
  <c r="R229" i="5"/>
  <c r="U228" i="5"/>
  <c r="S228" i="5"/>
  <c r="T228" i="5" s="1"/>
  <c r="R228" i="5"/>
  <c r="U227" i="5"/>
  <c r="S227" i="5"/>
  <c r="T227" i="5" s="1"/>
  <c r="R227" i="5"/>
  <c r="U226" i="5"/>
  <c r="T226" i="5"/>
  <c r="S226" i="5"/>
  <c r="R226" i="5"/>
  <c r="U225" i="5"/>
  <c r="S225" i="5"/>
  <c r="T225" i="5" s="1"/>
  <c r="R225" i="5"/>
  <c r="U224" i="5"/>
  <c r="S224" i="5"/>
  <c r="T224" i="5" s="1"/>
  <c r="R224" i="5"/>
  <c r="U223" i="5"/>
  <c r="S223" i="5"/>
  <c r="T223" i="5" s="1"/>
  <c r="R223" i="5"/>
  <c r="U222" i="5"/>
  <c r="T222" i="5"/>
  <c r="S222" i="5"/>
  <c r="R222" i="5"/>
  <c r="U221" i="5"/>
  <c r="S221" i="5"/>
  <c r="T221" i="5" s="1"/>
  <c r="R221" i="5"/>
  <c r="U220" i="5"/>
  <c r="S220" i="5"/>
  <c r="T220" i="5" s="1"/>
  <c r="R220" i="5"/>
  <c r="U219" i="5"/>
  <c r="S219" i="5"/>
  <c r="T219" i="5" s="1"/>
  <c r="R219" i="5"/>
  <c r="U218" i="5"/>
  <c r="T218" i="5"/>
  <c r="S218" i="5"/>
  <c r="R218" i="5"/>
  <c r="U217" i="5"/>
  <c r="S217" i="5"/>
  <c r="T217" i="5" s="1"/>
  <c r="R217" i="5"/>
  <c r="U216" i="5"/>
  <c r="S216" i="5"/>
  <c r="T216" i="5" s="1"/>
  <c r="R216" i="5"/>
  <c r="U215" i="5"/>
  <c r="S215" i="5"/>
  <c r="T215" i="5" s="1"/>
  <c r="R215" i="5"/>
  <c r="U204" i="5"/>
  <c r="T204" i="5"/>
  <c r="S204" i="5"/>
  <c r="R204" i="5"/>
  <c r="U203" i="5"/>
  <c r="S203" i="5"/>
  <c r="T203" i="5" s="1"/>
  <c r="R203" i="5"/>
  <c r="U202" i="5"/>
  <c r="S202" i="5"/>
  <c r="T202" i="5" s="1"/>
  <c r="R202" i="5"/>
  <c r="U201" i="5"/>
  <c r="S201" i="5"/>
  <c r="T201" i="5" s="1"/>
  <c r="R201" i="5"/>
  <c r="U200" i="5"/>
  <c r="T200" i="5"/>
  <c r="S200" i="5"/>
  <c r="R200" i="5"/>
  <c r="U199" i="5"/>
  <c r="S199" i="5"/>
  <c r="T199" i="5" s="1"/>
  <c r="R199" i="5"/>
  <c r="U198" i="5"/>
  <c r="S198" i="5"/>
  <c r="T198" i="5" s="1"/>
  <c r="R198" i="5"/>
  <c r="U197" i="5"/>
  <c r="S197" i="5"/>
  <c r="T197" i="5" s="1"/>
  <c r="R197" i="5"/>
  <c r="U196" i="5"/>
  <c r="T196" i="5"/>
  <c r="S196" i="5"/>
  <c r="R196" i="5"/>
  <c r="U192" i="5"/>
  <c r="S192" i="5"/>
  <c r="T192" i="5" s="1"/>
  <c r="R192" i="5"/>
  <c r="U191" i="5"/>
  <c r="S191" i="5"/>
  <c r="T191" i="5" s="1"/>
  <c r="R191" i="5"/>
  <c r="U189" i="5"/>
  <c r="S189" i="5"/>
  <c r="T189" i="5" s="1"/>
  <c r="R189" i="5"/>
  <c r="U188" i="5"/>
  <c r="T188" i="5"/>
  <c r="S188" i="5"/>
  <c r="R188" i="5"/>
  <c r="U185" i="5"/>
  <c r="S185" i="5"/>
  <c r="T185" i="5" s="1"/>
  <c r="R185" i="5"/>
  <c r="U184" i="5"/>
  <c r="T184" i="5"/>
  <c r="S184" i="5"/>
  <c r="R184" i="5"/>
  <c r="U183" i="5"/>
  <c r="S183" i="5"/>
  <c r="T183" i="5" s="1"/>
  <c r="R183" i="5"/>
  <c r="U182" i="5"/>
  <c r="T182" i="5"/>
  <c r="S182" i="5"/>
  <c r="R182" i="5"/>
  <c r="U181" i="5"/>
  <c r="S181" i="5"/>
  <c r="T181" i="5" s="1"/>
  <c r="R181" i="5"/>
  <c r="U180" i="5"/>
  <c r="S180" i="5"/>
  <c r="T180" i="5" s="1"/>
  <c r="R180" i="5"/>
  <c r="U179" i="5"/>
  <c r="S179" i="5"/>
  <c r="T179" i="5" s="1"/>
  <c r="R179" i="5"/>
  <c r="U174" i="5"/>
  <c r="S174" i="5"/>
  <c r="T174" i="5" s="1"/>
  <c r="R174" i="5"/>
  <c r="U173" i="5"/>
  <c r="S173" i="5"/>
  <c r="T173" i="5" s="1"/>
  <c r="R173" i="5"/>
  <c r="U172" i="5"/>
  <c r="S172" i="5"/>
  <c r="T172" i="5" s="1"/>
  <c r="R172" i="5"/>
  <c r="U171" i="5"/>
  <c r="S171" i="5"/>
  <c r="T171" i="5" s="1"/>
  <c r="R171" i="5"/>
  <c r="U170" i="5"/>
  <c r="T170" i="5"/>
  <c r="S170" i="5"/>
  <c r="R170" i="5"/>
  <c r="U169" i="5"/>
  <c r="S169" i="5"/>
  <c r="T169" i="5" s="1"/>
  <c r="R169" i="5"/>
  <c r="U168" i="5"/>
  <c r="S168" i="5"/>
  <c r="T168" i="5" s="1"/>
  <c r="R168" i="5"/>
  <c r="U160" i="5"/>
  <c r="S160" i="5"/>
  <c r="T160" i="5" s="1"/>
  <c r="R160" i="5"/>
  <c r="U159" i="5"/>
  <c r="T159" i="5"/>
  <c r="S159" i="5"/>
  <c r="R159" i="5"/>
  <c r="U158" i="5"/>
  <c r="S158" i="5"/>
  <c r="T158" i="5" s="1"/>
  <c r="R158" i="5"/>
  <c r="U157" i="5"/>
  <c r="S157" i="5"/>
  <c r="T157" i="5" s="1"/>
  <c r="R157" i="5"/>
  <c r="U156" i="5"/>
  <c r="S156" i="5"/>
  <c r="T156" i="5" s="1"/>
  <c r="R156" i="5"/>
  <c r="U155" i="5"/>
  <c r="S155" i="5"/>
  <c r="T155" i="5" s="1"/>
  <c r="R155" i="5"/>
  <c r="U154" i="5"/>
  <c r="S154" i="5"/>
  <c r="T154" i="5" s="1"/>
  <c r="R154" i="5"/>
  <c r="U153" i="5"/>
  <c r="S153" i="5"/>
  <c r="T153" i="5" s="1"/>
  <c r="R153" i="5"/>
  <c r="U152" i="5"/>
  <c r="T152" i="5"/>
  <c r="S152" i="5"/>
  <c r="R152" i="5"/>
  <c r="U151" i="5"/>
  <c r="S151" i="5"/>
  <c r="T151" i="5" s="1"/>
  <c r="R151" i="5"/>
  <c r="U149" i="5"/>
  <c r="T149" i="5"/>
  <c r="S149" i="5"/>
  <c r="R149" i="5"/>
  <c r="U148" i="5"/>
  <c r="S148" i="5"/>
  <c r="T148" i="5" s="1"/>
  <c r="R148" i="5"/>
  <c r="U147" i="5"/>
  <c r="T147" i="5"/>
  <c r="S147" i="5"/>
  <c r="R147" i="5"/>
  <c r="U146" i="5"/>
  <c r="S146" i="5"/>
  <c r="T146" i="5" s="1"/>
  <c r="R146" i="5"/>
  <c r="U144" i="5"/>
  <c r="T144" i="5"/>
  <c r="S144" i="5"/>
  <c r="R144" i="5"/>
  <c r="U143" i="5"/>
  <c r="S143" i="5"/>
  <c r="T143" i="5" s="1"/>
  <c r="R143" i="5"/>
  <c r="U142" i="5"/>
  <c r="T142" i="5"/>
  <c r="S142" i="5"/>
  <c r="R142" i="5"/>
  <c r="U141" i="5"/>
  <c r="S141" i="5"/>
  <c r="T141" i="5" s="1"/>
  <c r="R141" i="5"/>
  <c r="U140" i="5"/>
  <c r="T140" i="5"/>
  <c r="S140" i="5"/>
  <c r="R140" i="5"/>
  <c r="U139" i="5"/>
  <c r="S139" i="5"/>
  <c r="T139" i="5" s="1"/>
  <c r="R139" i="5"/>
  <c r="U138" i="5"/>
  <c r="T138" i="5"/>
  <c r="S138" i="5"/>
  <c r="R138" i="5"/>
  <c r="U136" i="5"/>
  <c r="S136" i="5"/>
  <c r="T136" i="5" s="1"/>
  <c r="R136" i="5"/>
  <c r="U135" i="5"/>
  <c r="T135" i="5"/>
  <c r="S135" i="5"/>
  <c r="R135" i="5"/>
  <c r="U134" i="5"/>
  <c r="S134" i="5"/>
  <c r="T134" i="5" s="1"/>
  <c r="R134" i="5"/>
  <c r="U133" i="5"/>
  <c r="T133" i="5"/>
  <c r="S133" i="5"/>
  <c r="R133" i="5"/>
  <c r="U132" i="5"/>
  <c r="S132" i="5"/>
  <c r="T132" i="5" s="1"/>
  <c r="R132" i="5"/>
  <c r="U131" i="5"/>
  <c r="T131" i="5"/>
  <c r="S131" i="5"/>
  <c r="R131" i="5"/>
  <c r="U130" i="5"/>
  <c r="S130" i="5"/>
  <c r="T130" i="5" s="1"/>
  <c r="R130" i="5"/>
  <c r="U129" i="5"/>
  <c r="T129" i="5"/>
  <c r="S129" i="5"/>
  <c r="R129" i="5"/>
  <c r="U128" i="5"/>
  <c r="S128" i="5"/>
  <c r="T128" i="5" s="1"/>
  <c r="R128" i="5"/>
  <c r="U126" i="5"/>
  <c r="T126" i="5"/>
  <c r="S126" i="5"/>
  <c r="R126" i="5"/>
  <c r="U125" i="5"/>
  <c r="S125" i="5"/>
  <c r="T125" i="5" s="1"/>
  <c r="R125" i="5"/>
  <c r="U124" i="5"/>
  <c r="T124" i="5"/>
  <c r="S124" i="5"/>
  <c r="R124" i="5"/>
  <c r="U123" i="5"/>
  <c r="S123" i="5"/>
  <c r="T123" i="5" s="1"/>
  <c r="R123" i="5"/>
  <c r="U122" i="5"/>
  <c r="T122" i="5"/>
  <c r="S122" i="5"/>
  <c r="R122" i="5"/>
  <c r="U121" i="5"/>
  <c r="S121" i="5"/>
  <c r="T121" i="5" s="1"/>
  <c r="R121" i="5"/>
  <c r="U119" i="5"/>
  <c r="T119" i="5"/>
  <c r="S119" i="5"/>
  <c r="R119" i="5"/>
  <c r="U118" i="5"/>
  <c r="S118" i="5"/>
  <c r="T118" i="5" s="1"/>
  <c r="R118" i="5"/>
  <c r="U117" i="5"/>
  <c r="T117" i="5"/>
  <c r="S117" i="5"/>
  <c r="R117" i="5"/>
  <c r="U116" i="5"/>
  <c r="S116" i="5"/>
  <c r="T116" i="5" s="1"/>
  <c r="R116" i="5"/>
  <c r="U115" i="5"/>
  <c r="T115" i="5"/>
  <c r="S115" i="5"/>
  <c r="R115" i="5"/>
  <c r="U114" i="5"/>
  <c r="S114" i="5"/>
  <c r="T114" i="5" s="1"/>
  <c r="R114" i="5"/>
  <c r="U113" i="5"/>
  <c r="T113" i="5"/>
  <c r="S113" i="5"/>
  <c r="R113" i="5"/>
  <c r="U112" i="5"/>
  <c r="S112" i="5"/>
  <c r="T112" i="5" s="1"/>
  <c r="R112" i="5"/>
  <c r="U109" i="5"/>
  <c r="T109" i="5"/>
  <c r="S109" i="5"/>
  <c r="R109" i="5"/>
  <c r="U108" i="5"/>
  <c r="S108" i="5"/>
  <c r="T108" i="5" s="1"/>
  <c r="R108" i="5"/>
  <c r="U107" i="5"/>
  <c r="T107" i="5"/>
  <c r="S107" i="5"/>
  <c r="R107" i="5"/>
  <c r="U106" i="5"/>
  <c r="S106" i="5"/>
  <c r="T106" i="5" s="1"/>
  <c r="R106" i="5"/>
  <c r="U104" i="5"/>
  <c r="T104" i="5"/>
  <c r="S104" i="5"/>
  <c r="R104" i="5"/>
  <c r="U102" i="5"/>
  <c r="S102" i="5"/>
  <c r="T102" i="5" s="1"/>
  <c r="R102" i="5"/>
  <c r="U101" i="5"/>
  <c r="T101" i="5"/>
  <c r="S101" i="5"/>
  <c r="R101" i="5"/>
  <c r="U100" i="5"/>
  <c r="S100" i="5"/>
  <c r="T100" i="5" s="1"/>
  <c r="R100" i="5"/>
  <c r="U99" i="5"/>
  <c r="T99" i="5"/>
  <c r="S99" i="5"/>
  <c r="R99" i="5"/>
  <c r="U98" i="5"/>
  <c r="S98" i="5"/>
  <c r="T98" i="5" s="1"/>
  <c r="R98" i="5"/>
  <c r="U97" i="5"/>
  <c r="T97" i="5"/>
  <c r="S97" i="5"/>
  <c r="R97" i="5"/>
  <c r="U95" i="5"/>
  <c r="S95" i="5"/>
  <c r="T95" i="5" s="1"/>
  <c r="R95" i="5"/>
  <c r="U94" i="5"/>
  <c r="T94" i="5"/>
  <c r="S94" i="5"/>
  <c r="R94" i="5"/>
  <c r="U93" i="5"/>
  <c r="S93" i="5"/>
  <c r="T93" i="5" s="1"/>
  <c r="R93" i="5"/>
  <c r="U92" i="5"/>
  <c r="T92" i="5"/>
  <c r="S92" i="5"/>
  <c r="R92" i="5"/>
  <c r="U91" i="5"/>
  <c r="S91" i="5"/>
  <c r="T91" i="5" s="1"/>
  <c r="R91" i="5"/>
  <c r="U90" i="5"/>
  <c r="T90" i="5"/>
  <c r="S90" i="5"/>
  <c r="R90" i="5"/>
  <c r="U89" i="5"/>
  <c r="S89" i="5"/>
  <c r="T89" i="5" s="1"/>
  <c r="R89" i="5"/>
  <c r="U88" i="5"/>
  <c r="T88" i="5"/>
  <c r="S88" i="5"/>
  <c r="R88" i="5"/>
  <c r="U87" i="5"/>
  <c r="S87" i="5"/>
  <c r="T87" i="5" s="1"/>
  <c r="R87" i="5"/>
  <c r="U85" i="5"/>
  <c r="T85" i="5"/>
  <c r="S85" i="5"/>
  <c r="R85" i="5"/>
  <c r="U84" i="5"/>
  <c r="S84" i="5"/>
  <c r="T84" i="5" s="1"/>
  <c r="R84" i="5"/>
  <c r="U83" i="5"/>
  <c r="T83" i="5"/>
  <c r="S83" i="5"/>
  <c r="R83" i="5"/>
  <c r="U82" i="5"/>
  <c r="S82" i="5"/>
  <c r="T82" i="5" s="1"/>
  <c r="R82" i="5"/>
  <c r="U81" i="5"/>
  <c r="T81" i="5"/>
  <c r="S81" i="5"/>
  <c r="R81" i="5"/>
  <c r="U80" i="5"/>
  <c r="S80" i="5"/>
  <c r="T80" i="5" s="1"/>
  <c r="R80" i="5"/>
  <c r="U79" i="5"/>
  <c r="T79" i="5"/>
  <c r="S79" i="5"/>
  <c r="R79" i="5"/>
  <c r="U78" i="5"/>
  <c r="S78" i="5"/>
  <c r="T78" i="5" s="1"/>
  <c r="R78" i="5"/>
  <c r="U77" i="5"/>
  <c r="T77" i="5"/>
  <c r="S77" i="5"/>
  <c r="R77" i="5"/>
  <c r="U76" i="5"/>
  <c r="S76" i="5"/>
  <c r="T76" i="5" s="1"/>
  <c r="R76" i="5"/>
  <c r="U75" i="5"/>
  <c r="T75" i="5"/>
  <c r="S75" i="5"/>
  <c r="R75" i="5"/>
  <c r="U73" i="5"/>
  <c r="S73" i="5"/>
  <c r="T73" i="5" s="1"/>
  <c r="R73" i="5"/>
  <c r="U71" i="5"/>
  <c r="T71" i="5"/>
  <c r="S71" i="5"/>
  <c r="R71" i="5"/>
  <c r="U70" i="5"/>
  <c r="S70" i="5"/>
  <c r="T70" i="5" s="1"/>
  <c r="R70" i="5"/>
  <c r="U69" i="5"/>
  <c r="T69" i="5"/>
  <c r="S69" i="5"/>
  <c r="R69" i="5"/>
  <c r="U68" i="5"/>
  <c r="S68" i="5"/>
  <c r="T68" i="5" s="1"/>
  <c r="R68" i="5"/>
  <c r="U67" i="5"/>
  <c r="T67" i="5"/>
  <c r="S67" i="5"/>
  <c r="R67" i="5"/>
  <c r="U66" i="5"/>
  <c r="S66" i="5"/>
  <c r="T66" i="5" s="1"/>
  <c r="R66" i="5"/>
  <c r="U65" i="5"/>
  <c r="T65" i="5"/>
  <c r="S65" i="5"/>
  <c r="R65" i="5"/>
  <c r="U64" i="5"/>
  <c r="S64" i="5"/>
  <c r="T64" i="5" s="1"/>
  <c r="R64" i="5"/>
  <c r="U63" i="5"/>
  <c r="T63" i="5"/>
  <c r="S63" i="5"/>
  <c r="R63" i="5"/>
  <c r="U57" i="5"/>
  <c r="S57" i="5"/>
  <c r="T57" i="5" s="1"/>
  <c r="R57" i="5"/>
  <c r="U56" i="5"/>
  <c r="T56" i="5"/>
  <c r="S56" i="5"/>
  <c r="R56" i="5"/>
  <c r="U55" i="5"/>
  <c r="S55" i="5"/>
  <c r="T55" i="5" s="1"/>
  <c r="R55" i="5"/>
  <c r="U51" i="5"/>
  <c r="T51" i="5"/>
  <c r="S51" i="5"/>
  <c r="R51" i="5"/>
  <c r="U50" i="5"/>
  <c r="S50" i="5"/>
  <c r="T50" i="5" s="1"/>
  <c r="R50" i="5"/>
  <c r="U49" i="5"/>
  <c r="T49" i="5"/>
  <c r="S49" i="5"/>
  <c r="R49" i="5"/>
  <c r="U48" i="5"/>
  <c r="S48" i="5"/>
  <c r="T48" i="5" s="1"/>
  <c r="R48" i="5"/>
  <c r="U47" i="5"/>
  <c r="T47" i="5"/>
  <c r="S47" i="5"/>
  <c r="R47" i="5"/>
  <c r="U46" i="5"/>
  <c r="S46" i="5"/>
  <c r="T46" i="5" s="1"/>
  <c r="R46" i="5"/>
  <c r="U45" i="5"/>
  <c r="T45" i="5"/>
  <c r="S45" i="5"/>
  <c r="R45" i="5"/>
  <c r="U37" i="5"/>
  <c r="S37" i="5"/>
  <c r="T37" i="5" s="1"/>
  <c r="R37" i="5"/>
  <c r="U36" i="5"/>
  <c r="T36" i="5"/>
  <c r="S36" i="5"/>
  <c r="R36" i="5"/>
  <c r="U35" i="5"/>
  <c r="S35" i="5"/>
  <c r="T35" i="5" s="1"/>
  <c r="R35" i="5"/>
  <c r="U29" i="5"/>
  <c r="T29" i="5"/>
  <c r="S29" i="5"/>
  <c r="R29" i="5"/>
  <c r="U28" i="5"/>
  <c r="S28" i="5"/>
  <c r="T28" i="5" s="1"/>
  <c r="R28" i="5"/>
  <c r="U27" i="5"/>
  <c r="T27" i="5"/>
  <c r="S27" i="5"/>
  <c r="R27" i="5"/>
  <c r="U26" i="5"/>
  <c r="S26" i="5"/>
  <c r="T26" i="5" s="1"/>
  <c r="R26" i="5"/>
  <c r="U25" i="5"/>
  <c r="T25" i="5"/>
  <c r="S25" i="5"/>
  <c r="R25" i="5"/>
  <c r="U24" i="5"/>
  <c r="S24" i="5"/>
  <c r="T24" i="5" s="1"/>
  <c r="R24" i="5"/>
  <c r="U23" i="5"/>
  <c r="T23" i="5"/>
  <c r="S23" i="5"/>
  <c r="R23" i="5"/>
  <c r="U22" i="5"/>
  <c r="S22" i="5"/>
  <c r="T22" i="5" s="1"/>
  <c r="R22" i="5"/>
  <c r="U21" i="5"/>
  <c r="T21" i="5"/>
  <c r="S21" i="5"/>
  <c r="R21" i="5"/>
  <c r="U20" i="5"/>
  <c r="S20" i="5"/>
  <c r="T20" i="5" s="1"/>
  <c r="R20" i="5"/>
  <c r="U19" i="5"/>
  <c r="T19" i="5"/>
  <c r="S19" i="5"/>
  <c r="R19" i="5"/>
  <c r="U18" i="5"/>
  <c r="S18" i="5"/>
  <c r="T18" i="5" s="1"/>
  <c r="R18" i="5"/>
  <c r="U17" i="5"/>
  <c r="T17" i="5"/>
  <c r="S17" i="5"/>
  <c r="R17" i="5"/>
  <c r="U16" i="5"/>
  <c r="S16" i="5"/>
  <c r="T16" i="5" s="1"/>
  <c r="R16" i="5"/>
  <c r="U15" i="5"/>
  <c r="T15" i="5"/>
  <c r="S15" i="5"/>
  <c r="R15" i="5"/>
  <c r="U14" i="5"/>
  <c r="S14" i="5"/>
  <c r="T14" i="5" s="1"/>
  <c r="R14" i="5"/>
  <c r="U13" i="5"/>
  <c r="T13" i="5"/>
  <c r="S13" i="5"/>
  <c r="R13" i="5"/>
  <c r="U12" i="5"/>
  <c r="S12" i="5"/>
  <c r="T12" i="5" s="1"/>
  <c r="R12" i="5"/>
  <c r="U11" i="5"/>
  <c r="T11" i="5"/>
  <c r="S11" i="5"/>
  <c r="R11" i="5"/>
  <c r="U10" i="5"/>
  <c r="S10" i="5"/>
  <c r="T10" i="5" s="1"/>
  <c r="R10" i="5"/>
  <c r="U9" i="5"/>
  <c r="T9" i="5"/>
  <c r="S9" i="5"/>
  <c r="R9" i="5"/>
  <c r="U2467" i="5"/>
  <c r="S2467" i="5"/>
  <c r="T2467" i="5" s="1"/>
  <c r="R2467" i="5"/>
  <c r="O2467" i="5"/>
  <c r="D2467" i="5"/>
  <c r="U2466" i="5"/>
  <c r="T2466" i="5"/>
  <c r="S2466" i="5"/>
  <c r="R2466" i="5"/>
  <c r="O2466" i="5"/>
  <c r="D2466" i="5"/>
  <c r="U2465" i="5"/>
  <c r="T2465" i="5"/>
  <c r="S2465" i="5"/>
  <c r="R2465" i="5"/>
  <c r="O2465" i="5"/>
  <c r="D2465" i="5"/>
  <c r="U2464" i="5"/>
  <c r="T2464" i="5"/>
  <c r="S2464" i="5"/>
  <c r="R2464" i="5"/>
  <c r="O2464" i="5"/>
  <c r="D2464" i="5"/>
  <c r="U2461" i="5"/>
  <c r="S2461" i="5"/>
  <c r="T2461" i="5" s="1"/>
  <c r="R2461" i="5"/>
  <c r="O2461" i="5"/>
  <c r="D2461" i="5"/>
  <c r="U2458" i="5"/>
  <c r="T2458" i="5"/>
  <c r="S2458" i="5"/>
  <c r="R2458" i="5"/>
  <c r="F2458" i="5"/>
  <c r="E2458" i="5"/>
  <c r="O2458" i="5" s="1"/>
  <c r="D2458" i="5"/>
  <c r="U2446" i="5"/>
  <c r="S2446" i="5"/>
  <c r="T2446" i="5" s="1"/>
  <c r="R2446" i="5"/>
  <c r="E2446" i="5"/>
  <c r="O2446" i="5" s="1"/>
  <c r="D2446" i="5"/>
  <c r="U2437" i="5"/>
  <c r="S2437" i="5"/>
  <c r="T2437" i="5" s="1"/>
  <c r="R2437" i="5"/>
  <c r="E2437" i="5"/>
  <c r="O2437" i="5" s="1"/>
  <c r="D2437" i="5"/>
  <c r="U2436" i="5"/>
  <c r="S2436" i="5"/>
  <c r="T2436" i="5" s="1"/>
  <c r="R2436" i="5"/>
  <c r="E2436" i="5"/>
  <c r="O2436" i="5" s="1"/>
  <c r="D2436" i="5"/>
  <c r="U2430" i="5"/>
  <c r="S2430" i="5"/>
  <c r="T2430" i="5" s="1"/>
  <c r="R2430" i="5"/>
  <c r="O2430" i="5"/>
  <c r="D2430" i="5"/>
  <c r="U2426" i="5"/>
  <c r="S2426" i="5"/>
  <c r="T2426" i="5" s="1"/>
  <c r="R2426" i="5"/>
  <c r="F2426" i="5"/>
  <c r="E2426" i="5"/>
  <c r="O2426" i="5" s="1"/>
  <c r="D2426" i="5"/>
  <c r="U2421" i="5"/>
  <c r="S2421" i="5"/>
  <c r="T2421" i="5" s="1"/>
  <c r="R2421" i="5"/>
  <c r="O2421" i="5"/>
  <c r="D2421" i="5"/>
  <c r="U2420" i="5"/>
  <c r="S2420" i="5"/>
  <c r="T2420" i="5" s="1"/>
  <c r="R2420" i="5"/>
  <c r="O2420" i="5"/>
  <c r="D2420" i="5"/>
  <c r="U2419" i="5"/>
  <c r="S2419" i="5"/>
  <c r="T2419" i="5" s="1"/>
  <c r="R2419" i="5"/>
  <c r="O2419" i="5"/>
  <c r="D2419" i="5"/>
  <c r="U2418" i="5"/>
  <c r="S2418" i="5"/>
  <c r="T2418" i="5" s="1"/>
  <c r="R2418" i="5"/>
  <c r="O2418" i="5"/>
  <c r="D2418" i="5"/>
  <c r="U2417" i="5"/>
  <c r="S2417" i="5"/>
  <c r="T2417" i="5" s="1"/>
  <c r="R2417" i="5"/>
  <c r="O2417" i="5"/>
  <c r="D2417" i="5"/>
  <c r="U2400" i="5"/>
  <c r="S2400" i="5"/>
  <c r="T2400" i="5" s="1"/>
  <c r="R2400" i="5"/>
  <c r="O2400" i="5"/>
  <c r="D2400" i="5"/>
  <c r="U2399" i="5"/>
  <c r="S2399" i="5"/>
  <c r="T2399" i="5" s="1"/>
  <c r="R2399" i="5"/>
  <c r="O2399" i="5"/>
  <c r="D2399" i="5"/>
  <c r="U2398" i="5"/>
  <c r="S2398" i="5"/>
  <c r="T2398" i="5" s="1"/>
  <c r="R2398" i="5"/>
  <c r="F2398" i="5"/>
  <c r="E2398" i="5"/>
  <c r="O2398" i="5" s="1"/>
  <c r="D2398" i="5"/>
  <c r="U2397" i="5"/>
  <c r="S2397" i="5"/>
  <c r="T2397" i="5" s="1"/>
  <c r="R2397" i="5"/>
  <c r="F2397" i="5"/>
  <c r="E2397" i="5"/>
  <c r="O2397" i="5" s="1"/>
  <c r="D2397" i="5"/>
  <c r="U2394" i="5"/>
  <c r="S2394" i="5"/>
  <c r="T2394" i="5" s="1"/>
  <c r="R2394" i="5"/>
  <c r="G2394" i="5"/>
  <c r="F2394" i="5"/>
  <c r="E2394" i="5"/>
  <c r="O2394" i="5" s="1"/>
  <c r="D2394" i="5"/>
  <c r="U2393" i="5"/>
  <c r="S2393" i="5"/>
  <c r="T2393" i="5" s="1"/>
  <c r="R2393" i="5"/>
  <c r="F2393" i="5"/>
  <c r="E2393" i="5"/>
  <c r="O2393" i="5" s="1"/>
  <c r="D2393" i="5"/>
  <c r="U2392" i="5"/>
  <c r="S2392" i="5"/>
  <c r="T2392" i="5" s="1"/>
  <c r="R2392" i="5"/>
  <c r="F2392" i="5"/>
  <c r="E2392" i="5"/>
  <c r="O2392" i="5" s="1"/>
  <c r="D2392" i="5"/>
  <c r="U2388" i="5"/>
  <c r="T2388" i="5"/>
  <c r="S2388" i="5"/>
  <c r="R2388" i="5"/>
  <c r="O2388" i="5"/>
  <c r="D2388" i="5"/>
  <c r="U2387" i="5"/>
  <c r="T2387" i="5"/>
  <c r="S2387" i="5"/>
  <c r="R2387" i="5"/>
  <c r="O2387" i="5"/>
  <c r="D2387" i="5"/>
  <c r="U2383" i="5"/>
  <c r="T2383" i="5"/>
  <c r="S2383" i="5"/>
  <c r="R2383" i="5"/>
  <c r="O2383" i="5"/>
  <c r="D2383" i="5"/>
  <c r="U2382" i="5"/>
  <c r="S2382" i="5"/>
  <c r="T2382" i="5" s="1"/>
  <c r="R2382" i="5"/>
  <c r="E2382" i="5"/>
  <c r="O2382" i="5" s="1"/>
  <c r="D2382" i="5"/>
  <c r="U2381" i="5"/>
  <c r="T2381" i="5"/>
  <c r="S2381" i="5"/>
  <c r="R2381" i="5"/>
  <c r="F2381" i="5"/>
  <c r="E2381" i="5"/>
  <c r="O2381" i="5" s="1"/>
  <c r="D2381" i="5"/>
  <c r="U2380" i="5"/>
  <c r="S2380" i="5"/>
  <c r="T2380" i="5" s="1"/>
  <c r="R2380" i="5"/>
  <c r="O2380" i="5"/>
  <c r="D2380" i="5"/>
  <c r="U2376" i="5"/>
  <c r="S2376" i="5"/>
  <c r="T2376" i="5" s="1"/>
  <c r="R2376" i="5"/>
  <c r="O2376" i="5"/>
  <c r="D2376" i="5"/>
  <c r="U2375" i="5"/>
  <c r="S2375" i="5"/>
  <c r="T2375" i="5" s="1"/>
  <c r="R2375" i="5"/>
  <c r="O2375" i="5"/>
  <c r="D2375" i="5"/>
  <c r="U2374" i="5"/>
  <c r="S2374" i="5"/>
  <c r="T2374" i="5" s="1"/>
  <c r="R2374" i="5"/>
  <c r="O2374" i="5"/>
  <c r="D2374" i="5"/>
  <c r="U2368" i="5"/>
  <c r="T2368" i="5"/>
  <c r="S2368" i="5"/>
  <c r="R2368" i="5"/>
  <c r="F2368" i="5"/>
  <c r="E2368" i="5"/>
  <c r="O2368" i="5" s="1"/>
  <c r="D2368" i="5"/>
  <c r="U2367" i="5"/>
  <c r="S2367" i="5"/>
  <c r="T2367" i="5" s="1"/>
  <c r="R2367" i="5"/>
  <c r="F2367" i="5"/>
  <c r="E2367" i="5"/>
  <c r="O2367" i="5" s="1"/>
  <c r="D2367" i="5"/>
  <c r="U2366" i="5"/>
  <c r="S2366" i="5"/>
  <c r="T2366" i="5" s="1"/>
  <c r="R2366" i="5"/>
  <c r="O2366" i="5"/>
  <c r="D2366" i="5"/>
  <c r="U2364" i="5"/>
  <c r="S2364" i="5"/>
  <c r="T2364" i="5" s="1"/>
  <c r="R2364" i="5"/>
  <c r="E2364" i="5"/>
  <c r="O2364" i="5" s="1"/>
  <c r="D2364" i="5"/>
  <c r="U2363" i="5"/>
  <c r="S2363" i="5"/>
  <c r="T2363" i="5" s="1"/>
  <c r="R2363" i="5"/>
  <c r="E2363" i="5"/>
  <c r="O2363" i="5" s="1"/>
  <c r="D2363" i="5"/>
  <c r="U2362" i="5"/>
  <c r="S2362" i="5"/>
  <c r="T2362" i="5" s="1"/>
  <c r="R2362" i="5"/>
  <c r="E2362" i="5"/>
  <c r="O2362" i="5" s="1"/>
  <c r="D2362" i="5"/>
  <c r="U2358" i="5"/>
  <c r="T2358" i="5"/>
  <c r="S2358" i="5"/>
  <c r="R2358" i="5"/>
  <c r="O2358" i="5"/>
  <c r="D2358" i="5"/>
  <c r="U2352" i="5"/>
  <c r="T2352" i="5"/>
  <c r="S2352" i="5"/>
  <c r="R2352" i="5"/>
  <c r="O2352" i="5"/>
  <c r="D2352" i="5"/>
  <c r="U2351" i="5"/>
  <c r="T2351" i="5"/>
  <c r="S2351" i="5"/>
  <c r="R2351" i="5"/>
  <c r="F2351" i="5"/>
  <c r="E2351" i="5"/>
  <c r="O2351" i="5" s="1"/>
  <c r="D2351" i="5"/>
  <c r="U2350" i="5"/>
  <c r="S2350" i="5"/>
  <c r="T2350" i="5" s="1"/>
  <c r="R2350" i="5"/>
  <c r="F2350" i="5"/>
  <c r="E2350" i="5"/>
  <c r="O2350" i="5" s="1"/>
  <c r="D2350" i="5"/>
  <c r="U2349" i="5"/>
  <c r="S2349" i="5"/>
  <c r="T2349" i="5" s="1"/>
  <c r="R2349" i="5"/>
  <c r="F2349" i="5"/>
  <c r="E2349" i="5"/>
  <c r="O2349" i="5" s="1"/>
  <c r="D2349" i="5"/>
  <c r="U2348" i="5"/>
  <c r="S2348" i="5"/>
  <c r="T2348" i="5" s="1"/>
  <c r="R2348" i="5"/>
  <c r="E2348" i="5"/>
  <c r="O2348" i="5" s="1"/>
  <c r="D2348" i="5"/>
  <c r="U2342" i="5"/>
  <c r="S2342" i="5"/>
  <c r="T2342" i="5" s="1"/>
  <c r="R2342" i="5"/>
  <c r="O2342" i="5"/>
  <c r="D2342" i="5"/>
  <c r="U2341" i="5"/>
  <c r="S2341" i="5"/>
  <c r="T2341" i="5" s="1"/>
  <c r="R2341" i="5"/>
  <c r="F2341" i="5"/>
  <c r="E2341" i="5"/>
  <c r="O2341" i="5" s="1"/>
  <c r="D2341" i="5"/>
  <c r="U2340" i="5"/>
  <c r="S2340" i="5"/>
  <c r="T2340" i="5" s="1"/>
  <c r="R2340" i="5"/>
  <c r="E2340" i="5"/>
  <c r="O2340" i="5" s="1"/>
  <c r="D2340" i="5"/>
  <c r="U2339" i="5"/>
  <c r="S2339" i="5"/>
  <c r="T2339" i="5" s="1"/>
  <c r="R2339" i="5"/>
  <c r="O2339" i="5"/>
  <c r="D2339" i="5"/>
  <c r="U2338" i="5"/>
  <c r="S2338" i="5"/>
  <c r="T2338" i="5" s="1"/>
  <c r="R2338" i="5"/>
  <c r="E2338" i="5"/>
  <c r="O2338" i="5" s="1"/>
  <c r="D2338" i="5"/>
  <c r="U2330" i="5"/>
  <c r="S2330" i="5"/>
  <c r="T2330" i="5" s="1"/>
  <c r="R2330" i="5"/>
  <c r="O2330" i="5"/>
  <c r="D2330" i="5"/>
  <c r="U2329" i="5"/>
  <c r="S2329" i="5"/>
  <c r="T2329" i="5" s="1"/>
  <c r="R2329" i="5"/>
  <c r="F2329" i="5"/>
  <c r="E2329" i="5"/>
  <c r="O2329" i="5" s="1"/>
  <c r="D2329" i="5"/>
  <c r="U2328" i="5"/>
  <c r="S2328" i="5"/>
  <c r="T2328" i="5" s="1"/>
  <c r="R2328" i="5"/>
  <c r="F2328" i="5"/>
  <c r="E2328" i="5"/>
  <c r="O2328" i="5" s="1"/>
  <c r="D2328" i="5"/>
  <c r="U2320" i="5"/>
  <c r="S2320" i="5"/>
  <c r="T2320" i="5" s="1"/>
  <c r="R2320" i="5"/>
  <c r="O2320" i="5"/>
  <c r="D2320" i="5"/>
  <c r="U2319" i="5"/>
  <c r="S2319" i="5"/>
  <c r="T2319" i="5" s="1"/>
  <c r="R2319" i="5"/>
  <c r="F2319" i="5"/>
  <c r="E2319" i="5"/>
  <c r="O2319" i="5" s="1"/>
  <c r="D2319" i="5"/>
  <c r="U2314" i="5"/>
  <c r="S2314" i="5"/>
  <c r="T2314" i="5" s="1"/>
  <c r="R2314" i="5"/>
  <c r="E2314" i="5"/>
  <c r="O2314" i="5" s="1"/>
  <c r="D2314" i="5"/>
  <c r="U2304" i="5"/>
  <c r="S2304" i="5"/>
  <c r="T2304" i="5" s="1"/>
  <c r="R2304" i="5"/>
  <c r="O2304" i="5"/>
  <c r="D2304" i="5"/>
  <c r="U2303" i="5"/>
  <c r="T2303" i="5"/>
  <c r="S2303" i="5"/>
  <c r="R2303" i="5"/>
  <c r="O2303" i="5"/>
  <c r="D2303" i="5"/>
  <c r="U2301" i="5"/>
  <c r="T2301" i="5"/>
  <c r="S2301" i="5"/>
  <c r="R2301" i="5"/>
  <c r="F2301" i="5"/>
  <c r="E2301" i="5"/>
  <c r="O2301" i="5" s="1"/>
  <c r="D2301" i="5"/>
  <c r="U2297" i="5"/>
  <c r="S2297" i="5"/>
  <c r="T2297" i="5" s="1"/>
  <c r="R2297" i="5"/>
  <c r="O2297" i="5"/>
  <c r="D2297" i="5"/>
  <c r="U2296" i="5"/>
  <c r="S2296" i="5"/>
  <c r="T2296" i="5" s="1"/>
  <c r="R2296" i="5"/>
  <c r="O2296" i="5"/>
  <c r="D2296" i="5"/>
  <c r="U2294" i="5"/>
  <c r="T2294" i="5"/>
  <c r="S2294" i="5"/>
  <c r="R2294" i="5"/>
  <c r="O2294" i="5"/>
  <c r="D2294" i="5"/>
  <c r="U2293" i="5"/>
  <c r="T2293" i="5"/>
  <c r="S2293" i="5"/>
  <c r="R2293" i="5"/>
  <c r="O2293" i="5"/>
  <c r="D2293" i="5"/>
  <c r="U2288" i="5"/>
  <c r="S2288" i="5"/>
  <c r="T2288" i="5" s="1"/>
  <c r="R2288" i="5"/>
  <c r="E2288" i="5"/>
  <c r="O2288" i="5" s="1"/>
  <c r="D2288" i="5"/>
  <c r="U2274" i="5"/>
  <c r="S2274" i="5"/>
  <c r="T2274" i="5" s="1"/>
  <c r="R2274" i="5"/>
  <c r="O2274" i="5"/>
  <c r="D2274" i="5"/>
  <c r="U2273" i="5"/>
  <c r="S2273" i="5"/>
  <c r="T2273" i="5" s="1"/>
  <c r="R2273" i="5"/>
  <c r="E2273" i="5"/>
  <c r="O2273" i="5" s="1"/>
  <c r="D2273" i="5"/>
  <c r="U2270" i="5"/>
  <c r="S2270" i="5"/>
  <c r="T2270" i="5" s="1"/>
  <c r="R2270" i="5"/>
  <c r="E2270" i="5"/>
  <c r="O2270" i="5" s="1"/>
  <c r="D2270" i="5"/>
  <c r="U2258" i="5"/>
  <c r="S2258" i="5"/>
  <c r="T2258" i="5" s="1"/>
  <c r="R2258" i="5"/>
  <c r="O2258" i="5"/>
  <c r="D2258" i="5"/>
  <c r="U2257" i="5"/>
  <c r="T2257" i="5"/>
  <c r="S2257" i="5"/>
  <c r="R2257" i="5"/>
  <c r="F2257" i="5"/>
  <c r="E2257" i="5"/>
  <c r="O2257" i="5" s="1"/>
  <c r="D2257" i="5"/>
  <c r="U2252" i="5"/>
  <c r="S2252" i="5"/>
  <c r="T2252" i="5" s="1"/>
  <c r="R2252" i="5"/>
  <c r="O2252" i="5"/>
  <c r="D2252" i="5"/>
  <c r="U2238" i="5"/>
  <c r="S2238" i="5"/>
  <c r="T2238" i="5" s="1"/>
  <c r="R2238" i="5"/>
  <c r="E2238" i="5"/>
  <c r="O2238" i="5" s="1"/>
  <c r="D2238" i="5"/>
  <c r="U2235" i="5"/>
  <c r="T2235" i="5"/>
  <c r="S2235" i="5"/>
  <c r="R2235" i="5"/>
  <c r="E2235" i="5"/>
  <c r="O2235" i="5" s="1"/>
  <c r="D2235" i="5"/>
  <c r="U2229" i="5"/>
  <c r="S2229" i="5"/>
  <c r="T2229" i="5" s="1"/>
  <c r="R2229" i="5"/>
  <c r="F2229" i="5"/>
  <c r="E2229" i="5"/>
  <c r="O2229" i="5" s="1"/>
  <c r="D2229" i="5"/>
  <c r="U2219" i="5"/>
  <c r="S2219" i="5"/>
  <c r="T2219" i="5" s="1"/>
  <c r="R2219" i="5"/>
  <c r="F2219" i="5"/>
  <c r="E2219" i="5"/>
  <c r="O2219" i="5" s="1"/>
  <c r="D2219" i="5"/>
  <c r="U2215" i="5"/>
  <c r="S2215" i="5"/>
  <c r="T2215" i="5" s="1"/>
  <c r="R2215" i="5"/>
  <c r="F2215" i="5"/>
  <c r="E2215" i="5"/>
  <c r="O2215" i="5" s="1"/>
  <c r="D2215" i="5"/>
  <c r="U2208" i="5"/>
  <c r="S2208" i="5"/>
  <c r="T2208" i="5" s="1"/>
  <c r="R2208" i="5"/>
  <c r="F2208" i="5"/>
  <c r="E2208" i="5"/>
  <c r="O2208" i="5" s="1"/>
  <c r="D2208" i="5"/>
  <c r="U2207" i="5"/>
  <c r="S2207" i="5"/>
  <c r="T2207" i="5" s="1"/>
  <c r="R2207" i="5"/>
  <c r="F2207" i="5"/>
  <c r="E2207" i="5"/>
  <c r="O2207" i="5" s="1"/>
  <c r="D2207" i="5"/>
  <c r="U2197" i="5"/>
  <c r="S2197" i="5"/>
  <c r="T2197" i="5" s="1"/>
  <c r="R2197" i="5"/>
  <c r="F2197" i="5"/>
  <c r="E2197" i="5"/>
  <c r="O2197" i="5" s="1"/>
  <c r="D2197" i="5"/>
  <c r="U2196" i="5"/>
  <c r="S2196" i="5"/>
  <c r="T2196" i="5" s="1"/>
  <c r="R2196" i="5"/>
  <c r="F2196" i="5"/>
  <c r="E2196" i="5"/>
  <c r="O2196" i="5" s="1"/>
  <c r="D2196" i="5"/>
  <c r="U2195" i="5"/>
  <c r="S2195" i="5"/>
  <c r="T2195" i="5" s="1"/>
  <c r="R2195" i="5"/>
  <c r="E2195" i="5"/>
  <c r="O2195" i="5" s="1"/>
  <c r="D2195" i="5"/>
  <c r="U2194" i="5"/>
  <c r="S2194" i="5"/>
  <c r="T2194" i="5" s="1"/>
  <c r="R2194" i="5"/>
  <c r="F2194" i="5"/>
  <c r="E2194" i="5"/>
  <c r="O2194" i="5" s="1"/>
  <c r="D2194" i="5"/>
  <c r="U2190" i="5"/>
  <c r="T2190" i="5"/>
  <c r="S2190" i="5"/>
  <c r="R2190" i="5"/>
  <c r="E2190" i="5"/>
  <c r="O2190" i="5" s="1"/>
  <c r="D2190" i="5"/>
  <c r="U2186" i="5"/>
  <c r="S2186" i="5"/>
  <c r="T2186" i="5" s="1"/>
  <c r="R2186" i="5"/>
  <c r="O2186" i="5"/>
  <c r="D2186" i="5"/>
  <c r="U2181" i="5"/>
  <c r="S2181" i="5"/>
  <c r="T2181" i="5" s="1"/>
  <c r="R2181" i="5"/>
  <c r="O2181" i="5"/>
  <c r="D2181" i="5"/>
  <c r="U2180" i="5"/>
  <c r="S2180" i="5"/>
  <c r="T2180" i="5" s="1"/>
  <c r="R2180" i="5"/>
  <c r="F2180" i="5"/>
  <c r="E2180" i="5"/>
  <c r="O2180" i="5" s="1"/>
  <c r="D2180" i="5"/>
  <c r="U2168" i="5"/>
  <c r="S2168" i="5"/>
  <c r="T2168" i="5" s="1"/>
  <c r="R2168" i="5"/>
  <c r="O2168" i="5"/>
  <c r="D2168" i="5"/>
  <c r="U2167" i="5"/>
  <c r="S2167" i="5"/>
  <c r="T2167" i="5" s="1"/>
  <c r="R2167" i="5"/>
  <c r="O2167" i="5"/>
  <c r="D2167" i="5"/>
  <c r="U2157" i="5"/>
  <c r="S2157" i="5"/>
  <c r="T2157" i="5" s="1"/>
  <c r="R2157" i="5"/>
  <c r="O2157" i="5"/>
  <c r="D2157" i="5"/>
  <c r="U2151" i="5"/>
  <c r="S2151" i="5"/>
  <c r="T2151" i="5" s="1"/>
  <c r="R2151" i="5"/>
  <c r="O2151" i="5"/>
  <c r="D2151" i="5"/>
  <c r="U2138" i="5"/>
  <c r="S2138" i="5"/>
  <c r="T2138" i="5" s="1"/>
  <c r="R2138" i="5"/>
  <c r="O2138" i="5"/>
  <c r="D2138" i="5"/>
  <c r="U2137" i="5"/>
  <c r="S2137" i="5"/>
  <c r="T2137" i="5" s="1"/>
  <c r="R2137" i="5"/>
  <c r="F2137" i="5"/>
  <c r="E2137" i="5"/>
  <c r="O2137" i="5" s="1"/>
  <c r="D2137" i="5"/>
  <c r="U2136" i="5"/>
  <c r="S2136" i="5"/>
  <c r="T2136" i="5" s="1"/>
  <c r="R2136" i="5"/>
  <c r="F2136" i="5"/>
  <c r="E2136" i="5"/>
  <c r="O2136" i="5" s="1"/>
  <c r="D2136" i="5"/>
  <c r="U2122" i="5"/>
  <c r="S2122" i="5"/>
  <c r="T2122" i="5" s="1"/>
  <c r="R2122" i="5"/>
  <c r="O2122" i="5"/>
  <c r="D2122" i="5"/>
  <c r="U2121" i="5"/>
  <c r="S2121" i="5"/>
  <c r="T2121" i="5" s="1"/>
  <c r="R2121" i="5"/>
  <c r="O2121" i="5"/>
  <c r="D2121" i="5"/>
  <c r="U2120" i="5"/>
  <c r="S2120" i="5"/>
  <c r="T2120" i="5" s="1"/>
  <c r="R2120" i="5"/>
  <c r="F2120" i="5"/>
  <c r="E2120" i="5"/>
  <c r="O2120" i="5" s="1"/>
  <c r="D2120" i="5"/>
  <c r="U2119" i="5"/>
  <c r="S2119" i="5"/>
  <c r="T2119" i="5" s="1"/>
  <c r="R2119" i="5"/>
  <c r="F2119" i="5"/>
  <c r="E2119" i="5"/>
  <c r="O2119" i="5" s="1"/>
  <c r="D2119" i="5"/>
  <c r="U2118" i="5"/>
  <c r="S2118" i="5"/>
  <c r="T2118" i="5" s="1"/>
  <c r="R2118" i="5"/>
  <c r="F2118" i="5"/>
  <c r="E2118" i="5"/>
  <c r="O2118" i="5" s="1"/>
  <c r="D2118" i="5"/>
  <c r="U2117" i="5"/>
  <c r="S2117" i="5"/>
  <c r="T2117" i="5" s="1"/>
  <c r="R2117" i="5"/>
  <c r="F2117" i="5"/>
  <c r="E2117" i="5"/>
  <c r="O2117" i="5" s="1"/>
  <c r="D2117" i="5"/>
  <c r="U2116" i="5"/>
  <c r="S2116" i="5"/>
  <c r="T2116" i="5" s="1"/>
  <c r="R2116" i="5"/>
  <c r="O2116" i="5"/>
  <c r="D2116" i="5"/>
  <c r="U2115" i="5"/>
  <c r="S2115" i="5"/>
  <c r="T2115" i="5" s="1"/>
  <c r="R2115" i="5"/>
  <c r="O2115" i="5"/>
  <c r="D2115" i="5"/>
  <c r="U2111" i="5"/>
  <c r="S2111" i="5"/>
  <c r="T2111" i="5" s="1"/>
  <c r="R2111" i="5"/>
  <c r="O2111" i="5"/>
  <c r="D2111" i="5"/>
  <c r="U2110" i="5"/>
  <c r="S2110" i="5"/>
  <c r="T2110" i="5" s="1"/>
  <c r="R2110" i="5"/>
  <c r="O2110" i="5"/>
  <c r="D2110" i="5"/>
  <c r="U2109" i="5"/>
  <c r="S2109" i="5"/>
  <c r="T2109" i="5" s="1"/>
  <c r="R2109" i="5"/>
  <c r="O2109" i="5"/>
  <c r="D2109" i="5"/>
  <c r="U2103" i="5"/>
  <c r="S2103" i="5"/>
  <c r="T2103" i="5" s="1"/>
  <c r="R2103" i="5"/>
  <c r="O2103" i="5"/>
  <c r="D2103" i="5"/>
  <c r="U2102" i="5"/>
  <c r="S2102" i="5"/>
  <c r="T2102" i="5" s="1"/>
  <c r="R2102" i="5"/>
  <c r="F2102" i="5"/>
  <c r="E2102" i="5"/>
  <c r="O2102" i="5" s="1"/>
  <c r="D2102" i="5"/>
  <c r="U1978" i="5"/>
  <c r="S1978" i="5"/>
  <c r="T1978" i="5" s="1"/>
  <c r="R1978" i="5"/>
  <c r="E1978" i="5"/>
  <c r="O1978" i="5" s="1"/>
  <c r="D1978" i="5"/>
  <c r="U1960" i="5"/>
  <c r="S1960" i="5"/>
  <c r="T1960" i="5" s="1"/>
  <c r="R1960" i="5"/>
  <c r="O1960" i="5"/>
  <c r="D1960" i="5"/>
  <c r="U1957" i="5"/>
  <c r="S1957" i="5"/>
  <c r="T1957" i="5" s="1"/>
  <c r="R1957" i="5"/>
  <c r="O1957" i="5"/>
  <c r="D1957" i="5"/>
  <c r="U1956" i="5"/>
  <c r="S1956" i="5"/>
  <c r="T1956" i="5" s="1"/>
  <c r="R1956" i="5"/>
  <c r="F1956" i="5"/>
  <c r="E1956" i="5"/>
  <c r="O1956" i="5" s="1"/>
  <c r="D1956" i="5"/>
  <c r="U1955" i="5"/>
  <c r="S1955" i="5"/>
  <c r="T1955" i="5" s="1"/>
  <c r="R1955" i="5"/>
  <c r="F1955" i="5"/>
  <c r="E1955" i="5"/>
  <c r="O1955" i="5" s="1"/>
  <c r="D1955" i="5"/>
  <c r="U1954" i="5"/>
  <c r="S1954" i="5"/>
  <c r="T1954" i="5" s="1"/>
  <c r="R1954" i="5"/>
  <c r="F1954" i="5"/>
  <c r="E1954" i="5"/>
  <c r="O1954" i="5" s="1"/>
  <c r="D1954" i="5"/>
  <c r="U1935" i="5"/>
  <c r="S1935" i="5"/>
  <c r="T1935" i="5" s="1"/>
  <c r="R1935" i="5"/>
  <c r="O1935" i="5"/>
  <c r="D1935" i="5"/>
  <c r="U1934" i="5"/>
  <c r="S1934" i="5"/>
  <c r="T1934" i="5" s="1"/>
  <c r="R1934" i="5"/>
  <c r="F1934" i="5"/>
  <c r="E1934" i="5"/>
  <c r="O1934" i="5" s="1"/>
  <c r="D1934" i="5"/>
  <c r="U1933" i="5"/>
  <c r="T1933" i="5"/>
  <c r="S1933" i="5"/>
  <c r="R1933" i="5"/>
  <c r="O1933" i="5"/>
  <c r="D1933" i="5"/>
  <c r="U1930" i="5"/>
  <c r="T1930" i="5"/>
  <c r="S1930" i="5"/>
  <c r="R1930" i="5"/>
  <c r="O1930" i="5"/>
  <c r="D1930" i="5"/>
  <c r="U1929" i="5"/>
  <c r="T1929" i="5"/>
  <c r="S1929" i="5"/>
  <c r="R1929" i="5"/>
  <c r="O1929" i="5"/>
  <c r="D1929" i="5"/>
  <c r="U1928" i="5"/>
  <c r="S1928" i="5"/>
  <c r="T1928" i="5" s="1"/>
  <c r="R1928" i="5"/>
  <c r="O1928" i="5"/>
  <c r="D1928" i="5"/>
  <c r="U1927" i="5"/>
  <c r="S1927" i="5"/>
  <c r="T1927" i="5" s="1"/>
  <c r="R1927" i="5"/>
  <c r="O1927" i="5"/>
  <c r="D1927" i="5"/>
  <c r="U1921" i="5"/>
  <c r="S1921" i="5"/>
  <c r="T1921" i="5" s="1"/>
  <c r="R1921" i="5"/>
  <c r="O1921" i="5"/>
  <c r="D1921" i="5"/>
  <c r="U1914" i="5"/>
  <c r="S1914" i="5"/>
  <c r="T1914" i="5" s="1"/>
  <c r="R1914" i="5"/>
  <c r="O1914" i="5"/>
  <c r="D1914" i="5"/>
  <c r="U1908" i="5"/>
  <c r="S1908" i="5"/>
  <c r="T1908" i="5" s="1"/>
  <c r="R1908" i="5"/>
  <c r="O1908" i="5"/>
  <c r="D1908" i="5"/>
  <c r="U1907" i="5"/>
  <c r="T1907" i="5"/>
  <c r="S1907" i="5"/>
  <c r="R1907" i="5"/>
  <c r="F1907" i="5"/>
  <c r="E1907" i="5"/>
  <c r="O1907" i="5" s="1"/>
  <c r="D1907" i="5"/>
  <c r="U1906" i="5"/>
  <c r="T1906" i="5"/>
  <c r="S1906" i="5"/>
  <c r="R1906" i="5"/>
  <c r="F1906" i="5"/>
  <c r="E1906" i="5"/>
  <c r="O1906" i="5" s="1"/>
  <c r="D1906" i="5"/>
  <c r="U1899" i="5"/>
  <c r="T1899" i="5"/>
  <c r="S1899" i="5"/>
  <c r="R1899" i="5"/>
  <c r="E1899" i="5"/>
  <c r="O1899" i="5" s="1"/>
  <c r="D1899" i="5"/>
  <c r="U1898" i="5"/>
  <c r="S1898" i="5"/>
  <c r="T1898" i="5" s="1"/>
  <c r="R1898" i="5"/>
  <c r="O1898" i="5"/>
  <c r="D1898" i="5"/>
  <c r="U1897" i="5"/>
  <c r="S1897" i="5"/>
  <c r="T1897" i="5" s="1"/>
  <c r="R1897" i="5"/>
  <c r="O1897" i="5"/>
  <c r="D1897" i="5"/>
  <c r="U1895" i="5"/>
  <c r="S1895" i="5"/>
  <c r="T1895" i="5" s="1"/>
  <c r="R1895" i="5"/>
  <c r="E1895" i="5"/>
  <c r="O1895" i="5" s="1"/>
  <c r="D1895" i="5"/>
  <c r="U1894" i="5"/>
  <c r="S1894" i="5"/>
  <c r="T1894" i="5" s="1"/>
  <c r="R1894" i="5"/>
  <c r="E1894" i="5"/>
  <c r="O1894" i="5" s="1"/>
  <c r="D1894" i="5"/>
  <c r="U1893" i="5"/>
  <c r="S1893" i="5"/>
  <c r="T1893" i="5" s="1"/>
  <c r="R1893" i="5"/>
  <c r="F1893" i="5"/>
  <c r="E1893" i="5"/>
  <c r="O1893" i="5" s="1"/>
  <c r="D1893" i="5"/>
  <c r="U1890" i="5"/>
  <c r="S1890" i="5"/>
  <c r="T1890" i="5" s="1"/>
  <c r="R1890" i="5"/>
  <c r="F1890" i="5"/>
  <c r="E1890" i="5"/>
  <c r="O1890" i="5" s="1"/>
  <c r="D1890" i="5"/>
  <c r="U1887" i="5"/>
  <c r="S1887" i="5"/>
  <c r="T1887" i="5" s="1"/>
  <c r="R1887" i="5"/>
  <c r="E1887" i="5"/>
  <c r="O1887" i="5" s="1"/>
  <c r="D1887" i="5"/>
  <c r="U1876" i="5"/>
  <c r="S1876" i="5"/>
  <c r="T1876" i="5" s="1"/>
  <c r="R1876" i="5"/>
  <c r="O1876" i="5"/>
  <c r="D1876" i="5"/>
  <c r="U1875" i="5"/>
  <c r="S1875" i="5"/>
  <c r="T1875" i="5" s="1"/>
  <c r="R1875" i="5"/>
  <c r="F1875" i="5"/>
  <c r="E1875" i="5"/>
  <c r="O1875" i="5" s="1"/>
  <c r="D1875" i="5"/>
  <c r="U1869" i="5"/>
  <c r="T1869" i="5"/>
  <c r="S1869" i="5"/>
  <c r="R1869" i="5"/>
  <c r="O1869" i="5"/>
  <c r="D1869" i="5"/>
  <c r="U1868" i="5"/>
  <c r="T1868" i="5"/>
  <c r="S1868" i="5"/>
  <c r="R1868" i="5"/>
  <c r="E1868" i="5"/>
  <c r="O1868" i="5" s="1"/>
  <c r="D1868" i="5"/>
  <c r="U1867" i="5"/>
  <c r="T1867" i="5"/>
  <c r="S1867" i="5"/>
  <c r="R1867" i="5"/>
  <c r="O1867" i="5"/>
  <c r="D1867" i="5"/>
  <c r="U1833" i="5"/>
  <c r="S1833" i="5"/>
  <c r="T1833" i="5" s="1"/>
  <c r="R1833" i="5"/>
  <c r="E1833" i="5"/>
  <c r="O1833" i="5" s="1"/>
  <c r="D1833" i="5"/>
  <c r="U1832" i="5"/>
  <c r="S1832" i="5"/>
  <c r="T1832" i="5" s="1"/>
  <c r="R1832" i="5"/>
  <c r="E1832" i="5"/>
  <c r="O1832" i="5" s="1"/>
  <c r="D1832" i="5"/>
  <c r="U1831" i="5"/>
  <c r="S1831" i="5"/>
  <c r="T1831" i="5" s="1"/>
  <c r="R1831" i="5"/>
  <c r="O1831" i="5"/>
  <c r="D1831" i="5"/>
  <c r="U1828" i="5"/>
  <c r="S1828" i="5"/>
  <c r="T1828" i="5" s="1"/>
  <c r="R1828" i="5"/>
  <c r="O1828" i="5"/>
  <c r="D1828" i="5"/>
  <c r="U1827" i="5"/>
  <c r="S1827" i="5"/>
  <c r="T1827" i="5" s="1"/>
  <c r="R1827" i="5"/>
  <c r="O1827" i="5"/>
  <c r="D1827" i="5"/>
  <c r="U1813" i="5"/>
  <c r="S1813" i="5"/>
  <c r="T1813" i="5" s="1"/>
  <c r="R1813" i="5"/>
  <c r="O1813" i="5"/>
  <c r="D1813" i="5"/>
  <c r="U1812" i="5"/>
  <c r="S1812" i="5"/>
  <c r="T1812" i="5" s="1"/>
  <c r="R1812" i="5"/>
  <c r="E1812" i="5"/>
  <c r="O1812" i="5" s="1"/>
  <c r="D1812" i="5"/>
  <c r="U1811" i="5"/>
  <c r="T1811" i="5"/>
  <c r="S1811" i="5"/>
  <c r="R1811" i="5"/>
  <c r="F1811" i="5"/>
  <c r="E1811" i="5"/>
  <c r="O1811" i="5" s="1"/>
  <c r="D1811" i="5"/>
  <c r="U1810" i="5"/>
  <c r="S1810" i="5"/>
  <c r="T1810" i="5" s="1"/>
  <c r="R1810" i="5"/>
  <c r="O1810" i="5"/>
  <c r="D1810" i="5"/>
  <c r="U1805" i="5"/>
  <c r="S1805" i="5"/>
  <c r="T1805" i="5" s="1"/>
  <c r="R1805" i="5"/>
  <c r="F1805" i="5"/>
  <c r="E1805" i="5"/>
  <c r="O1805" i="5" s="1"/>
  <c r="D1805" i="5"/>
  <c r="U1802" i="5"/>
  <c r="S1802" i="5"/>
  <c r="T1802" i="5" s="1"/>
  <c r="R1802" i="5"/>
  <c r="E1802" i="5"/>
  <c r="O1802" i="5" s="1"/>
  <c r="D1802" i="5"/>
  <c r="U1801" i="5"/>
  <c r="S1801" i="5"/>
  <c r="T1801" i="5" s="1"/>
  <c r="R1801" i="5"/>
  <c r="O1801" i="5"/>
  <c r="D1801" i="5"/>
  <c r="U1800" i="5"/>
  <c r="S1800" i="5"/>
  <c r="T1800" i="5" s="1"/>
  <c r="R1800" i="5"/>
  <c r="O1800" i="5"/>
  <c r="D1800" i="5"/>
  <c r="U1796" i="5"/>
  <c r="S1796" i="5"/>
  <c r="T1796" i="5" s="1"/>
  <c r="R1796" i="5"/>
  <c r="O1796" i="5"/>
  <c r="D1796" i="5"/>
  <c r="U1793" i="5"/>
  <c r="S1793" i="5"/>
  <c r="T1793" i="5" s="1"/>
  <c r="R1793" i="5"/>
  <c r="E1793" i="5"/>
  <c r="O1793" i="5" s="1"/>
  <c r="D1793" i="5"/>
  <c r="U1787" i="5"/>
  <c r="S1787" i="5"/>
  <c r="T1787" i="5" s="1"/>
  <c r="R1787" i="5"/>
  <c r="O1787" i="5"/>
  <c r="D1787" i="5"/>
  <c r="U1786" i="5"/>
  <c r="S1786" i="5"/>
  <c r="T1786" i="5" s="1"/>
  <c r="R1786" i="5"/>
  <c r="F1786" i="5"/>
  <c r="E1786" i="5"/>
  <c r="O1786" i="5" s="1"/>
  <c r="D1786" i="5"/>
  <c r="U1785" i="5"/>
  <c r="S1785" i="5"/>
  <c r="T1785" i="5" s="1"/>
  <c r="R1785" i="5"/>
  <c r="F1785" i="5"/>
  <c r="E1785" i="5"/>
  <c r="O1785" i="5" s="1"/>
  <c r="D1785" i="5"/>
  <c r="U1783" i="5"/>
  <c r="T1783" i="5"/>
  <c r="S1783" i="5"/>
  <c r="R1783" i="5"/>
  <c r="O1783" i="5"/>
  <c r="D1783" i="5"/>
  <c r="U1782" i="5"/>
  <c r="T1782" i="5"/>
  <c r="S1782" i="5"/>
  <c r="R1782" i="5"/>
  <c r="O1782" i="5"/>
  <c r="D1782" i="5"/>
  <c r="U1781" i="5"/>
  <c r="T1781" i="5"/>
  <c r="S1781" i="5"/>
  <c r="R1781" i="5"/>
  <c r="E1781" i="5"/>
  <c r="O1781" i="5" s="1"/>
  <c r="D1781" i="5"/>
  <c r="U1780" i="5"/>
  <c r="S1780" i="5"/>
  <c r="T1780" i="5" s="1"/>
  <c r="R1780" i="5"/>
  <c r="E1780" i="5"/>
  <c r="O1780" i="5" s="1"/>
  <c r="D1780" i="5"/>
  <c r="U1779" i="5"/>
  <c r="S1779" i="5"/>
  <c r="T1779" i="5" s="1"/>
  <c r="R1779" i="5"/>
  <c r="O1779" i="5"/>
  <c r="D1779" i="5"/>
  <c r="U1777" i="5"/>
  <c r="S1777" i="5"/>
  <c r="T1777" i="5" s="1"/>
  <c r="R1777" i="5"/>
  <c r="O1777" i="5"/>
  <c r="D1777" i="5"/>
  <c r="U1776" i="5"/>
  <c r="S1776" i="5"/>
  <c r="T1776" i="5" s="1"/>
  <c r="R1776" i="5"/>
  <c r="E1776" i="5"/>
  <c r="O1776" i="5" s="1"/>
  <c r="D1776" i="5"/>
  <c r="U1775" i="5"/>
  <c r="S1775" i="5"/>
  <c r="T1775" i="5" s="1"/>
  <c r="R1775" i="5"/>
  <c r="E1775" i="5"/>
  <c r="O1775" i="5" s="1"/>
  <c r="D1775" i="5"/>
  <c r="U1774" i="5"/>
  <c r="S1774" i="5"/>
  <c r="T1774" i="5" s="1"/>
  <c r="R1774" i="5"/>
  <c r="E1774" i="5"/>
  <c r="O1774" i="5" s="1"/>
  <c r="D1774" i="5"/>
  <c r="U1772" i="5"/>
  <c r="S1772" i="5"/>
  <c r="T1772" i="5" s="1"/>
  <c r="R1772" i="5"/>
  <c r="O1772" i="5"/>
  <c r="D1772" i="5"/>
  <c r="U1771" i="5"/>
  <c r="S1771" i="5"/>
  <c r="T1771" i="5" s="1"/>
  <c r="R1771" i="5"/>
  <c r="O1771" i="5"/>
  <c r="D1771" i="5"/>
  <c r="U1770" i="5"/>
  <c r="S1770" i="5"/>
  <c r="T1770" i="5" s="1"/>
  <c r="R1770" i="5"/>
  <c r="O1770" i="5"/>
  <c r="D1770" i="5"/>
  <c r="U1769" i="5"/>
  <c r="S1769" i="5"/>
  <c r="T1769" i="5" s="1"/>
  <c r="R1769" i="5"/>
  <c r="O1769" i="5"/>
  <c r="D1769" i="5"/>
  <c r="U1768" i="5"/>
  <c r="S1768" i="5"/>
  <c r="T1768" i="5" s="1"/>
  <c r="R1768" i="5"/>
  <c r="O1768" i="5"/>
  <c r="D1768" i="5"/>
  <c r="U1767" i="5"/>
  <c r="T1767" i="5"/>
  <c r="S1767" i="5"/>
  <c r="R1767" i="5"/>
  <c r="O1767" i="5"/>
  <c r="D1767" i="5"/>
  <c r="U1755" i="5"/>
  <c r="S1755" i="5"/>
  <c r="T1755" i="5" s="1"/>
  <c r="R1755" i="5"/>
  <c r="E1755" i="5"/>
  <c r="O1755" i="5" s="1"/>
  <c r="D1755" i="5"/>
  <c r="U1754" i="5"/>
  <c r="S1754" i="5"/>
  <c r="T1754" i="5" s="1"/>
  <c r="R1754" i="5"/>
  <c r="E1754" i="5"/>
  <c r="O1754" i="5" s="1"/>
  <c r="D1754" i="5"/>
  <c r="U1748" i="5"/>
  <c r="S1748" i="5"/>
  <c r="T1748" i="5" s="1"/>
  <c r="R1748" i="5"/>
  <c r="O1748" i="5"/>
  <c r="D1748" i="5"/>
  <c r="U1747" i="5"/>
  <c r="S1747" i="5"/>
  <c r="T1747" i="5" s="1"/>
  <c r="R1747" i="5"/>
  <c r="O1747" i="5"/>
  <c r="D1747" i="5"/>
  <c r="U1746" i="5"/>
  <c r="S1746" i="5"/>
  <c r="T1746" i="5" s="1"/>
  <c r="R1746" i="5"/>
  <c r="O1746" i="5"/>
  <c r="D1746" i="5"/>
  <c r="U1745" i="5"/>
  <c r="S1745" i="5"/>
  <c r="T1745" i="5" s="1"/>
  <c r="R1745" i="5"/>
  <c r="O1745" i="5"/>
  <c r="D1745" i="5"/>
  <c r="U1744" i="5"/>
  <c r="S1744" i="5"/>
  <c r="T1744" i="5" s="1"/>
  <c r="R1744" i="5"/>
  <c r="O1744" i="5"/>
  <c r="D1744" i="5"/>
  <c r="U1743" i="5"/>
  <c r="S1743" i="5"/>
  <c r="T1743" i="5" s="1"/>
  <c r="R1743" i="5"/>
  <c r="O1743" i="5"/>
  <c r="D1743" i="5"/>
  <c r="U1740" i="5"/>
  <c r="S1740" i="5"/>
  <c r="T1740" i="5" s="1"/>
  <c r="R1740" i="5"/>
  <c r="F1740" i="5"/>
  <c r="E1740" i="5"/>
  <c r="O1740" i="5" s="1"/>
  <c r="D1740" i="5"/>
  <c r="U1737" i="5"/>
  <c r="S1737" i="5"/>
  <c r="T1737" i="5" s="1"/>
  <c r="R1737" i="5"/>
  <c r="E1737" i="5"/>
  <c r="O1737" i="5" s="1"/>
  <c r="D1737" i="5"/>
  <c r="U1735" i="5"/>
  <c r="S1735" i="5"/>
  <c r="T1735" i="5" s="1"/>
  <c r="R1735" i="5"/>
  <c r="O1735" i="5"/>
  <c r="D1735" i="5"/>
  <c r="U1734" i="5"/>
  <c r="S1734" i="5"/>
  <c r="T1734" i="5" s="1"/>
  <c r="R1734" i="5"/>
  <c r="E1734" i="5"/>
  <c r="O1734" i="5" s="1"/>
  <c r="D1734" i="5"/>
  <c r="U1732" i="5"/>
  <c r="S1732" i="5"/>
  <c r="T1732" i="5" s="1"/>
  <c r="R1732" i="5"/>
  <c r="O1732" i="5"/>
  <c r="D1732" i="5"/>
  <c r="U1731" i="5"/>
  <c r="S1731" i="5"/>
  <c r="T1731" i="5" s="1"/>
  <c r="R1731" i="5"/>
  <c r="E1731" i="5"/>
  <c r="O1731" i="5" s="1"/>
  <c r="D1731" i="5"/>
  <c r="U1730" i="5"/>
  <c r="S1730" i="5"/>
  <c r="T1730" i="5" s="1"/>
  <c r="R1730" i="5"/>
  <c r="E1730" i="5"/>
  <c r="O1730" i="5" s="1"/>
  <c r="D1730" i="5"/>
  <c r="U1729" i="5"/>
  <c r="S1729" i="5"/>
  <c r="T1729" i="5" s="1"/>
  <c r="R1729" i="5"/>
  <c r="O1729" i="5"/>
  <c r="D1729" i="5"/>
  <c r="U1728" i="5"/>
  <c r="S1728" i="5"/>
  <c r="T1728" i="5" s="1"/>
  <c r="R1728" i="5"/>
  <c r="E1728" i="5"/>
  <c r="O1728" i="5" s="1"/>
  <c r="D1728" i="5"/>
  <c r="U1727" i="5"/>
  <c r="T1727" i="5"/>
  <c r="S1727" i="5"/>
  <c r="R1727" i="5"/>
  <c r="E1727" i="5"/>
  <c r="O1727" i="5" s="1"/>
  <c r="D1727" i="5"/>
  <c r="U1726" i="5"/>
  <c r="S1726" i="5"/>
  <c r="T1726" i="5" s="1"/>
  <c r="R1726" i="5"/>
  <c r="O1726" i="5"/>
  <c r="D1726" i="5"/>
  <c r="U1725" i="5"/>
  <c r="S1725" i="5"/>
  <c r="T1725" i="5" s="1"/>
  <c r="R1725" i="5"/>
  <c r="F1725" i="5"/>
  <c r="E1725" i="5"/>
  <c r="O1725" i="5" s="1"/>
  <c r="D1725" i="5"/>
  <c r="U1696" i="5"/>
  <c r="S1696" i="5"/>
  <c r="T1696" i="5" s="1"/>
  <c r="R1696" i="5"/>
  <c r="G1696" i="5"/>
  <c r="F1696" i="5"/>
  <c r="E1696" i="5"/>
  <c r="O1696" i="5" s="1"/>
  <c r="D1696" i="5"/>
  <c r="U1695" i="5"/>
  <c r="T1695" i="5"/>
  <c r="S1695" i="5"/>
  <c r="R1695" i="5"/>
  <c r="E1695" i="5"/>
  <c r="O1695" i="5" s="1"/>
  <c r="D1695" i="5"/>
  <c r="U1693" i="5"/>
  <c r="S1693" i="5"/>
  <c r="T1693" i="5" s="1"/>
  <c r="R1693" i="5"/>
  <c r="O1693" i="5"/>
  <c r="D1693" i="5"/>
  <c r="U1681" i="5"/>
  <c r="S1681" i="5"/>
  <c r="T1681" i="5" s="1"/>
  <c r="R1681" i="5"/>
  <c r="E1681" i="5"/>
  <c r="O1681" i="5" s="1"/>
  <c r="D1681" i="5"/>
  <c r="U1677" i="5"/>
  <c r="T1677" i="5"/>
  <c r="S1677" i="5"/>
  <c r="R1677" i="5"/>
  <c r="O1677" i="5"/>
  <c r="D1677" i="5"/>
  <c r="U1676" i="5"/>
  <c r="T1676" i="5"/>
  <c r="S1676" i="5"/>
  <c r="R1676" i="5"/>
  <c r="E1676" i="5"/>
  <c r="O1676" i="5" s="1"/>
  <c r="D1676" i="5"/>
  <c r="U1669" i="5"/>
  <c r="S1669" i="5"/>
  <c r="T1669" i="5" s="1"/>
  <c r="R1669" i="5"/>
  <c r="O1669" i="5"/>
  <c r="D1669" i="5"/>
  <c r="U1667" i="5"/>
  <c r="S1667" i="5"/>
  <c r="T1667" i="5" s="1"/>
  <c r="R1667" i="5"/>
  <c r="F1667" i="5"/>
  <c r="E1667" i="5"/>
  <c r="O1667" i="5" s="1"/>
  <c r="D1667" i="5"/>
  <c r="U1666" i="5"/>
  <c r="S1666" i="5"/>
  <c r="T1666" i="5" s="1"/>
  <c r="R1666" i="5"/>
  <c r="E1666" i="5"/>
  <c r="O1666" i="5" s="1"/>
  <c r="D1666" i="5"/>
  <c r="U1665" i="5"/>
  <c r="S1665" i="5"/>
  <c r="T1665" i="5" s="1"/>
  <c r="R1665" i="5"/>
  <c r="E1665" i="5"/>
  <c r="O1665" i="5" s="1"/>
  <c r="D1665" i="5"/>
  <c r="U1664" i="5"/>
  <c r="S1664" i="5"/>
  <c r="T1664" i="5" s="1"/>
  <c r="R1664" i="5"/>
  <c r="F1664" i="5"/>
  <c r="E1664" i="5"/>
  <c r="O1664" i="5" s="1"/>
  <c r="D1664" i="5"/>
  <c r="U1662" i="5"/>
  <c r="S1662" i="5"/>
  <c r="T1662" i="5" s="1"/>
  <c r="R1662" i="5"/>
  <c r="E1662" i="5"/>
  <c r="O1662" i="5" s="1"/>
  <c r="D1662" i="5"/>
  <c r="U1660" i="5"/>
  <c r="T1660" i="5"/>
  <c r="S1660" i="5"/>
  <c r="R1660" i="5"/>
  <c r="E1660" i="5"/>
  <c r="O1660" i="5" s="1"/>
  <c r="D1660" i="5"/>
  <c r="U1659" i="5"/>
  <c r="S1659" i="5"/>
  <c r="T1659" i="5" s="1"/>
  <c r="R1659" i="5"/>
  <c r="F1659" i="5"/>
  <c r="E1659" i="5"/>
  <c r="O1659" i="5" s="1"/>
  <c r="D1659" i="5"/>
  <c r="U1658" i="5"/>
  <c r="S1658" i="5"/>
  <c r="T1658" i="5" s="1"/>
  <c r="R1658" i="5"/>
  <c r="F1658" i="5"/>
  <c r="E1658" i="5"/>
  <c r="O1658" i="5" s="1"/>
  <c r="D1658" i="5"/>
  <c r="U1657" i="5"/>
  <c r="S1657" i="5"/>
  <c r="T1657" i="5" s="1"/>
  <c r="R1657" i="5"/>
  <c r="E1657" i="5"/>
  <c r="O1657" i="5" s="1"/>
  <c r="D1657" i="5"/>
  <c r="U1656" i="5"/>
  <c r="S1656" i="5"/>
  <c r="T1656" i="5" s="1"/>
  <c r="R1656" i="5"/>
  <c r="O1656" i="5"/>
  <c r="D1656" i="5"/>
  <c r="U1652" i="5"/>
  <c r="S1652" i="5"/>
  <c r="T1652" i="5" s="1"/>
  <c r="R1652" i="5"/>
  <c r="E1652" i="5"/>
  <c r="O1652" i="5" s="1"/>
  <c r="D1652" i="5"/>
  <c r="U1651" i="5"/>
  <c r="S1651" i="5"/>
  <c r="T1651" i="5" s="1"/>
  <c r="R1651" i="5"/>
  <c r="E1651" i="5"/>
  <c r="O1651" i="5" s="1"/>
  <c r="D1651" i="5"/>
  <c r="U1632" i="5"/>
  <c r="S1632" i="5"/>
  <c r="T1632" i="5" s="1"/>
  <c r="R1632" i="5"/>
  <c r="F1632" i="5"/>
  <c r="E1632" i="5"/>
  <c r="O1632" i="5" s="1"/>
  <c r="D1632" i="5"/>
  <c r="U1627" i="5"/>
  <c r="T1627" i="5"/>
  <c r="S1627" i="5"/>
  <c r="R1627" i="5"/>
  <c r="F1627" i="5"/>
  <c r="E1627" i="5"/>
  <c r="O1627" i="5" s="1"/>
  <c r="D1627" i="5"/>
  <c r="U1590" i="5"/>
  <c r="S1590" i="5"/>
  <c r="T1590" i="5" s="1"/>
  <c r="R1590" i="5"/>
  <c r="O1590" i="5"/>
  <c r="D1590" i="5"/>
  <c r="U1589" i="5"/>
  <c r="S1589" i="5"/>
  <c r="T1589" i="5" s="1"/>
  <c r="R1589" i="5"/>
  <c r="O1589" i="5"/>
  <c r="D1589" i="5"/>
  <c r="U1588" i="5"/>
  <c r="T1588" i="5"/>
  <c r="S1588" i="5"/>
  <c r="R1588" i="5"/>
  <c r="F1588" i="5"/>
  <c r="E1588" i="5"/>
  <c r="O1588" i="5" s="1"/>
  <c r="D1588" i="5"/>
  <c r="U1587" i="5"/>
  <c r="T1587" i="5"/>
  <c r="S1587" i="5"/>
  <c r="R1587" i="5"/>
  <c r="O1587" i="5"/>
  <c r="D1587" i="5"/>
  <c r="U1586" i="5"/>
  <c r="T1586" i="5"/>
  <c r="S1586" i="5"/>
  <c r="R1586" i="5"/>
  <c r="E1586" i="5"/>
  <c r="O1586" i="5" s="1"/>
  <c r="D1586" i="5"/>
  <c r="U1585" i="5"/>
  <c r="S1585" i="5"/>
  <c r="T1585" i="5" s="1"/>
  <c r="R1585" i="5"/>
  <c r="E1585" i="5"/>
  <c r="O1585" i="5" s="1"/>
  <c r="D1585" i="5"/>
  <c r="U1575" i="5"/>
  <c r="T1575" i="5"/>
  <c r="S1575" i="5"/>
  <c r="R1575" i="5"/>
  <c r="O1575" i="5"/>
  <c r="D1575" i="5"/>
  <c r="U1574" i="5"/>
  <c r="T1574" i="5"/>
  <c r="S1574" i="5"/>
  <c r="R1574" i="5"/>
  <c r="F1574" i="5"/>
  <c r="E1574" i="5"/>
  <c r="O1574" i="5" s="1"/>
  <c r="D1574" i="5"/>
  <c r="U1563" i="5"/>
  <c r="S1563" i="5"/>
  <c r="T1563" i="5" s="1"/>
  <c r="R1563" i="5"/>
  <c r="F1563" i="5"/>
  <c r="E1563" i="5"/>
  <c r="O1563" i="5" s="1"/>
  <c r="D1563" i="5"/>
  <c r="U1562" i="5"/>
  <c r="S1562" i="5"/>
  <c r="T1562" i="5" s="1"/>
  <c r="R1562" i="5"/>
  <c r="F1562" i="5"/>
  <c r="E1562" i="5"/>
  <c r="O1562" i="5" s="1"/>
  <c r="D1562" i="5"/>
  <c r="U1559" i="5"/>
  <c r="S1559" i="5"/>
  <c r="T1559" i="5" s="1"/>
  <c r="R1559" i="5"/>
  <c r="O1559" i="5"/>
  <c r="D1559" i="5"/>
  <c r="U1558" i="5"/>
  <c r="S1558" i="5"/>
  <c r="T1558" i="5" s="1"/>
  <c r="R1558" i="5"/>
  <c r="E1558" i="5"/>
  <c r="O1558" i="5" s="1"/>
  <c r="D1558" i="5"/>
  <c r="U1554" i="5"/>
  <c r="S1554" i="5"/>
  <c r="T1554" i="5" s="1"/>
  <c r="R1554" i="5"/>
  <c r="F1554" i="5"/>
  <c r="E1554" i="5"/>
  <c r="O1554" i="5" s="1"/>
  <c r="D1554" i="5"/>
  <c r="U1547" i="5"/>
  <c r="S1547" i="5"/>
  <c r="T1547" i="5" s="1"/>
  <c r="R1547" i="5"/>
  <c r="O1547" i="5"/>
  <c r="D1547" i="5"/>
  <c r="U1546" i="5"/>
  <c r="S1546" i="5"/>
  <c r="T1546" i="5" s="1"/>
  <c r="R1546" i="5"/>
  <c r="O1546" i="5"/>
  <c r="D1546" i="5"/>
  <c r="U1545" i="5"/>
  <c r="S1545" i="5"/>
  <c r="T1545" i="5" s="1"/>
  <c r="R1545" i="5"/>
  <c r="O1545" i="5"/>
  <c r="D1545" i="5"/>
  <c r="U1533" i="5"/>
  <c r="S1533" i="5"/>
  <c r="T1533" i="5" s="1"/>
  <c r="R1533" i="5"/>
  <c r="F1533" i="5"/>
  <c r="E1533" i="5"/>
  <c r="O1533" i="5" s="1"/>
  <c r="D1533" i="5"/>
  <c r="U1552" i="5"/>
  <c r="S1552" i="5"/>
  <c r="T1552" i="5" s="1"/>
  <c r="R1552" i="5"/>
  <c r="O1552" i="5"/>
  <c r="D1552" i="5"/>
  <c r="U1551" i="5"/>
  <c r="S1551" i="5"/>
  <c r="T1551" i="5" s="1"/>
  <c r="R1551" i="5"/>
  <c r="E1551" i="5"/>
  <c r="O1551" i="5" s="1"/>
  <c r="D1551" i="5"/>
  <c r="U1519" i="5"/>
  <c r="S1519" i="5"/>
  <c r="T1519" i="5" s="1"/>
  <c r="R1519" i="5"/>
  <c r="O1519" i="5"/>
  <c r="D1519" i="5"/>
  <c r="U1518" i="5"/>
  <c r="T1518" i="5"/>
  <c r="S1518" i="5"/>
  <c r="R1518" i="5"/>
  <c r="F1518" i="5"/>
  <c r="E1518" i="5"/>
  <c r="O1518" i="5" s="1"/>
  <c r="D1518" i="5"/>
  <c r="U1516" i="5"/>
  <c r="S1516" i="5"/>
  <c r="T1516" i="5" s="1"/>
  <c r="R1516" i="5"/>
  <c r="F1516" i="5"/>
  <c r="E1516" i="5"/>
  <c r="O1516" i="5" s="1"/>
  <c r="D1516" i="5"/>
  <c r="U1514" i="5"/>
  <c r="T1514" i="5"/>
  <c r="S1514" i="5"/>
  <c r="R1514" i="5"/>
  <c r="O1514" i="5"/>
  <c r="D1514" i="5"/>
  <c r="U1513" i="5"/>
  <c r="S1513" i="5"/>
  <c r="T1513" i="5" s="1"/>
  <c r="R1513" i="5"/>
  <c r="F1513" i="5"/>
  <c r="E1513" i="5"/>
  <c r="O1513" i="5" s="1"/>
  <c r="D1513" i="5"/>
  <c r="U1511" i="5"/>
  <c r="S1511" i="5"/>
  <c r="T1511" i="5" s="1"/>
  <c r="R1511" i="5"/>
  <c r="E1511" i="5"/>
  <c r="O1511" i="5" s="1"/>
  <c r="D1511" i="5"/>
  <c r="U1510" i="5"/>
  <c r="S1510" i="5"/>
  <c r="T1510" i="5" s="1"/>
  <c r="R1510" i="5"/>
  <c r="O1510" i="5"/>
  <c r="D1510" i="5"/>
  <c r="U1508" i="5"/>
  <c r="S1508" i="5"/>
  <c r="T1508" i="5" s="1"/>
  <c r="R1508" i="5"/>
  <c r="O1508" i="5"/>
  <c r="D1508" i="5"/>
  <c r="U1507" i="5"/>
  <c r="S1507" i="5"/>
  <c r="T1507" i="5" s="1"/>
  <c r="R1507" i="5"/>
  <c r="E1507" i="5"/>
  <c r="O1507" i="5" s="1"/>
  <c r="D1507" i="5"/>
  <c r="U1506" i="5"/>
  <c r="T1506" i="5"/>
  <c r="S1506" i="5"/>
  <c r="R1506" i="5"/>
  <c r="E1506" i="5"/>
  <c r="O1506" i="5" s="1"/>
  <c r="D1506" i="5"/>
  <c r="U1503" i="5"/>
  <c r="T1503" i="5"/>
  <c r="S1503" i="5"/>
  <c r="R1503" i="5"/>
  <c r="O1503" i="5"/>
  <c r="D1503" i="5"/>
  <c r="U1498" i="5"/>
  <c r="S1498" i="5"/>
  <c r="T1498" i="5" s="1"/>
  <c r="R1498" i="5"/>
  <c r="O1498" i="5"/>
  <c r="D1498" i="5"/>
  <c r="U1497" i="5"/>
  <c r="T1497" i="5"/>
  <c r="S1497" i="5"/>
  <c r="R1497" i="5"/>
  <c r="G1497" i="5"/>
  <c r="F1497" i="5"/>
  <c r="E1497" i="5"/>
  <c r="O1497" i="5" s="1"/>
  <c r="D1497" i="5"/>
  <c r="U1493" i="5"/>
  <c r="S1493" i="5"/>
  <c r="T1493" i="5" s="1"/>
  <c r="R1493" i="5"/>
  <c r="O1493" i="5"/>
  <c r="D1493" i="5"/>
  <c r="U1492" i="5"/>
  <c r="S1492" i="5"/>
  <c r="T1492" i="5" s="1"/>
  <c r="R1492" i="5"/>
  <c r="F1492" i="5"/>
  <c r="E1492" i="5"/>
  <c r="O1492" i="5" s="1"/>
  <c r="D1492" i="5"/>
  <c r="U1489" i="5"/>
  <c r="S1489" i="5"/>
  <c r="T1489" i="5" s="1"/>
  <c r="R1489" i="5"/>
  <c r="E1489" i="5"/>
  <c r="O1489" i="5" s="1"/>
  <c r="D1489" i="5"/>
  <c r="U1490" i="5"/>
  <c r="S1490" i="5"/>
  <c r="T1490" i="5" s="1"/>
  <c r="R1490" i="5"/>
  <c r="O1490" i="5"/>
  <c r="D1490" i="5"/>
  <c r="U1487" i="5"/>
  <c r="S1487" i="5"/>
  <c r="T1487" i="5" s="1"/>
  <c r="R1487" i="5"/>
  <c r="E1487" i="5"/>
  <c r="O1487" i="5" s="1"/>
  <c r="D1487" i="5"/>
  <c r="U1484" i="5"/>
  <c r="S1484" i="5"/>
  <c r="T1484" i="5" s="1"/>
  <c r="R1484" i="5"/>
  <c r="O1484" i="5"/>
  <c r="D1484" i="5"/>
  <c r="U1483" i="5"/>
  <c r="T1483" i="5"/>
  <c r="S1483" i="5"/>
  <c r="R1483" i="5"/>
  <c r="E1483" i="5"/>
  <c r="O1483" i="5" s="1"/>
  <c r="D1483" i="5"/>
  <c r="U1482" i="5"/>
  <c r="S1482" i="5"/>
  <c r="T1482" i="5" s="1"/>
  <c r="R1482" i="5"/>
  <c r="O1482" i="5"/>
  <c r="D1482" i="5"/>
  <c r="U1478" i="5"/>
  <c r="S1478" i="5"/>
  <c r="T1478" i="5" s="1"/>
  <c r="R1478" i="5"/>
  <c r="F1478" i="5"/>
  <c r="E1478" i="5"/>
  <c r="O1478" i="5" s="1"/>
  <c r="D1478" i="5"/>
  <c r="U1477" i="5"/>
  <c r="S1477" i="5"/>
  <c r="T1477" i="5" s="1"/>
  <c r="R1477" i="5"/>
  <c r="F1477" i="5"/>
  <c r="E1477" i="5"/>
  <c r="O1477" i="5" s="1"/>
  <c r="D1477" i="5"/>
  <c r="U1468" i="5"/>
  <c r="S1468" i="5"/>
  <c r="T1468" i="5" s="1"/>
  <c r="R1468" i="5"/>
  <c r="O1468" i="5"/>
  <c r="D1468" i="5"/>
  <c r="U1467" i="5"/>
  <c r="T1467" i="5"/>
  <c r="S1467" i="5"/>
  <c r="R1467" i="5"/>
  <c r="O1467" i="5"/>
  <c r="D1467" i="5"/>
  <c r="U1466" i="5"/>
  <c r="S1466" i="5"/>
  <c r="T1466" i="5" s="1"/>
  <c r="R1466" i="5"/>
  <c r="O1466" i="5"/>
  <c r="D1466" i="5"/>
  <c r="U1464" i="5"/>
  <c r="S1464" i="5"/>
  <c r="T1464" i="5" s="1"/>
  <c r="R1464" i="5"/>
  <c r="O1464" i="5"/>
  <c r="D1464" i="5"/>
  <c r="U1463" i="5"/>
  <c r="S1463" i="5"/>
  <c r="T1463" i="5" s="1"/>
  <c r="R1463" i="5"/>
  <c r="G1463" i="5"/>
  <c r="F1463" i="5"/>
  <c r="E1463" i="5"/>
  <c r="O1463" i="5" s="1"/>
  <c r="D1463" i="5"/>
  <c r="U1462" i="5"/>
  <c r="T1462" i="5"/>
  <c r="S1462" i="5"/>
  <c r="R1462" i="5"/>
  <c r="F1462" i="5"/>
  <c r="E1462" i="5"/>
  <c r="O1462" i="5" s="1"/>
  <c r="D1462" i="5"/>
  <c r="U1455" i="5"/>
  <c r="S1455" i="5"/>
  <c r="T1455" i="5" s="1"/>
  <c r="R1455" i="5"/>
  <c r="O1455" i="5"/>
  <c r="D1455" i="5"/>
  <c r="U1454" i="5"/>
  <c r="S1454" i="5"/>
  <c r="T1454" i="5" s="1"/>
  <c r="R1454" i="5"/>
  <c r="F1454" i="5"/>
  <c r="E1454" i="5"/>
  <c r="O1454" i="5" s="1"/>
  <c r="D1454" i="5"/>
  <c r="U1453" i="5"/>
  <c r="T1453" i="5"/>
  <c r="S1453" i="5"/>
  <c r="R1453" i="5"/>
  <c r="O1453" i="5"/>
  <c r="D1453" i="5"/>
  <c r="U1452" i="5"/>
  <c r="S1452" i="5"/>
  <c r="T1452" i="5" s="1"/>
  <c r="R1452" i="5"/>
  <c r="O1452" i="5"/>
  <c r="D1452" i="5"/>
  <c r="U1451" i="5"/>
  <c r="S1451" i="5"/>
  <c r="T1451" i="5" s="1"/>
  <c r="R1451" i="5"/>
  <c r="O1451" i="5"/>
  <c r="D1451" i="5"/>
  <c r="U1450" i="5"/>
  <c r="S1450" i="5"/>
  <c r="T1450" i="5" s="1"/>
  <c r="R1450" i="5"/>
  <c r="O1450" i="5"/>
  <c r="D1450" i="5"/>
  <c r="U1433" i="5"/>
  <c r="S1433" i="5"/>
  <c r="T1433" i="5" s="1"/>
  <c r="R1433" i="5"/>
  <c r="O1433" i="5"/>
  <c r="D1433" i="5"/>
  <c r="U1432" i="5"/>
  <c r="S1432" i="5"/>
  <c r="T1432" i="5" s="1"/>
  <c r="R1432" i="5"/>
  <c r="E1432" i="5"/>
  <c r="O1432" i="5" s="1"/>
  <c r="D1432" i="5"/>
  <c r="U1430" i="5"/>
  <c r="S1430" i="5"/>
  <c r="T1430" i="5" s="1"/>
  <c r="R1430" i="5"/>
  <c r="O1430" i="5"/>
  <c r="D1430" i="5"/>
  <c r="U1429" i="5"/>
  <c r="T1429" i="5"/>
  <c r="S1429" i="5"/>
  <c r="R1429" i="5"/>
  <c r="E1429" i="5"/>
  <c r="O1429" i="5" s="1"/>
  <c r="D1429" i="5"/>
  <c r="U1428" i="5"/>
  <c r="S1428" i="5"/>
  <c r="T1428" i="5" s="1"/>
  <c r="R1428" i="5"/>
  <c r="E1428" i="5"/>
  <c r="O1428" i="5" s="1"/>
  <c r="D1428" i="5"/>
  <c r="U1427" i="5"/>
  <c r="S1427" i="5"/>
  <c r="T1427" i="5" s="1"/>
  <c r="R1427" i="5"/>
  <c r="O1427" i="5"/>
  <c r="D1427" i="5"/>
  <c r="U1425" i="5"/>
  <c r="S1425" i="5"/>
  <c r="T1425" i="5" s="1"/>
  <c r="R1425" i="5"/>
  <c r="F1425" i="5"/>
  <c r="E1425" i="5"/>
  <c r="O1425" i="5" s="1"/>
  <c r="D1425" i="5"/>
  <c r="U1398" i="5"/>
  <c r="S1398" i="5"/>
  <c r="T1398" i="5" s="1"/>
  <c r="R1398" i="5"/>
  <c r="E1398" i="5"/>
  <c r="O1398" i="5" s="1"/>
  <c r="D1398" i="5"/>
  <c r="U1397" i="5"/>
  <c r="S1397" i="5"/>
  <c r="T1397" i="5" s="1"/>
  <c r="R1397" i="5"/>
  <c r="E1397" i="5"/>
  <c r="O1397" i="5" s="1"/>
  <c r="D1397" i="5"/>
  <c r="U1396" i="5"/>
  <c r="S1396" i="5"/>
  <c r="T1396" i="5" s="1"/>
  <c r="R1396" i="5"/>
  <c r="E1396" i="5"/>
  <c r="O1396" i="5" s="1"/>
  <c r="D1396" i="5"/>
  <c r="U1389" i="5"/>
  <c r="S1389" i="5"/>
  <c r="T1389" i="5" s="1"/>
  <c r="R1389" i="5"/>
  <c r="O1389" i="5"/>
  <c r="D1389" i="5"/>
  <c r="U1386" i="5"/>
  <c r="T1386" i="5"/>
  <c r="S1386" i="5"/>
  <c r="R1386" i="5"/>
  <c r="F1386" i="5"/>
  <c r="E1386" i="5"/>
  <c r="O1386" i="5" s="1"/>
  <c r="D1386" i="5"/>
  <c r="U1385" i="5"/>
  <c r="S1385" i="5"/>
  <c r="T1385" i="5" s="1"/>
  <c r="R1385" i="5"/>
  <c r="F1385" i="5"/>
  <c r="E1385" i="5"/>
  <c r="O1385" i="5" s="1"/>
  <c r="D1385" i="5"/>
  <c r="U1384" i="5"/>
  <c r="S1384" i="5"/>
  <c r="T1384" i="5" s="1"/>
  <c r="R1384" i="5"/>
  <c r="O1384" i="5"/>
  <c r="D1384" i="5"/>
  <c r="U1383" i="5"/>
  <c r="S1383" i="5"/>
  <c r="T1383" i="5" s="1"/>
  <c r="R1383" i="5"/>
  <c r="F1383" i="5"/>
  <c r="E1383" i="5"/>
  <c r="O1383" i="5" s="1"/>
  <c r="D1383" i="5"/>
  <c r="U1382" i="5"/>
  <c r="S1382" i="5"/>
  <c r="T1382" i="5" s="1"/>
  <c r="R1382" i="5"/>
  <c r="F1382" i="5"/>
  <c r="E1382" i="5"/>
  <c r="O1382" i="5" s="1"/>
  <c r="D1382" i="5"/>
  <c r="U1381" i="5"/>
  <c r="S1381" i="5"/>
  <c r="T1381" i="5" s="1"/>
  <c r="R1381" i="5"/>
  <c r="O1381" i="5"/>
  <c r="D1381" i="5"/>
  <c r="U1380" i="5"/>
  <c r="S1380" i="5"/>
  <c r="T1380" i="5" s="1"/>
  <c r="R1380" i="5"/>
  <c r="O1380" i="5"/>
  <c r="D1380" i="5"/>
  <c r="U1379" i="5"/>
  <c r="S1379" i="5"/>
  <c r="T1379" i="5" s="1"/>
  <c r="R1379" i="5"/>
  <c r="F1379" i="5"/>
  <c r="E1379" i="5"/>
  <c r="O1379" i="5" s="1"/>
  <c r="D1379" i="5"/>
  <c r="U1378" i="5"/>
  <c r="S1378" i="5"/>
  <c r="T1378" i="5" s="1"/>
  <c r="R1378" i="5"/>
  <c r="F1378" i="5"/>
  <c r="E1378" i="5"/>
  <c r="O1378" i="5" s="1"/>
  <c r="D1378" i="5"/>
  <c r="U1377" i="5"/>
  <c r="S1377" i="5"/>
  <c r="T1377" i="5" s="1"/>
  <c r="R1377" i="5"/>
  <c r="F1377" i="5"/>
  <c r="E1377" i="5"/>
  <c r="O1377" i="5" s="1"/>
  <c r="D1377" i="5"/>
  <c r="U1369" i="5"/>
  <c r="S1369" i="5"/>
  <c r="T1369" i="5" s="1"/>
  <c r="R1369" i="5"/>
  <c r="O1369" i="5"/>
  <c r="F1369" i="5"/>
  <c r="E1369" i="5"/>
  <c r="D1369" i="5"/>
  <c r="U1367" i="5"/>
  <c r="S1367" i="5"/>
  <c r="T1367" i="5" s="1"/>
  <c r="R1367" i="5"/>
  <c r="E1367" i="5"/>
  <c r="O1367" i="5" s="1"/>
  <c r="D1367" i="5"/>
  <c r="U1355" i="5"/>
  <c r="S1355" i="5"/>
  <c r="T1355" i="5" s="1"/>
  <c r="R1355" i="5"/>
  <c r="F1355" i="5"/>
  <c r="E1355" i="5"/>
  <c r="O1355" i="5" s="1"/>
  <c r="D1355" i="5"/>
  <c r="U1354" i="5"/>
  <c r="S1354" i="5"/>
  <c r="T1354" i="5" s="1"/>
  <c r="R1354" i="5"/>
  <c r="O1354" i="5"/>
  <c r="D1354" i="5"/>
  <c r="U1352" i="5"/>
  <c r="S1352" i="5"/>
  <c r="T1352" i="5" s="1"/>
  <c r="R1352" i="5"/>
  <c r="E1352" i="5"/>
  <c r="O1352" i="5" s="1"/>
  <c r="D1352" i="5"/>
  <c r="U1351" i="5"/>
  <c r="S1351" i="5"/>
  <c r="T1351" i="5" s="1"/>
  <c r="R1351" i="5"/>
  <c r="O1351" i="5"/>
  <c r="D1351" i="5"/>
  <c r="U1343" i="5"/>
  <c r="S1343" i="5"/>
  <c r="T1343" i="5" s="1"/>
  <c r="R1343" i="5"/>
  <c r="O1343" i="5"/>
  <c r="D1343" i="5"/>
  <c r="U1342" i="5"/>
  <c r="S1342" i="5"/>
  <c r="T1342" i="5" s="1"/>
  <c r="R1342" i="5"/>
  <c r="F1342" i="5"/>
  <c r="E1342" i="5"/>
  <c r="O1342" i="5" s="1"/>
  <c r="D1342" i="5"/>
  <c r="U1341" i="5"/>
  <c r="S1341" i="5"/>
  <c r="T1341" i="5" s="1"/>
  <c r="R1341" i="5"/>
  <c r="F1341" i="5"/>
  <c r="E1341" i="5"/>
  <c r="O1341" i="5" s="1"/>
  <c r="D1341" i="5"/>
  <c r="U1331" i="5"/>
  <c r="S1331" i="5"/>
  <c r="T1331" i="5" s="1"/>
  <c r="R1331" i="5"/>
  <c r="O1331" i="5"/>
  <c r="D1331" i="5"/>
  <c r="U1330" i="5"/>
  <c r="T1330" i="5"/>
  <c r="S1330" i="5"/>
  <c r="R1330" i="5"/>
  <c r="F1330" i="5"/>
  <c r="E1330" i="5"/>
  <c r="O1330" i="5" s="1"/>
  <c r="D1330" i="5"/>
  <c r="U1329" i="5"/>
  <c r="S1329" i="5"/>
  <c r="T1329" i="5" s="1"/>
  <c r="R1329" i="5"/>
  <c r="F1329" i="5"/>
  <c r="E1329" i="5"/>
  <c r="O1329" i="5" s="1"/>
  <c r="D1329" i="5"/>
  <c r="U1328" i="5"/>
  <c r="S1328" i="5"/>
  <c r="T1328" i="5" s="1"/>
  <c r="R1328" i="5"/>
  <c r="E1328" i="5"/>
  <c r="O1328" i="5" s="1"/>
  <c r="D1328" i="5"/>
  <c r="U1326" i="5"/>
  <c r="S1326" i="5"/>
  <c r="T1326" i="5" s="1"/>
  <c r="R1326" i="5"/>
  <c r="O1326" i="5"/>
  <c r="D1326" i="5"/>
  <c r="U1325" i="5"/>
  <c r="T1325" i="5"/>
  <c r="S1325" i="5"/>
  <c r="R1325" i="5"/>
  <c r="E1325" i="5"/>
  <c r="O1325" i="5" s="1"/>
  <c r="D1325" i="5"/>
  <c r="U1319" i="5"/>
  <c r="S1319" i="5"/>
  <c r="T1319" i="5" s="1"/>
  <c r="R1319" i="5"/>
  <c r="F1319" i="5"/>
  <c r="E1319" i="5"/>
  <c r="O1319" i="5" s="1"/>
  <c r="D1319" i="5"/>
  <c r="U1318" i="5"/>
  <c r="S1318" i="5"/>
  <c r="T1318" i="5" s="1"/>
  <c r="R1318" i="5"/>
  <c r="F1318" i="5"/>
  <c r="E1318" i="5"/>
  <c r="O1318" i="5" s="1"/>
  <c r="D1318" i="5"/>
  <c r="U1312" i="5"/>
  <c r="S1312" i="5"/>
  <c r="T1312" i="5" s="1"/>
  <c r="R1312" i="5"/>
  <c r="F1312" i="5"/>
  <c r="E1312" i="5"/>
  <c r="O1312" i="5" s="1"/>
  <c r="D1312" i="5"/>
  <c r="U1309" i="5"/>
  <c r="S1309" i="5"/>
  <c r="T1309" i="5" s="1"/>
  <c r="R1309" i="5"/>
  <c r="O1309" i="5"/>
  <c r="D1309" i="5"/>
  <c r="U1308" i="5"/>
  <c r="S1308" i="5"/>
  <c r="T1308" i="5" s="1"/>
  <c r="R1308" i="5"/>
  <c r="F1308" i="5"/>
  <c r="E1308" i="5"/>
  <c r="O1308" i="5" s="1"/>
  <c r="D1308" i="5"/>
  <c r="U1296" i="5"/>
  <c r="S1296" i="5"/>
  <c r="T1296" i="5" s="1"/>
  <c r="R1296" i="5"/>
  <c r="O1296" i="5"/>
  <c r="D1296" i="5"/>
  <c r="U1293" i="5"/>
  <c r="S1293" i="5"/>
  <c r="T1293" i="5" s="1"/>
  <c r="R1293" i="5"/>
  <c r="O1293" i="5"/>
  <c r="D1293" i="5"/>
  <c r="U1292" i="5"/>
  <c r="S1292" i="5"/>
  <c r="T1292" i="5" s="1"/>
  <c r="R1292" i="5"/>
  <c r="F1292" i="5"/>
  <c r="E1292" i="5"/>
  <c r="O1292" i="5" s="1"/>
  <c r="D1292" i="5"/>
  <c r="U1283" i="5"/>
  <c r="S1283" i="5"/>
  <c r="T1283" i="5" s="1"/>
  <c r="R1283" i="5"/>
  <c r="O1283" i="5"/>
  <c r="D1283" i="5"/>
  <c r="U1278" i="5"/>
  <c r="S1278" i="5"/>
  <c r="T1278" i="5" s="1"/>
  <c r="R1278" i="5"/>
  <c r="F1278" i="5"/>
  <c r="E1278" i="5"/>
  <c r="O1278" i="5" s="1"/>
  <c r="D1278" i="5"/>
  <c r="U1257" i="5"/>
  <c r="S1257" i="5"/>
  <c r="T1257" i="5" s="1"/>
  <c r="R1257" i="5"/>
  <c r="O1257" i="5"/>
  <c r="D1257" i="5"/>
  <c r="U1256" i="5"/>
  <c r="S1256" i="5"/>
  <c r="T1256" i="5" s="1"/>
  <c r="R1256" i="5"/>
  <c r="F1256" i="5"/>
  <c r="E1256" i="5"/>
  <c r="O1256" i="5" s="1"/>
  <c r="D1256" i="5"/>
  <c r="U1253" i="5"/>
  <c r="S1253" i="5"/>
  <c r="T1253" i="5" s="1"/>
  <c r="R1253" i="5"/>
  <c r="F1253" i="5"/>
  <c r="E1253" i="5"/>
  <c r="O1253" i="5" s="1"/>
  <c r="D1253" i="5"/>
  <c r="U1252" i="5"/>
  <c r="S1252" i="5"/>
  <c r="T1252" i="5" s="1"/>
  <c r="R1252" i="5"/>
  <c r="F1252" i="5"/>
  <c r="E1252" i="5"/>
  <c r="O1252" i="5" s="1"/>
  <c r="D1252" i="5"/>
  <c r="U1248" i="5"/>
  <c r="S1248" i="5"/>
  <c r="T1248" i="5" s="1"/>
  <c r="R1248" i="5"/>
  <c r="O1248" i="5"/>
  <c r="D1248" i="5"/>
  <c r="U1247" i="5"/>
  <c r="S1247" i="5"/>
  <c r="T1247" i="5" s="1"/>
  <c r="R1247" i="5"/>
  <c r="F1247" i="5"/>
  <c r="E1247" i="5"/>
  <c r="O1247" i="5" s="1"/>
  <c r="D1247" i="5"/>
  <c r="U1245" i="5"/>
  <c r="S1245" i="5"/>
  <c r="T1245" i="5" s="1"/>
  <c r="R1245" i="5"/>
  <c r="F1245" i="5"/>
  <c r="E1245" i="5"/>
  <c r="O1245" i="5" s="1"/>
  <c r="D1245" i="5"/>
  <c r="U1225" i="5"/>
  <c r="S1225" i="5"/>
  <c r="T1225" i="5" s="1"/>
  <c r="R1225" i="5"/>
  <c r="F1225" i="5"/>
  <c r="E1225" i="5"/>
  <c r="O1225" i="5" s="1"/>
  <c r="D1225" i="5"/>
  <c r="U1224" i="5"/>
  <c r="S1224" i="5"/>
  <c r="T1224" i="5" s="1"/>
  <c r="R1224" i="5"/>
  <c r="F1224" i="5"/>
  <c r="E1224" i="5"/>
  <c r="O1224" i="5" s="1"/>
  <c r="D1224" i="5"/>
  <c r="U1219" i="5"/>
  <c r="T1219" i="5"/>
  <c r="S1219" i="5"/>
  <c r="R1219" i="5"/>
  <c r="O1219" i="5"/>
  <c r="D1219" i="5"/>
  <c r="U1218" i="5"/>
  <c r="S1218" i="5"/>
  <c r="T1218" i="5" s="1"/>
  <c r="R1218" i="5"/>
  <c r="F1218" i="5"/>
  <c r="E1218" i="5"/>
  <c r="O1218" i="5" s="1"/>
  <c r="D1218" i="5"/>
  <c r="U1212" i="5"/>
  <c r="S1212" i="5"/>
  <c r="T1212" i="5" s="1"/>
  <c r="R1212" i="5"/>
  <c r="F1212" i="5"/>
  <c r="E1212" i="5"/>
  <c r="O1212" i="5" s="1"/>
  <c r="D1212" i="5"/>
  <c r="U1210" i="5"/>
  <c r="S1210" i="5"/>
  <c r="T1210" i="5" s="1"/>
  <c r="R1210" i="5"/>
  <c r="O1210" i="5"/>
  <c r="D1210" i="5"/>
  <c r="U1202" i="5"/>
  <c r="S1202" i="5"/>
  <c r="T1202" i="5" s="1"/>
  <c r="R1202" i="5"/>
  <c r="E1202" i="5"/>
  <c r="O1202" i="5" s="1"/>
  <c r="D1202" i="5"/>
  <c r="U1201" i="5"/>
  <c r="T1201" i="5"/>
  <c r="S1201" i="5"/>
  <c r="R1201" i="5"/>
  <c r="E1201" i="5"/>
  <c r="O1201" i="5" s="1"/>
  <c r="D1201" i="5"/>
  <c r="U1199" i="5"/>
  <c r="S1199" i="5"/>
  <c r="T1199" i="5" s="1"/>
  <c r="R1199" i="5"/>
  <c r="O1199" i="5"/>
  <c r="D1199" i="5"/>
  <c r="U1198" i="5"/>
  <c r="S1198" i="5"/>
  <c r="T1198" i="5" s="1"/>
  <c r="R1198" i="5"/>
  <c r="E1198" i="5"/>
  <c r="O1198" i="5" s="1"/>
  <c r="D1198" i="5"/>
  <c r="U1196" i="5"/>
  <c r="S1196" i="5"/>
  <c r="T1196" i="5" s="1"/>
  <c r="R1196" i="5"/>
  <c r="O1196" i="5"/>
  <c r="D1196" i="5"/>
  <c r="U1195" i="5"/>
  <c r="T1195" i="5"/>
  <c r="S1195" i="5"/>
  <c r="R1195" i="5"/>
  <c r="E1195" i="5"/>
  <c r="O1195" i="5" s="1"/>
  <c r="D1195" i="5"/>
  <c r="U1193" i="5"/>
  <c r="S1193" i="5"/>
  <c r="T1193" i="5" s="1"/>
  <c r="R1193" i="5"/>
  <c r="O1193" i="5"/>
  <c r="D1193" i="5"/>
  <c r="U1192" i="5"/>
  <c r="S1192" i="5"/>
  <c r="T1192" i="5" s="1"/>
  <c r="R1192" i="5"/>
  <c r="E1192" i="5"/>
  <c r="O1192" i="5" s="1"/>
  <c r="D1192" i="5"/>
  <c r="U1191" i="5"/>
  <c r="T1191" i="5"/>
  <c r="S1191" i="5"/>
  <c r="R1191" i="5"/>
  <c r="E1191" i="5"/>
  <c r="O1191" i="5" s="1"/>
  <c r="D1191" i="5"/>
  <c r="U1185" i="5"/>
  <c r="S1185" i="5"/>
  <c r="T1185" i="5" s="1"/>
  <c r="R1185" i="5"/>
  <c r="F1185" i="5"/>
  <c r="E1185" i="5"/>
  <c r="O1185" i="5" s="1"/>
  <c r="D1185" i="5"/>
  <c r="U1175" i="5"/>
  <c r="S1175" i="5"/>
  <c r="T1175" i="5" s="1"/>
  <c r="R1175" i="5"/>
  <c r="O1175" i="5"/>
  <c r="D1175" i="5"/>
  <c r="U1174" i="5"/>
  <c r="S1174" i="5"/>
  <c r="T1174" i="5" s="1"/>
  <c r="R1174" i="5"/>
  <c r="F1174" i="5"/>
  <c r="E1174" i="5"/>
  <c r="O1174" i="5" s="1"/>
  <c r="D1174" i="5"/>
  <c r="U1161" i="5"/>
  <c r="S1161" i="5"/>
  <c r="T1161" i="5" s="1"/>
  <c r="R1161" i="5"/>
  <c r="O1161" i="5"/>
  <c r="D1161" i="5"/>
  <c r="U1159" i="5"/>
  <c r="S1159" i="5"/>
  <c r="T1159" i="5" s="1"/>
  <c r="R1159" i="5"/>
  <c r="O1159" i="5"/>
  <c r="D1159" i="5"/>
  <c r="U1157" i="5"/>
  <c r="S1157" i="5"/>
  <c r="T1157" i="5" s="1"/>
  <c r="R1157" i="5"/>
  <c r="F1157" i="5"/>
  <c r="E1157" i="5"/>
  <c r="O1157" i="5" s="1"/>
  <c r="D1157" i="5"/>
  <c r="U1154" i="5"/>
  <c r="S1154" i="5"/>
  <c r="T1154" i="5" s="1"/>
  <c r="R1154" i="5"/>
  <c r="O1154" i="5"/>
  <c r="E1154" i="5"/>
  <c r="D1154" i="5"/>
  <c r="U1153" i="5"/>
  <c r="T1153" i="5"/>
  <c r="S1153" i="5"/>
  <c r="R1153" i="5"/>
  <c r="O1153" i="5"/>
  <c r="D1153" i="5"/>
  <c r="U1152" i="5"/>
  <c r="S1152" i="5"/>
  <c r="T1152" i="5" s="1"/>
  <c r="R1152" i="5"/>
  <c r="F1152" i="5"/>
  <c r="E1152" i="5"/>
  <c r="O1152" i="5" s="1"/>
  <c r="D1152" i="5"/>
  <c r="U1151" i="5"/>
  <c r="S1151" i="5"/>
  <c r="T1151" i="5" s="1"/>
  <c r="R1151" i="5"/>
  <c r="O1151" i="5"/>
  <c r="D1151" i="5"/>
  <c r="U1150" i="5"/>
  <c r="S1150" i="5"/>
  <c r="T1150" i="5" s="1"/>
  <c r="R1150" i="5"/>
  <c r="E1150" i="5"/>
  <c r="O1150" i="5" s="1"/>
  <c r="D1150" i="5"/>
  <c r="U1149" i="5"/>
  <c r="S1149" i="5"/>
  <c r="T1149" i="5" s="1"/>
  <c r="R1149" i="5"/>
  <c r="F1149" i="5"/>
  <c r="E1149" i="5"/>
  <c r="O1149" i="5" s="1"/>
  <c r="D1149" i="5"/>
  <c r="U1148" i="5"/>
  <c r="S1148" i="5"/>
  <c r="T1148" i="5" s="1"/>
  <c r="R1148" i="5"/>
  <c r="O1148" i="5"/>
  <c r="D1148" i="5"/>
  <c r="U1147" i="5"/>
  <c r="S1147" i="5"/>
  <c r="T1147" i="5" s="1"/>
  <c r="R1147" i="5"/>
  <c r="O1147" i="5"/>
  <c r="D1147" i="5"/>
  <c r="U1145" i="5"/>
  <c r="S1145" i="5"/>
  <c r="T1145" i="5" s="1"/>
  <c r="R1145" i="5"/>
  <c r="E1145" i="5"/>
  <c r="O1145" i="5" s="1"/>
  <c r="D1145" i="5"/>
  <c r="U1142" i="5"/>
  <c r="S1142" i="5"/>
  <c r="T1142" i="5" s="1"/>
  <c r="R1142" i="5"/>
  <c r="O1142" i="5"/>
  <c r="D1142" i="5"/>
  <c r="U1141" i="5"/>
  <c r="T1141" i="5"/>
  <c r="S1141" i="5"/>
  <c r="R1141" i="5"/>
  <c r="F1141" i="5"/>
  <c r="E1141" i="5"/>
  <c r="O1141" i="5" s="1"/>
  <c r="D1141" i="5"/>
  <c r="U1140" i="5"/>
  <c r="S1140" i="5"/>
  <c r="T1140" i="5" s="1"/>
  <c r="R1140" i="5"/>
  <c r="F1140" i="5"/>
  <c r="E1140" i="5"/>
  <c r="O1140" i="5" s="1"/>
  <c r="D1140" i="5"/>
  <c r="U1138" i="5"/>
  <c r="T1138" i="5"/>
  <c r="S1138" i="5"/>
  <c r="R1138" i="5"/>
  <c r="F1138" i="5"/>
  <c r="E1138" i="5"/>
  <c r="O1138" i="5" s="1"/>
  <c r="D1138" i="5"/>
  <c r="U1131" i="5"/>
  <c r="S1131" i="5"/>
  <c r="T1131" i="5" s="1"/>
  <c r="R1131" i="5"/>
  <c r="F1131" i="5"/>
  <c r="E1131" i="5"/>
  <c r="O1131" i="5" s="1"/>
  <c r="D1131" i="5"/>
  <c r="U1103" i="5"/>
  <c r="S1103" i="5"/>
  <c r="T1103" i="5" s="1"/>
  <c r="R1103" i="5"/>
  <c r="F1103" i="5"/>
  <c r="E1103" i="5"/>
  <c r="O1103" i="5" s="1"/>
  <c r="D1103" i="5"/>
  <c r="U1102" i="5"/>
  <c r="S1102" i="5"/>
  <c r="T1102" i="5" s="1"/>
  <c r="R1102" i="5"/>
  <c r="F1102" i="5"/>
  <c r="E1102" i="5"/>
  <c r="O1102" i="5" s="1"/>
  <c r="D1102" i="5"/>
  <c r="U1079" i="5"/>
  <c r="T1079" i="5"/>
  <c r="S1079" i="5"/>
  <c r="R1079" i="5"/>
  <c r="F1079" i="5"/>
  <c r="E1079" i="5"/>
  <c r="O1079" i="5" s="1"/>
  <c r="D1079" i="5"/>
  <c r="U1071" i="5"/>
  <c r="S1071" i="5"/>
  <c r="T1071" i="5" s="1"/>
  <c r="R1071" i="5"/>
  <c r="E1071" i="5"/>
  <c r="O1071" i="5" s="1"/>
  <c r="D1071" i="5"/>
  <c r="U1063" i="5"/>
  <c r="S1063" i="5"/>
  <c r="T1063" i="5" s="1"/>
  <c r="R1063" i="5"/>
  <c r="O1063" i="5"/>
  <c r="D1063" i="5"/>
  <c r="U1062" i="5"/>
  <c r="S1062" i="5"/>
  <c r="T1062" i="5" s="1"/>
  <c r="R1062" i="5"/>
  <c r="E1062" i="5"/>
  <c r="O1062" i="5" s="1"/>
  <c r="D1062" i="5"/>
  <c r="U1061" i="5"/>
  <c r="S1061" i="5"/>
  <c r="T1061" i="5" s="1"/>
  <c r="R1061" i="5"/>
  <c r="E1061" i="5"/>
  <c r="O1061" i="5" s="1"/>
  <c r="D1061" i="5"/>
  <c r="U1060" i="5"/>
  <c r="S1060" i="5"/>
  <c r="T1060" i="5" s="1"/>
  <c r="R1060" i="5"/>
  <c r="O1060" i="5"/>
  <c r="D1060" i="5"/>
  <c r="U1058" i="5"/>
  <c r="S1058" i="5"/>
  <c r="T1058" i="5" s="1"/>
  <c r="R1058" i="5"/>
  <c r="O1058" i="5"/>
  <c r="D1058" i="5"/>
  <c r="U1057" i="5"/>
  <c r="S1057" i="5"/>
  <c r="T1057" i="5" s="1"/>
  <c r="R1057" i="5"/>
  <c r="E1057" i="5"/>
  <c r="O1057" i="5" s="1"/>
  <c r="D1057" i="5"/>
  <c r="U1056" i="5"/>
  <c r="T1056" i="5"/>
  <c r="S1056" i="5"/>
  <c r="R1056" i="5"/>
  <c r="O1056" i="5"/>
  <c r="D1056" i="5"/>
  <c r="U1054" i="5"/>
  <c r="S1054" i="5"/>
  <c r="T1054" i="5" s="1"/>
  <c r="R1054" i="5"/>
  <c r="O1054" i="5"/>
  <c r="D1054" i="5"/>
  <c r="U1052" i="5"/>
  <c r="S1052" i="5"/>
  <c r="T1052" i="5" s="1"/>
  <c r="R1052" i="5"/>
  <c r="E1052" i="5"/>
  <c r="O1052" i="5" s="1"/>
  <c r="D1052" i="5"/>
  <c r="U1051" i="5"/>
  <c r="S1051" i="5"/>
  <c r="T1051" i="5" s="1"/>
  <c r="R1051" i="5"/>
  <c r="E1051" i="5"/>
  <c r="O1051" i="5" s="1"/>
  <c r="D1051" i="5"/>
  <c r="U1050" i="5"/>
  <c r="S1050" i="5"/>
  <c r="T1050" i="5" s="1"/>
  <c r="R1050" i="5"/>
  <c r="E1050" i="5"/>
  <c r="O1050" i="5" s="1"/>
  <c r="D1050" i="5"/>
  <c r="U1048" i="5"/>
  <c r="S1048" i="5"/>
  <c r="T1048" i="5" s="1"/>
  <c r="R1048" i="5"/>
  <c r="O1048" i="5"/>
  <c r="D1048" i="5"/>
  <c r="U1041" i="5"/>
  <c r="S1041" i="5"/>
  <c r="T1041" i="5" s="1"/>
  <c r="R1041" i="5"/>
  <c r="O1041" i="5"/>
  <c r="D1041" i="5"/>
  <c r="U1038" i="5"/>
  <c r="S1038" i="5"/>
  <c r="T1038" i="5" s="1"/>
  <c r="R1038" i="5"/>
  <c r="E1038" i="5"/>
  <c r="O1038" i="5" s="1"/>
  <c r="D1038" i="5"/>
  <c r="U1033" i="5"/>
  <c r="S1033" i="5"/>
  <c r="T1033" i="5" s="1"/>
  <c r="R1033" i="5"/>
  <c r="F1033" i="5"/>
  <c r="E1033" i="5"/>
  <c r="O1033" i="5" s="1"/>
  <c r="D1033" i="5"/>
  <c r="U1026" i="5"/>
  <c r="S1026" i="5"/>
  <c r="T1026" i="5" s="1"/>
  <c r="R1026" i="5"/>
  <c r="F1026" i="5"/>
  <c r="E1026" i="5"/>
  <c r="O1026" i="5" s="1"/>
  <c r="D1026" i="5"/>
  <c r="U1025" i="5"/>
  <c r="S1025" i="5"/>
  <c r="T1025" i="5" s="1"/>
  <c r="R1025" i="5"/>
  <c r="F1025" i="5"/>
  <c r="E1025" i="5"/>
  <c r="O1025" i="5" s="1"/>
  <c r="D1025" i="5"/>
  <c r="U1017" i="5"/>
  <c r="S1017" i="5"/>
  <c r="T1017" i="5" s="1"/>
  <c r="R1017" i="5"/>
  <c r="F1017" i="5"/>
  <c r="E1017" i="5"/>
  <c r="O1017" i="5" s="1"/>
  <c r="D1017" i="5"/>
  <c r="U1016" i="5"/>
  <c r="S1016" i="5"/>
  <c r="T1016" i="5" s="1"/>
  <c r="R1016" i="5"/>
  <c r="F1016" i="5"/>
  <c r="E1016" i="5"/>
  <c r="O1016" i="5" s="1"/>
  <c r="D1016" i="5"/>
  <c r="U1014" i="5"/>
  <c r="S1014" i="5"/>
  <c r="T1014" i="5" s="1"/>
  <c r="R1014" i="5"/>
  <c r="F1014" i="5"/>
  <c r="E1014" i="5"/>
  <c r="O1014" i="5" s="1"/>
  <c r="D1014" i="5"/>
  <c r="U1009" i="5"/>
  <c r="S1009" i="5"/>
  <c r="T1009" i="5" s="1"/>
  <c r="R1009" i="5"/>
  <c r="F1009" i="5"/>
  <c r="E1009" i="5"/>
  <c r="O1009" i="5" s="1"/>
  <c r="D1009" i="5"/>
  <c r="U1008" i="5"/>
  <c r="S1008" i="5"/>
  <c r="T1008" i="5" s="1"/>
  <c r="R1008" i="5"/>
  <c r="F1008" i="5"/>
  <c r="E1008" i="5"/>
  <c r="O1008" i="5" s="1"/>
  <c r="D1008" i="5"/>
  <c r="U1007" i="5"/>
  <c r="S1007" i="5"/>
  <c r="T1007" i="5" s="1"/>
  <c r="R1007" i="5"/>
  <c r="F1007" i="5"/>
  <c r="E1007" i="5"/>
  <c r="O1007" i="5" s="1"/>
  <c r="D1007" i="5"/>
  <c r="U1003" i="5"/>
  <c r="S1003" i="5"/>
  <c r="T1003" i="5" s="1"/>
  <c r="R1003" i="5"/>
  <c r="F1003" i="5"/>
  <c r="E1003" i="5"/>
  <c r="O1003" i="5" s="1"/>
  <c r="D1003" i="5"/>
  <c r="U999" i="5"/>
  <c r="S999" i="5"/>
  <c r="T999" i="5" s="1"/>
  <c r="R999" i="5"/>
  <c r="O999" i="5"/>
  <c r="D999" i="5"/>
  <c r="U992" i="5"/>
  <c r="S992" i="5"/>
  <c r="T992" i="5" s="1"/>
  <c r="R992" i="5"/>
  <c r="O992" i="5"/>
  <c r="D992" i="5"/>
  <c r="U991" i="5"/>
  <c r="S991" i="5"/>
  <c r="T991" i="5" s="1"/>
  <c r="R991" i="5"/>
  <c r="E991" i="5"/>
  <c r="O991" i="5" s="1"/>
  <c r="D991" i="5"/>
  <c r="U986" i="5"/>
  <c r="S986" i="5"/>
  <c r="T986" i="5" s="1"/>
  <c r="R986" i="5"/>
  <c r="O986" i="5"/>
  <c r="D986" i="5"/>
  <c r="U985" i="5"/>
  <c r="S985" i="5"/>
  <c r="T985" i="5" s="1"/>
  <c r="R985" i="5"/>
  <c r="E985" i="5"/>
  <c r="O985" i="5" s="1"/>
  <c r="D985" i="5"/>
  <c r="U982" i="5"/>
  <c r="S982" i="5"/>
  <c r="T982" i="5" s="1"/>
  <c r="R982" i="5"/>
  <c r="O982" i="5"/>
  <c r="D982" i="5"/>
  <c r="U981" i="5"/>
  <c r="T981" i="5"/>
  <c r="S981" i="5"/>
  <c r="R981" i="5"/>
  <c r="F981" i="5"/>
  <c r="E981" i="5"/>
  <c r="O981" i="5" s="1"/>
  <c r="D981" i="5"/>
  <c r="U978" i="5"/>
  <c r="S978" i="5"/>
  <c r="T978" i="5" s="1"/>
  <c r="R978" i="5"/>
  <c r="E978" i="5"/>
  <c r="O978" i="5" s="1"/>
  <c r="D978" i="5"/>
  <c r="U977" i="5"/>
  <c r="S977" i="5"/>
  <c r="T977" i="5" s="1"/>
  <c r="R977" i="5"/>
  <c r="E977" i="5"/>
  <c r="O977" i="5" s="1"/>
  <c r="D977" i="5"/>
  <c r="U972" i="5"/>
  <c r="T972" i="5"/>
  <c r="S972" i="5"/>
  <c r="R972" i="5"/>
  <c r="O972" i="5"/>
  <c r="D972" i="5"/>
  <c r="U971" i="5"/>
  <c r="S971" i="5"/>
  <c r="T971" i="5" s="1"/>
  <c r="R971" i="5"/>
  <c r="E971" i="5"/>
  <c r="O971" i="5" s="1"/>
  <c r="D971" i="5"/>
  <c r="U970" i="5"/>
  <c r="S970" i="5"/>
  <c r="T970" i="5" s="1"/>
  <c r="R970" i="5"/>
  <c r="O970" i="5"/>
  <c r="D970" i="5"/>
  <c r="U969" i="5"/>
  <c r="S969" i="5"/>
  <c r="T969" i="5" s="1"/>
  <c r="R969" i="5"/>
  <c r="O969" i="5"/>
  <c r="D969" i="5"/>
  <c r="U968" i="5"/>
  <c r="S968" i="5"/>
  <c r="T968" i="5" s="1"/>
  <c r="R968" i="5"/>
  <c r="O968" i="5"/>
  <c r="D968" i="5"/>
  <c r="U960" i="5"/>
  <c r="S960" i="5"/>
  <c r="T960" i="5" s="1"/>
  <c r="R960" i="5"/>
  <c r="F960" i="5"/>
  <c r="E960" i="5"/>
  <c r="O960" i="5" s="1"/>
  <c r="D960" i="5"/>
  <c r="U959" i="5"/>
  <c r="S959" i="5"/>
  <c r="T959" i="5" s="1"/>
  <c r="R959" i="5"/>
  <c r="F959" i="5"/>
  <c r="E959" i="5"/>
  <c r="O959" i="5" s="1"/>
  <c r="D959" i="5"/>
  <c r="U958" i="5"/>
  <c r="T958" i="5"/>
  <c r="S958" i="5"/>
  <c r="R958" i="5"/>
  <c r="F958" i="5"/>
  <c r="E958" i="5"/>
  <c r="O958" i="5" s="1"/>
  <c r="D958" i="5"/>
  <c r="U955" i="5"/>
  <c r="S955" i="5"/>
  <c r="T955" i="5" s="1"/>
  <c r="R955" i="5"/>
  <c r="O955" i="5"/>
  <c r="D955" i="5"/>
  <c r="U950" i="5"/>
  <c r="S950" i="5"/>
  <c r="T950" i="5" s="1"/>
  <c r="R950" i="5"/>
  <c r="O950" i="5"/>
  <c r="D950" i="5"/>
  <c r="U947" i="5"/>
  <c r="S947" i="5"/>
  <c r="T947" i="5" s="1"/>
  <c r="R947" i="5"/>
  <c r="O947" i="5"/>
  <c r="D947" i="5"/>
  <c r="U945" i="5"/>
  <c r="S945" i="5"/>
  <c r="T945" i="5" s="1"/>
  <c r="R945" i="5"/>
  <c r="E945" i="5"/>
  <c r="O945" i="5" s="1"/>
  <c r="D945" i="5"/>
  <c r="U943" i="5"/>
  <c r="T943" i="5"/>
  <c r="S943" i="5"/>
  <c r="R943" i="5"/>
  <c r="F943" i="5"/>
  <c r="E943" i="5"/>
  <c r="O943" i="5" s="1"/>
  <c r="D943" i="5"/>
  <c r="U942" i="5"/>
  <c r="S942" i="5"/>
  <c r="T942" i="5" s="1"/>
  <c r="R942" i="5"/>
  <c r="E942" i="5"/>
  <c r="O942" i="5" s="1"/>
  <c r="D942" i="5"/>
  <c r="U938" i="5"/>
  <c r="S938" i="5"/>
  <c r="T938" i="5" s="1"/>
  <c r="R938" i="5"/>
  <c r="O938" i="5"/>
  <c r="D938" i="5"/>
  <c r="U929" i="5"/>
  <c r="S929" i="5"/>
  <c r="T929" i="5" s="1"/>
  <c r="R929" i="5"/>
  <c r="O929" i="5"/>
  <c r="D929" i="5"/>
  <c r="U928" i="5"/>
  <c r="S928" i="5"/>
  <c r="T928" i="5" s="1"/>
  <c r="R928" i="5"/>
  <c r="F928" i="5"/>
  <c r="E928" i="5"/>
  <c r="O928" i="5" s="1"/>
  <c r="D928" i="5"/>
  <c r="U927" i="5"/>
  <c r="S927" i="5"/>
  <c r="T927" i="5" s="1"/>
  <c r="R927" i="5"/>
  <c r="F927" i="5"/>
  <c r="E927" i="5"/>
  <c r="O927" i="5" s="1"/>
  <c r="D927" i="5"/>
  <c r="U922" i="5"/>
  <c r="S922" i="5"/>
  <c r="T922" i="5" s="1"/>
  <c r="R922" i="5"/>
  <c r="O922" i="5"/>
  <c r="D922" i="5"/>
  <c r="U921" i="5"/>
  <c r="S921" i="5"/>
  <c r="T921" i="5" s="1"/>
  <c r="R921" i="5"/>
  <c r="E921" i="5"/>
  <c r="O921" i="5" s="1"/>
  <c r="D921" i="5"/>
  <c r="U920" i="5"/>
  <c r="T920" i="5"/>
  <c r="S920" i="5"/>
  <c r="R920" i="5"/>
  <c r="O920" i="5"/>
  <c r="D920" i="5"/>
  <c r="U919" i="5"/>
  <c r="S919" i="5"/>
  <c r="T919" i="5" s="1"/>
  <c r="R919" i="5"/>
  <c r="O919" i="5"/>
  <c r="D919" i="5"/>
  <c r="U918" i="5"/>
  <c r="S918" i="5"/>
  <c r="T918" i="5" s="1"/>
  <c r="R918" i="5"/>
  <c r="O918" i="5"/>
  <c r="D918" i="5"/>
  <c r="U917" i="5"/>
  <c r="T917" i="5"/>
  <c r="S917" i="5"/>
  <c r="R917" i="5"/>
  <c r="O917" i="5"/>
  <c r="D917" i="5"/>
  <c r="U912" i="5"/>
  <c r="S912" i="5"/>
  <c r="T912" i="5" s="1"/>
  <c r="R912" i="5"/>
  <c r="O912" i="5"/>
  <c r="D912" i="5"/>
  <c r="U911" i="5"/>
  <c r="T911" i="5"/>
  <c r="S911" i="5"/>
  <c r="R911" i="5"/>
  <c r="F911" i="5"/>
  <c r="E911" i="5"/>
  <c r="O911" i="5" s="1"/>
  <c r="D911" i="5"/>
  <c r="U910" i="5"/>
  <c r="S910" i="5"/>
  <c r="T910" i="5" s="1"/>
  <c r="R910" i="5"/>
  <c r="G910" i="5"/>
  <c r="F910" i="5"/>
  <c r="E910" i="5"/>
  <c r="O910" i="5" s="1"/>
  <c r="D910" i="5"/>
  <c r="U907" i="5"/>
  <c r="S907" i="5"/>
  <c r="T907" i="5" s="1"/>
  <c r="R907" i="5"/>
  <c r="O907" i="5"/>
  <c r="D907" i="5"/>
  <c r="U902" i="5"/>
  <c r="S902" i="5"/>
  <c r="T902" i="5" s="1"/>
  <c r="R902" i="5"/>
  <c r="F902" i="5"/>
  <c r="E902" i="5"/>
  <c r="O902" i="5" s="1"/>
  <c r="D902" i="5"/>
  <c r="U886" i="5"/>
  <c r="S886" i="5"/>
  <c r="T886" i="5" s="1"/>
  <c r="R886" i="5"/>
  <c r="F886" i="5"/>
  <c r="E886" i="5"/>
  <c r="O886" i="5" s="1"/>
  <c r="D886" i="5"/>
  <c r="U885" i="5"/>
  <c r="S885" i="5"/>
  <c r="T885" i="5" s="1"/>
  <c r="R885" i="5"/>
  <c r="O885" i="5"/>
  <c r="D885" i="5"/>
  <c r="U884" i="5"/>
  <c r="S884" i="5"/>
  <c r="T884" i="5" s="1"/>
  <c r="R884" i="5"/>
  <c r="G884" i="5"/>
  <c r="F884" i="5"/>
  <c r="E884" i="5"/>
  <c r="O884" i="5" s="1"/>
  <c r="D884" i="5"/>
  <c r="U883" i="5"/>
  <c r="S883" i="5"/>
  <c r="T883" i="5" s="1"/>
  <c r="R883" i="5"/>
  <c r="E883" i="5"/>
  <c r="O883" i="5" s="1"/>
  <c r="D883" i="5"/>
  <c r="U882" i="5"/>
  <c r="S882" i="5"/>
  <c r="T882" i="5" s="1"/>
  <c r="R882" i="5"/>
  <c r="E882" i="5"/>
  <c r="O882" i="5" s="1"/>
  <c r="D882" i="5"/>
  <c r="U881" i="5"/>
  <c r="S881" i="5"/>
  <c r="T881" i="5" s="1"/>
  <c r="R881" i="5"/>
  <c r="O881" i="5"/>
  <c r="D881" i="5"/>
  <c r="U873" i="5"/>
  <c r="S873" i="5"/>
  <c r="T873" i="5" s="1"/>
  <c r="R873" i="5"/>
  <c r="O873" i="5"/>
  <c r="D873" i="5"/>
  <c r="U872" i="5"/>
  <c r="S872" i="5"/>
  <c r="T872" i="5" s="1"/>
  <c r="R872" i="5"/>
  <c r="F872" i="5"/>
  <c r="E872" i="5"/>
  <c r="O872" i="5" s="1"/>
  <c r="D872" i="5"/>
  <c r="U869" i="5"/>
  <c r="S869" i="5"/>
  <c r="T869" i="5" s="1"/>
  <c r="R869" i="5"/>
  <c r="F869" i="5"/>
  <c r="E869" i="5"/>
  <c r="O869" i="5" s="1"/>
  <c r="D869" i="5"/>
  <c r="U856" i="5"/>
  <c r="S856" i="5"/>
  <c r="T856" i="5" s="1"/>
  <c r="R856" i="5"/>
  <c r="F856" i="5"/>
  <c r="E856" i="5"/>
  <c r="O856" i="5" s="1"/>
  <c r="D856" i="5"/>
  <c r="U855" i="5"/>
  <c r="S855" i="5"/>
  <c r="T855" i="5" s="1"/>
  <c r="R855" i="5"/>
  <c r="F855" i="5"/>
  <c r="E855" i="5"/>
  <c r="O855" i="5" s="1"/>
  <c r="D855" i="5"/>
  <c r="U854" i="5"/>
  <c r="S854" i="5"/>
  <c r="T854" i="5" s="1"/>
  <c r="R854" i="5"/>
  <c r="F854" i="5"/>
  <c r="E854" i="5"/>
  <c r="O854" i="5" s="1"/>
  <c r="D854" i="5"/>
  <c r="U853" i="5"/>
  <c r="S853" i="5"/>
  <c r="T853" i="5" s="1"/>
  <c r="R853" i="5"/>
  <c r="F853" i="5"/>
  <c r="E853" i="5"/>
  <c r="O853" i="5" s="1"/>
  <c r="D853" i="5"/>
  <c r="U852" i="5"/>
  <c r="S852" i="5"/>
  <c r="T852" i="5" s="1"/>
  <c r="R852" i="5"/>
  <c r="F852" i="5"/>
  <c r="E852" i="5"/>
  <c r="O852" i="5" s="1"/>
  <c r="D852" i="5"/>
  <c r="U851" i="5"/>
  <c r="S851" i="5"/>
  <c r="T851" i="5" s="1"/>
  <c r="R851" i="5"/>
  <c r="O851" i="5"/>
  <c r="D851" i="5"/>
  <c r="U850" i="5"/>
  <c r="S850" i="5"/>
  <c r="T850" i="5" s="1"/>
  <c r="R850" i="5"/>
  <c r="E850" i="5"/>
  <c r="O850" i="5" s="1"/>
  <c r="D850" i="5"/>
  <c r="U849" i="5"/>
  <c r="S849" i="5"/>
  <c r="T849" i="5" s="1"/>
  <c r="R849" i="5"/>
  <c r="E849" i="5"/>
  <c r="O849" i="5" s="1"/>
  <c r="D849" i="5"/>
  <c r="U848" i="5"/>
  <c r="S848" i="5"/>
  <c r="T848" i="5" s="1"/>
  <c r="R848" i="5"/>
  <c r="O848" i="5"/>
  <c r="D848" i="5"/>
  <c r="U847" i="5"/>
  <c r="S847" i="5"/>
  <c r="T847" i="5" s="1"/>
  <c r="R847" i="5"/>
  <c r="O847" i="5"/>
  <c r="D847" i="5"/>
  <c r="U846" i="5"/>
  <c r="S846" i="5"/>
  <c r="T846" i="5" s="1"/>
  <c r="R846" i="5"/>
  <c r="E846" i="5"/>
  <c r="O846" i="5" s="1"/>
  <c r="D846" i="5"/>
  <c r="U845" i="5"/>
  <c r="S845" i="5"/>
  <c r="T845" i="5" s="1"/>
  <c r="R845" i="5"/>
  <c r="O845" i="5"/>
  <c r="D845" i="5"/>
  <c r="U827" i="5"/>
  <c r="S827" i="5"/>
  <c r="T827" i="5" s="1"/>
  <c r="R827" i="5"/>
  <c r="O827" i="5"/>
  <c r="D827" i="5"/>
  <c r="U826" i="5"/>
  <c r="S826" i="5"/>
  <c r="T826" i="5" s="1"/>
  <c r="R826" i="5"/>
  <c r="E826" i="5"/>
  <c r="O826" i="5" s="1"/>
  <c r="D826" i="5"/>
  <c r="U825" i="5"/>
  <c r="S825" i="5"/>
  <c r="T825" i="5" s="1"/>
  <c r="R825" i="5"/>
  <c r="E825" i="5"/>
  <c r="O825" i="5" s="1"/>
  <c r="D825" i="5"/>
  <c r="U824" i="5"/>
  <c r="S824" i="5"/>
  <c r="T824" i="5" s="1"/>
  <c r="R824" i="5"/>
  <c r="F824" i="5"/>
  <c r="E824" i="5"/>
  <c r="O824" i="5" s="1"/>
  <c r="D824" i="5"/>
  <c r="U823" i="5"/>
  <c r="T823" i="5"/>
  <c r="S823" i="5"/>
  <c r="R823" i="5"/>
  <c r="O823" i="5"/>
  <c r="D823" i="5"/>
  <c r="U820" i="5"/>
  <c r="S820" i="5"/>
  <c r="T820" i="5" s="1"/>
  <c r="R820" i="5"/>
  <c r="O820" i="5"/>
  <c r="D820" i="5"/>
  <c r="U819" i="5"/>
  <c r="S819" i="5"/>
  <c r="T819" i="5" s="1"/>
  <c r="R819" i="5"/>
  <c r="O819" i="5"/>
  <c r="D819" i="5"/>
  <c r="U817" i="5"/>
  <c r="S817" i="5"/>
  <c r="T817" i="5" s="1"/>
  <c r="R817" i="5"/>
  <c r="O817" i="5"/>
  <c r="D817" i="5"/>
  <c r="U813" i="5"/>
  <c r="S813" i="5"/>
  <c r="T813" i="5" s="1"/>
  <c r="R813" i="5"/>
  <c r="O813" i="5"/>
  <c r="D813" i="5"/>
  <c r="U812" i="5"/>
  <c r="S812" i="5"/>
  <c r="T812" i="5" s="1"/>
  <c r="R812" i="5"/>
  <c r="E812" i="5"/>
  <c r="O812" i="5" s="1"/>
  <c r="D812" i="5"/>
  <c r="U811" i="5"/>
  <c r="S811" i="5"/>
  <c r="T811" i="5" s="1"/>
  <c r="R811" i="5"/>
  <c r="O811" i="5"/>
  <c r="D811" i="5"/>
  <c r="U799" i="5"/>
  <c r="S799" i="5"/>
  <c r="T799" i="5" s="1"/>
  <c r="R799" i="5"/>
  <c r="O799" i="5"/>
  <c r="D799" i="5"/>
  <c r="U793" i="5"/>
  <c r="S793" i="5"/>
  <c r="T793" i="5" s="1"/>
  <c r="R793" i="5"/>
  <c r="F793" i="5"/>
  <c r="E793" i="5"/>
  <c r="O793" i="5" s="1"/>
  <c r="D793" i="5"/>
  <c r="U792" i="5"/>
  <c r="S792" i="5"/>
  <c r="T792" i="5" s="1"/>
  <c r="R792" i="5"/>
  <c r="F792" i="5"/>
  <c r="E792" i="5"/>
  <c r="O792" i="5" s="1"/>
  <c r="D792" i="5"/>
  <c r="U791" i="5"/>
  <c r="S791" i="5"/>
  <c r="T791" i="5" s="1"/>
  <c r="R791" i="5"/>
  <c r="E791" i="5"/>
  <c r="O791" i="5" s="1"/>
  <c r="D791" i="5"/>
  <c r="U790" i="5"/>
  <c r="S790" i="5"/>
  <c r="T790" i="5" s="1"/>
  <c r="R790" i="5"/>
  <c r="O790" i="5"/>
  <c r="D790" i="5"/>
  <c r="U789" i="5"/>
  <c r="S789" i="5"/>
  <c r="T789" i="5" s="1"/>
  <c r="R789" i="5"/>
  <c r="O789" i="5"/>
  <c r="D789" i="5"/>
  <c r="U780" i="5"/>
  <c r="S780" i="5"/>
  <c r="T780" i="5" s="1"/>
  <c r="R780" i="5"/>
  <c r="F780" i="5"/>
  <c r="E780" i="5"/>
  <c r="O780" i="5" s="1"/>
  <c r="D780" i="5"/>
  <c r="U779" i="5"/>
  <c r="S779" i="5"/>
  <c r="T779" i="5" s="1"/>
  <c r="R779" i="5"/>
  <c r="F779" i="5"/>
  <c r="E779" i="5"/>
  <c r="O779" i="5" s="1"/>
  <c r="D779" i="5"/>
  <c r="U778" i="5"/>
  <c r="S778" i="5"/>
  <c r="T778" i="5" s="1"/>
  <c r="R778" i="5"/>
  <c r="F778" i="5"/>
  <c r="E778" i="5"/>
  <c r="O778" i="5" s="1"/>
  <c r="D778" i="5"/>
  <c r="U777" i="5"/>
  <c r="S777" i="5"/>
  <c r="T777" i="5" s="1"/>
  <c r="R777" i="5"/>
  <c r="E777" i="5"/>
  <c r="O777" i="5" s="1"/>
  <c r="D777" i="5"/>
  <c r="U776" i="5"/>
  <c r="T776" i="5"/>
  <c r="S776" i="5"/>
  <c r="R776" i="5"/>
  <c r="E776" i="5"/>
  <c r="O776" i="5" s="1"/>
  <c r="D776" i="5"/>
  <c r="U775" i="5"/>
  <c r="S775" i="5"/>
  <c r="T775" i="5" s="1"/>
  <c r="R775" i="5"/>
  <c r="E775" i="5"/>
  <c r="O775" i="5" s="1"/>
  <c r="D775" i="5"/>
  <c r="U774" i="5"/>
  <c r="S774" i="5"/>
  <c r="T774" i="5" s="1"/>
  <c r="R774" i="5"/>
  <c r="O774" i="5"/>
  <c r="D774" i="5"/>
  <c r="U772" i="5"/>
  <c r="S772" i="5"/>
  <c r="T772" i="5" s="1"/>
  <c r="R772" i="5"/>
  <c r="O772" i="5"/>
  <c r="D772" i="5"/>
  <c r="U771" i="5"/>
  <c r="S771" i="5"/>
  <c r="T771" i="5" s="1"/>
  <c r="R771" i="5"/>
  <c r="F771" i="5"/>
  <c r="E771" i="5"/>
  <c r="O771" i="5" s="1"/>
  <c r="D771" i="5"/>
  <c r="U767" i="5"/>
  <c r="S767" i="5"/>
  <c r="T767" i="5" s="1"/>
  <c r="R767" i="5"/>
  <c r="F767" i="5"/>
  <c r="E767" i="5"/>
  <c r="O767" i="5" s="1"/>
  <c r="D767" i="5"/>
  <c r="U766" i="5"/>
  <c r="S766" i="5"/>
  <c r="T766" i="5" s="1"/>
  <c r="R766" i="5"/>
  <c r="F766" i="5"/>
  <c r="E766" i="5"/>
  <c r="O766" i="5" s="1"/>
  <c r="D766" i="5"/>
  <c r="U765" i="5"/>
  <c r="S765" i="5"/>
  <c r="T765" i="5" s="1"/>
  <c r="R765" i="5"/>
  <c r="O765" i="5"/>
  <c r="D765" i="5"/>
  <c r="U764" i="5"/>
  <c r="S764" i="5"/>
  <c r="T764" i="5" s="1"/>
  <c r="R764" i="5"/>
  <c r="E764" i="5"/>
  <c r="O764" i="5" s="1"/>
  <c r="D764" i="5"/>
  <c r="U763" i="5"/>
  <c r="S763" i="5"/>
  <c r="T763" i="5" s="1"/>
  <c r="R763" i="5"/>
  <c r="O763" i="5"/>
  <c r="D763" i="5"/>
  <c r="U762" i="5"/>
  <c r="S762" i="5"/>
  <c r="T762" i="5" s="1"/>
  <c r="R762" i="5"/>
  <c r="E762" i="5"/>
  <c r="O762" i="5" s="1"/>
  <c r="D762" i="5"/>
  <c r="U761" i="5"/>
  <c r="S761" i="5"/>
  <c r="T761" i="5" s="1"/>
  <c r="R761" i="5"/>
  <c r="E761" i="5"/>
  <c r="O761" i="5" s="1"/>
  <c r="D761" i="5"/>
  <c r="U760" i="5"/>
  <c r="S760" i="5"/>
  <c r="T760" i="5" s="1"/>
  <c r="R760" i="5"/>
  <c r="O760" i="5"/>
  <c r="D760" i="5"/>
  <c r="U759" i="5"/>
  <c r="S759" i="5"/>
  <c r="T759" i="5" s="1"/>
  <c r="R759" i="5"/>
  <c r="O759" i="5"/>
  <c r="D759" i="5"/>
  <c r="U758" i="5"/>
  <c r="S758" i="5"/>
  <c r="T758" i="5" s="1"/>
  <c r="R758" i="5"/>
  <c r="E758" i="5"/>
  <c r="O758" i="5" s="1"/>
  <c r="D758" i="5"/>
  <c r="U757" i="5"/>
  <c r="S757" i="5"/>
  <c r="T757" i="5" s="1"/>
  <c r="R757" i="5"/>
  <c r="E757" i="5"/>
  <c r="O757" i="5" s="1"/>
  <c r="D757" i="5"/>
  <c r="U756" i="5"/>
  <c r="S756" i="5"/>
  <c r="T756" i="5" s="1"/>
  <c r="R756" i="5"/>
  <c r="E756" i="5"/>
  <c r="O756" i="5" s="1"/>
  <c r="D756" i="5"/>
  <c r="U732" i="5"/>
  <c r="S732" i="5"/>
  <c r="T732" i="5" s="1"/>
  <c r="R732" i="5"/>
  <c r="E732" i="5"/>
  <c r="O732" i="5" s="1"/>
  <c r="D732" i="5"/>
  <c r="U740" i="5"/>
  <c r="S740" i="5"/>
  <c r="T740" i="5" s="1"/>
  <c r="R740" i="5"/>
  <c r="F740" i="5"/>
  <c r="E740" i="5"/>
  <c r="O740" i="5" s="1"/>
  <c r="D740" i="5"/>
  <c r="U739" i="5"/>
  <c r="S739" i="5"/>
  <c r="T739" i="5" s="1"/>
  <c r="R739" i="5"/>
  <c r="F739" i="5"/>
  <c r="E739" i="5"/>
  <c r="O739" i="5" s="1"/>
  <c r="D739" i="5"/>
  <c r="U738" i="5"/>
  <c r="S738" i="5"/>
  <c r="T738" i="5" s="1"/>
  <c r="R738" i="5"/>
  <c r="O738" i="5"/>
  <c r="D738" i="5"/>
  <c r="U737" i="5"/>
  <c r="S737" i="5"/>
  <c r="T737" i="5" s="1"/>
  <c r="R737" i="5"/>
  <c r="F737" i="5"/>
  <c r="E737" i="5"/>
  <c r="O737" i="5" s="1"/>
  <c r="D737" i="5"/>
  <c r="U736" i="5"/>
  <c r="S736" i="5"/>
  <c r="T736" i="5" s="1"/>
  <c r="R736" i="5"/>
  <c r="F736" i="5"/>
  <c r="E736" i="5"/>
  <c r="O736" i="5" s="1"/>
  <c r="D736" i="5"/>
  <c r="U731" i="5"/>
  <c r="S731" i="5"/>
  <c r="T731" i="5" s="1"/>
  <c r="R731" i="5"/>
  <c r="O731" i="5"/>
  <c r="D731" i="5"/>
  <c r="U730" i="5"/>
  <c r="S730" i="5"/>
  <c r="T730" i="5" s="1"/>
  <c r="R730" i="5"/>
  <c r="O730" i="5"/>
  <c r="D730" i="5"/>
  <c r="U727" i="5"/>
  <c r="S727" i="5"/>
  <c r="T727" i="5" s="1"/>
  <c r="R727" i="5"/>
  <c r="O727" i="5"/>
  <c r="D727" i="5"/>
  <c r="U726" i="5"/>
  <c r="S726" i="5"/>
  <c r="T726" i="5" s="1"/>
  <c r="R726" i="5"/>
  <c r="E726" i="5"/>
  <c r="O726" i="5" s="1"/>
  <c r="D726" i="5"/>
  <c r="U704" i="5"/>
  <c r="S704" i="5"/>
  <c r="T704" i="5" s="1"/>
  <c r="R704" i="5"/>
  <c r="F704" i="5"/>
  <c r="E704" i="5"/>
  <c r="O704" i="5" s="1"/>
  <c r="D704" i="5"/>
  <c r="U694" i="5"/>
  <c r="S694" i="5"/>
  <c r="T694" i="5" s="1"/>
  <c r="R694" i="5"/>
  <c r="F694" i="5"/>
  <c r="E694" i="5"/>
  <c r="O694" i="5" s="1"/>
  <c r="D694" i="5"/>
  <c r="U693" i="5"/>
  <c r="S693" i="5"/>
  <c r="T693" i="5" s="1"/>
  <c r="R693" i="5"/>
  <c r="F693" i="5"/>
  <c r="E693" i="5"/>
  <c r="O693" i="5" s="1"/>
  <c r="D693" i="5"/>
  <c r="U692" i="5"/>
  <c r="S692" i="5"/>
  <c r="T692" i="5" s="1"/>
  <c r="R692" i="5"/>
  <c r="F692" i="5"/>
  <c r="E692" i="5"/>
  <c r="O692" i="5" s="1"/>
  <c r="D692" i="5"/>
  <c r="U691" i="5"/>
  <c r="S691" i="5"/>
  <c r="T691" i="5" s="1"/>
  <c r="R691" i="5"/>
  <c r="O691" i="5"/>
  <c r="D691" i="5"/>
  <c r="U690" i="5"/>
  <c r="S690" i="5"/>
  <c r="T690" i="5" s="1"/>
  <c r="R690" i="5"/>
  <c r="O690" i="5"/>
  <c r="D690" i="5"/>
  <c r="U687" i="5"/>
  <c r="S687" i="5"/>
  <c r="T687" i="5" s="1"/>
  <c r="R687" i="5"/>
  <c r="F687" i="5"/>
  <c r="E687" i="5"/>
  <c r="O687" i="5" s="1"/>
  <c r="D687" i="5"/>
  <c r="U685" i="5"/>
  <c r="S685" i="5"/>
  <c r="T685" i="5" s="1"/>
  <c r="R685" i="5"/>
  <c r="E685" i="5"/>
  <c r="O685" i="5" s="1"/>
  <c r="D685" i="5"/>
  <c r="U682" i="5"/>
  <c r="S682" i="5"/>
  <c r="T682" i="5" s="1"/>
  <c r="R682" i="5"/>
  <c r="F682" i="5"/>
  <c r="E682" i="5"/>
  <c r="O682" i="5" s="1"/>
  <c r="D682" i="5"/>
  <c r="U671" i="5"/>
  <c r="S671" i="5"/>
  <c r="T671" i="5" s="1"/>
  <c r="R671" i="5"/>
  <c r="O671" i="5"/>
  <c r="D671" i="5"/>
  <c r="U670" i="5"/>
  <c r="S670" i="5"/>
  <c r="T670" i="5" s="1"/>
  <c r="R670" i="5"/>
  <c r="F670" i="5"/>
  <c r="E670" i="5"/>
  <c r="O670" i="5" s="1"/>
  <c r="D670" i="5"/>
  <c r="U664" i="5"/>
  <c r="S664" i="5"/>
  <c r="T664" i="5" s="1"/>
  <c r="R664" i="5"/>
  <c r="F664" i="5"/>
  <c r="E664" i="5"/>
  <c r="O664" i="5" s="1"/>
  <c r="D664" i="5"/>
  <c r="U661" i="5"/>
  <c r="S661" i="5"/>
  <c r="T661" i="5" s="1"/>
  <c r="R661" i="5"/>
  <c r="F661" i="5"/>
  <c r="E661" i="5"/>
  <c r="O661" i="5" s="1"/>
  <c r="D661" i="5"/>
  <c r="U659" i="5"/>
  <c r="S659" i="5"/>
  <c r="T659" i="5" s="1"/>
  <c r="R659" i="5"/>
  <c r="F659" i="5"/>
  <c r="E659" i="5"/>
  <c r="O659" i="5" s="1"/>
  <c r="D659" i="5"/>
  <c r="U658" i="5"/>
  <c r="S658" i="5"/>
  <c r="T658" i="5" s="1"/>
  <c r="R658" i="5"/>
  <c r="F658" i="5"/>
  <c r="E658" i="5"/>
  <c r="O658" i="5" s="1"/>
  <c r="D658" i="5"/>
  <c r="U657" i="5"/>
  <c r="T657" i="5"/>
  <c r="S657" i="5"/>
  <c r="R657" i="5"/>
  <c r="F657" i="5"/>
  <c r="E657" i="5"/>
  <c r="O657" i="5" s="1"/>
  <c r="D657" i="5"/>
  <c r="U642" i="5"/>
  <c r="S642" i="5"/>
  <c r="T642" i="5" s="1"/>
  <c r="R642" i="5"/>
  <c r="F642" i="5"/>
  <c r="E642" i="5"/>
  <c r="O642" i="5" s="1"/>
  <c r="D642" i="5"/>
  <c r="U641" i="5"/>
  <c r="S641" i="5"/>
  <c r="T641" i="5" s="1"/>
  <c r="R641" i="5"/>
  <c r="F641" i="5"/>
  <c r="E641" i="5"/>
  <c r="O641" i="5" s="1"/>
  <c r="D641" i="5"/>
  <c r="U640" i="5"/>
  <c r="T640" i="5"/>
  <c r="S640" i="5"/>
  <c r="R640" i="5"/>
  <c r="O640" i="5"/>
  <c r="D640" i="5"/>
  <c r="U639" i="5"/>
  <c r="S639" i="5"/>
  <c r="T639" i="5" s="1"/>
  <c r="R639" i="5"/>
  <c r="O639" i="5"/>
  <c r="D639" i="5"/>
  <c r="U638" i="5"/>
  <c r="S638" i="5"/>
  <c r="T638" i="5" s="1"/>
  <c r="R638" i="5"/>
  <c r="E638" i="5"/>
  <c r="O638" i="5" s="1"/>
  <c r="D638" i="5"/>
  <c r="U637" i="5"/>
  <c r="S637" i="5"/>
  <c r="T637" i="5" s="1"/>
  <c r="R637" i="5"/>
  <c r="E637" i="5"/>
  <c r="O637" i="5" s="1"/>
  <c r="D637" i="5"/>
  <c r="U636" i="5"/>
  <c r="T636" i="5"/>
  <c r="S636" i="5"/>
  <c r="R636" i="5"/>
  <c r="E636" i="5"/>
  <c r="O636" i="5" s="1"/>
  <c r="D636" i="5"/>
  <c r="U635" i="5"/>
  <c r="S635" i="5"/>
  <c r="T635" i="5" s="1"/>
  <c r="R635" i="5"/>
  <c r="F635" i="5"/>
  <c r="E635" i="5"/>
  <c r="O635" i="5" s="1"/>
  <c r="D635" i="5"/>
  <c r="U634" i="5"/>
  <c r="T634" i="5"/>
  <c r="S634" i="5"/>
  <c r="R634" i="5"/>
  <c r="E634" i="5"/>
  <c r="O634" i="5" s="1"/>
  <c r="D634" i="5"/>
  <c r="U628" i="5"/>
  <c r="T628" i="5"/>
  <c r="S628" i="5"/>
  <c r="R628" i="5"/>
  <c r="O628" i="5"/>
  <c r="D628" i="5"/>
  <c r="U627" i="5"/>
  <c r="S627" i="5"/>
  <c r="T627" i="5" s="1"/>
  <c r="R627" i="5"/>
  <c r="O627" i="5"/>
  <c r="D627" i="5"/>
  <c r="U626" i="5"/>
  <c r="S626" i="5"/>
  <c r="T626" i="5" s="1"/>
  <c r="R626" i="5"/>
  <c r="O626" i="5"/>
  <c r="D626" i="5"/>
  <c r="U625" i="5"/>
  <c r="T625" i="5"/>
  <c r="S625" i="5"/>
  <c r="R625" i="5"/>
  <c r="O625" i="5"/>
  <c r="D625" i="5"/>
  <c r="U624" i="5"/>
  <c r="T624" i="5"/>
  <c r="S624" i="5"/>
  <c r="R624" i="5"/>
  <c r="O624" i="5"/>
  <c r="D624" i="5"/>
  <c r="U623" i="5"/>
  <c r="S623" i="5"/>
  <c r="T623" i="5" s="1"/>
  <c r="R623" i="5"/>
  <c r="F623" i="5"/>
  <c r="E623" i="5"/>
  <c r="O623" i="5" s="1"/>
  <c r="D623" i="5"/>
  <c r="U615" i="5"/>
  <c r="S615" i="5"/>
  <c r="T615" i="5" s="1"/>
  <c r="R615" i="5"/>
  <c r="O615" i="5"/>
  <c r="D615" i="5"/>
  <c r="U612" i="5"/>
  <c r="S612" i="5"/>
  <c r="T612" i="5" s="1"/>
  <c r="R612" i="5"/>
  <c r="E612" i="5"/>
  <c r="O612" i="5" s="1"/>
  <c r="D612" i="5"/>
  <c r="U607" i="5"/>
  <c r="S607" i="5"/>
  <c r="T607" i="5" s="1"/>
  <c r="R607" i="5"/>
  <c r="O607" i="5"/>
  <c r="D607" i="5"/>
  <c r="U598" i="5"/>
  <c r="T598" i="5"/>
  <c r="S598" i="5"/>
  <c r="R598" i="5"/>
  <c r="O598" i="5"/>
  <c r="D598" i="5"/>
  <c r="U597" i="5"/>
  <c r="S597" i="5"/>
  <c r="T597" i="5" s="1"/>
  <c r="R597" i="5"/>
  <c r="O597" i="5"/>
  <c r="D597" i="5"/>
  <c r="U596" i="5"/>
  <c r="S596" i="5"/>
  <c r="T596" i="5" s="1"/>
  <c r="R596" i="5"/>
  <c r="O596" i="5"/>
  <c r="D596" i="5"/>
  <c r="U595" i="5"/>
  <c r="S595" i="5"/>
  <c r="T595" i="5" s="1"/>
  <c r="R595" i="5"/>
  <c r="F595" i="5"/>
  <c r="E595" i="5"/>
  <c r="O595" i="5" s="1"/>
  <c r="D595" i="5"/>
  <c r="U584" i="5"/>
  <c r="S584" i="5"/>
  <c r="T584" i="5" s="1"/>
  <c r="R584" i="5"/>
  <c r="E584" i="5"/>
  <c r="O584" i="5" s="1"/>
  <c r="D584" i="5"/>
  <c r="U583" i="5"/>
  <c r="T583" i="5"/>
  <c r="S583" i="5"/>
  <c r="R583" i="5"/>
  <c r="O583" i="5"/>
  <c r="D583" i="5"/>
  <c r="U582" i="5"/>
  <c r="S582" i="5"/>
  <c r="T582" i="5" s="1"/>
  <c r="R582" i="5"/>
  <c r="O582" i="5"/>
  <c r="D582" i="5"/>
  <c r="U580" i="5"/>
  <c r="S580" i="5"/>
  <c r="T580" i="5" s="1"/>
  <c r="R580" i="5"/>
  <c r="E580" i="5"/>
  <c r="O580" i="5" s="1"/>
  <c r="D580" i="5"/>
  <c r="U574" i="5"/>
  <c r="T574" i="5"/>
  <c r="S574" i="5"/>
  <c r="R574" i="5"/>
  <c r="O574" i="5"/>
  <c r="D574" i="5"/>
  <c r="U573" i="5"/>
  <c r="S573" i="5"/>
  <c r="T573" i="5" s="1"/>
  <c r="R573" i="5"/>
  <c r="O573" i="5"/>
  <c r="D573" i="5"/>
  <c r="U572" i="5"/>
  <c r="S572" i="5"/>
  <c r="T572" i="5" s="1"/>
  <c r="R572" i="5"/>
  <c r="E572" i="5"/>
  <c r="O572" i="5" s="1"/>
  <c r="D572" i="5"/>
  <c r="U571" i="5"/>
  <c r="T571" i="5"/>
  <c r="S571" i="5"/>
  <c r="R571" i="5"/>
  <c r="E571" i="5"/>
  <c r="O571" i="5" s="1"/>
  <c r="D571" i="5"/>
  <c r="U570" i="5"/>
  <c r="S570" i="5"/>
  <c r="T570" i="5" s="1"/>
  <c r="R570" i="5"/>
  <c r="O570" i="5"/>
  <c r="D570" i="5"/>
  <c r="U569" i="5"/>
  <c r="T569" i="5"/>
  <c r="S569" i="5"/>
  <c r="R569" i="5"/>
  <c r="F569" i="5"/>
  <c r="E569" i="5"/>
  <c r="O569" i="5" s="1"/>
  <c r="D569" i="5"/>
  <c r="U567" i="5"/>
  <c r="S567" i="5"/>
  <c r="T567" i="5" s="1"/>
  <c r="R567" i="5"/>
  <c r="F567" i="5"/>
  <c r="E567" i="5"/>
  <c r="O567" i="5" s="1"/>
  <c r="D567" i="5"/>
  <c r="U561" i="5"/>
  <c r="T561" i="5"/>
  <c r="S561" i="5"/>
  <c r="R561" i="5"/>
  <c r="F561" i="5"/>
  <c r="E561" i="5"/>
  <c r="O561" i="5" s="1"/>
  <c r="D561" i="5"/>
  <c r="U560" i="5"/>
  <c r="T560" i="5"/>
  <c r="S560" i="5"/>
  <c r="R560" i="5"/>
  <c r="O560" i="5"/>
  <c r="D560" i="5"/>
  <c r="U559" i="5"/>
  <c r="S559" i="5"/>
  <c r="T559" i="5" s="1"/>
  <c r="R559" i="5"/>
  <c r="O559" i="5"/>
  <c r="D559" i="5"/>
  <c r="U558" i="5"/>
  <c r="S558" i="5"/>
  <c r="T558" i="5" s="1"/>
  <c r="R558" i="5"/>
  <c r="E558" i="5"/>
  <c r="O558" i="5" s="1"/>
  <c r="D558" i="5"/>
  <c r="U556" i="5"/>
  <c r="T556" i="5"/>
  <c r="S556" i="5"/>
  <c r="R556" i="5"/>
  <c r="O556" i="5"/>
  <c r="D556" i="5"/>
  <c r="U555" i="5"/>
  <c r="S555" i="5"/>
  <c r="T555" i="5" s="1"/>
  <c r="R555" i="5"/>
  <c r="E555" i="5"/>
  <c r="O555" i="5" s="1"/>
  <c r="D555" i="5"/>
  <c r="U554" i="5"/>
  <c r="S554" i="5"/>
  <c r="T554" i="5" s="1"/>
  <c r="R554" i="5"/>
  <c r="E554" i="5"/>
  <c r="O554" i="5" s="1"/>
  <c r="D554" i="5"/>
  <c r="U553" i="5"/>
  <c r="S553" i="5"/>
  <c r="T553" i="5" s="1"/>
  <c r="R553" i="5"/>
  <c r="O553" i="5"/>
  <c r="D553" i="5"/>
  <c r="U552" i="5"/>
  <c r="T552" i="5"/>
  <c r="S552" i="5"/>
  <c r="R552" i="5"/>
  <c r="F552" i="5"/>
  <c r="E552" i="5"/>
  <c r="O552" i="5" s="1"/>
  <c r="D552" i="5"/>
  <c r="U550" i="5"/>
  <c r="S550" i="5"/>
  <c r="T550" i="5" s="1"/>
  <c r="R550" i="5"/>
  <c r="F550" i="5"/>
  <c r="E550" i="5"/>
  <c r="O550" i="5" s="1"/>
  <c r="D550" i="5"/>
  <c r="U529" i="5"/>
  <c r="T529" i="5"/>
  <c r="S529" i="5"/>
  <c r="R529" i="5"/>
  <c r="O529" i="5"/>
  <c r="D529" i="5"/>
  <c r="U528" i="5"/>
  <c r="S528" i="5"/>
  <c r="T528" i="5" s="1"/>
  <c r="R528" i="5"/>
  <c r="O528" i="5"/>
  <c r="D528" i="5"/>
  <c r="U527" i="5"/>
  <c r="S527" i="5"/>
  <c r="T527" i="5" s="1"/>
  <c r="R527" i="5"/>
  <c r="O527" i="5"/>
  <c r="D527" i="5"/>
  <c r="U526" i="5"/>
  <c r="S526" i="5"/>
  <c r="T526" i="5" s="1"/>
  <c r="R526" i="5"/>
  <c r="O526" i="5"/>
  <c r="D526" i="5"/>
  <c r="U525" i="5"/>
  <c r="S525" i="5"/>
  <c r="T525" i="5" s="1"/>
  <c r="R525" i="5"/>
  <c r="E525" i="5"/>
  <c r="O525" i="5" s="1"/>
  <c r="D525" i="5"/>
  <c r="U524" i="5"/>
  <c r="S524" i="5"/>
  <c r="T524" i="5" s="1"/>
  <c r="R524" i="5"/>
  <c r="E524" i="5"/>
  <c r="O524" i="5" s="1"/>
  <c r="D524" i="5"/>
  <c r="U523" i="5"/>
  <c r="T523" i="5"/>
  <c r="S523" i="5"/>
  <c r="R523" i="5"/>
  <c r="E523" i="5"/>
  <c r="O523" i="5" s="1"/>
  <c r="D523" i="5"/>
  <c r="U522" i="5"/>
  <c r="S522" i="5"/>
  <c r="T522" i="5" s="1"/>
  <c r="R522" i="5"/>
  <c r="O522" i="5"/>
  <c r="D522" i="5"/>
  <c r="U518" i="5"/>
  <c r="T518" i="5"/>
  <c r="S518" i="5"/>
  <c r="R518" i="5"/>
  <c r="F518" i="5"/>
  <c r="E518" i="5"/>
  <c r="O518" i="5" s="1"/>
  <c r="D518" i="5"/>
  <c r="U517" i="5"/>
  <c r="S517" i="5"/>
  <c r="T517" i="5" s="1"/>
  <c r="R517" i="5"/>
  <c r="O517" i="5"/>
  <c r="D517" i="5"/>
  <c r="U516" i="5"/>
  <c r="S516" i="5"/>
  <c r="T516" i="5" s="1"/>
  <c r="R516" i="5"/>
  <c r="O516" i="5"/>
  <c r="D516" i="5"/>
  <c r="U503" i="5"/>
  <c r="S503" i="5"/>
  <c r="T503" i="5" s="1"/>
  <c r="R503" i="5"/>
  <c r="F503" i="5"/>
  <c r="E503" i="5"/>
  <c r="O503" i="5" s="1"/>
  <c r="D503" i="5"/>
  <c r="U502" i="5"/>
  <c r="S502" i="5"/>
  <c r="T502" i="5" s="1"/>
  <c r="R502" i="5"/>
  <c r="F502" i="5"/>
  <c r="E502" i="5"/>
  <c r="O502" i="5" s="1"/>
  <c r="D502" i="5"/>
  <c r="U501" i="5"/>
  <c r="S501" i="5"/>
  <c r="T501" i="5" s="1"/>
  <c r="R501" i="5"/>
  <c r="F501" i="5"/>
  <c r="E501" i="5"/>
  <c r="O501" i="5" s="1"/>
  <c r="D501" i="5"/>
  <c r="U500" i="5"/>
  <c r="S500" i="5"/>
  <c r="T500" i="5" s="1"/>
  <c r="R500" i="5"/>
  <c r="F500" i="5"/>
  <c r="E500" i="5"/>
  <c r="O500" i="5" s="1"/>
  <c r="D500" i="5"/>
  <c r="U499" i="5"/>
  <c r="S499" i="5"/>
  <c r="T499" i="5" s="1"/>
  <c r="R499" i="5"/>
  <c r="O499" i="5"/>
  <c r="D499" i="5"/>
  <c r="U498" i="5"/>
  <c r="S498" i="5"/>
  <c r="T498" i="5" s="1"/>
  <c r="R498" i="5"/>
  <c r="E498" i="5"/>
  <c r="O498" i="5" s="1"/>
  <c r="D498" i="5"/>
  <c r="U497" i="5"/>
  <c r="S497" i="5"/>
  <c r="T497" i="5" s="1"/>
  <c r="R497" i="5"/>
  <c r="E497" i="5"/>
  <c r="O497" i="5" s="1"/>
  <c r="D497" i="5"/>
  <c r="U490" i="5"/>
  <c r="S490" i="5"/>
  <c r="T490" i="5" s="1"/>
  <c r="R490" i="5"/>
  <c r="O490" i="5"/>
  <c r="D490" i="5"/>
  <c r="U486" i="5"/>
  <c r="S486" i="5"/>
  <c r="T486" i="5" s="1"/>
  <c r="R486" i="5"/>
  <c r="O486" i="5"/>
  <c r="D486" i="5"/>
  <c r="U474" i="5"/>
  <c r="S474" i="5"/>
  <c r="T474" i="5" s="1"/>
  <c r="R474" i="5"/>
  <c r="F474" i="5"/>
  <c r="E474" i="5"/>
  <c r="O474" i="5" s="1"/>
  <c r="D474" i="5"/>
  <c r="U473" i="5"/>
  <c r="S473" i="5"/>
  <c r="T473" i="5" s="1"/>
  <c r="R473" i="5"/>
  <c r="F473" i="5"/>
  <c r="E473" i="5"/>
  <c r="O473" i="5" s="1"/>
  <c r="D473" i="5"/>
  <c r="U470" i="5"/>
  <c r="S470" i="5"/>
  <c r="T470" i="5" s="1"/>
  <c r="R470" i="5"/>
  <c r="E470" i="5"/>
  <c r="O470" i="5" s="1"/>
  <c r="D470" i="5"/>
  <c r="U469" i="5"/>
  <c r="T469" i="5"/>
  <c r="S469" i="5"/>
  <c r="R469" i="5"/>
  <c r="E469" i="5"/>
  <c r="O469" i="5" s="1"/>
  <c r="D469" i="5"/>
  <c r="U456" i="5"/>
  <c r="S456" i="5"/>
  <c r="T456" i="5" s="1"/>
  <c r="R456" i="5"/>
  <c r="O456" i="5"/>
  <c r="D456" i="5"/>
  <c r="U455" i="5"/>
  <c r="T455" i="5"/>
  <c r="S455" i="5"/>
  <c r="R455" i="5"/>
  <c r="O455" i="5"/>
  <c r="D455" i="5"/>
  <c r="U454" i="5"/>
  <c r="S454" i="5"/>
  <c r="T454" i="5" s="1"/>
  <c r="R454" i="5"/>
  <c r="E454" i="5"/>
  <c r="O454" i="5" s="1"/>
  <c r="D454" i="5"/>
  <c r="U444" i="5"/>
  <c r="T444" i="5"/>
  <c r="S444" i="5"/>
  <c r="R444" i="5"/>
  <c r="O444" i="5"/>
  <c r="D444" i="5"/>
  <c r="U443" i="5"/>
  <c r="S443" i="5"/>
  <c r="T443" i="5" s="1"/>
  <c r="R443" i="5"/>
  <c r="F443" i="5"/>
  <c r="E443" i="5"/>
  <c r="O443" i="5" s="1"/>
  <c r="D443" i="5"/>
  <c r="U442" i="5"/>
  <c r="S442" i="5"/>
  <c r="T442" i="5" s="1"/>
  <c r="R442" i="5"/>
  <c r="F442" i="5"/>
  <c r="E442" i="5"/>
  <c r="O442" i="5" s="1"/>
  <c r="D442" i="5"/>
  <c r="U441" i="5"/>
  <c r="T441" i="5"/>
  <c r="S441" i="5"/>
  <c r="R441" i="5"/>
  <c r="O441" i="5"/>
  <c r="D441" i="5"/>
  <c r="U408" i="5"/>
  <c r="S408" i="5"/>
  <c r="T408" i="5" s="1"/>
  <c r="R408" i="5"/>
  <c r="O408" i="5"/>
  <c r="D408" i="5"/>
  <c r="U403" i="5"/>
  <c r="S403" i="5"/>
  <c r="T403" i="5" s="1"/>
  <c r="R403" i="5"/>
  <c r="O403" i="5"/>
  <c r="D403" i="5"/>
  <c r="U401" i="5"/>
  <c r="T401" i="5"/>
  <c r="S401" i="5"/>
  <c r="R401" i="5"/>
  <c r="E401" i="5"/>
  <c r="O401" i="5" s="1"/>
  <c r="D401" i="5"/>
  <c r="U400" i="5"/>
  <c r="T400" i="5"/>
  <c r="S400" i="5"/>
  <c r="R400" i="5"/>
  <c r="E400" i="5"/>
  <c r="O400" i="5" s="1"/>
  <c r="D400" i="5"/>
  <c r="U399" i="5"/>
  <c r="S399" i="5"/>
  <c r="T399" i="5" s="1"/>
  <c r="R399" i="5"/>
  <c r="E399" i="5"/>
  <c r="O399" i="5" s="1"/>
  <c r="D399" i="5"/>
  <c r="U385" i="5"/>
  <c r="T385" i="5"/>
  <c r="S385" i="5"/>
  <c r="R385" i="5"/>
  <c r="O385" i="5"/>
  <c r="D385" i="5"/>
  <c r="U384" i="5"/>
  <c r="S384" i="5"/>
  <c r="T384" i="5" s="1"/>
  <c r="R384" i="5"/>
  <c r="O384" i="5"/>
  <c r="D384" i="5"/>
  <c r="U383" i="5"/>
  <c r="S383" i="5"/>
  <c r="T383" i="5" s="1"/>
  <c r="R383" i="5"/>
  <c r="E383" i="5"/>
  <c r="O383" i="5" s="1"/>
  <c r="D383" i="5"/>
  <c r="U378" i="5"/>
  <c r="S378" i="5"/>
  <c r="T378" i="5" s="1"/>
  <c r="R378" i="5"/>
  <c r="F378" i="5"/>
  <c r="E378" i="5"/>
  <c r="O378" i="5" s="1"/>
  <c r="D378" i="5"/>
  <c r="U376" i="5"/>
  <c r="T376" i="5"/>
  <c r="S376" i="5"/>
  <c r="R376" i="5"/>
  <c r="E376" i="5"/>
  <c r="O376" i="5" s="1"/>
  <c r="D376" i="5"/>
  <c r="U367" i="5"/>
  <c r="S367" i="5"/>
  <c r="T367" i="5" s="1"/>
  <c r="R367" i="5"/>
  <c r="O367" i="5"/>
  <c r="D367" i="5"/>
  <c r="U366" i="5"/>
  <c r="S366" i="5"/>
  <c r="T366" i="5" s="1"/>
  <c r="R366" i="5"/>
  <c r="O366" i="5"/>
  <c r="D366" i="5"/>
  <c r="U343" i="5"/>
  <c r="T343" i="5"/>
  <c r="S343" i="5"/>
  <c r="R343" i="5"/>
  <c r="F343" i="5"/>
  <c r="E343" i="5"/>
  <c r="O343" i="5" s="1"/>
  <c r="D343" i="5"/>
  <c r="U336" i="5"/>
  <c r="S336" i="5"/>
  <c r="T336" i="5" s="1"/>
  <c r="R336" i="5"/>
  <c r="F336" i="5"/>
  <c r="E336" i="5"/>
  <c r="O336" i="5" s="1"/>
  <c r="D336" i="5"/>
  <c r="U335" i="5"/>
  <c r="T335" i="5"/>
  <c r="S335" i="5"/>
  <c r="R335" i="5"/>
  <c r="F335" i="5"/>
  <c r="E335" i="5"/>
  <c r="O335" i="5" s="1"/>
  <c r="D335" i="5"/>
  <c r="U328" i="5"/>
  <c r="T328" i="5"/>
  <c r="S328" i="5"/>
  <c r="R328" i="5"/>
  <c r="F328" i="5"/>
  <c r="E328" i="5"/>
  <c r="O328" i="5" s="1"/>
  <c r="D328" i="5"/>
  <c r="U327" i="5"/>
  <c r="S327" i="5"/>
  <c r="T327" i="5" s="1"/>
  <c r="R327" i="5"/>
  <c r="F327" i="5"/>
  <c r="E327" i="5"/>
  <c r="O327" i="5" s="1"/>
  <c r="D327" i="5"/>
  <c r="U326" i="5"/>
  <c r="T326" i="5"/>
  <c r="S326" i="5"/>
  <c r="R326" i="5"/>
  <c r="G326" i="5"/>
  <c r="F326" i="5"/>
  <c r="E326" i="5"/>
  <c r="O326" i="5" s="1"/>
  <c r="D326" i="5"/>
  <c r="U322" i="5"/>
  <c r="S322" i="5"/>
  <c r="T322" i="5" s="1"/>
  <c r="R322" i="5"/>
  <c r="O322" i="5"/>
  <c r="D322" i="5"/>
  <c r="U321" i="5"/>
  <c r="S321" i="5"/>
  <c r="T321" i="5" s="1"/>
  <c r="R321" i="5"/>
  <c r="F321" i="5"/>
  <c r="E321" i="5"/>
  <c r="O321" i="5" s="1"/>
  <c r="D321" i="5"/>
  <c r="U320" i="5"/>
  <c r="S320" i="5"/>
  <c r="T320" i="5" s="1"/>
  <c r="R320" i="5"/>
  <c r="F320" i="5"/>
  <c r="E320" i="5"/>
  <c r="O320" i="5" s="1"/>
  <c r="D320" i="5"/>
  <c r="U318" i="5"/>
  <c r="S318" i="5"/>
  <c r="T318" i="5" s="1"/>
  <c r="R318" i="5"/>
  <c r="O318" i="5"/>
  <c r="D318" i="5"/>
  <c r="U305" i="5"/>
  <c r="S305" i="5"/>
  <c r="T305" i="5" s="1"/>
  <c r="R305" i="5"/>
  <c r="F305" i="5"/>
  <c r="E305" i="5"/>
  <c r="O305" i="5" s="1"/>
  <c r="D305" i="5"/>
  <c r="U304" i="5"/>
  <c r="T304" i="5"/>
  <c r="S304" i="5"/>
  <c r="R304" i="5"/>
  <c r="F304" i="5"/>
  <c r="E304" i="5"/>
  <c r="O304" i="5" s="1"/>
  <c r="D304" i="5"/>
  <c r="U294" i="5"/>
  <c r="S294" i="5"/>
  <c r="T294" i="5" s="1"/>
  <c r="R294" i="5"/>
  <c r="O294" i="5"/>
  <c r="D294" i="5"/>
  <c r="U293" i="5"/>
  <c r="S293" i="5"/>
  <c r="T293" i="5" s="1"/>
  <c r="R293" i="5"/>
  <c r="E293" i="5"/>
  <c r="O293" i="5" s="1"/>
  <c r="D293" i="5"/>
  <c r="U291" i="5"/>
  <c r="S291" i="5"/>
  <c r="T291" i="5" s="1"/>
  <c r="R291" i="5"/>
  <c r="O291" i="5"/>
  <c r="D291" i="5"/>
  <c r="U290" i="5"/>
  <c r="S290" i="5"/>
  <c r="T290" i="5" s="1"/>
  <c r="R290" i="5"/>
  <c r="E290" i="5"/>
  <c r="O290" i="5" s="1"/>
  <c r="D290" i="5"/>
  <c r="U288" i="5"/>
  <c r="S288" i="5"/>
  <c r="T288" i="5" s="1"/>
  <c r="R288" i="5"/>
  <c r="F288" i="5"/>
  <c r="E288" i="5"/>
  <c r="O288" i="5" s="1"/>
  <c r="D288" i="5"/>
  <c r="U276" i="5"/>
  <c r="S276" i="5"/>
  <c r="T276" i="5" s="1"/>
  <c r="R276" i="5"/>
  <c r="F276" i="5"/>
  <c r="E276" i="5"/>
  <c r="O276" i="5" s="1"/>
  <c r="D276" i="5"/>
  <c r="U274" i="5"/>
  <c r="S274" i="5"/>
  <c r="T274" i="5" s="1"/>
  <c r="R274" i="5"/>
  <c r="E274" i="5"/>
  <c r="O274" i="5" s="1"/>
  <c r="D274" i="5"/>
  <c r="U266" i="5"/>
  <c r="S266" i="5"/>
  <c r="T266" i="5" s="1"/>
  <c r="R266" i="5"/>
  <c r="O266" i="5"/>
  <c r="D266" i="5"/>
  <c r="U265" i="5"/>
  <c r="T265" i="5"/>
  <c r="S265" i="5"/>
  <c r="R265" i="5"/>
  <c r="F265" i="5"/>
  <c r="E265" i="5"/>
  <c r="O265" i="5" s="1"/>
  <c r="D265" i="5"/>
  <c r="U214" i="5"/>
  <c r="S214" i="5"/>
  <c r="T214" i="5" s="1"/>
  <c r="R214" i="5"/>
  <c r="O214" i="5"/>
  <c r="D214" i="5"/>
  <c r="U213" i="5"/>
  <c r="S213" i="5"/>
  <c r="T213" i="5" s="1"/>
  <c r="R213" i="5"/>
  <c r="E213" i="5"/>
  <c r="O213" i="5" s="1"/>
  <c r="D213" i="5"/>
  <c r="U212" i="5"/>
  <c r="S212" i="5"/>
  <c r="T212" i="5" s="1"/>
  <c r="R212" i="5"/>
  <c r="E212" i="5"/>
  <c r="O212" i="5" s="1"/>
  <c r="D212" i="5"/>
  <c r="U211" i="5"/>
  <c r="S211" i="5"/>
  <c r="T211" i="5" s="1"/>
  <c r="R211" i="5"/>
  <c r="O211" i="5"/>
  <c r="D211" i="5"/>
  <c r="U210" i="5"/>
  <c r="T210" i="5"/>
  <c r="S210" i="5"/>
  <c r="R210" i="5"/>
  <c r="O210" i="5"/>
  <c r="D210" i="5"/>
  <c r="U209" i="5"/>
  <c r="T209" i="5"/>
  <c r="S209" i="5"/>
  <c r="R209" i="5"/>
  <c r="O209" i="5"/>
  <c r="D209" i="5"/>
  <c r="U208" i="5"/>
  <c r="S208" i="5"/>
  <c r="T208" i="5" s="1"/>
  <c r="R208" i="5"/>
  <c r="O208" i="5"/>
  <c r="D208" i="5"/>
  <c r="U207" i="5"/>
  <c r="S207" i="5"/>
  <c r="T207" i="5" s="1"/>
  <c r="R207" i="5"/>
  <c r="O207" i="5"/>
  <c r="D207" i="5"/>
  <c r="U206" i="5"/>
  <c r="S206" i="5"/>
  <c r="T206" i="5" s="1"/>
  <c r="R206" i="5"/>
  <c r="O206" i="5"/>
  <c r="D206" i="5"/>
  <c r="U195" i="5"/>
  <c r="S195" i="5"/>
  <c r="T195" i="5" s="1"/>
  <c r="R195" i="5"/>
  <c r="O195" i="5"/>
  <c r="D195" i="5"/>
  <c r="U194" i="5"/>
  <c r="S194" i="5"/>
  <c r="T194" i="5" s="1"/>
  <c r="R194" i="5"/>
  <c r="F194" i="5"/>
  <c r="E194" i="5"/>
  <c r="O194" i="5" s="1"/>
  <c r="D194" i="5"/>
  <c r="U193" i="5"/>
  <c r="S193" i="5"/>
  <c r="T193" i="5" s="1"/>
  <c r="R193" i="5"/>
  <c r="F193" i="5"/>
  <c r="E193" i="5"/>
  <c r="O193" i="5" s="1"/>
  <c r="D193" i="5"/>
  <c r="U190" i="5"/>
  <c r="S190" i="5"/>
  <c r="T190" i="5" s="1"/>
  <c r="R190" i="5"/>
  <c r="O190" i="5"/>
  <c r="D190" i="5"/>
  <c r="U187" i="5"/>
  <c r="T187" i="5"/>
  <c r="S187" i="5"/>
  <c r="R187" i="5"/>
  <c r="O187" i="5"/>
  <c r="D187" i="5"/>
  <c r="U178" i="5"/>
  <c r="S178" i="5"/>
  <c r="T178" i="5" s="1"/>
  <c r="R178" i="5"/>
  <c r="F178" i="5"/>
  <c r="E178" i="5"/>
  <c r="O178" i="5" s="1"/>
  <c r="D178" i="5"/>
  <c r="U177" i="5"/>
  <c r="S177" i="5"/>
  <c r="T177" i="5" s="1"/>
  <c r="R177" i="5"/>
  <c r="O177" i="5"/>
  <c r="D177" i="5"/>
  <c r="U176" i="5"/>
  <c r="S176" i="5"/>
  <c r="T176" i="5" s="1"/>
  <c r="R176" i="5"/>
  <c r="O176" i="5"/>
  <c r="D176" i="5"/>
  <c r="U167" i="5"/>
  <c r="S167" i="5"/>
  <c r="T167" i="5" s="1"/>
  <c r="R167" i="5"/>
  <c r="O167" i="5"/>
  <c r="D167" i="5"/>
  <c r="U166" i="5"/>
  <c r="T166" i="5"/>
  <c r="S166" i="5"/>
  <c r="R166" i="5"/>
  <c r="E166" i="5"/>
  <c r="O166" i="5" s="1"/>
  <c r="D166" i="5"/>
  <c r="U165" i="5"/>
  <c r="T165" i="5"/>
  <c r="S165" i="5"/>
  <c r="R165" i="5"/>
  <c r="F165" i="5"/>
  <c r="E165" i="5"/>
  <c r="O165" i="5" s="1"/>
  <c r="D165" i="5"/>
  <c r="U164" i="5"/>
  <c r="T164" i="5"/>
  <c r="S164" i="5"/>
  <c r="R164" i="5"/>
  <c r="O164" i="5"/>
  <c r="D164" i="5"/>
  <c r="U163" i="5"/>
  <c r="S163" i="5"/>
  <c r="T163" i="5" s="1"/>
  <c r="R163" i="5"/>
  <c r="E163" i="5"/>
  <c r="O163" i="5" s="1"/>
  <c r="D163" i="5"/>
  <c r="U162" i="5"/>
  <c r="S162" i="5"/>
  <c r="T162" i="5" s="1"/>
  <c r="R162" i="5"/>
  <c r="E162" i="5"/>
  <c r="O162" i="5" s="1"/>
  <c r="D162" i="5"/>
  <c r="U150" i="5"/>
  <c r="S150" i="5"/>
  <c r="T150" i="5" s="1"/>
  <c r="R150" i="5"/>
  <c r="E150" i="5"/>
  <c r="O150" i="5" s="1"/>
  <c r="D150" i="5"/>
  <c r="U137" i="5"/>
  <c r="S137" i="5"/>
  <c r="T137" i="5" s="1"/>
  <c r="R137" i="5"/>
  <c r="E137" i="5"/>
  <c r="O137" i="5" s="1"/>
  <c r="D137" i="5"/>
  <c r="U127" i="5"/>
  <c r="S127" i="5"/>
  <c r="T127" i="5" s="1"/>
  <c r="R127" i="5"/>
  <c r="F127" i="5"/>
  <c r="E127" i="5"/>
  <c r="O127" i="5" s="1"/>
  <c r="D127" i="5"/>
  <c r="U120" i="5"/>
  <c r="S120" i="5"/>
  <c r="T120" i="5" s="1"/>
  <c r="R120" i="5"/>
  <c r="O120" i="5"/>
  <c r="D120" i="5"/>
  <c r="U111" i="5"/>
  <c r="T111" i="5"/>
  <c r="S111" i="5"/>
  <c r="R111" i="5"/>
  <c r="O111" i="5"/>
  <c r="D111" i="5"/>
  <c r="U105" i="5"/>
  <c r="S105" i="5"/>
  <c r="T105" i="5" s="1"/>
  <c r="R105" i="5"/>
  <c r="O105" i="5"/>
  <c r="D105" i="5"/>
  <c r="U103" i="5"/>
  <c r="S103" i="5"/>
  <c r="T103" i="5" s="1"/>
  <c r="R103" i="5"/>
  <c r="F103" i="5"/>
  <c r="E103" i="5"/>
  <c r="O103" i="5" s="1"/>
  <c r="D103" i="5"/>
  <c r="U96" i="5"/>
  <c r="S96" i="5"/>
  <c r="T96" i="5" s="1"/>
  <c r="R96" i="5"/>
  <c r="O96" i="5"/>
  <c r="U74" i="5"/>
  <c r="T74" i="5"/>
  <c r="S74" i="5"/>
  <c r="R74" i="5"/>
  <c r="O74" i="5"/>
  <c r="D74" i="5"/>
  <c r="U62" i="5"/>
  <c r="S62" i="5"/>
  <c r="T62" i="5" s="1"/>
  <c r="R62" i="5"/>
  <c r="F62" i="5"/>
  <c r="E62" i="5"/>
  <c r="O62" i="5" s="1"/>
  <c r="D62" i="5"/>
  <c r="U61" i="5"/>
  <c r="S61" i="5"/>
  <c r="T61" i="5" s="1"/>
  <c r="R61" i="5"/>
  <c r="O61" i="5"/>
  <c r="U60" i="5"/>
  <c r="S60" i="5"/>
  <c r="T60" i="5" s="1"/>
  <c r="R60" i="5"/>
  <c r="O60" i="5"/>
  <c r="D60" i="5"/>
  <c r="U59" i="5"/>
  <c r="S59" i="5"/>
  <c r="T59" i="5" s="1"/>
  <c r="R59" i="5"/>
  <c r="O59" i="5"/>
  <c r="D59" i="5"/>
  <c r="U58" i="5"/>
  <c r="S58" i="5"/>
  <c r="T58" i="5" s="1"/>
  <c r="R58" i="5"/>
  <c r="O58" i="5"/>
  <c r="U54" i="5"/>
  <c r="S54" i="5"/>
  <c r="T54" i="5" s="1"/>
  <c r="R54" i="5"/>
  <c r="O54" i="5"/>
  <c r="D54" i="5"/>
  <c r="U53" i="5"/>
  <c r="S53" i="5"/>
  <c r="T53" i="5" s="1"/>
  <c r="R53" i="5"/>
  <c r="O53" i="5"/>
  <c r="U44" i="5"/>
  <c r="S44" i="5"/>
  <c r="T44" i="5" s="1"/>
  <c r="R44" i="5"/>
  <c r="O44" i="5"/>
  <c r="U43" i="5"/>
  <c r="S43" i="5"/>
  <c r="T43" i="5" s="1"/>
  <c r="R43" i="5"/>
  <c r="O43" i="5"/>
  <c r="U42" i="5"/>
  <c r="S42" i="5"/>
  <c r="T42" i="5" s="1"/>
  <c r="R42" i="5"/>
  <c r="O42" i="5"/>
  <c r="U41" i="5"/>
  <c r="S41" i="5"/>
  <c r="T41" i="5" s="1"/>
  <c r="R41" i="5"/>
  <c r="O41" i="5"/>
  <c r="U40" i="5"/>
  <c r="S40" i="5"/>
  <c r="T40" i="5" s="1"/>
  <c r="R40" i="5"/>
  <c r="O40" i="5"/>
  <c r="D40" i="5"/>
  <c r="U39" i="5"/>
  <c r="S39" i="5"/>
  <c r="T39" i="5" s="1"/>
  <c r="R39" i="5"/>
  <c r="O39" i="5"/>
  <c r="U38" i="5"/>
  <c r="S38" i="5"/>
  <c r="T38" i="5" s="1"/>
  <c r="R38" i="5"/>
  <c r="O38" i="5"/>
  <c r="U34" i="5"/>
  <c r="S34" i="5"/>
  <c r="T34" i="5" s="1"/>
  <c r="R34" i="5"/>
  <c r="O34" i="5"/>
  <c r="D34" i="5"/>
  <c r="U33" i="5"/>
  <c r="S33" i="5"/>
  <c r="T33" i="5" s="1"/>
  <c r="R33" i="5"/>
  <c r="O33" i="5"/>
  <c r="D33" i="5"/>
  <c r="U32" i="5"/>
  <c r="S32" i="5"/>
  <c r="T32" i="5" s="1"/>
  <c r="R32" i="5"/>
  <c r="O32" i="5"/>
  <c r="U31" i="5"/>
  <c r="S31" i="5"/>
  <c r="T31" i="5" s="1"/>
  <c r="R31" i="5"/>
  <c r="O31" i="5"/>
  <c r="U1808" i="4"/>
  <c r="S1808" i="4"/>
  <c r="T1808" i="4" s="1"/>
  <c r="R1808" i="4"/>
  <c r="U1807" i="4"/>
  <c r="T1807" i="4"/>
  <c r="S1807" i="4"/>
  <c r="R1807" i="4"/>
  <c r="U1806" i="4"/>
  <c r="S1806" i="4"/>
  <c r="T1806" i="4" s="1"/>
  <c r="R1806" i="4"/>
  <c r="U1805" i="4"/>
  <c r="S1805" i="4"/>
  <c r="T1805" i="4" s="1"/>
  <c r="R1805" i="4"/>
  <c r="U1804" i="4"/>
  <c r="S1804" i="4"/>
  <c r="T1804" i="4" s="1"/>
  <c r="R1804" i="4"/>
  <c r="U1803" i="4"/>
  <c r="T1803" i="4"/>
  <c r="S1803" i="4"/>
  <c r="R1803" i="4"/>
  <c r="U1802" i="4"/>
  <c r="S1802" i="4"/>
  <c r="T1802" i="4" s="1"/>
  <c r="R1802" i="4"/>
  <c r="U1801" i="4"/>
  <c r="S1801" i="4"/>
  <c r="T1801" i="4" s="1"/>
  <c r="R1801" i="4"/>
  <c r="U1800" i="4"/>
  <c r="S1800" i="4"/>
  <c r="T1800" i="4" s="1"/>
  <c r="R1800" i="4"/>
  <c r="U1799" i="4"/>
  <c r="T1799" i="4"/>
  <c r="S1799" i="4"/>
  <c r="R1799" i="4"/>
  <c r="U1798" i="4"/>
  <c r="S1798" i="4"/>
  <c r="T1798" i="4" s="1"/>
  <c r="R1798" i="4"/>
  <c r="U1797" i="4"/>
  <c r="S1797" i="4"/>
  <c r="T1797" i="4" s="1"/>
  <c r="R1797" i="4"/>
  <c r="U1796" i="4"/>
  <c r="S1796" i="4"/>
  <c r="T1796" i="4" s="1"/>
  <c r="R1796" i="4"/>
  <c r="U1795" i="4"/>
  <c r="S1795" i="4"/>
  <c r="T1795" i="4" s="1"/>
  <c r="R1795" i="4"/>
  <c r="U1794" i="4"/>
  <c r="S1794" i="4"/>
  <c r="T1794" i="4" s="1"/>
  <c r="R1794" i="4"/>
  <c r="U1793" i="4"/>
  <c r="T1793" i="4"/>
  <c r="S1793" i="4"/>
  <c r="R1793" i="4"/>
  <c r="U1792" i="4"/>
  <c r="S1792" i="4"/>
  <c r="T1792" i="4" s="1"/>
  <c r="R1792" i="4"/>
  <c r="U1791" i="4"/>
  <c r="T1791" i="4"/>
  <c r="S1791" i="4"/>
  <c r="R1791" i="4"/>
  <c r="U1790" i="4"/>
  <c r="S1790" i="4"/>
  <c r="T1790" i="4" s="1"/>
  <c r="R1790" i="4"/>
  <c r="U1789" i="4"/>
  <c r="S1789" i="4"/>
  <c r="T1789" i="4" s="1"/>
  <c r="R1789" i="4"/>
  <c r="U1788" i="4"/>
  <c r="S1788" i="4"/>
  <c r="T1788" i="4" s="1"/>
  <c r="R1788" i="4"/>
  <c r="U1787" i="4"/>
  <c r="T1787" i="4"/>
  <c r="S1787" i="4"/>
  <c r="R1787" i="4"/>
  <c r="U1786" i="4"/>
  <c r="S1786" i="4"/>
  <c r="T1786" i="4" s="1"/>
  <c r="R1786" i="4"/>
  <c r="U1785" i="4"/>
  <c r="S1785" i="4"/>
  <c r="T1785" i="4" s="1"/>
  <c r="R1785" i="4"/>
  <c r="U1784" i="4"/>
  <c r="S1784" i="4"/>
  <c r="T1784" i="4" s="1"/>
  <c r="R1784" i="4"/>
  <c r="U1783" i="4"/>
  <c r="T1783" i="4"/>
  <c r="S1783" i="4"/>
  <c r="R1783" i="4"/>
  <c r="U1782" i="4"/>
  <c r="S1782" i="4"/>
  <c r="T1782" i="4" s="1"/>
  <c r="R1782" i="4"/>
  <c r="U1781" i="4"/>
  <c r="S1781" i="4"/>
  <c r="T1781" i="4" s="1"/>
  <c r="R1781" i="4"/>
  <c r="U1780" i="4"/>
  <c r="S1780" i="4"/>
  <c r="T1780" i="4" s="1"/>
  <c r="R1780" i="4"/>
  <c r="U1779" i="4"/>
  <c r="S1779" i="4"/>
  <c r="T1779" i="4" s="1"/>
  <c r="R1779" i="4"/>
  <c r="U1778" i="4"/>
  <c r="S1778" i="4"/>
  <c r="T1778" i="4" s="1"/>
  <c r="R1778" i="4"/>
  <c r="U1777" i="4"/>
  <c r="S1777" i="4"/>
  <c r="T1777" i="4" s="1"/>
  <c r="R1777" i="4"/>
  <c r="U1776" i="4"/>
  <c r="S1776" i="4"/>
  <c r="T1776" i="4" s="1"/>
  <c r="R1776" i="4"/>
  <c r="U1775" i="4"/>
  <c r="T1775" i="4"/>
  <c r="S1775" i="4"/>
  <c r="R1775" i="4"/>
  <c r="U1774" i="4"/>
  <c r="S1774" i="4"/>
  <c r="T1774" i="4" s="1"/>
  <c r="R1774" i="4"/>
  <c r="U1773" i="4"/>
  <c r="S1773" i="4"/>
  <c r="T1773" i="4" s="1"/>
  <c r="R1773" i="4"/>
  <c r="U1772" i="4"/>
  <c r="S1772" i="4"/>
  <c r="T1772" i="4" s="1"/>
  <c r="R1772" i="4"/>
  <c r="U1771" i="4"/>
  <c r="T1771" i="4"/>
  <c r="S1771" i="4"/>
  <c r="R1771" i="4"/>
  <c r="U1770" i="4"/>
  <c r="S1770" i="4"/>
  <c r="T1770" i="4" s="1"/>
  <c r="R1770" i="4"/>
  <c r="U1769" i="4"/>
  <c r="S1769" i="4"/>
  <c r="T1769" i="4" s="1"/>
  <c r="R1769" i="4"/>
  <c r="U1768" i="4"/>
  <c r="S1768" i="4"/>
  <c r="T1768" i="4" s="1"/>
  <c r="R1768" i="4"/>
  <c r="U1767" i="4"/>
  <c r="T1767" i="4"/>
  <c r="S1767" i="4"/>
  <c r="R1767" i="4"/>
  <c r="U1766" i="4"/>
  <c r="S1766" i="4"/>
  <c r="T1766" i="4" s="1"/>
  <c r="R1766" i="4"/>
  <c r="U1765" i="4"/>
  <c r="S1765" i="4"/>
  <c r="T1765" i="4" s="1"/>
  <c r="R1765" i="4"/>
  <c r="U1764" i="4"/>
  <c r="S1764" i="4"/>
  <c r="T1764" i="4" s="1"/>
  <c r="R1764" i="4"/>
  <c r="U1763" i="4"/>
  <c r="S1763" i="4"/>
  <c r="T1763" i="4" s="1"/>
  <c r="R1763" i="4"/>
  <c r="U1762" i="4"/>
  <c r="S1762" i="4"/>
  <c r="T1762" i="4" s="1"/>
  <c r="R1762" i="4"/>
  <c r="U1761" i="4"/>
  <c r="S1761" i="4"/>
  <c r="T1761" i="4" s="1"/>
  <c r="R1761" i="4"/>
  <c r="U1760" i="4"/>
  <c r="S1760" i="4"/>
  <c r="T1760" i="4" s="1"/>
  <c r="R1760" i="4"/>
  <c r="U1759" i="4"/>
  <c r="T1759" i="4"/>
  <c r="S1759" i="4"/>
  <c r="R1759" i="4"/>
  <c r="U1758" i="4"/>
  <c r="S1758" i="4"/>
  <c r="T1758" i="4" s="1"/>
  <c r="R1758" i="4"/>
  <c r="U1757" i="4"/>
  <c r="S1757" i="4"/>
  <c r="T1757" i="4" s="1"/>
  <c r="R1757" i="4"/>
  <c r="U1756" i="4"/>
  <c r="S1756" i="4"/>
  <c r="T1756" i="4" s="1"/>
  <c r="R1756" i="4"/>
  <c r="U1755" i="4"/>
  <c r="T1755" i="4"/>
  <c r="S1755" i="4"/>
  <c r="R1755" i="4"/>
  <c r="U1754" i="4"/>
  <c r="S1754" i="4"/>
  <c r="T1754" i="4" s="1"/>
  <c r="R1754" i="4"/>
  <c r="U1753" i="4"/>
  <c r="S1753" i="4"/>
  <c r="T1753" i="4" s="1"/>
  <c r="R1753" i="4"/>
  <c r="U1752" i="4"/>
  <c r="S1752" i="4"/>
  <c r="T1752" i="4" s="1"/>
  <c r="R1752" i="4"/>
  <c r="U1751" i="4"/>
  <c r="T1751" i="4"/>
  <c r="S1751" i="4"/>
  <c r="R1751" i="4"/>
  <c r="U1750" i="4"/>
  <c r="S1750" i="4"/>
  <c r="T1750" i="4" s="1"/>
  <c r="R1750" i="4"/>
  <c r="U1749" i="4"/>
  <c r="S1749" i="4"/>
  <c r="T1749" i="4" s="1"/>
  <c r="R1749" i="4"/>
  <c r="U1748" i="4"/>
  <c r="S1748" i="4"/>
  <c r="T1748" i="4" s="1"/>
  <c r="R1748" i="4"/>
  <c r="U1747" i="4"/>
  <c r="S1747" i="4"/>
  <c r="T1747" i="4" s="1"/>
  <c r="R1747" i="4"/>
  <c r="U1746" i="4"/>
  <c r="S1746" i="4"/>
  <c r="T1746" i="4" s="1"/>
  <c r="R1746" i="4"/>
  <c r="U1745" i="4"/>
  <c r="S1745" i="4"/>
  <c r="T1745" i="4" s="1"/>
  <c r="R1745" i="4"/>
  <c r="U1744" i="4"/>
  <c r="S1744" i="4"/>
  <c r="T1744" i="4" s="1"/>
  <c r="R1744" i="4"/>
  <c r="U1743" i="4"/>
  <c r="T1743" i="4"/>
  <c r="S1743" i="4"/>
  <c r="R1743" i="4"/>
  <c r="U1742" i="4"/>
  <c r="S1742" i="4"/>
  <c r="T1742" i="4" s="1"/>
  <c r="R1742" i="4"/>
  <c r="U1741" i="4"/>
  <c r="S1741" i="4"/>
  <c r="T1741" i="4" s="1"/>
  <c r="R1741" i="4"/>
  <c r="U1740" i="4"/>
  <c r="S1740" i="4"/>
  <c r="T1740" i="4" s="1"/>
  <c r="R1740" i="4"/>
  <c r="U1739" i="4"/>
  <c r="T1739" i="4"/>
  <c r="S1739" i="4"/>
  <c r="R1739" i="4"/>
  <c r="U1738" i="4"/>
  <c r="S1738" i="4"/>
  <c r="T1738" i="4" s="1"/>
  <c r="R1738" i="4"/>
  <c r="U1737" i="4"/>
  <c r="S1737" i="4"/>
  <c r="T1737" i="4" s="1"/>
  <c r="R1737" i="4"/>
  <c r="U1736" i="4"/>
  <c r="S1736" i="4"/>
  <c r="T1736" i="4" s="1"/>
  <c r="R1736" i="4"/>
  <c r="U1735" i="4"/>
  <c r="T1735" i="4"/>
  <c r="S1735" i="4"/>
  <c r="R1735" i="4"/>
  <c r="U1734" i="4"/>
  <c r="S1734" i="4"/>
  <c r="T1734" i="4" s="1"/>
  <c r="R1734" i="4"/>
  <c r="U1733" i="4"/>
  <c r="S1733" i="4"/>
  <c r="T1733" i="4" s="1"/>
  <c r="R1733" i="4"/>
  <c r="U1732" i="4"/>
  <c r="S1732" i="4"/>
  <c r="T1732" i="4" s="1"/>
  <c r="R1732" i="4"/>
  <c r="U1731" i="4"/>
  <c r="S1731" i="4"/>
  <c r="T1731" i="4" s="1"/>
  <c r="R1731" i="4"/>
  <c r="U1730" i="4"/>
  <c r="S1730" i="4"/>
  <c r="T1730" i="4" s="1"/>
  <c r="R1730" i="4"/>
  <c r="U1729" i="4"/>
  <c r="S1729" i="4"/>
  <c r="T1729" i="4" s="1"/>
  <c r="R1729" i="4"/>
  <c r="U1728" i="4"/>
  <c r="S1728" i="4"/>
  <c r="T1728" i="4" s="1"/>
  <c r="R1728" i="4"/>
  <c r="U1727" i="4"/>
  <c r="S1727" i="4"/>
  <c r="T1727" i="4" s="1"/>
  <c r="R1727" i="4"/>
  <c r="U1726" i="4"/>
  <c r="S1726" i="4"/>
  <c r="T1726" i="4" s="1"/>
  <c r="R1726" i="4"/>
  <c r="U1725" i="4"/>
  <c r="S1725" i="4"/>
  <c r="T1725" i="4" s="1"/>
  <c r="R1725" i="4"/>
  <c r="U1724" i="4"/>
  <c r="S1724" i="4"/>
  <c r="T1724" i="4" s="1"/>
  <c r="R1724" i="4"/>
  <c r="U1723" i="4"/>
  <c r="S1723" i="4"/>
  <c r="T1723" i="4" s="1"/>
  <c r="R1723" i="4"/>
  <c r="U1722" i="4"/>
  <c r="S1722" i="4"/>
  <c r="T1722" i="4" s="1"/>
  <c r="R1722" i="4"/>
  <c r="U1721" i="4"/>
  <c r="S1721" i="4"/>
  <c r="T1721" i="4" s="1"/>
  <c r="R1721" i="4"/>
  <c r="U1720" i="4"/>
  <c r="S1720" i="4"/>
  <c r="T1720" i="4" s="1"/>
  <c r="R1720" i="4"/>
  <c r="U1719" i="4"/>
  <c r="S1719" i="4"/>
  <c r="T1719" i="4" s="1"/>
  <c r="R1719" i="4"/>
  <c r="U1718" i="4"/>
  <c r="S1718" i="4"/>
  <c r="T1718" i="4" s="1"/>
  <c r="R1718" i="4"/>
  <c r="U1717" i="4"/>
  <c r="S1717" i="4"/>
  <c r="T1717" i="4" s="1"/>
  <c r="R1717" i="4"/>
  <c r="U1716" i="4"/>
  <c r="S1716" i="4"/>
  <c r="T1716" i="4" s="1"/>
  <c r="R1716" i="4"/>
  <c r="U1715" i="4"/>
  <c r="S1715" i="4"/>
  <c r="T1715" i="4" s="1"/>
  <c r="R1715" i="4"/>
  <c r="U1714" i="4"/>
  <c r="S1714" i="4"/>
  <c r="T1714" i="4" s="1"/>
  <c r="R1714" i="4"/>
  <c r="U1713" i="4"/>
  <c r="S1713" i="4"/>
  <c r="T1713" i="4" s="1"/>
  <c r="R1713" i="4"/>
  <c r="U1712" i="4"/>
  <c r="S1712" i="4"/>
  <c r="T1712" i="4" s="1"/>
  <c r="R1712" i="4"/>
  <c r="U1711" i="4"/>
  <c r="S1711" i="4"/>
  <c r="T1711" i="4" s="1"/>
  <c r="R1711" i="4"/>
  <c r="U1710" i="4"/>
  <c r="S1710" i="4"/>
  <c r="T1710" i="4" s="1"/>
  <c r="R1710" i="4"/>
  <c r="U1709" i="4"/>
  <c r="S1709" i="4"/>
  <c r="T1709" i="4" s="1"/>
  <c r="R1709" i="4"/>
  <c r="U1708" i="4"/>
  <c r="S1708" i="4"/>
  <c r="T1708" i="4" s="1"/>
  <c r="R1708" i="4"/>
  <c r="U1707" i="4"/>
  <c r="S1707" i="4"/>
  <c r="T1707" i="4" s="1"/>
  <c r="R1707" i="4"/>
  <c r="U1706" i="4"/>
  <c r="S1706" i="4"/>
  <c r="T1706" i="4" s="1"/>
  <c r="R1706" i="4"/>
  <c r="U1705" i="4"/>
  <c r="S1705" i="4"/>
  <c r="T1705" i="4" s="1"/>
  <c r="R1705" i="4"/>
  <c r="U1704" i="4"/>
  <c r="S1704" i="4"/>
  <c r="T1704" i="4" s="1"/>
  <c r="R1704" i="4"/>
  <c r="U1703" i="4"/>
  <c r="S1703" i="4"/>
  <c r="T1703" i="4" s="1"/>
  <c r="R1703" i="4"/>
  <c r="U1702" i="4"/>
  <c r="S1702" i="4"/>
  <c r="T1702" i="4" s="1"/>
  <c r="R1702" i="4"/>
  <c r="U1701" i="4"/>
  <c r="S1701" i="4"/>
  <c r="T1701" i="4" s="1"/>
  <c r="R1701" i="4"/>
  <c r="U1700" i="4"/>
  <c r="S1700" i="4"/>
  <c r="T1700" i="4" s="1"/>
  <c r="R1700" i="4"/>
  <c r="U1699" i="4"/>
  <c r="S1699" i="4"/>
  <c r="T1699" i="4" s="1"/>
  <c r="R1699" i="4"/>
  <c r="U1698" i="4"/>
  <c r="S1698" i="4"/>
  <c r="T1698" i="4" s="1"/>
  <c r="R1698" i="4"/>
  <c r="U1697" i="4"/>
  <c r="S1697" i="4"/>
  <c r="T1697" i="4" s="1"/>
  <c r="R1697" i="4"/>
  <c r="U1696" i="4"/>
  <c r="S1696" i="4"/>
  <c r="T1696" i="4" s="1"/>
  <c r="R1696" i="4"/>
  <c r="U1695" i="4"/>
  <c r="S1695" i="4"/>
  <c r="T1695" i="4" s="1"/>
  <c r="R1695" i="4"/>
  <c r="U1694" i="4"/>
  <c r="S1694" i="4"/>
  <c r="T1694" i="4" s="1"/>
  <c r="R1694" i="4"/>
  <c r="U1693" i="4"/>
  <c r="S1693" i="4"/>
  <c r="T1693" i="4" s="1"/>
  <c r="R1693" i="4"/>
  <c r="U1692" i="4"/>
  <c r="S1692" i="4"/>
  <c r="T1692" i="4" s="1"/>
  <c r="R1692" i="4"/>
  <c r="U1691" i="4"/>
  <c r="S1691" i="4"/>
  <c r="T1691" i="4" s="1"/>
  <c r="R1691" i="4"/>
  <c r="U1690" i="4"/>
  <c r="S1690" i="4"/>
  <c r="T1690" i="4" s="1"/>
  <c r="R1690" i="4"/>
  <c r="U1689" i="4"/>
  <c r="S1689" i="4"/>
  <c r="T1689" i="4" s="1"/>
  <c r="R1689" i="4"/>
  <c r="U1688" i="4"/>
  <c r="S1688" i="4"/>
  <c r="T1688" i="4" s="1"/>
  <c r="R1688" i="4"/>
  <c r="U1687" i="4"/>
  <c r="S1687" i="4"/>
  <c r="T1687" i="4" s="1"/>
  <c r="R1687" i="4"/>
  <c r="U1686" i="4"/>
  <c r="S1686" i="4"/>
  <c r="T1686" i="4" s="1"/>
  <c r="R1686" i="4"/>
  <c r="U1685" i="4"/>
  <c r="S1685" i="4"/>
  <c r="T1685" i="4" s="1"/>
  <c r="R1685" i="4"/>
  <c r="U1684" i="4"/>
  <c r="S1684" i="4"/>
  <c r="T1684" i="4" s="1"/>
  <c r="R1684" i="4"/>
  <c r="U1683" i="4"/>
  <c r="S1683" i="4"/>
  <c r="T1683" i="4" s="1"/>
  <c r="R1683" i="4"/>
  <c r="U1682" i="4"/>
  <c r="S1682" i="4"/>
  <c r="T1682" i="4" s="1"/>
  <c r="R1682" i="4"/>
  <c r="U1681" i="4"/>
  <c r="S1681" i="4"/>
  <c r="T1681" i="4" s="1"/>
  <c r="R1681" i="4"/>
  <c r="U1680" i="4"/>
  <c r="S1680" i="4"/>
  <c r="T1680" i="4" s="1"/>
  <c r="R1680" i="4"/>
  <c r="U1679" i="4"/>
  <c r="S1679" i="4"/>
  <c r="T1679" i="4" s="1"/>
  <c r="R1679" i="4"/>
  <c r="U1678" i="4"/>
  <c r="S1678" i="4"/>
  <c r="T1678" i="4" s="1"/>
  <c r="R1678" i="4"/>
  <c r="U1677" i="4"/>
  <c r="S1677" i="4"/>
  <c r="T1677" i="4" s="1"/>
  <c r="R1677" i="4"/>
  <c r="U1676" i="4"/>
  <c r="S1676" i="4"/>
  <c r="T1676" i="4" s="1"/>
  <c r="R1676" i="4"/>
  <c r="U1675" i="4"/>
  <c r="S1675" i="4"/>
  <c r="T1675" i="4" s="1"/>
  <c r="R1675" i="4"/>
  <c r="U1674" i="4"/>
  <c r="S1674" i="4"/>
  <c r="T1674" i="4" s="1"/>
  <c r="R1674" i="4"/>
  <c r="U1673" i="4"/>
  <c r="S1673" i="4"/>
  <c r="T1673" i="4" s="1"/>
  <c r="R1673" i="4"/>
  <c r="U1672" i="4"/>
  <c r="S1672" i="4"/>
  <c r="T1672" i="4" s="1"/>
  <c r="R1672" i="4"/>
  <c r="U1671" i="4"/>
  <c r="S1671" i="4"/>
  <c r="T1671" i="4" s="1"/>
  <c r="R1671" i="4"/>
  <c r="U1670" i="4"/>
  <c r="S1670" i="4"/>
  <c r="T1670" i="4" s="1"/>
  <c r="R1670" i="4"/>
  <c r="U1669" i="4"/>
  <c r="S1669" i="4"/>
  <c r="T1669" i="4" s="1"/>
  <c r="R1669" i="4"/>
  <c r="U1668" i="4"/>
  <c r="S1668" i="4"/>
  <c r="T1668" i="4" s="1"/>
  <c r="R1668" i="4"/>
  <c r="U1667" i="4"/>
  <c r="S1667" i="4"/>
  <c r="T1667" i="4" s="1"/>
  <c r="R1667" i="4"/>
  <c r="U1666" i="4"/>
  <c r="S1666" i="4"/>
  <c r="T1666" i="4" s="1"/>
  <c r="R1666" i="4"/>
  <c r="U1665" i="4"/>
  <c r="S1665" i="4"/>
  <c r="T1665" i="4" s="1"/>
  <c r="R1665" i="4"/>
  <c r="U1664" i="4"/>
  <c r="S1664" i="4"/>
  <c r="T1664" i="4" s="1"/>
  <c r="R1664" i="4"/>
  <c r="U1663" i="4"/>
  <c r="S1663" i="4"/>
  <c r="T1663" i="4" s="1"/>
  <c r="R1663" i="4"/>
  <c r="U1662" i="4"/>
  <c r="S1662" i="4"/>
  <c r="T1662" i="4" s="1"/>
  <c r="R1662" i="4"/>
  <c r="U1661" i="4"/>
  <c r="S1661" i="4"/>
  <c r="T1661" i="4" s="1"/>
  <c r="R1661" i="4"/>
  <c r="U1660" i="4"/>
  <c r="S1660" i="4"/>
  <c r="T1660" i="4" s="1"/>
  <c r="R1660" i="4"/>
  <c r="U1659" i="4"/>
  <c r="S1659" i="4"/>
  <c r="T1659" i="4" s="1"/>
  <c r="R1659" i="4"/>
  <c r="U1658" i="4"/>
  <c r="S1658" i="4"/>
  <c r="T1658" i="4" s="1"/>
  <c r="R1658" i="4"/>
  <c r="U1657" i="4"/>
  <c r="S1657" i="4"/>
  <c r="T1657" i="4" s="1"/>
  <c r="R1657" i="4"/>
  <c r="U1656" i="4"/>
  <c r="S1656" i="4"/>
  <c r="T1656" i="4" s="1"/>
  <c r="R1656" i="4"/>
  <c r="U1655" i="4"/>
  <c r="S1655" i="4"/>
  <c r="T1655" i="4" s="1"/>
  <c r="R1655" i="4"/>
  <c r="U1654" i="4"/>
  <c r="S1654" i="4"/>
  <c r="T1654" i="4" s="1"/>
  <c r="R1654" i="4"/>
  <c r="U1653" i="4"/>
  <c r="S1653" i="4"/>
  <c r="T1653" i="4" s="1"/>
  <c r="R1653" i="4"/>
  <c r="U1652" i="4"/>
  <c r="S1652" i="4"/>
  <c r="T1652" i="4" s="1"/>
  <c r="R1652" i="4"/>
  <c r="U1651" i="4"/>
  <c r="S1651" i="4"/>
  <c r="T1651" i="4" s="1"/>
  <c r="R1651" i="4"/>
  <c r="U1650" i="4"/>
  <c r="S1650" i="4"/>
  <c r="T1650" i="4" s="1"/>
  <c r="R1650" i="4"/>
  <c r="U1649" i="4"/>
  <c r="S1649" i="4"/>
  <c r="T1649" i="4" s="1"/>
  <c r="R1649" i="4"/>
  <c r="U1648" i="4"/>
  <c r="S1648" i="4"/>
  <c r="T1648" i="4" s="1"/>
  <c r="R1648" i="4"/>
  <c r="U1647" i="4"/>
  <c r="S1647" i="4"/>
  <c r="T1647" i="4" s="1"/>
  <c r="R1647" i="4"/>
  <c r="U1646" i="4"/>
  <c r="S1646" i="4"/>
  <c r="T1646" i="4" s="1"/>
  <c r="R1646" i="4"/>
  <c r="U1645" i="4"/>
  <c r="S1645" i="4"/>
  <c r="T1645" i="4" s="1"/>
  <c r="R1645" i="4"/>
  <c r="U1644" i="4"/>
  <c r="S1644" i="4"/>
  <c r="T1644" i="4" s="1"/>
  <c r="R1644" i="4"/>
  <c r="U1643" i="4"/>
  <c r="S1643" i="4"/>
  <c r="T1643" i="4" s="1"/>
  <c r="R1643" i="4"/>
  <c r="U1642" i="4"/>
  <c r="S1642" i="4"/>
  <c r="T1642" i="4" s="1"/>
  <c r="R1642" i="4"/>
  <c r="U1641" i="4"/>
  <c r="S1641" i="4"/>
  <c r="T1641" i="4" s="1"/>
  <c r="R1641" i="4"/>
  <c r="U1640" i="4"/>
  <c r="S1640" i="4"/>
  <c r="T1640" i="4" s="1"/>
  <c r="R1640" i="4"/>
  <c r="U1639" i="4"/>
  <c r="S1639" i="4"/>
  <c r="T1639" i="4" s="1"/>
  <c r="R1639" i="4"/>
  <c r="U1638" i="4"/>
  <c r="S1638" i="4"/>
  <c r="T1638" i="4" s="1"/>
  <c r="R1638" i="4"/>
  <c r="U1637" i="4"/>
  <c r="S1637" i="4"/>
  <c r="T1637" i="4" s="1"/>
  <c r="R1637" i="4"/>
  <c r="U1636" i="4"/>
  <c r="S1636" i="4"/>
  <c r="T1636" i="4" s="1"/>
  <c r="R1636" i="4"/>
  <c r="U1635" i="4"/>
  <c r="S1635" i="4"/>
  <c r="T1635" i="4" s="1"/>
  <c r="R1635" i="4"/>
  <c r="U1634" i="4"/>
  <c r="S1634" i="4"/>
  <c r="T1634" i="4" s="1"/>
  <c r="R1634" i="4"/>
  <c r="U1633" i="4"/>
  <c r="S1633" i="4"/>
  <c r="T1633" i="4" s="1"/>
  <c r="R1633" i="4"/>
  <c r="U1632" i="4"/>
  <c r="S1632" i="4"/>
  <c r="T1632" i="4" s="1"/>
  <c r="R1632" i="4"/>
  <c r="U1631" i="4"/>
  <c r="S1631" i="4"/>
  <c r="T1631" i="4" s="1"/>
  <c r="R1631" i="4"/>
  <c r="U1630" i="4"/>
  <c r="S1630" i="4"/>
  <c r="T1630" i="4" s="1"/>
  <c r="R1630" i="4"/>
  <c r="U1629" i="4"/>
  <c r="S1629" i="4"/>
  <c r="T1629" i="4" s="1"/>
  <c r="R1629" i="4"/>
  <c r="U1628" i="4"/>
  <c r="S1628" i="4"/>
  <c r="T1628" i="4" s="1"/>
  <c r="R1628" i="4"/>
  <c r="U1627" i="4"/>
  <c r="S1627" i="4"/>
  <c r="T1627" i="4" s="1"/>
  <c r="R1627" i="4"/>
  <c r="U1626" i="4"/>
  <c r="S1626" i="4"/>
  <c r="T1626" i="4" s="1"/>
  <c r="R1626" i="4"/>
  <c r="U1625" i="4"/>
  <c r="S1625" i="4"/>
  <c r="T1625" i="4" s="1"/>
  <c r="R1625" i="4"/>
  <c r="U1624" i="4"/>
  <c r="S1624" i="4"/>
  <c r="T1624" i="4" s="1"/>
  <c r="R1624" i="4"/>
  <c r="U1623" i="4"/>
  <c r="S1623" i="4"/>
  <c r="T1623" i="4" s="1"/>
  <c r="R1623" i="4"/>
  <c r="U1622" i="4"/>
  <c r="S1622" i="4"/>
  <c r="T1622" i="4" s="1"/>
  <c r="R1622" i="4"/>
  <c r="U1621" i="4"/>
  <c r="S1621" i="4"/>
  <c r="T1621" i="4" s="1"/>
  <c r="R1621" i="4"/>
  <c r="U1620" i="4"/>
  <c r="S1620" i="4"/>
  <c r="T1620" i="4" s="1"/>
  <c r="R1620" i="4"/>
  <c r="U1619" i="4"/>
  <c r="S1619" i="4"/>
  <c r="T1619" i="4" s="1"/>
  <c r="R1619" i="4"/>
  <c r="U1618" i="4"/>
  <c r="S1618" i="4"/>
  <c r="T1618" i="4" s="1"/>
  <c r="R1618" i="4"/>
  <c r="U1617" i="4"/>
  <c r="S1617" i="4"/>
  <c r="T1617" i="4" s="1"/>
  <c r="R1617" i="4"/>
  <c r="U1616" i="4"/>
  <c r="S1616" i="4"/>
  <c r="T1616" i="4" s="1"/>
  <c r="R1616" i="4"/>
  <c r="U1615" i="4"/>
  <c r="S1615" i="4"/>
  <c r="T1615" i="4" s="1"/>
  <c r="R1615" i="4"/>
  <c r="U1614" i="4"/>
  <c r="S1614" i="4"/>
  <c r="T1614" i="4" s="1"/>
  <c r="R1614" i="4"/>
  <c r="U1613" i="4"/>
  <c r="S1613" i="4"/>
  <c r="T1613" i="4" s="1"/>
  <c r="R1613" i="4"/>
  <c r="U1612" i="4"/>
  <c r="S1612" i="4"/>
  <c r="T1612" i="4" s="1"/>
  <c r="R1612" i="4"/>
  <c r="U1611" i="4"/>
  <c r="S1611" i="4"/>
  <c r="T1611" i="4" s="1"/>
  <c r="R1611" i="4"/>
  <c r="U1610" i="4"/>
  <c r="S1610" i="4"/>
  <c r="T1610" i="4" s="1"/>
  <c r="R1610" i="4"/>
  <c r="U1609" i="4"/>
  <c r="S1609" i="4"/>
  <c r="T1609" i="4" s="1"/>
  <c r="R1609" i="4"/>
  <c r="U1608" i="4"/>
  <c r="S1608" i="4"/>
  <c r="T1608" i="4" s="1"/>
  <c r="R1608" i="4"/>
  <c r="U1607" i="4"/>
  <c r="S1607" i="4"/>
  <c r="T1607" i="4" s="1"/>
  <c r="R1607" i="4"/>
  <c r="U1606" i="4"/>
  <c r="S1606" i="4"/>
  <c r="T1606" i="4" s="1"/>
  <c r="R1606" i="4"/>
  <c r="U1605" i="4"/>
  <c r="S1605" i="4"/>
  <c r="T1605" i="4" s="1"/>
  <c r="R1605" i="4"/>
  <c r="U1604" i="4"/>
  <c r="S1604" i="4"/>
  <c r="T1604" i="4" s="1"/>
  <c r="R1604" i="4"/>
  <c r="U1603" i="4"/>
  <c r="S1603" i="4"/>
  <c r="T1603" i="4" s="1"/>
  <c r="R1603" i="4"/>
  <c r="U1602" i="4"/>
  <c r="S1602" i="4"/>
  <c r="T1602" i="4" s="1"/>
  <c r="R1602" i="4"/>
  <c r="U1601" i="4"/>
  <c r="S1601" i="4"/>
  <c r="T1601" i="4" s="1"/>
  <c r="R1601" i="4"/>
  <c r="U1600" i="4"/>
  <c r="S1600" i="4"/>
  <c r="T1600" i="4" s="1"/>
  <c r="R1600" i="4"/>
  <c r="U1599" i="4"/>
  <c r="S1599" i="4"/>
  <c r="T1599" i="4" s="1"/>
  <c r="R1599" i="4"/>
  <c r="U1598" i="4"/>
  <c r="S1598" i="4"/>
  <c r="T1598" i="4" s="1"/>
  <c r="R1598" i="4"/>
  <c r="U1597" i="4"/>
  <c r="S1597" i="4"/>
  <c r="T1597" i="4" s="1"/>
  <c r="R1597" i="4"/>
  <c r="U1596" i="4"/>
  <c r="S1596" i="4"/>
  <c r="T1596" i="4" s="1"/>
  <c r="R1596" i="4"/>
  <c r="U1595" i="4"/>
  <c r="S1595" i="4"/>
  <c r="T1595" i="4" s="1"/>
  <c r="R1595" i="4"/>
  <c r="U1594" i="4"/>
  <c r="S1594" i="4"/>
  <c r="T1594" i="4" s="1"/>
  <c r="R1594" i="4"/>
  <c r="U1593" i="4"/>
  <c r="S1593" i="4"/>
  <c r="T1593" i="4" s="1"/>
  <c r="R1593" i="4"/>
  <c r="U1592" i="4"/>
  <c r="S1592" i="4"/>
  <c r="T1592" i="4" s="1"/>
  <c r="R1592" i="4"/>
  <c r="U1591" i="4"/>
  <c r="S1591" i="4"/>
  <c r="T1591" i="4" s="1"/>
  <c r="R1591" i="4"/>
  <c r="U1590" i="4"/>
  <c r="S1590" i="4"/>
  <c r="T1590" i="4" s="1"/>
  <c r="R1590" i="4"/>
  <c r="U1589" i="4"/>
  <c r="S1589" i="4"/>
  <c r="T1589" i="4" s="1"/>
  <c r="R1589" i="4"/>
  <c r="U1588" i="4"/>
  <c r="S1588" i="4"/>
  <c r="T1588" i="4" s="1"/>
  <c r="R1588" i="4"/>
  <c r="U1587" i="4"/>
  <c r="S1587" i="4"/>
  <c r="T1587" i="4" s="1"/>
  <c r="R1587" i="4"/>
  <c r="U1586" i="4"/>
  <c r="S1586" i="4"/>
  <c r="T1586" i="4" s="1"/>
  <c r="R1586" i="4"/>
  <c r="U1585" i="4"/>
  <c r="S1585" i="4"/>
  <c r="T1585" i="4" s="1"/>
  <c r="R1585" i="4"/>
  <c r="U1584" i="4"/>
  <c r="S1584" i="4"/>
  <c r="T1584" i="4" s="1"/>
  <c r="R1584" i="4"/>
  <c r="U1583" i="4"/>
  <c r="S1583" i="4"/>
  <c r="T1583" i="4" s="1"/>
  <c r="R1583" i="4"/>
  <c r="U1582" i="4"/>
  <c r="S1582" i="4"/>
  <c r="T1582" i="4" s="1"/>
  <c r="R1582" i="4"/>
  <c r="U1581" i="4"/>
  <c r="S1581" i="4"/>
  <c r="T1581" i="4" s="1"/>
  <c r="R1581" i="4"/>
  <c r="U1580" i="4"/>
  <c r="S1580" i="4"/>
  <c r="T1580" i="4" s="1"/>
  <c r="R1580" i="4"/>
  <c r="U1579" i="4"/>
  <c r="S1579" i="4"/>
  <c r="T1579" i="4" s="1"/>
  <c r="R1579" i="4"/>
  <c r="U1578" i="4"/>
  <c r="S1578" i="4"/>
  <c r="T1578" i="4" s="1"/>
  <c r="R1578" i="4"/>
  <c r="U1577" i="4"/>
  <c r="S1577" i="4"/>
  <c r="T1577" i="4" s="1"/>
  <c r="R1577" i="4"/>
  <c r="U1576" i="4"/>
  <c r="S1576" i="4"/>
  <c r="T1576" i="4" s="1"/>
  <c r="R1576" i="4"/>
  <c r="U1575" i="4"/>
  <c r="S1575" i="4"/>
  <c r="T1575" i="4" s="1"/>
  <c r="R1575" i="4"/>
  <c r="U1574" i="4"/>
  <c r="S1574" i="4"/>
  <c r="T1574" i="4" s="1"/>
  <c r="R1574" i="4"/>
  <c r="U1573" i="4"/>
  <c r="S1573" i="4"/>
  <c r="T1573" i="4" s="1"/>
  <c r="R1573" i="4"/>
  <c r="U1572" i="4"/>
  <c r="S1572" i="4"/>
  <c r="T1572" i="4" s="1"/>
  <c r="R1572" i="4"/>
  <c r="U1571" i="4"/>
  <c r="S1571" i="4"/>
  <c r="T1571" i="4" s="1"/>
  <c r="R1571" i="4"/>
  <c r="U1570" i="4"/>
  <c r="S1570" i="4"/>
  <c r="T1570" i="4" s="1"/>
  <c r="R1570" i="4"/>
  <c r="U1569" i="4"/>
  <c r="S1569" i="4"/>
  <c r="T1569" i="4" s="1"/>
  <c r="R1569" i="4"/>
  <c r="U1568" i="4"/>
  <c r="S1568" i="4"/>
  <c r="T1568" i="4" s="1"/>
  <c r="R1568" i="4"/>
  <c r="U1567" i="4"/>
  <c r="S1567" i="4"/>
  <c r="T1567" i="4" s="1"/>
  <c r="R1567" i="4"/>
  <c r="U1566" i="4"/>
  <c r="S1566" i="4"/>
  <c r="T1566" i="4" s="1"/>
  <c r="R1566" i="4"/>
  <c r="U1565" i="4"/>
  <c r="S1565" i="4"/>
  <c r="T1565" i="4" s="1"/>
  <c r="R1565" i="4"/>
  <c r="U1564" i="4"/>
  <c r="S1564" i="4"/>
  <c r="T1564" i="4" s="1"/>
  <c r="R1564" i="4"/>
  <c r="U1563" i="4"/>
  <c r="S1563" i="4"/>
  <c r="T1563" i="4" s="1"/>
  <c r="R1563" i="4"/>
  <c r="U1562" i="4"/>
  <c r="S1562" i="4"/>
  <c r="T1562" i="4" s="1"/>
  <c r="R1562" i="4"/>
  <c r="U1561" i="4"/>
  <c r="S1561" i="4"/>
  <c r="T1561" i="4" s="1"/>
  <c r="R1561" i="4"/>
  <c r="U1560" i="4"/>
  <c r="S1560" i="4"/>
  <c r="T1560" i="4" s="1"/>
  <c r="R1560" i="4"/>
  <c r="U1559" i="4"/>
  <c r="S1559" i="4"/>
  <c r="T1559" i="4" s="1"/>
  <c r="R1559" i="4"/>
  <c r="U1558" i="4"/>
  <c r="S1558" i="4"/>
  <c r="T1558" i="4" s="1"/>
  <c r="R1558" i="4"/>
  <c r="U1557" i="4"/>
  <c r="S1557" i="4"/>
  <c r="T1557" i="4" s="1"/>
  <c r="R1557" i="4"/>
  <c r="U1556" i="4"/>
  <c r="S1556" i="4"/>
  <c r="T1556" i="4" s="1"/>
  <c r="R1556" i="4"/>
  <c r="U1555" i="4"/>
  <c r="S1555" i="4"/>
  <c r="T1555" i="4" s="1"/>
  <c r="R1555" i="4"/>
  <c r="U1554" i="4"/>
  <c r="S1554" i="4"/>
  <c r="T1554" i="4" s="1"/>
  <c r="R1554" i="4"/>
  <c r="U1553" i="4"/>
  <c r="S1553" i="4"/>
  <c r="T1553" i="4" s="1"/>
  <c r="R1553" i="4"/>
  <c r="U1552" i="4"/>
  <c r="S1552" i="4"/>
  <c r="T1552" i="4" s="1"/>
  <c r="R1552" i="4"/>
  <c r="U1551" i="4"/>
  <c r="S1551" i="4"/>
  <c r="T1551" i="4" s="1"/>
  <c r="R1551" i="4"/>
  <c r="U1550" i="4"/>
  <c r="S1550" i="4"/>
  <c r="T1550" i="4" s="1"/>
  <c r="R1550" i="4"/>
  <c r="U1549" i="4"/>
  <c r="S1549" i="4"/>
  <c r="T1549" i="4" s="1"/>
  <c r="R1549" i="4"/>
  <c r="U1548" i="4"/>
  <c r="S1548" i="4"/>
  <c r="T1548" i="4" s="1"/>
  <c r="R1548" i="4"/>
  <c r="U1547" i="4"/>
  <c r="S1547" i="4"/>
  <c r="T1547" i="4" s="1"/>
  <c r="R1547" i="4"/>
  <c r="U1546" i="4"/>
  <c r="S1546" i="4"/>
  <c r="T1546" i="4" s="1"/>
  <c r="R1546" i="4"/>
  <c r="U1545" i="4"/>
  <c r="S1545" i="4"/>
  <c r="T1545" i="4" s="1"/>
  <c r="R1545" i="4"/>
  <c r="U1544" i="4"/>
  <c r="S1544" i="4"/>
  <c r="T1544" i="4" s="1"/>
  <c r="R1544" i="4"/>
  <c r="U1543" i="4"/>
  <c r="S1543" i="4"/>
  <c r="T1543" i="4" s="1"/>
  <c r="R1543" i="4"/>
  <c r="U1542" i="4"/>
  <c r="S1542" i="4"/>
  <c r="T1542" i="4" s="1"/>
  <c r="R1542" i="4"/>
  <c r="U1541" i="4"/>
  <c r="S1541" i="4"/>
  <c r="T1541" i="4" s="1"/>
  <c r="R1541" i="4"/>
  <c r="U1540" i="4"/>
  <c r="S1540" i="4"/>
  <c r="T1540" i="4" s="1"/>
  <c r="R1540" i="4"/>
  <c r="U1539" i="4"/>
  <c r="S1539" i="4"/>
  <c r="T1539" i="4" s="1"/>
  <c r="R1539" i="4"/>
  <c r="U1538" i="4"/>
  <c r="S1538" i="4"/>
  <c r="T1538" i="4" s="1"/>
  <c r="R1538" i="4"/>
  <c r="U1537" i="4"/>
  <c r="S1537" i="4"/>
  <c r="T1537" i="4" s="1"/>
  <c r="R1537" i="4"/>
  <c r="U1536" i="4"/>
  <c r="S1536" i="4"/>
  <c r="T1536" i="4" s="1"/>
  <c r="R1536" i="4"/>
  <c r="U1535" i="4"/>
  <c r="S1535" i="4"/>
  <c r="T1535" i="4" s="1"/>
  <c r="R1535" i="4"/>
  <c r="U1534" i="4"/>
  <c r="S1534" i="4"/>
  <c r="T1534" i="4" s="1"/>
  <c r="R1534" i="4"/>
  <c r="U1533" i="4"/>
  <c r="S1533" i="4"/>
  <c r="T1533" i="4" s="1"/>
  <c r="R1533" i="4"/>
  <c r="U1532" i="4"/>
  <c r="S1532" i="4"/>
  <c r="T1532" i="4" s="1"/>
  <c r="R1532" i="4"/>
  <c r="U1531" i="4"/>
  <c r="S1531" i="4"/>
  <c r="T1531" i="4" s="1"/>
  <c r="R1531" i="4"/>
  <c r="U1530" i="4"/>
  <c r="S1530" i="4"/>
  <c r="T1530" i="4" s="1"/>
  <c r="R1530" i="4"/>
  <c r="U1529" i="4"/>
  <c r="S1529" i="4"/>
  <c r="T1529" i="4" s="1"/>
  <c r="R1529" i="4"/>
  <c r="U1528" i="4"/>
  <c r="S1528" i="4"/>
  <c r="T1528" i="4" s="1"/>
  <c r="R1528" i="4"/>
  <c r="U1527" i="4"/>
  <c r="S1527" i="4"/>
  <c r="T1527" i="4" s="1"/>
  <c r="R1527" i="4"/>
  <c r="U1526" i="4"/>
  <c r="S1526" i="4"/>
  <c r="T1526" i="4" s="1"/>
  <c r="R1526" i="4"/>
  <c r="U1525" i="4"/>
  <c r="S1525" i="4"/>
  <c r="T1525" i="4" s="1"/>
  <c r="R1525" i="4"/>
  <c r="U1524" i="4"/>
  <c r="S1524" i="4"/>
  <c r="T1524" i="4" s="1"/>
  <c r="R1524" i="4"/>
  <c r="U1523" i="4"/>
  <c r="S1523" i="4"/>
  <c r="T1523" i="4" s="1"/>
  <c r="R1523" i="4"/>
  <c r="U1522" i="4"/>
  <c r="S1522" i="4"/>
  <c r="T1522" i="4" s="1"/>
  <c r="R1522" i="4"/>
  <c r="U1521" i="4"/>
  <c r="S1521" i="4"/>
  <c r="T1521" i="4" s="1"/>
  <c r="R1521" i="4"/>
  <c r="U1520" i="4"/>
  <c r="S1520" i="4"/>
  <c r="T1520" i="4" s="1"/>
  <c r="R1520" i="4"/>
  <c r="U1519" i="4"/>
  <c r="S1519" i="4"/>
  <c r="T1519" i="4" s="1"/>
  <c r="R1519" i="4"/>
  <c r="U1518" i="4"/>
  <c r="S1518" i="4"/>
  <c r="T1518" i="4" s="1"/>
  <c r="R1518" i="4"/>
  <c r="U1517" i="4"/>
  <c r="S1517" i="4"/>
  <c r="T1517" i="4" s="1"/>
  <c r="R1517" i="4"/>
  <c r="U1516" i="4"/>
  <c r="S1516" i="4"/>
  <c r="T1516" i="4" s="1"/>
  <c r="R1516" i="4"/>
  <c r="U1515" i="4"/>
  <c r="S1515" i="4"/>
  <c r="T1515" i="4" s="1"/>
  <c r="R1515" i="4"/>
  <c r="U1514" i="4"/>
  <c r="S1514" i="4"/>
  <c r="T1514" i="4" s="1"/>
  <c r="R1514" i="4"/>
  <c r="U1513" i="4"/>
  <c r="S1513" i="4"/>
  <c r="T1513" i="4" s="1"/>
  <c r="R1513" i="4"/>
  <c r="U1512" i="4"/>
  <c r="S1512" i="4"/>
  <c r="T1512" i="4" s="1"/>
  <c r="R1512" i="4"/>
  <c r="U1511" i="4"/>
  <c r="S1511" i="4"/>
  <c r="T1511" i="4" s="1"/>
  <c r="R1511" i="4"/>
  <c r="U1510" i="4"/>
  <c r="S1510" i="4"/>
  <c r="T1510" i="4" s="1"/>
  <c r="R1510" i="4"/>
  <c r="U1509" i="4"/>
  <c r="S1509" i="4"/>
  <c r="T1509" i="4" s="1"/>
  <c r="R1509" i="4"/>
  <c r="U1508" i="4"/>
  <c r="S1508" i="4"/>
  <c r="T1508" i="4" s="1"/>
  <c r="R1508" i="4"/>
  <c r="U1507" i="4"/>
  <c r="S1507" i="4"/>
  <c r="T1507" i="4" s="1"/>
  <c r="R1507" i="4"/>
  <c r="U1506" i="4"/>
  <c r="S1506" i="4"/>
  <c r="T1506" i="4" s="1"/>
  <c r="R1506" i="4"/>
  <c r="U1505" i="4"/>
  <c r="S1505" i="4"/>
  <c r="T1505" i="4" s="1"/>
  <c r="R1505" i="4"/>
  <c r="U1504" i="4"/>
  <c r="S1504" i="4"/>
  <c r="T1504" i="4" s="1"/>
  <c r="R1504" i="4"/>
  <c r="U1503" i="4"/>
  <c r="S1503" i="4"/>
  <c r="T1503" i="4" s="1"/>
  <c r="R1503" i="4"/>
  <c r="U1502" i="4"/>
  <c r="S1502" i="4"/>
  <c r="T1502" i="4" s="1"/>
  <c r="R1502" i="4"/>
  <c r="U1501" i="4"/>
  <c r="S1501" i="4"/>
  <c r="T1501" i="4" s="1"/>
  <c r="R1501" i="4"/>
  <c r="U1500" i="4"/>
  <c r="S1500" i="4"/>
  <c r="T1500" i="4" s="1"/>
  <c r="R1500" i="4"/>
  <c r="U1499" i="4"/>
  <c r="S1499" i="4"/>
  <c r="T1499" i="4" s="1"/>
  <c r="R1499" i="4"/>
  <c r="U1498" i="4"/>
  <c r="S1498" i="4"/>
  <c r="T1498" i="4" s="1"/>
  <c r="R1498" i="4"/>
  <c r="U1497" i="4"/>
  <c r="S1497" i="4"/>
  <c r="T1497" i="4" s="1"/>
  <c r="R1497" i="4"/>
  <c r="U1496" i="4"/>
  <c r="S1496" i="4"/>
  <c r="T1496" i="4" s="1"/>
  <c r="R1496" i="4"/>
  <c r="U1495" i="4"/>
  <c r="S1495" i="4"/>
  <c r="T1495" i="4" s="1"/>
  <c r="R1495" i="4"/>
  <c r="U1494" i="4"/>
  <c r="S1494" i="4"/>
  <c r="T1494" i="4" s="1"/>
  <c r="R1494" i="4"/>
  <c r="U1493" i="4"/>
  <c r="S1493" i="4"/>
  <c r="T1493" i="4" s="1"/>
  <c r="R1493" i="4"/>
  <c r="U1492" i="4"/>
  <c r="S1492" i="4"/>
  <c r="T1492" i="4" s="1"/>
  <c r="R1492" i="4"/>
  <c r="U1491" i="4"/>
  <c r="S1491" i="4"/>
  <c r="T1491" i="4" s="1"/>
  <c r="R1491" i="4"/>
  <c r="U1490" i="4"/>
  <c r="S1490" i="4"/>
  <c r="T1490" i="4" s="1"/>
  <c r="R1490" i="4"/>
  <c r="U1489" i="4"/>
  <c r="S1489" i="4"/>
  <c r="T1489" i="4" s="1"/>
  <c r="R1489" i="4"/>
  <c r="U1488" i="4"/>
  <c r="S1488" i="4"/>
  <c r="T1488" i="4" s="1"/>
  <c r="R1488" i="4"/>
  <c r="U1487" i="4"/>
  <c r="S1487" i="4"/>
  <c r="T1487" i="4" s="1"/>
  <c r="R1487" i="4"/>
  <c r="U1486" i="4"/>
  <c r="S1486" i="4"/>
  <c r="T1486" i="4" s="1"/>
  <c r="R1486" i="4"/>
  <c r="U1485" i="4"/>
  <c r="S1485" i="4"/>
  <c r="T1485" i="4" s="1"/>
  <c r="R1485" i="4"/>
  <c r="U1484" i="4"/>
  <c r="S1484" i="4"/>
  <c r="T1484" i="4" s="1"/>
  <c r="R1484" i="4"/>
  <c r="U1483" i="4"/>
  <c r="S1483" i="4"/>
  <c r="T1483" i="4" s="1"/>
  <c r="R1483" i="4"/>
  <c r="U1482" i="4"/>
  <c r="S1482" i="4"/>
  <c r="T1482" i="4" s="1"/>
  <c r="R1482" i="4"/>
  <c r="U1481" i="4"/>
  <c r="S1481" i="4"/>
  <c r="T1481" i="4" s="1"/>
  <c r="R1481" i="4"/>
  <c r="U1480" i="4"/>
  <c r="S1480" i="4"/>
  <c r="T1480" i="4" s="1"/>
  <c r="R1480" i="4"/>
  <c r="U1479" i="4"/>
  <c r="S1479" i="4"/>
  <c r="T1479" i="4" s="1"/>
  <c r="R1479" i="4"/>
  <c r="U1478" i="4"/>
  <c r="S1478" i="4"/>
  <c r="T1478" i="4" s="1"/>
  <c r="R1478" i="4"/>
  <c r="U1477" i="4"/>
  <c r="S1477" i="4"/>
  <c r="T1477" i="4" s="1"/>
  <c r="R1477" i="4"/>
  <c r="U1476" i="4"/>
  <c r="S1476" i="4"/>
  <c r="T1476" i="4" s="1"/>
  <c r="R1476" i="4"/>
  <c r="U1475" i="4"/>
  <c r="S1475" i="4"/>
  <c r="T1475" i="4" s="1"/>
  <c r="R1475" i="4"/>
  <c r="U1474" i="4"/>
  <c r="S1474" i="4"/>
  <c r="T1474" i="4" s="1"/>
  <c r="R1474" i="4"/>
  <c r="U1473" i="4"/>
  <c r="S1473" i="4"/>
  <c r="T1473" i="4" s="1"/>
  <c r="R1473" i="4"/>
  <c r="U1472" i="4"/>
  <c r="S1472" i="4"/>
  <c r="T1472" i="4" s="1"/>
  <c r="R1472" i="4"/>
  <c r="U1471" i="4"/>
  <c r="S1471" i="4"/>
  <c r="T1471" i="4" s="1"/>
  <c r="R1471" i="4"/>
  <c r="U1470" i="4"/>
  <c r="S1470" i="4"/>
  <c r="T1470" i="4" s="1"/>
  <c r="R1470" i="4"/>
  <c r="U1469" i="4"/>
  <c r="S1469" i="4"/>
  <c r="T1469" i="4" s="1"/>
  <c r="R1469" i="4"/>
  <c r="U1468" i="4"/>
  <c r="S1468" i="4"/>
  <c r="T1468" i="4" s="1"/>
  <c r="R1468" i="4"/>
  <c r="U1467" i="4"/>
  <c r="S1467" i="4"/>
  <c r="T1467" i="4" s="1"/>
  <c r="R1467" i="4"/>
  <c r="U1466" i="4"/>
  <c r="S1466" i="4"/>
  <c r="T1466" i="4" s="1"/>
  <c r="R1466" i="4"/>
  <c r="U1465" i="4"/>
  <c r="S1465" i="4"/>
  <c r="T1465" i="4" s="1"/>
  <c r="R1465" i="4"/>
  <c r="U1464" i="4"/>
  <c r="S1464" i="4"/>
  <c r="T1464" i="4" s="1"/>
  <c r="R1464" i="4"/>
  <c r="U1463" i="4"/>
  <c r="S1463" i="4"/>
  <c r="T1463" i="4" s="1"/>
  <c r="R1463" i="4"/>
  <c r="U1462" i="4"/>
  <c r="S1462" i="4"/>
  <c r="T1462" i="4" s="1"/>
  <c r="R1462" i="4"/>
  <c r="U1461" i="4"/>
  <c r="S1461" i="4"/>
  <c r="T1461" i="4" s="1"/>
  <c r="R1461" i="4"/>
  <c r="U1460" i="4"/>
  <c r="S1460" i="4"/>
  <c r="T1460" i="4" s="1"/>
  <c r="R1460" i="4"/>
  <c r="U1459" i="4"/>
  <c r="S1459" i="4"/>
  <c r="T1459" i="4" s="1"/>
  <c r="R1459" i="4"/>
  <c r="U1458" i="4"/>
  <c r="S1458" i="4"/>
  <c r="T1458" i="4" s="1"/>
  <c r="R1458" i="4"/>
  <c r="U1457" i="4"/>
  <c r="S1457" i="4"/>
  <c r="T1457" i="4" s="1"/>
  <c r="R1457" i="4"/>
  <c r="U1456" i="4"/>
  <c r="S1456" i="4"/>
  <c r="T1456" i="4" s="1"/>
  <c r="R1456" i="4"/>
  <c r="U1455" i="4"/>
  <c r="S1455" i="4"/>
  <c r="T1455" i="4" s="1"/>
  <c r="R1455" i="4"/>
  <c r="U1454" i="4"/>
  <c r="S1454" i="4"/>
  <c r="T1454" i="4" s="1"/>
  <c r="R1454" i="4"/>
  <c r="U1453" i="4"/>
  <c r="S1453" i="4"/>
  <c r="T1453" i="4" s="1"/>
  <c r="R1453" i="4"/>
  <c r="U1452" i="4"/>
  <c r="S1452" i="4"/>
  <c r="T1452" i="4" s="1"/>
  <c r="R1452" i="4"/>
  <c r="U1451" i="4"/>
  <c r="S1451" i="4"/>
  <c r="T1451" i="4" s="1"/>
  <c r="R1451" i="4"/>
  <c r="U1450" i="4"/>
  <c r="S1450" i="4"/>
  <c r="T1450" i="4" s="1"/>
  <c r="R1450" i="4"/>
  <c r="U1449" i="4"/>
  <c r="S1449" i="4"/>
  <c r="T1449" i="4" s="1"/>
  <c r="R1449" i="4"/>
  <c r="U1448" i="4"/>
  <c r="S1448" i="4"/>
  <c r="T1448" i="4" s="1"/>
  <c r="R1448" i="4"/>
  <c r="U1447" i="4"/>
  <c r="S1447" i="4"/>
  <c r="T1447" i="4" s="1"/>
  <c r="R1447" i="4"/>
  <c r="U1446" i="4"/>
  <c r="S1446" i="4"/>
  <c r="T1446" i="4" s="1"/>
  <c r="R1446" i="4"/>
  <c r="U1445" i="4"/>
  <c r="S1445" i="4"/>
  <c r="T1445" i="4" s="1"/>
  <c r="R1445" i="4"/>
  <c r="U1444" i="4"/>
  <c r="S1444" i="4"/>
  <c r="T1444" i="4" s="1"/>
  <c r="R1444" i="4"/>
  <c r="U1443" i="4"/>
  <c r="S1443" i="4"/>
  <c r="T1443" i="4" s="1"/>
  <c r="R1443" i="4"/>
  <c r="U1442" i="4"/>
  <c r="S1442" i="4"/>
  <c r="T1442" i="4" s="1"/>
  <c r="R1442" i="4"/>
  <c r="U1441" i="4"/>
  <c r="S1441" i="4"/>
  <c r="T1441" i="4" s="1"/>
  <c r="R1441" i="4"/>
  <c r="U1440" i="4"/>
  <c r="S1440" i="4"/>
  <c r="T1440" i="4" s="1"/>
  <c r="R1440" i="4"/>
  <c r="U1439" i="4"/>
  <c r="S1439" i="4"/>
  <c r="T1439" i="4" s="1"/>
  <c r="R1439" i="4"/>
  <c r="U1438" i="4"/>
  <c r="S1438" i="4"/>
  <c r="T1438" i="4" s="1"/>
  <c r="R1438" i="4"/>
  <c r="U1437" i="4"/>
  <c r="S1437" i="4"/>
  <c r="T1437" i="4" s="1"/>
  <c r="R1437" i="4"/>
  <c r="U1436" i="4"/>
  <c r="S1436" i="4"/>
  <c r="T1436" i="4" s="1"/>
  <c r="R1436" i="4"/>
  <c r="U1435" i="4"/>
  <c r="S1435" i="4"/>
  <c r="T1435" i="4" s="1"/>
  <c r="R1435" i="4"/>
  <c r="U1434" i="4"/>
  <c r="S1434" i="4"/>
  <c r="T1434" i="4" s="1"/>
  <c r="R1434" i="4"/>
  <c r="U1433" i="4"/>
  <c r="S1433" i="4"/>
  <c r="T1433" i="4" s="1"/>
  <c r="R1433" i="4"/>
  <c r="U1432" i="4"/>
  <c r="S1432" i="4"/>
  <c r="T1432" i="4" s="1"/>
  <c r="R1432" i="4"/>
  <c r="U1431" i="4"/>
  <c r="S1431" i="4"/>
  <c r="T1431" i="4" s="1"/>
  <c r="R1431" i="4"/>
  <c r="U1430" i="4"/>
  <c r="S1430" i="4"/>
  <c r="T1430" i="4" s="1"/>
  <c r="R1430" i="4"/>
  <c r="U1429" i="4"/>
  <c r="S1429" i="4"/>
  <c r="T1429" i="4" s="1"/>
  <c r="R1429" i="4"/>
  <c r="U1428" i="4"/>
  <c r="S1428" i="4"/>
  <c r="T1428" i="4" s="1"/>
  <c r="R1428" i="4"/>
  <c r="U1427" i="4"/>
  <c r="S1427" i="4"/>
  <c r="T1427" i="4" s="1"/>
  <c r="R1427" i="4"/>
  <c r="U1426" i="4"/>
  <c r="S1426" i="4"/>
  <c r="T1426" i="4" s="1"/>
  <c r="R1426" i="4"/>
  <c r="U1425" i="4"/>
  <c r="S1425" i="4"/>
  <c r="T1425" i="4" s="1"/>
  <c r="R1425" i="4"/>
  <c r="U1424" i="4"/>
  <c r="S1424" i="4"/>
  <c r="T1424" i="4" s="1"/>
  <c r="R1424" i="4"/>
  <c r="U1423" i="4"/>
  <c r="S1423" i="4"/>
  <c r="T1423" i="4" s="1"/>
  <c r="R1423" i="4"/>
  <c r="U1422" i="4"/>
  <c r="S1422" i="4"/>
  <c r="T1422" i="4" s="1"/>
  <c r="R1422" i="4"/>
  <c r="U1421" i="4"/>
  <c r="S1421" i="4"/>
  <c r="T1421" i="4" s="1"/>
  <c r="R1421" i="4"/>
  <c r="U1420" i="4"/>
  <c r="S1420" i="4"/>
  <c r="T1420" i="4" s="1"/>
  <c r="R1420" i="4"/>
  <c r="U1419" i="4"/>
  <c r="S1419" i="4"/>
  <c r="T1419" i="4" s="1"/>
  <c r="R1419" i="4"/>
  <c r="U1418" i="4"/>
  <c r="S1418" i="4"/>
  <c r="T1418" i="4" s="1"/>
  <c r="R1418" i="4"/>
  <c r="U1417" i="4"/>
  <c r="S1417" i="4"/>
  <c r="T1417" i="4" s="1"/>
  <c r="R1417" i="4"/>
  <c r="U1416" i="4"/>
  <c r="S1416" i="4"/>
  <c r="T1416" i="4" s="1"/>
  <c r="R1416" i="4"/>
  <c r="U1415" i="4"/>
  <c r="S1415" i="4"/>
  <c r="T1415" i="4" s="1"/>
  <c r="R1415" i="4"/>
  <c r="U1414" i="4"/>
  <c r="S1414" i="4"/>
  <c r="T1414" i="4" s="1"/>
  <c r="R1414" i="4"/>
  <c r="U1413" i="4"/>
  <c r="S1413" i="4"/>
  <c r="T1413" i="4" s="1"/>
  <c r="R1413" i="4"/>
  <c r="U1412" i="4"/>
  <c r="S1412" i="4"/>
  <c r="T1412" i="4" s="1"/>
  <c r="R1412" i="4"/>
  <c r="U1411" i="4"/>
  <c r="S1411" i="4"/>
  <c r="T1411" i="4" s="1"/>
  <c r="R1411" i="4"/>
  <c r="U1410" i="4"/>
  <c r="S1410" i="4"/>
  <c r="T1410" i="4" s="1"/>
  <c r="R1410" i="4"/>
  <c r="U1409" i="4"/>
  <c r="S1409" i="4"/>
  <c r="T1409" i="4" s="1"/>
  <c r="R1409" i="4"/>
  <c r="U1408" i="4"/>
  <c r="S1408" i="4"/>
  <c r="T1408" i="4" s="1"/>
  <c r="R1408" i="4"/>
  <c r="U1407" i="4"/>
  <c r="S1407" i="4"/>
  <c r="T1407" i="4" s="1"/>
  <c r="R1407" i="4"/>
  <c r="U1406" i="4"/>
  <c r="S1406" i="4"/>
  <c r="T1406" i="4" s="1"/>
  <c r="R1406" i="4"/>
  <c r="U1405" i="4"/>
  <c r="S1405" i="4"/>
  <c r="T1405" i="4" s="1"/>
  <c r="R1405" i="4"/>
  <c r="U1404" i="4"/>
  <c r="S1404" i="4"/>
  <c r="T1404" i="4" s="1"/>
  <c r="R1404" i="4"/>
  <c r="U1403" i="4"/>
  <c r="S1403" i="4"/>
  <c r="T1403" i="4" s="1"/>
  <c r="R1403" i="4"/>
  <c r="U1402" i="4"/>
  <c r="S1402" i="4"/>
  <c r="T1402" i="4" s="1"/>
  <c r="R1402" i="4"/>
  <c r="U1401" i="4"/>
  <c r="S1401" i="4"/>
  <c r="T1401" i="4" s="1"/>
  <c r="R1401" i="4"/>
  <c r="U1400" i="4"/>
  <c r="S1400" i="4"/>
  <c r="T1400" i="4" s="1"/>
  <c r="R1400" i="4"/>
  <c r="U1399" i="4"/>
  <c r="S1399" i="4"/>
  <c r="T1399" i="4" s="1"/>
  <c r="R1399" i="4"/>
  <c r="U1398" i="4"/>
  <c r="S1398" i="4"/>
  <c r="T1398" i="4" s="1"/>
  <c r="R1398" i="4"/>
  <c r="U1397" i="4"/>
  <c r="S1397" i="4"/>
  <c r="T1397" i="4" s="1"/>
  <c r="R1397" i="4"/>
  <c r="U1396" i="4"/>
  <c r="S1396" i="4"/>
  <c r="T1396" i="4" s="1"/>
  <c r="R1396" i="4"/>
  <c r="U1395" i="4"/>
  <c r="S1395" i="4"/>
  <c r="T1395" i="4" s="1"/>
  <c r="R1395" i="4"/>
  <c r="U1394" i="4"/>
  <c r="S1394" i="4"/>
  <c r="T1394" i="4" s="1"/>
  <c r="R1394" i="4"/>
  <c r="U1393" i="4"/>
  <c r="S1393" i="4"/>
  <c r="T1393" i="4" s="1"/>
  <c r="R1393" i="4"/>
  <c r="U1392" i="4"/>
  <c r="S1392" i="4"/>
  <c r="T1392" i="4" s="1"/>
  <c r="R1392" i="4"/>
  <c r="U1391" i="4"/>
  <c r="S1391" i="4"/>
  <c r="T1391" i="4" s="1"/>
  <c r="R1391" i="4"/>
  <c r="U1390" i="4"/>
  <c r="S1390" i="4"/>
  <c r="T1390" i="4" s="1"/>
  <c r="R1390" i="4"/>
  <c r="U1389" i="4"/>
  <c r="S1389" i="4"/>
  <c r="T1389" i="4" s="1"/>
  <c r="R1389" i="4"/>
  <c r="U1388" i="4"/>
  <c r="S1388" i="4"/>
  <c r="T1388" i="4" s="1"/>
  <c r="R1388" i="4"/>
  <c r="U1387" i="4"/>
  <c r="S1387" i="4"/>
  <c r="T1387" i="4" s="1"/>
  <c r="R1387" i="4"/>
  <c r="U1386" i="4"/>
  <c r="S1386" i="4"/>
  <c r="T1386" i="4" s="1"/>
  <c r="R1386" i="4"/>
  <c r="U1385" i="4"/>
  <c r="S1385" i="4"/>
  <c r="T1385" i="4" s="1"/>
  <c r="R1385" i="4"/>
  <c r="U1384" i="4"/>
  <c r="S1384" i="4"/>
  <c r="T1384" i="4" s="1"/>
  <c r="R1384" i="4"/>
  <c r="U1383" i="4"/>
  <c r="S1383" i="4"/>
  <c r="T1383" i="4" s="1"/>
  <c r="R1383" i="4"/>
  <c r="U1382" i="4"/>
  <c r="S1382" i="4"/>
  <c r="T1382" i="4" s="1"/>
  <c r="R1382" i="4"/>
  <c r="U1381" i="4"/>
  <c r="S1381" i="4"/>
  <c r="T1381" i="4" s="1"/>
  <c r="R1381" i="4"/>
  <c r="U1380" i="4"/>
  <c r="S1380" i="4"/>
  <c r="T1380" i="4" s="1"/>
  <c r="R1380" i="4"/>
  <c r="U1379" i="4"/>
  <c r="S1379" i="4"/>
  <c r="T1379" i="4" s="1"/>
  <c r="R1379" i="4"/>
  <c r="U1378" i="4"/>
  <c r="S1378" i="4"/>
  <c r="T1378" i="4" s="1"/>
  <c r="R1378" i="4"/>
  <c r="U1377" i="4"/>
  <c r="S1377" i="4"/>
  <c r="T1377" i="4" s="1"/>
  <c r="R1377" i="4"/>
  <c r="U1376" i="4"/>
  <c r="S1376" i="4"/>
  <c r="T1376" i="4" s="1"/>
  <c r="R1376" i="4"/>
  <c r="U1375" i="4"/>
  <c r="S1375" i="4"/>
  <c r="T1375" i="4" s="1"/>
  <c r="R1375" i="4"/>
  <c r="U1374" i="4"/>
  <c r="S1374" i="4"/>
  <c r="T1374" i="4" s="1"/>
  <c r="R1374" i="4"/>
  <c r="U1373" i="4"/>
  <c r="S1373" i="4"/>
  <c r="T1373" i="4" s="1"/>
  <c r="R1373" i="4"/>
  <c r="U1372" i="4"/>
  <c r="S1372" i="4"/>
  <c r="T1372" i="4" s="1"/>
  <c r="R1372" i="4"/>
  <c r="U1371" i="4"/>
  <c r="S1371" i="4"/>
  <c r="T1371" i="4" s="1"/>
  <c r="R1371" i="4"/>
  <c r="U1370" i="4"/>
  <c r="S1370" i="4"/>
  <c r="T1370" i="4" s="1"/>
  <c r="R1370" i="4"/>
  <c r="U1369" i="4"/>
  <c r="S1369" i="4"/>
  <c r="T1369" i="4" s="1"/>
  <c r="R1369" i="4"/>
  <c r="U1368" i="4"/>
  <c r="S1368" i="4"/>
  <c r="T1368" i="4" s="1"/>
  <c r="R1368" i="4"/>
  <c r="U1367" i="4"/>
  <c r="S1367" i="4"/>
  <c r="T1367" i="4" s="1"/>
  <c r="R1367" i="4"/>
  <c r="U1366" i="4"/>
  <c r="S1366" i="4"/>
  <c r="T1366" i="4" s="1"/>
  <c r="R1366" i="4"/>
  <c r="U1365" i="4"/>
  <c r="S1365" i="4"/>
  <c r="T1365" i="4" s="1"/>
  <c r="R1365" i="4"/>
  <c r="U1364" i="4"/>
  <c r="S1364" i="4"/>
  <c r="T1364" i="4" s="1"/>
  <c r="R1364" i="4"/>
  <c r="U1363" i="4"/>
  <c r="S1363" i="4"/>
  <c r="T1363" i="4" s="1"/>
  <c r="R1363" i="4"/>
  <c r="U1362" i="4"/>
  <c r="S1362" i="4"/>
  <c r="T1362" i="4" s="1"/>
  <c r="R1362" i="4"/>
  <c r="U1361" i="4"/>
  <c r="S1361" i="4"/>
  <c r="T1361" i="4" s="1"/>
  <c r="R1361" i="4"/>
  <c r="U1360" i="4"/>
  <c r="S1360" i="4"/>
  <c r="T1360" i="4" s="1"/>
  <c r="R1360" i="4"/>
  <c r="U1359" i="4"/>
  <c r="S1359" i="4"/>
  <c r="T1359" i="4" s="1"/>
  <c r="R1359" i="4"/>
  <c r="U1358" i="4"/>
  <c r="S1358" i="4"/>
  <c r="T1358" i="4" s="1"/>
  <c r="R1358" i="4"/>
  <c r="U1357" i="4"/>
  <c r="S1357" i="4"/>
  <c r="T1357" i="4" s="1"/>
  <c r="R1357" i="4"/>
  <c r="U1356" i="4"/>
  <c r="S1356" i="4"/>
  <c r="T1356" i="4" s="1"/>
  <c r="R1356" i="4"/>
  <c r="U1355" i="4"/>
  <c r="S1355" i="4"/>
  <c r="T1355" i="4" s="1"/>
  <c r="R1355" i="4"/>
  <c r="U1354" i="4"/>
  <c r="S1354" i="4"/>
  <c r="T1354" i="4" s="1"/>
  <c r="R1354" i="4"/>
  <c r="U1353" i="4"/>
  <c r="S1353" i="4"/>
  <c r="T1353" i="4" s="1"/>
  <c r="R1353" i="4"/>
  <c r="U1352" i="4"/>
  <c r="S1352" i="4"/>
  <c r="T1352" i="4" s="1"/>
  <c r="R1352" i="4"/>
  <c r="U1351" i="4"/>
  <c r="S1351" i="4"/>
  <c r="T1351" i="4" s="1"/>
  <c r="R1351" i="4"/>
  <c r="U1350" i="4"/>
  <c r="S1350" i="4"/>
  <c r="T1350" i="4" s="1"/>
  <c r="R1350" i="4"/>
  <c r="U1349" i="4"/>
  <c r="S1349" i="4"/>
  <c r="T1349" i="4" s="1"/>
  <c r="R1349" i="4"/>
  <c r="U1348" i="4"/>
  <c r="S1348" i="4"/>
  <c r="T1348" i="4" s="1"/>
  <c r="R1348" i="4"/>
  <c r="U1347" i="4"/>
  <c r="S1347" i="4"/>
  <c r="T1347" i="4" s="1"/>
  <c r="R1347" i="4"/>
  <c r="U1346" i="4"/>
  <c r="S1346" i="4"/>
  <c r="T1346" i="4" s="1"/>
  <c r="R1346" i="4"/>
  <c r="U1345" i="4"/>
  <c r="S1345" i="4"/>
  <c r="T1345" i="4" s="1"/>
  <c r="R1345" i="4"/>
  <c r="U1344" i="4"/>
  <c r="S1344" i="4"/>
  <c r="T1344" i="4" s="1"/>
  <c r="R1344" i="4"/>
  <c r="U1343" i="4"/>
  <c r="S1343" i="4"/>
  <c r="T1343" i="4" s="1"/>
  <c r="R1343" i="4"/>
  <c r="U1342" i="4"/>
  <c r="S1342" i="4"/>
  <c r="T1342" i="4" s="1"/>
  <c r="R1342" i="4"/>
  <c r="U1341" i="4"/>
  <c r="S1341" i="4"/>
  <c r="T1341" i="4" s="1"/>
  <c r="R1341" i="4"/>
  <c r="U1340" i="4"/>
  <c r="S1340" i="4"/>
  <c r="T1340" i="4" s="1"/>
  <c r="R1340" i="4"/>
  <c r="U1339" i="4"/>
  <c r="S1339" i="4"/>
  <c r="T1339" i="4" s="1"/>
  <c r="R1339" i="4"/>
  <c r="U1338" i="4"/>
  <c r="S1338" i="4"/>
  <c r="T1338" i="4" s="1"/>
  <c r="R1338" i="4"/>
  <c r="U1337" i="4"/>
  <c r="S1337" i="4"/>
  <c r="T1337" i="4" s="1"/>
  <c r="R1337" i="4"/>
  <c r="U1336" i="4"/>
  <c r="S1336" i="4"/>
  <c r="T1336" i="4" s="1"/>
  <c r="R1336" i="4"/>
  <c r="U1335" i="4"/>
  <c r="S1335" i="4"/>
  <c r="T1335" i="4" s="1"/>
  <c r="R1335" i="4"/>
  <c r="U1334" i="4"/>
  <c r="S1334" i="4"/>
  <c r="T1334" i="4" s="1"/>
  <c r="R1334" i="4"/>
  <c r="U1333" i="4"/>
  <c r="S1333" i="4"/>
  <c r="T1333" i="4" s="1"/>
  <c r="R1333" i="4"/>
  <c r="U1332" i="4"/>
  <c r="S1332" i="4"/>
  <c r="T1332" i="4" s="1"/>
  <c r="R1332" i="4"/>
  <c r="U1331" i="4"/>
  <c r="S1331" i="4"/>
  <c r="T1331" i="4" s="1"/>
  <c r="R1331" i="4"/>
  <c r="U1330" i="4"/>
  <c r="S1330" i="4"/>
  <c r="T1330" i="4" s="1"/>
  <c r="R1330" i="4"/>
  <c r="U1329" i="4"/>
  <c r="S1329" i="4"/>
  <c r="T1329" i="4" s="1"/>
  <c r="R1329" i="4"/>
  <c r="U1328" i="4"/>
  <c r="S1328" i="4"/>
  <c r="T1328" i="4" s="1"/>
  <c r="R1328" i="4"/>
  <c r="U1327" i="4"/>
  <c r="S1327" i="4"/>
  <c r="T1327" i="4" s="1"/>
  <c r="R1327" i="4"/>
  <c r="U1326" i="4"/>
  <c r="S1326" i="4"/>
  <c r="T1326" i="4" s="1"/>
  <c r="R1326" i="4"/>
  <c r="U1325" i="4"/>
  <c r="S1325" i="4"/>
  <c r="T1325" i="4" s="1"/>
  <c r="R1325" i="4"/>
  <c r="U1324" i="4"/>
  <c r="S1324" i="4"/>
  <c r="T1324" i="4" s="1"/>
  <c r="R1324" i="4"/>
  <c r="U1323" i="4"/>
  <c r="S1323" i="4"/>
  <c r="T1323" i="4" s="1"/>
  <c r="R1323" i="4"/>
  <c r="U1322" i="4"/>
  <c r="S1322" i="4"/>
  <c r="T1322" i="4" s="1"/>
  <c r="R1322" i="4"/>
  <c r="U1321" i="4"/>
  <c r="S1321" i="4"/>
  <c r="T1321" i="4" s="1"/>
  <c r="R1321" i="4"/>
  <c r="U1320" i="4"/>
  <c r="S1320" i="4"/>
  <c r="T1320" i="4" s="1"/>
  <c r="R1320" i="4"/>
  <c r="U1319" i="4"/>
  <c r="S1319" i="4"/>
  <c r="T1319" i="4" s="1"/>
  <c r="R1319" i="4"/>
  <c r="U1318" i="4"/>
  <c r="S1318" i="4"/>
  <c r="T1318" i="4" s="1"/>
  <c r="R1318" i="4"/>
  <c r="U1317" i="4"/>
  <c r="S1317" i="4"/>
  <c r="T1317" i="4" s="1"/>
  <c r="R1317" i="4"/>
  <c r="U1316" i="4"/>
  <c r="S1316" i="4"/>
  <c r="T1316" i="4" s="1"/>
  <c r="R1316" i="4"/>
  <c r="U1315" i="4"/>
  <c r="S1315" i="4"/>
  <c r="T1315" i="4" s="1"/>
  <c r="R1315" i="4"/>
  <c r="U1314" i="4"/>
  <c r="S1314" i="4"/>
  <c r="T1314" i="4" s="1"/>
  <c r="R1314" i="4"/>
  <c r="U1313" i="4"/>
  <c r="S1313" i="4"/>
  <c r="T1313" i="4" s="1"/>
  <c r="R1313" i="4"/>
  <c r="U1312" i="4"/>
  <c r="S1312" i="4"/>
  <c r="T1312" i="4" s="1"/>
  <c r="R1312" i="4"/>
  <c r="U1311" i="4"/>
  <c r="S1311" i="4"/>
  <c r="T1311" i="4" s="1"/>
  <c r="R1311" i="4"/>
  <c r="U1310" i="4"/>
  <c r="S1310" i="4"/>
  <c r="T1310" i="4" s="1"/>
  <c r="R1310" i="4"/>
  <c r="U1309" i="4"/>
  <c r="S1309" i="4"/>
  <c r="T1309" i="4" s="1"/>
  <c r="R1309" i="4"/>
  <c r="U1308" i="4"/>
  <c r="S1308" i="4"/>
  <c r="T1308" i="4" s="1"/>
  <c r="R1308" i="4"/>
  <c r="U1307" i="4"/>
  <c r="S1307" i="4"/>
  <c r="T1307" i="4" s="1"/>
  <c r="R1307" i="4"/>
  <c r="U1306" i="4"/>
  <c r="S1306" i="4"/>
  <c r="T1306" i="4" s="1"/>
  <c r="R1306" i="4"/>
  <c r="U1305" i="4"/>
  <c r="S1305" i="4"/>
  <c r="T1305" i="4" s="1"/>
  <c r="R1305" i="4"/>
  <c r="U1304" i="4"/>
  <c r="S1304" i="4"/>
  <c r="T1304" i="4" s="1"/>
  <c r="R1304" i="4"/>
  <c r="U1303" i="4"/>
  <c r="S1303" i="4"/>
  <c r="T1303" i="4" s="1"/>
  <c r="R1303" i="4"/>
  <c r="U1302" i="4"/>
  <c r="S1302" i="4"/>
  <c r="T1302" i="4" s="1"/>
  <c r="R1302" i="4"/>
  <c r="U1301" i="4"/>
  <c r="S1301" i="4"/>
  <c r="T1301" i="4" s="1"/>
  <c r="R1301" i="4"/>
  <c r="U1300" i="4"/>
  <c r="S1300" i="4"/>
  <c r="T1300" i="4" s="1"/>
  <c r="R1300" i="4"/>
  <c r="U1299" i="4"/>
  <c r="S1299" i="4"/>
  <c r="T1299" i="4" s="1"/>
  <c r="R1299" i="4"/>
  <c r="U1298" i="4"/>
  <c r="S1298" i="4"/>
  <c r="T1298" i="4" s="1"/>
  <c r="R1298" i="4"/>
  <c r="U1297" i="4"/>
  <c r="S1297" i="4"/>
  <c r="T1297" i="4" s="1"/>
  <c r="R1297" i="4"/>
  <c r="U1296" i="4"/>
  <c r="S1296" i="4"/>
  <c r="T1296" i="4" s="1"/>
  <c r="R1296" i="4"/>
  <c r="U1295" i="4"/>
  <c r="S1295" i="4"/>
  <c r="T1295" i="4" s="1"/>
  <c r="R1295" i="4"/>
  <c r="U1294" i="4"/>
  <c r="S1294" i="4"/>
  <c r="T1294" i="4" s="1"/>
  <c r="R1294" i="4"/>
  <c r="U1293" i="4"/>
  <c r="S1293" i="4"/>
  <c r="T1293" i="4" s="1"/>
  <c r="R1293" i="4"/>
  <c r="U1292" i="4"/>
  <c r="S1292" i="4"/>
  <c r="T1292" i="4" s="1"/>
  <c r="R1292" i="4"/>
  <c r="U1291" i="4"/>
  <c r="S1291" i="4"/>
  <c r="T1291" i="4" s="1"/>
  <c r="R1291" i="4"/>
  <c r="U1290" i="4"/>
  <c r="S1290" i="4"/>
  <c r="T1290" i="4" s="1"/>
  <c r="R1290" i="4"/>
  <c r="U1289" i="4"/>
  <c r="S1289" i="4"/>
  <c r="T1289" i="4" s="1"/>
  <c r="R1289" i="4"/>
  <c r="U1288" i="4"/>
  <c r="S1288" i="4"/>
  <c r="T1288" i="4" s="1"/>
  <c r="R1288" i="4"/>
  <c r="U1287" i="4"/>
  <c r="S1287" i="4"/>
  <c r="T1287" i="4" s="1"/>
  <c r="R1287" i="4"/>
  <c r="U1286" i="4"/>
  <c r="S1286" i="4"/>
  <c r="T1286" i="4" s="1"/>
  <c r="R1286" i="4"/>
  <c r="U1285" i="4"/>
  <c r="S1285" i="4"/>
  <c r="T1285" i="4" s="1"/>
  <c r="R1285" i="4"/>
  <c r="U1284" i="4"/>
  <c r="S1284" i="4"/>
  <c r="T1284" i="4" s="1"/>
  <c r="R1284" i="4"/>
  <c r="U1283" i="4"/>
  <c r="S1283" i="4"/>
  <c r="T1283" i="4" s="1"/>
  <c r="R1283" i="4"/>
  <c r="U1282" i="4"/>
  <c r="S1282" i="4"/>
  <c r="T1282" i="4" s="1"/>
  <c r="R1282" i="4"/>
  <c r="U1281" i="4"/>
  <c r="S1281" i="4"/>
  <c r="T1281" i="4" s="1"/>
  <c r="R1281" i="4"/>
  <c r="U1280" i="4"/>
  <c r="S1280" i="4"/>
  <c r="T1280" i="4" s="1"/>
  <c r="R1280" i="4"/>
  <c r="U1279" i="4"/>
  <c r="S1279" i="4"/>
  <c r="T1279" i="4" s="1"/>
  <c r="R1279" i="4"/>
  <c r="U1278" i="4"/>
  <c r="S1278" i="4"/>
  <c r="T1278" i="4" s="1"/>
  <c r="R1278" i="4"/>
  <c r="U1277" i="4"/>
  <c r="S1277" i="4"/>
  <c r="T1277" i="4" s="1"/>
  <c r="R1277" i="4"/>
  <c r="U1276" i="4"/>
  <c r="S1276" i="4"/>
  <c r="T1276" i="4" s="1"/>
  <c r="R1276" i="4"/>
  <c r="U1275" i="4"/>
  <c r="S1275" i="4"/>
  <c r="T1275" i="4" s="1"/>
  <c r="R1275" i="4"/>
  <c r="U1274" i="4"/>
  <c r="S1274" i="4"/>
  <c r="T1274" i="4" s="1"/>
  <c r="R1274" i="4"/>
  <c r="U1273" i="4"/>
  <c r="S1273" i="4"/>
  <c r="T1273" i="4" s="1"/>
  <c r="R1273" i="4"/>
  <c r="U1272" i="4"/>
  <c r="S1272" i="4"/>
  <c r="T1272" i="4" s="1"/>
  <c r="R1272" i="4"/>
  <c r="U1271" i="4"/>
  <c r="S1271" i="4"/>
  <c r="T1271" i="4" s="1"/>
  <c r="R1271" i="4"/>
  <c r="U1270" i="4"/>
  <c r="S1270" i="4"/>
  <c r="T1270" i="4" s="1"/>
  <c r="R1270" i="4"/>
  <c r="U1269" i="4"/>
  <c r="S1269" i="4"/>
  <c r="T1269" i="4" s="1"/>
  <c r="R1269" i="4"/>
  <c r="U1268" i="4"/>
  <c r="S1268" i="4"/>
  <c r="T1268" i="4" s="1"/>
  <c r="R1268" i="4"/>
  <c r="U1267" i="4"/>
  <c r="S1267" i="4"/>
  <c r="T1267" i="4" s="1"/>
  <c r="R1267" i="4"/>
  <c r="U1266" i="4"/>
  <c r="S1266" i="4"/>
  <c r="T1266" i="4" s="1"/>
  <c r="R1266" i="4"/>
  <c r="U1265" i="4"/>
  <c r="S1265" i="4"/>
  <c r="T1265" i="4" s="1"/>
  <c r="R1265" i="4"/>
  <c r="U1264" i="4"/>
  <c r="S1264" i="4"/>
  <c r="T1264" i="4" s="1"/>
  <c r="R1264" i="4"/>
  <c r="U1263" i="4"/>
  <c r="S1263" i="4"/>
  <c r="T1263" i="4" s="1"/>
  <c r="R1263" i="4"/>
  <c r="U1262" i="4"/>
  <c r="S1262" i="4"/>
  <c r="T1262" i="4" s="1"/>
  <c r="R1262" i="4"/>
  <c r="U1261" i="4"/>
  <c r="S1261" i="4"/>
  <c r="T1261" i="4" s="1"/>
  <c r="R1261" i="4"/>
  <c r="U1260" i="4"/>
  <c r="S1260" i="4"/>
  <c r="T1260" i="4" s="1"/>
  <c r="R1260" i="4"/>
  <c r="U1259" i="4"/>
  <c r="S1259" i="4"/>
  <c r="T1259" i="4" s="1"/>
  <c r="R1259" i="4"/>
  <c r="U1258" i="4"/>
  <c r="S1258" i="4"/>
  <c r="T1258" i="4" s="1"/>
  <c r="R1258" i="4"/>
  <c r="U1257" i="4"/>
  <c r="S1257" i="4"/>
  <c r="T1257" i="4" s="1"/>
  <c r="R1257" i="4"/>
  <c r="U1256" i="4"/>
  <c r="S1256" i="4"/>
  <c r="T1256" i="4" s="1"/>
  <c r="R1256" i="4"/>
  <c r="U1255" i="4"/>
  <c r="S1255" i="4"/>
  <c r="T1255" i="4" s="1"/>
  <c r="R1255" i="4"/>
  <c r="U1254" i="4"/>
  <c r="S1254" i="4"/>
  <c r="T1254" i="4" s="1"/>
  <c r="R1254" i="4"/>
  <c r="U1253" i="4"/>
  <c r="S1253" i="4"/>
  <c r="T1253" i="4" s="1"/>
  <c r="R1253" i="4"/>
  <c r="U1252" i="4"/>
  <c r="S1252" i="4"/>
  <c r="T1252" i="4" s="1"/>
  <c r="R1252" i="4"/>
  <c r="U1251" i="4"/>
  <c r="S1251" i="4"/>
  <c r="T1251" i="4" s="1"/>
  <c r="R1251" i="4"/>
  <c r="U1250" i="4"/>
  <c r="S1250" i="4"/>
  <c r="T1250" i="4" s="1"/>
  <c r="R1250" i="4"/>
  <c r="U1249" i="4"/>
  <c r="S1249" i="4"/>
  <c r="T1249" i="4" s="1"/>
  <c r="R1249" i="4"/>
  <c r="U1248" i="4"/>
  <c r="S1248" i="4"/>
  <c r="T1248" i="4" s="1"/>
  <c r="R1248" i="4"/>
  <c r="U1247" i="4"/>
  <c r="S1247" i="4"/>
  <c r="T1247" i="4" s="1"/>
  <c r="R1247" i="4"/>
  <c r="U1246" i="4"/>
  <c r="S1246" i="4"/>
  <c r="T1246" i="4" s="1"/>
  <c r="R1246" i="4"/>
  <c r="U1245" i="4"/>
  <c r="S1245" i="4"/>
  <c r="T1245" i="4" s="1"/>
  <c r="R1245" i="4"/>
  <c r="U1244" i="4"/>
  <c r="S1244" i="4"/>
  <c r="T1244" i="4" s="1"/>
  <c r="R1244" i="4"/>
  <c r="U1243" i="4"/>
  <c r="S1243" i="4"/>
  <c r="T1243" i="4" s="1"/>
  <c r="R1243" i="4"/>
  <c r="U1242" i="4"/>
  <c r="S1242" i="4"/>
  <c r="T1242" i="4" s="1"/>
  <c r="R1242" i="4"/>
  <c r="U1241" i="4"/>
  <c r="S1241" i="4"/>
  <c r="T1241" i="4" s="1"/>
  <c r="R1241" i="4"/>
  <c r="U1240" i="4"/>
  <c r="S1240" i="4"/>
  <c r="T1240" i="4" s="1"/>
  <c r="R1240" i="4"/>
  <c r="U1239" i="4"/>
  <c r="S1239" i="4"/>
  <c r="T1239" i="4" s="1"/>
  <c r="R1239" i="4"/>
  <c r="U1238" i="4"/>
  <c r="S1238" i="4"/>
  <c r="T1238" i="4" s="1"/>
  <c r="R1238" i="4"/>
  <c r="U1237" i="4"/>
  <c r="S1237" i="4"/>
  <c r="T1237" i="4" s="1"/>
  <c r="R1237" i="4"/>
  <c r="U1236" i="4"/>
  <c r="S1236" i="4"/>
  <c r="T1236" i="4" s="1"/>
  <c r="R1236" i="4"/>
  <c r="U1235" i="4"/>
  <c r="S1235" i="4"/>
  <c r="T1235" i="4" s="1"/>
  <c r="R1235" i="4"/>
  <c r="U1234" i="4"/>
  <c r="S1234" i="4"/>
  <c r="T1234" i="4" s="1"/>
  <c r="R1234" i="4"/>
  <c r="U1233" i="4"/>
  <c r="S1233" i="4"/>
  <c r="T1233" i="4" s="1"/>
  <c r="R1233" i="4"/>
  <c r="U1232" i="4"/>
  <c r="S1232" i="4"/>
  <c r="T1232" i="4" s="1"/>
  <c r="R1232" i="4"/>
  <c r="U1231" i="4"/>
  <c r="S1231" i="4"/>
  <c r="T1231" i="4" s="1"/>
  <c r="R1231" i="4"/>
  <c r="U1230" i="4"/>
  <c r="S1230" i="4"/>
  <c r="T1230" i="4" s="1"/>
  <c r="R1230" i="4"/>
  <c r="U1229" i="4"/>
  <c r="S1229" i="4"/>
  <c r="T1229" i="4" s="1"/>
  <c r="R1229" i="4"/>
  <c r="U1228" i="4"/>
  <c r="S1228" i="4"/>
  <c r="T1228" i="4" s="1"/>
  <c r="R1228" i="4"/>
  <c r="U1227" i="4"/>
  <c r="S1227" i="4"/>
  <c r="T1227" i="4" s="1"/>
  <c r="R1227" i="4"/>
  <c r="U1226" i="4"/>
  <c r="S1226" i="4"/>
  <c r="T1226" i="4" s="1"/>
  <c r="R1226" i="4"/>
  <c r="U1225" i="4"/>
  <c r="S1225" i="4"/>
  <c r="T1225" i="4" s="1"/>
  <c r="R1225" i="4"/>
  <c r="U1224" i="4"/>
  <c r="S1224" i="4"/>
  <c r="T1224" i="4" s="1"/>
  <c r="R1224" i="4"/>
  <c r="U1223" i="4"/>
  <c r="S1223" i="4"/>
  <c r="T1223" i="4" s="1"/>
  <c r="R1223" i="4"/>
  <c r="U1222" i="4"/>
  <c r="S1222" i="4"/>
  <c r="T1222" i="4" s="1"/>
  <c r="R1222" i="4"/>
  <c r="U1221" i="4"/>
  <c r="S1221" i="4"/>
  <c r="T1221" i="4" s="1"/>
  <c r="R1221" i="4"/>
  <c r="U1220" i="4"/>
  <c r="S1220" i="4"/>
  <c r="T1220" i="4" s="1"/>
  <c r="R1220" i="4"/>
  <c r="U1219" i="4"/>
  <c r="S1219" i="4"/>
  <c r="T1219" i="4" s="1"/>
  <c r="R1219" i="4"/>
  <c r="U1218" i="4"/>
  <c r="S1218" i="4"/>
  <c r="T1218" i="4" s="1"/>
  <c r="R1218" i="4"/>
  <c r="U1217" i="4"/>
  <c r="S1217" i="4"/>
  <c r="T1217" i="4" s="1"/>
  <c r="R1217" i="4"/>
  <c r="U1216" i="4"/>
  <c r="S1216" i="4"/>
  <c r="T1216" i="4" s="1"/>
  <c r="R1216" i="4"/>
  <c r="U1215" i="4"/>
  <c r="S1215" i="4"/>
  <c r="T1215" i="4" s="1"/>
  <c r="R1215" i="4"/>
  <c r="U1214" i="4"/>
  <c r="S1214" i="4"/>
  <c r="T1214" i="4" s="1"/>
  <c r="R1214" i="4"/>
  <c r="U1213" i="4"/>
  <c r="S1213" i="4"/>
  <c r="T1213" i="4" s="1"/>
  <c r="R1213" i="4"/>
  <c r="U1212" i="4"/>
  <c r="S1212" i="4"/>
  <c r="T1212" i="4" s="1"/>
  <c r="R1212" i="4"/>
  <c r="U1211" i="4"/>
  <c r="S1211" i="4"/>
  <c r="T1211" i="4" s="1"/>
  <c r="R1211" i="4"/>
  <c r="U1210" i="4"/>
  <c r="S1210" i="4"/>
  <c r="T1210" i="4" s="1"/>
  <c r="R1210" i="4"/>
  <c r="U1209" i="4"/>
  <c r="S1209" i="4"/>
  <c r="T1209" i="4" s="1"/>
  <c r="R1209" i="4"/>
  <c r="U1208" i="4"/>
  <c r="S1208" i="4"/>
  <c r="T1208" i="4" s="1"/>
  <c r="R1208" i="4"/>
  <c r="U1207" i="4"/>
  <c r="S1207" i="4"/>
  <c r="T1207" i="4" s="1"/>
  <c r="R1207" i="4"/>
  <c r="U1206" i="4"/>
  <c r="S1206" i="4"/>
  <c r="T1206" i="4" s="1"/>
  <c r="R1206" i="4"/>
  <c r="U1205" i="4"/>
  <c r="S1205" i="4"/>
  <c r="T1205" i="4" s="1"/>
  <c r="R1205" i="4"/>
  <c r="U1204" i="4"/>
  <c r="S1204" i="4"/>
  <c r="T1204" i="4" s="1"/>
  <c r="R1204" i="4"/>
  <c r="U1203" i="4"/>
  <c r="S1203" i="4"/>
  <c r="T1203" i="4" s="1"/>
  <c r="R1203" i="4"/>
  <c r="U1202" i="4"/>
  <c r="S1202" i="4"/>
  <c r="T1202" i="4" s="1"/>
  <c r="R1202" i="4"/>
  <c r="U1201" i="4"/>
  <c r="S1201" i="4"/>
  <c r="T1201" i="4" s="1"/>
  <c r="R1201" i="4"/>
  <c r="U1200" i="4"/>
  <c r="S1200" i="4"/>
  <c r="T1200" i="4" s="1"/>
  <c r="R1200" i="4"/>
  <c r="U1199" i="4"/>
  <c r="S1199" i="4"/>
  <c r="T1199" i="4" s="1"/>
  <c r="R1199" i="4"/>
  <c r="U1198" i="4"/>
  <c r="S1198" i="4"/>
  <c r="T1198" i="4" s="1"/>
  <c r="R1198" i="4"/>
  <c r="U1197" i="4"/>
  <c r="S1197" i="4"/>
  <c r="T1197" i="4" s="1"/>
  <c r="R1197" i="4"/>
  <c r="U1196" i="4"/>
  <c r="S1196" i="4"/>
  <c r="T1196" i="4" s="1"/>
  <c r="R1196" i="4"/>
  <c r="U1195" i="4"/>
  <c r="S1195" i="4"/>
  <c r="T1195" i="4" s="1"/>
  <c r="R1195" i="4"/>
  <c r="U1194" i="4"/>
  <c r="S1194" i="4"/>
  <c r="T1194" i="4" s="1"/>
  <c r="R1194" i="4"/>
  <c r="U1193" i="4"/>
  <c r="S1193" i="4"/>
  <c r="T1193" i="4" s="1"/>
  <c r="R1193" i="4"/>
  <c r="U1192" i="4"/>
  <c r="S1192" i="4"/>
  <c r="T1192" i="4" s="1"/>
  <c r="R1192" i="4"/>
  <c r="U1191" i="4"/>
  <c r="S1191" i="4"/>
  <c r="T1191" i="4" s="1"/>
  <c r="R1191" i="4"/>
  <c r="U1190" i="4"/>
  <c r="S1190" i="4"/>
  <c r="T1190" i="4" s="1"/>
  <c r="R1190" i="4"/>
  <c r="U1189" i="4"/>
  <c r="S1189" i="4"/>
  <c r="T1189" i="4" s="1"/>
  <c r="R1189" i="4"/>
  <c r="U1188" i="4"/>
  <c r="S1188" i="4"/>
  <c r="T1188" i="4" s="1"/>
  <c r="R1188" i="4"/>
  <c r="U1187" i="4"/>
  <c r="S1187" i="4"/>
  <c r="T1187" i="4" s="1"/>
  <c r="R1187" i="4"/>
  <c r="U1186" i="4"/>
  <c r="S1186" i="4"/>
  <c r="T1186" i="4" s="1"/>
  <c r="R1186" i="4"/>
  <c r="U1185" i="4"/>
  <c r="S1185" i="4"/>
  <c r="T1185" i="4" s="1"/>
  <c r="R1185" i="4"/>
  <c r="U1184" i="4"/>
  <c r="S1184" i="4"/>
  <c r="T1184" i="4" s="1"/>
  <c r="R1184" i="4"/>
  <c r="U1183" i="4"/>
  <c r="S1183" i="4"/>
  <c r="T1183" i="4" s="1"/>
  <c r="R1183" i="4"/>
  <c r="U1182" i="4"/>
  <c r="S1182" i="4"/>
  <c r="T1182" i="4" s="1"/>
  <c r="R1182" i="4"/>
  <c r="U1181" i="4"/>
  <c r="S1181" i="4"/>
  <c r="T1181" i="4" s="1"/>
  <c r="R1181" i="4"/>
  <c r="U1180" i="4"/>
  <c r="S1180" i="4"/>
  <c r="T1180" i="4" s="1"/>
  <c r="R1180" i="4"/>
  <c r="U1179" i="4"/>
  <c r="S1179" i="4"/>
  <c r="T1179" i="4" s="1"/>
  <c r="R1179" i="4"/>
  <c r="U1178" i="4"/>
  <c r="S1178" i="4"/>
  <c r="T1178" i="4" s="1"/>
  <c r="R1178" i="4"/>
  <c r="U1177" i="4"/>
  <c r="S1177" i="4"/>
  <c r="T1177" i="4" s="1"/>
  <c r="R1177" i="4"/>
  <c r="U1176" i="4"/>
  <c r="S1176" i="4"/>
  <c r="T1176" i="4" s="1"/>
  <c r="R1176" i="4"/>
  <c r="U1175" i="4"/>
  <c r="S1175" i="4"/>
  <c r="T1175" i="4" s="1"/>
  <c r="R1175" i="4"/>
  <c r="U1174" i="4"/>
  <c r="S1174" i="4"/>
  <c r="T1174" i="4" s="1"/>
  <c r="R1174" i="4"/>
  <c r="U1173" i="4"/>
  <c r="S1173" i="4"/>
  <c r="T1173" i="4" s="1"/>
  <c r="R1173" i="4"/>
  <c r="U1172" i="4"/>
  <c r="S1172" i="4"/>
  <c r="T1172" i="4" s="1"/>
  <c r="R1172" i="4"/>
  <c r="U1171" i="4"/>
  <c r="S1171" i="4"/>
  <c r="T1171" i="4" s="1"/>
  <c r="R1171" i="4"/>
  <c r="U1170" i="4"/>
  <c r="S1170" i="4"/>
  <c r="T1170" i="4" s="1"/>
  <c r="R1170" i="4"/>
  <c r="U1169" i="4"/>
  <c r="S1169" i="4"/>
  <c r="T1169" i="4" s="1"/>
  <c r="R1169" i="4"/>
  <c r="U1168" i="4"/>
  <c r="S1168" i="4"/>
  <c r="T1168" i="4" s="1"/>
  <c r="R1168" i="4"/>
  <c r="U1167" i="4"/>
  <c r="S1167" i="4"/>
  <c r="T1167" i="4" s="1"/>
  <c r="R1167" i="4"/>
  <c r="U1166" i="4"/>
  <c r="S1166" i="4"/>
  <c r="T1166" i="4" s="1"/>
  <c r="R1166" i="4"/>
  <c r="U1165" i="4"/>
  <c r="S1165" i="4"/>
  <c r="T1165" i="4" s="1"/>
  <c r="R1165" i="4"/>
  <c r="U1164" i="4"/>
  <c r="S1164" i="4"/>
  <c r="T1164" i="4" s="1"/>
  <c r="R1164" i="4"/>
  <c r="U1163" i="4"/>
  <c r="S1163" i="4"/>
  <c r="T1163" i="4" s="1"/>
  <c r="R1163" i="4"/>
  <c r="U1162" i="4"/>
  <c r="S1162" i="4"/>
  <c r="T1162" i="4" s="1"/>
  <c r="R1162" i="4"/>
  <c r="U1161" i="4"/>
  <c r="S1161" i="4"/>
  <c r="T1161" i="4" s="1"/>
  <c r="R1161" i="4"/>
  <c r="U1160" i="4"/>
  <c r="S1160" i="4"/>
  <c r="T1160" i="4" s="1"/>
  <c r="R1160" i="4"/>
  <c r="U1159" i="4"/>
  <c r="S1159" i="4"/>
  <c r="T1159" i="4" s="1"/>
  <c r="R1159" i="4"/>
  <c r="U1158" i="4"/>
  <c r="S1158" i="4"/>
  <c r="T1158" i="4" s="1"/>
  <c r="R1158" i="4"/>
  <c r="U1157" i="4"/>
  <c r="S1157" i="4"/>
  <c r="T1157" i="4" s="1"/>
  <c r="R1157" i="4"/>
  <c r="U1156" i="4"/>
  <c r="S1156" i="4"/>
  <c r="T1156" i="4" s="1"/>
  <c r="R1156" i="4"/>
  <c r="U1155" i="4"/>
  <c r="S1155" i="4"/>
  <c r="T1155" i="4" s="1"/>
  <c r="R1155" i="4"/>
  <c r="U1154" i="4"/>
  <c r="S1154" i="4"/>
  <c r="T1154" i="4" s="1"/>
  <c r="R1154" i="4"/>
  <c r="U1153" i="4"/>
  <c r="S1153" i="4"/>
  <c r="T1153" i="4" s="1"/>
  <c r="R1153" i="4"/>
  <c r="U1152" i="4"/>
  <c r="S1152" i="4"/>
  <c r="T1152" i="4" s="1"/>
  <c r="R1152" i="4"/>
  <c r="U1151" i="4"/>
  <c r="S1151" i="4"/>
  <c r="T1151" i="4" s="1"/>
  <c r="R1151" i="4"/>
  <c r="U1150" i="4"/>
  <c r="S1150" i="4"/>
  <c r="T1150" i="4" s="1"/>
  <c r="R1150" i="4"/>
  <c r="U1149" i="4"/>
  <c r="S1149" i="4"/>
  <c r="T1149" i="4" s="1"/>
  <c r="R1149" i="4"/>
  <c r="U1148" i="4"/>
  <c r="S1148" i="4"/>
  <c r="T1148" i="4" s="1"/>
  <c r="R1148" i="4"/>
  <c r="U1147" i="4"/>
  <c r="S1147" i="4"/>
  <c r="T1147" i="4" s="1"/>
  <c r="R1147" i="4"/>
  <c r="U1146" i="4"/>
  <c r="S1146" i="4"/>
  <c r="T1146" i="4" s="1"/>
  <c r="R1146" i="4"/>
  <c r="U1145" i="4"/>
  <c r="S1145" i="4"/>
  <c r="T1145" i="4" s="1"/>
  <c r="R1145" i="4"/>
  <c r="U1144" i="4"/>
  <c r="S1144" i="4"/>
  <c r="T1144" i="4" s="1"/>
  <c r="R1144" i="4"/>
  <c r="U1143" i="4"/>
  <c r="S1143" i="4"/>
  <c r="T1143" i="4" s="1"/>
  <c r="R1143" i="4"/>
  <c r="U1142" i="4"/>
  <c r="S1142" i="4"/>
  <c r="T1142" i="4" s="1"/>
  <c r="R1142" i="4"/>
  <c r="U1141" i="4"/>
  <c r="S1141" i="4"/>
  <c r="T1141" i="4" s="1"/>
  <c r="R1141" i="4"/>
  <c r="U1140" i="4"/>
  <c r="S1140" i="4"/>
  <c r="T1140" i="4" s="1"/>
  <c r="R1140" i="4"/>
  <c r="U1139" i="4"/>
  <c r="S1139" i="4"/>
  <c r="T1139" i="4" s="1"/>
  <c r="R1139" i="4"/>
  <c r="U1138" i="4"/>
  <c r="S1138" i="4"/>
  <c r="T1138" i="4" s="1"/>
  <c r="R1138" i="4"/>
  <c r="U1137" i="4"/>
  <c r="S1137" i="4"/>
  <c r="T1137" i="4" s="1"/>
  <c r="R1137" i="4"/>
  <c r="U1136" i="4"/>
  <c r="S1136" i="4"/>
  <c r="T1136" i="4" s="1"/>
  <c r="R1136" i="4"/>
  <c r="U1135" i="4"/>
  <c r="S1135" i="4"/>
  <c r="T1135" i="4" s="1"/>
  <c r="R1135" i="4"/>
  <c r="U1134" i="4"/>
  <c r="S1134" i="4"/>
  <c r="T1134" i="4" s="1"/>
  <c r="R1134" i="4"/>
  <c r="U1133" i="4"/>
  <c r="S1133" i="4"/>
  <c r="T1133" i="4" s="1"/>
  <c r="R1133" i="4"/>
  <c r="U1132" i="4"/>
  <c r="S1132" i="4"/>
  <c r="T1132" i="4" s="1"/>
  <c r="R1132" i="4"/>
  <c r="U1131" i="4"/>
  <c r="S1131" i="4"/>
  <c r="T1131" i="4" s="1"/>
  <c r="R1131" i="4"/>
  <c r="U1130" i="4"/>
  <c r="S1130" i="4"/>
  <c r="T1130" i="4" s="1"/>
  <c r="R1130" i="4"/>
  <c r="U1129" i="4"/>
  <c r="S1129" i="4"/>
  <c r="T1129" i="4" s="1"/>
  <c r="R1129" i="4"/>
  <c r="U1128" i="4"/>
  <c r="S1128" i="4"/>
  <c r="T1128" i="4" s="1"/>
  <c r="R1128" i="4"/>
  <c r="U1127" i="4"/>
  <c r="S1127" i="4"/>
  <c r="T1127" i="4" s="1"/>
  <c r="R1127" i="4"/>
  <c r="U1126" i="4"/>
  <c r="S1126" i="4"/>
  <c r="T1126" i="4" s="1"/>
  <c r="R1126" i="4"/>
  <c r="U1125" i="4"/>
  <c r="S1125" i="4"/>
  <c r="T1125" i="4" s="1"/>
  <c r="R1125" i="4"/>
  <c r="U1124" i="4"/>
  <c r="S1124" i="4"/>
  <c r="T1124" i="4" s="1"/>
  <c r="R1124" i="4"/>
  <c r="U1123" i="4"/>
  <c r="S1123" i="4"/>
  <c r="T1123" i="4" s="1"/>
  <c r="R1123" i="4"/>
  <c r="U1122" i="4"/>
  <c r="S1122" i="4"/>
  <c r="T1122" i="4" s="1"/>
  <c r="R1122" i="4"/>
  <c r="U1121" i="4"/>
  <c r="S1121" i="4"/>
  <c r="T1121" i="4" s="1"/>
  <c r="R1121" i="4"/>
  <c r="U1120" i="4"/>
  <c r="S1120" i="4"/>
  <c r="T1120" i="4" s="1"/>
  <c r="R1120" i="4"/>
  <c r="U1119" i="4"/>
  <c r="S1119" i="4"/>
  <c r="T1119" i="4" s="1"/>
  <c r="R1119" i="4"/>
  <c r="U1118" i="4"/>
  <c r="S1118" i="4"/>
  <c r="T1118" i="4" s="1"/>
  <c r="R1118" i="4"/>
  <c r="U1117" i="4"/>
  <c r="S1117" i="4"/>
  <c r="T1117" i="4" s="1"/>
  <c r="R1117" i="4"/>
  <c r="U1116" i="4"/>
  <c r="S1116" i="4"/>
  <c r="T1116" i="4" s="1"/>
  <c r="R1116" i="4"/>
  <c r="U1115" i="4"/>
  <c r="S1115" i="4"/>
  <c r="T1115" i="4" s="1"/>
  <c r="R1115" i="4"/>
  <c r="U1114" i="4"/>
  <c r="S1114" i="4"/>
  <c r="T1114" i="4" s="1"/>
  <c r="R1114" i="4"/>
  <c r="U1113" i="4"/>
  <c r="S1113" i="4"/>
  <c r="T1113" i="4" s="1"/>
  <c r="R1113" i="4"/>
  <c r="U1112" i="4"/>
  <c r="S1112" i="4"/>
  <c r="T1112" i="4" s="1"/>
  <c r="R1112" i="4"/>
  <c r="U1111" i="4"/>
  <c r="S1111" i="4"/>
  <c r="T1111" i="4" s="1"/>
  <c r="R1111" i="4"/>
  <c r="U1110" i="4"/>
  <c r="S1110" i="4"/>
  <c r="T1110" i="4" s="1"/>
  <c r="R1110" i="4"/>
  <c r="U1109" i="4"/>
  <c r="S1109" i="4"/>
  <c r="T1109" i="4" s="1"/>
  <c r="R1109" i="4"/>
  <c r="U1108" i="4"/>
  <c r="S1108" i="4"/>
  <c r="T1108" i="4" s="1"/>
  <c r="R1108" i="4"/>
  <c r="U1107" i="4"/>
  <c r="S1107" i="4"/>
  <c r="T1107" i="4" s="1"/>
  <c r="R1107" i="4"/>
  <c r="U1106" i="4"/>
  <c r="S1106" i="4"/>
  <c r="T1106" i="4" s="1"/>
  <c r="R1106" i="4"/>
  <c r="U1105" i="4"/>
  <c r="S1105" i="4"/>
  <c r="T1105" i="4" s="1"/>
  <c r="R1105" i="4"/>
  <c r="U1104" i="4"/>
  <c r="S1104" i="4"/>
  <c r="T1104" i="4" s="1"/>
  <c r="R1104" i="4"/>
  <c r="U1103" i="4"/>
  <c r="S1103" i="4"/>
  <c r="T1103" i="4" s="1"/>
  <c r="R1103" i="4"/>
  <c r="U1102" i="4"/>
  <c r="S1102" i="4"/>
  <c r="T1102" i="4" s="1"/>
  <c r="R1102" i="4"/>
  <c r="U1101" i="4"/>
  <c r="S1101" i="4"/>
  <c r="T1101" i="4" s="1"/>
  <c r="R1101" i="4"/>
  <c r="U1100" i="4"/>
  <c r="S1100" i="4"/>
  <c r="T1100" i="4" s="1"/>
  <c r="R1100" i="4"/>
  <c r="U1099" i="4"/>
  <c r="S1099" i="4"/>
  <c r="T1099" i="4" s="1"/>
  <c r="R1099" i="4"/>
  <c r="U1098" i="4"/>
  <c r="S1098" i="4"/>
  <c r="T1098" i="4" s="1"/>
  <c r="R1098" i="4"/>
  <c r="U1097" i="4"/>
  <c r="S1097" i="4"/>
  <c r="T1097" i="4" s="1"/>
  <c r="R1097" i="4"/>
  <c r="U1096" i="4"/>
  <c r="S1096" i="4"/>
  <c r="T1096" i="4" s="1"/>
  <c r="R1096" i="4"/>
  <c r="U1095" i="4"/>
  <c r="S1095" i="4"/>
  <c r="T1095" i="4" s="1"/>
  <c r="R1095" i="4"/>
  <c r="U1094" i="4"/>
  <c r="S1094" i="4"/>
  <c r="T1094" i="4" s="1"/>
  <c r="R1094" i="4"/>
  <c r="U1093" i="4"/>
  <c r="S1093" i="4"/>
  <c r="T1093" i="4" s="1"/>
  <c r="R1093" i="4"/>
  <c r="U1092" i="4"/>
  <c r="S1092" i="4"/>
  <c r="T1092" i="4" s="1"/>
  <c r="R1092" i="4"/>
  <c r="U1091" i="4"/>
  <c r="S1091" i="4"/>
  <c r="T1091" i="4" s="1"/>
  <c r="R1091" i="4"/>
  <c r="U1090" i="4"/>
  <c r="S1090" i="4"/>
  <c r="T1090" i="4" s="1"/>
  <c r="R1090" i="4"/>
  <c r="U1089" i="4"/>
  <c r="S1089" i="4"/>
  <c r="T1089" i="4" s="1"/>
  <c r="R1089" i="4"/>
  <c r="U1088" i="4"/>
  <c r="T1088" i="4"/>
  <c r="S1088" i="4"/>
  <c r="R1088" i="4"/>
  <c r="U1087" i="4"/>
  <c r="S1087" i="4"/>
  <c r="T1087" i="4" s="1"/>
  <c r="R1087" i="4"/>
  <c r="U1086" i="4"/>
  <c r="S1086" i="4"/>
  <c r="T1086" i="4" s="1"/>
  <c r="R1086" i="4"/>
  <c r="U1085" i="4"/>
  <c r="S1085" i="4"/>
  <c r="T1085" i="4" s="1"/>
  <c r="R1085" i="4"/>
  <c r="U1084" i="4"/>
  <c r="T1084" i="4"/>
  <c r="S1084" i="4"/>
  <c r="R1084" i="4"/>
  <c r="U1083" i="4"/>
  <c r="S1083" i="4"/>
  <c r="T1083" i="4" s="1"/>
  <c r="R1083" i="4"/>
  <c r="U1082" i="4"/>
  <c r="S1082" i="4"/>
  <c r="T1082" i="4" s="1"/>
  <c r="R1082" i="4"/>
  <c r="U1081" i="4"/>
  <c r="S1081" i="4"/>
  <c r="T1081" i="4" s="1"/>
  <c r="R1081" i="4"/>
  <c r="U1080" i="4"/>
  <c r="T1080" i="4"/>
  <c r="S1080" i="4"/>
  <c r="R1080" i="4"/>
  <c r="U1079" i="4"/>
  <c r="S1079" i="4"/>
  <c r="T1079" i="4" s="1"/>
  <c r="R1079" i="4"/>
  <c r="U1078" i="4"/>
  <c r="T1078" i="4"/>
  <c r="S1078" i="4"/>
  <c r="R1078" i="4"/>
  <c r="U1077" i="4"/>
  <c r="S1077" i="4"/>
  <c r="T1077" i="4" s="1"/>
  <c r="R1077" i="4"/>
  <c r="U1076" i="4"/>
  <c r="T1076" i="4"/>
  <c r="S1076" i="4"/>
  <c r="R1076" i="4"/>
  <c r="U1075" i="4"/>
  <c r="S1075" i="4"/>
  <c r="T1075" i="4" s="1"/>
  <c r="R1075" i="4"/>
  <c r="U1074" i="4"/>
  <c r="S1074" i="4"/>
  <c r="T1074" i="4" s="1"/>
  <c r="R1074" i="4"/>
  <c r="U1073" i="4"/>
  <c r="S1073" i="4"/>
  <c r="T1073" i="4" s="1"/>
  <c r="R1073" i="4"/>
  <c r="U1072" i="4"/>
  <c r="T1072" i="4"/>
  <c r="S1072" i="4"/>
  <c r="R1072" i="4"/>
  <c r="U1071" i="4"/>
  <c r="S1071" i="4"/>
  <c r="T1071" i="4" s="1"/>
  <c r="R1071" i="4"/>
  <c r="U1070" i="4"/>
  <c r="S1070" i="4"/>
  <c r="T1070" i="4" s="1"/>
  <c r="R1070" i="4"/>
  <c r="U1069" i="4"/>
  <c r="S1069" i="4"/>
  <c r="T1069" i="4" s="1"/>
  <c r="R1069" i="4"/>
  <c r="U1068" i="4"/>
  <c r="T1068" i="4"/>
  <c r="S1068" i="4"/>
  <c r="R1068" i="4"/>
  <c r="U1067" i="4"/>
  <c r="S1067" i="4"/>
  <c r="T1067" i="4" s="1"/>
  <c r="R1067" i="4"/>
  <c r="U1066" i="4"/>
  <c r="S1066" i="4"/>
  <c r="T1066" i="4" s="1"/>
  <c r="R1066" i="4"/>
  <c r="U1065" i="4"/>
  <c r="S1065" i="4"/>
  <c r="T1065" i="4" s="1"/>
  <c r="R1065" i="4"/>
  <c r="U1064" i="4"/>
  <c r="T1064" i="4"/>
  <c r="S1064" i="4"/>
  <c r="R1064" i="4"/>
  <c r="U1063" i="4"/>
  <c r="S1063" i="4"/>
  <c r="T1063" i="4" s="1"/>
  <c r="R1063" i="4"/>
  <c r="U1062" i="4"/>
  <c r="T1062" i="4"/>
  <c r="S1062" i="4"/>
  <c r="R1062" i="4"/>
  <c r="U1061" i="4"/>
  <c r="S1061" i="4"/>
  <c r="T1061" i="4" s="1"/>
  <c r="R1061" i="4"/>
  <c r="U1060" i="4"/>
  <c r="T1060" i="4"/>
  <c r="S1060" i="4"/>
  <c r="R1060" i="4"/>
  <c r="U1059" i="4"/>
  <c r="S1059" i="4"/>
  <c r="T1059" i="4" s="1"/>
  <c r="R1059" i="4"/>
  <c r="U1058" i="4"/>
  <c r="S1058" i="4"/>
  <c r="T1058" i="4" s="1"/>
  <c r="R1058" i="4"/>
  <c r="U1057" i="4"/>
  <c r="S1057" i="4"/>
  <c r="T1057" i="4" s="1"/>
  <c r="R1057" i="4"/>
  <c r="U1056" i="4"/>
  <c r="T1056" i="4"/>
  <c r="S1056" i="4"/>
  <c r="R1056" i="4"/>
  <c r="U1055" i="4"/>
  <c r="S1055" i="4"/>
  <c r="T1055" i="4" s="1"/>
  <c r="R1055" i="4"/>
  <c r="U1054" i="4"/>
  <c r="S1054" i="4"/>
  <c r="T1054" i="4" s="1"/>
  <c r="R1054" i="4"/>
  <c r="U1053" i="4"/>
  <c r="T1053" i="4"/>
  <c r="S1053" i="4"/>
  <c r="R1053" i="4"/>
  <c r="U1052" i="4"/>
  <c r="S1052" i="4"/>
  <c r="T1052" i="4" s="1"/>
  <c r="R1052" i="4"/>
  <c r="U1051" i="4"/>
  <c r="T1051" i="4"/>
  <c r="S1051" i="4"/>
  <c r="R1051" i="4"/>
  <c r="U1050" i="4"/>
  <c r="S1050" i="4"/>
  <c r="T1050" i="4" s="1"/>
  <c r="R1050" i="4"/>
  <c r="U1049" i="4"/>
  <c r="T1049" i="4"/>
  <c r="S1049" i="4"/>
  <c r="R1049" i="4"/>
  <c r="U1048" i="4"/>
  <c r="S1048" i="4"/>
  <c r="T1048" i="4" s="1"/>
  <c r="R1048" i="4"/>
  <c r="U1047" i="4"/>
  <c r="T1047" i="4"/>
  <c r="S1047" i="4"/>
  <c r="R1047" i="4"/>
  <c r="U1046" i="4"/>
  <c r="S1046" i="4"/>
  <c r="T1046" i="4" s="1"/>
  <c r="R1046" i="4"/>
  <c r="U1045" i="4"/>
  <c r="T1045" i="4"/>
  <c r="S1045" i="4"/>
  <c r="R1045" i="4"/>
  <c r="U1044" i="4"/>
  <c r="S1044" i="4"/>
  <c r="T1044" i="4" s="1"/>
  <c r="R1044" i="4"/>
  <c r="U1043" i="4"/>
  <c r="T1043" i="4"/>
  <c r="S1043" i="4"/>
  <c r="R1043" i="4"/>
  <c r="U1042" i="4"/>
  <c r="S1042" i="4"/>
  <c r="T1042" i="4" s="1"/>
  <c r="R1042" i="4"/>
  <c r="U1041" i="4"/>
  <c r="T1041" i="4"/>
  <c r="S1041" i="4"/>
  <c r="R1041" i="4"/>
  <c r="U1040" i="4"/>
  <c r="S1040" i="4"/>
  <c r="T1040" i="4" s="1"/>
  <c r="R1040" i="4"/>
  <c r="U1039" i="4"/>
  <c r="T1039" i="4"/>
  <c r="S1039" i="4"/>
  <c r="R1039" i="4"/>
  <c r="U1038" i="4"/>
  <c r="S1038" i="4"/>
  <c r="T1038" i="4" s="1"/>
  <c r="R1038" i="4"/>
  <c r="U1037" i="4"/>
  <c r="T1037" i="4"/>
  <c r="S1037" i="4"/>
  <c r="R1037" i="4"/>
  <c r="U1036" i="4"/>
  <c r="S1036" i="4"/>
  <c r="T1036" i="4" s="1"/>
  <c r="R1036" i="4"/>
  <c r="U1035" i="4"/>
  <c r="T1035" i="4"/>
  <c r="S1035" i="4"/>
  <c r="R1035" i="4"/>
  <c r="U1034" i="4"/>
  <c r="S1034" i="4"/>
  <c r="T1034" i="4" s="1"/>
  <c r="R1034" i="4"/>
  <c r="U1033" i="4"/>
  <c r="T1033" i="4"/>
  <c r="S1033" i="4"/>
  <c r="R1033" i="4"/>
  <c r="U1032" i="4"/>
  <c r="S1032" i="4"/>
  <c r="T1032" i="4" s="1"/>
  <c r="R1032" i="4"/>
  <c r="U1031" i="4"/>
  <c r="T1031" i="4"/>
  <c r="S1031" i="4"/>
  <c r="R1031" i="4"/>
  <c r="U1030" i="4"/>
  <c r="S1030" i="4"/>
  <c r="T1030" i="4" s="1"/>
  <c r="R1030" i="4"/>
  <c r="U1029" i="4"/>
  <c r="T1029" i="4"/>
  <c r="S1029" i="4"/>
  <c r="R1029" i="4"/>
  <c r="U1028" i="4"/>
  <c r="S1028" i="4"/>
  <c r="T1028" i="4" s="1"/>
  <c r="R1028" i="4"/>
  <c r="U1027" i="4"/>
  <c r="T1027" i="4"/>
  <c r="S1027" i="4"/>
  <c r="R1027" i="4"/>
  <c r="U1026" i="4"/>
  <c r="S1026" i="4"/>
  <c r="T1026" i="4" s="1"/>
  <c r="R1026" i="4"/>
  <c r="U1025" i="4"/>
  <c r="T1025" i="4"/>
  <c r="S1025" i="4"/>
  <c r="R1025" i="4"/>
  <c r="U1024" i="4"/>
  <c r="S1024" i="4"/>
  <c r="T1024" i="4" s="1"/>
  <c r="R1024" i="4"/>
  <c r="U1023" i="4"/>
  <c r="T1023" i="4"/>
  <c r="S1023" i="4"/>
  <c r="R1023" i="4"/>
  <c r="U1022" i="4"/>
  <c r="S1022" i="4"/>
  <c r="T1022" i="4" s="1"/>
  <c r="R1022" i="4"/>
  <c r="U1021" i="4"/>
  <c r="T1021" i="4"/>
  <c r="S1021" i="4"/>
  <c r="R1021" i="4"/>
  <c r="U1020" i="4"/>
  <c r="S1020" i="4"/>
  <c r="T1020" i="4" s="1"/>
  <c r="R1020" i="4"/>
  <c r="U1019" i="4"/>
  <c r="T1019" i="4"/>
  <c r="S1019" i="4"/>
  <c r="R1019" i="4"/>
  <c r="U1018" i="4"/>
  <c r="S1018" i="4"/>
  <c r="T1018" i="4" s="1"/>
  <c r="R1018" i="4"/>
  <c r="U1017" i="4"/>
  <c r="T1017" i="4"/>
  <c r="S1017" i="4"/>
  <c r="R1017" i="4"/>
  <c r="U1016" i="4"/>
  <c r="S1016" i="4"/>
  <c r="T1016" i="4" s="1"/>
  <c r="R1016" i="4"/>
  <c r="U1015" i="4"/>
  <c r="T1015" i="4"/>
  <c r="S1015" i="4"/>
  <c r="R1015" i="4"/>
  <c r="U1014" i="4"/>
  <c r="S1014" i="4"/>
  <c r="T1014" i="4" s="1"/>
  <c r="R1014" i="4"/>
  <c r="U1013" i="4"/>
  <c r="T1013" i="4"/>
  <c r="S1013" i="4"/>
  <c r="R1013" i="4"/>
  <c r="U1012" i="4"/>
  <c r="S1012" i="4"/>
  <c r="T1012" i="4" s="1"/>
  <c r="R1012" i="4"/>
  <c r="U1011" i="4"/>
  <c r="T1011" i="4"/>
  <c r="S1011" i="4"/>
  <c r="R1011" i="4"/>
  <c r="U1010" i="4"/>
  <c r="S1010" i="4"/>
  <c r="T1010" i="4" s="1"/>
  <c r="R1010" i="4"/>
  <c r="U1009" i="4"/>
  <c r="T1009" i="4"/>
  <c r="S1009" i="4"/>
  <c r="R1009" i="4"/>
  <c r="U1008" i="4"/>
  <c r="S1008" i="4"/>
  <c r="T1008" i="4" s="1"/>
  <c r="R1008" i="4"/>
  <c r="U1007" i="4"/>
  <c r="T1007" i="4"/>
  <c r="S1007" i="4"/>
  <c r="R1007" i="4"/>
  <c r="U1006" i="4"/>
  <c r="S1006" i="4"/>
  <c r="T1006" i="4" s="1"/>
  <c r="R1006" i="4"/>
  <c r="U1005" i="4"/>
  <c r="T1005" i="4"/>
  <c r="S1005" i="4"/>
  <c r="R1005" i="4"/>
  <c r="U1004" i="4"/>
  <c r="S1004" i="4"/>
  <c r="T1004" i="4" s="1"/>
  <c r="R1004" i="4"/>
  <c r="U1003" i="4"/>
  <c r="T1003" i="4"/>
  <c r="S1003" i="4"/>
  <c r="R1003" i="4"/>
  <c r="U1002" i="4"/>
  <c r="S1002" i="4"/>
  <c r="T1002" i="4" s="1"/>
  <c r="R1002" i="4"/>
  <c r="U1001" i="4"/>
  <c r="T1001" i="4"/>
  <c r="S1001" i="4"/>
  <c r="R1001" i="4"/>
  <c r="U1000" i="4"/>
  <c r="S1000" i="4"/>
  <c r="T1000" i="4" s="1"/>
  <c r="R1000" i="4"/>
  <c r="U999" i="4"/>
  <c r="T999" i="4"/>
  <c r="S999" i="4"/>
  <c r="R999" i="4"/>
  <c r="U998" i="4"/>
  <c r="S998" i="4"/>
  <c r="T998" i="4" s="1"/>
  <c r="R998" i="4"/>
  <c r="U997" i="4"/>
  <c r="T997" i="4"/>
  <c r="S997" i="4"/>
  <c r="R997" i="4"/>
  <c r="U996" i="4"/>
  <c r="S996" i="4"/>
  <c r="T996" i="4" s="1"/>
  <c r="R996" i="4"/>
  <c r="U995" i="4"/>
  <c r="T995" i="4"/>
  <c r="S995" i="4"/>
  <c r="R995" i="4"/>
  <c r="U994" i="4"/>
  <c r="S994" i="4"/>
  <c r="T994" i="4" s="1"/>
  <c r="R994" i="4"/>
  <c r="U993" i="4"/>
  <c r="T993" i="4"/>
  <c r="S993" i="4"/>
  <c r="R993" i="4"/>
  <c r="U992" i="4"/>
  <c r="S992" i="4"/>
  <c r="T992" i="4" s="1"/>
  <c r="R992" i="4"/>
  <c r="U991" i="4"/>
  <c r="T991" i="4"/>
  <c r="S991" i="4"/>
  <c r="R991" i="4"/>
  <c r="U990" i="4"/>
  <c r="S990" i="4"/>
  <c r="T990" i="4" s="1"/>
  <c r="R990" i="4"/>
  <c r="U989" i="4"/>
  <c r="T989" i="4"/>
  <c r="S989" i="4"/>
  <c r="R989" i="4"/>
  <c r="U988" i="4"/>
  <c r="S988" i="4"/>
  <c r="T988" i="4" s="1"/>
  <c r="R988" i="4"/>
  <c r="U987" i="4"/>
  <c r="T987" i="4"/>
  <c r="S987" i="4"/>
  <c r="R987" i="4"/>
  <c r="U986" i="4"/>
  <c r="S986" i="4"/>
  <c r="T986" i="4" s="1"/>
  <c r="R986" i="4"/>
  <c r="U985" i="4"/>
  <c r="T985" i="4"/>
  <c r="S985" i="4"/>
  <c r="R985" i="4"/>
  <c r="U984" i="4"/>
  <c r="S984" i="4"/>
  <c r="T984" i="4" s="1"/>
  <c r="R984" i="4"/>
  <c r="U983" i="4"/>
  <c r="T983" i="4"/>
  <c r="S983" i="4"/>
  <c r="R983" i="4"/>
  <c r="U982" i="4"/>
  <c r="S982" i="4"/>
  <c r="T982" i="4" s="1"/>
  <c r="R982" i="4"/>
  <c r="U981" i="4"/>
  <c r="T981" i="4"/>
  <c r="S981" i="4"/>
  <c r="R981" i="4"/>
  <c r="U980" i="4"/>
  <c r="S980" i="4"/>
  <c r="T980" i="4" s="1"/>
  <c r="R980" i="4"/>
  <c r="U979" i="4"/>
  <c r="T979" i="4"/>
  <c r="S979" i="4"/>
  <c r="R979" i="4"/>
  <c r="U978" i="4"/>
  <c r="S978" i="4"/>
  <c r="T978" i="4" s="1"/>
  <c r="R978" i="4"/>
  <c r="U977" i="4"/>
  <c r="T977" i="4"/>
  <c r="S977" i="4"/>
  <c r="R977" i="4"/>
  <c r="U976" i="4"/>
  <c r="S976" i="4"/>
  <c r="T976" i="4" s="1"/>
  <c r="R976" i="4"/>
  <c r="U975" i="4"/>
  <c r="T975" i="4"/>
  <c r="S975" i="4"/>
  <c r="R975" i="4"/>
  <c r="U974" i="4"/>
  <c r="S974" i="4"/>
  <c r="T974" i="4" s="1"/>
  <c r="R974" i="4"/>
  <c r="U973" i="4"/>
  <c r="T973" i="4"/>
  <c r="S973" i="4"/>
  <c r="R973" i="4"/>
  <c r="U972" i="4"/>
  <c r="S972" i="4"/>
  <c r="T972" i="4" s="1"/>
  <c r="R972" i="4"/>
  <c r="U971" i="4"/>
  <c r="T971" i="4"/>
  <c r="S971" i="4"/>
  <c r="R971" i="4"/>
  <c r="U970" i="4"/>
  <c r="S970" i="4"/>
  <c r="T970" i="4" s="1"/>
  <c r="R970" i="4"/>
  <c r="U969" i="4"/>
  <c r="T969" i="4"/>
  <c r="S969" i="4"/>
  <c r="R969" i="4"/>
  <c r="U968" i="4"/>
  <c r="S968" i="4"/>
  <c r="T968" i="4" s="1"/>
  <c r="R968" i="4"/>
  <c r="U967" i="4"/>
  <c r="T967" i="4"/>
  <c r="S967" i="4"/>
  <c r="R967" i="4"/>
  <c r="U966" i="4"/>
  <c r="S966" i="4"/>
  <c r="T966" i="4" s="1"/>
  <c r="R966" i="4"/>
  <c r="U965" i="4"/>
  <c r="T965" i="4"/>
  <c r="S965" i="4"/>
  <c r="R965" i="4"/>
  <c r="U964" i="4"/>
  <c r="S964" i="4"/>
  <c r="T964" i="4" s="1"/>
  <c r="R964" i="4"/>
  <c r="U963" i="4"/>
  <c r="T963" i="4"/>
  <c r="S963" i="4"/>
  <c r="R963" i="4"/>
  <c r="U962" i="4"/>
  <c r="S962" i="4"/>
  <c r="T962" i="4" s="1"/>
  <c r="R962" i="4"/>
  <c r="U961" i="4"/>
  <c r="T961" i="4"/>
  <c r="S961" i="4"/>
  <c r="R961" i="4"/>
  <c r="U960" i="4"/>
  <c r="S960" i="4"/>
  <c r="T960" i="4" s="1"/>
  <c r="R960" i="4"/>
  <c r="U959" i="4"/>
  <c r="T959" i="4"/>
  <c r="S959" i="4"/>
  <c r="R959" i="4"/>
  <c r="U958" i="4"/>
  <c r="S958" i="4"/>
  <c r="T958" i="4" s="1"/>
  <c r="R958" i="4"/>
  <c r="U957" i="4"/>
  <c r="T957" i="4"/>
  <c r="S957" i="4"/>
  <c r="R957" i="4"/>
  <c r="U956" i="4"/>
  <c r="S956" i="4"/>
  <c r="T956" i="4" s="1"/>
  <c r="R956" i="4"/>
  <c r="U955" i="4"/>
  <c r="T955" i="4"/>
  <c r="S955" i="4"/>
  <c r="R955" i="4"/>
  <c r="U954" i="4"/>
  <c r="S954" i="4"/>
  <c r="T954" i="4" s="1"/>
  <c r="R954" i="4"/>
  <c r="U953" i="4"/>
  <c r="T953" i="4"/>
  <c r="S953" i="4"/>
  <c r="R953" i="4"/>
  <c r="U952" i="4"/>
  <c r="S952" i="4"/>
  <c r="T952" i="4" s="1"/>
  <c r="R952" i="4"/>
  <c r="U951" i="4"/>
  <c r="T951" i="4"/>
  <c r="S951" i="4"/>
  <c r="R951" i="4"/>
  <c r="U950" i="4"/>
  <c r="S950" i="4"/>
  <c r="T950" i="4" s="1"/>
  <c r="R950" i="4"/>
  <c r="U949" i="4"/>
  <c r="T949" i="4"/>
  <c r="S949" i="4"/>
  <c r="R949" i="4"/>
  <c r="U948" i="4"/>
  <c r="S948" i="4"/>
  <c r="T948" i="4" s="1"/>
  <c r="R948" i="4"/>
  <c r="U947" i="4"/>
  <c r="T947" i="4"/>
  <c r="S947" i="4"/>
  <c r="R947" i="4"/>
  <c r="U946" i="4"/>
  <c r="S946" i="4"/>
  <c r="T946" i="4" s="1"/>
  <c r="R946" i="4"/>
  <c r="U945" i="4"/>
  <c r="T945" i="4"/>
  <c r="S945" i="4"/>
  <c r="R945" i="4"/>
  <c r="U944" i="4"/>
  <c r="S944" i="4"/>
  <c r="T944" i="4" s="1"/>
  <c r="R944" i="4"/>
  <c r="U943" i="4"/>
  <c r="T943" i="4"/>
  <c r="S943" i="4"/>
  <c r="R943" i="4"/>
  <c r="U942" i="4"/>
  <c r="S942" i="4"/>
  <c r="T942" i="4" s="1"/>
  <c r="R942" i="4"/>
  <c r="U941" i="4"/>
  <c r="T941" i="4"/>
  <c r="S941" i="4"/>
  <c r="R941" i="4"/>
  <c r="U940" i="4"/>
  <c r="S940" i="4"/>
  <c r="T940" i="4" s="1"/>
  <c r="R940" i="4"/>
  <c r="U939" i="4"/>
  <c r="T939" i="4"/>
  <c r="S939" i="4"/>
  <c r="R939" i="4"/>
  <c r="U938" i="4"/>
  <c r="S938" i="4"/>
  <c r="T938" i="4" s="1"/>
  <c r="R938" i="4"/>
  <c r="U937" i="4"/>
  <c r="T937" i="4"/>
  <c r="S937" i="4"/>
  <c r="R937" i="4"/>
  <c r="U936" i="4"/>
  <c r="S936" i="4"/>
  <c r="T936" i="4" s="1"/>
  <c r="R936" i="4"/>
  <c r="U935" i="4"/>
  <c r="T935" i="4"/>
  <c r="S935" i="4"/>
  <c r="R935" i="4"/>
  <c r="U934" i="4"/>
  <c r="S934" i="4"/>
  <c r="T934" i="4" s="1"/>
  <c r="R934" i="4"/>
  <c r="U933" i="4"/>
  <c r="T933" i="4"/>
  <c r="S933" i="4"/>
  <c r="R933" i="4"/>
  <c r="U932" i="4"/>
  <c r="S932" i="4"/>
  <c r="T932" i="4" s="1"/>
  <c r="R932" i="4"/>
  <c r="U931" i="4"/>
  <c r="T931" i="4"/>
  <c r="S931" i="4"/>
  <c r="R931" i="4"/>
  <c r="U930" i="4"/>
  <c r="S930" i="4"/>
  <c r="T930" i="4" s="1"/>
  <c r="R930" i="4"/>
  <c r="U929" i="4"/>
  <c r="T929" i="4"/>
  <c r="S929" i="4"/>
  <c r="R929" i="4"/>
  <c r="U928" i="4"/>
  <c r="S928" i="4"/>
  <c r="T928" i="4" s="1"/>
  <c r="R928" i="4"/>
  <c r="U927" i="4"/>
  <c r="T927" i="4"/>
  <c r="S927" i="4"/>
  <c r="R927" i="4"/>
  <c r="U926" i="4"/>
  <c r="S926" i="4"/>
  <c r="T926" i="4" s="1"/>
  <c r="R926" i="4"/>
  <c r="U925" i="4"/>
  <c r="T925" i="4"/>
  <c r="S925" i="4"/>
  <c r="R925" i="4"/>
  <c r="U924" i="4"/>
  <c r="S924" i="4"/>
  <c r="T924" i="4" s="1"/>
  <c r="R924" i="4"/>
  <c r="U923" i="4"/>
  <c r="T923" i="4"/>
  <c r="S923" i="4"/>
  <c r="R923" i="4"/>
  <c r="U922" i="4"/>
  <c r="S922" i="4"/>
  <c r="T922" i="4" s="1"/>
  <c r="R922" i="4"/>
  <c r="U921" i="4"/>
  <c r="T921" i="4"/>
  <c r="S921" i="4"/>
  <c r="R921" i="4"/>
  <c r="U920" i="4"/>
  <c r="S920" i="4"/>
  <c r="T920" i="4" s="1"/>
  <c r="R920" i="4"/>
  <c r="U919" i="4"/>
  <c r="T919" i="4"/>
  <c r="S919" i="4"/>
  <c r="R919" i="4"/>
  <c r="U918" i="4"/>
  <c r="S918" i="4"/>
  <c r="T918" i="4" s="1"/>
  <c r="R918" i="4"/>
  <c r="U917" i="4"/>
  <c r="T917" i="4"/>
  <c r="S917" i="4"/>
  <c r="R917" i="4"/>
  <c r="U916" i="4"/>
  <c r="S916" i="4"/>
  <c r="T916" i="4" s="1"/>
  <c r="R916" i="4"/>
  <c r="U915" i="4"/>
  <c r="T915" i="4"/>
  <c r="S915" i="4"/>
  <c r="R915" i="4"/>
  <c r="U914" i="4"/>
  <c r="S914" i="4"/>
  <c r="T914" i="4" s="1"/>
  <c r="R914" i="4"/>
  <c r="U913" i="4"/>
  <c r="T913" i="4"/>
  <c r="S913" i="4"/>
  <c r="R913" i="4"/>
  <c r="U912" i="4"/>
  <c r="S912" i="4"/>
  <c r="T912" i="4" s="1"/>
  <c r="R912" i="4"/>
  <c r="U911" i="4"/>
  <c r="T911" i="4"/>
  <c r="S911" i="4"/>
  <c r="R911" i="4"/>
  <c r="U910" i="4"/>
  <c r="S910" i="4"/>
  <c r="T910" i="4" s="1"/>
  <c r="R910" i="4"/>
  <c r="U909" i="4"/>
  <c r="T909" i="4"/>
  <c r="S909" i="4"/>
  <c r="R909" i="4"/>
  <c r="U908" i="4"/>
  <c r="S908" i="4"/>
  <c r="T908" i="4" s="1"/>
  <c r="R908" i="4"/>
  <c r="U907" i="4"/>
  <c r="T907" i="4"/>
  <c r="S907" i="4"/>
  <c r="R907" i="4"/>
  <c r="U906" i="4"/>
  <c r="S906" i="4"/>
  <c r="T906" i="4" s="1"/>
  <c r="R906" i="4"/>
  <c r="U905" i="4"/>
  <c r="T905" i="4"/>
  <c r="S905" i="4"/>
  <c r="R905" i="4"/>
  <c r="U904" i="4"/>
  <c r="S904" i="4"/>
  <c r="T904" i="4" s="1"/>
  <c r="R904" i="4"/>
  <c r="U903" i="4"/>
  <c r="T903" i="4"/>
  <c r="S903" i="4"/>
  <c r="R903" i="4"/>
  <c r="U902" i="4"/>
  <c r="S902" i="4"/>
  <c r="T902" i="4" s="1"/>
  <c r="R902" i="4"/>
  <c r="U901" i="4"/>
  <c r="T901" i="4"/>
  <c r="S901" i="4"/>
  <c r="R901" i="4"/>
  <c r="U900" i="4"/>
  <c r="S900" i="4"/>
  <c r="T900" i="4" s="1"/>
  <c r="R900" i="4"/>
  <c r="U899" i="4"/>
  <c r="T899" i="4"/>
  <c r="S899" i="4"/>
  <c r="R899" i="4"/>
  <c r="U898" i="4"/>
  <c r="S898" i="4"/>
  <c r="T898" i="4" s="1"/>
  <c r="R898" i="4"/>
  <c r="U897" i="4"/>
  <c r="T897" i="4"/>
  <c r="S897" i="4"/>
  <c r="R897" i="4"/>
  <c r="U896" i="4"/>
  <c r="S896" i="4"/>
  <c r="T896" i="4" s="1"/>
  <c r="R896" i="4"/>
  <c r="U895" i="4"/>
  <c r="T895" i="4"/>
  <c r="S895" i="4"/>
  <c r="R895" i="4"/>
  <c r="U894" i="4"/>
  <c r="S894" i="4"/>
  <c r="T894" i="4" s="1"/>
  <c r="R894" i="4"/>
  <c r="U893" i="4"/>
  <c r="T893" i="4"/>
  <c r="S893" i="4"/>
  <c r="R893" i="4"/>
  <c r="U892" i="4"/>
  <c r="S892" i="4"/>
  <c r="T892" i="4" s="1"/>
  <c r="R892" i="4"/>
  <c r="U891" i="4"/>
  <c r="T891" i="4"/>
  <c r="S891" i="4"/>
  <c r="R891" i="4"/>
  <c r="U890" i="4"/>
  <c r="S890" i="4"/>
  <c r="T890" i="4" s="1"/>
  <c r="R890" i="4"/>
  <c r="U889" i="4"/>
  <c r="T889" i="4"/>
  <c r="S889" i="4"/>
  <c r="R889" i="4"/>
  <c r="U888" i="4"/>
  <c r="S888" i="4"/>
  <c r="T888" i="4" s="1"/>
  <c r="R888" i="4"/>
  <c r="U887" i="4"/>
  <c r="T887" i="4"/>
  <c r="S887" i="4"/>
  <c r="R887" i="4"/>
  <c r="U886" i="4"/>
  <c r="S886" i="4"/>
  <c r="T886" i="4" s="1"/>
  <c r="R886" i="4"/>
  <c r="U885" i="4"/>
  <c r="T885" i="4"/>
  <c r="S885" i="4"/>
  <c r="R885" i="4"/>
  <c r="U884" i="4"/>
  <c r="S884" i="4"/>
  <c r="T884" i="4" s="1"/>
  <c r="R884" i="4"/>
  <c r="U883" i="4"/>
  <c r="T883" i="4"/>
  <c r="S883" i="4"/>
  <c r="R883" i="4"/>
  <c r="U882" i="4"/>
  <c r="S882" i="4"/>
  <c r="T882" i="4" s="1"/>
  <c r="R882" i="4"/>
  <c r="U881" i="4"/>
  <c r="T881" i="4"/>
  <c r="S881" i="4"/>
  <c r="R881" i="4"/>
  <c r="U880" i="4"/>
  <c r="S880" i="4"/>
  <c r="T880" i="4" s="1"/>
  <c r="R880" i="4"/>
  <c r="U879" i="4"/>
  <c r="T879" i="4"/>
  <c r="S879" i="4"/>
  <c r="R879" i="4"/>
  <c r="U878" i="4"/>
  <c r="S878" i="4"/>
  <c r="T878" i="4" s="1"/>
  <c r="R878" i="4"/>
  <c r="U877" i="4"/>
  <c r="T877" i="4"/>
  <c r="S877" i="4"/>
  <c r="R877" i="4"/>
  <c r="U876" i="4"/>
  <c r="S876" i="4"/>
  <c r="T876" i="4" s="1"/>
  <c r="R876" i="4"/>
  <c r="U875" i="4"/>
  <c r="T875" i="4"/>
  <c r="S875" i="4"/>
  <c r="R875" i="4"/>
  <c r="U874" i="4"/>
  <c r="S874" i="4"/>
  <c r="T874" i="4" s="1"/>
  <c r="R874" i="4"/>
  <c r="U873" i="4"/>
  <c r="T873" i="4"/>
  <c r="S873" i="4"/>
  <c r="R873" i="4"/>
  <c r="U872" i="4"/>
  <c r="S872" i="4"/>
  <c r="T872" i="4" s="1"/>
  <c r="R872" i="4"/>
  <c r="U871" i="4"/>
  <c r="T871" i="4"/>
  <c r="S871" i="4"/>
  <c r="R871" i="4"/>
  <c r="U870" i="4"/>
  <c r="S870" i="4"/>
  <c r="T870" i="4" s="1"/>
  <c r="R870" i="4"/>
  <c r="U869" i="4"/>
  <c r="T869" i="4"/>
  <c r="S869" i="4"/>
  <c r="R869" i="4"/>
  <c r="U868" i="4"/>
  <c r="S868" i="4"/>
  <c r="T868" i="4" s="1"/>
  <c r="R868" i="4"/>
  <c r="U867" i="4"/>
  <c r="T867" i="4"/>
  <c r="S867" i="4"/>
  <c r="R867" i="4"/>
  <c r="U866" i="4"/>
  <c r="S866" i="4"/>
  <c r="T866" i="4" s="1"/>
  <c r="R866" i="4"/>
  <c r="U865" i="4"/>
  <c r="T865" i="4"/>
  <c r="S865" i="4"/>
  <c r="R865" i="4"/>
  <c r="U864" i="4"/>
  <c r="S864" i="4"/>
  <c r="T864" i="4" s="1"/>
  <c r="R864" i="4"/>
  <c r="U863" i="4"/>
  <c r="T863" i="4"/>
  <c r="S863" i="4"/>
  <c r="R863" i="4"/>
  <c r="U862" i="4"/>
  <c r="S862" i="4"/>
  <c r="T862" i="4" s="1"/>
  <c r="R862" i="4"/>
  <c r="U861" i="4"/>
  <c r="T861" i="4"/>
  <c r="S861" i="4"/>
  <c r="R861" i="4"/>
  <c r="U860" i="4"/>
  <c r="S860" i="4"/>
  <c r="T860" i="4" s="1"/>
  <c r="R860" i="4"/>
  <c r="U859" i="4"/>
  <c r="T859" i="4"/>
  <c r="S859" i="4"/>
  <c r="R859" i="4"/>
  <c r="U858" i="4"/>
  <c r="S858" i="4"/>
  <c r="T858" i="4" s="1"/>
  <c r="R858" i="4"/>
  <c r="U857" i="4"/>
  <c r="T857" i="4"/>
  <c r="S857" i="4"/>
  <c r="R857" i="4"/>
  <c r="U856" i="4"/>
  <c r="S856" i="4"/>
  <c r="T856" i="4" s="1"/>
  <c r="R856" i="4"/>
  <c r="U855" i="4"/>
  <c r="T855" i="4"/>
  <c r="S855" i="4"/>
  <c r="R855" i="4"/>
  <c r="U854" i="4"/>
  <c r="S854" i="4"/>
  <c r="T854" i="4" s="1"/>
  <c r="R854" i="4"/>
  <c r="U853" i="4"/>
  <c r="T853" i="4"/>
  <c r="S853" i="4"/>
  <c r="R853" i="4"/>
  <c r="U852" i="4"/>
  <c r="S852" i="4"/>
  <c r="T852" i="4" s="1"/>
  <c r="R852" i="4"/>
  <c r="U851" i="4"/>
  <c r="T851" i="4"/>
  <c r="S851" i="4"/>
  <c r="R851" i="4"/>
  <c r="U850" i="4"/>
  <c r="S850" i="4"/>
  <c r="T850" i="4" s="1"/>
  <c r="R850" i="4"/>
  <c r="U849" i="4"/>
  <c r="T849" i="4"/>
  <c r="S849" i="4"/>
  <c r="R849" i="4"/>
  <c r="U848" i="4"/>
  <c r="S848" i="4"/>
  <c r="T848" i="4" s="1"/>
  <c r="R848" i="4"/>
  <c r="U847" i="4"/>
  <c r="T847" i="4"/>
  <c r="S847" i="4"/>
  <c r="R847" i="4"/>
  <c r="U846" i="4"/>
  <c r="S846" i="4"/>
  <c r="T846" i="4" s="1"/>
  <c r="R846" i="4"/>
  <c r="U845" i="4"/>
  <c r="T845" i="4"/>
  <c r="S845" i="4"/>
  <c r="R845" i="4"/>
  <c r="U844" i="4"/>
  <c r="S844" i="4"/>
  <c r="T844" i="4" s="1"/>
  <c r="R844" i="4"/>
  <c r="U843" i="4"/>
  <c r="T843" i="4"/>
  <c r="S843" i="4"/>
  <c r="R843" i="4"/>
  <c r="U842" i="4"/>
  <c r="S842" i="4"/>
  <c r="T842" i="4" s="1"/>
  <c r="R842" i="4"/>
  <c r="U841" i="4"/>
  <c r="T841" i="4"/>
  <c r="S841" i="4"/>
  <c r="R841" i="4"/>
  <c r="U840" i="4"/>
  <c r="S840" i="4"/>
  <c r="T840" i="4" s="1"/>
  <c r="R840" i="4"/>
  <c r="U839" i="4"/>
  <c r="T839" i="4"/>
  <c r="S839" i="4"/>
  <c r="R839" i="4"/>
  <c r="U838" i="4"/>
  <c r="S838" i="4"/>
  <c r="T838" i="4" s="1"/>
  <c r="R838" i="4"/>
  <c r="U837" i="4"/>
  <c r="T837" i="4"/>
  <c r="S837" i="4"/>
  <c r="R837" i="4"/>
  <c r="U836" i="4"/>
  <c r="S836" i="4"/>
  <c r="T836" i="4" s="1"/>
  <c r="R836" i="4"/>
  <c r="U835" i="4"/>
  <c r="T835" i="4"/>
  <c r="S835" i="4"/>
  <c r="R835" i="4"/>
  <c r="U834" i="4"/>
  <c r="S834" i="4"/>
  <c r="T834" i="4" s="1"/>
  <c r="R834" i="4"/>
  <c r="U833" i="4"/>
  <c r="T833" i="4"/>
  <c r="S833" i="4"/>
  <c r="R833" i="4"/>
  <c r="U832" i="4"/>
  <c r="S832" i="4"/>
  <c r="T832" i="4" s="1"/>
  <c r="R832" i="4"/>
  <c r="U831" i="4"/>
  <c r="T831" i="4"/>
  <c r="S831" i="4"/>
  <c r="R831" i="4"/>
  <c r="U830" i="4"/>
  <c r="S830" i="4"/>
  <c r="T830" i="4" s="1"/>
  <c r="R830" i="4"/>
  <c r="U829" i="4"/>
  <c r="T829" i="4"/>
  <c r="S829" i="4"/>
  <c r="R829" i="4"/>
  <c r="U828" i="4"/>
  <c r="S828" i="4"/>
  <c r="T828" i="4" s="1"/>
  <c r="R828" i="4"/>
  <c r="U827" i="4"/>
  <c r="T827" i="4"/>
  <c r="S827" i="4"/>
  <c r="R827" i="4"/>
  <c r="U826" i="4"/>
  <c r="S826" i="4"/>
  <c r="T826" i="4" s="1"/>
  <c r="R826" i="4"/>
  <c r="U825" i="4"/>
  <c r="T825" i="4"/>
  <c r="S825" i="4"/>
  <c r="R825" i="4"/>
  <c r="U824" i="4"/>
  <c r="S824" i="4"/>
  <c r="T824" i="4" s="1"/>
  <c r="R824" i="4"/>
  <c r="U823" i="4"/>
  <c r="T823" i="4"/>
  <c r="S823" i="4"/>
  <c r="R823" i="4"/>
  <c r="U822" i="4"/>
  <c r="S822" i="4"/>
  <c r="T822" i="4" s="1"/>
  <c r="R822" i="4"/>
  <c r="U821" i="4"/>
  <c r="T821" i="4"/>
  <c r="S821" i="4"/>
  <c r="R821" i="4"/>
  <c r="U820" i="4"/>
  <c r="S820" i="4"/>
  <c r="T820" i="4" s="1"/>
  <c r="R820" i="4"/>
  <c r="U819" i="4"/>
  <c r="T819" i="4"/>
  <c r="S819" i="4"/>
  <c r="R819" i="4"/>
  <c r="U818" i="4"/>
  <c r="S818" i="4"/>
  <c r="T818" i="4" s="1"/>
  <c r="R818" i="4"/>
  <c r="U817" i="4"/>
  <c r="T817" i="4"/>
  <c r="S817" i="4"/>
  <c r="R817" i="4"/>
  <c r="U816" i="4"/>
  <c r="S816" i="4"/>
  <c r="T816" i="4" s="1"/>
  <c r="R816" i="4"/>
  <c r="U815" i="4"/>
  <c r="T815" i="4"/>
  <c r="S815" i="4"/>
  <c r="R815" i="4"/>
  <c r="U814" i="4"/>
  <c r="S814" i="4"/>
  <c r="T814" i="4" s="1"/>
  <c r="R814" i="4"/>
  <c r="U813" i="4"/>
  <c r="T813" i="4"/>
  <c r="S813" i="4"/>
  <c r="R813" i="4"/>
  <c r="U812" i="4"/>
  <c r="S812" i="4"/>
  <c r="T812" i="4" s="1"/>
  <c r="R812" i="4"/>
  <c r="U811" i="4"/>
  <c r="T811" i="4"/>
  <c r="S811" i="4"/>
  <c r="R811" i="4"/>
  <c r="U810" i="4"/>
  <c r="S810" i="4"/>
  <c r="T810" i="4" s="1"/>
  <c r="R810" i="4"/>
  <c r="U809" i="4"/>
  <c r="T809" i="4"/>
  <c r="S809" i="4"/>
  <c r="R809" i="4"/>
  <c r="U808" i="4"/>
  <c r="S808" i="4"/>
  <c r="T808" i="4" s="1"/>
  <c r="R808" i="4"/>
  <c r="U807" i="4"/>
  <c r="T807" i="4"/>
  <c r="S807" i="4"/>
  <c r="R807" i="4"/>
  <c r="U806" i="4"/>
  <c r="S806" i="4"/>
  <c r="T806" i="4" s="1"/>
  <c r="R806" i="4"/>
  <c r="U805" i="4"/>
  <c r="T805" i="4"/>
  <c r="S805" i="4"/>
  <c r="R805" i="4"/>
  <c r="U804" i="4"/>
  <c r="S804" i="4"/>
  <c r="T804" i="4" s="1"/>
  <c r="R804" i="4"/>
  <c r="U803" i="4"/>
  <c r="T803" i="4"/>
  <c r="S803" i="4"/>
  <c r="R803" i="4"/>
  <c r="U802" i="4"/>
  <c r="S802" i="4"/>
  <c r="T802" i="4" s="1"/>
  <c r="R802" i="4"/>
  <c r="U801" i="4"/>
  <c r="T801" i="4"/>
  <c r="S801" i="4"/>
  <c r="R801" i="4"/>
  <c r="U800" i="4"/>
  <c r="S800" i="4"/>
  <c r="T800" i="4" s="1"/>
  <c r="R800" i="4"/>
  <c r="U799" i="4"/>
  <c r="T799" i="4"/>
  <c r="S799" i="4"/>
  <c r="R799" i="4"/>
  <c r="U798" i="4"/>
  <c r="S798" i="4"/>
  <c r="T798" i="4" s="1"/>
  <c r="R798" i="4"/>
  <c r="U797" i="4"/>
  <c r="T797" i="4"/>
  <c r="S797" i="4"/>
  <c r="R797" i="4"/>
  <c r="U796" i="4"/>
  <c r="S796" i="4"/>
  <c r="T796" i="4" s="1"/>
  <c r="R796" i="4"/>
  <c r="U795" i="4"/>
  <c r="T795" i="4"/>
  <c r="S795" i="4"/>
  <c r="R795" i="4"/>
  <c r="U794" i="4"/>
  <c r="S794" i="4"/>
  <c r="T794" i="4" s="1"/>
  <c r="R794" i="4"/>
  <c r="U793" i="4"/>
  <c r="T793" i="4"/>
  <c r="S793" i="4"/>
  <c r="R793" i="4"/>
  <c r="U792" i="4"/>
  <c r="S792" i="4"/>
  <c r="T792" i="4" s="1"/>
  <c r="R792" i="4"/>
  <c r="U791" i="4"/>
  <c r="T791" i="4"/>
  <c r="S791" i="4"/>
  <c r="R791" i="4"/>
  <c r="U790" i="4"/>
  <c r="S790" i="4"/>
  <c r="T790" i="4" s="1"/>
  <c r="R790" i="4"/>
  <c r="U789" i="4"/>
  <c r="T789" i="4"/>
  <c r="S789" i="4"/>
  <c r="R789" i="4"/>
  <c r="U788" i="4"/>
  <c r="S788" i="4"/>
  <c r="T788" i="4" s="1"/>
  <c r="R788" i="4"/>
  <c r="U787" i="4"/>
  <c r="T787" i="4"/>
  <c r="S787" i="4"/>
  <c r="R787" i="4"/>
  <c r="U786" i="4"/>
  <c r="S786" i="4"/>
  <c r="T786" i="4" s="1"/>
  <c r="R786" i="4"/>
  <c r="U785" i="4"/>
  <c r="T785" i="4"/>
  <c r="S785" i="4"/>
  <c r="R785" i="4"/>
  <c r="U784" i="4"/>
  <c r="S784" i="4"/>
  <c r="T784" i="4" s="1"/>
  <c r="R784" i="4"/>
  <c r="U783" i="4"/>
  <c r="T783" i="4"/>
  <c r="S783" i="4"/>
  <c r="R783" i="4"/>
  <c r="U782" i="4"/>
  <c r="S782" i="4"/>
  <c r="T782" i="4" s="1"/>
  <c r="R782" i="4"/>
  <c r="U781" i="4"/>
  <c r="T781" i="4"/>
  <c r="S781" i="4"/>
  <c r="R781" i="4"/>
  <c r="U780" i="4"/>
  <c r="S780" i="4"/>
  <c r="T780" i="4" s="1"/>
  <c r="R780" i="4"/>
  <c r="U779" i="4"/>
  <c r="T779" i="4"/>
  <c r="S779" i="4"/>
  <c r="R779" i="4"/>
  <c r="U778" i="4"/>
  <c r="S778" i="4"/>
  <c r="T778" i="4" s="1"/>
  <c r="R778" i="4"/>
  <c r="U777" i="4"/>
  <c r="T777" i="4"/>
  <c r="S777" i="4"/>
  <c r="R777" i="4"/>
  <c r="U776" i="4"/>
  <c r="S776" i="4"/>
  <c r="T776" i="4" s="1"/>
  <c r="R776" i="4"/>
  <c r="U775" i="4"/>
  <c r="T775" i="4"/>
  <c r="S775" i="4"/>
  <c r="R775" i="4"/>
  <c r="U774" i="4"/>
  <c r="S774" i="4"/>
  <c r="T774" i="4" s="1"/>
  <c r="R774" i="4"/>
  <c r="U773" i="4"/>
  <c r="T773" i="4"/>
  <c r="S773" i="4"/>
  <c r="R773" i="4"/>
  <c r="U772" i="4"/>
  <c r="S772" i="4"/>
  <c r="T772" i="4" s="1"/>
  <c r="R772" i="4"/>
  <c r="U771" i="4"/>
  <c r="T771" i="4"/>
  <c r="S771" i="4"/>
  <c r="R771" i="4"/>
  <c r="U770" i="4"/>
  <c r="S770" i="4"/>
  <c r="T770" i="4" s="1"/>
  <c r="R770" i="4"/>
  <c r="U769" i="4"/>
  <c r="T769" i="4"/>
  <c r="S769" i="4"/>
  <c r="R769" i="4"/>
  <c r="U768" i="4"/>
  <c r="S768" i="4"/>
  <c r="T768" i="4" s="1"/>
  <c r="R768" i="4"/>
  <c r="U767" i="4"/>
  <c r="T767" i="4"/>
  <c r="S767" i="4"/>
  <c r="R767" i="4"/>
  <c r="U766" i="4"/>
  <c r="S766" i="4"/>
  <c r="T766" i="4" s="1"/>
  <c r="R766" i="4"/>
  <c r="U765" i="4"/>
  <c r="T765" i="4"/>
  <c r="S765" i="4"/>
  <c r="R765" i="4"/>
  <c r="U764" i="4"/>
  <c r="S764" i="4"/>
  <c r="T764" i="4" s="1"/>
  <c r="R764" i="4"/>
  <c r="U763" i="4"/>
  <c r="T763" i="4"/>
  <c r="S763" i="4"/>
  <c r="R763" i="4"/>
  <c r="U762" i="4"/>
  <c r="S762" i="4"/>
  <c r="T762" i="4" s="1"/>
  <c r="R762" i="4"/>
  <c r="U761" i="4"/>
  <c r="T761" i="4"/>
  <c r="S761" i="4"/>
  <c r="R761" i="4"/>
  <c r="U760" i="4"/>
  <c r="S760" i="4"/>
  <c r="T760" i="4" s="1"/>
  <c r="R760" i="4"/>
  <c r="U759" i="4"/>
  <c r="T759" i="4"/>
  <c r="S759" i="4"/>
  <c r="R759" i="4"/>
  <c r="U758" i="4"/>
  <c r="S758" i="4"/>
  <c r="T758" i="4" s="1"/>
  <c r="R758" i="4"/>
  <c r="U757" i="4"/>
  <c r="T757" i="4"/>
  <c r="S757" i="4"/>
  <c r="R757" i="4"/>
  <c r="U756" i="4"/>
  <c r="S756" i="4"/>
  <c r="T756" i="4" s="1"/>
  <c r="R756" i="4"/>
  <c r="U755" i="4"/>
  <c r="T755" i="4"/>
  <c r="S755" i="4"/>
  <c r="R755" i="4"/>
  <c r="U754" i="4"/>
  <c r="S754" i="4"/>
  <c r="T754" i="4" s="1"/>
  <c r="R754" i="4"/>
  <c r="U753" i="4"/>
  <c r="T753" i="4"/>
  <c r="S753" i="4"/>
  <c r="R753" i="4"/>
  <c r="U752" i="4"/>
  <c r="S752" i="4"/>
  <c r="T752" i="4" s="1"/>
  <c r="R752" i="4"/>
  <c r="U751" i="4"/>
  <c r="T751" i="4"/>
  <c r="S751" i="4"/>
  <c r="R751" i="4"/>
  <c r="U750" i="4"/>
  <c r="S750" i="4"/>
  <c r="T750" i="4" s="1"/>
  <c r="R750" i="4"/>
  <c r="U749" i="4"/>
  <c r="T749" i="4"/>
  <c r="S749" i="4"/>
  <c r="R749" i="4"/>
  <c r="U748" i="4"/>
  <c r="S748" i="4"/>
  <c r="T748" i="4" s="1"/>
  <c r="R748" i="4"/>
  <c r="U747" i="4"/>
  <c r="T747" i="4"/>
  <c r="S747" i="4"/>
  <c r="R747" i="4"/>
  <c r="U746" i="4"/>
  <c r="S746" i="4"/>
  <c r="T746" i="4" s="1"/>
  <c r="R746" i="4"/>
  <c r="U745" i="4"/>
  <c r="T745" i="4"/>
  <c r="S745" i="4"/>
  <c r="R745" i="4"/>
  <c r="U744" i="4"/>
  <c r="S744" i="4"/>
  <c r="T744" i="4" s="1"/>
  <c r="R744" i="4"/>
  <c r="U743" i="4"/>
  <c r="T743" i="4"/>
  <c r="S743" i="4"/>
  <c r="R743" i="4"/>
  <c r="U742" i="4"/>
  <c r="S742" i="4"/>
  <c r="T742" i="4" s="1"/>
  <c r="R742" i="4"/>
  <c r="U741" i="4"/>
  <c r="T741" i="4"/>
  <c r="S741" i="4"/>
  <c r="R741" i="4"/>
  <c r="U740" i="4"/>
  <c r="S740" i="4"/>
  <c r="T740" i="4" s="1"/>
  <c r="R740" i="4"/>
  <c r="U739" i="4"/>
  <c r="T739" i="4"/>
  <c r="S739" i="4"/>
  <c r="R739" i="4"/>
  <c r="U738" i="4"/>
  <c r="S738" i="4"/>
  <c r="T738" i="4" s="1"/>
  <c r="R738" i="4"/>
  <c r="U737" i="4"/>
  <c r="T737" i="4"/>
  <c r="S737" i="4"/>
  <c r="R737" i="4"/>
  <c r="U736" i="4"/>
  <c r="S736" i="4"/>
  <c r="T736" i="4" s="1"/>
  <c r="R736" i="4"/>
  <c r="U735" i="4"/>
  <c r="T735" i="4"/>
  <c r="S735" i="4"/>
  <c r="R735" i="4"/>
  <c r="U734" i="4"/>
  <c r="S734" i="4"/>
  <c r="T734" i="4" s="1"/>
  <c r="R734" i="4"/>
  <c r="U733" i="4"/>
  <c r="T733" i="4"/>
  <c r="S733" i="4"/>
  <c r="R733" i="4"/>
  <c r="U732" i="4"/>
  <c r="S732" i="4"/>
  <c r="T732" i="4" s="1"/>
  <c r="R732" i="4"/>
  <c r="U731" i="4"/>
  <c r="T731" i="4"/>
  <c r="S731" i="4"/>
  <c r="R731" i="4"/>
  <c r="U730" i="4"/>
  <c r="S730" i="4"/>
  <c r="T730" i="4" s="1"/>
  <c r="R730" i="4"/>
  <c r="U729" i="4"/>
  <c r="T729" i="4"/>
  <c r="S729" i="4"/>
  <c r="R729" i="4"/>
  <c r="U728" i="4"/>
  <c r="S728" i="4"/>
  <c r="T728" i="4" s="1"/>
  <c r="R728" i="4"/>
  <c r="U727" i="4"/>
  <c r="T727" i="4"/>
  <c r="S727" i="4"/>
  <c r="R727" i="4"/>
  <c r="U726" i="4"/>
  <c r="S726" i="4"/>
  <c r="T726" i="4" s="1"/>
  <c r="R726" i="4"/>
  <c r="U725" i="4"/>
  <c r="T725" i="4"/>
  <c r="S725" i="4"/>
  <c r="R725" i="4"/>
  <c r="U724" i="4"/>
  <c r="S724" i="4"/>
  <c r="T724" i="4" s="1"/>
  <c r="R724" i="4"/>
  <c r="U723" i="4"/>
  <c r="T723" i="4"/>
  <c r="S723" i="4"/>
  <c r="R723" i="4"/>
  <c r="U722" i="4"/>
  <c r="S722" i="4"/>
  <c r="T722" i="4" s="1"/>
  <c r="R722" i="4"/>
  <c r="U721" i="4"/>
  <c r="T721" i="4"/>
  <c r="S721" i="4"/>
  <c r="R721" i="4"/>
  <c r="U720" i="4"/>
  <c r="S720" i="4"/>
  <c r="T720" i="4" s="1"/>
  <c r="R720" i="4"/>
  <c r="U719" i="4"/>
  <c r="T719" i="4"/>
  <c r="S719" i="4"/>
  <c r="R719" i="4"/>
  <c r="U718" i="4"/>
  <c r="S718" i="4"/>
  <c r="T718" i="4" s="1"/>
  <c r="R718" i="4"/>
  <c r="U717" i="4"/>
  <c r="T717" i="4"/>
  <c r="S717" i="4"/>
  <c r="R717" i="4"/>
  <c r="U716" i="4"/>
  <c r="S716" i="4"/>
  <c r="T716" i="4" s="1"/>
  <c r="R716" i="4"/>
  <c r="U715" i="4"/>
  <c r="T715" i="4"/>
  <c r="S715" i="4"/>
  <c r="R715" i="4"/>
  <c r="U714" i="4"/>
  <c r="S714" i="4"/>
  <c r="T714" i="4" s="1"/>
  <c r="R714" i="4"/>
  <c r="U713" i="4"/>
  <c r="T713" i="4"/>
  <c r="S713" i="4"/>
  <c r="R713" i="4"/>
  <c r="U712" i="4"/>
  <c r="S712" i="4"/>
  <c r="T712" i="4" s="1"/>
  <c r="R712" i="4"/>
  <c r="U711" i="4"/>
  <c r="T711" i="4"/>
  <c r="S711" i="4"/>
  <c r="R711" i="4"/>
  <c r="U710" i="4"/>
  <c r="S710" i="4"/>
  <c r="T710" i="4" s="1"/>
  <c r="R710" i="4"/>
  <c r="U709" i="4"/>
  <c r="T709" i="4"/>
  <c r="S709" i="4"/>
  <c r="R709" i="4"/>
  <c r="U708" i="4"/>
  <c r="S708" i="4"/>
  <c r="T708" i="4" s="1"/>
  <c r="R708" i="4"/>
  <c r="U707" i="4"/>
  <c r="T707" i="4"/>
  <c r="S707" i="4"/>
  <c r="R707" i="4"/>
  <c r="U706" i="4"/>
  <c r="S706" i="4"/>
  <c r="T706" i="4" s="1"/>
  <c r="R706" i="4"/>
  <c r="U705" i="4"/>
  <c r="T705" i="4"/>
  <c r="S705" i="4"/>
  <c r="R705" i="4"/>
  <c r="U704" i="4"/>
  <c r="S704" i="4"/>
  <c r="T704" i="4" s="1"/>
  <c r="R704" i="4"/>
  <c r="U703" i="4"/>
  <c r="T703" i="4"/>
  <c r="S703" i="4"/>
  <c r="R703" i="4"/>
  <c r="U702" i="4"/>
  <c r="S702" i="4"/>
  <c r="T702" i="4" s="1"/>
  <c r="R702" i="4"/>
  <c r="U701" i="4"/>
  <c r="T701" i="4"/>
  <c r="S701" i="4"/>
  <c r="R701" i="4"/>
  <c r="U700" i="4"/>
  <c r="S700" i="4"/>
  <c r="T700" i="4" s="1"/>
  <c r="R700" i="4"/>
  <c r="U699" i="4"/>
  <c r="T699" i="4"/>
  <c r="S699" i="4"/>
  <c r="R699" i="4"/>
  <c r="U698" i="4"/>
  <c r="S698" i="4"/>
  <c r="T698" i="4" s="1"/>
  <c r="R698" i="4"/>
  <c r="U697" i="4"/>
  <c r="T697" i="4"/>
  <c r="S697" i="4"/>
  <c r="R697" i="4"/>
  <c r="U696" i="4"/>
  <c r="S696" i="4"/>
  <c r="T696" i="4" s="1"/>
  <c r="R696" i="4"/>
  <c r="U695" i="4"/>
  <c r="T695" i="4"/>
  <c r="S695" i="4"/>
  <c r="R695" i="4"/>
  <c r="U694" i="4"/>
  <c r="S694" i="4"/>
  <c r="T694" i="4" s="1"/>
  <c r="R694" i="4"/>
  <c r="U693" i="4"/>
  <c r="T693" i="4"/>
  <c r="S693" i="4"/>
  <c r="R693" i="4"/>
  <c r="U692" i="4"/>
  <c r="S692" i="4"/>
  <c r="T692" i="4" s="1"/>
  <c r="R692" i="4"/>
  <c r="U691" i="4"/>
  <c r="T691" i="4"/>
  <c r="S691" i="4"/>
  <c r="R691" i="4"/>
  <c r="U690" i="4"/>
  <c r="S690" i="4"/>
  <c r="T690" i="4" s="1"/>
  <c r="R690" i="4"/>
  <c r="U689" i="4"/>
  <c r="T689" i="4"/>
  <c r="S689" i="4"/>
  <c r="R689" i="4"/>
  <c r="U688" i="4"/>
  <c r="S688" i="4"/>
  <c r="T688" i="4" s="1"/>
  <c r="R688" i="4"/>
  <c r="U687" i="4"/>
  <c r="T687" i="4"/>
  <c r="S687" i="4"/>
  <c r="R687" i="4"/>
  <c r="U686" i="4"/>
  <c r="S686" i="4"/>
  <c r="T686" i="4" s="1"/>
  <c r="R686" i="4"/>
  <c r="U685" i="4"/>
  <c r="T685" i="4"/>
  <c r="S685" i="4"/>
  <c r="R685" i="4"/>
  <c r="U684" i="4"/>
  <c r="S684" i="4"/>
  <c r="T684" i="4" s="1"/>
  <c r="R684" i="4"/>
  <c r="U683" i="4"/>
  <c r="T683" i="4"/>
  <c r="S683" i="4"/>
  <c r="R683" i="4"/>
  <c r="U682" i="4"/>
  <c r="S682" i="4"/>
  <c r="T682" i="4" s="1"/>
  <c r="R682" i="4"/>
  <c r="U681" i="4"/>
  <c r="T681" i="4"/>
  <c r="S681" i="4"/>
  <c r="R681" i="4"/>
  <c r="U680" i="4"/>
  <c r="S680" i="4"/>
  <c r="T680" i="4" s="1"/>
  <c r="R680" i="4"/>
  <c r="U679" i="4"/>
  <c r="T679" i="4"/>
  <c r="S679" i="4"/>
  <c r="R679" i="4"/>
  <c r="U678" i="4"/>
  <c r="S678" i="4"/>
  <c r="T678" i="4" s="1"/>
  <c r="R678" i="4"/>
  <c r="U677" i="4"/>
  <c r="T677" i="4"/>
  <c r="S677" i="4"/>
  <c r="R677" i="4"/>
  <c r="U676" i="4"/>
  <c r="S676" i="4"/>
  <c r="T676" i="4" s="1"/>
  <c r="R676" i="4"/>
  <c r="U675" i="4"/>
  <c r="T675" i="4"/>
  <c r="S675" i="4"/>
  <c r="R675" i="4"/>
  <c r="U674" i="4"/>
  <c r="S674" i="4"/>
  <c r="T674" i="4" s="1"/>
  <c r="R674" i="4"/>
  <c r="U673" i="4"/>
  <c r="T673" i="4"/>
  <c r="S673" i="4"/>
  <c r="R673" i="4"/>
  <c r="U672" i="4"/>
  <c r="S672" i="4"/>
  <c r="T672" i="4" s="1"/>
  <c r="R672" i="4"/>
  <c r="U671" i="4"/>
  <c r="T671" i="4"/>
  <c r="S671" i="4"/>
  <c r="R671" i="4"/>
  <c r="U670" i="4"/>
  <c r="S670" i="4"/>
  <c r="T670" i="4" s="1"/>
  <c r="R670" i="4"/>
  <c r="U669" i="4"/>
  <c r="T669" i="4"/>
  <c r="S669" i="4"/>
  <c r="R669" i="4"/>
  <c r="U668" i="4"/>
  <c r="S668" i="4"/>
  <c r="T668" i="4" s="1"/>
  <c r="R668" i="4"/>
  <c r="U667" i="4"/>
  <c r="T667" i="4"/>
  <c r="S667" i="4"/>
  <c r="R667" i="4"/>
  <c r="U666" i="4"/>
  <c r="S666" i="4"/>
  <c r="T666" i="4" s="1"/>
  <c r="R666" i="4"/>
  <c r="U665" i="4"/>
  <c r="T665" i="4"/>
  <c r="S665" i="4"/>
  <c r="R665" i="4"/>
  <c r="U664" i="4"/>
  <c r="S664" i="4"/>
  <c r="T664" i="4" s="1"/>
  <c r="R664" i="4"/>
  <c r="U663" i="4"/>
  <c r="T663" i="4"/>
  <c r="S663" i="4"/>
  <c r="R663" i="4"/>
  <c r="U662" i="4"/>
  <c r="S662" i="4"/>
  <c r="T662" i="4" s="1"/>
  <c r="R662" i="4"/>
  <c r="U661" i="4"/>
  <c r="T661" i="4"/>
  <c r="S661" i="4"/>
  <c r="R661" i="4"/>
  <c r="U660" i="4"/>
  <c r="S660" i="4"/>
  <c r="T660" i="4" s="1"/>
  <c r="R660" i="4"/>
  <c r="U659" i="4"/>
  <c r="T659" i="4"/>
  <c r="S659" i="4"/>
  <c r="R659" i="4"/>
  <c r="U658" i="4"/>
  <c r="S658" i="4"/>
  <c r="T658" i="4" s="1"/>
  <c r="R658" i="4"/>
  <c r="U657" i="4"/>
  <c r="T657" i="4"/>
  <c r="S657" i="4"/>
  <c r="R657" i="4"/>
  <c r="U656" i="4"/>
  <c r="S656" i="4"/>
  <c r="T656" i="4" s="1"/>
  <c r="R656" i="4"/>
  <c r="U655" i="4"/>
  <c r="T655" i="4"/>
  <c r="S655" i="4"/>
  <c r="R655" i="4"/>
  <c r="U654" i="4"/>
  <c r="S654" i="4"/>
  <c r="T654" i="4" s="1"/>
  <c r="R654" i="4"/>
  <c r="U653" i="4"/>
  <c r="T653" i="4"/>
  <c r="S653" i="4"/>
  <c r="R653" i="4"/>
  <c r="U652" i="4"/>
  <c r="S652" i="4"/>
  <c r="T652" i="4" s="1"/>
  <c r="R652" i="4"/>
  <c r="U651" i="4"/>
  <c r="T651" i="4"/>
  <c r="S651" i="4"/>
  <c r="R651" i="4"/>
  <c r="U650" i="4"/>
  <c r="S650" i="4"/>
  <c r="T650" i="4" s="1"/>
  <c r="R650" i="4"/>
  <c r="U649" i="4"/>
  <c r="T649" i="4"/>
  <c r="S649" i="4"/>
  <c r="R649" i="4"/>
  <c r="U648" i="4"/>
  <c r="S648" i="4"/>
  <c r="T648" i="4" s="1"/>
  <c r="R648" i="4"/>
  <c r="U647" i="4"/>
  <c r="T647" i="4"/>
  <c r="S647" i="4"/>
  <c r="R647" i="4"/>
  <c r="V646" i="4"/>
  <c r="U646" i="4"/>
  <c r="T646" i="4"/>
  <c r="S646" i="4"/>
  <c r="R646" i="4"/>
  <c r="U645" i="4"/>
  <c r="S645" i="4"/>
  <c r="T645" i="4" s="1"/>
  <c r="R645" i="4"/>
  <c r="U644" i="4"/>
  <c r="T644" i="4"/>
  <c r="S644" i="4"/>
  <c r="R644" i="4"/>
  <c r="U643" i="4"/>
  <c r="S643" i="4"/>
  <c r="T643" i="4" s="1"/>
  <c r="R643" i="4"/>
  <c r="U642" i="4"/>
  <c r="T642" i="4"/>
  <c r="S642" i="4"/>
  <c r="R642" i="4"/>
  <c r="V641" i="4"/>
  <c r="U641" i="4"/>
  <c r="T641" i="4"/>
  <c r="S641" i="4"/>
  <c r="R641" i="4"/>
  <c r="V640" i="4"/>
  <c r="U640" i="4"/>
  <c r="T640" i="4"/>
  <c r="S640" i="4"/>
  <c r="R640" i="4"/>
  <c r="U639" i="4"/>
  <c r="T639" i="4"/>
  <c r="S639" i="4"/>
  <c r="R639" i="4"/>
  <c r="U638" i="4"/>
  <c r="T638" i="4"/>
  <c r="S638" i="4"/>
  <c r="R638" i="4"/>
  <c r="U637" i="4"/>
  <c r="T637" i="4"/>
  <c r="S637" i="4"/>
  <c r="R637" i="4"/>
  <c r="U636" i="4"/>
  <c r="T636" i="4"/>
  <c r="S636" i="4"/>
  <c r="R636" i="4"/>
  <c r="U635" i="4"/>
  <c r="T635" i="4"/>
  <c r="S635" i="4"/>
  <c r="R635" i="4"/>
  <c r="U634" i="4"/>
  <c r="V634" i="4" s="1"/>
  <c r="T634" i="4"/>
  <c r="S634" i="4"/>
  <c r="R634" i="4"/>
  <c r="V633" i="4"/>
  <c r="U633" i="4"/>
  <c r="T633" i="4"/>
  <c r="S633" i="4"/>
  <c r="R633" i="4"/>
  <c r="U632" i="4"/>
  <c r="S632" i="4"/>
  <c r="T632" i="4" s="1"/>
  <c r="R632" i="4"/>
  <c r="U631" i="4"/>
  <c r="T631" i="4"/>
  <c r="S631" i="4"/>
  <c r="R631" i="4"/>
  <c r="U630" i="4"/>
  <c r="S630" i="4"/>
  <c r="T630" i="4" s="1"/>
  <c r="R630" i="4"/>
  <c r="U629" i="4"/>
  <c r="T629" i="4"/>
  <c r="S629" i="4"/>
  <c r="R629" i="4"/>
  <c r="U628" i="4"/>
  <c r="S628" i="4"/>
  <c r="T628" i="4" s="1"/>
  <c r="R628" i="4"/>
  <c r="U627" i="4"/>
  <c r="T627" i="4"/>
  <c r="S627" i="4"/>
  <c r="R627" i="4"/>
  <c r="U626" i="4"/>
  <c r="S626" i="4"/>
  <c r="T626" i="4" s="1"/>
  <c r="R626" i="4"/>
  <c r="U625" i="4"/>
  <c r="T625" i="4"/>
  <c r="S625" i="4"/>
  <c r="R625" i="4"/>
  <c r="V624" i="4"/>
  <c r="U624" i="4"/>
  <c r="T624" i="4"/>
  <c r="S624" i="4"/>
  <c r="R624" i="4"/>
  <c r="U623" i="4"/>
  <c r="S623" i="4"/>
  <c r="T623" i="4" s="1"/>
  <c r="R623" i="4"/>
  <c r="U622" i="4"/>
  <c r="T622" i="4"/>
  <c r="S622" i="4"/>
  <c r="R622" i="4"/>
  <c r="U621" i="4"/>
  <c r="S621" i="4"/>
  <c r="T621" i="4" s="1"/>
  <c r="R621" i="4"/>
  <c r="U620" i="4"/>
  <c r="T620" i="4"/>
  <c r="S620" i="4"/>
  <c r="R620" i="4"/>
  <c r="U619" i="4"/>
  <c r="S619" i="4"/>
  <c r="T619" i="4" s="1"/>
  <c r="R619" i="4"/>
  <c r="U618" i="4"/>
  <c r="T618" i="4"/>
  <c r="S618" i="4"/>
  <c r="R618" i="4"/>
  <c r="U617" i="4"/>
  <c r="S617" i="4"/>
  <c r="T617" i="4" s="1"/>
  <c r="R617" i="4"/>
  <c r="U616" i="4"/>
  <c r="T616" i="4"/>
  <c r="S616" i="4"/>
  <c r="R616" i="4"/>
  <c r="U615" i="4"/>
  <c r="S615" i="4"/>
  <c r="T615" i="4" s="1"/>
  <c r="R615" i="4"/>
  <c r="U614" i="4"/>
  <c r="T614" i="4"/>
  <c r="S614" i="4"/>
  <c r="R614" i="4"/>
  <c r="U613" i="4"/>
  <c r="S613" i="4"/>
  <c r="T613" i="4" s="1"/>
  <c r="R613" i="4"/>
  <c r="U612" i="4"/>
  <c r="T612" i="4"/>
  <c r="S612" i="4"/>
  <c r="R612" i="4"/>
  <c r="U611" i="4"/>
  <c r="S611" i="4"/>
  <c r="T611" i="4" s="1"/>
  <c r="R611" i="4"/>
  <c r="U610" i="4"/>
  <c r="T610" i="4"/>
  <c r="S610" i="4"/>
  <c r="R610" i="4"/>
  <c r="U609" i="4"/>
  <c r="S609" i="4"/>
  <c r="T609" i="4" s="1"/>
  <c r="R609" i="4"/>
  <c r="U608" i="4"/>
  <c r="T608" i="4"/>
  <c r="S608" i="4"/>
  <c r="R608" i="4"/>
  <c r="U607" i="4"/>
  <c r="S607" i="4"/>
  <c r="T607" i="4" s="1"/>
  <c r="R607" i="4"/>
  <c r="U606" i="4"/>
  <c r="T606" i="4"/>
  <c r="S606" i="4"/>
  <c r="R606" i="4"/>
  <c r="U605" i="4"/>
  <c r="S605" i="4"/>
  <c r="T605" i="4" s="1"/>
  <c r="R605" i="4"/>
  <c r="U604" i="4"/>
  <c r="T604" i="4"/>
  <c r="S604" i="4"/>
  <c r="R604" i="4"/>
  <c r="U603" i="4"/>
  <c r="S603" i="4"/>
  <c r="T603" i="4" s="1"/>
  <c r="R603" i="4"/>
  <c r="U602" i="4"/>
  <c r="V602" i="4" s="1"/>
  <c r="T602" i="4"/>
  <c r="S602" i="4"/>
  <c r="R602" i="4"/>
  <c r="U601" i="4"/>
  <c r="T601" i="4"/>
  <c r="S601" i="4"/>
  <c r="R601" i="4"/>
  <c r="U600" i="4"/>
  <c r="T600" i="4"/>
  <c r="S600" i="4"/>
  <c r="R600" i="4"/>
  <c r="U599" i="4"/>
  <c r="T599" i="4"/>
  <c r="S599" i="4"/>
  <c r="R599" i="4"/>
  <c r="U598" i="4"/>
  <c r="T598" i="4"/>
  <c r="S598" i="4"/>
  <c r="R598" i="4"/>
  <c r="U597" i="4"/>
  <c r="T597" i="4"/>
  <c r="S597" i="4"/>
  <c r="R597" i="4"/>
  <c r="U596" i="4"/>
  <c r="T596" i="4"/>
  <c r="S596" i="4"/>
  <c r="R596" i="4"/>
  <c r="U595" i="4"/>
  <c r="T595" i="4"/>
  <c r="S595" i="4"/>
  <c r="R595" i="4"/>
  <c r="U594" i="4"/>
  <c r="T594" i="4"/>
  <c r="S594" i="4"/>
  <c r="R594" i="4"/>
  <c r="U593" i="4"/>
  <c r="T593" i="4"/>
  <c r="S593" i="4"/>
  <c r="R593" i="4"/>
  <c r="U592" i="4"/>
  <c r="T592" i="4"/>
  <c r="S592" i="4"/>
  <c r="R592" i="4"/>
  <c r="U591" i="4"/>
  <c r="T591" i="4"/>
  <c r="S591" i="4"/>
  <c r="R591" i="4"/>
  <c r="U590" i="4"/>
  <c r="T590" i="4"/>
  <c r="S590" i="4"/>
  <c r="R590" i="4"/>
  <c r="U589" i="4"/>
  <c r="V589" i="4" s="1"/>
  <c r="T589" i="4"/>
  <c r="S589" i="4"/>
  <c r="R589" i="4"/>
  <c r="U588" i="4"/>
  <c r="S588" i="4"/>
  <c r="T588" i="4" s="1"/>
  <c r="R588" i="4"/>
  <c r="U587" i="4"/>
  <c r="T587" i="4"/>
  <c r="S587" i="4"/>
  <c r="R587" i="4"/>
  <c r="U586" i="4"/>
  <c r="S586" i="4"/>
  <c r="T586" i="4" s="1"/>
  <c r="R586" i="4"/>
  <c r="U585" i="4"/>
  <c r="T585" i="4"/>
  <c r="S585" i="4"/>
  <c r="R585" i="4"/>
  <c r="U584" i="4"/>
  <c r="S584" i="4"/>
  <c r="T584" i="4" s="1"/>
  <c r="R584" i="4"/>
  <c r="U583" i="4"/>
  <c r="T583" i="4"/>
  <c r="S583" i="4"/>
  <c r="R583" i="4"/>
  <c r="V582" i="4"/>
  <c r="U582" i="4"/>
  <c r="T582" i="4"/>
  <c r="S582" i="4"/>
  <c r="R582" i="4"/>
  <c r="V581" i="4"/>
  <c r="U581" i="4"/>
  <c r="T581" i="4"/>
  <c r="S581" i="4"/>
  <c r="R581" i="4"/>
  <c r="U580" i="4"/>
  <c r="S580" i="4"/>
  <c r="T580" i="4" s="1"/>
  <c r="R580" i="4"/>
  <c r="U579" i="4"/>
  <c r="T579" i="4"/>
  <c r="S579" i="4"/>
  <c r="R579" i="4"/>
  <c r="U578" i="4"/>
  <c r="S578" i="4"/>
  <c r="T578" i="4" s="1"/>
  <c r="R578" i="4"/>
  <c r="U577" i="4"/>
  <c r="T577" i="4"/>
  <c r="S577" i="4"/>
  <c r="R577" i="4"/>
  <c r="U576" i="4"/>
  <c r="S576" i="4"/>
  <c r="T576" i="4" s="1"/>
  <c r="R576" i="4"/>
  <c r="U575" i="4"/>
  <c r="T575" i="4"/>
  <c r="S575" i="4"/>
  <c r="R575" i="4"/>
  <c r="U574" i="4"/>
  <c r="S574" i="4"/>
  <c r="T574" i="4" s="1"/>
  <c r="R574" i="4"/>
  <c r="U573" i="4"/>
  <c r="T573" i="4"/>
  <c r="S573" i="4"/>
  <c r="R573" i="4"/>
  <c r="V572" i="4"/>
  <c r="U572" i="4"/>
  <c r="T572" i="4"/>
  <c r="S572" i="4"/>
  <c r="R572" i="4"/>
  <c r="U571" i="4"/>
  <c r="T571" i="4"/>
  <c r="S571" i="4"/>
  <c r="R571" i="4"/>
  <c r="U570" i="4"/>
  <c r="T570" i="4"/>
  <c r="S570" i="4"/>
  <c r="R570" i="4"/>
  <c r="U569" i="4"/>
  <c r="T569" i="4"/>
  <c r="S569" i="4"/>
  <c r="R569" i="4"/>
  <c r="U568" i="4"/>
  <c r="T568" i="4"/>
  <c r="S568" i="4"/>
  <c r="R568" i="4"/>
  <c r="U567" i="4"/>
  <c r="T567" i="4"/>
  <c r="S567" i="4"/>
  <c r="R567" i="4"/>
  <c r="U566" i="4"/>
  <c r="T566" i="4"/>
  <c r="S566" i="4"/>
  <c r="R566" i="4"/>
  <c r="U565" i="4"/>
  <c r="T565" i="4"/>
  <c r="S565" i="4"/>
  <c r="R565" i="4"/>
  <c r="U564" i="4"/>
  <c r="T564" i="4"/>
  <c r="S564" i="4"/>
  <c r="R564" i="4"/>
  <c r="U563" i="4"/>
  <c r="T563" i="4"/>
  <c r="S563" i="4"/>
  <c r="R563" i="4"/>
  <c r="U562" i="4"/>
  <c r="T562" i="4"/>
  <c r="S562" i="4"/>
  <c r="R562" i="4"/>
  <c r="U561" i="4"/>
  <c r="T561" i="4"/>
  <c r="S561" i="4"/>
  <c r="R561" i="4"/>
  <c r="U560" i="4"/>
  <c r="T560" i="4"/>
  <c r="S560" i="4"/>
  <c r="R560" i="4"/>
  <c r="U559" i="4"/>
  <c r="T559" i="4"/>
  <c r="S559" i="4"/>
  <c r="R559" i="4"/>
  <c r="U558" i="4"/>
  <c r="V558" i="4" s="1"/>
  <c r="T558" i="4"/>
  <c r="S558" i="4"/>
  <c r="R558" i="4"/>
  <c r="U557" i="4"/>
  <c r="S557" i="4"/>
  <c r="T557" i="4" s="1"/>
  <c r="R557" i="4"/>
  <c r="U556" i="4"/>
  <c r="T556" i="4"/>
  <c r="S556" i="4"/>
  <c r="R556" i="4"/>
  <c r="U555" i="4"/>
  <c r="S555" i="4"/>
  <c r="T555" i="4" s="1"/>
  <c r="R555" i="4"/>
  <c r="U554" i="4"/>
  <c r="T554" i="4"/>
  <c r="S554" i="4"/>
  <c r="R554" i="4"/>
  <c r="U553" i="4"/>
  <c r="S553" i="4"/>
  <c r="T553" i="4" s="1"/>
  <c r="R553" i="4"/>
  <c r="U552" i="4"/>
  <c r="T552" i="4"/>
  <c r="S552" i="4"/>
  <c r="R552" i="4"/>
  <c r="U551" i="4"/>
  <c r="S551" i="4"/>
  <c r="T551" i="4" s="1"/>
  <c r="R551" i="4"/>
  <c r="U550" i="4"/>
  <c r="T550" i="4"/>
  <c r="S550" i="4"/>
  <c r="R550" i="4"/>
  <c r="U549" i="4"/>
  <c r="S549" i="4"/>
  <c r="T549" i="4" s="1"/>
  <c r="R549" i="4"/>
  <c r="U548" i="4"/>
  <c r="T548" i="4"/>
  <c r="S548" i="4"/>
  <c r="R548" i="4"/>
  <c r="U547" i="4"/>
  <c r="S547" i="4"/>
  <c r="T547" i="4" s="1"/>
  <c r="R547" i="4"/>
  <c r="V546" i="4"/>
  <c r="U546" i="4"/>
  <c r="S546" i="4"/>
  <c r="T546" i="4" s="1"/>
  <c r="R546" i="4"/>
  <c r="U545" i="4"/>
  <c r="T545" i="4"/>
  <c r="S545" i="4"/>
  <c r="R545" i="4"/>
  <c r="U544" i="4"/>
  <c r="S544" i="4"/>
  <c r="T544" i="4" s="1"/>
  <c r="R544" i="4"/>
  <c r="U543" i="4"/>
  <c r="T543" i="4"/>
  <c r="S543" i="4"/>
  <c r="R543" i="4"/>
  <c r="U542" i="4"/>
  <c r="S542" i="4"/>
  <c r="T542" i="4" s="1"/>
  <c r="R542" i="4"/>
  <c r="U541" i="4"/>
  <c r="V541" i="4" s="1"/>
  <c r="S541" i="4"/>
  <c r="T541" i="4" s="1"/>
  <c r="R541" i="4"/>
  <c r="U540" i="4"/>
  <c r="T540" i="4"/>
  <c r="S540" i="4"/>
  <c r="R540" i="4"/>
  <c r="V539" i="4"/>
  <c r="U539" i="4"/>
  <c r="T539" i="4"/>
  <c r="S539" i="4"/>
  <c r="R539" i="4"/>
  <c r="U538" i="4"/>
  <c r="T538" i="4"/>
  <c r="S538" i="4"/>
  <c r="R538" i="4"/>
  <c r="U537" i="4"/>
  <c r="T537" i="4"/>
  <c r="S537" i="4"/>
  <c r="R537" i="4"/>
  <c r="U536" i="4"/>
  <c r="T536" i="4"/>
  <c r="S536" i="4"/>
  <c r="R536" i="4"/>
  <c r="U535" i="4"/>
  <c r="T535" i="4"/>
  <c r="S535" i="4"/>
  <c r="R535" i="4"/>
  <c r="V534" i="4"/>
  <c r="U534" i="4"/>
  <c r="S534" i="4"/>
  <c r="T534" i="4" s="1"/>
  <c r="R534" i="4"/>
  <c r="U533" i="4"/>
  <c r="T533" i="4"/>
  <c r="S533" i="4"/>
  <c r="R533" i="4"/>
  <c r="U532" i="4"/>
  <c r="S532" i="4"/>
  <c r="T532" i="4" s="1"/>
  <c r="R532" i="4"/>
  <c r="V531" i="4"/>
  <c r="U531" i="4"/>
  <c r="S531" i="4"/>
  <c r="T531" i="4" s="1"/>
  <c r="R531" i="4"/>
  <c r="U530" i="4"/>
  <c r="T530" i="4"/>
  <c r="S530" i="4"/>
  <c r="R530" i="4"/>
  <c r="U529" i="4"/>
  <c r="S529" i="4"/>
  <c r="T529" i="4" s="1"/>
  <c r="R529" i="4"/>
  <c r="U528" i="4"/>
  <c r="T528" i="4"/>
  <c r="S528" i="4"/>
  <c r="R528" i="4"/>
  <c r="U527" i="4"/>
  <c r="S527" i="4"/>
  <c r="T527" i="4" s="1"/>
  <c r="R527" i="4"/>
  <c r="U526" i="4"/>
  <c r="T526" i="4"/>
  <c r="S526" i="4"/>
  <c r="R526" i="4"/>
  <c r="U525" i="4"/>
  <c r="S525" i="4"/>
  <c r="T525" i="4" s="1"/>
  <c r="R525" i="4"/>
  <c r="U524" i="4"/>
  <c r="T524" i="4"/>
  <c r="S524" i="4"/>
  <c r="R524" i="4"/>
  <c r="V523" i="4"/>
  <c r="U523" i="4"/>
  <c r="T523" i="4"/>
  <c r="S523" i="4"/>
  <c r="R523" i="4"/>
  <c r="U522" i="4"/>
  <c r="S522" i="4"/>
  <c r="T522" i="4" s="1"/>
  <c r="R522" i="4"/>
  <c r="U521" i="4"/>
  <c r="T521" i="4"/>
  <c r="S521" i="4"/>
  <c r="R521" i="4"/>
  <c r="U520" i="4"/>
  <c r="S520" i="4"/>
  <c r="T520" i="4" s="1"/>
  <c r="R520" i="4"/>
  <c r="U519" i="4"/>
  <c r="T519" i="4"/>
  <c r="S519" i="4"/>
  <c r="R519" i="4"/>
  <c r="U518" i="4"/>
  <c r="S518" i="4"/>
  <c r="T518" i="4" s="1"/>
  <c r="R518" i="4"/>
  <c r="U517" i="4"/>
  <c r="T517" i="4"/>
  <c r="S517" i="4"/>
  <c r="R517" i="4"/>
  <c r="U516" i="4"/>
  <c r="S516" i="4"/>
  <c r="T516" i="4" s="1"/>
  <c r="R516" i="4"/>
  <c r="U515" i="4"/>
  <c r="V515" i="4" s="1"/>
  <c r="T515" i="4"/>
  <c r="S515" i="4"/>
  <c r="R515" i="4"/>
  <c r="U514" i="4"/>
  <c r="T514" i="4"/>
  <c r="S514" i="4"/>
  <c r="R514" i="4"/>
  <c r="U513" i="4"/>
  <c r="T513" i="4"/>
  <c r="S513" i="4"/>
  <c r="R513" i="4"/>
  <c r="U512" i="4"/>
  <c r="T512" i="4"/>
  <c r="S512" i="4"/>
  <c r="R512" i="4"/>
  <c r="U511" i="4"/>
  <c r="T511" i="4"/>
  <c r="S511" i="4"/>
  <c r="R511" i="4"/>
  <c r="U510" i="4"/>
  <c r="T510" i="4"/>
  <c r="S510" i="4"/>
  <c r="R510" i="4"/>
  <c r="U509" i="4"/>
  <c r="T509" i="4"/>
  <c r="S509" i="4"/>
  <c r="R509" i="4"/>
  <c r="U508" i="4"/>
  <c r="T508" i="4"/>
  <c r="S508" i="4"/>
  <c r="R508" i="4"/>
  <c r="U507" i="4"/>
  <c r="T507" i="4"/>
  <c r="S507" i="4"/>
  <c r="R507" i="4"/>
  <c r="U506" i="4"/>
  <c r="T506" i="4"/>
  <c r="S506" i="4"/>
  <c r="R506" i="4"/>
  <c r="U505" i="4"/>
  <c r="T505" i="4"/>
  <c r="S505" i="4"/>
  <c r="R505" i="4"/>
  <c r="U504" i="4"/>
  <c r="T504" i="4"/>
  <c r="S504" i="4"/>
  <c r="R504" i="4"/>
  <c r="U503" i="4"/>
  <c r="T503" i="4"/>
  <c r="S503" i="4"/>
  <c r="R503" i="4"/>
  <c r="U502" i="4"/>
  <c r="T502" i="4"/>
  <c r="S502" i="4"/>
  <c r="R502" i="4"/>
  <c r="U501" i="4"/>
  <c r="T501" i="4"/>
  <c r="S501" i="4"/>
  <c r="R501" i="4"/>
  <c r="U500" i="4"/>
  <c r="T500" i="4"/>
  <c r="S500" i="4"/>
  <c r="R500" i="4"/>
  <c r="U499" i="4"/>
  <c r="T499" i="4"/>
  <c r="S499" i="4"/>
  <c r="R499" i="4"/>
  <c r="U498" i="4"/>
  <c r="T498" i="4"/>
  <c r="S498" i="4"/>
  <c r="R498" i="4"/>
  <c r="U497" i="4"/>
  <c r="T497" i="4"/>
  <c r="S497" i="4"/>
  <c r="R497" i="4"/>
  <c r="U496" i="4"/>
  <c r="T496" i="4"/>
  <c r="S496" i="4"/>
  <c r="R496" i="4"/>
  <c r="U495" i="4"/>
  <c r="T495" i="4"/>
  <c r="S495" i="4"/>
  <c r="R495" i="4"/>
  <c r="U494" i="4"/>
  <c r="T494" i="4"/>
  <c r="S494" i="4"/>
  <c r="R494" i="4"/>
  <c r="U493" i="4"/>
  <c r="T493" i="4"/>
  <c r="S493" i="4"/>
  <c r="R493" i="4"/>
  <c r="U492" i="4"/>
  <c r="T492" i="4"/>
  <c r="S492" i="4"/>
  <c r="R492" i="4"/>
  <c r="V491" i="4"/>
  <c r="U491" i="4"/>
  <c r="S491" i="4"/>
  <c r="T491" i="4" s="1"/>
  <c r="R491" i="4"/>
  <c r="U490" i="4"/>
  <c r="T490" i="4"/>
  <c r="S490" i="4"/>
  <c r="R490" i="4"/>
  <c r="U489" i="4"/>
  <c r="S489" i="4"/>
  <c r="T489" i="4" s="1"/>
  <c r="R489" i="4"/>
  <c r="U488" i="4"/>
  <c r="T488" i="4"/>
  <c r="S488" i="4"/>
  <c r="R488" i="4"/>
  <c r="U487" i="4"/>
  <c r="S487" i="4"/>
  <c r="T487" i="4" s="1"/>
  <c r="R487" i="4"/>
  <c r="U486" i="4"/>
  <c r="T486" i="4"/>
  <c r="S486" i="4"/>
  <c r="R486" i="4"/>
  <c r="U485" i="4"/>
  <c r="S485" i="4"/>
  <c r="T485" i="4" s="1"/>
  <c r="R485" i="4"/>
  <c r="U484" i="4"/>
  <c r="T484" i="4"/>
  <c r="S484" i="4"/>
  <c r="R484" i="4"/>
  <c r="U483" i="4"/>
  <c r="S483" i="4"/>
  <c r="T483" i="4" s="1"/>
  <c r="R483" i="4"/>
  <c r="U482" i="4"/>
  <c r="T482" i="4"/>
  <c r="S482" i="4"/>
  <c r="R482" i="4"/>
  <c r="U481" i="4"/>
  <c r="S481" i="4"/>
  <c r="T481" i="4" s="1"/>
  <c r="R481" i="4"/>
  <c r="U480" i="4"/>
  <c r="T480" i="4"/>
  <c r="S480" i="4"/>
  <c r="R480" i="4"/>
  <c r="U479" i="4"/>
  <c r="S479" i="4"/>
  <c r="T479" i="4" s="1"/>
  <c r="R479" i="4"/>
  <c r="U478" i="4"/>
  <c r="T478" i="4"/>
  <c r="S478" i="4"/>
  <c r="R478" i="4"/>
  <c r="U477" i="4"/>
  <c r="S477" i="4"/>
  <c r="T477" i="4" s="1"/>
  <c r="R477" i="4"/>
  <c r="U476" i="4"/>
  <c r="T476" i="4"/>
  <c r="S476" i="4"/>
  <c r="R476" i="4"/>
  <c r="U475" i="4"/>
  <c r="S475" i="4"/>
  <c r="T475" i="4" s="1"/>
  <c r="R475" i="4"/>
  <c r="U474" i="4"/>
  <c r="T474" i="4"/>
  <c r="S474" i="4"/>
  <c r="R474" i="4"/>
  <c r="U473" i="4"/>
  <c r="S473" i="4"/>
  <c r="T473" i="4" s="1"/>
  <c r="R473" i="4"/>
  <c r="V472" i="4"/>
  <c r="U472" i="4"/>
  <c r="S472" i="4"/>
  <c r="T472" i="4" s="1"/>
  <c r="R472" i="4"/>
  <c r="U471" i="4"/>
  <c r="T471" i="4"/>
  <c r="S471" i="4"/>
  <c r="R471" i="4"/>
  <c r="V470" i="4"/>
  <c r="U470" i="4"/>
  <c r="T470" i="4"/>
  <c r="S470" i="4"/>
  <c r="R470" i="4"/>
  <c r="V469" i="4"/>
  <c r="U469" i="4"/>
  <c r="S469" i="4"/>
  <c r="T469" i="4" s="1"/>
  <c r="R469" i="4"/>
  <c r="V468" i="4"/>
  <c r="U468" i="4"/>
  <c r="S468" i="4"/>
  <c r="T468" i="4" s="1"/>
  <c r="R468" i="4"/>
  <c r="U467" i="4"/>
  <c r="T467" i="4"/>
  <c r="S467" i="4"/>
  <c r="R467" i="4"/>
  <c r="V466" i="4"/>
  <c r="U466" i="4"/>
  <c r="T466" i="4"/>
  <c r="S466" i="4"/>
  <c r="R466" i="4"/>
  <c r="V465" i="4"/>
  <c r="U465" i="4"/>
  <c r="T465" i="4"/>
  <c r="S465" i="4"/>
  <c r="R465" i="4"/>
  <c r="U464" i="4"/>
  <c r="S464" i="4"/>
  <c r="T464" i="4" s="1"/>
  <c r="R464" i="4"/>
  <c r="U463" i="4"/>
  <c r="T463" i="4"/>
  <c r="S463" i="4"/>
  <c r="R463" i="4"/>
  <c r="U462" i="4"/>
  <c r="S462" i="4"/>
  <c r="T462" i="4" s="1"/>
  <c r="R462" i="4"/>
  <c r="U461" i="4"/>
  <c r="T461" i="4"/>
  <c r="S461" i="4"/>
  <c r="R461" i="4"/>
  <c r="U460" i="4"/>
  <c r="S460" i="4"/>
  <c r="T460" i="4" s="1"/>
  <c r="R460" i="4"/>
  <c r="U459" i="4"/>
  <c r="T459" i="4"/>
  <c r="S459" i="4"/>
  <c r="R459" i="4"/>
  <c r="U458" i="4"/>
  <c r="S458" i="4"/>
  <c r="T458" i="4" s="1"/>
  <c r="R458" i="4"/>
  <c r="U457" i="4"/>
  <c r="T457" i="4"/>
  <c r="S457" i="4"/>
  <c r="R457" i="4"/>
  <c r="U456" i="4"/>
  <c r="S456" i="4"/>
  <c r="T456" i="4" s="1"/>
  <c r="R456" i="4"/>
  <c r="U455" i="4"/>
  <c r="T455" i="4"/>
  <c r="S455" i="4"/>
  <c r="R455" i="4"/>
  <c r="U454" i="4"/>
  <c r="S454" i="4"/>
  <c r="T454" i="4" s="1"/>
  <c r="R454" i="4"/>
  <c r="U453" i="4"/>
  <c r="V453" i="4" s="1"/>
  <c r="T453" i="4"/>
  <c r="S453" i="4"/>
  <c r="R453" i="4"/>
  <c r="U452" i="4"/>
  <c r="S452" i="4"/>
  <c r="T452" i="4" s="1"/>
  <c r="R452" i="4"/>
  <c r="U451" i="4"/>
  <c r="T451" i="4"/>
  <c r="S451" i="4"/>
  <c r="R451" i="4"/>
  <c r="U450" i="4"/>
  <c r="S450" i="4"/>
  <c r="T450" i="4" s="1"/>
  <c r="R450" i="4"/>
  <c r="U449" i="4"/>
  <c r="T449" i="4"/>
  <c r="S449" i="4"/>
  <c r="R449" i="4"/>
  <c r="U448" i="4"/>
  <c r="S448" i="4"/>
  <c r="T448" i="4" s="1"/>
  <c r="R448" i="4"/>
  <c r="U447" i="4"/>
  <c r="T447" i="4"/>
  <c r="S447" i="4"/>
  <c r="R447" i="4"/>
  <c r="U446" i="4"/>
  <c r="S446" i="4"/>
  <c r="T446" i="4" s="1"/>
  <c r="R446" i="4"/>
  <c r="U445" i="4"/>
  <c r="T445" i="4"/>
  <c r="S445" i="4"/>
  <c r="R445" i="4"/>
  <c r="U444" i="4"/>
  <c r="S444" i="4"/>
  <c r="T444" i="4" s="1"/>
  <c r="R444" i="4"/>
  <c r="U443" i="4"/>
  <c r="T443" i="4"/>
  <c r="S443" i="4"/>
  <c r="R443" i="4"/>
  <c r="U442" i="4"/>
  <c r="S442" i="4"/>
  <c r="T442" i="4" s="1"/>
  <c r="R442" i="4"/>
  <c r="U441" i="4"/>
  <c r="T441" i="4"/>
  <c r="S441" i="4"/>
  <c r="R441" i="4"/>
  <c r="U440" i="4"/>
  <c r="S440" i="4"/>
  <c r="T440" i="4" s="1"/>
  <c r="R440" i="4"/>
  <c r="U439" i="4"/>
  <c r="T439" i="4"/>
  <c r="S439" i="4"/>
  <c r="R439" i="4"/>
  <c r="U438" i="4"/>
  <c r="S438" i="4"/>
  <c r="T438" i="4" s="1"/>
  <c r="R438" i="4"/>
  <c r="U437" i="4"/>
  <c r="T437" i="4"/>
  <c r="S437" i="4"/>
  <c r="R437" i="4"/>
  <c r="U436" i="4"/>
  <c r="S436" i="4"/>
  <c r="T436" i="4" s="1"/>
  <c r="R436" i="4"/>
  <c r="U435" i="4"/>
  <c r="T435" i="4"/>
  <c r="S435" i="4"/>
  <c r="R435" i="4"/>
  <c r="U434" i="4"/>
  <c r="V434" i="4" s="1"/>
  <c r="T434" i="4"/>
  <c r="S434" i="4"/>
  <c r="R434" i="4"/>
  <c r="U433" i="4"/>
  <c r="S433" i="4"/>
  <c r="T433" i="4" s="1"/>
  <c r="R433" i="4"/>
  <c r="U432" i="4"/>
  <c r="T432" i="4"/>
  <c r="S432" i="4"/>
  <c r="R432" i="4"/>
  <c r="U431" i="4"/>
  <c r="S431" i="4"/>
  <c r="T431" i="4" s="1"/>
  <c r="R431" i="4"/>
  <c r="V430" i="4"/>
  <c r="U430" i="4"/>
  <c r="S430" i="4"/>
  <c r="T430" i="4" s="1"/>
  <c r="R430" i="4"/>
  <c r="U429" i="4"/>
  <c r="T429" i="4"/>
  <c r="S429" i="4"/>
  <c r="R429" i="4"/>
  <c r="U428" i="4"/>
  <c r="S428" i="4"/>
  <c r="T428" i="4" s="1"/>
  <c r="R428" i="4"/>
  <c r="U427" i="4"/>
  <c r="V427" i="4" s="1"/>
  <c r="S427" i="4"/>
  <c r="T427" i="4" s="1"/>
  <c r="R427" i="4"/>
  <c r="U426" i="4"/>
  <c r="T426" i="4"/>
  <c r="S426" i="4"/>
  <c r="R426" i="4"/>
  <c r="V425" i="4"/>
  <c r="U425" i="4"/>
  <c r="T425" i="4"/>
  <c r="S425" i="4"/>
  <c r="R425" i="4"/>
  <c r="V424" i="4"/>
  <c r="U424" i="4"/>
  <c r="S424" i="4"/>
  <c r="T424" i="4" s="1"/>
  <c r="R424" i="4"/>
  <c r="U423" i="4"/>
  <c r="T423" i="4"/>
  <c r="S423" i="4"/>
  <c r="R423" i="4"/>
  <c r="U422" i="4"/>
  <c r="S422" i="4"/>
  <c r="T422" i="4" s="1"/>
  <c r="R422" i="4"/>
  <c r="U421" i="4"/>
  <c r="T421" i="4"/>
  <c r="S421" i="4"/>
  <c r="R421" i="4"/>
  <c r="V420" i="4"/>
  <c r="U420" i="4"/>
  <c r="T420" i="4"/>
  <c r="S420" i="4"/>
  <c r="R420" i="4"/>
  <c r="U419" i="4"/>
  <c r="S419" i="4"/>
  <c r="T419" i="4" s="1"/>
  <c r="R419" i="4"/>
  <c r="U418" i="4"/>
  <c r="T418" i="4"/>
  <c r="S418" i="4"/>
  <c r="R418" i="4"/>
  <c r="V417" i="4"/>
  <c r="U417" i="4"/>
  <c r="T417" i="4"/>
  <c r="S417" i="4"/>
  <c r="R417" i="4"/>
  <c r="U416" i="4"/>
  <c r="S416" i="4"/>
  <c r="T416" i="4" s="1"/>
  <c r="R416" i="4"/>
  <c r="U415" i="4"/>
  <c r="T415" i="4"/>
  <c r="S415" i="4"/>
  <c r="R415" i="4"/>
  <c r="U414" i="4"/>
  <c r="S414" i="4"/>
  <c r="T414" i="4" s="1"/>
  <c r="R414" i="4"/>
  <c r="U413" i="4"/>
  <c r="T413" i="4"/>
  <c r="S413" i="4"/>
  <c r="R413" i="4"/>
  <c r="U412" i="4"/>
  <c r="S412" i="4"/>
  <c r="T412" i="4" s="1"/>
  <c r="R412" i="4"/>
  <c r="U411" i="4"/>
  <c r="T411" i="4"/>
  <c r="S411" i="4"/>
  <c r="R411" i="4"/>
  <c r="U410" i="4"/>
  <c r="S410" i="4"/>
  <c r="T410" i="4" s="1"/>
  <c r="R410" i="4"/>
  <c r="U409" i="4"/>
  <c r="T409" i="4"/>
  <c r="S409" i="4"/>
  <c r="R409" i="4"/>
  <c r="U408" i="4"/>
  <c r="S408" i="4"/>
  <c r="T408" i="4" s="1"/>
  <c r="R408" i="4"/>
  <c r="U407" i="4"/>
  <c r="T407" i="4"/>
  <c r="S407" i="4"/>
  <c r="R407" i="4"/>
  <c r="U406" i="4"/>
  <c r="S406" i="4"/>
  <c r="T406" i="4" s="1"/>
  <c r="R406" i="4"/>
  <c r="U405" i="4"/>
  <c r="T405" i="4"/>
  <c r="S405" i="4"/>
  <c r="R405" i="4"/>
  <c r="U404" i="4"/>
  <c r="S404" i="4"/>
  <c r="T404" i="4" s="1"/>
  <c r="R404" i="4"/>
  <c r="U403" i="4"/>
  <c r="T403" i="4"/>
  <c r="S403" i="4"/>
  <c r="R403" i="4"/>
  <c r="U402" i="4"/>
  <c r="S402" i="4"/>
  <c r="T402" i="4" s="1"/>
  <c r="R402" i="4"/>
  <c r="U401" i="4"/>
  <c r="T401" i="4"/>
  <c r="S401" i="4"/>
  <c r="R401" i="4"/>
  <c r="V400" i="4"/>
  <c r="U400" i="4"/>
  <c r="S400" i="4"/>
  <c r="T400" i="4" s="1"/>
  <c r="R400" i="4"/>
  <c r="U399" i="4"/>
  <c r="T399" i="4"/>
  <c r="S399" i="4"/>
  <c r="R399" i="4"/>
  <c r="U398" i="4"/>
  <c r="S398" i="4"/>
  <c r="T398" i="4" s="1"/>
  <c r="R398" i="4"/>
  <c r="U397" i="4"/>
  <c r="T397" i="4"/>
  <c r="S397" i="4"/>
  <c r="R397" i="4"/>
  <c r="U396" i="4"/>
  <c r="S396" i="4"/>
  <c r="T396" i="4" s="1"/>
  <c r="R396" i="4"/>
  <c r="U395" i="4"/>
  <c r="T395" i="4"/>
  <c r="S395" i="4"/>
  <c r="R395" i="4"/>
  <c r="U394" i="4"/>
  <c r="S394" i="4"/>
  <c r="T394" i="4" s="1"/>
  <c r="R394" i="4"/>
  <c r="U393" i="4"/>
  <c r="T393" i="4"/>
  <c r="S393" i="4"/>
  <c r="R393" i="4"/>
  <c r="U392" i="4"/>
  <c r="S392" i="4"/>
  <c r="T392" i="4" s="1"/>
  <c r="R392" i="4"/>
  <c r="U391" i="4"/>
  <c r="T391" i="4"/>
  <c r="S391" i="4"/>
  <c r="R391" i="4"/>
  <c r="U390" i="4"/>
  <c r="S390" i="4"/>
  <c r="T390" i="4" s="1"/>
  <c r="R390" i="4"/>
  <c r="U389" i="4"/>
  <c r="T389" i="4"/>
  <c r="S389" i="4"/>
  <c r="R389" i="4"/>
  <c r="U388" i="4"/>
  <c r="S388" i="4"/>
  <c r="T388" i="4" s="1"/>
  <c r="R388" i="4"/>
  <c r="U387" i="4"/>
  <c r="T387" i="4"/>
  <c r="S387" i="4"/>
  <c r="R387" i="4"/>
  <c r="U386" i="4"/>
  <c r="V386" i="4" s="1"/>
  <c r="T386" i="4"/>
  <c r="S386" i="4"/>
  <c r="R386" i="4"/>
  <c r="U385" i="4"/>
  <c r="S385" i="4"/>
  <c r="T385" i="4" s="1"/>
  <c r="R385" i="4"/>
  <c r="U384" i="4"/>
  <c r="T384" i="4"/>
  <c r="S384" i="4"/>
  <c r="R384" i="4"/>
  <c r="V383" i="4"/>
  <c r="U383" i="4"/>
  <c r="T383" i="4"/>
  <c r="S383" i="4"/>
  <c r="R383" i="4"/>
  <c r="U382" i="4"/>
  <c r="S382" i="4"/>
  <c r="T382" i="4" s="1"/>
  <c r="R382" i="4"/>
  <c r="U381" i="4"/>
  <c r="T381" i="4"/>
  <c r="S381" i="4"/>
  <c r="R381" i="4"/>
  <c r="U380" i="4"/>
  <c r="S380" i="4"/>
  <c r="T380" i="4" s="1"/>
  <c r="R380" i="4"/>
  <c r="U379" i="4"/>
  <c r="T379" i="4"/>
  <c r="S379" i="4"/>
  <c r="R379" i="4"/>
  <c r="U378" i="4"/>
  <c r="S378" i="4"/>
  <c r="T378" i="4" s="1"/>
  <c r="R378" i="4"/>
  <c r="U377" i="4"/>
  <c r="T377" i="4"/>
  <c r="S377" i="4"/>
  <c r="R377" i="4"/>
  <c r="U376" i="4"/>
  <c r="S376" i="4"/>
  <c r="T376" i="4" s="1"/>
  <c r="R376" i="4"/>
  <c r="U375" i="4"/>
  <c r="T375" i="4"/>
  <c r="S375" i="4"/>
  <c r="R375" i="4"/>
  <c r="U374" i="4"/>
  <c r="S374" i="4"/>
  <c r="T374" i="4" s="1"/>
  <c r="R374" i="4"/>
  <c r="U373" i="4"/>
  <c r="T373" i="4"/>
  <c r="S373" i="4"/>
  <c r="R373" i="4"/>
  <c r="V372" i="4"/>
  <c r="U372" i="4"/>
  <c r="T372" i="4"/>
  <c r="S372" i="4"/>
  <c r="R372" i="4"/>
  <c r="U371" i="4"/>
  <c r="S371" i="4"/>
  <c r="T371" i="4" s="1"/>
  <c r="R371" i="4"/>
  <c r="U370" i="4"/>
  <c r="T370" i="4"/>
  <c r="S370" i="4"/>
  <c r="R370" i="4"/>
  <c r="U369" i="4"/>
  <c r="S369" i="4"/>
  <c r="T369" i="4" s="1"/>
  <c r="R369" i="4"/>
  <c r="U368" i="4"/>
  <c r="T368" i="4"/>
  <c r="S368" i="4"/>
  <c r="R368" i="4"/>
  <c r="V367" i="4"/>
  <c r="U367" i="4"/>
  <c r="T367" i="4"/>
  <c r="S367" i="4"/>
  <c r="R367" i="4"/>
  <c r="U366" i="4"/>
  <c r="T366" i="4"/>
  <c r="S366" i="4"/>
  <c r="R366" i="4"/>
  <c r="U365" i="4"/>
  <c r="T365" i="4"/>
  <c r="S365" i="4"/>
  <c r="R365" i="4"/>
  <c r="U364" i="4"/>
  <c r="T364" i="4"/>
  <c r="S364" i="4"/>
  <c r="R364" i="4"/>
  <c r="U363" i="4"/>
  <c r="T363" i="4"/>
  <c r="S363" i="4"/>
  <c r="R363" i="4"/>
  <c r="U362" i="4"/>
  <c r="T362" i="4"/>
  <c r="S362" i="4"/>
  <c r="R362" i="4"/>
  <c r="U361" i="4"/>
  <c r="V361" i="4" s="1"/>
  <c r="T361" i="4"/>
  <c r="S361" i="4"/>
  <c r="R361" i="4"/>
  <c r="U360" i="4"/>
  <c r="S360" i="4"/>
  <c r="T360" i="4" s="1"/>
  <c r="R360" i="4"/>
  <c r="U359" i="4"/>
  <c r="T359" i="4"/>
  <c r="S359" i="4"/>
  <c r="R359" i="4"/>
  <c r="U358" i="4"/>
  <c r="S358" i="4"/>
  <c r="T358" i="4" s="1"/>
  <c r="R358" i="4"/>
  <c r="U357" i="4"/>
  <c r="T357" i="4"/>
  <c r="S357" i="4"/>
  <c r="R357" i="4"/>
  <c r="U356" i="4"/>
  <c r="S356" i="4"/>
  <c r="T356" i="4" s="1"/>
  <c r="R356" i="4"/>
  <c r="V355" i="4"/>
  <c r="U355" i="4"/>
  <c r="S355" i="4"/>
  <c r="T355" i="4" s="1"/>
  <c r="R355" i="4"/>
  <c r="U354" i="4"/>
  <c r="T354" i="4"/>
  <c r="S354" i="4"/>
  <c r="R354" i="4"/>
  <c r="U353" i="4"/>
  <c r="S353" i="4"/>
  <c r="T353" i="4" s="1"/>
  <c r="R353" i="4"/>
  <c r="U352" i="4"/>
  <c r="T352" i="4"/>
  <c r="S352" i="4"/>
  <c r="R352" i="4"/>
  <c r="U351" i="4"/>
  <c r="S351" i="4"/>
  <c r="T351" i="4" s="1"/>
  <c r="R351" i="4"/>
  <c r="U350" i="4"/>
  <c r="V350" i="4" s="1"/>
  <c r="S350" i="4"/>
  <c r="T350" i="4" s="1"/>
  <c r="R350" i="4"/>
  <c r="U349" i="4"/>
  <c r="T349" i="4"/>
  <c r="S349" i="4"/>
  <c r="R349" i="4"/>
  <c r="U348" i="4"/>
  <c r="S348" i="4"/>
  <c r="T348" i="4" s="1"/>
  <c r="R348" i="4"/>
  <c r="U347" i="4"/>
  <c r="T347" i="4"/>
  <c r="S347" i="4"/>
  <c r="R347" i="4"/>
  <c r="U346" i="4"/>
  <c r="S346" i="4"/>
  <c r="T346" i="4" s="1"/>
  <c r="R346" i="4"/>
  <c r="U345" i="4"/>
  <c r="T345" i="4"/>
  <c r="S345" i="4"/>
  <c r="R345" i="4"/>
  <c r="V344" i="4"/>
  <c r="U344" i="4"/>
  <c r="S344" i="4"/>
  <c r="T344" i="4" s="1"/>
  <c r="R344" i="4"/>
  <c r="U343" i="4"/>
  <c r="T343" i="4"/>
  <c r="S343" i="4"/>
  <c r="R343" i="4"/>
  <c r="U342" i="4"/>
  <c r="S342" i="4"/>
  <c r="T342" i="4" s="1"/>
  <c r="R342" i="4"/>
  <c r="U341" i="4"/>
  <c r="T341" i="4"/>
  <c r="S341" i="4"/>
  <c r="R341" i="4"/>
  <c r="U340" i="4"/>
  <c r="V340" i="4" s="1"/>
  <c r="T340" i="4"/>
  <c r="S340" i="4"/>
  <c r="R340" i="4"/>
  <c r="U339" i="4"/>
  <c r="S339" i="4"/>
  <c r="T339" i="4" s="1"/>
  <c r="R339" i="4"/>
  <c r="U338" i="4"/>
  <c r="T338" i="4"/>
  <c r="S338" i="4"/>
  <c r="R338" i="4"/>
  <c r="V337" i="4"/>
  <c r="U337" i="4"/>
  <c r="T337" i="4"/>
  <c r="S337" i="4"/>
  <c r="R337" i="4"/>
  <c r="U336" i="4"/>
  <c r="S336" i="4"/>
  <c r="T336" i="4" s="1"/>
  <c r="R336" i="4"/>
  <c r="U335" i="4"/>
  <c r="T335" i="4"/>
  <c r="S335" i="4"/>
  <c r="R335" i="4"/>
  <c r="U334" i="4"/>
  <c r="S334" i="4"/>
  <c r="T334" i="4" s="1"/>
  <c r="R334" i="4"/>
  <c r="U333" i="4"/>
  <c r="T333" i="4"/>
  <c r="S333" i="4"/>
  <c r="R333" i="4"/>
  <c r="U332" i="4"/>
  <c r="S332" i="4"/>
  <c r="T332" i="4" s="1"/>
  <c r="R332" i="4"/>
  <c r="U331" i="4"/>
  <c r="T331" i="4"/>
  <c r="S331" i="4"/>
  <c r="R331" i="4"/>
  <c r="U330" i="4"/>
  <c r="S330" i="4"/>
  <c r="T330" i="4" s="1"/>
  <c r="R330" i="4"/>
  <c r="U329" i="4"/>
  <c r="T329" i="4"/>
  <c r="S329" i="4"/>
  <c r="R329" i="4"/>
  <c r="U328" i="4"/>
  <c r="S328" i="4"/>
  <c r="T328" i="4" s="1"/>
  <c r="R328" i="4"/>
  <c r="U327" i="4"/>
  <c r="V327" i="4" s="1"/>
  <c r="S327" i="4"/>
  <c r="T327" i="4" s="1"/>
  <c r="R327" i="4"/>
  <c r="U326" i="4"/>
  <c r="T326" i="4"/>
  <c r="S326" i="4"/>
  <c r="R326" i="4"/>
  <c r="U325" i="4"/>
  <c r="S325" i="4"/>
  <c r="T325" i="4" s="1"/>
  <c r="R325" i="4"/>
  <c r="U324" i="4"/>
  <c r="T324" i="4"/>
  <c r="S324" i="4"/>
  <c r="R324" i="4"/>
  <c r="U323" i="4"/>
  <c r="S323" i="4"/>
  <c r="T323" i="4" s="1"/>
  <c r="R323" i="4"/>
  <c r="U322" i="4"/>
  <c r="T322" i="4"/>
  <c r="S322" i="4"/>
  <c r="R322" i="4"/>
  <c r="U321" i="4"/>
  <c r="S321" i="4"/>
  <c r="T321" i="4" s="1"/>
  <c r="R321" i="4"/>
  <c r="U320" i="4"/>
  <c r="T320" i="4"/>
  <c r="S320" i="4"/>
  <c r="R320" i="4"/>
  <c r="V319" i="4"/>
  <c r="U319" i="4"/>
  <c r="S319" i="4"/>
  <c r="T319" i="4" s="1"/>
  <c r="R319" i="4"/>
  <c r="V318" i="4"/>
  <c r="U318" i="4"/>
  <c r="S318" i="4"/>
  <c r="T318" i="4" s="1"/>
  <c r="R318" i="4"/>
  <c r="U317" i="4"/>
  <c r="T317" i="4"/>
  <c r="S317" i="4"/>
  <c r="R317" i="4"/>
  <c r="V316" i="4"/>
  <c r="U316" i="4"/>
  <c r="T316" i="4"/>
  <c r="S316" i="4"/>
  <c r="R316" i="4"/>
  <c r="U315" i="4"/>
  <c r="S315" i="4"/>
  <c r="T315" i="4" s="1"/>
  <c r="R315" i="4"/>
  <c r="U314" i="4"/>
  <c r="T314" i="4"/>
  <c r="S314" i="4"/>
  <c r="R314" i="4"/>
  <c r="U313" i="4"/>
  <c r="S313" i="4"/>
  <c r="T313" i="4" s="1"/>
  <c r="R313" i="4"/>
  <c r="U312" i="4"/>
  <c r="T312" i="4"/>
  <c r="S312" i="4"/>
  <c r="R312" i="4"/>
  <c r="U311" i="4"/>
  <c r="S311" i="4"/>
  <c r="T311" i="4" s="1"/>
  <c r="R311" i="4"/>
  <c r="U310" i="4"/>
  <c r="T310" i="4"/>
  <c r="S310" i="4"/>
  <c r="R310" i="4"/>
  <c r="U309" i="4"/>
  <c r="S309" i="4"/>
  <c r="T309" i="4" s="1"/>
  <c r="R309" i="4"/>
  <c r="U308" i="4"/>
  <c r="T308" i="4"/>
  <c r="S308" i="4"/>
  <c r="R308" i="4"/>
  <c r="U307" i="4"/>
  <c r="S307" i="4"/>
  <c r="T307" i="4" s="1"/>
  <c r="R307" i="4"/>
  <c r="U306" i="4"/>
  <c r="T306" i="4"/>
  <c r="S306" i="4"/>
  <c r="R306" i="4"/>
  <c r="U305" i="4"/>
  <c r="S305" i="4"/>
  <c r="T305" i="4" s="1"/>
  <c r="R305" i="4"/>
  <c r="U304" i="4"/>
  <c r="T304" i="4"/>
  <c r="S304" i="4"/>
  <c r="R304" i="4"/>
  <c r="U303" i="4"/>
  <c r="S303" i="4"/>
  <c r="T303" i="4" s="1"/>
  <c r="R303" i="4"/>
  <c r="U302" i="4"/>
  <c r="T302" i="4"/>
  <c r="S302" i="4"/>
  <c r="R302" i="4"/>
  <c r="U301" i="4"/>
  <c r="S301" i="4"/>
  <c r="T301" i="4" s="1"/>
  <c r="R301" i="4"/>
  <c r="U300" i="4"/>
  <c r="T300" i="4"/>
  <c r="S300" i="4"/>
  <c r="R300" i="4"/>
  <c r="U299" i="4"/>
  <c r="S299" i="4"/>
  <c r="T299" i="4" s="1"/>
  <c r="R299" i="4"/>
  <c r="U298" i="4"/>
  <c r="T298" i="4"/>
  <c r="S298" i="4"/>
  <c r="R298" i="4"/>
  <c r="U297" i="4"/>
  <c r="S297" i="4"/>
  <c r="T297" i="4" s="1"/>
  <c r="R297" i="4"/>
  <c r="U296" i="4"/>
  <c r="T296" i="4"/>
  <c r="S296" i="4"/>
  <c r="R296" i="4"/>
  <c r="U295" i="4"/>
  <c r="S295" i="4"/>
  <c r="T295" i="4" s="1"/>
  <c r="R295" i="4"/>
  <c r="U294" i="4"/>
  <c r="T294" i="4"/>
  <c r="S294" i="4"/>
  <c r="R294" i="4"/>
  <c r="U293" i="4"/>
  <c r="S293" i="4"/>
  <c r="T293" i="4" s="1"/>
  <c r="R293" i="4"/>
  <c r="U292" i="4"/>
  <c r="T292" i="4"/>
  <c r="S292" i="4"/>
  <c r="R292" i="4"/>
  <c r="U291" i="4"/>
  <c r="S291" i="4"/>
  <c r="T291" i="4" s="1"/>
  <c r="R291" i="4"/>
  <c r="U290" i="4"/>
  <c r="V290" i="4" s="1"/>
  <c r="S290" i="4"/>
  <c r="T290" i="4" s="1"/>
  <c r="R290" i="4"/>
  <c r="U289" i="4"/>
  <c r="V289" i="4" s="1"/>
  <c r="T289" i="4"/>
  <c r="S289" i="4"/>
  <c r="R289" i="4"/>
  <c r="U288" i="4"/>
  <c r="T288" i="4"/>
  <c r="S288" i="4"/>
  <c r="R288" i="4"/>
  <c r="U287" i="4"/>
  <c r="T287" i="4"/>
  <c r="S287" i="4"/>
  <c r="R287" i="4"/>
  <c r="U286" i="4"/>
  <c r="T286" i="4"/>
  <c r="S286" i="4"/>
  <c r="R286" i="4"/>
  <c r="U285" i="4"/>
  <c r="T285" i="4"/>
  <c r="S285" i="4"/>
  <c r="R285" i="4"/>
  <c r="U284" i="4"/>
  <c r="V284" i="4" s="1"/>
  <c r="T284" i="4"/>
  <c r="S284" i="4"/>
  <c r="R284" i="4"/>
  <c r="U283" i="4"/>
  <c r="S283" i="4"/>
  <c r="T283" i="4" s="1"/>
  <c r="R283" i="4"/>
  <c r="U282" i="4"/>
  <c r="V282" i="4" s="1"/>
  <c r="S282" i="4"/>
  <c r="T282" i="4" s="1"/>
  <c r="R282" i="4"/>
  <c r="U281" i="4"/>
  <c r="T281" i="4"/>
  <c r="S281" i="4"/>
  <c r="R281" i="4"/>
  <c r="U280" i="4"/>
  <c r="S280" i="4"/>
  <c r="T280" i="4" s="1"/>
  <c r="R280" i="4"/>
  <c r="U279" i="4"/>
  <c r="T279" i="4"/>
  <c r="S279" i="4"/>
  <c r="R279" i="4"/>
  <c r="U278" i="4"/>
  <c r="S278" i="4"/>
  <c r="T278" i="4" s="1"/>
  <c r="R278" i="4"/>
  <c r="U277" i="4"/>
  <c r="T277" i="4"/>
  <c r="S277" i="4"/>
  <c r="R277" i="4"/>
  <c r="U276" i="4"/>
  <c r="S276" i="4"/>
  <c r="T276" i="4" s="1"/>
  <c r="R276" i="4"/>
  <c r="U275" i="4"/>
  <c r="T275" i="4"/>
  <c r="S275" i="4"/>
  <c r="R275" i="4"/>
  <c r="U274" i="4"/>
  <c r="S274" i="4"/>
  <c r="T274" i="4" s="1"/>
  <c r="R274" i="4"/>
  <c r="U273" i="4"/>
  <c r="V273" i="4" s="1"/>
  <c r="S273" i="4"/>
  <c r="T273" i="4" s="1"/>
  <c r="R273" i="4"/>
  <c r="U272" i="4"/>
  <c r="V272" i="4" s="1"/>
  <c r="T272" i="4"/>
  <c r="S272" i="4"/>
  <c r="R272" i="4"/>
  <c r="U271" i="4"/>
  <c r="S271" i="4"/>
  <c r="T271" i="4" s="1"/>
  <c r="R271" i="4"/>
  <c r="U270" i="4"/>
  <c r="T270" i="4"/>
  <c r="S270" i="4"/>
  <c r="R270" i="4"/>
  <c r="U269" i="4"/>
  <c r="S269" i="4"/>
  <c r="T269" i="4" s="1"/>
  <c r="R269" i="4"/>
  <c r="U268" i="4"/>
  <c r="T268" i="4"/>
  <c r="S268" i="4"/>
  <c r="R268" i="4"/>
  <c r="U267" i="4"/>
  <c r="S267" i="4"/>
  <c r="T267" i="4" s="1"/>
  <c r="R267" i="4"/>
  <c r="U266" i="4"/>
  <c r="T266" i="4"/>
  <c r="S266" i="4"/>
  <c r="R266" i="4"/>
  <c r="U265" i="4"/>
  <c r="S265" i="4"/>
  <c r="T265" i="4" s="1"/>
  <c r="R265" i="4"/>
  <c r="U264" i="4"/>
  <c r="T264" i="4"/>
  <c r="S264" i="4"/>
  <c r="R264" i="4"/>
  <c r="U263" i="4"/>
  <c r="S263" i="4"/>
  <c r="T263" i="4" s="1"/>
  <c r="R263" i="4"/>
  <c r="V262" i="4"/>
  <c r="U262" i="4"/>
  <c r="S262" i="4"/>
  <c r="T262" i="4" s="1"/>
  <c r="R262" i="4"/>
  <c r="U261" i="4"/>
  <c r="T261" i="4"/>
  <c r="S261" i="4"/>
  <c r="R261" i="4"/>
  <c r="U260" i="4"/>
  <c r="S260" i="4"/>
  <c r="T260" i="4" s="1"/>
  <c r="R260" i="4"/>
  <c r="U259" i="4"/>
  <c r="T259" i="4"/>
  <c r="S259" i="4"/>
  <c r="R259" i="4"/>
  <c r="U258" i="4"/>
  <c r="S258" i="4"/>
  <c r="T258" i="4" s="1"/>
  <c r="R258" i="4"/>
  <c r="U257" i="4"/>
  <c r="T257" i="4"/>
  <c r="S257" i="4"/>
  <c r="R257" i="4"/>
  <c r="U256" i="4"/>
  <c r="S256" i="4"/>
  <c r="T256" i="4" s="1"/>
  <c r="R256" i="4"/>
  <c r="U255" i="4"/>
  <c r="T255" i="4"/>
  <c r="S255" i="4"/>
  <c r="R255" i="4"/>
  <c r="U254" i="4"/>
  <c r="S254" i="4"/>
  <c r="T254" i="4" s="1"/>
  <c r="R254" i="4"/>
  <c r="U253" i="4"/>
  <c r="V253" i="4" s="1"/>
  <c r="S253" i="4"/>
  <c r="T253" i="4" s="1"/>
  <c r="R253" i="4"/>
  <c r="U252" i="4"/>
  <c r="T252" i="4"/>
  <c r="S252" i="4"/>
  <c r="R252" i="4"/>
  <c r="U251" i="4"/>
  <c r="S251" i="4"/>
  <c r="T251" i="4" s="1"/>
  <c r="R251" i="4"/>
  <c r="U250" i="4"/>
  <c r="V250" i="4" s="1"/>
  <c r="S250" i="4"/>
  <c r="T250" i="4" s="1"/>
  <c r="R250" i="4"/>
  <c r="U249" i="4"/>
  <c r="T249" i="4"/>
  <c r="S249" i="4"/>
  <c r="R249" i="4"/>
  <c r="U248" i="4"/>
  <c r="S248" i="4"/>
  <c r="T248" i="4" s="1"/>
  <c r="R248" i="4"/>
  <c r="U247" i="4"/>
  <c r="T247" i="4"/>
  <c r="S247" i="4"/>
  <c r="R247" i="4"/>
  <c r="V246" i="4"/>
  <c r="U246" i="4"/>
  <c r="T246" i="4"/>
  <c r="S246" i="4"/>
  <c r="R246" i="4"/>
  <c r="U245" i="4"/>
  <c r="T245" i="4"/>
  <c r="S245" i="4"/>
  <c r="R245" i="4"/>
  <c r="U244" i="4"/>
  <c r="T244" i="4"/>
  <c r="S244" i="4"/>
  <c r="R244" i="4"/>
  <c r="U243" i="4"/>
  <c r="T243" i="4"/>
  <c r="S243" i="4"/>
  <c r="R243" i="4"/>
  <c r="U242" i="4"/>
  <c r="T242" i="4"/>
  <c r="S242" i="4"/>
  <c r="R242" i="4"/>
  <c r="U241" i="4"/>
  <c r="T241" i="4"/>
  <c r="S241" i="4"/>
  <c r="R241" i="4"/>
  <c r="U240" i="4"/>
  <c r="T240" i="4"/>
  <c r="S240" i="4"/>
  <c r="R240" i="4"/>
  <c r="U239" i="4"/>
  <c r="T239" i="4"/>
  <c r="S239" i="4"/>
  <c r="R239" i="4"/>
  <c r="U238" i="4"/>
  <c r="T238" i="4"/>
  <c r="S238" i="4"/>
  <c r="R238" i="4"/>
  <c r="V237" i="4"/>
  <c r="U237" i="4"/>
  <c r="S237" i="4"/>
  <c r="T237" i="4" s="1"/>
  <c r="R237" i="4"/>
  <c r="U236" i="4"/>
  <c r="T236" i="4"/>
  <c r="S236" i="4"/>
  <c r="R236" i="4"/>
  <c r="U235" i="4"/>
  <c r="S235" i="4"/>
  <c r="T235" i="4" s="1"/>
  <c r="R235" i="4"/>
  <c r="V234" i="4"/>
  <c r="U234" i="4"/>
  <c r="S234" i="4"/>
  <c r="T234" i="4" s="1"/>
  <c r="R234" i="4"/>
  <c r="U233" i="4"/>
  <c r="T233" i="4"/>
  <c r="S233" i="4"/>
  <c r="R233" i="4"/>
  <c r="U232" i="4"/>
  <c r="S232" i="4"/>
  <c r="T232" i="4" s="1"/>
  <c r="R232" i="4"/>
  <c r="U231" i="4"/>
  <c r="V231" i="4" s="1"/>
  <c r="S231" i="4"/>
  <c r="T231" i="4" s="1"/>
  <c r="R231" i="4"/>
  <c r="U230" i="4"/>
  <c r="T230" i="4"/>
  <c r="S230" i="4"/>
  <c r="R230" i="4"/>
  <c r="U229" i="4"/>
  <c r="S229" i="4"/>
  <c r="T229" i="4" s="1"/>
  <c r="R229" i="4"/>
  <c r="U228" i="4"/>
  <c r="T228" i="4"/>
  <c r="S228" i="4"/>
  <c r="R228" i="4"/>
  <c r="U227" i="4"/>
  <c r="S227" i="4"/>
  <c r="T227" i="4" s="1"/>
  <c r="R227" i="4"/>
  <c r="U226" i="4"/>
  <c r="V226" i="4" s="1"/>
  <c r="T226" i="4"/>
  <c r="S226" i="4"/>
  <c r="R226" i="4"/>
  <c r="U225" i="4"/>
  <c r="S225" i="4"/>
  <c r="T225" i="4" s="1"/>
  <c r="R225" i="4"/>
  <c r="U224" i="4"/>
  <c r="T224" i="4"/>
  <c r="S224" i="4"/>
  <c r="R224" i="4"/>
  <c r="U223" i="4"/>
  <c r="S223" i="4"/>
  <c r="T223" i="4" s="1"/>
  <c r="R223" i="4"/>
  <c r="U222" i="4"/>
  <c r="T222" i="4"/>
  <c r="S222" i="4"/>
  <c r="R222" i="4"/>
  <c r="U221" i="4"/>
  <c r="S221" i="4"/>
  <c r="T221" i="4" s="1"/>
  <c r="R221" i="4"/>
  <c r="U220" i="4"/>
  <c r="T220" i="4"/>
  <c r="S220" i="4"/>
  <c r="R220" i="4"/>
  <c r="U219" i="4"/>
  <c r="S219" i="4"/>
  <c r="T219" i="4" s="1"/>
  <c r="R219" i="4"/>
  <c r="U218" i="4"/>
  <c r="T218" i="4"/>
  <c r="S218" i="4"/>
  <c r="R218" i="4"/>
  <c r="U217" i="4"/>
  <c r="S217" i="4"/>
  <c r="T217" i="4" s="1"/>
  <c r="R217" i="4"/>
  <c r="U216" i="4"/>
  <c r="T216" i="4"/>
  <c r="S216" i="4"/>
  <c r="R216" i="4"/>
  <c r="U215" i="4"/>
  <c r="S215" i="4"/>
  <c r="T215" i="4" s="1"/>
  <c r="R215" i="4"/>
  <c r="U214" i="4"/>
  <c r="T214" i="4"/>
  <c r="S214" i="4"/>
  <c r="R214" i="4"/>
  <c r="U213" i="4"/>
  <c r="S213" i="4"/>
  <c r="T213" i="4" s="1"/>
  <c r="R213" i="4"/>
  <c r="U212" i="4"/>
  <c r="T212" i="4"/>
  <c r="S212" i="4"/>
  <c r="R212" i="4"/>
  <c r="U211" i="4"/>
  <c r="V211" i="4" s="1"/>
  <c r="T211" i="4"/>
  <c r="S211" i="4"/>
  <c r="R211" i="4"/>
  <c r="V210" i="4"/>
  <c r="U210" i="4"/>
  <c r="T210" i="4"/>
  <c r="S210" i="4"/>
  <c r="R210" i="4"/>
  <c r="U209" i="4"/>
  <c r="S209" i="4"/>
  <c r="T209" i="4" s="1"/>
  <c r="R209" i="4"/>
  <c r="U208" i="4"/>
  <c r="T208" i="4"/>
  <c r="S208" i="4"/>
  <c r="R208" i="4"/>
  <c r="U207" i="4"/>
  <c r="S207" i="4"/>
  <c r="T207" i="4" s="1"/>
  <c r="R207" i="4"/>
  <c r="U206" i="4"/>
  <c r="T206" i="4"/>
  <c r="S206" i="4"/>
  <c r="R206" i="4"/>
  <c r="U205" i="4"/>
  <c r="S205" i="4"/>
  <c r="T205" i="4" s="1"/>
  <c r="R205" i="4"/>
  <c r="U204" i="4"/>
  <c r="T204" i="4"/>
  <c r="S204" i="4"/>
  <c r="R204" i="4"/>
  <c r="V203" i="4"/>
  <c r="U203" i="4"/>
  <c r="T203" i="4"/>
  <c r="S203" i="4"/>
  <c r="R203" i="4"/>
  <c r="V202" i="4"/>
  <c r="U202" i="4"/>
  <c r="T202" i="4"/>
  <c r="S202" i="4"/>
  <c r="R202" i="4"/>
  <c r="U201" i="4"/>
  <c r="T201" i="4"/>
  <c r="S201" i="4"/>
  <c r="R201" i="4"/>
  <c r="U200" i="4"/>
  <c r="T200" i="4"/>
  <c r="S200" i="4"/>
  <c r="R200" i="4"/>
  <c r="U199" i="4"/>
  <c r="T199" i="4"/>
  <c r="S199" i="4"/>
  <c r="R199" i="4"/>
  <c r="U198" i="4"/>
  <c r="T198" i="4"/>
  <c r="S198" i="4"/>
  <c r="R198" i="4"/>
  <c r="U197" i="4"/>
  <c r="T197" i="4"/>
  <c r="S197" i="4"/>
  <c r="R197" i="4"/>
  <c r="U196" i="4"/>
  <c r="T196" i="4"/>
  <c r="S196" i="4"/>
  <c r="R196" i="4"/>
  <c r="U195" i="4"/>
  <c r="T195" i="4"/>
  <c r="S195" i="4"/>
  <c r="R195" i="4"/>
  <c r="U194" i="4"/>
  <c r="T194" i="4"/>
  <c r="S194" i="4"/>
  <c r="R194" i="4"/>
  <c r="U193" i="4"/>
  <c r="T193" i="4"/>
  <c r="S193" i="4"/>
  <c r="R193" i="4"/>
  <c r="U192" i="4"/>
  <c r="V192" i="4" s="1"/>
  <c r="T192" i="4"/>
  <c r="S192" i="4"/>
  <c r="R192" i="4"/>
  <c r="U191" i="4"/>
  <c r="S191" i="4"/>
  <c r="T191" i="4" s="1"/>
  <c r="R191" i="4"/>
  <c r="U190" i="4"/>
  <c r="T190" i="4"/>
  <c r="S190" i="4"/>
  <c r="R190" i="4"/>
  <c r="V189" i="4"/>
  <c r="U189" i="4"/>
  <c r="T189" i="4"/>
  <c r="S189" i="4"/>
  <c r="R189" i="4"/>
  <c r="U188" i="4"/>
  <c r="S188" i="4"/>
  <c r="T188" i="4" s="1"/>
  <c r="R188" i="4"/>
  <c r="U187" i="4"/>
  <c r="T187" i="4"/>
  <c r="S187" i="4"/>
  <c r="R187" i="4"/>
  <c r="V186" i="4"/>
  <c r="U186" i="4"/>
  <c r="T186" i="4"/>
  <c r="S186" i="4"/>
  <c r="R186" i="4"/>
  <c r="U185" i="4"/>
  <c r="S185" i="4"/>
  <c r="T185" i="4" s="1"/>
  <c r="R185" i="4"/>
  <c r="U184" i="4"/>
  <c r="T184" i="4"/>
  <c r="S184" i="4"/>
  <c r="R184" i="4"/>
  <c r="U183" i="4"/>
  <c r="S183" i="4"/>
  <c r="T183" i="4" s="1"/>
  <c r="R183" i="4"/>
  <c r="U182" i="4"/>
  <c r="T182" i="4"/>
  <c r="S182" i="4"/>
  <c r="R182" i="4"/>
  <c r="U181" i="4"/>
  <c r="S181" i="4"/>
  <c r="T181" i="4" s="1"/>
  <c r="R181" i="4"/>
  <c r="U180" i="4"/>
  <c r="T180" i="4"/>
  <c r="S180" i="4"/>
  <c r="R180" i="4"/>
  <c r="U179" i="4"/>
  <c r="S179" i="4"/>
  <c r="T179" i="4" s="1"/>
  <c r="R179" i="4"/>
  <c r="U178" i="4"/>
  <c r="V178" i="4" s="1"/>
  <c r="T178" i="4"/>
  <c r="S178" i="4"/>
  <c r="R178" i="4"/>
  <c r="U177" i="4"/>
  <c r="T177" i="4"/>
  <c r="S177" i="4"/>
  <c r="R177" i="4"/>
  <c r="U176" i="4"/>
  <c r="T176" i="4"/>
  <c r="S176" i="4"/>
  <c r="R176" i="4"/>
  <c r="U175" i="4"/>
  <c r="T175" i="4"/>
  <c r="S175" i="4"/>
  <c r="R175" i="4"/>
  <c r="U174" i="4"/>
  <c r="T174" i="4"/>
  <c r="S174" i="4"/>
  <c r="R174" i="4"/>
  <c r="U173" i="4"/>
  <c r="T173" i="4"/>
  <c r="S173" i="4"/>
  <c r="R173" i="4"/>
  <c r="U172" i="4"/>
  <c r="T172" i="4"/>
  <c r="S172" i="4"/>
  <c r="R172" i="4"/>
  <c r="U171" i="4"/>
  <c r="V171" i="4" s="1"/>
  <c r="T171" i="4"/>
  <c r="S171" i="4"/>
  <c r="R171" i="4"/>
  <c r="U170" i="4"/>
  <c r="S170" i="4"/>
  <c r="T170" i="4" s="1"/>
  <c r="R170" i="4"/>
  <c r="U169" i="4"/>
  <c r="T169" i="4"/>
  <c r="S169" i="4"/>
  <c r="R169" i="4"/>
  <c r="V168" i="4"/>
  <c r="U168" i="4"/>
  <c r="T168" i="4"/>
  <c r="S168" i="4"/>
  <c r="R168" i="4"/>
  <c r="U167" i="4"/>
  <c r="S167" i="4"/>
  <c r="T167" i="4" s="1"/>
  <c r="R167" i="4"/>
  <c r="U166" i="4"/>
  <c r="T166" i="4"/>
  <c r="S166" i="4"/>
  <c r="R166" i="4"/>
  <c r="U165" i="4"/>
  <c r="S165" i="4"/>
  <c r="T165" i="4" s="1"/>
  <c r="R165" i="4"/>
  <c r="U164" i="4"/>
  <c r="V164" i="4" s="1"/>
  <c r="S164" i="4"/>
  <c r="T164" i="4" s="1"/>
  <c r="R164" i="4"/>
  <c r="U163" i="4"/>
  <c r="T163" i="4"/>
  <c r="S163" i="4"/>
  <c r="R163" i="4"/>
  <c r="U162" i="4"/>
  <c r="S162" i="4"/>
  <c r="T162" i="4" s="1"/>
  <c r="R162" i="4"/>
  <c r="U161" i="4"/>
  <c r="T161" i="4"/>
  <c r="S161" i="4"/>
  <c r="R161" i="4"/>
  <c r="U160" i="4"/>
  <c r="S160" i="4"/>
  <c r="T160" i="4" s="1"/>
  <c r="R160" i="4"/>
  <c r="U159" i="4"/>
  <c r="V159" i="4" s="1"/>
  <c r="T159" i="4"/>
  <c r="S159" i="4"/>
  <c r="R159" i="4"/>
  <c r="U158" i="4"/>
  <c r="V158" i="4" s="1"/>
  <c r="T158" i="4"/>
  <c r="S158" i="4"/>
  <c r="R158" i="4"/>
  <c r="U157" i="4"/>
  <c r="S157" i="4"/>
  <c r="T157" i="4" s="1"/>
  <c r="R157" i="4"/>
  <c r="U156" i="4"/>
  <c r="T156" i="4"/>
  <c r="S156" i="4"/>
  <c r="R156" i="4"/>
  <c r="V155" i="4"/>
  <c r="U155" i="4"/>
  <c r="T155" i="4"/>
  <c r="S155" i="4"/>
  <c r="R155" i="4"/>
  <c r="U154" i="4"/>
  <c r="S154" i="4"/>
  <c r="T154" i="4" s="1"/>
  <c r="R154" i="4"/>
  <c r="U153" i="4"/>
  <c r="T153" i="4"/>
  <c r="S153" i="4"/>
  <c r="R153" i="4"/>
  <c r="U152" i="4"/>
  <c r="S152" i="4"/>
  <c r="T152" i="4" s="1"/>
  <c r="R152" i="4"/>
  <c r="U151" i="4"/>
  <c r="T151" i="4"/>
  <c r="S151" i="4"/>
  <c r="R151" i="4"/>
  <c r="U150" i="4"/>
  <c r="S150" i="4"/>
  <c r="T150" i="4" s="1"/>
  <c r="R150" i="4"/>
  <c r="U149" i="4"/>
  <c r="V149" i="4" s="1"/>
  <c r="S149" i="4"/>
  <c r="T149" i="4" s="1"/>
  <c r="R149" i="4"/>
  <c r="U148" i="4"/>
  <c r="T148" i="4"/>
  <c r="S148" i="4"/>
  <c r="R148" i="4"/>
  <c r="U147" i="4"/>
  <c r="S147" i="4"/>
  <c r="T147" i="4" s="1"/>
  <c r="R147" i="4"/>
  <c r="U146" i="4"/>
  <c r="T146" i="4"/>
  <c r="S146" i="4"/>
  <c r="R146" i="4"/>
  <c r="U145" i="4"/>
  <c r="S145" i="4"/>
  <c r="T145" i="4" s="1"/>
  <c r="R145" i="4"/>
  <c r="U144" i="4"/>
  <c r="T144" i="4"/>
  <c r="S144" i="4"/>
  <c r="R144" i="4"/>
  <c r="U143" i="4"/>
  <c r="S143" i="4"/>
  <c r="T143" i="4" s="1"/>
  <c r="R143" i="4"/>
  <c r="U142" i="4"/>
  <c r="T142" i="4"/>
  <c r="S142" i="4"/>
  <c r="R142" i="4"/>
  <c r="U141" i="4"/>
  <c r="S141" i="4"/>
  <c r="T141" i="4" s="1"/>
  <c r="R141" i="4"/>
  <c r="U140" i="4"/>
  <c r="V140" i="4" s="1"/>
  <c r="T140" i="4"/>
  <c r="S140" i="4"/>
  <c r="R140" i="4"/>
  <c r="U139" i="4"/>
  <c r="T139" i="4"/>
  <c r="S139" i="4"/>
  <c r="R139" i="4"/>
  <c r="U138" i="4"/>
  <c r="T138" i="4"/>
  <c r="S138" i="4"/>
  <c r="R138" i="4"/>
  <c r="U137" i="4"/>
  <c r="T137" i="4"/>
  <c r="S137" i="4"/>
  <c r="R137" i="4"/>
  <c r="U136" i="4"/>
  <c r="T136" i="4"/>
  <c r="S136" i="4"/>
  <c r="R136" i="4"/>
  <c r="U135" i="4"/>
  <c r="T135" i="4"/>
  <c r="S135" i="4"/>
  <c r="R135" i="4"/>
  <c r="U134" i="4"/>
  <c r="T134" i="4"/>
  <c r="S134" i="4"/>
  <c r="R134" i="4"/>
  <c r="U133" i="4"/>
  <c r="V133" i="4" s="1"/>
  <c r="T133" i="4"/>
  <c r="S133" i="4"/>
  <c r="R133" i="4"/>
  <c r="U132" i="4"/>
  <c r="S132" i="4"/>
  <c r="T132" i="4" s="1"/>
  <c r="R132" i="4"/>
  <c r="U131" i="4"/>
  <c r="T131" i="4"/>
  <c r="S131" i="4"/>
  <c r="R131" i="4"/>
  <c r="U130" i="4"/>
  <c r="S130" i="4"/>
  <c r="T130" i="4" s="1"/>
  <c r="R130" i="4"/>
  <c r="U129" i="4"/>
  <c r="T129" i="4"/>
  <c r="S129" i="4"/>
  <c r="R129" i="4"/>
  <c r="U128" i="4"/>
  <c r="S128" i="4"/>
  <c r="T128" i="4" s="1"/>
  <c r="R128" i="4"/>
  <c r="U127" i="4"/>
  <c r="T127" i="4"/>
  <c r="S127" i="4"/>
  <c r="R127" i="4"/>
  <c r="V126" i="4"/>
  <c r="U126" i="4"/>
  <c r="T126" i="4"/>
  <c r="S126" i="4"/>
  <c r="R126" i="4"/>
  <c r="V125" i="4"/>
  <c r="U125" i="4"/>
  <c r="T125" i="4"/>
  <c r="S125" i="4"/>
  <c r="R125" i="4"/>
  <c r="V124" i="4"/>
  <c r="U124" i="4"/>
  <c r="S124" i="4"/>
  <c r="T124" i="4" s="1"/>
  <c r="R124" i="4"/>
  <c r="U123" i="4"/>
  <c r="T123" i="4"/>
  <c r="S123" i="4"/>
  <c r="R123" i="4"/>
  <c r="U122" i="4"/>
  <c r="S122" i="4"/>
  <c r="T122" i="4" s="1"/>
  <c r="R122" i="4"/>
  <c r="U121" i="4"/>
  <c r="T121" i="4"/>
  <c r="S121" i="4"/>
  <c r="R121" i="4"/>
  <c r="U120" i="4"/>
  <c r="S120" i="4"/>
  <c r="T120" i="4" s="1"/>
  <c r="R120" i="4"/>
  <c r="U119" i="4"/>
  <c r="T119" i="4"/>
  <c r="S119" i="4"/>
  <c r="R119" i="4"/>
  <c r="U118" i="4"/>
  <c r="V118" i="4" s="1"/>
  <c r="T118" i="4"/>
  <c r="S118" i="4"/>
  <c r="R118" i="4"/>
  <c r="U117" i="4"/>
  <c r="S117" i="4"/>
  <c r="T117" i="4" s="1"/>
  <c r="R117" i="4"/>
  <c r="U116" i="4"/>
  <c r="T116" i="4"/>
  <c r="S116" i="4"/>
  <c r="R116" i="4"/>
  <c r="U115" i="4"/>
  <c r="S115" i="4"/>
  <c r="T115" i="4" s="1"/>
  <c r="R115" i="4"/>
  <c r="U114" i="4"/>
  <c r="T114" i="4"/>
  <c r="S114" i="4"/>
  <c r="R114" i="4"/>
  <c r="U113" i="4"/>
  <c r="S113" i="4"/>
  <c r="T113" i="4" s="1"/>
  <c r="R113" i="4"/>
  <c r="U112" i="4"/>
  <c r="T112" i="4"/>
  <c r="S112" i="4"/>
  <c r="R112" i="4"/>
  <c r="U111" i="4"/>
  <c r="S111" i="4"/>
  <c r="T111" i="4" s="1"/>
  <c r="R111" i="4"/>
  <c r="U110" i="4"/>
  <c r="T110" i="4"/>
  <c r="S110" i="4"/>
  <c r="R110" i="4"/>
  <c r="U109" i="4"/>
  <c r="S109" i="4"/>
  <c r="T109" i="4" s="1"/>
  <c r="R109" i="4"/>
  <c r="V108" i="4"/>
  <c r="U108" i="4"/>
  <c r="S108" i="4"/>
  <c r="T108" i="4" s="1"/>
  <c r="R108" i="4"/>
  <c r="U107" i="4"/>
  <c r="T107" i="4"/>
  <c r="S107" i="4"/>
  <c r="R107" i="4"/>
  <c r="U106" i="4"/>
  <c r="S106" i="4"/>
  <c r="T106" i="4" s="1"/>
  <c r="R106" i="4"/>
  <c r="U105" i="4"/>
  <c r="V105" i="4" s="1"/>
  <c r="S105" i="4"/>
  <c r="T105" i="4" s="1"/>
  <c r="R105" i="4"/>
  <c r="U104" i="4"/>
  <c r="T104" i="4"/>
  <c r="S104" i="4"/>
  <c r="R104" i="4"/>
  <c r="U103" i="4"/>
  <c r="S103" i="4"/>
  <c r="T103" i="4" s="1"/>
  <c r="R103" i="4"/>
  <c r="U102" i="4"/>
  <c r="T102" i="4"/>
  <c r="S102" i="4"/>
  <c r="R102" i="4"/>
  <c r="V101" i="4"/>
  <c r="U101" i="4"/>
  <c r="S101" i="4"/>
  <c r="T101" i="4" s="1"/>
  <c r="R101" i="4"/>
  <c r="U100" i="4"/>
  <c r="T100" i="4"/>
  <c r="S100" i="4"/>
  <c r="R100" i="4"/>
  <c r="U99" i="4"/>
  <c r="V99" i="4" s="1"/>
  <c r="T99" i="4"/>
  <c r="S99" i="4"/>
  <c r="R99" i="4"/>
  <c r="U98" i="4"/>
  <c r="S98" i="4"/>
  <c r="T98" i="4" s="1"/>
  <c r="R98" i="4"/>
  <c r="U97" i="4"/>
  <c r="T97" i="4"/>
  <c r="S97" i="4"/>
  <c r="R97" i="4"/>
  <c r="U96" i="4"/>
  <c r="S96" i="4"/>
  <c r="T96" i="4" s="1"/>
  <c r="R96" i="4"/>
  <c r="U95" i="4"/>
  <c r="T95" i="4"/>
  <c r="S95" i="4"/>
  <c r="R95" i="4"/>
  <c r="U94" i="4"/>
  <c r="S94" i="4"/>
  <c r="T94" i="4" s="1"/>
  <c r="R94" i="4"/>
  <c r="U93" i="4"/>
  <c r="T93" i="4"/>
  <c r="S93" i="4"/>
  <c r="R93" i="4"/>
  <c r="U92" i="4"/>
  <c r="S92" i="4"/>
  <c r="T92" i="4" s="1"/>
  <c r="R92" i="4"/>
  <c r="U91" i="4"/>
  <c r="T91" i="4"/>
  <c r="S91" i="4"/>
  <c r="R91" i="4"/>
  <c r="U90" i="4"/>
  <c r="S90" i="4"/>
  <c r="T90" i="4" s="1"/>
  <c r="R90" i="4"/>
  <c r="U89" i="4"/>
  <c r="T89" i="4"/>
  <c r="S89" i="4"/>
  <c r="R89" i="4"/>
  <c r="U88" i="4"/>
  <c r="S88" i="4"/>
  <c r="T88" i="4" s="1"/>
  <c r="R88" i="4"/>
  <c r="V87" i="4"/>
  <c r="U87" i="4"/>
  <c r="S87" i="4"/>
  <c r="T87" i="4" s="1"/>
  <c r="R87" i="4"/>
  <c r="U86" i="4"/>
  <c r="T86" i="4"/>
  <c r="S86" i="4"/>
  <c r="R86" i="4"/>
  <c r="U85" i="4"/>
  <c r="S85" i="4"/>
  <c r="T85" i="4" s="1"/>
  <c r="R85" i="4"/>
  <c r="U84" i="4"/>
  <c r="T84" i="4"/>
  <c r="S84" i="4"/>
  <c r="R84" i="4"/>
  <c r="U83" i="4"/>
  <c r="S83" i="4"/>
  <c r="T83" i="4" s="1"/>
  <c r="R83" i="4"/>
  <c r="U82" i="4"/>
  <c r="T82" i="4"/>
  <c r="S82" i="4"/>
  <c r="R82" i="4"/>
  <c r="U81" i="4"/>
  <c r="S81" i="4"/>
  <c r="T81" i="4" s="1"/>
  <c r="R81" i="4"/>
  <c r="U80" i="4"/>
  <c r="T80" i="4"/>
  <c r="S80" i="4"/>
  <c r="R80" i="4"/>
  <c r="V79" i="4"/>
  <c r="U79" i="4"/>
  <c r="S79" i="4"/>
  <c r="T79" i="4" s="1"/>
  <c r="R79" i="4"/>
  <c r="U78" i="4"/>
  <c r="S78" i="4"/>
  <c r="T78" i="4" s="1"/>
  <c r="R78" i="4"/>
  <c r="U77" i="4"/>
  <c r="V77" i="4" s="1"/>
  <c r="T77" i="4"/>
  <c r="S77" i="4"/>
  <c r="R77" i="4"/>
  <c r="U76" i="4"/>
  <c r="S76" i="4"/>
  <c r="T76" i="4" s="1"/>
  <c r="R76" i="4"/>
  <c r="U75" i="4"/>
  <c r="V75" i="4" s="1"/>
  <c r="S75" i="4"/>
  <c r="T75" i="4" s="1"/>
  <c r="R75" i="4"/>
  <c r="U74" i="4"/>
  <c r="V74" i="4" s="1"/>
  <c r="S74" i="4"/>
  <c r="T74" i="4" s="1"/>
  <c r="R74" i="4"/>
  <c r="U73" i="4"/>
  <c r="T73" i="4"/>
  <c r="S73" i="4"/>
  <c r="R73" i="4"/>
  <c r="U72" i="4"/>
  <c r="S72" i="4"/>
  <c r="T72" i="4" s="1"/>
  <c r="R72" i="4"/>
  <c r="U71" i="4"/>
  <c r="V71" i="4" s="1"/>
  <c r="S71" i="4"/>
  <c r="T71" i="4" s="1"/>
  <c r="R71" i="4"/>
  <c r="U70" i="4"/>
  <c r="T70" i="4"/>
  <c r="S70" i="4"/>
  <c r="R70" i="4"/>
  <c r="U69" i="4"/>
  <c r="S69" i="4"/>
  <c r="T69" i="4" s="1"/>
  <c r="R69" i="4"/>
  <c r="U68" i="4"/>
  <c r="S68" i="4"/>
  <c r="T68" i="4" s="1"/>
  <c r="R68" i="4"/>
  <c r="U67" i="4"/>
  <c r="S67" i="4"/>
  <c r="T67" i="4" s="1"/>
  <c r="R67" i="4"/>
  <c r="U66" i="4"/>
  <c r="V66" i="4" s="1"/>
  <c r="T66" i="4"/>
  <c r="S66" i="4"/>
  <c r="R66" i="4"/>
  <c r="U65" i="4"/>
  <c r="V65" i="4" s="1"/>
  <c r="T65" i="4"/>
  <c r="S65" i="4"/>
  <c r="R65" i="4"/>
  <c r="V64" i="4"/>
  <c r="U64" i="4"/>
  <c r="T64" i="4"/>
  <c r="S64" i="4"/>
  <c r="R64" i="4"/>
  <c r="U63" i="4"/>
  <c r="S63" i="4"/>
  <c r="T63" i="4" s="1"/>
  <c r="R63" i="4"/>
  <c r="U62" i="4"/>
  <c r="V62" i="4" s="1"/>
  <c r="S62" i="4"/>
  <c r="T62" i="4" s="1"/>
  <c r="R62" i="4"/>
  <c r="U61" i="4"/>
  <c r="V61" i="4" s="1"/>
  <c r="T61" i="4"/>
  <c r="S61" i="4"/>
  <c r="R61" i="4"/>
  <c r="U60" i="4"/>
  <c r="S60" i="4"/>
  <c r="T60" i="4" s="1"/>
  <c r="R60" i="4"/>
  <c r="U59" i="4"/>
  <c r="T59" i="4"/>
  <c r="S59" i="4"/>
  <c r="R59" i="4"/>
  <c r="U58" i="4"/>
  <c r="S58" i="4"/>
  <c r="T58" i="4" s="1"/>
  <c r="R58" i="4"/>
  <c r="U57" i="4"/>
  <c r="T57" i="4"/>
  <c r="S57" i="4"/>
  <c r="R57" i="4"/>
  <c r="U56" i="4"/>
  <c r="V56" i="4" s="1"/>
  <c r="T56" i="4"/>
  <c r="S56" i="4"/>
  <c r="R56" i="4"/>
  <c r="U55" i="4"/>
  <c r="S55" i="4"/>
  <c r="T55" i="4" s="1"/>
  <c r="R55" i="4"/>
  <c r="U54" i="4"/>
  <c r="T54" i="4"/>
  <c r="S54" i="4"/>
  <c r="R54" i="4"/>
  <c r="U53" i="4"/>
  <c r="S53" i="4"/>
  <c r="T53" i="4" s="1"/>
  <c r="R53" i="4"/>
  <c r="U52" i="4"/>
  <c r="T52" i="4"/>
  <c r="S52" i="4"/>
  <c r="R52" i="4"/>
  <c r="U51" i="4"/>
  <c r="S51" i="4"/>
  <c r="T51" i="4" s="1"/>
  <c r="R51" i="4"/>
  <c r="U50" i="4"/>
  <c r="T50" i="4"/>
  <c r="S50" i="4"/>
  <c r="R50" i="4"/>
  <c r="U49" i="4"/>
  <c r="S49" i="4"/>
  <c r="T49" i="4" s="1"/>
  <c r="R49" i="4"/>
  <c r="U48" i="4"/>
  <c r="T48" i="4"/>
  <c r="S48" i="4"/>
  <c r="R48" i="4"/>
  <c r="U47" i="4"/>
  <c r="S47" i="4"/>
  <c r="T47" i="4" s="1"/>
  <c r="R47" i="4"/>
  <c r="U46" i="4"/>
  <c r="T46" i="4"/>
  <c r="S46" i="4"/>
  <c r="R46" i="4"/>
  <c r="U45" i="4"/>
  <c r="S45" i="4"/>
  <c r="T45" i="4" s="1"/>
  <c r="R45" i="4"/>
  <c r="U44" i="4"/>
  <c r="T44" i="4"/>
  <c r="S44" i="4"/>
  <c r="R44" i="4"/>
  <c r="U43" i="4"/>
  <c r="S43" i="4"/>
  <c r="T43" i="4" s="1"/>
  <c r="R43" i="4"/>
  <c r="U42" i="4"/>
  <c r="T42" i="4"/>
  <c r="S42" i="4"/>
  <c r="R42" i="4"/>
  <c r="U41" i="4"/>
  <c r="S41" i="4"/>
  <c r="T41" i="4" s="1"/>
  <c r="R41" i="4"/>
  <c r="U40" i="4"/>
  <c r="V40" i="4" s="1"/>
  <c r="S40" i="4"/>
  <c r="T40" i="4" s="1"/>
  <c r="R40" i="4"/>
  <c r="U39" i="4"/>
  <c r="T39" i="4"/>
  <c r="S39" i="4"/>
  <c r="R39" i="4"/>
  <c r="U38" i="4"/>
  <c r="S38" i="4"/>
  <c r="T38" i="4" s="1"/>
  <c r="R38" i="4"/>
  <c r="U37" i="4"/>
  <c r="V37" i="4" s="1"/>
  <c r="S37" i="4"/>
  <c r="T37" i="4" s="1"/>
  <c r="R37" i="4"/>
  <c r="U36" i="4"/>
  <c r="T36" i="4"/>
  <c r="S36" i="4"/>
  <c r="R36" i="4"/>
  <c r="U35" i="4"/>
  <c r="S35" i="4"/>
  <c r="T35" i="4" s="1"/>
  <c r="R35" i="4"/>
  <c r="U34" i="4"/>
  <c r="S34" i="4"/>
  <c r="T34" i="4" s="1"/>
  <c r="R34" i="4"/>
  <c r="U33" i="4"/>
  <c r="S33" i="4"/>
  <c r="T33" i="4" s="1"/>
  <c r="R33" i="4"/>
  <c r="U32" i="4"/>
  <c r="T32" i="4"/>
  <c r="S32" i="4"/>
  <c r="R32" i="4"/>
  <c r="U31" i="4"/>
  <c r="S31" i="4"/>
  <c r="T31" i="4" s="1"/>
  <c r="R31" i="4"/>
  <c r="U30" i="4"/>
  <c r="T30" i="4"/>
  <c r="S30" i="4"/>
  <c r="R30" i="4"/>
  <c r="V29" i="4"/>
  <c r="U29" i="4"/>
  <c r="T29" i="4"/>
  <c r="S29" i="4"/>
  <c r="R29" i="4"/>
  <c r="U28" i="4"/>
  <c r="T28" i="4"/>
  <c r="S28" i="4"/>
  <c r="R28" i="4"/>
  <c r="U27" i="4"/>
  <c r="T27" i="4"/>
  <c r="S27" i="4"/>
  <c r="R27" i="4"/>
  <c r="U26" i="4"/>
  <c r="T26" i="4"/>
  <c r="S26" i="4"/>
  <c r="R26" i="4"/>
  <c r="U25" i="4"/>
  <c r="T25" i="4"/>
  <c r="S25" i="4"/>
  <c r="R25" i="4"/>
  <c r="U24" i="4"/>
  <c r="T24" i="4"/>
  <c r="S24" i="4"/>
  <c r="R24" i="4"/>
  <c r="U23" i="4"/>
  <c r="T23" i="4"/>
  <c r="S23" i="4"/>
  <c r="R23" i="4"/>
  <c r="V22" i="4"/>
  <c r="U22" i="4"/>
  <c r="S22" i="4"/>
  <c r="T22" i="4" s="1"/>
  <c r="R22" i="4"/>
  <c r="U21" i="4"/>
  <c r="T21" i="4"/>
  <c r="S21" i="4"/>
  <c r="R21" i="4"/>
  <c r="U20" i="4"/>
  <c r="S20" i="4"/>
  <c r="T20" i="4" s="1"/>
  <c r="R20" i="4"/>
  <c r="U19" i="4"/>
  <c r="T19" i="4"/>
  <c r="S19" i="4"/>
  <c r="R19" i="4"/>
  <c r="U18" i="4"/>
  <c r="S18" i="4"/>
  <c r="T18" i="4" s="1"/>
  <c r="R18" i="4"/>
  <c r="U17" i="4"/>
  <c r="T17" i="4"/>
  <c r="S17" i="4"/>
  <c r="R17" i="4"/>
  <c r="V16" i="4"/>
  <c r="U16" i="4"/>
  <c r="T16" i="4"/>
  <c r="S16" i="4"/>
  <c r="R16" i="4"/>
  <c r="U15" i="4"/>
  <c r="S15" i="4"/>
  <c r="T15" i="4" s="1"/>
  <c r="R15" i="4"/>
  <c r="U14" i="4"/>
  <c r="T14" i="4"/>
  <c r="S14" i="4"/>
  <c r="R14" i="4"/>
  <c r="V13" i="4"/>
  <c r="U13" i="4"/>
  <c r="S13" i="4"/>
  <c r="T13" i="4" s="1"/>
  <c r="R13" i="4"/>
  <c r="U12" i="4"/>
  <c r="S12" i="4"/>
  <c r="T12" i="4" s="1"/>
  <c r="R12" i="4"/>
  <c r="U11" i="4"/>
  <c r="T11" i="4"/>
  <c r="S11" i="4"/>
  <c r="R11" i="4"/>
  <c r="U10" i="4"/>
  <c r="S10" i="4"/>
  <c r="T10" i="4" s="1"/>
  <c r="R10" i="4"/>
  <c r="W9" i="4" a="1"/>
  <c r="W19" i="4" s="1"/>
  <c r="U9" i="4"/>
  <c r="S9" i="4"/>
  <c r="T9" i="4" s="1"/>
  <c r="R9" i="4"/>
  <c r="A9" i="4" a="1"/>
  <c r="A3076" i="4" s="1"/>
  <c r="U7" i="4"/>
  <c r="U667" i="3"/>
  <c r="S667" i="3"/>
  <c r="T667" i="3" s="1"/>
  <c r="O667" i="3"/>
  <c r="D667" i="3"/>
  <c r="U666" i="3"/>
  <c r="S666" i="3"/>
  <c r="T666" i="3" s="1"/>
  <c r="O666" i="3"/>
  <c r="D666" i="3"/>
  <c r="U665" i="3"/>
  <c r="T665" i="3"/>
  <c r="S665" i="3"/>
  <c r="O665" i="3"/>
  <c r="D665" i="3"/>
  <c r="U664" i="3"/>
  <c r="T664" i="3"/>
  <c r="S664" i="3"/>
  <c r="O664" i="3"/>
  <c r="D664" i="3"/>
  <c r="U663" i="3"/>
  <c r="S663" i="3"/>
  <c r="T663" i="3" s="1"/>
  <c r="O663" i="3"/>
  <c r="D663" i="3"/>
  <c r="U662" i="3"/>
  <c r="S662" i="3"/>
  <c r="T662" i="3" s="1"/>
  <c r="R662" i="3"/>
  <c r="F662" i="3"/>
  <c r="E662" i="3"/>
  <c r="O662" i="3" s="1"/>
  <c r="D662" i="3"/>
  <c r="U661" i="3"/>
  <c r="S661" i="3"/>
  <c r="T661" i="3" s="1"/>
  <c r="R661" i="3"/>
  <c r="E661" i="3"/>
  <c r="O661" i="3" s="1"/>
  <c r="D661" i="3"/>
  <c r="U660" i="3"/>
  <c r="S660" i="3"/>
  <c r="T660" i="3" s="1"/>
  <c r="R660" i="3"/>
  <c r="E660" i="3"/>
  <c r="O660" i="3" s="1"/>
  <c r="D660" i="3"/>
  <c r="U659" i="3"/>
  <c r="T659" i="3"/>
  <c r="S659" i="3"/>
  <c r="E659" i="3"/>
  <c r="O659" i="3" s="1"/>
  <c r="D659" i="3"/>
  <c r="U658" i="3"/>
  <c r="S658" i="3"/>
  <c r="T658" i="3" s="1"/>
  <c r="O658" i="3"/>
  <c r="D658" i="3"/>
  <c r="U657" i="3"/>
  <c r="T657" i="3"/>
  <c r="S657" i="3"/>
  <c r="R657" i="3"/>
  <c r="F657" i="3"/>
  <c r="E657" i="3"/>
  <c r="O657" i="3" s="1"/>
  <c r="D657" i="3"/>
  <c r="U656" i="3"/>
  <c r="T656" i="3"/>
  <c r="S656" i="3"/>
  <c r="O656" i="3"/>
  <c r="D656" i="3"/>
  <c r="U655" i="3"/>
  <c r="T655" i="3"/>
  <c r="S655" i="3"/>
  <c r="O655" i="3"/>
  <c r="D655" i="3"/>
  <c r="U654" i="3"/>
  <c r="S654" i="3"/>
  <c r="T654" i="3" s="1"/>
  <c r="R654" i="3"/>
  <c r="O654" i="3"/>
  <c r="D654" i="3"/>
  <c r="U653" i="3"/>
  <c r="T653" i="3"/>
  <c r="S653" i="3"/>
  <c r="R653" i="3"/>
  <c r="O653" i="3"/>
  <c r="D653" i="3"/>
  <c r="U652" i="3"/>
  <c r="S652" i="3"/>
  <c r="T652" i="3" s="1"/>
  <c r="O652" i="3"/>
  <c r="D652" i="3"/>
  <c r="U651" i="3"/>
  <c r="S651" i="3"/>
  <c r="T651" i="3" s="1"/>
  <c r="O651" i="3"/>
  <c r="D651" i="3"/>
  <c r="U650" i="3"/>
  <c r="T650" i="3"/>
  <c r="S650" i="3"/>
  <c r="O650" i="3"/>
  <c r="D650" i="3"/>
  <c r="U649" i="3"/>
  <c r="T649" i="3"/>
  <c r="S649" i="3"/>
  <c r="F649" i="3"/>
  <c r="E649" i="3"/>
  <c r="O649" i="3" s="1"/>
  <c r="D649" i="3"/>
  <c r="U648" i="3"/>
  <c r="S648" i="3"/>
  <c r="T648" i="3" s="1"/>
  <c r="R648" i="3"/>
  <c r="F648" i="3"/>
  <c r="E648" i="3"/>
  <c r="O648" i="3" s="1"/>
  <c r="D648" i="3"/>
  <c r="U647" i="3"/>
  <c r="S647" i="3"/>
  <c r="T647" i="3" s="1"/>
  <c r="G647" i="3"/>
  <c r="F647" i="3"/>
  <c r="E647" i="3"/>
  <c r="O647" i="3" s="1"/>
  <c r="D647" i="3"/>
  <c r="U646" i="3"/>
  <c r="V646" i="3" s="1"/>
  <c r="T646" i="3"/>
  <c r="S646" i="3"/>
  <c r="R646" i="3"/>
  <c r="F646" i="3"/>
  <c r="E646" i="3"/>
  <c r="O646" i="3" s="1"/>
  <c r="D646" i="3"/>
  <c r="U645" i="3"/>
  <c r="T645" i="3"/>
  <c r="S645" i="3"/>
  <c r="F645" i="3"/>
  <c r="E645" i="3"/>
  <c r="O645" i="3" s="1"/>
  <c r="D645" i="3"/>
  <c r="U644" i="3"/>
  <c r="S644" i="3"/>
  <c r="T644" i="3" s="1"/>
  <c r="O644" i="3"/>
  <c r="D644" i="3"/>
  <c r="U643" i="3"/>
  <c r="T643" i="3"/>
  <c r="S643" i="3"/>
  <c r="R643" i="3"/>
  <c r="O643" i="3"/>
  <c r="D643" i="3"/>
  <c r="U642" i="3"/>
  <c r="S642" i="3"/>
  <c r="T642" i="3" s="1"/>
  <c r="O642" i="3"/>
  <c r="D642" i="3"/>
  <c r="V641" i="3"/>
  <c r="U641" i="3"/>
  <c r="T641" i="3"/>
  <c r="S641" i="3"/>
  <c r="R641" i="3"/>
  <c r="E641" i="3"/>
  <c r="O641" i="3" s="1"/>
  <c r="D641" i="3"/>
  <c r="V640" i="3"/>
  <c r="U640" i="3"/>
  <c r="T640" i="3"/>
  <c r="S640" i="3"/>
  <c r="R640" i="3"/>
  <c r="F640" i="3"/>
  <c r="E640" i="3"/>
  <c r="O640" i="3" s="1"/>
  <c r="D640" i="3"/>
  <c r="U639" i="3"/>
  <c r="T639" i="3"/>
  <c r="S639" i="3"/>
  <c r="O639" i="3"/>
  <c r="D639" i="3"/>
  <c r="U638" i="3"/>
  <c r="S638" i="3"/>
  <c r="T638" i="3" s="1"/>
  <c r="O638" i="3"/>
  <c r="D638" i="3"/>
  <c r="U637" i="3"/>
  <c r="S637" i="3"/>
  <c r="T637" i="3" s="1"/>
  <c r="O637" i="3"/>
  <c r="D637" i="3"/>
  <c r="U636" i="3"/>
  <c r="T636" i="3"/>
  <c r="S636" i="3"/>
  <c r="O636" i="3"/>
  <c r="D636" i="3"/>
  <c r="U635" i="3"/>
  <c r="T635" i="3"/>
  <c r="S635" i="3"/>
  <c r="F635" i="3"/>
  <c r="E635" i="3"/>
  <c r="O635" i="3" s="1"/>
  <c r="D635" i="3"/>
  <c r="U634" i="3"/>
  <c r="V634" i="3" s="1"/>
  <c r="T634" i="3"/>
  <c r="S634" i="3"/>
  <c r="R634" i="3"/>
  <c r="F634" i="3"/>
  <c r="E634" i="3"/>
  <c r="O634" i="3" s="1"/>
  <c r="D634" i="3"/>
  <c r="V633" i="3"/>
  <c r="U633" i="3"/>
  <c r="S633" i="3"/>
  <c r="T633" i="3" s="1"/>
  <c r="R633" i="3"/>
  <c r="O633" i="3"/>
  <c r="D633" i="3"/>
  <c r="U632" i="3"/>
  <c r="T632" i="3"/>
  <c r="S632" i="3"/>
  <c r="R632" i="3"/>
  <c r="E632" i="3"/>
  <c r="O632" i="3" s="1"/>
  <c r="D632" i="3"/>
  <c r="U631" i="3"/>
  <c r="S631" i="3"/>
  <c r="T631" i="3" s="1"/>
  <c r="E631" i="3"/>
  <c r="O631" i="3" s="1"/>
  <c r="D631" i="3"/>
  <c r="U630" i="3"/>
  <c r="T630" i="3"/>
  <c r="S630" i="3"/>
  <c r="E630" i="3"/>
  <c r="O630" i="3" s="1"/>
  <c r="D630" i="3"/>
  <c r="U629" i="3"/>
  <c r="S629" i="3"/>
  <c r="T629" i="3" s="1"/>
  <c r="O629" i="3"/>
  <c r="D629" i="3"/>
  <c r="U628" i="3"/>
  <c r="T628" i="3"/>
  <c r="S628" i="3"/>
  <c r="O628" i="3"/>
  <c r="D628" i="3"/>
  <c r="U627" i="3"/>
  <c r="T627" i="3"/>
  <c r="S627" i="3"/>
  <c r="F627" i="3"/>
  <c r="E627" i="3"/>
  <c r="O627" i="3" s="1"/>
  <c r="D627" i="3"/>
  <c r="U626" i="3"/>
  <c r="T626" i="3"/>
  <c r="S626" i="3"/>
  <c r="F626" i="3"/>
  <c r="E626" i="3"/>
  <c r="O626" i="3" s="1"/>
  <c r="D626" i="3"/>
  <c r="U625" i="3"/>
  <c r="S625" i="3"/>
  <c r="T625" i="3" s="1"/>
  <c r="R625" i="3"/>
  <c r="F625" i="3"/>
  <c r="E625" i="3"/>
  <c r="O625" i="3" s="1"/>
  <c r="D625" i="3"/>
  <c r="U624" i="3"/>
  <c r="V624" i="3" s="1"/>
  <c r="T624" i="3"/>
  <c r="S624" i="3"/>
  <c r="R624" i="3"/>
  <c r="E624" i="3"/>
  <c r="O624" i="3" s="1"/>
  <c r="D624" i="3"/>
  <c r="U623" i="3"/>
  <c r="S623" i="3"/>
  <c r="T623" i="3" s="1"/>
  <c r="O623" i="3"/>
  <c r="D623" i="3"/>
  <c r="U622" i="3"/>
  <c r="T622" i="3"/>
  <c r="S622" i="3"/>
  <c r="F622" i="3"/>
  <c r="E622" i="3"/>
  <c r="O622" i="3" s="1"/>
  <c r="D622" i="3"/>
  <c r="U621" i="3"/>
  <c r="S621" i="3"/>
  <c r="T621" i="3" s="1"/>
  <c r="R621" i="3"/>
  <c r="E621" i="3"/>
  <c r="O621" i="3" s="1"/>
  <c r="D621" i="3"/>
  <c r="U620" i="3"/>
  <c r="S620" i="3"/>
  <c r="T620" i="3" s="1"/>
  <c r="O620" i="3"/>
  <c r="D620" i="3"/>
  <c r="U619" i="3"/>
  <c r="S619" i="3"/>
  <c r="T619" i="3" s="1"/>
  <c r="R619" i="3"/>
  <c r="E619" i="3"/>
  <c r="O619" i="3" s="1"/>
  <c r="D619" i="3"/>
  <c r="U618" i="3"/>
  <c r="S618" i="3"/>
  <c r="T618" i="3" s="1"/>
  <c r="O618" i="3"/>
  <c r="D618" i="3"/>
  <c r="U617" i="3"/>
  <c r="S617" i="3"/>
  <c r="T617" i="3" s="1"/>
  <c r="F617" i="3"/>
  <c r="E617" i="3"/>
  <c r="O617" i="3" s="1"/>
  <c r="D617" i="3"/>
  <c r="U616" i="3"/>
  <c r="S616" i="3"/>
  <c r="T616" i="3" s="1"/>
  <c r="R616" i="3"/>
  <c r="F616" i="3"/>
  <c r="E616" i="3"/>
  <c r="O616" i="3" s="1"/>
  <c r="D616" i="3"/>
  <c r="U615" i="3"/>
  <c r="S615" i="3"/>
  <c r="T615" i="3" s="1"/>
  <c r="O615" i="3"/>
  <c r="D615" i="3"/>
  <c r="U614" i="3"/>
  <c r="T614" i="3"/>
  <c r="S614" i="3"/>
  <c r="F614" i="3"/>
  <c r="E614" i="3"/>
  <c r="O614" i="3" s="1"/>
  <c r="D614" i="3"/>
  <c r="U613" i="3"/>
  <c r="S613" i="3"/>
  <c r="T613" i="3" s="1"/>
  <c r="R613" i="3"/>
  <c r="E613" i="3"/>
  <c r="O613" i="3" s="1"/>
  <c r="D613" i="3"/>
  <c r="U612" i="3"/>
  <c r="T612" i="3"/>
  <c r="S612" i="3"/>
  <c r="O612" i="3"/>
  <c r="D612" i="3"/>
  <c r="U611" i="3"/>
  <c r="S611" i="3"/>
  <c r="T611" i="3" s="1"/>
  <c r="O611" i="3"/>
  <c r="D611" i="3"/>
  <c r="U610" i="3"/>
  <c r="S610" i="3"/>
  <c r="T610" i="3" s="1"/>
  <c r="F610" i="3"/>
  <c r="E610" i="3"/>
  <c r="O610" i="3" s="1"/>
  <c r="D610" i="3"/>
  <c r="U609" i="3"/>
  <c r="S609" i="3"/>
  <c r="T609" i="3" s="1"/>
  <c r="O609" i="3"/>
  <c r="D609" i="3"/>
  <c r="U608" i="3"/>
  <c r="S608" i="3"/>
  <c r="T608" i="3" s="1"/>
  <c r="O608" i="3"/>
  <c r="D608" i="3"/>
  <c r="U607" i="3"/>
  <c r="T607" i="3"/>
  <c r="S607" i="3"/>
  <c r="O607" i="3"/>
  <c r="D607" i="3"/>
  <c r="U606" i="3"/>
  <c r="T606" i="3"/>
  <c r="S606" i="3"/>
  <c r="O606" i="3"/>
  <c r="D606" i="3"/>
  <c r="U605" i="3"/>
  <c r="S605" i="3"/>
  <c r="T605" i="3" s="1"/>
  <c r="R605" i="3"/>
  <c r="E605" i="3"/>
  <c r="O605" i="3" s="1"/>
  <c r="D605" i="3"/>
  <c r="U604" i="3"/>
  <c r="T604" i="3"/>
  <c r="S604" i="3"/>
  <c r="O604" i="3"/>
  <c r="D604" i="3"/>
  <c r="U603" i="3"/>
  <c r="S603" i="3"/>
  <c r="T603" i="3" s="1"/>
  <c r="R603" i="3"/>
  <c r="E603" i="3"/>
  <c r="O603" i="3" s="1"/>
  <c r="D603" i="3"/>
  <c r="V602" i="3"/>
  <c r="U602" i="3"/>
  <c r="S602" i="3"/>
  <c r="T602" i="3" s="1"/>
  <c r="R602" i="3"/>
  <c r="E602" i="3"/>
  <c r="O602" i="3" s="1"/>
  <c r="D602" i="3"/>
  <c r="U601" i="3"/>
  <c r="T601" i="3"/>
  <c r="S601" i="3"/>
  <c r="O601" i="3"/>
  <c r="D601" i="3"/>
  <c r="U600" i="3"/>
  <c r="S600" i="3"/>
  <c r="T600" i="3" s="1"/>
  <c r="R600" i="3"/>
  <c r="F600" i="3"/>
  <c r="E600" i="3"/>
  <c r="O600" i="3" s="1"/>
  <c r="D600" i="3"/>
  <c r="U599" i="3"/>
  <c r="S599" i="3"/>
  <c r="T599" i="3" s="1"/>
  <c r="O599" i="3"/>
  <c r="D599" i="3"/>
  <c r="U598" i="3"/>
  <c r="S598" i="3"/>
  <c r="T598" i="3" s="1"/>
  <c r="E598" i="3"/>
  <c r="O598" i="3" s="1"/>
  <c r="D598" i="3"/>
  <c r="U597" i="3"/>
  <c r="T597" i="3"/>
  <c r="S597" i="3"/>
  <c r="R597" i="3"/>
  <c r="E597" i="3"/>
  <c r="O597" i="3" s="1"/>
  <c r="D597" i="3"/>
  <c r="U596" i="3"/>
  <c r="T596" i="3"/>
  <c r="S596" i="3"/>
  <c r="F596" i="3"/>
  <c r="E596" i="3"/>
  <c r="O596" i="3" s="1"/>
  <c r="D596" i="3"/>
  <c r="U595" i="3"/>
  <c r="S595" i="3"/>
  <c r="T595" i="3" s="1"/>
  <c r="F595" i="3"/>
  <c r="E595" i="3"/>
  <c r="O595" i="3" s="1"/>
  <c r="D595" i="3"/>
  <c r="U594" i="3"/>
  <c r="S594" i="3"/>
  <c r="T594" i="3" s="1"/>
  <c r="F594" i="3"/>
  <c r="E594" i="3"/>
  <c r="O594" i="3" s="1"/>
  <c r="D594" i="3"/>
  <c r="U593" i="3"/>
  <c r="T593" i="3"/>
  <c r="S593" i="3"/>
  <c r="F593" i="3"/>
  <c r="E593" i="3"/>
  <c r="O593" i="3" s="1"/>
  <c r="D593" i="3"/>
  <c r="U592" i="3"/>
  <c r="T592" i="3"/>
  <c r="S592" i="3"/>
  <c r="F592" i="3"/>
  <c r="E592" i="3"/>
  <c r="O592" i="3" s="1"/>
  <c r="D592" i="3"/>
  <c r="U591" i="3"/>
  <c r="S591" i="3"/>
  <c r="T591" i="3" s="1"/>
  <c r="F591" i="3"/>
  <c r="E591" i="3"/>
  <c r="O591" i="3" s="1"/>
  <c r="D591" i="3"/>
  <c r="U590" i="3"/>
  <c r="S590" i="3"/>
  <c r="T590" i="3" s="1"/>
  <c r="F590" i="3"/>
  <c r="E590" i="3"/>
  <c r="O590" i="3" s="1"/>
  <c r="D590" i="3"/>
  <c r="V589" i="3"/>
  <c r="U589" i="3"/>
  <c r="S589" i="3"/>
  <c r="T589" i="3" s="1"/>
  <c r="R589" i="3"/>
  <c r="E589" i="3"/>
  <c r="O589" i="3" s="1"/>
  <c r="D589" i="3"/>
  <c r="U588" i="3"/>
  <c r="T588" i="3"/>
  <c r="S588" i="3"/>
  <c r="F588" i="3"/>
  <c r="E588" i="3"/>
  <c r="O588" i="3" s="1"/>
  <c r="D588" i="3"/>
  <c r="U587" i="3"/>
  <c r="T587" i="3"/>
  <c r="S587" i="3"/>
  <c r="E587" i="3"/>
  <c r="O587" i="3" s="1"/>
  <c r="D587" i="3"/>
  <c r="U586" i="3"/>
  <c r="S586" i="3"/>
  <c r="T586" i="3" s="1"/>
  <c r="O586" i="3"/>
  <c r="D586" i="3"/>
  <c r="U585" i="3"/>
  <c r="T585" i="3"/>
  <c r="S585" i="3"/>
  <c r="O585" i="3"/>
  <c r="D585" i="3"/>
  <c r="U584" i="3"/>
  <c r="T584" i="3"/>
  <c r="S584" i="3"/>
  <c r="R584" i="3"/>
  <c r="F584" i="3"/>
  <c r="E584" i="3"/>
  <c r="O584" i="3" s="1"/>
  <c r="D584" i="3"/>
  <c r="U583" i="3"/>
  <c r="T583" i="3"/>
  <c r="S583" i="3"/>
  <c r="O583" i="3"/>
  <c r="D583" i="3"/>
  <c r="V582" i="3"/>
  <c r="U582" i="3"/>
  <c r="S582" i="3"/>
  <c r="T582" i="3" s="1"/>
  <c r="R582" i="3"/>
  <c r="O582" i="3"/>
  <c r="D582" i="3"/>
  <c r="U581" i="3"/>
  <c r="V581" i="3" s="1"/>
  <c r="T581" i="3"/>
  <c r="S581" i="3"/>
  <c r="R581" i="3"/>
  <c r="O581" i="3"/>
  <c r="D581" i="3"/>
  <c r="U580" i="3"/>
  <c r="S580" i="3"/>
  <c r="T580" i="3" s="1"/>
  <c r="O580" i="3"/>
  <c r="D580" i="3"/>
  <c r="U579" i="3"/>
  <c r="T579" i="3"/>
  <c r="S579" i="3"/>
  <c r="O579" i="3"/>
  <c r="D579" i="3"/>
  <c r="U578" i="3"/>
  <c r="T578" i="3"/>
  <c r="S578" i="3"/>
  <c r="F578" i="3"/>
  <c r="E578" i="3"/>
  <c r="O578" i="3" s="1"/>
  <c r="D578" i="3"/>
  <c r="U577" i="3"/>
  <c r="S577" i="3"/>
  <c r="T577" i="3" s="1"/>
  <c r="R577" i="3"/>
  <c r="F577" i="3"/>
  <c r="E577" i="3"/>
  <c r="O577" i="3" s="1"/>
  <c r="D577" i="3"/>
  <c r="U576" i="3"/>
  <c r="T576" i="3"/>
  <c r="S576" i="3"/>
  <c r="O576" i="3"/>
  <c r="D576" i="3"/>
  <c r="U575" i="3"/>
  <c r="T575" i="3"/>
  <c r="S575" i="3"/>
  <c r="O575" i="3"/>
  <c r="D575" i="3"/>
  <c r="U574" i="3"/>
  <c r="S574" i="3"/>
  <c r="T574" i="3" s="1"/>
  <c r="F574" i="3"/>
  <c r="E574" i="3"/>
  <c r="O574" i="3" s="1"/>
  <c r="D574" i="3"/>
  <c r="U573" i="3"/>
  <c r="T573" i="3"/>
  <c r="S573" i="3"/>
  <c r="R573" i="3"/>
  <c r="F573" i="3"/>
  <c r="E573" i="3"/>
  <c r="O573" i="3" s="1"/>
  <c r="D573" i="3"/>
  <c r="V572" i="3"/>
  <c r="U572" i="3"/>
  <c r="S572" i="3"/>
  <c r="T572" i="3" s="1"/>
  <c r="R572" i="3"/>
  <c r="F572" i="3"/>
  <c r="E572" i="3"/>
  <c r="O572" i="3" s="1"/>
  <c r="D572" i="3"/>
  <c r="U571" i="3"/>
  <c r="S571" i="3"/>
  <c r="T571" i="3" s="1"/>
  <c r="R571" i="3"/>
  <c r="F571" i="3"/>
  <c r="E571" i="3"/>
  <c r="O571" i="3" s="1"/>
  <c r="D571" i="3"/>
  <c r="U570" i="3"/>
  <c r="S570" i="3"/>
  <c r="T570" i="3" s="1"/>
  <c r="R570" i="3"/>
  <c r="O570" i="3"/>
  <c r="D570" i="3"/>
  <c r="U569" i="3"/>
  <c r="T569" i="3"/>
  <c r="S569" i="3"/>
  <c r="O569" i="3"/>
  <c r="D569" i="3"/>
  <c r="U568" i="3"/>
  <c r="T568" i="3"/>
  <c r="S568" i="3"/>
  <c r="O568" i="3"/>
  <c r="D568" i="3"/>
  <c r="U567" i="3"/>
  <c r="S567" i="3"/>
  <c r="T567" i="3" s="1"/>
  <c r="O567" i="3"/>
  <c r="D567" i="3"/>
  <c r="U566" i="3"/>
  <c r="T566" i="3"/>
  <c r="S566" i="3"/>
  <c r="O566" i="3"/>
  <c r="D566" i="3"/>
  <c r="U565" i="3"/>
  <c r="T565" i="3"/>
  <c r="S565" i="3"/>
  <c r="O565" i="3"/>
  <c r="D565" i="3"/>
  <c r="U564" i="3"/>
  <c r="T564" i="3"/>
  <c r="S564" i="3"/>
  <c r="F564" i="3"/>
  <c r="E564" i="3"/>
  <c r="O564" i="3" s="1"/>
  <c r="D564" i="3"/>
  <c r="U563" i="3"/>
  <c r="T563" i="3"/>
  <c r="S563" i="3"/>
  <c r="E563" i="3"/>
  <c r="O563" i="3" s="1"/>
  <c r="D563" i="3"/>
  <c r="U562" i="3"/>
  <c r="S562" i="3"/>
  <c r="T562" i="3" s="1"/>
  <c r="O562" i="3"/>
  <c r="D562" i="3"/>
  <c r="U561" i="3"/>
  <c r="S561" i="3"/>
  <c r="T561" i="3" s="1"/>
  <c r="O561" i="3"/>
  <c r="D561" i="3"/>
  <c r="U560" i="3"/>
  <c r="S560" i="3"/>
  <c r="T560" i="3" s="1"/>
  <c r="F560" i="3"/>
  <c r="E560" i="3"/>
  <c r="O560" i="3" s="1"/>
  <c r="D560" i="3"/>
  <c r="U559" i="3"/>
  <c r="S559" i="3"/>
  <c r="T559" i="3" s="1"/>
  <c r="R559" i="3"/>
  <c r="F559" i="3"/>
  <c r="E559" i="3"/>
  <c r="O559" i="3" s="1"/>
  <c r="D559" i="3"/>
  <c r="U558" i="3"/>
  <c r="V558" i="3" s="1"/>
  <c r="T558" i="3"/>
  <c r="S558" i="3"/>
  <c r="R558" i="3"/>
  <c r="F558" i="3"/>
  <c r="E558" i="3"/>
  <c r="O558" i="3" s="1"/>
  <c r="D558" i="3"/>
  <c r="U557" i="3"/>
  <c r="S557" i="3"/>
  <c r="T557" i="3" s="1"/>
  <c r="O557" i="3"/>
  <c r="D557" i="3"/>
  <c r="U556" i="3"/>
  <c r="T556" i="3"/>
  <c r="S556" i="3"/>
  <c r="R556" i="3"/>
  <c r="F556" i="3"/>
  <c r="E556" i="3"/>
  <c r="O556" i="3" s="1"/>
  <c r="D556" i="3"/>
  <c r="U555" i="3"/>
  <c r="T555" i="3"/>
  <c r="S555" i="3"/>
  <c r="O555" i="3"/>
  <c r="D555" i="3"/>
  <c r="U554" i="3"/>
  <c r="S554" i="3"/>
  <c r="T554" i="3" s="1"/>
  <c r="O554" i="3"/>
  <c r="D554" i="3"/>
  <c r="U553" i="3"/>
  <c r="T553" i="3"/>
  <c r="S553" i="3"/>
  <c r="O553" i="3"/>
  <c r="D553" i="3"/>
  <c r="U552" i="3"/>
  <c r="T552" i="3"/>
  <c r="S552" i="3"/>
  <c r="O552" i="3"/>
  <c r="D552" i="3"/>
  <c r="U551" i="3"/>
  <c r="T551" i="3"/>
  <c r="S551" i="3"/>
  <c r="O551" i="3"/>
  <c r="D551" i="3"/>
  <c r="U550" i="3"/>
  <c r="S550" i="3"/>
  <c r="T550" i="3" s="1"/>
  <c r="O550" i="3"/>
  <c r="D550" i="3"/>
  <c r="U549" i="3"/>
  <c r="S549" i="3"/>
  <c r="T549" i="3" s="1"/>
  <c r="R549" i="3"/>
  <c r="O549" i="3"/>
  <c r="D549" i="3"/>
  <c r="U548" i="3"/>
  <c r="T548" i="3"/>
  <c r="S548" i="3"/>
  <c r="O548" i="3"/>
  <c r="D548" i="3"/>
  <c r="U547" i="3"/>
  <c r="S547" i="3"/>
  <c r="T547" i="3" s="1"/>
  <c r="F547" i="3"/>
  <c r="E547" i="3"/>
  <c r="O547" i="3" s="1"/>
  <c r="D547" i="3"/>
  <c r="V546" i="3"/>
  <c r="U546" i="3"/>
  <c r="S546" i="3"/>
  <c r="T546" i="3" s="1"/>
  <c r="R546" i="3"/>
  <c r="F546" i="3"/>
  <c r="E546" i="3"/>
  <c r="O546" i="3" s="1"/>
  <c r="D546" i="3"/>
  <c r="U545" i="3"/>
  <c r="S545" i="3"/>
  <c r="T545" i="3" s="1"/>
  <c r="R545" i="3"/>
  <c r="E545" i="3"/>
  <c r="O545" i="3" s="1"/>
  <c r="D545" i="3"/>
  <c r="U544" i="3"/>
  <c r="T544" i="3"/>
  <c r="S544" i="3"/>
  <c r="O544" i="3"/>
  <c r="D544" i="3"/>
  <c r="U543" i="3"/>
  <c r="S543" i="3"/>
  <c r="T543" i="3" s="1"/>
  <c r="O543" i="3"/>
  <c r="D543" i="3"/>
  <c r="U542" i="3"/>
  <c r="S542" i="3"/>
  <c r="T542" i="3" s="1"/>
  <c r="E542" i="3"/>
  <c r="O542" i="3" s="1"/>
  <c r="D542" i="3"/>
  <c r="V541" i="3"/>
  <c r="U541" i="3"/>
  <c r="S541" i="3"/>
  <c r="T541" i="3" s="1"/>
  <c r="R541" i="3"/>
  <c r="E541" i="3"/>
  <c r="O541" i="3" s="1"/>
  <c r="D541" i="3"/>
  <c r="U540" i="3"/>
  <c r="T540" i="3"/>
  <c r="S540" i="3"/>
  <c r="F540" i="3"/>
  <c r="E540" i="3"/>
  <c r="O540" i="3" s="1"/>
  <c r="D540" i="3"/>
  <c r="U539" i="3"/>
  <c r="V539" i="3" s="1"/>
  <c r="T539" i="3"/>
  <c r="S539" i="3"/>
  <c r="R539" i="3"/>
  <c r="F539" i="3"/>
  <c r="E539" i="3"/>
  <c r="O539" i="3" s="1"/>
  <c r="D539" i="3"/>
  <c r="U538" i="3"/>
  <c r="T538" i="3"/>
  <c r="S538" i="3"/>
  <c r="E538" i="3"/>
  <c r="O538" i="3" s="1"/>
  <c r="D538" i="3"/>
  <c r="U537" i="3"/>
  <c r="S537" i="3"/>
  <c r="T537" i="3" s="1"/>
  <c r="O537" i="3"/>
  <c r="D537" i="3"/>
  <c r="U536" i="3"/>
  <c r="T536" i="3"/>
  <c r="S536" i="3"/>
  <c r="R536" i="3"/>
  <c r="F536" i="3"/>
  <c r="E536" i="3"/>
  <c r="O536" i="3" s="1"/>
  <c r="D536" i="3"/>
  <c r="U535" i="3"/>
  <c r="S535" i="3"/>
  <c r="T535" i="3" s="1"/>
  <c r="O535" i="3"/>
  <c r="D535" i="3"/>
  <c r="V534" i="3"/>
  <c r="U534" i="3"/>
  <c r="S534" i="3"/>
  <c r="T534" i="3" s="1"/>
  <c r="R534" i="3"/>
  <c r="E534" i="3"/>
  <c r="O534" i="3" s="1"/>
  <c r="D534" i="3"/>
  <c r="U533" i="3"/>
  <c r="T533" i="3"/>
  <c r="S533" i="3"/>
  <c r="O533" i="3"/>
  <c r="D533" i="3"/>
  <c r="U532" i="3"/>
  <c r="S532" i="3"/>
  <c r="T532" i="3" s="1"/>
  <c r="E532" i="3"/>
  <c r="O532" i="3" s="1"/>
  <c r="D532" i="3"/>
  <c r="V531" i="3"/>
  <c r="U531" i="3"/>
  <c r="T531" i="3"/>
  <c r="S531" i="3"/>
  <c r="R531" i="3"/>
  <c r="E531" i="3"/>
  <c r="O531" i="3" s="1"/>
  <c r="D531" i="3"/>
  <c r="U530" i="3"/>
  <c r="S530" i="3"/>
  <c r="T530" i="3" s="1"/>
  <c r="O530" i="3"/>
  <c r="D530" i="3"/>
  <c r="U529" i="3"/>
  <c r="T529" i="3"/>
  <c r="S529" i="3"/>
  <c r="O529" i="3"/>
  <c r="D529" i="3"/>
  <c r="U528" i="3"/>
  <c r="S528" i="3"/>
  <c r="T528" i="3" s="1"/>
  <c r="O528" i="3"/>
  <c r="D528" i="3"/>
  <c r="U527" i="3"/>
  <c r="T527" i="3"/>
  <c r="S527" i="3"/>
  <c r="O527" i="3"/>
  <c r="D527" i="3"/>
  <c r="U526" i="3"/>
  <c r="T526" i="3"/>
  <c r="S526" i="3"/>
  <c r="R526" i="3"/>
  <c r="E526" i="3"/>
  <c r="O526" i="3" s="1"/>
  <c r="D526" i="3"/>
  <c r="U525" i="3"/>
  <c r="S525" i="3"/>
  <c r="T525" i="3" s="1"/>
  <c r="R525" i="3"/>
  <c r="F525" i="3"/>
  <c r="E525" i="3"/>
  <c r="O525" i="3" s="1"/>
  <c r="D525" i="3"/>
  <c r="U524" i="3"/>
  <c r="S524" i="3"/>
  <c r="T524" i="3" s="1"/>
  <c r="O524" i="3"/>
  <c r="D524" i="3"/>
  <c r="V523" i="3"/>
  <c r="U523" i="3"/>
  <c r="T523" i="3"/>
  <c r="S523" i="3"/>
  <c r="R523" i="3"/>
  <c r="F523" i="3"/>
  <c r="E523" i="3"/>
  <c r="O523" i="3" s="1"/>
  <c r="D523" i="3"/>
  <c r="U522" i="3"/>
  <c r="T522" i="3"/>
  <c r="S522" i="3"/>
  <c r="E522" i="3"/>
  <c r="O522" i="3" s="1"/>
  <c r="D522" i="3"/>
  <c r="U521" i="3"/>
  <c r="S521" i="3"/>
  <c r="T521" i="3" s="1"/>
  <c r="O521" i="3"/>
  <c r="D521" i="3"/>
  <c r="U520" i="3"/>
  <c r="T520" i="3"/>
  <c r="S520" i="3"/>
  <c r="O520" i="3"/>
  <c r="D520" i="3"/>
  <c r="U519" i="3"/>
  <c r="T519" i="3"/>
  <c r="S519" i="3"/>
  <c r="O519" i="3"/>
  <c r="D519" i="3"/>
  <c r="U518" i="3"/>
  <c r="S518" i="3"/>
  <c r="T518" i="3" s="1"/>
  <c r="E518" i="3"/>
  <c r="O518" i="3" s="1"/>
  <c r="D518" i="3"/>
  <c r="U517" i="3"/>
  <c r="T517" i="3"/>
  <c r="S517" i="3"/>
  <c r="O517" i="3"/>
  <c r="D517" i="3"/>
  <c r="U516" i="3"/>
  <c r="T516" i="3"/>
  <c r="S516" i="3"/>
  <c r="R516" i="3"/>
  <c r="F516" i="3"/>
  <c r="E516" i="3"/>
  <c r="O516" i="3" s="1"/>
  <c r="D516" i="3"/>
  <c r="U515" i="3"/>
  <c r="V515" i="3" s="1"/>
  <c r="S515" i="3"/>
  <c r="T515" i="3" s="1"/>
  <c r="R515" i="3"/>
  <c r="F515" i="3"/>
  <c r="E515" i="3"/>
  <c r="O515" i="3" s="1"/>
  <c r="D515" i="3"/>
  <c r="U514" i="3"/>
  <c r="S514" i="3"/>
  <c r="T514" i="3" s="1"/>
  <c r="O514" i="3"/>
  <c r="D514" i="3"/>
  <c r="U513" i="3"/>
  <c r="T513" i="3"/>
  <c r="S513" i="3"/>
  <c r="O513" i="3"/>
  <c r="D513" i="3"/>
  <c r="U512" i="3"/>
  <c r="T512" i="3"/>
  <c r="S512" i="3"/>
  <c r="E512" i="3"/>
  <c r="O512" i="3" s="1"/>
  <c r="D512" i="3"/>
  <c r="U511" i="3"/>
  <c r="S511" i="3"/>
  <c r="T511" i="3" s="1"/>
  <c r="R511" i="3"/>
  <c r="E511" i="3"/>
  <c r="O511" i="3" s="1"/>
  <c r="D511" i="3"/>
  <c r="U510" i="3"/>
  <c r="T510" i="3"/>
  <c r="S510" i="3"/>
  <c r="O510" i="3"/>
  <c r="D510" i="3"/>
  <c r="U509" i="3"/>
  <c r="S509" i="3"/>
  <c r="T509" i="3" s="1"/>
  <c r="R509" i="3"/>
  <c r="O509" i="3"/>
  <c r="D509" i="3"/>
  <c r="U508" i="3"/>
  <c r="T508" i="3"/>
  <c r="S508" i="3"/>
  <c r="R508" i="3"/>
  <c r="E508" i="3"/>
  <c r="O508" i="3" s="1"/>
  <c r="D508" i="3"/>
  <c r="U507" i="3"/>
  <c r="S507" i="3"/>
  <c r="T507" i="3" s="1"/>
  <c r="R507" i="3"/>
  <c r="E507" i="3"/>
  <c r="O507" i="3" s="1"/>
  <c r="D507" i="3"/>
  <c r="U506" i="3"/>
  <c r="S506" i="3"/>
  <c r="T506" i="3" s="1"/>
  <c r="E506" i="3"/>
  <c r="O506" i="3" s="1"/>
  <c r="D506" i="3"/>
  <c r="U505" i="3"/>
  <c r="S505" i="3"/>
  <c r="T505" i="3" s="1"/>
  <c r="O505" i="3"/>
  <c r="D505" i="3"/>
  <c r="U504" i="3"/>
  <c r="T504" i="3"/>
  <c r="S504" i="3"/>
  <c r="O504" i="3"/>
  <c r="D504" i="3"/>
  <c r="U503" i="3"/>
  <c r="S503" i="3"/>
  <c r="T503" i="3" s="1"/>
  <c r="O503" i="3"/>
  <c r="D503" i="3"/>
  <c r="U502" i="3"/>
  <c r="S502" i="3"/>
  <c r="T502" i="3" s="1"/>
  <c r="O502" i="3"/>
  <c r="D502" i="3"/>
  <c r="U501" i="3"/>
  <c r="T501" i="3"/>
  <c r="S501" i="3"/>
  <c r="O501" i="3"/>
  <c r="D501" i="3"/>
  <c r="U500" i="3"/>
  <c r="T500" i="3"/>
  <c r="S500" i="3"/>
  <c r="O500" i="3"/>
  <c r="D500" i="3"/>
  <c r="U499" i="3"/>
  <c r="S499" i="3"/>
  <c r="T499" i="3" s="1"/>
  <c r="R499" i="3"/>
  <c r="E499" i="3"/>
  <c r="O499" i="3" s="1"/>
  <c r="D499" i="3"/>
  <c r="U498" i="3"/>
  <c r="T498" i="3"/>
  <c r="S498" i="3"/>
  <c r="E498" i="3"/>
  <c r="O498" i="3" s="1"/>
  <c r="D498" i="3"/>
  <c r="U497" i="3"/>
  <c r="S497" i="3"/>
  <c r="T497" i="3" s="1"/>
  <c r="O497" i="3"/>
  <c r="D497" i="3"/>
  <c r="U496" i="3"/>
  <c r="T496" i="3"/>
  <c r="S496" i="3"/>
  <c r="O496" i="3"/>
  <c r="D496" i="3"/>
  <c r="U495" i="3"/>
  <c r="T495" i="3"/>
  <c r="S495" i="3"/>
  <c r="O495" i="3"/>
  <c r="D495" i="3"/>
  <c r="U494" i="3"/>
  <c r="S494" i="3"/>
  <c r="T494" i="3" s="1"/>
  <c r="O494" i="3"/>
  <c r="D494" i="3"/>
  <c r="U493" i="3"/>
  <c r="T493" i="3"/>
  <c r="S493" i="3"/>
  <c r="O493" i="3"/>
  <c r="D493" i="3"/>
  <c r="U492" i="3"/>
  <c r="T492" i="3"/>
  <c r="S492" i="3"/>
  <c r="R492" i="3"/>
  <c r="O492" i="3"/>
  <c r="D492" i="3"/>
  <c r="V491" i="3"/>
  <c r="U491" i="3"/>
  <c r="S491" i="3"/>
  <c r="T491" i="3" s="1"/>
  <c r="R491" i="3"/>
  <c r="F491" i="3"/>
  <c r="E491" i="3"/>
  <c r="O491" i="3" s="1"/>
  <c r="D491" i="3"/>
  <c r="U490" i="3"/>
  <c r="S490" i="3"/>
  <c r="T490" i="3" s="1"/>
  <c r="E490" i="3"/>
  <c r="O490" i="3" s="1"/>
  <c r="D490" i="3"/>
  <c r="U489" i="3"/>
  <c r="T489" i="3"/>
  <c r="S489" i="3"/>
  <c r="O489" i="3"/>
  <c r="D489" i="3"/>
  <c r="U488" i="3"/>
  <c r="S488" i="3"/>
  <c r="T488" i="3" s="1"/>
  <c r="E488" i="3"/>
  <c r="O488" i="3" s="1"/>
  <c r="D488" i="3"/>
  <c r="U487" i="3"/>
  <c r="T487" i="3"/>
  <c r="S487" i="3"/>
  <c r="O487" i="3"/>
  <c r="D487" i="3"/>
  <c r="U486" i="3"/>
  <c r="T486" i="3"/>
  <c r="S486" i="3"/>
  <c r="E486" i="3"/>
  <c r="O486" i="3" s="1"/>
  <c r="D486" i="3"/>
  <c r="U485" i="3"/>
  <c r="S485" i="3"/>
  <c r="T485" i="3" s="1"/>
  <c r="R485" i="3"/>
  <c r="E485" i="3"/>
  <c r="O485" i="3" s="1"/>
  <c r="D485" i="3"/>
  <c r="O484" i="3"/>
  <c r="M484" i="3"/>
  <c r="U484" i="3" s="1"/>
  <c r="D484" i="3"/>
  <c r="U483" i="3"/>
  <c r="T483" i="3"/>
  <c r="S483" i="3"/>
  <c r="E483" i="3"/>
  <c r="O483" i="3" s="1"/>
  <c r="D483" i="3"/>
  <c r="U482" i="3"/>
  <c r="S482" i="3"/>
  <c r="T482" i="3" s="1"/>
  <c r="R482" i="3"/>
  <c r="E482" i="3"/>
  <c r="O482" i="3" s="1"/>
  <c r="D482" i="3"/>
  <c r="U481" i="3"/>
  <c r="T481" i="3"/>
  <c r="S481" i="3"/>
  <c r="O481" i="3"/>
  <c r="D481" i="3"/>
  <c r="U480" i="3"/>
  <c r="S480" i="3"/>
  <c r="T480" i="3" s="1"/>
  <c r="F480" i="3"/>
  <c r="E480" i="3"/>
  <c r="O480" i="3" s="1"/>
  <c r="D480" i="3"/>
  <c r="U479" i="3"/>
  <c r="T479" i="3"/>
  <c r="S479" i="3"/>
  <c r="R479" i="3"/>
  <c r="G479" i="3"/>
  <c r="F479" i="3"/>
  <c r="E479" i="3"/>
  <c r="O479" i="3" s="1"/>
  <c r="D479" i="3"/>
  <c r="U478" i="3"/>
  <c r="S478" i="3"/>
  <c r="T478" i="3" s="1"/>
  <c r="R478" i="3"/>
  <c r="E478" i="3"/>
  <c r="O478" i="3" s="1"/>
  <c r="D478" i="3"/>
  <c r="U477" i="3"/>
  <c r="T477" i="3"/>
  <c r="S477" i="3"/>
  <c r="O477" i="3"/>
  <c r="D477" i="3"/>
  <c r="U476" i="3"/>
  <c r="S476" i="3"/>
  <c r="T476" i="3" s="1"/>
  <c r="E476" i="3"/>
  <c r="O476" i="3" s="1"/>
  <c r="D476" i="3"/>
  <c r="U475" i="3"/>
  <c r="T475" i="3"/>
  <c r="S475" i="3"/>
  <c r="O475" i="3"/>
  <c r="D475" i="3"/>
  <c r="U474" i="3"/>
  <c r="T474" i="3"/>
  <c r="S474" i="3"/>
  <c r="E474" i="3"/>
  <c r="O474" i="3" s="1"/>
  <c r="D474" i="3"/>
  <c r="U473" i="3"/>
  <c r="S473" i="3"/>
  <c r="T473" i="3" s="1"/>
  <c r="O473" i="3"/>
  <c r="D473" i="3"/>
  <c r="V472" i="3"/>
  <c r="U472" i="3"/>
  <c r="T472" i="3"/>
  <c r="S472" i="3"/>
  <c r="R472" i="3"/>
  <c r="F472" i="3"/>
  <c r="E472" i="3"/>
  <c r="O472" i="3" s="1"/>
  <c r="D472" i="3"/>
  <c r="U471" i="3"/>
  <c r="T471" i="3"/>
  <c r="S471" i="3"/>
  <c r="E471" i="3"/>
  <c r="O471" i="3" s="1"/>
  <c r="D471" i="3"/>
  <c r="U470" i="3"/>
  <c r="V470" i="3" s="1"/>
  <c r="S470" i="3"/>
  <c r="T470" i="3" s="1"/>
  <c r="R470" i="3"/>
  <c r="E470" i="3"/>
  <c r="O470" i="3" s="1"/>
  <c r="D470" i="3"/>
  <c r="U469" i="3"/>
  <c r="V469" i="3" s="1"/>
  <c r="T469" i="3"/>
  <c r="S469" i="3"/>
  <c r="R469" i="3"/>
  <c r="F469" i="3"/>
  <c r="E469" i="3"/>
  <c r="O469" i="3" s="1"/>
  <c r="D469" i="3"/>
  <c r="U468" i="3"/>
  <c r="V468" i="3" s="1"/>
  <c r="T468" i="3"/>
  <c r="S468" i="3"/>
  <c r="R468" i="3"/>
  <c r="E468" i="3"/>
  <c r="O468" i="3" s="1"/>
  <c r="D468" i="3"/>
  <c r="U467" i="3"/>
  <c r="S467" i="3"/>
  <c r="T467" i="3" s="1"/>
  <c r="E467" i="3"/>
  <c r="O467" i="3" s="1"/>
  <c r="D467" i="3"/>
  <c r="V466" i="3"/>
  <c r="U466" i="3"/>
  <c r="T466" i="3"/>
  <c r="S466" i="3"/>
  <c r="R466" i="3"/>
  <c r="F466" i="3"/>
  <c r="E466" i="3"/>
  <c r="O466" i="3" s="1"/>
  <c r="D466" i="3"/>
  <c r="U465" i="3"/>
  <c r="V465" i="3" s="1"/>
  <c r="S465" i="3"/>
  <c r="T465" i="3" s="1"/>
  <c r="R465" i="3"/>
  <c r="F465" i="3"/>
  <c r="E465" i="3"/>
  <c r="O465" i="3" s="1"/>
  <c r="D465" i="3"/>
  <c r="U464" i="3"/>
  <c r="T464" i="3"/>
  <c r="S464" i="3"/>
  <c r="E464" i="3"/>
  <c r="O464" i="3" s="1"/>
  <c r="D464" i="3"/>
  <c r="U463" i="3"/>
  <c r="S463" i="3"/>
  <c r="T463" i="3" s="1"/>
  <c r="O463" i="3"/>
  <c r="D463" i="3"/>
  <c r="U462" i="3"/>
  <c r="S462" i="3"/>
  <c r="T462" i="3" s="1"/>
  <c r="R462" i="3"/>
  <c r="E462" i="3"/>
  <c r="O462" i="3" s="1"/>
  <c r="D462" i="3"/>
  <c r="U461" i="3"/>
  <c r="S461" i="3"/>
  <c r="T461" i="3" s="1"/>
  <c r="E461" i="3"/>
  <c r="O461" i="3" s="1"/>
  <c r="D461" i="3"/>
  <c r="U460" i="3"/>
  <c r="S460" i="3"/>
  <c r="T460" i="3" s="1"/>
  <c r="F460" i="3"/>
  <c r="E460" i="3"/>
  <c r="O460" i="3" s="1"/>
  <c r="D460" i="3"/>
  <c r="U459" i="3"/>
  <c r="S459" i="3"/>
  <c r="T459" i="3" s="1"/>
  <c r="R459" i="3"/>
  <c r="F459" i="3"/>
  <c r="E459" i="3"/>
  <c r="O459" i="3" s="1"/>
  <c r="D459" i="3"/>
  <c r="U458" i="3"/>
  <c r="T458" i="3"/>
  <c r="S458" i="3"/>
  <c r="O458" i="3"/>
  <c r="D458" i="3"/>
  <c r="U457" i="3"/>
  <c r="T457" i="3"/>
  <c r="S457" i="3"/>
  <c r="O457" i="3"/>
  <c r="D457" i="3"/>
  <c r="U456" i="3"/>
  <c r="T456" i="3"/>
  <c r="S456" i="3"/>
  <c r="L456" i="3"/>
  <c r="F456" i="3"/>
  <c r="E456" i="3"/>
  <c r="O456" i="3" s="1"/>
  <c r="D456" i="3"/>
  <c r="U455" i="3"/>
  <c r="T455" i="3"/>
  <c r="S455" i="3"/>
  <c r="R455" i="3"/>
  <c r="O455" i="3"/>
  <c r="D455" i="3"/>
  <c r="U454" i="3"/>
  <c r="T454" i="3"/>
  <c r="S454" i="3"/>
  <c r="E454" i="3"/>
  <c r="O454" i="3" s="1"/>
  <c r="D454" i="3"/>
  <c r="V453" i="3"/>
  <c r="U453" i="3"/>
  <c r="S453" i="3"/>
  <c r="T453" i="3" s="1"/>
  <c r="R453" i="3"/>
  <c r="E453" i="3"/>
  <c r="O453" i="3" s="1"/>
  <c r="D453" i="3"/>
  <c r="U452" i="3"/>
  <c r="T452" i="3"/>
  <c r="S452" i="3"/>
  <c r="O452" i="3"/>
  <c r="D452" i="3"/>
  <c r="U451" i="3"/>
  <c r="S451" i="3"/>
  <c r="T451" i="3" s="1"/>
  <c r="R451" i="3"/>
  <c r="F451" i="3"/>
  <c r="E451" i="3"/>
  <c r="O451" i="3" s="1"/>
  <c r="D451" i="3"/>
  <c r="U450" i="3"/>
  <c r="S450" i="3"/>
  <c r="T450" i="3" s="1"/>
  <c r="F450" i="3"/>
  <c r="E450" i="3"/>
  <c r="O450" i="3" s="1"/>
  <c r="D450" i="3"/>
  <c r="U449" i="3"/>
  <c r="T449" i="3"/>
  <c r="S449" i="3"/>
  <c r="F449" i="3"/>
  <c r="E449" i="3"/>
  <c r="O449" i="3" s="1"/>
  <c r="D449" i="3"/>
  <c r="U448" i="3"/>
  <c r="S448" i="3"/>
  <c r="T448" i="3" s="1"/>
  <c r="O448" i="3"/>
  <c r="D448" i="3"/>
  <c r="U447" i="3"/>
  <c r="T447" i="3"/>
  <c r="S447" i="3"/>
  <c r="E447" i="3"/>
  <c r="O447" i="3" s="1"/>
  <c r="D447" i="3"/>
  <c r="U446" i="3"/>
  <c r="S446" i="3"/>
  <c r="T446" i="3" s="1"/>
  <c r="F446" i="3"/>
  <c r="E446" i="3"/>
  <c r="O446" i="3" s="1"/>
  <c r="D446" i="3"/>
  <c r="U445" i="3"/>
  <c r="S445" i="3"/>
  <c r="T445" i="3" s="1"/>
  <c r="O445" i="3"/>
  <c r="D445" i="3"/>
  <c r="U444" i="3"/>
  <c r="T444" i="3"/>
  <c r="S444" i="3"/>
  <c r="O444" i="3"/>
  <c r="D444" i="3"/>
  <c r="U443" i="3"/>
  <c r="T443" i="3"/>
  <c r="S443" i="3"/>
  <c r="R443" i="3"/>
  <c r="O443" i="3"/>
  <c r="D443" i="3"/>
  <c r="U442" i="3"/>
  <c r="S442" i="3"/>
  <c r="T442" i="3" s="1"/>
  <c r="R442" i="3"/>
  <c r="F442" i="3"/>
  <c r="E442" i="3"/>
  <c r="O442" i="3" s="1"/>
  <c r="D442" i="3"/>
  <c r="U441" i="3"/>
  <c r="S441" i="3"/>
  <c r="T441" i="3" s="1"/>
  <c r="O441" i="3"/>
  <c r="D441" i="3"/>
  <c r="U440" i="3"/>
  <c r="T440" i="3"/>
  <c r="S440" i="3"/>
  <c r="R440" i="3"/>
  <c r="E440" i="3"/>
  <c r="O440" i="3" s="1"/>
  <c r="D440" i="3"/>
  <c r="U439" i="3"/>
  <c r="S439" i="3"/>
  <c r="T439" i="3" s="1"/>
  <c r="O439" i="3"/>
  <c r="D439" i="3"/>
  <c r="U438" i="3"/>
  <c r="S438" i="3"/>
  <c r="T438" i="3" s="1"/>
  <c r="F438" i="3"/>
  <c r="E438" i="3"/>
  <c r="O438" i="3" s="1"/>
  <c r="D438" i="3"/>
  <c r="U437" i="3"/>
  <c r="S437" i="3"/>
  <c r="T437" i="3" s="1"/>
  <c r="F437" i="3"/>
  <c r="E437" i="3"/>
  <c r="O437" i="3" s="1"/>
  <c r="D437" i="3"/>
  <c r="U436" i="3"/>
  <c r="T436" i="3"/>
  <c r="S436" i="3"/>
  <c r="O436" i="3"/>
  <c r="D436" i="3"/>
  <c r="U435" i="3"/>
  <c r="S435" i="3"/>
  <c r="T435" i="3" s="1"/>
  <c r="F435" i="3"/>
  <c r="E435" i="3"/>
  <c r="O435" i="3" s="1"/>
  <c r="D435" i="3"/>
  <c r="V434" i="3"/>
  <c r="U434" i="3"/>
  <c r="S434" i="3"/>
  <c r="T434" i="3" s="1"/>
  <c r="R434" i="3"/>
  <c r="E434" i="3"/>
  <c r="O434" i="3" s="1"/>
  <c r="D434" i="3"/>
  <c r="U433" i="3"/>
  <c r="T433" i="3"/>
  <c r="S433" i="3"/>
  <c r="O433" i="3"/>
  <c r="D433" i="3"/>
  <c r="U432" i="3"/>
  <c r="S432" i="3"/>
  <c r="T432" i="3" s="1"/>
  <c r="O432" i="3"/>
  <c r="D432" i="3"/>
  <c r="U431" i="3"/>
  <c r="T431" i="3"/>
  <c r="S431" i="3"/>
  <c r="E431" i="3"/>
  <c r="O431" i="3" s="1"/>
  <c r="D431" i="3"/>
  <c r="V430" i="3"/>
  <c r="U430" i="3"/>
  <c r="S430" i="3"/>
  <c r="T430" i="3" s="1"/>
  <c r="R430" i="3"/>
  <c r="E430" i="3"/>
  <c r="O430" i="3" s="1"/>
  <c r="D430" i="3"/>
  <c r="U429" i="3"/>
  <c r="T429" i="3"/>
  <c r="S429" i="3"/>
  <c r="O429" i="3"/>
  <c r="D429" i="3"/>
  <c r="U428" i="3"/>
  <c r="S428" i="3"/>
  <c r="T428" i="3" s="1"/>
  <c r="O428" i="3"/>
  <c r="D428" i="3"/>
  <c r="U427" i="3"/>
  <c r="V427" i="3" s="1"/>
  <c r="S427" i="3"/>
  <c r="T427" i="3" s="1"/>
  <c r="R427" i="3"/>
  <c r="G427" i="3"/>
  <c r="F427" i="3"/>
  <c r="E427" i="3"/>
  <c r="O427" i="3" s="1"/>
  <c r="D427" i="3"/>
  <c r="U426" i="3"/>
  <c r="T426" i="3"/>
  <c r="S426" i="3"/>
  <c r="O426" i="3"/>
  <c r="D426" i="3"/>
  <c r="V425" i="3"/>
  <c r="U425" i="3"/>
  <c r="T425" i="3"/>
  <c r="S425" i="3"/>
  <c r="R425" i="3"/>
  <c r="F425" i="3"/>
  <c r="E425" i="3"/>
  <c r="O425" i="3" s="1"/>
  <c r="D425" i="3"/>
  <c r="U424" i="3"/>
  <c r="V424" i="3" s="1"/>
  <c r="S424" i="3"/>
  <c r="T424" i="3" s="1"/>
  <c r="R424" i="3"/>
  <c r="E424" i="3"/>
  <c r="O424" i="3" s="1"/>
  <c r="D424" i="3"/>
  <c r="U423" i="3"/>
  <c r="S423" i="3"/>
  <c r="T423" i="3" s="1"/>
  <c r="O423" i="3"/>
  <c r="D423" i="3"/>
  <c r="U422" i="3"/>
  <c r="T422" i="3"/>
  <c r="S422" i="3"/>
  <c r="E422" i="3"/>
  <c r="O422" i="3" s="1"/>
  <c r="D422" i="3"/>
  <c r="U421" i="3"/>
  <c r="S421" i="3"/>
  <c r="T421" i="3" s="1"/>
  <c r="O421" i="3"/>
  <c r="D421" i="3"/>
  <c r="U420" i="3"/>
  <c r="V420" i="3" s="1"/>
  <c r="T420" i="3"/>
  <c r="S420" i="3"/>
  <c r="R420" i="3"/>
  <c r="E420" i="3"/>
  <c r="O420" i="3" s="1"/>
  <c r="D420" i="3"/>
  <c r="U419" i="3"/>
  <c r="S419" i="3"/>
  <c r="T419" i="3" s="1"/>
  <c r="O419" i="3"/>
  <c r="D419" i="3"/>
  <c r="U418" i="3"/>
  <c r="T418" i="3"/>
  <c r="S418" i="3"/>
  <c r="F418" i="3"/>
  <c r="E418" i="3"/>
  <c r="O418" i="3" s="1"/>
  <c r="D418" i="3"/>
  <c r="U417" i="3"/>
  <c r="V417" i="3" s="1"/>
  <c r="T417" i="3"/>
  <c r="S417" i="3"/>
  <c r="R417" i="3"/>
  <c r="F417" i="3"/>
  <c r="E417" i="3"/>
  <c r="O417" i="3" s="1"/>
  <c r="D417" i="3"/>
  <c r="U416" i="3"/>
  <c r="T416" i="3"/>
  <c r="S416" i="3"/>
  <c r="O416" i="3"/>
  <c r="D416" i="3"/>
  <c r="U415" i="3"/>
  <c r="T415" i="3"/>
  <c r="S415" i="3"/>
  <c r="O415" i="3"/>
  <c r="D415" i="3"/>
  <c r="U414" i="3"/>
  <c r="S414" i="3"/>
  <c r="T414" i="3" s="1"/>
  <c r="R414" i="3"/>
  <c r="O414" i="3"/>
  <c r="D414" i="3"/>
  <c r="U413" i="3"/>
  <c r="T413" i="3"/>
  <c r="S413" i="3"/>
  <c r="O413" i="3"/>
  <c r="D413" i="3"/>
  <c r="U412" i="3"/>
  <c r="T412" i="3"/>
  <c r="S412" i="3"/>
  <c r="G412" i="3"/>
  <c r="F412" i="3"/>
  <c r="E412" i="3"/>
  <c r="O412" i="3" s="1"/>
  <c r="D412" i="3"/>
  <c r="U411" i="3"/>
  <c r="T411" i="3"/>
  <c r="S411" i="3"/>
  <c r="R411" i="3"/>
  <c r="F411" i="3"/>
  <c r="E411" i="3"/>
  <c r="O411" i="3" s="1"/>
  <c r="D411" i="3"/>
  <c r="U410" i="3"/>
  <c r="T410" i="3"/>
  <c r="S410" i="3"/>
  <c r="O410" i="3"/>
  <c r="D410" i="3"/>
  <c r="U409" i="3"/>
  <c r="S409" i="3"/>
  <c r="T409" i="3" s="1"/>
  <c r="F409" i="3"/>
  <c r="E409" i="3"/>
  <c r="O409" i="3" s="1"/>
  <c r="D409" i="3"/>
  <c r="U408" i="3"/>
  <c r="T408" i="3"/>
  <c r="S408" i="3"/>
  <c r="O408" i="3"/>
  <c r="D408" i="3"/>
  <c r="U407" i="3"/>
  <c r="S407" i="3"/>
  <c r="T407" i="3" s="1"/>
  <c r="O407" i="3"/>
  <c r="D407" i="3"/>
  <c r="U406" i="3"/>
  <c r="T406" i="3"/>
  <c r="S406" i="3"/>
  <c r="O406" i="3"/>
  <c r="D406" i="3"/>
  <c r="U405" i="3"/>
  <c r="T405" i="3"/>
  <c r="S405" i="3"/>
  <c r="O405" i="3"/>
  <c r="D405" i="3"/>
  <c r="U404" i="3"/>
  <c r="T404" i="3"/>
  <c r="O404" i="3"/>
  <c r="M404" i="3"/>
  <c r="S404" i="3" s="1"/>
  <c r="D404" i="3"/>
  <c r="U403" i="3"/>
  <c r="T403" i="3"/>
  <c r="S403" i="3"/>
  <c r="E403" i="3"/>
  <c r="O403" i="3" s="1"/>
  <c r="D403" i="3"/>
  <c r="U402" i="3"/>
  <c r="T402" i="3"/>
  <c r="S402" i="3"/>
  <c r="O402" i="3"/>
  <c r="D402" i="3"/>
  <c r="U401" i="3"/>
  <c r="S401" i="3"/>
  <c r="T401" i="3" s="1"/>
  <c r="E401" i="3"/>
  <c r="O401" i="3" s="1"/>
  <c r="D401" i="3"/>
  <c r="U400" i="3"/>
  <c r="V400" i="3" s="1"/>
  <c r="T400" i="3"/>
  <c r="S400" i="3"/>
  <c r="R400" i="3"/>
  <c r="E400" i="3"/>
  <c r="O400" i="3" s="1"/>
  <c r="D400" i="3"/>
  <c r="U399" i="3"/>
  <c r="T399" i="3"/>
  <c r="S399" i="3"/>
  <c r="O399" i="3"/>
  <c r="D399" i="3"/>
  <c r="U398" i="3"/>
  <c r="T398" i="3"/>
  <c r="S398" i="3"/>
  <c r="F398" i="3"/>
  <c r="E398" i="3"/>
  <c r="O398" i="3" s="1"/>
  <c r="D398" i="3"/>
  <c r="U397" i="3"/>
  <c r="T397" i="3"/>
  <c r="S397" i="3"/>
  <c r="E397" i="3"/>
  <c r="O397" i="3" s="1"/>
  <c r="D397" i="3"/>
  <c r="U396" i="3"/>
  <c r="S396" i="3"/>
  <c r="T396" i="3" s="1"/>
  <c r="R396" i="3"/>
  <c r="E396" i="3"/>
  <c r="O396" i="3" s="1"/>
  <c r="D396" i="3"/>
  <c r="U395" i="3"/>
  <c r="T395" i="3"/>
  <c r="S395" i="3"/>
  <c r="E395" i="3"/>
  <c r="O395" i="3" s="1"/>
  <c r="D395" i="3"/>
  <c r="U394" i="3"/>
  <c r="S394" i="3"/>
  <c r="T394" i="3" s="1"/>
  <c r="O394" i="3"/>
  <c r="D394" i="3"/>
  <c r="U393" i="3"/>
  <c r="T393" i="3"/>
  <c r="S393" i="3"/>
  <c r="F393" i="3"/>
  <c r="E393" i="3"/>
  <c r="O393" i="3" s="1"/>
  <c r="D393" i="3"/>
  <c r="U392" i="3"/>
  <c r="S392" i="3"/>
  <c r="T392" i="3" s="1"/>
  <c r="F392" i="3"/>
  <c r="E392" i="3"/>
  <c r="O392" i="3" s="1"/>
  <c r="D392" i="3"/>
  <c r="U391" i="3"/>
  <c r="S391" i="3"/>
  <c r="T391" i="3" s="1"/>
  <c r="O391" i="3"/>
  <c r="D391" i="3"/>
  <c r="U390" i="3"/>
  <c r="T390" i="3"/>
  <c r="S390" i="3"/>
  <c r="F390" i="3"/>
  <c r="E390" i="3"/>
  <c r="O390" i="3" s="1"/>
  <c r="D390" i="3"/>
  <c r="U389" i="3"/>
  <c r="S389" i="3"/>
  <c r="T389" i="3" s="1"/>
  <c r="F389" i="3"/>
  <c r="E389" i="3"/>
  <c r="O389" i="3" s="1"/>
  <c r="D389" i="3"/>
  <c r="U388" i="3"/>
  <c r="T388" i="3"/>
  <c r="S388" i="3"/>
  <c r="O388" i="3"/>
  <c r="D388" i="3"/>
  <c r="U387" i="3"/>
  <c r="S387" i="3"/>
  <c r="T387" i="3" s="1"/>
  <c r="O387" i="3"/>
  <c r="D387" i="3"/>
  <c r="U386" i="3"/>
  <c r="V386" i="3" s="1"/>
  <c r="S386" i="3"/>
  <c r="T386" i="3" s="1"/>
  <c r="R386" i="3"/>
  <c r="F386" i="3"/>
  <c r="E386" i="3"/>
  <c r="O386" i="3" s="1"/>
  <c r="D386" i="3"/>
  <c r="U385" i="3"/>
  <c r="T385" i="3"/>
  <c r="S385" i="3"/>
  <c r="F385" i="3"/>
  <c r="E385" i="3"/>
  <c r="O385" i="3" s="1"/>
  <c r="D385" i="3"/>
  <c r="U384" i="3"/>
  <c r="T384" i="3"/>
  <c r="S384" i="3"/>
  <c r="F384" i="3"/>
  <c r="E384" i="3"/>
  <c r="O384" i="3" s="1"/>
  <c r="D384" i="3"/>
  <c r="V383" i="3"/>
  <c r="U383" i="3"/>
  <c r="T383" i="3"/>
  <c r="S383" i="3"/>
  <c r="R383" i="3"/>
  <c r="F383" i="3"/>
  <c r="E383" i="3"/>
  <c r="O383" i="3" s="1"/>
  <c r="D383" i="3"/>
  <c r="U382" i="3"/>
  <c r="S382" i="3"/>
  <c r="T382" i="3" s="1"/>
  <c r="E382" i="3"/>
  <c r="O382" i="3" s="1"/>
  <c r="D382" i="3"/>
  <c r="U381" i="3"/>
  <c r="T381" i="3"/>
  <c r="S381" i="3"/>
  <c r="F381" i="3"/>
  <c r="E381" i="3"/>
  <c r="O381" i="3" s="1"/>
  <c r="D381" i="3"/>
  <c r="U380" i="3"/>
  <c r="T380" i="3"/>
  <c r="S380" i="3"/>
  <c r="O380" i="3"/>
  <c r="D380" i="3"/>
  <c r="U379" i="3"/>
  <c r="T379" i="3"/>
  <c r="S379" i="3"/>
  <c r="E379" i="3"/>
  <c r="O379" i="3" s="1"/>
  <c r="D379" i="3"/>
  <c r="U378" i="3"/>
  <c r="T378" i="3"/>
  <c r="S378" i="3"/>
  <c r="O378" i="3"/>
  <c r="D378" i="3"/>
  <c r="U377" i="3"/>
  <c r="T377" i="3"/>
  <c r="S377" i="3"/>
  <c r="O377" i="3"/>
  <c r="D377" i="3"/>
  <c r="U376" i="3"/>
  <c r="T376" i="3"/>
  <c r="S376" i="3"/>
  <c r="F376" i="3"/>
  <c r="E376" i="3"/>
  <c r="O376" i="3" s="1"/>
  <c r="D376" i="3"/>
  <c r="U375" i="3"/>
  <c r="T375" i="3"/>
  <c r="S375" i="3"/>
  <c r="R375" i="3"/>
  <c r="F375" i="3"/>
  <c r="E375" i="3"/>
  <c r="O375" i="3" s="1"/>
  <c r="D375" i="3"/>
  <c r="U374" i="3"/>
  <c r="T374" i="3"/>
  <c r="S374" i="3"/>
  <c r="O374" i="3"/>
  <c r="D374" i="3"/>
  <c r="U373" i="3"/>
  <c r="T373" i="3"/>
  <c r="S373" i="3"/>
  <c r="F373" i="3"/>
  <c r="E373" i="3"/>
  <c r="O373" i="3" s="1"/>
  <c r="D373" i="3"/>
  <c r="U372" i="3"/>
  <c r="V372" i="3" s="1"/>
  <c r="T372" i="3"/>
  <c r="S372" i="3"/>
  <c r="R372" i="3"/>
  <c r="F372" i="3"/>
  <c r="E372" i="3"/>
  <c r="O372" i="3" s="1"/>
  <c r="D372" i="3"/>
  <c r="U371" i="3"/>
  <c r="T371" i="3"/>
  <c r="S371" i="3"/>
  <c r="E371" i="3"/>
  <c r="O371" i="3" s="1"/>
  <c r="D371" i="3"/>
  <c r="U370" i="3"/>
  <c r="S370" i="3"/>
  <c r="T370" i="3" s="1"/>
  <c r="O370" i="3"/>
  <c r="D370" i="3"/>
  <c r="U369" i="3"/>
  <c r="S369" i="3"/>
  <c r="T369" i="3" s="1"/>
  <c r="E369" i="3"/>
  <c r="O369" i="3" s="1"/>
  <c r="D369" i="3"/>
  <c r="U368" i="3"/>
  <c r="S368" i="3"/>
  <c r="T368" i="3" s="1"/>
  <c r="F368" i="3"/>
  <c r="E368" i="3"/>
  <c r="O368" i="3" s="1"/>
  <c r="D368" i="3"/>
  <c r="V367" i="3"/>
  <c r="U367" i="3"/>
  <c r="S367" i="3"/>
  <c r="T367" i="3" s="1"/>
  <c r="R367" i="3"/>
  <c r="F367" i="3"/>
  <c r="E367" i="3"/>
  <c r="O367" i="3" s="1"/>
  <c r="D367" i="3"/>
  <c r="U366" i="3"/>
  <c r="S366" i="3"/>
  <c r="T366" i="3" s="1"/>
  <c r="F366" i="3"/>
  <c r="E366" i="3"/>
  <c r="O366" i="3" s="1"/>
  <c r="D366" i="3"/>
  <c r="U365" i="3"/>
  <c r="T365" i="3"/>
  <c r="S365" i="3"/>
  <c r="O365" i="3"/>
  <c r="D365" i="3"/>
  <c r="U364" i="3"/>
  <c r="S364" i="3"/>
  <c r="T364" i="3" s="1"/>
  <c r="R364" i="3"/>
  <c r="F364" i="3"/>
  <c r="E364" i="3"/>
  <c r="O364" i="3" s="1"/>
  <c r="D364" i="3"/>
  <c r="U363" i="3"/>
  <c r="S363" i="3"/>
  <c r="T363" i="3" s="1"/>
  <c r="O363" i="3"/>
  <c r="D363" i="3"/>
  <c r="U362" i="3"/>
  <c r="S362" i="3"/>
  <c r="T362" i="3" s="1"/>
  <c r="R362" i="3"/>
  <c r="O362" i="3"/>
  <c r="D362" i="3"/>
  <c r="V361" i="3"/>
  <c r="U361" i="3"/>
  <c r="S361" i="3"/>
  <c r="T361" i="3" s="1"/>
  <c r="R361" i="3"/>
  <c r="F361" i="3"/>
  <c r="E361" i="3"/>
  <c r="O361" i="3" s="1"/>
  <c r="D361" i="3"/>
  <c r="U360" i="3"/>
  <c r="S360" i="3"/>
  <c r="T360" i="3" s="1"/>
  <c r="O360" i="3"/>
  <c r="D360" i="3"/>
  <c r="U359" i="3"/>
  <c r="S359" i="3"/>
  <c r="T359" i="3" s="1"/>
  <c r="F359" i="3"/>
  <c r="E359" i="3"/>
  <c r="O359" i="3" s="1"/>
  <c r="D359" i="3"/>
  <c r="U358" i="3"/>
  <c r="S358" i="3"/>
  <c r="T358" i="3" s="1"/>
  <c r="O358" i="3"/>
  <c r="D358" i="3"/>
  <c r="U357" i="3"/>
  <c r="T357" i="3"/>
  <c r="S357" i="3"/>
  <c r="F357" i="3"/>
  <c r="E357" i="3"/>
  <c r="O357" i="3" s="1"/>
  <c r="D357" i="3"/>
  <c r="U356" i="3"/>
  <c r="S356" i="3"/>
  <c r="T356" i="3" s="1"/>
  <c r="F356" i="3"/>
  <c r="E356" i="3"/>
  <c r="O356" i="3" s="1"/>
  <c r="D356" i="3"/>
  <c r="V355" i="3"/>
  <c r="U355" i="3"/>
  <c r="S355" i="3"/>
  <c r="T355" i="3" s="1"/>
  <c r="R355" i="3"/>
  <c r="F355" i="3"/>
  <c r="E355" i="3"/>
  <c r="O355" i="3" s="1"/>
  <c r="D355" i="3"/>
  <c r="U354" i="3"/>
  <c r="S354" i="3"/>
  <c r="T354" i="3" s="1"/>
  <c r="O354" i="3"/>
  <c r="D354" i="3"/>
  <c r="U353" i="3"/>
  <c r="S353" i="3"/>
  <c r="T353" i="3" s="1"/>
  <c r="F353" i="3"/>
  <c r="E353" i="3"/>
  <c r="O353" i="3" s="1"/>
  <c r="D353" i="3"/>
  <c r="U352" i="3"/>
  <c r="S352" i="3"/>
  <c r="T352" i="3" s="1"/>
  <c r="F352" i="3"/>
  <c r="E352" i="3"/>
  <c r="O352" i="3" s="1"/>
  <c r="D352" i="3"/>
  <c r="U351" i="3"/>
  <c r="T351" i="3"/>
  <c r="S351" i="3"/>
  <c r="F351" i="3"/>
  <c r="E351" i="3"/>
  <c r="O351" i="3" s="1"/>
  <c r="D351" i="3"/>
  <c r="U350" i="3"/>
  <c r="V350" i="3" s="1"/>
  <c r="T350" i="3"/>
  <c r="S350" i="3"/>
  <c r="R350" i="3"/>
  <c r="F350" i="3"/>
  <c r="E350" i="3"/>
  <c r="O350" i="3" s="1"/>
  <c r="D350" i="3"/>
  <c r="U349" i="3"/>
  <c r="T349" i="3"/>
  <c r="S349" i="3"/>
  <c r="O349" i="3"/>
  <c r="D349" i="3"/>
  <c r="U348" i="3"/>
  <c r="S348" i="3"/>
  <c r="T348" i="3" s="1"/>
  <c r="R348" i="3"/>
  <c r="F348" i="3"/>
  <c r="E348" i="3"/>
  <c r="O348" i="3" s="1"/>
  <c r="D348" i="3"/>
  <c r="U347" i="3"/>
  <c r="S347" i="3"/>
  <c r="T347" i="3" s="1"/>
  <c r="F347" i="3"/>
  <c r="E347" i="3"/>
  <c r="O347" i="3" s="1"/>
  <c r="D347" i="3"/>
  <c r="U346" i="3"/>
  <c r="T346" i="3"/>
  <c r="S346" i="3"/>
  <c r="O346" i="3"/>
  <c r="D346" i="3"/>
  <c r="U345" i="3"/>
  <c r="S345" i="3"/>
  <c r="T345" i="3" s="1"/>
  <c r="E345" i="3"/>
  <c r="O345" i="3" s="1"/>
  <c r="D345" i="3"/>
  <c r="U344" i="3"/>
  <c r="V344" i="3" s="1"/>
  <c r="T344" i="3"/>
  <c r="S344" i="3"/>
  <c r="R344" i="3"/>
  <c r="E344" i="3"/>
  <c r="O344" i="3" s="1"/>
  <c r="D344" i="3"/>
  <c r="U343" i="3"/>
  <c r="T343" i="3"/>
  <c r="S343" i="3"/>
  <c r="O343" i="3"/>
  <c r="D343" i="3"/>
  <c r="U342" i="3"/>
  <c r="T342" i="3"/>
  <c r="S342" i="3"/>
  <c r="E342" i="3"/>
  <c r="O342" i="3" s="1"/>
  <c r="D342" i="3"/>
  <c r="U341" i="3"/>
  <c r="S341" i="3"/>
  <c r="T341" i="3" s="1"/>
  <c r="O341" i="3"/>
  <c r="D341" i="3"/>
  <c r="U340" i="3"/>
  <c r="V340" i="3" s="1"/>
  <c r="T340" i="3"/>
  <c r="S340" i="3"/>
  <c r="R340" i="3"/>
  <c r="E340" i="3"/>
  <c r="O340" i="3" s="1"/>
  <c r="D340" i="3"/>
  <c r="U339" i="3"/>
  <c r="S339" i="3"/>
  <c r="T339" i="3" s="1"/>
  <c r="O339" i="3"/>
  <c r="D339" i="3"/>
  <c r="U338" i="3"/>
  <c r="T338" i="3"/>
  <c r="S338" i="3"/>
  <c r="E338" i="3"/>
  <c r="O338" i="3" s="1"/>
  <c r="D338" i="3"/>
  <c r="U337" i="3"/>
  <c r="V337" i="3" s="1"/>
  <c r="T337" i="3"/>
  <c r="S337" i="3"/>
  <c r="R337" i="3"/>
  <c r="E337" i="3"/>
  <c r="O337" i="3" s="1"/>
  <c r="D337" i="3"/>
  <c r="U336" i="3"/>
  <c r="S336" i="3"/>
  <c r="T336" i="3" s="1"/>
  <c r="F336" i="3"/>
  <c r="E336" i="3"/>
  <c r="O336" i="3" s="1"/>
  <c r="D336" i="3"/>
  <c r="U335" i="3"/>
  <c r="S335" i="3"/>
  <c r="T335" i="3" s="1"/>
  <c r="O335" i="3"/>
  <c r="D335" i="3"/>
  <c r="U334" i="3"/>
  <c r="S334" i="3"/>
  <c r="T334" i="3" s="1"/>
  <c r="F334" i="3"/>
  <c r="E334" i="3"/>
  <c r="O334" i="3" s="1"/>
  <c r="D334" i="3"/>
  <c r="U333" i="3"/>
  <c r="S333" i="3"/>
  <c r="T333" i="3" s="1"/>
  <c r="O333" i="3"/>
  <c r="D333" i="3"/>
  <c r="U332" i="3"/>
  <c r="S332" i="3"/>
  <c r="T332" i="3" s="1"/>
  <c r="O332" i="3"/>
  <c r="D332" i="3"/>
  <c r="U331" i="3"/>
  <c r="T331" i="3"/>
  <c r="S331" i="3"/>
  <c r="F331" i="3"/>
  <c r="E331" i="3"/>
  <c r="O331" i="3" s="1"/>
  <c r="D331" i="3"/>
  <c r="U330" i="3"/>
  <c r="S330" i="3"/>
  <c r="T330" i="3" s="1"/>
  <c r="R330" i="3"/>
  <c r="E330" i="3"/>
  <c r="O330" i="3" s="1"/>
  <c r="D330" i="3"/>
  <c r="U329" i="3"/>
  <c r="S329" i="3"/>
  <c r="T329" i="3" s="1"/>
  <c r="O329" i="3"/>
  <c r="D329" i="3"/>
  <c r="U328" i="3"/>
  <c r="T328" i="3"/>
  <c r="S328" i="3"/>
  <c r="R328" i="3"/>
  <c r="F328" i="3"/>
  <c r="E328" i="3"/>
  <c r="O328" i="3" s="1"/>
  <c r="D328" i="3"/>
  <c r="U327" i="3"/>
  <c r="V327" i="3" s="1"/>
  <c r="T327" i="3"/>
  <c r="S327" i="3"/>
  <c r="R327" i="3"/>
  <c r="O327" i="3"/>
  <c r="D327" i="3"/>
  <c r="U326" i="3"/>
  <c r="S326" i="3"/>
  <c r="T326" i="3" s="1"/>
  <c r="E326" i="3"/>
  <c r="O326" i="3" s="1"/>
  <c r="D326" i="3"/>
  <c r="U325" i="3"/>
  <c r="T325" i="3"/>
  <c r="S325" i="3"/>
  <c r="F325" i="3"/>
  <c r="E325" i="3"/>
  <c r="O325" i="3" s="1"/>
  <c r="D325" i="3"/>
  <c r="U324" i="3"/>
  <c r="T324" i="3"/>
  <c r="S324" i="3"/>
  <c r="O324" i="3"/>
  <c r="D324" i="3"/>
  <c r="U323" i="3"/>
  <c r="T323" i="3"/>
  <c r="S323" i="3"/>
  <c r="O323" i="3"/>
  <c r="D323" i="3"/>
  <c r="U322" i="3"/>
  <c r="T322" i="3"/>
  <c r="S322" i="3"/>
  <c r="E322" i="3"/>
  <c r="O322" i="3" s="1"/>
  <c r="D322" i="3"/>
  <c r="U321" i="3"/>
  <c r="T321" i="3"/>
  <c r="S321" i="3"/>
  <c r="O321" i="3"/>
  <c r="D321" i="3"/>
  <c r="U320" i="3"/>
  <c r="T320" i="3"/>
  <c r="S320" i="3"/>
  <c r="F320" i="3"/>
  <c r="E320" i="3"/>
  <c r="O320" i="3" s="1"/>
  <c r="D320" i="3"/>
  <c r="U319" i="3"/>
  <c r="V319" i="3" s="1"/>
  <c r="T319" i="3"/>
  <c r="S319" i="3"/>
  <c r="R319" i="3"/>
  <c r="F319" i="3"/>
  <c r="E319" i="3"/>
  <c r="O319" i="3" s="1"/>
  <c r="D319" i="3"/>
  <c r="V318" i="3"/>
  <c r="U318" i="3"/>
  <c r="T318" i="3"/>
  <c r="S318" i="3"/>
  <c r="R318" i="3"/>
  <c r="F318" i="3"/>
  <c r="E318" i="3"/>
  <c r="O318" i="3" s="1"/>
  <c r="D318" i="3"/>
  <c r="U317" i="3"/>
  <c r="T317" i="3"/>
  <c r="S317" i="3"/>
  <c r="F317" i="3"/>
  <c r="E317" i="3"/>
  <c r="O317" i="3" s="1"/>
  <c r="D317" i="3"/>
  <c r="V316" i="3"/>
  <c r="U316" i="3"/>
  <c r="T316" i="3"/>
  <c r="S316" i="3"/>
  <c r="R316" i="3"/>
  <c r="F316" i="3"/>
  <c r="E316" i="3"/>
  <c r="O316" i="3" s="1"/>
  <c r="D316" i="3"/>
  <c r="U315" i="3"/>
  <c r="T315" i="3"/>
  <c r="S315" i="3"/>
  <c r="F315" i="3"/>
  <c r="E315" i="3"/>
  <c r="O315" i="3" s="1"/>
  <c r="D315" i="3"/>
  <c r="U314" i="3"/>
  <c r="T314" i="3"/>
  <c r="S314" i="3"/>
  <c r="F314" i="3"/>
  <c r="E314" i="3"/>
  <c r="O314" i="3" s="1"/>
  <c r="D314" i="3"/>
  <c r="U313" i="3"/>
  <c r="T313" i="3"/>
  <c r="S313" i="3"/>
  <c r="E313" i="3"/>
  <c r="O313" i="3" s="1"/>
  <c r="D313" i="3"/>
  <c r="U312" i="3"/>
  <c r="T312" i="3"/>
  <c r="S312" i="3"/>
  <c r="O312" i="3"/>
  <c r="D312" i="3"/>
  <c r="U311" i="3"/>
  <c r="S311" i="3"/>
  <c r="T311" i="3" s="1"/>
  <c r="E311" i="3"/>
  <c r="O311" i="3" s="1"/>
  <c r="D311" i="3"/>
  <c r="U310" i="3"/>
  <c r="T310" i="3"/>
  <c r="S310" i="3"/>
  <c r="R310" i="3"/>
  <c r="E310" i="3"/>
  <c r="O310" i="3" s="1"/>
  <c r="D310" i="3"/>
  <c r="U309" i="3"/>
  <c r="T309" i="3"/>
  <c r="S309" i="3"/>
  <c r="O309" i="3"/>
  <c r="D309" i="3"/>
  <c r="U308" i="3"/>
  <c r="S308" i="3"/>
  <c r="T308" i="3" s="1"/>
  <c r="O308" i="3"/>
  <c r="D308" i="3"/>
  <c r="U307" i="3"/>
  <c r="T307" i="3"/>
  <c r="S307" i="3"/>
  <c r="E307" i="3"/>
  <c r="O307" i="3" s="1"/>
  <c r="D307" i="3"/>
  <c r="U306" i="3"/>
  <c r="T306" i="3"/>
  <c r="S306" i="3"/>
  <c r="O306" i="3"/>
  <c r="D306" i="3"/>
  <c r="U305" i="3"/>
  <c r="S305" i="3"/>
  <c r="T305" i="3" s="1"/>
  <c r="O305" i="3"/>
  <c r="D305" i="3"/>
  <c r="U304" i="3"/>
  <c r="T304" i="3"/>
  <c r="S304" i="3"/>
  <c r="E304" i="3"/>
  <c r="O304" i="3" s="1"/>
  <c r="D304" i="3"/>
  <c r="U303" i="3"/>
  <c r="T303" i="3"/>
  <c r="S303" i="3"/>
  <c r="E303" i="3"/>
  <c r="O303" i="3" s="1"/>
  <c r="D303" i="3"/>
  <c r="U302" i="3"/>
  <c r="T302" i="3"/>
  <c r="S302" i="3"/>
  <c r="E302" i="3"/>
  <c r="O302" i="3" s="1"/>
  <c r="D302" i="3"/>
  <c r="U301" i="3"/>
  <c r="T301" i="3"/>
  <c r="S301" i="3"/>
  <c r="O301" i="3"/>
  <c r="D301" i="3"/>
  <c r="U300" i="3"/>
  <c r="T300" i="3"/>
  <c r="S300" i="3"/>
  <c r="O300" i="3"/>
  <c r="D300" i="3"/>
  <c r="U299" i="3"/>
  <c r="T299" i="3"/>
  <c r="S299" i="3"/>
  <c r="E299" i="3"/>
  <c r="O299" i="3" s="1"/>
  <c r="D299" i="3"/>
  <c r="U298" i="3"/>
  <c r="T298" i="3"/>
  <c r="S298" i="3"/>
  <c r="F298" i="3"/>
  <c r="E298" i="3"/>
  <c r="O298" i="3" s="1"/>
  <c r="D298" i="3"/>
  <c r="U297" i="3"/>
  <c r="S297" i="3"/>
  <c r="T297" i="3" s="1"/>
  <c r="F297" i="3"/>
  <c r="E297" i="3"/>
  <c r="O297" i="3" s="1"/>
  <c r="D297" i="3"/>
  <c r="U296" i="3"/>
  <c r="T296" i="3"/>
  <c r="S296" i="3"/>
  <c r="F296" i="3"/>
  <c r="E296" i="3"/>
  <c r="O296" i="3" s="1"/>
  <c r="D296" i="3"/>
  <c r="U295" i="3"/>
  <c r="T295" i="3"/>
  <c r="S295" i="3"/>
  <c r="F295" i="3"/>
  <c r="E295" i="3"/>
  <c r="O295" i="3" s="1"/>
  <c r="D295" i="3"/>
  <c r="U294" i="3"/>
  <c r="T294" i="3"/>
  <c r="S294" i="3"/>
  <c r="F294" i="3"/>
  <c r="E294" i="3"/>
  <c r="O294" i="3" s="1"/>
  <c r="D294" i="3"/>
  <c r="U293" i="3"/>
  <c r="S293" i="3"/>
  <c r="T293" i="3" s="1"/>
  <c r="F293" i="3"/>
  <c r="E293" i="3"/>
  <c r="O293" i="3" s="1"/>
  <c r="D293" i="3"/>
  <c r="U292" i="3"/>
  <c r="T292" i="3"/>
  <c r="S292" i="3"/>
  <c r="F292" i="3"/>
  <c r="E292" i="3"/>
  <c r="O292" i="3" s="1"/>
  <c r="D292" i="3"/>
  <c r="U291" i="3"/>
  <c r="S291" i="3"/>
  <c r="T291" i="3" s="1"/>
  <c r="F291" i="3"/>
  <c r="E291" i="3"/>
  <c r="O291" i="3" s="1"/>
  <c r="D291" i="3"/>
  <c r="U290" i="3"/>
  <c r="V290" i="3" s="1"/>
  <c r="T290" i="3"/>
  <c r="S290" i="3"/>
  <c r="R290" i="3"/>
  <c r="F290" i="3"/>
  <c r="E290" i="3"/>
  <c r="O290" i="3" s="1"/>
  <c r="D290" i="3"/>
  <c r="U289" i="3"/>
  <c r="V289" i="3" s="1"/>
  <c r="T289" i="3"/>
  <c r="S289" i="3"/>
  <c r="R289" i="3"/>
  <c r="F289" i="3"/>
  <c r="E289" i="3"/>
  <c r="O289" i="3" s="1"/>
  <c r="D289" i="3"/>
  <c r="U288" i="3"/>
  <c r="T288" i="3"/>
  <c r="S288" i="3"/>
  <c r="O288" i="3"/>
  <c r="D288" i="3"/>
  <c r="U287" i="3"/>
  <c r="S287" i="3"/>
  <c r="T287" i="3" s="1"/>
  <c r="O287" i="3"/>
  <c r="D287" i="3"/>
  <c r="U286" i="3"/>
  <c r="T286" i="3"/>
  <c r="S286" i="3"/>
  <c r="E286" i="3"/>
  <c r="O286" i="3" s="1"/>
  <c r="D286" i="3"/>
  <c r="U285" i="3"/>
  <c r="T285" i="3"/>
  <c r="S285" i="3"/>
  <c r="O285" i="3"/>
  <c r="D285" i="3"/>
  <c r="V284" i="3"/>
  <c r="U284" i="3"/>
  <c r="S284" i="3"/>
  <c r="T284" i="3" s="1"/>
  <c r="R284" i="3"/>
  <c r="E284" i="3"/>
  <c r="O284" i="3" s="1"/>
  <c r="D284" i="3"/>
  <c r="U283" i="3"/>
  <c r="S283" i="3"/>
  <c r="T283" i="3" s="1"/>
  <c r="O283" i="3"/>
  <c r="D283" i="3"/>
  <c r="U282" i="3"/>
  <c r="V282" i="3" s="1"/>
  <c r="T282" i="3"/>
  <c r="S282" i="3"/>
  <c r="R282" i="3"/>
  <c r="F282" i="3"/>
  <c r="E282" i="3"/>
  <c r="O282" i="3" s="1"/>
  <c r="D282" i="3"/>
  <c r="U281" i="3"/>
  <c r="T281" i="3"/>
  <c r="S281" i="3"/>
  <c r="E281" i="3"/>
  <c r="O281" i="3" s="1"/>
  <c r="D281" i="3"/>
  <c r="U280" i="3"/>
  <c r="S280" i="3"/>
  <c r="T280" i="3" s="1"/>
  <c r="R280" i="3"/>
  <c r="E280" i="3"/>
  <c r="O280" i="3" s="1"/>
  <c r="D280" i="3"/>
  <c r="U279" i="3"/>
  <c r="T279" i="3"/>
  <c r="S279" i="3"/>
  <c r="O279" i="3"/>
  <c r="D279" i="3"/>
  <c r="U278" i="3"/>
  <c r="S278" i="3"/>
  <c r="T278" i="3" s="1"/>
  <c r="E278" i="3"/>
  <c r="O278" i="3" s="1"/>
  <c r="D278" i="3"/>
  <c r="U277" i="3"/>
  <c r="T277" i="3"/>
  <c r="S277" i="3"/>
  <c r="O277" i="3"/>
  <c r="D277" i="3"/>
  <c r="U276" i="3"/>
  <c r="T276" i="3"/>
  <c r="S276" i="3"/>
  <c r="O276" i="3"/>
  <c r="D276" i="3"/>
  <c r="U275" i="3"/>
  <c r="S275" i="3"/>
  <c r="T275" i="3" s="1"/>
  <c r="O275" i="3"/>
  <c r="D275" i="3"/>
  <c r="U274" i="3"/>
  <c r="T274" i="3"/>
  <c r="S274" i="3"/>
  <c r="F274" i="3"/>
  <c r="E274" i="3"/>
  <c r="O274" i="3" s="1"/>
  <c r="D274" i="3"/>
  <c r="V273" i="3"/>
  <c r="U273" i="3"/>
  <c r="T273" i="3"/>
  <c r="S273" i="3"/>
  <c r="R273" i="3"/>
  <c r="F273" i="3"/>
  <c r="E273" i="3"/>
  <c r="O273" i="3" s="1"/>
  <c r="D273" i="3"/>
  <c r="U272" i="3"/>
  <c r="V272" i="3" s="1"/>
  <c r="T272" i="3"/>
  <c r="S272" i="3"/>
  <c r="R272" i="3"/>
  <c r="F272" i="3"/>
  <c r="E272" i="3"/>
  <c r="O272" i="3" s="1"/>
  <c r="D272" i="3"/>
  <c r="U271" i="3"/>
  <c r="T271" i="3"/>
  <c r="S271" i="3"/>
  <c r="O271" i="3"/>
  <c r="D271" i="3"/>
  <c r="U270" i="3"/>
  <c r="T270" i="3"/>
  <c r="S270" i="3"/>
  <c r="O270" i="3"/>
  <c r="D270" i="3"/>
  <c r="U269" i="3"/>
  <c r="S269" i="3"/>
  <c r="T269" i="3" s="1"/>
  <c r="O269" i="3"/>
  <c r="D269" i="3"/>
  <c r="U268" i="3"/>
  <c r="T268" i="3"/>
  <c r="S268" i="3"/>
  <c r="E268" i="3"/>
  <c r="O268" i="3" s="1"/>
  <c r="D268" i="3"/>
  <c r="U267" i="3"/>
  <c r="T267" i="3"/>
  <c r="S267" i="3"/>
  <c r="F267" i="3"/>
  <c r="E267" i="3"/>
  <c r="O267" i="3" s="1"/>
  <c r="D267" i="3"/>
  <c r="U266" i="3"/>
  <c r="S266" i="3"/>
  <c r="T266" i="3" s="1"/>
  <c r="E266" i="3"/>
  <c r="O266" i="3" s="1"/>
  <c r="D266" i="3"/>
  <c r="U265" i="3"/>
  <c r="S265" i="3"/>
  <c r="T265" i="3" s="1"/>
  <c r="O265" i="3"/>
  <c r="D265" i="3"/>
  <c r="U264" i="3"/>
  <c r="T264" i="3"/>
  <c r="S264" i="3"/>
  <c r="O264" i="3"/>
  <c r="D264" i="3"/>
  <c r="U263" i="3"/>
  <c r="S263" i="3"/>
  <c r="T263" i="3" s="1"/>
  <c r="F263" i="3"/>
  <c r="E263" i="3"/>
  <c r="O263" i="3" s="1"/>
  <c r="D263" i="3"/>
  <c r="U262" i="3"/>
  <c r="V262" i="3" s="1"/>
  <c r="T262" i="3"/>
  <c r="S262" i="3"/>
  <c r="R262" i="3"/>
  <c r="F262" i="3"/>
  <c r="E262" i="3"/>
  <c r="O262" i="3" s="1"/>
  <c r="D262" i="3"/>
  <c r="U261" i="3"/>
  <c r="T261" i="3"/>
  <c r="S261" i="3"/>
  <c r="O261" i="3"/>
  <c r="D261" i="3"/>
  <c r="U260" i="3"/>
  <c r="T260" i="3"/>
  <c r="S260" i="3"/>
  <c r="E260" i="3"/>
  <c r="O260" i="3" s="1"/>
  <c r="D260" i="3"/>
  <c r="U259" i="3"/>
  <c r="T259" i="3"/>
  <c r="S259" i="3"/>
  <c r="O259" i="3"/>
  <c r="D259" i="3"/>
  <c r="U258" i="3"/>
  <c r="T258" i="3"/>
  <c r="S258" i="3"/>
  <c r="O258" i="3"/>
  <c r="D258" i="3"/>
  <c r="U257" i="3"/>
  <c r="T257" i="3"/>
  <c r="S257" i="3"/>
  <c r="O257" i="3"/>
  <c r="D257" i="3"/>
  <c r="U256" i="3"/>
  <c r="S256" i="3"/>
  <c r="T256" i="3" s="1"/>
  <c r="O256" i="3"/>
  <c r="D256" i="3"/>
  <c r="U255" i="3"/>
  <c r="S255" i="3"/>
  <c r="T255" i="3" s="1"/>
  <c r="O255" i="3"/>
  <c r="D255" i="3"/>
  <c r="U254" i="3"/>
  <c r="T254" i="3"/>
  <c r="S254" i="3"/>
  <c r="F254" i="3"/>
  <c r="E254" i="3"/>
  <c r="O254" i="3" s="1"/>
  <c r="D254" i="3"/>
  <c r="U253" i="3"/>
  <c r="V253" i="3" s="1"/>
  <c r="T253" i="3"/>
  <c r="S253" i="3"/>
  <c r="R253" i="3"/>
  <c r="G253" i="3"/>
  <c r="F253" i="3"/>
  <c r="E253" i="3"/>
  <c r="O253" i="3" s="1"/>
  <c r="D253" i="3"/>
  <c r="U252" i="3"/>
  <c r="T252" i="3"/>
  <c r="S252" i="3"/>
  <c r="O252" i="3"/>
  <c r="D252" i="3"/>
  <c r="U251" i="3"/>
  <c r="S251" i="3"/>
  <c r="T251" i="3" s="1"/>
  <c r="F251" i="3"/>
  <c r="E251" i="3"/>
  <c r="O251" i="3" s="1"/>
  <c r="D251" i="3"/>
  <c r="U250" i="3"/>
  <c r="V250" i="3" s="1"/>
  <c r="S250" i="3"/>
  <c r="T250" i="3" s="1"/>
  <c r="R250" i="3"/>
  <c r="F250" i="3"/>
  <c r="E250" i="3"/>
  <c r="O250" i="3" s="1"/>
  <c r="D250" i="3"/>
  <c r="U249" i="3"/>
  <c r="S249" i="3"/>
  <c r="T249" i="3" s="1"/>
  <c r="O249" i="3"/>
  <c r="D249" i="3"/>
  <c r="U248" i="3"/>
  <c r="T248" i="3"/>
  <c r="S248" i="3"/>
  <c r="R248" i="3"/>
  <c r="G248" i="3"/>
  <c r="F248" i="3"/>
  <c r="E248" i="3"/>
  <c r="O248" i="3" s="1"/>
  <c r="D248" i="3"/>
  <c r="U247" i="3"/>
  <c r="T247" i="3"/>
  <c r="S247" i="3"/>
  <c r="E247" i="3"/>
  <c r="O247" i="3" s="1"/>
  <c r="D247" i="3"/>
  <c r="V246" i="3"/>
  <c r="U246" i="3"/>
  <c r="S246" i="3"/>
  <c r="T246" i="3" s="1"/>
  <c r="R246" i="3"/>
  <c r="E246" i="3"/>
  <c r="O246" i="3" s="1"/>
  <c r="D246" i="3"/>
  <c r="U245" i="3"/>
  <c r="S245" i="3"/>
  <c r="T245" i="3" s="1"/>
  <c r="O245" i="3"/>
  <c r="D245" i="3"/>
  <c r="U244" i="3"/>
  <c r="T244" i="3"/>
  <c r="S244" i="3"/>
  <c r="O244" i="3"/>
  <c r="D244" i="3"/>
  <c r="U243" i="3"/>
  <c r="T243" i="3"/>
  <c r="S243" i="3"/>
  <c r="F243" i="3"/>
  <c r="E243" i="3"/>
  <c r="O243" i="3" s="1"/>
  <c r="D243" i="3"/>
  <c r="U242" i="3"/>
  <c r="T242" i="3"/>
  <c r="S242" i="3"/>
  <c r="F242" i="3"/>
  <c r="E242" i="3"/>
  <c r="O242" i="3" s="1"/>
  <c r="D242" i="3"/>
  <c r="U241" i="3"/>
  <c r="S241" i="3"/>
  <c r="T241" i="3" s="1"/>
  <c r="F241" i="3"/>
  <c r="E241" i="3"/>
  <c r="O241" i="3" s="1"/>
  <c r="D241" i="3"/>
  <c r="U240" i="3"/>
  <c r="T240" i="3"/>
  <c r="S240" i="3"/>
  <c r="F240" i="3"/>
  <c r="E240" i="3"/>
  <c r="O240" i="3" s="1"/>
  <c r="D240" i="3"/>
  <c r="U239" i="3"/>
  <c r="T239" i="3"/>
  <c r="S239" i="3"/>
  <c r="F239" i="3"/>
  <c r="E239" i="3"/>
  <c r="O239" i="3" s="1"/>
  <c r="D239" i="3"/>
  <c r="U238" i="3"/>
  <c r="T238" i="3"/>
  <c r="S238" i="3"/>
  <c r="F238" i="3"/>
  <c r="E238" i="3"/>
  <c r="O238" i="3" s="1"/>
  <c r="D238" i="3"/>
  <c r="V237" i="3"/>
  <c r="U237" i="3"/>
  <c r="T237" i="3"/>
  <c r="S237" i="3"/>
  <c r="R237" i="3"/>
  <c r="F237" i="3"/>
  <c r="E237" i="3"/>
  <c r="O237" i="3" s="1"/>
  <c r="D237" i="3"/>
  <c r="U236" i="3"/>
  <c r="T236" i="3"/>
  <c r="S236" i="3"/>
  <c r="O236" i="3"/>
  <c r="D236" i="3"/>
  <c r="U235" i="3"/>
  <c r="T235" i="3"/>
  <c r="S235" i="3"/>
  <c r="E235" i="3"/>
  <c r="O235" i="3" s="1"/>
  <c r="D235" i="3"/>
  <c r="V234" i="3"/>
  <c r="U234" i="3"/>
  <c r="S234" i="3"/>
  <c r="T234" i="3" s="1"/>
  <c r="R234" i="3"/>
  <c r="E234" i="3"/>
  <c r="O234" i="3" s="1"/>
  <c r="D234" i="3"/>
  <c r="U233" i="3"/>
  <c r="S233" i="3"/>
  <c r="T233" i="3" s="1"/>
  <c r="O233" i="3"/>
  <c r="D233" i="3"/>
  <c r="U232" i="3"/>
  <c r="T232" i="3"/>
  <c r="S232" i="3"/>
  <c r="O232" i="3"/>
  <c r="D232" i="3"/>
  <c r="U231" i="3"/>
  <c r="V231" i="3" s="1"/>
  <c r="T231" i="3"/>
  <c r="S231" i="3"/>
  <c r="R231" i="3"/>
  <c r="E231" i="3"/>
  <c r="O231" i="3" s="1"/>
  <c r="D231" i="3"/>
  <c r="U230" i="3"/>
  <c r="T230" i="3"/>
  <c r="S230" i="3"/>
  <c r="O230" i="3"/>
  <c r="D230" i="3"/>
  <c r="U229" i="3"/>
  <c r="T229" i="3"/>
  <c r="S229" i="3"/>
  <c r="O229" i="3"/>
  <c r="D229" i="3"/>
  <c r="U228" i="3"/>
  <c r="S228" i="3"/>
  <c r="T228" i="3" s="1"/>
  <c r="E228" i="3"/>
  <c r="O228" i="3" s="1"/>
  <c r="D228" i="3"/>
  <c r="U227" i="3"/>
  <c r="S227" i="3"/>
  <c r="T227" i="3" s="1"/>
  <c r="R227" i="3"/>
  <c r="E227" i="3"/>
  <c r="O227" i="3" s="1"/>
  <c r="D227" i="3"/>
  <c r="U226" i="3"/>
  <c r="V226" i="3" s="1"/>
  <c r="T226" i="3"/>
  <c r="S226" i="3"/>
  <c r="R226" i="3"/>
  <c r="F226" i="3"/>
  <c r="E226" i="3"/>
  <c r="O226" i="3" s="1"/>
  <c r="D226" i="3"/>
  <c r="U225" i="3"/>
  <c r="T225" i="3"/>
  <c r="S225" i="3"/>
  <c r="O225" i="3"/>
  <c r="D225" i="3"/>
  <c r="U224" i="3"/>
  <c r="T224" i="3"/>
  <c r="S224" i="3"/>
  <c r="O224" i="3"/>
  <c r="D224" i="3"/>
  <c r="U223" i="3"/>
  <c r="S223" i="3"/>
  <c r="T223" i="3" s="1"/>
  <c r="O223" i="3"/>
  <c r="D223" i="3"/>
  <c r="U222" i="3"/>
  <c r="T222" i="3"/>
  <c r="S222" i="3"/>
  <c r="R222" i="3"/>
  <c r="O222" i="3"/>
  <c r="D222" i="3"/>
  <c r="U221" i="3"/>
  <c r="T221" i="3"/>
  <c r="S221" i="3"/>
  <c r="O221" i="3"/>
  <c r="D221" i="3"/>
  <c r="U220" i="3"/>
  <c r="S220" i="3"/>
  <c r="T220" i="3" s="1"/>
  <c r="R220" i="3"/>
  <c r="E220" i="3"/>
  <c r="O220" i="3" s="1"/>
  <c r="D220" i="3"/>
  <c r="U219" i="3"/>
  <c r="T219" i="3"/>
  <c r="S219" i="3"/>
  <c r="O219" i="3"/>
  <c r="D219" i="3"/>
  <c r="U218" i="3"/>
  <c r="S218" i="3"/>
  <c r="T218" i="3" s="1"/>
  <c r="O218" i="3"/>
  <c r="D218" i="3"/>
  <c r="U217" i="3"/>
  <c r="T217" i="3"/>
  <c r="S217" i="3"/>
  <c r="F217" i="3"/>
  <c r="E217" i="3"/>
  <c r="O217" i="3" s="1"/>
  <c r="D217" i="3"/>
  <c r="U216" i="3"/>
  <c r="S216" i="3"/>
  <c r="T216" i="3" s="1"/>
  <c r="R216" i="3"/>
  <c r="F216" i="3"/>
  <c r="E216" i="3"/>
  <c r="O216" i="3" s="1"/>
  <c r="D216" i="3"/>
  <c r="U215" i="3"/>
  <c r="S215" i="3"/>
  <c r="T215" i="3" s="1"/>
  <c r="E215" i="3"/>
  <c r="O215" i="3" s="1"/>
  <c r="D215" i="3"/>
  <c r="U214" i="3"/>
  <c r="S214" i="3"/>
  <c r="T214" i="3" s="1"/>
  <c r="O214" i="3"/>
  <c r="D214" i="3"/>
  <c r="U213" i="3"/>
  <c r="T213" i="3"/>
  <c r="S213" i="3"/>
  <c r="O213" i="3"/>
  <c r="D213" i="3"/>
  <c r="U212" i="3"/>
  <c r="S212" i="3"/>
  <c r="T212" i="3" s="1"/>
  <c r="F212" i="3"/>
  <c r="E212" i="3"/>
  <c r="O212" i="3" s="1"/>
  <c r="D212" i="3"/>
  <c r="V211" i="3"/>
  <c r="U211" i="3"/>
  <c r="S211" i="3"/>
  <c r="T211" i="3" s="1"/>
  <c r="R211" i="3"/>
  <c r="F211" i="3"/>
  <c r="E211" i="3"/>
  <c r="O211" i="3" s="1"/>
  <c r="D211" i="3"/>
  <c r="V210" i="3"/>
  <c r="U210" i="3"/>
  <c r="T210" i="3"/>
  <c r="S210" i="3"/>
  <c r="R210" i="3"/>
  <c r="F210" i="3"/>
  <c r="E210" i="3"/>
  <c r="O210" i="3" s="1"/>
  <c r="D210" i="3"/>
  <c r="U209" i="3"/>
  <c r="T209" i="3"/>
  <c r="S209" i="3"/>
  <c r="E209" i="3"/>
  <c r="O209" i="3" s="1"/>
  <c r="D209" i="3"/>
  <c r="U208" i="3"/>
  <c r="T208" i="3"/>
  <c r="S208" i="3"/>
  <c r="E208" i="3"/>
  <c r="O208" i="3" s="1"/>
  <c r="D208" i="3"/>
  <c r="U207" i="3"/>
  <c r="S207" i="3"/>
  <c r="T207" i="3" s="1"/>
  <c r="E207" i="3"/>
  <c r="O207" i="3" s="1"/>
  <c r="D207" i="3"/>
  <c r="U206" i="3"/>
  <c r="T206" i="3"/>
  <c r="S206" i="3"/>
  <c r="O206" i="3"/>
  <c r="D206" i="3"/>
  <c r="U205" i="3"/>
  <c r="S205" i="3"/>
  <c r="T205" i="3" s="1"/>
  <c r="O205" i="3"/>
  <c r="D205" i="3"/>
  <c r="U204" i="3"/>
  <c r="S204" i="3"/>
  <c r="T204" i="3" s="1"/>
  <c r="F204" i="3"/>
  <c r="E204" i="3"/>
  <c r="O204" i="3" s="1"/>
  <c r="D204" i="3"/>
  <c r="V203" i="3"/>
  <c r="U203" i="3"/>
  <c r="S203" i="3"/>
  <c r="T203" i="3" s="1"/>
  <c r="R203" i="3"/>
  <c r="F203" i="3"/>
  <c r="E203" i="3"/>
  <c r="O203" i="3" s="1"/>
  <c r="D203" i="3"/>
  <c r="U202" i="3"/>
  <c r="V202" i="3" s="1"/>
  <c r="T202" i="3"/>
  <c r="S202" i="3"/>
  <c r="R202" i="3"/>
  <c r="F202" i="3"/>
  <c r="E202" i="3"/>
  <c r="O202" i="3" s="1"/>
  <c r="D202" i="3"/>
  <c r="U201" i="3"/>
  <c r="T201" i="3"/>
  <c r="S201" i="3"/>
  <c r="O201" i="3"/>
  <c r="D201" i="3"/>
  <c r="U200" i="3"/>
  <c r="T200" i="3"/>
  <c r="S200" i="3"/>
  <c r="E200" i="3"/>
  <c r="O200" i="3" s="1"/>
  <c r="D200" i="3"/>
  <c r="U199" i="3"/>
  <c r="T199" i="3"/>
  <c r="S199" i="3"/>
  <c r="O199" i="3"/>
  <c r="D199" i="3"/>
  <c r="U198" i="3"/>
  <c r="T198" i="3"/>
  <c r="S198" i="3"/>
  <c r="E198" i="3"/>
  <c r="O198" i="3" s="1"/>
  <c r="D198" i="3"/>
  <c r="U197" i="3"/>
  <c r="S197" i="3"/>
  <c r="T197" i="3" s="1"/>
  <c r="E197" i="3"/>
  <c r="O197" i="3" s="1"/>
  <c r="D197" i="3"/>
  <c r="U196" i="3"/>
  <c r="T196" i="3"/>
  <c r="S196" i="3"/>
  <c r="O196" i="3"/>
  <c r="D196" i="3"/>
  <c r="U195" i="3"/>
  <c r="T195" i="3"/>
  <c r="S195" i="3"/>
  <c r="O195" i="3"/>
  <c r="D195" i="3"/>
  <c r="U194" i="3"/>
  <c r="S194" i="3"/>
  <c r="T194" i="3" s="1"/>
  <c r="E194" i="3"/>
  <c r="O194" i="3" s="1"/>
  <c r="D194" i="3"/>
  <c r="U193" i="3"/>
  <c r="T193" i="3"/>
  <c r="S193" i="3"/>
  <c r="R193" i="3"/>
  <c r="E193" i="3"/>
  <c r="O193" i="3" s="1"/>
  <c r="D193" i="3"/>
  <c r="U192" i="3"/>
  <c r="V192" i="3" s="1"/>
  <c r="T192" i="3"/>
  <c r="S192" i="3"/>
  <c r="R192" i="3"/>
  <c r="E192" i="3"/>
  <c r="O192" i="3" s="1"/>
  <c r="D192" i="3"/>
  <c r="U191" i="3"/>
  <c r="T191" i="3"/>
  <c r="S191" i="3"/>
  <c r="R191" i="3"/>
  <c r="E191" i="3"/>
  <c r="O191" i="3" s="1"/>
  <c r="D191" i="3"/>
  <c r="U190" i="3"/>
  <c r="S190" i="3"/>
  <c r="T190" i="3" s="1"/>
  <c r="F190" i="3"/>
  <c r="E190" i="3"/>
  <c r="O190" i="3" s="1"/>
  <c r="D190" i="3"/>
  <c r="U189" i="3"/>
  <c r="V189" i="3" s="1"/>
  <c r="S189" i="3"/>
  <c r="T189" i="3" s="1"/>
  <c r="R189" i="3"/>
  <c r="F189" i="3"/>
  <c r="E189" i="3"/>
  <c r="O189" i="3" s="1"/>
  <c r="D189" i="3"/>
  <c r="U188" i="3"/>
  <c r="S188" i="3"/>
  <c r="T188" i="3" s="1"/>
  <c r="O188" i="3"/>
  <c r="D188" i="3"/>
  <c r="U187" i="3"/>
  <c r="T187" i="3"/>
  <c r="S187" i="3"/>
  <c r="F187" i="3"/>
  <c r="E187" i="3"/>
  <c r="O187" i="3" s="1"/>
  <c r="D187" i="3"/>
  <c r="V186" i="3"/>
  <c r="U186" i="3"/>
  <c r="T186" i="3"/>
  <c r="S186" i="3"/>
  <c r="R186" i="3"/>
  <c r="F186" i="3"/>
  <c r="E186" i="3"/>
  <c r="O186" i="3" s="1"/>
  <c r="D186" i="3"/>
  <c r="U185" i="3"/>
  <c r="S185" i="3"/>
  <c r="T185" i="3" s="1"/>
  <c r="R185" i="3"/>
  <c r="O185" i="3"/>
  <c r="D185" i="3"/>
  <c r="U184" i="3"/>
  <c r="T184" i="3"/>
  <c r="S184" i="3"/>
  <c r="R184" i="3"/>
  <c r="O184" i="3"/>
  <c r="D184" i="3"/>
  <c r="U183" i="3"/>
  <c r="S183" i="3"/>
  <c r="T183" i="3" s="1"/>
  <c r="O183" i="3"/>
  <c r="D183" i="3"/>
  <c r="U182" i="3"/>
  <c r="T182" i="3"/>
  <c r="S182" i="3"/>
  <c r="E182" i="3"/>
  <c r="O182" i="3" s="1"/>
  <c r="D182" i="3"/>
  <c r="U181" i="3"/>
  <c r="S181" i="3"/>
  <c r="T181" i="3" s="1"/>
  <c r="F181" i="3"/>
  <c r="E181" i="3"/>
  <c r="O181" i="3" s="1"/>
  <c r="D181" i="3"/>
  <c r="U180" i="3"/>
  <c r="T180" i="3"/>
  <c r="S180" i="3"/>
  <c r="F180" i="3"/>
  <c r="E180" i="3"/>
  <c r="O180" i="3" s="1"/>
  <c r="D180" i="3"/>
  <c r="U179" i="3"/>
  <c r="T179" i="3"/>
  <c r="S179" i="3"/>
  <c r="F179" i="3"/>
  <c r="E179" i="3"/>
  <c r="O179" i="3" s="1"/>
  <c r="D179" i="3"/>
  <c r="U178" i="3"/>
  <c r="V178" i="3" s="1"/>
  <c r="T178" i="3"/>
  <c r="S178" i="3"/>
  <c r="R178" i="3"/>
  <c r="F178" i="3"/>
  <c r="E178" i="3"/>
  <c r="O178" i="3" s="1"/>
  <c r="D178" i="3"/>
  <c r="U177" i="3"/>
  <c r="T177" i="3"/>
  <c r="S177" i="3"/>
  <c r="O177" i="3"/>
  <c r="D177" i="3"/>
  <c r="U176" i="3"/>
  <c r="T176" i="3"/>
  <c r="S176" i="3"/>
  <c r="O176" i="3"/>
  <c r="D176" i="3"/>
  <c r="U175" i="3"/>
  <c r="S175" i="3"/>
  <c r="T175" i="3" s="1"/>
  <c r="F175" i="3"/>
  <c r="E175" i="3"/>
  <c r="O175" i="3" s="1"/>
  <c r="D175" i="3"/>
  <c r="U174" i="3"/>
  <c r="T174" i="3"/>
  <c r="S174" i="3"/>
  <c r="E174" i="3"/>
  <c r="O174" i="3" s="1"/>
  <c r="D174" i="3"/>
  <c r="U173" i="3"/>
  <c r="T173" i="3"/>
  <c r="S173" i="3"/>
  <c r="F173" i="3"/>
  <c r="E173" i="3"/>
  <c r="O173" i="3" s="1"/>
  <c r="D173" i="3"/>
  <c r="U172" i="3"/>
  <c r="S172" i="3"/>
  <c r="T172" i="3" s="1"/>
  <c r="O172" i="3"/>
  <c r="D172" i="3"/>
  <c r="U171" i="3"/>
  <c r="V171" i="3" s="1"/>
  <c r="S171" i="3"/>
  <c r="T171" i="3" s="1"/>
  <c r="R171" i="3"/>
  <c r="F171" i="3"/>
  <c r="E171" i="3"/>
  <c r="O171" i="3" s="1"/>
  <c r="D171" i="3"/>
  <c r="U170" i="3"/>
  <c r="S170" i="3"/>
  <c r="T170" i="3" s="1"/>
  <c r="F170" i="3"/>
  <c r="E170" i="3"/>
  <c r="O170" i="3" s="1"/>
  <c r="D170" i="3"/>
  <c r="U169" i="3"/>
  <c r="S169" i="3"/>
  <c r="T169" i="3" s="1"/>
  <c r="F169" i="3"/>
  <c r="E169" i="3"/>
  <c r="O169" i="3" s="1"/>
  <c r="D169" i="3"/>
  <c r="V168" i="3"/>
  <c r="U168" i="3"/>
  <c r="S168" i="3"/>
  <c r="T168" i="3" s="1"/>
  <c r="R168" i="3"/>
  <c r="F168" i="3"/>
  <c r="E168" i="3"/>
  <c r="O168" i="3" s="1"/>
  <c r="D168" i="3"/>
  <c r="U167" i="3"/>
  <c r="T167" i="3"/>
  <c r="S167" i="3"/>
  <c r="F167" i="3"/>
  <c r="E167" i="3"/>
  <c r="O167" i="3" s="1"/>
  <c r="D167" i="3"/>
  <c r="U166" i="3"/>
  <c r="S166" i="3"/>
  <c r="T166" i="3" s="1"/>
  <c r="F166" i="3"/>
  <c r="E166" i="3"/>
  <c r="O166" i="3" s="1"/>
  <c r="D166" i="3"/>
  <c r="U165" i="3"/>
  <c r="T165" i="3"/>
  <c r="S165" i="3"/>
  <c r="F165" i="3"/>
  <c r="E165" i="3"/>
  <c r="O165" i="3" s="1"/>
  <c r="D165" i="3"/>
  <c r="U164" i="3"/>
  <c r="V164" i="3" s="1"/>
  <c r="T164" i="3"/>
  <c r="S164" i="3"/>
  <c r="R164" i="3"/>
  <c r="F164" i="3"/>
  <c r="E164" i="3"/>
  <c r="O164" i="3" s="1"/>
  <c r="D164" i="3"/>
  <c r="U163" i="3"/>
  <c r="T163" i="3"/>
  <c r="S163" i="3"/>
  <c r="O163" i="3"/>
  <c r="D163" i="3"/>
  <c r="U162" i="3"/>
  <c r="S162" i="3"/>
  <c r="T162" i="3" s="1"/>
  <c r="O162" i="3"/>
  <c r="D162" i="3"/>
  <c r="U161" i="3"/>
  <c r="S161" i="3"/>
  <c r="T161" i="3" s="1"/>
  <c r="E161" i="3"/>
  <c r="O161" i="3" s="1"/>
  <c r="D161" i="3"/>
  <c r="U160" i="3"/>
  <c r="T160" i="3"/>
  <c r="S160" i="3"/>
  <c r="E160" i="3"/>
  <c r="O160" i="3" s="1"/>
  <c r="D160" i="3"/>
  <c r="U159" i="3"/>
  <c r="V159" i="3" s="1"/>
  <c r="T159" i="3"/>
  <c r="S159" i="3"/>
  <c r="R159" i="3"/>
  <c r="E159" i="3"/>
  <c r="O159" i="3" s="1"/>
  <c r="D159" i="3"/>
  <c r="U158" i="3"/>
  <c r="V158" i="3" s="1"/>
  <c r="S158" i="3"/>
  <c r="T158" i="3" s="1"/>
  <c r="R158" i="3"/>
  <c r="F158" i="3"/>
  <c r="E158" i="3"/>
  <c r="O158" i="3" s="1"/>
  <c r="D158" i="3"/>
  <c r="U157" i="3"/>
  <c r="S157" i="3"/>
  <c r="T157" i="3" s="1"/>
  <c r="E157" i="3"/>
  <c r="O157" i="3" s="1"/>
  <c r="D157" i="3"/>
  <c r="U156" i="3"/>
  <c r="S156" i="3"/>
  <c r="T156" i="3" s="1"/>
  <c r="O156" i="3"/>
  <c r="D156" i="3"/>
  <c r="U155" i="3"/>
  <c r="V155" i="3" s="1"/>
  <c r="T155" i="3"/>
  <c r="S155" i="3"/>
  <c r="R155" i="3"/>
  <c r="O155" i="3"/>
  <c r="D155" i="3"/>
  <c r="U154" i="3"/>
  <c r="S154" i="3"/>
  <c r="T154" i="3" s="1"/>
  <c r="O154" i="3"/>
  <c r="D154" i="3"/>
  <c r="U153" i="3"/>
  <c r="T153" i="3"/>
  <c r="S153" i="3"/>
  <c r="O153" i="3"/>
  <c r="D153" i="3"/>
  <c r="U152" i="3"/>
  <c r="S152" i="3"/>
  <c r="T152" i="3" s="1"/>
  <c r="O152" i="3"/>
  <c r="D152" i="3"/>
  <c r="U151" i="3"/>
  <c r="T151" i="3"/>
  <c r="S151" i="3"/>
  <c r="F151" i="3"/>
  <c r="E151" i="3"/>
  <c r="O151" i="3" s="1"/>
  <c r="D151" i="3"/>
  <c r="U150" i="3"/>
  <c r="S150" i="3"/>
  <c r="T150" i="3" s="1"/>
  <c r="O150" i="3"/>
  <c r="D150" i="3"/>
  <c r="U149" i="3"/>
  <c r="V149" i="3" s="1"/>
  <c r="S149" i="3"/>
  <c r="T149" i="3" s="1"/>
  <c r="R149" i="3"/>
  <c r="E149" i="3"/>
  <c r="O149" i="3" s="1"/>
  <c r="D149" i="3"/>
  <c r="U148" i="3"/>
  <c r="T148" i="3"/>
  <c r="S148" i="3"/>
  <c r="O148" i="3"/>
  <c r="D148" i="3"/>
  <c r="U147" i="3"/>
  <c r="S147" i="3"/>
  <c r="T147" i="3" s="1"/>
  <c r="O147" i="3"/>
  <c r="D147" i="3"/>
  <c r="U146" i="3"/>
  <c r="T146" i="3"/>
  <c r="S146" i="3"/>
  <c r="O146" i="3"/>
  <c r="D146" i="3"/>
  <c r="U145" i="3"/>
  <c r="T145" i="3"/>
  <c r="S145" i="3"/>
  <c r="O145" i="3"/>
  <c r="D145" i="3"/>
  <c r="U144" i="3"/>
  <c r="T144" i="3"/>
  <c r="S144" i="3"/>
  <c r="F144" i="3"/>
  <c r="E144" i="3"/>
  <c r="O144" i="3" s="1"/>
  <c r="D144" i="3"/>
  <c r="U143" i="3"/>
  <c r="S143" i="3"/>
  <c r="T143" i="3" s="1"/>
  <c r="E143" i="3"/>
  <c r="O143" i="3" s="1"/>
  <c r="D143" i="3"/>
  <c r="U142" i="3"/>
  <c r="S142" i="3"/>
  <c r="T142" i="3" s="1"/>
  <c r="O142" i="3"/>
  <c r="D142" i="3"/>
  <c r="U141" i="3"/>
  <c r="T141" i="3"/>
  <c r="S141" i="3"/>
  <c r="O141" i="3"/>
  <c r="D141" i="3"/>
  <c r="V140" i="3"/>
  <c r="U140" i="3"/>
  <c r="T140" i="3"/>
  <c r="S140" i="3"/>
  <c r="R140" i="3"/>
  <c r="E140" i="3"/>
  <c r="O140" i="3" s="1"/>
  <c r="D140" i="3"/>
  <c r="U139" i="3"/>
  <c r="S139" i="3"/>
  <c r="T139" i="3" s="1"/>
  <c r="O139" i="3"/>
  <c r="D139" i="3"/>
  <c r="U138" i="3"/>
  <c r="T138" i="3"/>
  <c r="S138" i="3"/>
  <c r="O138" i="3"/>
  <c r="D138" i="3"/>
  <c r="U137" i="3"/>
  <c r="S137" i="3"/>
  <c r="T137" i="3" s="1"/>
  <c r="R137" i="3"/>
  <c r="E137" i="3"/>
  <c r="O137" i="3" s="1"/>
  <c r="D137" i="3"/>
  <c r="U136" i="3"/>
  <c r="T136" i="3"/>
  <c r="S136" i="3"/>
  <c r="R136" i="3"/>
  <c r="E136" i="3"/>
  <c r="O136" i="3" s="1"/>
  <c r="D136" i="3"/>
  <c r="U135" i="3"/>
  <c r="T135" i="3"/>
  <c r="S135" i="3"/>
  <c r="O135" i="3"/>
  <c r="D135" i="3"/>
  <c r="U134" i="3"/>
  <c r="T134" i="3"/>
  <c r="S134" i="3"/>
  <c r="R134" i="3"/>
  <c r="F134" i="3"/>
  <c r="E134" i="3"/>
  <c r="O134" i="3" s="1"/>
  <c r="D134" i="3"/>
  <c r="V133" i="3"/>
  <c r="U133" i="3"/>
  <c r="S133" i="3"/>
  <c r="T133" i="3" s="1"/>
  <c r="R133" i="3"/>
  <c r="F133" i="3"/>
  <c r="E133" i="3"/>
  <c r="O133" i="3" s="1"/>
  <c r="D133" i="3"/>
  <c r="U132" i="3"/>
  <c r="S132" i="3"/>
  <c r="T132" i="3" s="1"/>
  <c r="F132" i="3"/>
  <c r="E132" i="3"/>
  <c r="O132" i="3" s="1"/>
  <c r="D132" i="3"/>
  <c r="U131" i="3"/>
  <c r="T131" i="3"/>
  <c r="S131" i="3"/>
  <c r="O131" i="3"/>
  <c r="D131" i="3"/>
  <c r="U130" i="3"/>
  <c r="S130" i="3"/>
  <c r="T130" i="3" s="1"/>
  <c r="O130" i="3"/>
  <c r="D130" i="3"/>
  <c r="U129" i="3"/>
  <c r="T129" i="3"/>
  <c r="S129" i="3"/>
  <c r="E129" i="3"/>
  <c r="O129" i="3" s="1"/>
  <c r="D129" i="3"/>
  <c r="U128" i="3"/>
  <c r="T128" i="3"/>
  <c r="S128" i="3"/>
  <c r="O128" i="3"/>
  <c r="D128" i="3"/>
  <c r="U127" i="3"/>
  <c r="S127" i="3"/>
  <c r="T127" i="3" s="1"/>
  <c r="E127" i="3"/>
  <c r="O127" i="3" s="1"/>
  <c r="D127" i="3"/>
  <c r="U126" i="3"/>
  <c r="V126" i="3" s="1"/>
  <c r="T126" i="3"/>
  <c r="S126" i="3"/>
  <c r="R126" i="3"/>
  <c r="E126" i="3"/>
  <c r="O126" i="3" s="1"/>
  <c r="D126" i="3"/>
  <c r="U125" i="3"/>
  <c r="V125" i="3" s="1"/>
  <c r="T125" i="3"/>
  <c r="S125" i="3"/>
  <c r="R125" i="3"/>
  <c r="O125" i="3"/>
  <c r="D125" i="3"/>
  <c r="U124" i="3"/>
  <c r="V124" i="3" s="1"/>
  <c r="S124" i="3"/>
  <c r="T124" i="3" s="1"/>
  <c r="R124" i="3"/>
  <c r="F124" i="3"/>
  <c r="E124" i="3"/>
  <c r="O124" i="3" s="1"/>
  <c r="D124" i="3"/>
  <c r="U123" i="3"/>
  <c r="S123" i="3"/>
  <c r="T123" i="3" s="1"/>
  <c r="F123" i="3"/>
  <c r="E123" i="3"/>
  <c r="O123" i="3" s="1"/>
  <c r="D123" i="3"/>
  <c r="U122" i="3"/>
  <c r="S122" i="3"/>
  <c r="T122" i="3" s="1"/>
  <c r="O122" i="3"/>
  <c r="D122" i="3"/>
  <c r="U121" i="3"/>
  <c r="S121" i="3"/>
  <c r="T121" i="3" s="1"/>
  <c r="O121" i="3"/>
  <c r="D121" i="3"/>
  <c r="U120" i="3"/>
  <c r="T120" i="3"/>
  <c r="S120" i="3"/>
  <c r="O120" i="3"/>
  <c r="D120" i="3"/>
  <c r="U119" i="3"/>
  <c r="S119" i="3"/>
  <c r="T119" i="3" s="1"/>
  <c r="R119" i="3"/>
  <c r="O119" i="3"/>
  <c r="D119" i="3"/>
  <c r="V118" i="3"/>
  <c r="U118" i="3"/>
  <c r="T118" i="3"/>
  <c r="S118" i="3"/>
  <c r="R118" i="3"/>
  <c r="E118" i="3"/>
  <c r="O118" i="3" s="1"/>
  <c r="D118" i="3"/>
  <c r="U117" i="3"/>
  <c r="S117" i="3"/>
  <c r="T117" i="3" s="1"/>
  <c r="E117" i="3"/>
  <c r="O117" i="3" s="1"/>
  <c r="D117" i="3"/>
  <c r="U116" i="3"/>
  <c r="S116" i="3"/>
  <c r="T116" i="3" s="1"/>
  <c r="R116" i="3"/>
  <c r="E116" i="3"/>
  <c r="O116" i="3" s="1"/>
  <c r="D116" i="3"/>
  <c r="U115" i="3"/>
  <c r="T115" i="3"/>
  <c r="S115" i="3"/>
  <c r="O115" i="3"/>
  <c r="D115" i="3"/>
  <c r="U114" i="3"/>
  <c r="S114" i="3"/>
  <c r="T114" i="3" s="1"/>
  <c r="F114" i="3"/>
  <c r="E114" i="3"/>
  <c r="O114" i="3" s="1"/>
  <c r="D114" i="3"/>
  <c r="U113" i="3"/>
  <c r="T113" i="3"/>
  <c r="S113" i="3"/>
  <c r="O113" i="3"/>
  <c r="D113" i="3"/>
  <c r="U112" i="3"/>
  <c r="S112" i="3"/>
  <c r="T112" i="3" s="1"/>
  <c r="O112" i="3"/>
  <c r="D112" i="3"/>
  <c r="U111" i="3"/>
  <c r="T111" i="3"/>
  <c r="S111" i="3"/>
  <c r="F111" i="3"/>
  <c r="E111" i="3"/>
  <c r="O111" i="3" s="1"/>
  <c r="D111" i="3"/>
  <c r="U110" i="3"/>
  <c r="S110" i="3"/>
  <c r="T110" i="3" s="1"/>
  <c r="F110" i="3"/>
  <c r="E110" i="3"/>
  <c r="O110" i="3" s="1"/>
  <c r="D110" i="3"/>
  <c r="U109" i="3"/>
  <c r="T109" i="3"/>
  <c r="S109" i="3"/>
  <c r="F109" i="3"/>
  <c r="E109" i="3"/>
  <c r="O109" i="3" s="1"/>
  <c r="D109" i="3"/>
  <c r="V108" i="3"/>
  <c r="U108" i="3"/>
  <c r="T108" i="3"/>
  <c r="S108" i="3"/>
  <c r="R108" i="3"/>
  <c r="F108" i="3"/>
  <c r="E108" i="3"/>
  <c r="O108" i="3" s="1"/>
  <c r="D108" i="3"/>
  <c r="U107" i="3"/>
  <c r="T107" i="3"/>
  <c r="S107" i="3"/>
  <c r="O107" i="3"/>
  <c r="D107" i="3"/>
  <c r="U106" i="3"/>
  <c r="S106" i="3"/>
  <c r="T106" i="3" s="1"/>
  <c r="E106" i="3"/>
  <c r="O106" i="3" s="1"/>
  <c r="D106" i="3"/>
  <c r="V105" i="3"/>
  <c r="U105" i="3"/>
  <c r="T105" i="3"/>
  <c r="S105" i="3"/>
  <c r="R105" i="3"/>
  <c r="E105" i="3"/>
  <c r="O105" i="3" s="1"/>
  <c r="D105" i="3"/>
  <c r="U104" i="3"/>
  <c r="S104" i="3"/>
  <c r="T104" i="3" s="1"/>
  <c r="O104" i="3"/>
  <c r="D104" i="3"/>
  <c r="U103" i="3"/>
  <c r="T103" i="3"/>
  <c r="S103" i="3"/>
  <c r="O103" i="3"/>
  <c r="D103" i="3"/>
  <c r="U102" i="3"/>
  <c r="S102" i="3"/>
  <c r="T102" i="3" s="1"/>
  <c r="F102" i="3"/>
  <c r="E102" i="3"/>
  <c r="O102" i="3" s="1"/>
  <c r="D102" i="3"/>
  <c r="V101" i="3"/>
  <c r="U101" i="3"/>
  <c r="S101" i="3"/>
  <c r="T101" i="3" s="1"/>
  <c r="R101" i="3"/>
  <c r="F101" i="3"/>
  <c r="E101" i="3"/>
  <c r="O101" i="3" s="1"/>
  <c r="D101" i="3"/>
  <c r="U100" i="3"/>
  <c r="S100" i="3"/>
  <c r="T100" i="3" s="1"/>
  <c r="E100" i="3"/>
  <c r="O100" i="3" s="1"/>
  <c r="D100" i="3"/>
  <c r="V99" i="3"/>
  <c r="U99" i="3"/>
  <c r="T99" i="3"/>
  <c r="S99" i="3"/>
  <c r="R99" i="3"/>
  <c r="E99" i="3"/>
  <c r="O99" i="3" s="1"/>
  <c r="D99" i="3"/>
  <c r="U98" i="3"/>
  <c r="T98" i="3"/>
  <c r="S98" i="3"/>
  <c r="O98" i="3"/>
  <c r="D98" i="3"/>
  <c r="U97" i="3"/>
  <c r="T97" i="3"/>
  <c r="S97" i="3"/>
  <c r="O97" i="3"/>
  <c r="D97" i="3"/>
  <c r="U96" i="3"/>
  <c r="S96" i="3"/>
  <c r="T96" i="3" s="1"/>
  <c r="R96" i="3"/>
  <c r="E96" i="3"/>
  <c r="O96" i="3" s="1"/>
  <c r="D96" i="3"/>
  <c r="U95" i="3"/>
  <c r="T95" i="3"/>
  <c r="S95" i="3"/>
  <c r="O95" i="3"/>
  <c r="D95" i="3"/>
  <c r="U94" i="3"/>
  <c r="S94" i="3"/>
  <c r="T94" i="3" s="1"/>
  <c r="F94" i="3"/>
  <c r="E94" i="3"/>
  <c r="O94" i="3" s="1"/>
  <c r="D94" i="3"/>
  <c r="U93" i="3"/>
  <c r="T93" i="3"/>
  <c r="S93" i="3"/>
  <c r="R93" i="3"/>
  <c r="F93" i="3"/>
  <c r="E93" i="3"/>
  <c r="O93" i="3" s="1"/>
  <c r="D93" i="3"/>
  <c r="U92" i="3"/>
  <c r="T92" i="3"/>
  <c r="S92" i="3"/>
  <c r="O92" i="3"/>
  <c r="D92" i="3"/>
  <c r="U91" i="3"/>
  <c r="S91" i="3"/>
  <c r="T91" i="3" s="1"/>
  <c r="O91" i="3"/>
  <c r="D91" i="3"/>
  <c r="U90" i="3"/>
  <c r="T90" i="3"/>
  <c r="S90" i="3"/>
  <c r="R90" i="3"/>
  <c r="O90" i="3"/>
  <c r="D90" i="3"/>
  <c r="U89" i="3"/>
  <c r="T89" i="3"/>
  <c r="S89" i="3"/>
  <c r="E89" i="3"/>
  <c r="O89" i="3" s="1"/>
  <c r="D89" i="3"/>
  <c r="U88" i="3"/>
  <c r="T88" i="3"/>
  <c r="S88" i="3"/>
  <c r="R88" i="3"/>
  <c r="E88" i="3"/>
  <c r="O88" i="3" s="1"/>
  <c r="D88" i="3"/>
  <c r="V87" i="3"/>
  <c r="U87" i="3"/>
  <c r="T87" i="3"/>
  <c r="S87" i="3"/>
  <c r="R87" i="3"/>
  <c r="E87" i="3"/>
  <c r="O87" i="3" s="1"/>
  <c r="D87" i="3"/>
  <c r="U86" i="3"/>
  <c r="S86" i="3"/>
  <c r="T86" i="3" s="1"/>
  <c r="O86" i="3"/>
  <c r="D86" i="3"/>
  <c r="U85" i="3"/>
  <c r="S85" i="3"/>
  <c r="T85" i="3" s="1"/>
  <c r="R85" i="3"/>
  <c r="O85" i="3"/>
  <c r="D85" i="3"/>
  <c r="U84" i="3"/>
  <c r="T84" i="3"/>
  <c r="S84" i="3"/>
  <c r="E84" i="3"/>
  <c r="O84" i="3" s="1"/>
  <c r="D84" i="3"/>
  <c r="U83" i="3"/>
  <c r="S83" i="3"/>
  <c r="T83" i="3" s="1"/>
  <c r="F83" i="3"/>
  <c r="E83" i="3"/>
  <c r="O83" i="3" s="1"/>
  <c r="D83" i="3"/>
  <c r="U82" i="3"/>
  <c r="S82" i="3"/>
  <c r="T82" i="3" s="1"/>
  <c r="E82" i="3"/>
  <c r="O82" i="3" s="1"/>
  <c r="D82" i="3"/>
  <c r="U81" i="3"/>
  <c r="S81" i="3"/>
  <c r="T81" i="3" s="1"/>
  <c r="O81" i="3"/>
  <c r="D81" i="3"/>
  <c r="U80" i="3"/>
  <c r="T80" i="3"/>
  <c r="S80" i="3"/>
  <c r="O80" i="3"/>
  <c r="D80" i="3"/>
  <c r="V79" i="3"/>
  <c r="U79" i="3"/>
  <c r="T79" i="3"/>
  <c r="S79" i="3"/>
  <c r="R79" i="3"/>
  <c r="F79" i="3"/>
  <c r="E79" i="3"/>
  <c r="O79" i="3" s="1"/>
  <c r="D79" i="3"/>
  <c r="U78" i="3"/>
  <c r="S78" i="3"/>
  <c r="T78" i="3" s="1"/>
  <c r="F78" i="3"/>
  <c r="E78" i="3"/>
  <c r="O78" i="3" s="1"/>
  <c r="D78" i="3"/>
  <c r="V77" i="3"/>
  <c r="U77" i="3"/>
  <c r="S77" i="3"/>
  <c r="T77" i="3" s="1"/>
  <c r="R77" i="3"/>
  <c r="F77" i="3"/>
  <c r="E77" i="3"/>
  <c r="O77" i="3" s="1"/>
  <c r="D77" i="3"/>
  <c r="U76" i="3"/>
  <c r="T76" i="3"/>
  <c r="S76" i="3"/>
  <c r="F76" i="3"/>
  <c r="E76" i="3"/>
  <c r="O76" i="3" s="1"/>
  <c r="D76" i="3"/>
  <c r="V75" i="3"/>
  <c r="U75" i="3"/>
  <c r="T75" i="3"/>
  <c r="S75" i="3"/>
  <c r="R75" i="3"/>
  <c r="F75" i="3"/>
  <c r="E75" i="3"/>
  <c r="O75" i="3" s="1"/>
  <c r="D75" i="3"/>
  <c r="U74" i="3"/>
  <c r="V74" i="3" s="1"/>
  <c r="S74" i="3"/>
  <c r="T74" i="3" s="1"/>
  <c r="R74" i="3"/>
  <c r="G74" i="3"/>
  <c r="F74" i="3"/>
  <c r="E74" i="3"/>
  <c r="O74" i="3" s="1"/>
  <c r="D74" i="3"/>
  <c r="U73" i="3"/>
  <c r="T73" i="3"/>
  <c r="S73" i="3"/>
  <c r="O73" i="3"/>
  <c r="D73" i="3"/>
  <c r="U72" i="3"/>
  <c r="S72" i="3"/>
  <c r="T72" i="3" s="1"/>
  <c r="F72" i="3"/>
  <c r="E72" i="3"/>
  <c r="O72" i="3" s="1"/>
  <c r="D72" i="3"/>
  <c r="V71" i="3"/>
  <c r="U71" i="3"/>
  <c r="S71" i="3"/>
  <c r="T71" i="3" s="1"/>
  <c r="R71" i="3"/>
  <c r="F71" i="3"/>
  <c r="E71" i="3"/>
  <c r="O71" i="3" s="1"/>
  <c r="D71" i="3"/>
  <c r="U70" i="3"/>
  <c r="S70" i="3"/>
  <c r="T70" i="3" s="1"/>
  <c r="O70" i="3"/>
  <c r="D70" i="3"/>
  <c r="U69" i="3"/>
  <c r="S69" i="3"/>
  <c r="T69" i="3" s="1"/>
  <c r="M69" i="3"/>
  <c r="F69" i="3"/>
  <c r="E69" i="3"/>
  <c r="O69" i="3" s="1"/>
  <c r="D69" i="3"/>
  <c r="U68" i="3"/>
  <c r="S68" i="3"/>
  <c r="T68" i="3" s="1"/>
  <c r="F68" i="3"/>
  <c r="E68" i="3"/>
  <c r="O68" i="3" s="1"/>
  <c r="D68" i="3"/>
  <c r="U67" i="3"/>
  <c r="S67" i="3"/>
  <c r="T67" i="3" s="1"/>
  <c r="O67" i="3"/>
  <c r="D67" i="3"/>
  <c r="U66" i="3"/>
  <c r="V66" i="3" s="1"/>
  <c r="T66" i="3"/>
  <c r="S66" i="3"/>
  <c r="R66" i="3"/>
  <c r="E66" i="3"/>
  <c r="O66" i="3" s="1"/>
  <c r="D66" i="3"/>
  <c r="U65" i="3"/>
  <c r="V65" i="3" s="1"/>
  <c r="S65" i="3"/>
  <c r="T65" i="3" s="1"/>
  <c r="R65" i="3"/>
  <c r="O65" i="3"/>
  <c r="D65" i="3"/>
  <c r="V64" i="3"/>
  <c r="U64" i="3"/>
  <c r="T64" i="3"/>
  <c r="S64" i="3"/>
  <c r="R64" i="3"/>
  <c r="E64" i="3"/>
  <c r="O64" i="3" s="1"/>
  <c r="D64" i="3"/>
  <c r="U63" i="3"/>
  <c r="S63" i="3"/>
  <c r="T63" i="3" s="1"/>
  <c r="F63" i="3"/>
  <c r="E63" i="3"/>
  <c r="O63" i="3" s="1"/>
  <c r="D63" i="3"/>
  <c r="U62" i="3"/>
  <c r="V62" i="3" s="1"/>
  <c r="S62" i="3"/>
  <c r="T62" i="3" s="1"/>
  <c r="R62" i="3"/>
  <c r="F62" i="3"/>
  <c r="E62" i="3"/>
  <c r="O62" i="3" s="1"/>
  <c r="D62" i="3"/>
  <c r="V61" i="3"/>
  <c r="U61" i="3"/>
  <c r="T61" i="3"/>
  <c r="S61" i="3"/>
  <c r="R61" i="3"/>
  <c r="E61" i="3"/>
  <c r="O61" i="3" s="1"/>
  <c r="D61" i="3"/>
  <c r="U60" i="3"/>
  <c r="S60" i="3"/>
  <c r="T60" i="3" s="1"/>
  <c r="O60" i="3"/>
  <c r="D60" i="3"/>
  <c r="U59" i="3"/>
  <c r="S59" i="3"/>
  <c r="T59" i="3" s="1"/>
  <c r="F59" i="3"/>
  <c r="E59" i="3"/>
  <c r="O59" i="3" s="1"/>
  <c r="D59" i="3"/>
  <c r="U58" i="3"/>
  <c r="S58" i="3"/>
  <c r="T58" i="3" s="1"/>
  <c r="O58" i="3"/>
  <c r="D58" i="3"/>
  <c r="U57" i="3"/>
  <c r="T57" i="3"/>
  <c r="S57" i="3"/>
  <c r="E57" i="3"/>
  <c r="O57" i="3" s="1"/>
  <c r="D57" i="3"/>
  <c r="U56" i="3"/>
  <c r="V56" i="3" s="1"/>
  <c r="S56" i="3"/>
  <c r="T56" i="3" s="1"/>
  <c r="R56" i="3"/>
  <c r="E56" i="3"/>
  <c r="O56" i="3" s="1"/>
  <c r="D56" i="3"/>
  <c r="U55" i="3"/>
  <c r="T55" i="3"/>
  <c r="S55" i="3"/>
  <c r="O55" i="3"/>
  <c r="D55" i="3"/>
  <c r="U54" i="3"/>
  <c r="S54" i="3"/>
  <c r="T54" i="3" s="1"/>
  <c r="R54" i="3"/>
  <c r="O54" i="3"/>
  <c r="D54" i="3"/>
  <c r="U53" i="3"/>
  <c r="T53" i="3"/>
  <c r="S53" i="3"/>
  <c r="O53" i="3"/>
  <c r="D53" i="3"/>
  <c r="U52" i="3"/>
  <c r="T52" i="3"/>
  <c r="S52" i="3"/>
  <c r="O52" i="3"/>
  <c r="D52" i="3"/>
  <c r="U51" i="3"/>
  <c r="S51" i="3"/>
  <c r="T51" i="3" s="1"/>
  <c r="R51" i="3"/>
  <c r="O51" i="3"/>
  <c r="D51" i="3"/>
  <c r="U50" i="3"/>
  <c r="T50" i="3"/>
  <c r="S50" i="3"/>
  <c r="R50" i="3"/>
  <c r="O50" i="3"/>
  <c r="D50" i="3"/>
  <c r="U49" i="3"/>
  <c r="S49" i="3"/>
  <c r="T49" i="3" s="1"/>
  <c r="O49" i="3"/>
  <c r="D49" i="3"/>
  <c r="U48" i="3"/>
  <c r="S48" i="3"/>
  <c r="T48" i="3" s="1"/>
  <c r="F48" i="3"/>
  <c r="E48" i="3"/>
  <c r="O48" i="3" s="1"/>
  <c r="D48" i="3"/>
  <c r="U47" i="3"/>
  <c r="S47" i="3"/>
  <c r="T47" i="3" s="1"/>
  <c r="R47" i="3"/>
  <c r="F47" i="3"/>
  <c r="E47" i="3"/>
  <c r="O47" i="3" s="1"/>
  <c r="D47" i="3"/>
  <c r="U46" i="3"/>
  <c r="S46" i="3"/>
  <c r="T46" i="3" s="1"/>
  <c r="O46" i="3"/>
  <c r="D46" i="3"/>
  <c r="U45" i="3"/>
  <c r="T45" i="3"/>
  <c r="S45" i="3"/>
  <c r="O45" i="3"/>
  <c r="D45" i="3"/>
  <c r="U44" i="3"/>
  <c r="T44" i="3"/>
  <c r="S44" i="3"/>
  <c r="F44" i="3"/>
  <c r="E44" i="3"/>
  <c r="O44" i="3" s="1"/>
  <c r="D44" i="3"/>
  <c r="U43" i="3"/>
  <c r="S43" i="3"/>
  <c r="T43" i="3" s="1"/>
  <c r="O43" i="3"/>
  <c r="D43" i="3"/>
  <c r="U42" i="3"/>
  <c r="S42" i="3"/>
  <c r="T42" i="3" s="1"/>
  <c r="O42" i="3"/>
  <c r="D42" i="3"/>
  <c r="U41" i="3"/>
  <c r="T41" i="3"/>
  <c r="S41" i="3"/>
  <c r="O41" i="3"/>
  <c r="D41" i="3"/>
  <c r="V40" i="3"/>
  <c r="U40" i="3"/>
  <c r="S40" i="3"/>
  <c r="T40" i="3" s="1"/>
  <c r="R40" i="3"/>
  <c r="E40" i="3"/>
  <c r="O40" i="3" s="1"/>
  <c r="D40" i="3"/>
  <c r="U39" i="3"/>
  <c r="S39" i="3"/>
  <c r="T39" i="3" s="1"/>
  <c r="F39" i="3"/>
  <c r="E39" i="3"/>
  <c r="O39" i="3" s="1"/>
  <c r="D39" i="3"/>
  <c r="U38" i="3"/>
  <c r="T38" i="3"/>
  <c r="S38" i="3"/>
  <c r="O38" i="3"/>
  <c r="D38" i="3"/>
  <c r="V37" i="3"/>
  <c r="U37" i="3"/>
  <c r="T37" i="3"/>
  <c r="S37" i="3"/>
  <c r="R37" i="3"/>
  <c r="E37" i="3"/>
  <c r="O37" i="3" s="1"/>
  <c r="D37" i="3"/>
  <c r="U36" i="3"/>
  <c r="S36" i="3"/>
  <c r="T36" i="3" s="1"/>
  <c r="E36" i="3"/>
  <c r="O36" i="3" s="1"/>
  <c r="D36" i="3"/>
  <c r="U35" i="3"/>
  <c r="T35" i="3"/>
  <c r="S35" i="3"/>
  <c r="E35" i="3"/>
  <c r="O35" i="3" s="1"/>
  <c r="D35" i="3"/>
  <c r="U34" i="3"/>
  <c r="S34" i="3"/>
  <c r="T34" i="3" s="1"/>
  <c r="R34" i="3"/>
  <c r="E34" i="3"/>
  <c r="O34" i="3" s="1"/>
  <c r="D34" i="3"/>
  <c r="U33" i="3"/>
  <c r="T33" i="3"/>
  <c r="S33" i="3"/>
  <c r="F33" i="3"/>
  <c r="E33" i="3"/>
  <c r="O33" i="3" s="1"/>
  <c r="D33" i="3"/>
  <c r="U32" i="3"/>
  <c r="S32" i="3"/>
  <c r="T32" i="3" s="1"/>
  <c r="O32" i="3"/>
  <c r="D32" i="3"/>
  <c r="U31" i="3"/>
  <c r="T31" i="3"/>
  <c r="S31" i="3"/>
  <c r="O31" i="3"/>
  <c r="D31" i="3"/>
  <c r="U30" i="3"/>
  <c r="S30" i="3"/>
  <c r="T30" i="3" s="1"/>
  <c r="O30" i="3"/>
  <c r="D30" i="3"/>
  <c r="U29" i="3"/>
  <c r="V29" i="3" s="1"/>
  <c r="S29" i="3"/>
  <c r="T29" i="3" s="1"/>
  <c r="R29" i="3"/>
  <c r="F29" i="3"/>
  <c r="E29" i="3"/>
  <c r="O29" i="3" s="1"/>
  <c r="D29" i="3"/>
  <c r="U28" i="3"/>
  <c r="S28" i="3"/>
  <c r="T28" i="3" s="1"/>
  <c r="O28" i="3"/>
  <c r="U27" i="3"/>
  <c r="T27" i="3"/>
  <c r="S27" i="3"/>
  <c r="O27" i="3"/>
  <c r="D27" i="3"/>
  <c r="U26" i="3"/>
  <c r="T26" i="3"/>
  <c r="S26" i="3"/>
  <c r="F26" i="3"/>
  <c r="E26" i="3"/>
  <c r="O26" i="3" s="1"/>
  <c r="D26" i="3"/>
  <c r="U25" i="3"/>
  <c r="S25" i="3"/>
  <c r="T25" i="3" s="1"/>
  <c r="O25" i="3"/>
  <c r="U24" i="3"/>
  <c r="T24" i="3"/>
  <c r="S24" i="3"/>
  <c r="O24" i="3"/>
  <c r="D24" i="3"/>
  <c r="U23" i="3"/>
  <c r="T23" i="3"/>
  <c r="S23" i="3"/>
  <c r="O23" i="3"/>
  <c r="D23" i="3"/>
  <c r="V22" i="3"/>
  <c r="U22" i="3"/>
  <c r="T22" i="3"/>
  <c r="S22" i="3"/>
  <c r="R22" i="3"/>
  <c r="O22" i="3"/>
  <c r="U21" i="3"/>
  <c r="T21" i="3"/>
  <c r="S21" i="3"/>
  <c r="O21" i="3"/>
  <c r="D21" i="3"/>
  <c r="U20" i="3"/>
  <c r="T20" i="3"/>
  <c r="S20" i="3"/>
  <c r="O20" i="3"/>
  <c r="U19" i="3"/>
  <c r="T19" i="3"/>
  <c r="S19" i="3"/>
  <c r="O19" i="3"/>
  <c r="U18" i="3"/>
  <c r="T18" i="3"/>
  <c r="S18" i="3"/>
  <c r="O18" i="3"/>
  <c r="U17" i="3"/>
  <c r="T17" i="3"/>
  <c r="S17" i="3"/>
  <c r="O17" i="3"/>
  <c r="U16" i="3"/>
  <c r="V16" i="3" s="1"/>
  <c r="S16" i="3"/>
  <c r="T16" i="3" s="1"/>
  <c r="R16" i="3"/>
  <c r="O16" i="3"/>
  <c r="U15" i="3"/>
  <c r="T15" i="3"/>
  <c r="S15" i="3"/>
  <c r="O15" i="3"/>
  <c r="D15" i="3"/>
  <c r="U14" i="3"/>
  <c r="T14" i="3"/>
  <c r="S14" i="3"/>
  <c r="O14" i="3"/>
  <c r="V13" i="3"/>
  <c r="U13" i="3"/>
  <c r="T13" i="3"/>
  <c r="S13" i="3"/>
  <c r="R13" i="3"/>
  <c r="O13" i="3"/>
  <c r="U12" i="3"/>
  <c r="U7" i="3" s="1"/>
  <c r="S12" i="3"/>
  <c r="T12" i="3" s="1"/>
  <c r="O12" i="3"/>
  <c r="D12" i="3"/>
  <c r="U11" i="3"/>
  <c r="S11" i="3"/>
  <c r="T11" i="3" s="1"/>
  <c r="R11" i="3"/>
  <c r="O11" i="3"/>
  <c r="D11" i="3"/>
  <c r="U10" i="3"/>
  <c r="T10" i="3"/>
  <c r="S10" i="3"/>
  <c r="O10" i="3"/>
  <c r="W9" i="3" a="1"/>
  <c r="W13" i="3" s="1"/>
  <c r="U9" i="3"/>
  <c r="T9" i="3"/>
  <c r="S9" i="3"/>
  <c r="O9" i="3"/>
  <c r="A9" i="3" a="1"/>
  <c r="A661" i="3" s="1"/>
  <c r="P509" i="2"/>
  <c r="L509" i="2"/>
  <c r="Q508" i="2"/>
  <c r="P508" i="2"/>
  <c r="M508" i="2"/>
  <c r="N508" i="2" s="1"/>
  <c r="L508" i="2"/>
  <c r="P507" i="2"/>
  <c r="Q507" i="2" s="1"/>
  <c r="M507" i="2"/>
  <c r="N507" i="2" s="1"/>
  <c r="L507" i="2"/>
  <c r="P506" i="2"/>
  <c r="Q506" i="2" s="1"/>
  <c r="N506" i="2"/>
  <c r="M506" i="2"/>
  <c r="L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Q168" i="2"/>
  <c r="P168" i="2"/>
  <c r="M168" i="2"/>
  <c r="N168" i="2" s="1"/>
  <c r="L168" i="2"/>
  <c r="P167" i="2"/>
  <c r="Q167" i="2" s="1"/>
  <c r="M167" i="2"/>
  <c r="N167" i="2" s="1"/>
  <c r="L167" i="2"/>
  <c r="P166" i="2"/>
  <c r="Q166" i="2" s="1"/>
  <c r="N166" i="2"/>
  <c r="M166" i="2"/>
  <c r="L166" i="2"/>
  <c r="P165" i="2"/>
  <c r="Q165" i="2" s="1"/>
  <c r="M165" i="2"/>
  <c r="N165" i="2" s="1"/>
  <c r="L165" i="2"/>
  <c r="Q164" i="2"/>
  <c r="P164" i="2"/>
  <c r="N164" i="2"/>
  <c r="M164" i="2"/>
  <c r="L164" i="2"/>
  <c r="P163" i="2"/>
  <c r="Q163" i="2" s="1"/>
  <c r="N163" i="2"/>
  <c r="M163" i="2"/>
  <c r="L163" i="2"/>
  <c r="Q162" i="2"/>
  <c r="P162" i="2"/>
  <c r="N162" i="2"/>
  <c r="M162" i="2"/>
  <c r="L162" i="2"/>
  <c r="Q161" i="2"/>
  <c r="P161" i="2"/>
  <c r="M161" i="2"/>
  <c r="N161" i="2" s="1"/>
  <c r="L161" i="2"/>
  <c r="Q160" i="2"/>
  <c r="P160" i="2"/>
  <c r="M160" i="2"/>
  <c r="N160" i="2" s="1"/>
  <c r="L160" i="2"/>
  <c r="P159" i="2"/>
  <c r="Q159" i="2" s="1"/>
  <c r="M159" i="2"/>
  <c r="N159" i="2" s="1"/>
  <c r="L159" i="2"/>
  <c r="P158" i="2"/>
  <c r="Q158" i="2" s="1"/>
  <c r="N158" i="2"/>
  <c r="M158" i="2"/>
  <c r="L158" i="2"/>
  <c r="P157" i="2"/>
  <c r="Q157" i="2" s="1"/>
  <c r="M157" i="2"/>
  <c r="N157" i="2" s="1"/>
  <c r="L157" i="2"/>
  <c r="Q156" i="2"/>
  <c r="P156" i="2"/>
  <c r="N156" i="2"/>
  <c r="M156" i="2"/>
  <c r="L156" i="2"/>
  <c r="P155" i="2"/>
  <c r="Q155" i="2" s="1"/>
  <c r="N155" i="2"/>
  <c r="M155" i="2"/>
  <c r="L155" i="2"/>
  <c r="Q154" i="2"/>
  <c r="P154" i="2"/>
  <c r="N154" i="2"/>
  <c r="M154" i="2"/>
  <c r="L154" i="2"/>
  <c r="Q153" i="2"/>
  <c r="P153" i="2"/>
  <c r="M153" i="2"/>
  <c r="N153" i="2" s="1"/>
  <c r="L153" i="2"/>
  <c r="Q152" i="2"/>
  <c r="P152" i="2"/>
  <c r="M152" i="2"/>
  <c r="N152" i="2" s="1"/>
  <c r="L152" i="2"/>
  <c r="P151" i="2"/>
  <c r="Q151" i="2" s="1"/>
  <c r="M151" i="2"/>
  <c r="N151" i="2" s="1"/>
  <c r="L151" i="2"/>
  <c r="P150" i="2"/>
  <c r="Q150" i="2" s="1"/>
  <c r="N150" i="2"/>
  <c r="M150" i="2"/>
  <c r="L150" i="2"/>
  <c r="P149" i="2"/>
  <c r="Q149" i="2" s="1"/>
  <c r="M149" i="2"/>
  <c r="N149" i="2" s="1"/>
  <c r="L149" i="2"/>
  <c r="Q148" i="2"/>
  <c r="P148" i="2"/>
  <c r="N148" i="2"/>
  <c r="M148" i="2"/>
  <c r="L148" i="2"/>
  <c r="P147" i="2"/>
  <c r="Q147" i="2" s="1"/>
  <c r="N147" i="2"/>
  <c r="M147" i="2"/>
  <c r="L147" i="2"/>
  <c r="Q146" i="2"/>
  <c r="P146" i="2"/>
  <c r="N146" i="2"/>
  <c r="M146" i="2"/>
  <c r="L146" i="2"/>
  <c r="Q145" i="2"/>
  <c r="P145" i="2"/>
  <c r="M145" i="2"/>
  <c r="N145" i="2" s="1"/>
  <c r="L145" i="2"/>
  <c r="Q144" i="2"/>
  <c r="P144" i="2"/>
  <c r="M144" i="2"/>
  <c r="N144" i="2" s="1"/>
  <c r="L144" i="2"/>
  <c r="P143" i="2"/>
  <c r="Q143" i="2" s="1"/>
  <c r="M143" i="2"/>
  <c r="N143" i="2" s="1"/>
  <c r="L143" i="2"/>
  <c r="P142" i="2"/>
  <c r="Q142" i="2" s="1"/>
  <c r="N142" i="2"/>
  <c r="M142" i="2"/>
  <c r="L142" i="2"/>
  <c r="P141" i="2"/>
  <c r="Q141" i="2" s="1"/>
  <c r="M141" i="2"/>
  <c r="N141" i="2" s="1"/>
  <c r="L141" i="2"/>
  <c r="Q140" i="2"/>
  <c r="P140" i="2"/>
  <c r="N140" i="2"/>
  <c r="M140" i="2"/>
  <c r="L140" i="2"/>
  <c r="P139" i="2"/>
  <c r="Q139" i="2" s="1"/>
  <c r="N139" i="2"/>
  <c r="M139" i="2"/>
  <c r="L139" i="2"/>
  <c r="Q138" i="2"/>
  <c r="P138" i="2"/>
  <c r="N138" i="2"/>
  <c r="M138" i="2"/>
  <c r="L138" i="2"/>
  <c r="Q137" i="2"/>
  <c r="P137" i="2"/>
  <c r="M137" i="2"/>
  <c r="N137" i="2" s="1"/>
  <c r="L137" i="2"/>
  <c r="Q136" i="2"/>
  <c r="P136" i="2"/>
  <c r="M136" i="2"/>
  <c r="N136" i="2" s="1"/>
  <c r="L136" i="2"/>
  <c r="P135" i="2"/>
  <c r="Q135" i="2" s="1"/>
  <c r="M135" i="2"/>
  <c r="N135" i="2" s="1"/>
  <c r="L135" i="2"/>
  <c r="P134" i="2"/>
  <c r="Q134" i="2" s="1"/>
  <c r="N134" i="2"/>
  <c r="M134" i="2"/>
  <c r="L134" i="2"/>
  <c r="P133" i="2"/>
  <c r="Q133" i="2" s="1"/>
  <c r="M133" i="2"/>
  <c r="N133" i="2" s="1"/>
  <c r="L133" i="2"/>
  <c r="Q132" i="2"/>
  <c r="P132" i="2"/>
  <c r="N132" i="2"/>
  <c r="M132" i="2"/>
  <c r="L132" i="2"/>
  <c r="P131" i="2"/>
  <c r="Q131" i="2" s="1"/>
  <c r="N131" i="2"/>
  <c r="M131" i="2"/>
  <c r="L131" i="2"/>
  <c r="Q130" i="2"/>
  <c r="P130" i="2"/>
  <c r="N130" i="2"/>
  <c r="M130" i="2"/>
  <c r="L130" i="2"/>
  <c r="Q129" i="2"/>
  <c r="P129" i="2"/>
  <c r="M129" i="2"/>
  <c r="N129" i="2" s="1"/>
  <c r="L129" i="2"/>
  <c r="Q128" i="2"/>
  <c r="P128" i="2"/>
  <c r="M128" i="2"/>
  <c r="N128" i="2" s="1"/>
  <c r="L128" i="2"/>
  <c r="P127" i="2"/>
  <c r="Q127" i="2" s="1"/>
  <c r="M127" i="2"/>
  <c r="N127" i="2" s="1"/>
  <c r="L127" i="2"/>
  <c r="P126" i="2"/>
  <c r="Q126" i="2" s="1"/>
  <c r="N126" i="2"/>
  <c r="M126" i="2"/>
  <c r="L126" i="2"/>
  <c r="P125" i="2"/>
  <c r="Q125" i="2" s="1"/>
  <c r="M125" i="2"/>
  <c r="N125" i="2" s="1"/>
  <c r="L125" i="2"/>
  <c r="Q124" i="2"/>
  <c r="P124" i="2"/>
  <c r="N124" i="2"/>
  <c r="M124" i="2"/>
  <c r="L124" i="2"/>
  <c r="P123" i="2"/>
  <c r="Q123" i="2" s="1"/>
  <c r="N123" i="2"/>
  <c r="M123" i="2"/>
  <c r="L123" i="2"/>
  <c r="Q122" i="2"/>
  <c r="P122" i="2"/>
  <c r="N122" i="2"/>
  <c r="M122" i="2"/>
  <c r="L122" i="2"/>
  <c r="Q121" i="2"/>
  <c r="P121" i="2"/>
  <c r="M121" i="2"/>
  <c r="N121" i="2" s="1"/>
  <c r="L121" i="2"/>
  <c r="Q120" i="2"/>
  <c r="P120" i="2"/>
  <c r="M120" i="2"/>
  <c r="N120" i="2" s="1"/>
  <c r="L120" i="2"/>
  <c r="P119" i="2"/>
  <c r="Q119" i="2" s="1"/>
  <c r="M119" i="2"/>
  <c r="N119" i="2" s="1"/>
  <c r="L119" i="2"/>
  <c r="P118" i="2"/>
  <c r="Q118" i="2" s="1"/>
  <c r="N118" i="2"/>
  <c r="M118" i="2"/>
  <c r="L118" i="2"/>
  <c r="P117" i="2"/>
  <c r="Q117" i="2" s="1"/>
  <c r="M117" i="2"/>
  <c r="N117" i="2" s="1"/>
  <c r="L117" i="2"/>
  <c r="Q116" i="2"/>
  <c r="P116" i="2"/>
  <c r="N116" i="2"/>
  <c r="M116" i="2"/>
  <c r="L116" i="2"/>
  <c r="P115" i="2"/>
  <c r="Q115" i="2" s="1"/>
  <c r="N115" i="2"/>
  <c r="M115" i="2"/>
  <c r="L115" i="2"/>
  <c r="Q114" i="2"/>
  <c r="P114" i="2"/>
  <c r="N114" i="2"/>
  <c r="M114" i="2"/>
  <c r="L114" i="2"/>
  <c r="Q113" i="2"/>
  <c r="P113" i="2"/>
  <c r="M113" i="2"/>
  <c r="N113" i="2" s="1"/>
  <c r="L113" i="2"/>
  <c r="Q112" i="2"/>
  <c r="P112" i="2"/>
  <c r="M112" i="2"/>
  <c r="N112" i="2" s="1"/>
  <c r="L112" i="2"/>
  <c r="P111" i="2"/>
  <c r="Q111" i="2" s="1"/>
  <c r="M111" i="2"/>
  <c r="N111" i="2" s="1"/>
  <c r="L111" i="2"/>
  <c r="P110" i="2"/>
  <c r="Q110" i="2" s="1"/>
  <c r="N110" i="2"/>
  <c r="M110" i="2"/>
  <c r="L110" i="2"/>
  <c r="P109" i="2"/>
  <c r="Q109" i="2" s="1"/>
  <c r="M109" i="2"/>
  <c r="N109" i="2" s="1"/>
  <c r="L109" i="2"/>
  <c r="Q108" i="2"/>
  <c r="P108" i="2"/>
  <c r="N108" i="2"/>
  <c r="M108" i="2"/>
  <c r="L108" i="2"/>
  <c r="P107" i="2"/>
  <c r="Q107" i="2" s="1"/>
  <c r="N107" i="2"/>
  <c r="M107" i="2"/>
  <c r="L107" i="2"/>
  <c r="Q106" i="2"/>
  <c r="P106" i="2"/>
  <c r="N106" i="2"/>
  <c r="M106" i="2"/>
  <c r="L106" i="2"/>
  <c r="Q105" i="2"/>
  <c r="P105" i="2"/>
  <c r="M105" i="2"/>
  <c r="N105" i="2" s="1"/>
  <c r="L105" i="2"/>
  <c r="Q104" i="2"/>
  <c r="P104" i="2"/>
  <c r="M104" i="2"/>
  <c r="N104" i="2" s="1"/>
  <c r="L104" i="2"/>
  <c r="P103" i="2"/>
  <c r="Q103" i="2" s="1"/>
  <c r="M103" i="2"/>
  <c r="N103" i="2" s="1"/>
  <c r="L103" i="2"/>
  <c r="P102" i="2"/>
  <c r="Q102" i="2" s="1"/>
  <c r="N102" i="2"/>
  <c r="M102" i="2"/>
  <c r="L102" i="2"/>
  <c r="P101" i="2"/>
  <c r="Q101" i="2" s="1"/>
  <c r="M101" i="2"/>
  <c r="N101" i="2" s="1"/>
  <c r="L101" i="2"/>
  <c r="Q100" i="2"/>
  <c r="P100" i="2"/>
  <c r="N100" i="2"/>
  <c r="M100" i="2"/>
  <c r="L100" i="2"/>
  <c r="P99" i="2"/>
  <c r="Q99" i="2" s="1"/>
  <c r="N99" i="2"/>
  <c r="M99" i="2"/>
  <c r="L99" i="2"/>
  <c r="Q98" i="2"/>
  <c r="P98" i="2"/>
  <c r="N98" i="2"/>
  <c r="M98" i="2"/>
  <c r="L98" i="2"/>
  <c r="Q97" i="2"/>
  <c r="P97" i="2"/>
  <c r="M97" i="2"/>
  <c r="N97" i="2" s="1"/>
  <c r="L97" i="2"/>
  <c r="Q96" i="2"/>
  <c r="P96" i="2"/>
  <c r="M96" i="2"/>
  <c r="N96" i="2" s="1"/>
  <c r="L96" i="2"/>
  <c r="P95" i="2"/>
  <c r="Q95" i="2" s="1"/>
  <c r="M95" i="2"/>
  <c r="N95" i="2" s="1"/>
  <c r="L95" i="2"/>
  <c r="P94" i="2"/>
  <c r="Q94" i="2" s="1"/>
  <c r="N94" i="2"/>
  <c r="M94" i="2"/>
  <c r="L94" i="2"/>
  <c r="P93" i="2"/>
  <c r="Q93" i="2" s="1"/>
  <c r="M93" i="2"/>
  <c r="N93" i="2" s="1"/>
  <c r="L93" i="2"/>
  <c r="Q92" i="2"/>
  <c r="P92" i="2"/>
  <c r="N92" i="2"/>
  <c r="M92" i="2"/>
  <c r="L92" i="2"/>
  <c r="P91" i="2"/>
  <c r="Q91" i="2" s="1"/>
  <c r="N91" i="2"/>
  <c r="M91" i="2"/>
  <c r="L91" i="2"/>
  <c r="Q90" i="2"/>
  <c r="P90" i="2"/>
  <c r="N90" i="2"/>
  <c r="M90" i="2"/>
  <c r="L90" i="2"/>
  <c r="Q89" i="2"/>
  <c r="P89" i="2"/>
  <c r="M89" i="2"/>
  <c r="N89" i="2" s="1"/>
  <c r="L89" i="2"/>
  <c r="Q88" i="2"/>
  <c r="P88" i="2"/>
  <c r="M88" i="2"/>
  <c r="N88" i="2" s="1"/>
  <c r="L88" i="2"/>
  <c r="P87" i="2"/>
  <c r="Q87" i="2" s="1"/>
  <c r="M87" i="2"/>
  <c r="N87" i="2" s="1"/>
  <c r="L87" i="2"/>
  <c r="P86" i="2"/>
  <c r="Q86" i="2" s="1"/>
  <c r="N86" i="2"/>
  <c r="M86" i="2"/>
  <c r="L86" i="2"/>
  <c r="P85" i="2"/>
  <c r="Q85" i="2" s="1"/>
  <c r="M85" i="2"/>
  <c r="N85" i="2" s="1"/>
  <c r="L85" i="2"/>
  <c r="Q84" i="2"/>
  <c r="P84" i="2"/>
  <c r="N84" i="2"/>
  <c r="M84" i="2"/>
  <c r="L84" i="2"/>
  <c r="P83" i="2"/>
  <c r="Q83" i="2" s="1"/>
  <c r="N83" i="2"/>
  <c r="M83" i="2"/>
  <c r="L83" i="2"/>
  <c r="Q82" i="2"/>
  <c r="P82" i="2"/>
  <c r="N82" i="2"/>
  <c r="M82" i="2"/>
  <c r="L82" i="2"/>
  <c r="Q81" i="2"/>
  <c r="P81" i="2"/>
  <c r="M81" i="2"/>
  <c r="N81" i="2" s="1"/>
  <c r="L81" i="2"/>
  <c r="Q80" i="2"/>
  <c r="P80" i="2"/>
  <c r="M80" i="2"/>
  <c r="N80" i="2" s="1"/>
  <c r="L80" i="2"/>
  <c r="P79" i="2"/>
  <c r="Q79" i="2" s="1"/>
  <c r="M79" i="2"/>
  <c r="N79" i="2" s="1"/>
  <c r="L79" i="2"/>
  <c r="P78" i="2"/>
  <c r="Q78" i="2" s="1"/>
  <c r="N78" i="2"/>
  <c r="M78" i="2"/>
  <c r="L78" i="2"/>
  <c r="P77" i="2"/>
  <c r="Q77" i="2" s="1"/>
  <c r="M77" i="2"/>
  <c r="N77" i="2" s="1"/>
  <c r="L77" i="2"/>
  <c r="Q76" i="2"/>
  <c r="P76" i="2"/>
  <c r="N76" i="2"/>
  <c r="M76" i="2"/>
  <c r="L76" i="2"/>
  <c r="Q75" i="2"/>
  <c r="M75" i="2"/>
  <c r="N75" i="2" s="1"/>
  <c r="L75" i="2"/>
  <c r="P74" i="2"/>
  <c r="Q74" i="2" s="1"/>
  <c r="M74" i="2"/>
  <c r="N74" i="2" s="1"/>
  <c r="L74" i="2"/>
  <c r="P73" i="2"/>
  <c r="Q73" i="2" s="1"/>
  <c r="N73" i="2"/>
  <c r="M73" i="2"/>
  <c r="L73" i="2"/>
  <c r="P72" i="2"/>
  <c r="Q72" i="2" s="1"/>
  <c r="M72" i="2"/>
  <c r="N72" i="2" s="1"/>
  <c r="L72" i="2"/>
  <c r="Q71" i="2"/>
  <c r="P71" i="2"/>
  <c r="N71" i="2"/>
  <c r="M71" i="2"/>
  <c r="L71" i="2"/>
  <c r="P70" i="2"/>
  <c r="Q70" i="2" s="1"/>
  <c r="N70" i="2"/>
  <c r="M70" i="2"/>
  <c r="L70" i="2"/>
  <c r="Q69" i="2"/>
  <c r="P69" i="2"/>
  <c r="N69" i="2"/>
  <c r="M69" i="2"/>
  <c r="L69" i="2"/>
  <c r="Q68" i="2"/>
  <c r="P68" i="2"/>
  <c r="M68" i="2"/>
  <c r="N68" i="2" s="1"/>
  <c r="L68" i="2"/>
  <c r="Q67" i="2"/>
  <c r="P67" i="2"/>
  <c r="M67" i="2"/>
  <c r="N67" i="2" s="1"/>
  <c r="L67" i="2"/>
  <c r="P66" i="2"/>
  <c r="Q66" i="2" s="1"/>
  <c r="M66" i="2"/>
  <c r="N66" i="2" s="1"/>
  <c r="L66" i="2"/>
  <c r="P65" i="2"/>
  <c r="Q65" i="2" s="1"/>
  <c r="N65" i="2"/>
  <c r="M65" i="2"/>
  <c r="L65" i="2"/>
  <c r="P64" i="2"/>
  <c r="Q64" i="2" s="1"/>
  <c r="M64" i="2"/>
  <c r="N64" i="2" s="1"/>
  <c r="L64" i="2"/>
  <c r="Q63" i="2"/>
  <c r="P63" i="2"/>
  <c r="N63" i="2"/>
  <c r="M63" i="2"/>
  <c r="L63" i="2"/>
  <c r="P62" i="2"/>
  <c r="Q62" i="2" s="1"/>
  <c r="N62" i="2"/>
  <c r="M62" i="2"/>
  <c r="L62" i="2"/>
  <c r="Q61" i="2"/>
  <c r="P61" i="2"/>
  <c r="N61" i="2"/>
  <c r="M61" i="2"/>
  <c r="L61" i="2"/>
  <c r="Q60" i="2"/>
  <c r="P60" i="2"/>
  <c r="M60" i="2"/>
  <c r="N60" i="2" s="1"/>
  <c r="L60" i="2"/>
  <c r="Q59" i="2"/>
  <c r="P59" i="2"/>
  <c r="M59" i="2"/>
  <c r="N59" i="2" s="1"/>
  <c r="L59" i="2"/>
  <c r="P58" i="2"/>
  <c r="Q58" i="2" s="1"/>
  <c r="M58" i="2"/>
  <c r="N58" i="2" s="1"/>
  <c r="L58" i="2"/>
  <c r="P57" i="2"/>
  <c r="Q57" i="2" s="1"/>
  <c r="N57" i="2"/>
  <c r="M57" i="2"/>
  <c r="L57" i="2"/>
  <c r="P56" i="2"/>
  <c r="Q56" i="2" s="1"/>
  <c r="M56" i="2"/>
  <c r="N56" i="2" s="1"/>
  <c r="L56" i="2"/>
  <c r="Q55" i="2"/>
  <c r="P55" i="2"/>
  <c r="N55" i="2"/>
  <c r="M55" i="2"/>
  <c r="L55" i="2"/>
  <c r="P54" i="2"/>
  <c r="Q54" i="2" s="1"/>
  <c r="N54" i="2"/>
  <c r="M54" i="2"/>
  <c r="L54" i="2"/>
  <c r="Q53" i="2"/>
  <c r="P53" i="2"/>
  <c r="N53" i="2"/>
  <c r="M53" i="2"/>
  <c r="L53" i="2"/>
  <c r="Q52" i="2"/>
  <c r="P52" i="2"/>
  <c r="M52" i="2"/>
  <c r="N52" i="2" s="1"/>
  <c r="L52" i="2"/>
  <c r="Q51" i="2"/>
  <c r="P51" i="2"/>
  <c r="M51" i="2"/>
  <c r="N51" i="2" s="1"/>
  <c r="L51" i="2"/>
  <c r="P50" i="2"/>
  <c r="Q50" i="2" s="1"/>
  <c r="M50" i="2"/>
  <c r="N50" i="2" s="1"/>
  <c r="L50" i="2"/>
  <c r="P49" i="2"/>
  <c r="Q49" i="2" s="1"/>
  <c r="N49" i="2"/>
  <c r="M49" i="2"/>
  <c r="L49" i="2"/>
  <c r="P48" i="2"/>
  <c r="Q48" i="2" s="1"/>
  <c r="M48" i="2"/>
  <c r="N48" i="2" s="1"/>
  <c r="L48" i="2"/>
  <c r="Q47" i="2"/>
  <c r="P47" i="2"/>
  <c r="N47" i="2"/>
  <c r="M47" i="2"/>
  <c r="L47" i="2"/>
  <c r="P46" i="2"/>
  <c r="Q46" i="2" s="1"/>
  <c r="N46" i="2"/>
  <c r="M46" i="2"/>
  <c r="L46" i="2"/>
  <c r="Q45" i="2"/>
  <c r="P45" i="2"/>
  <c r="N45" i="2"/>
  <c r="M45" i="2"/>
  <c r="L45" i="2"/>
  <c r="Q44" i="2"/>
  <c r="P44" i="2"/>
  <c r="M44" i="2"/>
  <c r="N44" i="2" s="1"/>
  <c r="L44" i="2"/>
  <c r="Q43" i="2"/>
  <c r="P43" i="2"/>
  <c r="M43" i="2"/>
  <c r="N43" i="2" s="1"/>
  <c r="L43" i="2"/>
  <c r="P42" i="2"/>
  <c r="Q42" i="2" s="1"/>
  <c r="M42" i="2"/>
  <c r="N42" i="2" s="1"/>
  <c r="L42" i="2"/>
  <c r="P41" i="2"/>
  <c r="Q41" i="2" s="1"/>
  <c r="N41" i="2"/>
  <c r="M41" i="2"/>
  <c r="L41" i="2"/>
  <c r="P40" i="2"/>
  <c r="Q40" i="2" s="1"/>
  <c r="M40" i="2"/>
  <c r="N40" i="2" s="1"/>
  <c r="L40" i="2"/>
  <c r="Q39" i="2"/>
  <c r="P39" i="2"/>
  <c r="N39" i="2"/>
  <c r="M39" i="2"/>
  <c r="L39" i="2"/>
  <c r="P38" i="2"/>
  <c r="Q38" i="2" s="1"/>
  <c r="N38" i="2"/>
  <c r="M38" i="2"/>
  <c r="L38" i="2"/>
  <c r="Q37" i="2"/>
  <c r="P37" i="2"/>
  <c r="N37" i="2"/>
  <c r="M37" i="2"/>
  <c r="L37" i="2"/>
  <c r="Q36" i="2"/>
  <c r="P36" i="2"/>
  <c r="M36" i="2"/>
  <c r="N36" i="2" s="1"/>
  <c r="L36" i="2"/>
  <c r="Q35" i="2"/>
  <c r="P35" i="2"/>
  <c r="M35" i="2"/>
  <c r="N35" i="2" s="1"/>
  <c r="L35" i="2"/>
  <c r="P34" i="2"/>
  <c r="Q34" i="2" s="1"/>
  <c r="M34" i="2"/>
  <c r="N34" i="2" s="1"/>
  <c r="L34" i="2"/>
  <c r="P33" i="2"/>
  <c r="Q33" i="2" s="1"/>
  <c r="N33" i="2"/>
  <c r="M33" i="2"/>
  <c r="L33" i="2"/>
  <c r="P32" i="2"/>
  <c r="Q32" i="2" s="1"/>
  <c r="M32" i="2"/>
  <c r="N32" i="2" s="1"/>
  <c r="L32" i="2"/>
  <c r="Q31" i="2"/>
  <c r="P31" i="2"/>
  <c r="N31" i="2"/>
  <c r="M31" i="2"/>
  <c r="L31" i="2"/>
  <c r="P30" i="2"/>
  <c r="Q30" i="2" s="1"/>
  <c r="N30" i="2"/>
  <c r="M30" i="2"/>
  <c r="L30" i="2"/>
  <c r="Q29" i="2"/>
  <c r="P29" i="2"/>
  <c r="N29" i="2"/>
  <c r="M29" i="2"/>
  <c r="L29" i="2"/>
  <c r="Q28" i="2"/>
  <c r="P28" i="2"/>
  <c r="M28" i="2"/>
  <c r="N28" i="2" s="1"/>
  <c r="L28" i="2"/>
  <c r="Q27" i="2"/>
  <c r="P27" i="2"/>
  <c r="M27" i="2"/>
  <c r="N27" i="2" s="1"/>
  <c r="L27" i="2"/>
  <c r="P26" i="2"/>
  <c r="Q26" i="2" s="1"/>
  <c r="M26" i="2"/>
  <c r="N26" i="2" s="1"/>
  <c r="L26" i="2"/>
  <c r="P25" i="2"/>
  <c r="Q25" i="2" s="1"/>
  <c r="N25" i="2"/>
  <c r="M25" i="2"/>
  <c r="L25" i="2"/>
  <c r="P24" i="2"/>
  <c r="Q24" i="2" s="1"/>
  <c r="M24" i="2"/>
  <c r="N24" i="2" s="1"/>
  <c r="L24" i="2"/>
  <c r="Q23" i="2"/>
  <c r="P23" i="2"/>
  <c r="N23" i="2"/>
  <c r="M23" i="2"/>
  <c r="L23" i="2"/>
  <c r="P22" i="2"/>
  <c r="Q22" i="2" s="1"/>
  <c r="N22" i="2"/>
  <c r="M22" i="2"/>
  <c r="L22" i="2"/>
  <c r="Q21" i="2"/>
  <c r="P21" i="2"/>
  <c r="N21" i="2"/>
  <c r="M21" i="2"/>
  <c r="L21" i="2"/>
  <c r="Q20" i="2"/>
  <c r="P20" i="2"/>
  <c r="M20" i="2"/>
  <c r="N20" i="2" s="1"/>
  <c r="L20" i="2"/>
  <c r="Q19" i="2"/>
  <c r="P19" i="2"/>
  <c r="M19" i="2"/>
  <c r="N19" i="2" s="1"/>
  <c r="L19" i="2"/>
  <c r="P18" i="2"/>
  <c r="Q18" i="2" s="1"/>
  <c r="M18" i="2"/>
  <c r="N18" i="2" s="1"/>
  <c r="L18" i="2"/>
  <c r="P17" i="2"/>
  <c r="Q17" i="2" s="1"/>
  <c r="N17" i="2"/>
  <c r="M17" i="2"/>
  <c r="L17" i="2"/>
  <c r="P16" i="2"/>
  <c r="Q16" i="2" s="1"/>
  <c r="M16" i="2"/>
  <c r="N16" i="2" s="1"/>
  <c r="L16" i="2"/>
  <c r="Q15" i="2"/>
  <c r="P15" i="2"/>
  <c r="N15" i="2"/>
  <c r="M15" i="2"/>
  <c r="L15" i="2"/>
  <c r="P14" i="2"/>
  <c r="Q14" i="2" s="1"/>
  <c r="N14" i="2"/>
  <c r="M14" i="2"/>
  <c r="L14" i="2"/>
  <c r="Q13" i="2"/>
  <c r="P13" i="2"/>
  <c r="N13" i="2"/>
  <c r="M13" i="2"/>
  <c r="L13" i="2"/>
  <c r="Q12" i="2"/>
  <c r="P12" i="2"/>
  <c r="M12" i="2"/>
  <c r="N12" i="2" s="1"/>
  <c r="L12" i="2"/>
  <c r="Q11" i="2"/>
  <c r="P11" i="2"/>
  <c r="M11" i="2"/>
  <c r="N11" i="2" s="1"/>
  <c r="L11" i="2"/>
  <c r="P10" i="2"/>
  <c r="Q10" i="2" s="1"/>
  <c r="M10" i="2"/>
  <c r="N10" i="2" s="1"/>
  <c r="L10" i="2"/>
  <c r="P9" i="2"/>
  <c r="Q9" i="2" s="1"/>
  <c r="N9" i="2"/>
  <c r="M9" i="2"/>
  <c r="L9" i="2"/>
  <c r="O8" i="2"/>
  <c r="T8" i="2" s="1"/>
  <c r="L511" i="1"/>
  <c r="O510" i="1"/>
  <c r="P510" i="1" s="1"/>
  <c r="Q510" i="1" s="1"/>
  <c r="M510" i="1"/>
  <c r="N510" i="1" s="1"/>
  <c r="L510" i="1"/>
  <c r="P509" i="1"/>
  <c r="Q509" i="1" s="1"/>
  <c r="O509" i="1"/>
  <c r="M509" i="1"/>
  <c r="N509" i="1" s="1"/>
  <c r="L509" i="1"/>
  <c r="O508" i="1"/>
  <c r="P508" i="1" s="1"/>
  <c r="Q508" i="1" s="1"/>
  <c r="N508" i="1"/>
  <c r="M508" i="1"/>
  <c r="L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P170" i="1" s="1"/>
  <c r="Q170" i="1" s="1"/>
  <c r="N170" i="1"/>
  <c r="M170" i="1"/>
  <c r="L170" i="1"/>
  <c r="O169" i="1"/>
  <c r="P169" i="1" s="1"/>
  <c r="Q169" i="1" s="1"/>
  <c r="M169" i="1"/>
  <c r="N169" i="1" s="1"/>
  <c r="L169" i="1"/>
  <c r="O168" i="1"/>
  <c r="P168" i="1" s="1"/>
  <c r="Q168" i="1" s="1"/>
  <c r="M168" i="1"/>
  <c r="N168" i="1" s="1"/>
  <c r="L168" i="1"/>
  <c r="M167" i="1"/>
  <c r="N167" i="1" s="1"/>
  <c r="L167" i="1"/>
  <c r="G167" i="1"/>
  <c r="O166" i="1"/>
  <c r="P166" i="1" s="1"/>
  <c r="Q166" i="1" s="1"/>
  <c r="N166" i="1"/>
  <c r="M166" i="1"/>
  <c r="L166" i="1"/>
  <c r="P165" i="1"/>
  <c r="Q165" i="1" s="1"/>
  <c r="O165" i="1"/>
  <c r="M165" i="1"/>
  <c r="N165" i="1" s="1"/>
  <c r="L165" i="1"/>
  <c r="P164" i="1"/>
  <c r="Q164" i="1" s="1"/>
  <c r="O164" i="1"/>
  <c r="N164" i="1"/>
  <c r="M164" i="1"/>
  <c r="L164" i="1"/>
  <c r="Q163" i="1"/>
  <c r="P163" i="1"/>
  <c r="O163" i="1"/>
  <c r="N163" i="1"/>
  <c r="M163" i="1"/>
  <c r="L163" i="1"/>
  <c r="O162" i="1"/>
  <c r="P162" i="1" s="1"/>
  <c r="Q162" i="1" s="1"/>
  <c r="N162" i="1"/>
  <c r="M162" i="1"/>
  <c r="L162" i="1"/>
  <c r="P161" i="1"/>
  <c r="Q161" i="1" s="1"/>
  <c r="O161" i="1"/>
  <c r="M161" i="1"/>
  <c r="N161" i="1" s="1"/>
  <c r="L161" i="1"/>
  <c r="P160" i="1"/>
  <c r="Q160" i="1" s="1"/>
  <c r="O160" i="1"/>
  <c r="N160" i="1"/>
  <c r="M160" i="1"/>
  <c r="L160" i="1"/>
  <c r="Q159" i="1"/>
  <c r="P159" i="1"/>
  <c r="O159" i="1"/>
  <c r="N159" i="1"/>
  <c r="M159" i="1"/>
  <c r="L159" i="1"/>
  <c r="O158" i="1"/>
  <c r="P158" i="1" s="1"/>
  <c r="Q158" i="1" s="1"/>
  <c r="N158" i="1"/>
  <c r="M158" i="1"/>
  <c r="L158" i="1"/>
  <c r="P157" i="1"/>
  <c r="Q157" i="1" s="1"/>
  <c r="O157" i="1"/>
  <c r="M157" i="1"/>
  <c r="N157" i="1" s="1"/>
  <c r="L157" i="1"/>
  <c r="P156" i="1"/>
  <c r="Q156" i="1" s="1"/>
  <c r="O156" i="1"/>
  <c r="N156" i="1"/>
  <c r="M156" i="1"/>
  <c r="L156" i="1"/>
  <c r="Q155" i="1"/>
  <c r="P155" i="1"/>
  <c r="O155" i="1"/>
  <c r="N155" i="1"/>
  <c r="M155" i="1"/>
  <c r="L155" i="1"/>
  <c r="O154" i="1"/>
  <c r="P154" i="1" s="1"/>
  <c r="Q154" i="1" s="1"/>
  <c r="N154" i="1"/>
  <c r="M154" i="1"/>
  <c r="L154" i="1"/>
  <c r="P153" i="1"/>
  <c r="Q153" i="1" s="1"/>
  <c r="O153" i="1"/>
  <c r="M153" i="1"/>
  <c r="N153" i="1" s="1"/>
  <c r="L153" i="1"/>
  <c r="P152" i="1"/>
  <c r="Q152" i="1" s="1"/>
  <c r="O152" i="1"/>
  <c r="N152" i="1"/>
  <c r="M152" i="1"/>
  <c r="L152" i="1"/>
  <c r="Q151" i="1"/>
  <c r="P151" i="1"/>
  <c r="O151" i="1"/>
  <c r="N151" i="1"/>
  <c r="M151" i="1"/>
  <c r="L151" i="1"/>
  <c r="O150" i="1"/>
  <c r="P150" i="1" s="1"/>
  <c r="Q150" i="1" s="1"/>
  <c r="N150" i="1"/>
  <c r="M150" i="1"/>
  <c r="L150" i="1"/>
  <c r="P149" i="1"/>
  <c r="Q149" i="1" s="1"/>
  <c r="O149" i="1"/>
  <c r="M149" i="1"/>
  <c r="N149" i="1" s="1"/>
  <c r="L149" i="1"/>
  <c r="P148" i="1"/>
  <c r="Q148" i="1" s="1"/>
  <c r="O148" i="1"/>
  <c r="N148" i="1"/>
  <c r="M148" i="1"/>
  <c r="L148" i="1"/>
  <c r="Q147" i="1"/>
  <c r="P147" i="1"/>
  <c r="O147" i="1"/>
  <c r="N147" i="1"/>
  <c r="M147" i="1"/>
  <c r="L147" i="1"/>
  <c r="O146" i="1"/>
  <c r="P146" i="1" s="1"/>
  <c r="Q146" i="1" s="1"/>
  <c r="N146" i="1"/>
  <c r="M146" i="1"/>
  <c r="L146" i="1"/>
  <c r="P145" i="1"/>
  <c r="Q145" i="1" s="1"/>
  <c r="O145" i="1"/>
  <c r="M145" i="1"/>
  <c r="N145" i="1" s="1"/>
  <c r="L145" i="1"/>
  <c r="P144" i="1"/>
  <c r="Q144" i="1" s="1"/>
  <c r="O144" i="1"/>
  <c r="N144" i="1"/>
  <c r="M144" i="1"/>
  <c r="L144" i="1"/>
  <c r="Q143" i="1"/>
  <c r="P143" i="1"/>
  <c r="O143" i="1"/>
  <c r="N143" i="1"/>
  <c r="M143" i="1"/>
  <c r="L143" i="1"/>
  <c r="O142" i="1"/>
  <c r="P142" i="1" s="1"/>
  <c r="Q142" i="1" s="1"/>
  <c r="N142" i="1"/>
  <c r="M142" i="1"/>
  <c r="L142" i="1"/>
  <c r="P141" i="1"/>
  <c r="Q141" i="1" s="1"/>
  <c r="O141" i="1"/>
  <c r="M141" i="1"/>
  <c r="N141" i="1" s="1"/>
  <c r="L141" i="1"/>
  <c r="P140" i="1"/>
  <c r="Q140" i="1" s="1"/>
  <c r="O140" i="1"/>
  <c r="N140" i="1"/>
  <c r="M140" i="1"/>
  <c r="L140" i="1"/>
  <c r="Q139" i="1"/>
  <c r="P139" i="1"/>
  <c r="O139" i="1"/>
  <c r="N139" i="1"/>
  <c r="M139" i="1"/>
  <c r="L139" i="1"/>
  <c r="O138" i="1"/>
  <c r="P138" i="1" s="1"/>
  <c r="Q138" i="1" s="1"/>
  <c r="N138" i="1"/>
  <c r="M138" i="1"/>
  <c r="L138" i="1"/>
  <c r="P137" i="1"/>
  <c r="Q137" i="1" s="1"/>
  <c r="O137" i="1"/>
  <c r="M137" i="1"/>
  <c r="N137" i="1" s="1"/>
  <c r="L137" i="1"/>
  <c r="P136" i="1"/>
  <c r="Q136" i="1" s="1"/>
  <c r="O136" i="1"/>
  <c r="N136" i="1"/>
  <c r="M136" i="1"/>
  <c r="L136" i="1"/>
  <c r="Q135" i="1"/>
  <c r="P135" i="1"/>
  <c r="O135" i="1"/>
  <c r="N135" i="1"/>
  <c r="M135" i="1"/>
  <c r="L135" i="1"/>
  <c r="O134" i="1"/>
  <c r="P134" i="1" s="1"/>
  <c r="Q134" i="1" s="1"/>
  <c r="N134" i="1"/>
  <c r="M134" i="1"/>
  <c r="L134" i="1"/>
  <c r="P133" i="1"/>
  <c r="Q133" i="1" s="1"/>
  <c r="O133" i="1"/>
  <c r="M133" i="1"/>
  <c r="N133" i="1" s="1"/>
  <c r="L133" i="1"/>
  <c r="P132" i="1"/>
  <c r="Q132" i="1" s="1"/>
  <c r="O132" i="1"/>
  <c r="N132" i="1"/>
  <c r="M132" i="1"/>
  <c r="L132" i="1"/>
  <c r="Q131" i="1"/>
  <c r="P131" i="1"/>
  <c r="O131" i="1"/>
  <c r="N131" i="1"/>
  <c r="M131" i="1"/>
  <c r="L131" i="1"/>
  <c r="O130" i="1"/>
  <c r="P130" i="1" s="1"/>
  <c r="Q130" i="1" s="1"/>
  <c r="N130" i="1"/>
  <c r="M130" i="1"/>
  <c r="L130" i="1"/>
  <c r="P129" i="1"/>
  <c r="Q129" i="1" s="1"/>
  <c r="O129" i="1"/>
  <c r="M129" i="1"/>
  <c r="N129" i="1" s="1"/>
  <c r="L129" i="1"/>
  <c r="P128" i="1"/>
  <c r="Q128" i="1" s="1"/>
  <c r="O128" i="1"/>
  <c r="N128" i="1"/>
  <c r="M128" i="1"/>
  <c r="L128" i="1"/>
  <c r="Q127" i="1"/>
  <c r="P127" i="1"/>
  <c r="O127" i="1"/>
  <c r="N127" i="1"/>
  <c r="M127" i="1"/>
  <c r="L127" i="1"/>
  <c r="O126" i="1"/>
  <c r="P126" i="1" s="1"/>
  <c r="Q126" i="1" s="1"/>
  <c r="N126" i="1"/>
  <c r="M126" i="1"/>
  <c r="L126" i="1"/>
  <c r="P125" i="1"/>
  <c r="Q125" i="1" s="1"/>
  <c r="O125" i="1"/>
  <c r="M125" i="1"/>
  <c r="N125" i="1" s="1"/>
  <c r="L125" i="1"/>
  <c r="P124" i="1"/>
  <c r="Q124" i="1" s="1"/>
  <c r="O124" i="1"/>
  <c r="N124" i="1"/>
  <c r="M124" i="1"/>
  <c r="L124" i="1"/>
  <c r="Q123" i="1"/>
  <c r="P123" i="1"/>
  <c r="O123" i="1"/>
  <c r="N123" i="1"/>
  <c r="M123" i="1"/>
  <c r="L123" i="1"/>
  <c r="O122" i="1"/>
  <c r="P122" i="1" s="1"/>
  <c r="Q122" i="1" s="1"/>
  <c r="N122" i="1"/>
  <c r="M122" i="1"/>
  <c r="L122" i="1"/>
  <c r="P121" i="1"/>
  <c r="Q121" i="1" s="1"/>
  <c r="O121" i="1"/>
  <c r="M121" i="1"/>
  <c r="N121" i="1" s="1"/>
  <c r="L121" i="1"/>
  <c r="P120" i="1"/>
  <c r="Q120" i="1" s="1"/>
  <c r="O120" i="1"/>
  <c r="N120" i="1"/>
  <c r="M120" i="1"/>
  <c r="L120" i="1"/>
  <c r="Q119" i="1"/>
  <c r="P119" i="1"/>
  <c r="O119" i="1"/>
  <c r="N119" i="1"/>
  <c r="M119" i="1"/>
  <c r="L119" i="1"/>
  <c r="O118" i="1"/>
  <c r="P118" i="1" s="1"/>
  <c r="Q118" i="1" s="1"/>
  <c r="N118" i="1"/>
  <c r="M118" i="1"/>
  <c r="L118" i="1"/>
  <c r="P117" i="1"/>
  <c r="Q117" i="1" s="1"/>
  <c r="O117" i="1"/>
  <c r="M117" i="1"/>
  <c r="N117" i="1" s="1"/>
  <c r="L117" i="1"/>
  <c r="P116" i="1"/>
  <c r="Q116" i="1" s="1"/>
  <c r="O116" i="1"/>
  <c r="N116" i="1"/>
  <c r="M116" i="1"/>
  <c r="L116" i="1"/>
  <c r="Q115" i="1"/>
  <c r="P115" i="1"/>
  <c r="O115" i="1"/>
  <c r="N115" i="1"/>
  <c r="M115" i="1"/>
  <c r="L115" i="1"/>
  <c r="O114" i="1"/>
  <c r="P114" i="1" s="1"/>
  <c r="Q114" i="1" s="1"/>
  <c r="N114" i="1"/>
  <c r="M114" i="1"/>
  <c r="L114" i="1"/>
  <c r="P113" i="1"/>
  <c r="Q113" i="1" s="1"/>
  <c r="O113" i="1"/>
  <c r="M113" i="1"/>
  <c r="N113" i="1" s="1"/>
  <c r="L113" i="1"/>
  <c r="P112" i="1"/>
  <c r="Q112" i="1" s="1"/>
  <c r="O112" i="1"/>
  <c r="N112" i="1"/>
  <c r="M112" i="1"/>
  <c r="L112" i="1"/>
  <c r="Q111" i="1"/>
  <c r="P111" i="1"/>
  <c r="O111" i="1"/>
  <c r="N111" i="1"/>
  <c r="M111" i="1"/>
  <c r="L111" i="1"/>
  <c r="O110" i="1"/>
  <c r="P110" i="1" s="1"/>
  <c r="Q110" i="1" s="1"/>
  <c r="N110" i="1"/>
  <c r="M110" i="1"/>
  <c r="L110" i="1"/>
  <c r="P109" i="1"/>
  <c r="Q109" i="1" s="1"/>
  <c r="O109" i="1"/>
  <c r="M109" i="1"/>
  <c r="N109" i="1" s="1"/>
  <c r="L109" i="1"/>
  <c r="P108" i="1"/>
  <c r="Q108" i="1" s="1"/>
  <c r="O108" i="1"/>
  <c r="N108" i="1"/>
  <c r="M108" i="1"/>
  <c r="L108" i="1"/>
  <c r="Q107" i="1"/>
  <c r="P107" i="1"/>
  <c r="O107" i="1"/>
  <c r="N107" i="1"/>
  <c r="M107" i="1"/>
  <c r="L107" i="1"/>
  <c r="O106" i="1"/>
  <c r="P106" i="1" s="1"/>
  <c r="Q106" i="1" s="1"/>
  <c r="N106" i="1"/>
  <c r="M106" i="1"/>
  <c r="L106" i="1"/>
  <c r="P105" i="1"/>
  <c r="Q105" i="1" s="1"/>
  <c r="O105" i="1"/>
  <c r="M105" i="1"/>
  <c r="N105" i="1" s="1"/>
  <c r="L105" i="1"/>
  <c r="P104" i="1"/>
  <c r="Q104" i="1" s="1"/>
  <c r="O104" i="1"/>
  <c r="N104" i="1"/>
  <c r="M104" i="1"/>
  <c r="L104" i="1"/>
  <c r="Q103" i="1"/>
  <c r="P103" i="1"/>
  <c r="O103" i="1"/>
  <c r="N103" i="1"/>
  <c r="M103" i="1"/>
  <c r="L103" i="1"/>
  <c r="O102" i="1"/>
  <c r="P102" i="1" s="1"/>
  <c r="Q102" i="1" s="1"/>
  <c r="N102" i="1"/>
  <c r="M102" i="1"/>
  <c r="L102" i="1"/>
  <c r="P101" i="1"/>
  <c r="Q101" i="1" s="1"/>
  <c r="O101" i="1"/>
  <c r="M101" i="1"/>
  <c r="N101" i="1" s="1"/>
  <c r="L101" i="1"/>
  <c r="P100" i="1"/>
  <c r="Q100" i="1" s="1"/>
  <c r="O100" i="1"/>
  <c r="N100" i="1"/>
  <c r="M100" i="1"/>
  <c r="L100" i="1"/>
  <c r="Q99" i="1"/>
  <c r="P99" i="1"/>
  <c r="O99" i="1"/>
  <c r="N99" i="1"/>
  <c r="M99" i="1"/>
  <c r="L99" i="1"/>
  <c r="O98" i="1"/>
  <c r="P98" i="1" s="1"/>
  <c r="Q98" i="1" s="1"/>
  <c r="N98" i="1"/>
  <c r="M98" i="1"/>
  <c r="L98" i="1"/>
  <c r="P97" i="1"/>
  <c r="Q97" i="1" s="1"/>
  <c r="O97" i="1"/>
  <c r="M97" i="1"/>
  <c r="N97" i="1" s="1"/>
  <c r="L97" i="1"/>
  <c r="P96" i="1"/>
  <c r="Q96" i="1" s="1"/>
  <c r="O96" i="1"/>
  <c r="N96" i="1"/>
  <c r="M96" i="1"/>
  <c r="L96" i="1"/>
  <c r="Q95" i="1"/>
  <c r="P95" i="1"/>
  <c r="O95" i="1"/>
  <c r="N95" i="1"/>
  <c r="M95" i="1"/>
  <c r="L95" i="1"/>
  <c r="O94" i="1"/>
  <c r="P94" i="1" s="1"/>
  <c r="Q94" i="1" s="1"/>
  <c r="N94" i="1"/>
  <c r="M94" i="1"/>
  <c r="L94" i="1"/>
  <c r="P93" i="1"/>
  <c r="Q93" i="1" s="1"/>
  <c r="O93" i="1"/>
  <c r="M93" i="1"/>
  <c r="N93" i="1" s="1"/>
  <c r="L93" i="1"/>
  <c r="P92" i="1"/>
  <c r="Q92" i="1" s="1"/>
  <c r="O92" i="1"/>
  <c r="N92" i="1"/>
  <c r="M92" i="1"/>
  <c r="L92" i="1"/>
  <c r="Q91" i="1"/>
  <c r="P91" i="1"/>
  <c r="O91" i="1"/>
  <c r="N91" i="1"/>
  <c r="M91" i="1"/>
  <c r="L91" i="1"/>
  <c r="O90" i="1"/>
  <c r="P90" i="1" s="1"/>
  <c r="Q90" i="1" s="1"/>
  <c r="N90" i="1"/>
  <c r="M90" i="1"/>
  <c r="L90" i="1"/>
  <c r="P89" i="1"/>
  <c r="Q89" i="1" s="1"/>
  <c r="O89" i="1"/>
  <c r="M89" i="1"/>
  <c r="N89" i="1" s="1"/>
  <c r="L89" i="1"/>
  <c r="P88" i="1"/>
  <c r="Q88" i="1" s="1"/>
  <c r="O88" i="1"/>
  <c r="N88" i="1"/>
  <c r="M88" i="1"/>
  <c r="L88" i="1"/>
  <c r="Q87" i="1"/>
  <c r="P87" i="1"/>
  <c r="O87" i="1"/>
  <c r="N87" i="1"/>
  <c r="M87" i="1"/>
  <c r="L87" i="1"/>
  <c r="O86" i="1"/>
  <c r="P86" i="1" s="1"/>
  <c r="Q86" i="1" s="1"/>
  <c r="N86" i="1"/>
  <c r="M86" i="1"/>
  <c r="L86" i="1"/>
  <c r="P85" i="1"/>
  <c r="Q85" i="1" s="1"/>
  <c r="O85" i="1"/>
  <c r="M85" i="1"/>
  <c r="N85" i="1" s="1"/>
  <c r="L85" i="1"/>
  <c r="P84" i="1"/>
  <c r="Q84" i="1" s="1"/>
  <c r="O84" i="1"/>
  <c r="N84" i="1"/>
  <c r="M84" i="1"/>
  <c r="L84" i="1"/>
  <c r="Q83" i="1"/>
  <c r="P83" i="1"/>
  <c r="O83" i="1"/>
  <c r="N83" i="1"/>
  <c r="M83" i="1"/>
  <c r="L83" i="1"/>
  <c r="O82" i="1"/>
  <c r="P82" i="1" s="1"/>
  <c r="Q82" i="1" s="1"/>
  <c r="N82" i="1"/>
  <c r="M82" i="1"/>
  <c r="L82" i="1"/>
  <c r="P81" i="1"/>
  <c r="Q81" i="1" s="1"/>
  <c r="O81" i="1"/>
  <c r="M81" i="1"/>
  <c r="N81" i="1" s="1"/>
  <c r="L81" i="1"/>
  <c r="P80" i="1"/>
  <c r="Q80" i="1" s="1"/>
  <c r="O80" i="1"/>
  <c r="N80" i="1"/>
  <c r="M80" i="1"/>
  <c r="L80" i="1"/>
  <c r="Q79" i="1"/>
  <c r="P79" i="1"/>
  <c r="O79" i="1"/>
  <c r="N79" i="1"/>
  <c r="M79" i="1"/>
  <c r="L79" i="1"/>
  <c r="O78" i="1"/>
  <c r="P78" i="1" s="1"/>
  <c r="Q78" i="1" s="1"/>
  <c r="N78" i="1"/>
  <c r="M78" i="1"/>
  <c r="L78" i="1"/>
  <c r="Q77" i="1"/>
  <c r="O77" i="1"/>
  <c r="M77" i="1"/>
  <c r="N77" i="1" s="1"/>
  <c r="L77" i="1"/>
  <c r="O76" i="1"/>
  <c r="P76" i="1" s="1"/>
  <c r="Q76" i="1" s="1"/>
  <c r="M76" i="1"/>
  <c r="N76" i="1" s="1"/>
  <c r="L76" i="1"/>
  <c r="P75" i="1"/>
  <c r="Q75" i="1" s="1"/>
  <c r="O75" i="1"/>
  <c r="M75" i="1"/>
  <c r="N75" i="1" s="1"/>
  <c r="L75" i="1"/>
  <c r="O74" i="1"/>
  <c r="P74" i="1" s="1"/>
  <c r="Q74" i="1" s="1"/>
  <c r="N74" i="1"/>
  <c r="M74" i="1"/>
  <c r="L74" i="1"/>
  <c r="O73" i="1"/>
  <c r="P73" i="1" s="1"/>
  <c r="Q73" i="1" s="1"/>
  <c r="M73" i="1"/>
  <c r="N73" i="1" s="1"/>
  <c r="L73" i="1"/>
  <c r="O72" i="1"/>
  <c r="P72" i="1" s="1"/>
  <c r="Q72" i="1" s="1"/>
  <c r="M72" i="1"/>
  <c r="N72" i="1" s="1"/>
  <c r="L72" i="1"/>
  <c r="P71" i="1"/>
  <c r="Q71" i="1" s="1"/>
  <c r="O71" i="1"/>
  <c r="M71" i="1"/>
  <c r="N71" i="1" s="1"/>
  <c r="L71" i="1"/>
  <c r="O70" i="1"/>
  <c r="P70" i="1" s="1"/>
  <c r="Q70" i="1" s="1"/>
  <c r="N70" i="1"/>
  <c r="M70" i="1"/>
  <c r="L70" i="1"/>
  <c r="O69" i="1"/>
  <c r="P69" i="1" s="1"/>
  <c r="Q69" i="1" s="1"/>
  <c r="M69" i="1"/>
  <c r="N69" i="1" s="1"/>
  <c r="L69" i="1"/>
  <c r="O68" i="1"/>
  <c r="P68" i="1" s="1"/>
  <c r="Q68" i="1" s="1"/>
  <c r="M68" i="1"/>
  <c r="N68" i="1" s="1"/>
  <c r="L68" i="1"/>
  <c r="P67" i="1"/>
  <c r="Q67" i="1" s="1"/>
  <c r="O67" i="1"/>
  <c r="M67" i="1"/>
  <c r="N67" i="1" s="1"/>
  <c r="L67" i="1"/>
  <c r="O66" i="1"/>
  <c r="P66" i="1" s="1"/>
  <c r="Q66" i="1" s="1"/>
  <c r="N66" i="1"/>
  <c r="M66" i="1"/>
  <c r="L66" i="1"/>
  <c r="O65" i="1"/>
  <c r="P65" i="1" s="1"/>
  <c r="Q65" i="1" s="1"/>
  <c r="M65" i="1"/>
  <c r="N65" i="1" s="1"/>
  <c r="L65" i="1"/>
  <c r="O64" i="1"/>
  <c r="P64" i="1" s="1"/>
  <c r="Q64" i="1" s="1"/>
  <c r="M64" i="1"/>
  <c r="N64" i="1" s="1"/>
  <c r="L64" i="1"/>
  <c r="P63" i="1"/>
  <c r="Q63" i="1" s="1"/>
  <c r="O63" i="1"/>
  <c r="M63" i="1"/>
  <c r="N63" i="1" s="1"/>
  <c r="L63" i="1"/>
  <c r="O62" i="1"/>
  <c r="P62" i="1" s="1"/>
  <c r="Q62" i="1" s="1"/>
  <c r="N62" i="1"/>
  <c r="M62" i="1"/>
  <c r="L62" i="1"/>
  <c r="O61" i="1"/>
  <c r="P61" i="1" s="1"/>
  <c r="Q61" i="1" s="1"/>
  <c r="M61" i="1"/>
  <c r="N61" i="1" s="1"/>
  <c r="L61" i="1"/>
  <c r="O60" i="1"/>
  <c r="P60" i="1" s="1"/>
  <c r="Q60" i="1" s="1"/>
  <c r="M60" i="1"/>
  <c r="N60" i="1" s="1"/>
  <c r="L60" i="1"/>
  <c r="P59" i="1"/>
  <c r="Q59" i="1" s="1"/>
  <c r="O59" i="1"/>
  <c r="M59" i="1"/>
  <c r="N59" i="1" s="1"/>
  <c r="L59" i="1"/>
  <c r="O58" i="1"/>
  <c r="P58" i="1" s="1"/>
  <c r="Q58" i="1" s="1"/>
  <c r="N58" i="1"/>
  <c r="M58" i="1"/>
  <c r="L58" i="1"/>
  <c r="O57" i="1"/>
  <c r="P57" i="1" s="1"/>
  <c r="Q57" i="1" s="1"/>
  <c r="M57" i="1"/>
  <c r="N57" i="1" s="1"/>
  <c r="L57" i="1"/>
  <c r="O56" i="1"/>
  <c r="P56" i="1" s="1"/>
  <c r="Q56" i="1" s="1"/>
  <c r="M56" i="1"/>
  <c r="N56" i="1" s="1"/>
  <c r="L56" i="1"/>
  <c r="P55" i="1"/>
  <c r="Q55" i="1" s="1"/>
  <c r="O55" i="1"/>
  <c r="M55" i="1"/>
  <c r="N55" i="1" s="1"/>
  <c r="L55" i="1"/>
  <c r="O54" i="1"/>
  <c r="P54" i="1" s="1"/>
  <c r="Q54" i="1" s="1"/>
  <c r="N54" i="1"/>
  <c r="M54" i="1"/>
  <c r="L54" i="1"/>
  <c r="O53" i="1"/>
  <c r="P53" i="1" s="1"/>
  <c r="Q53" i="1" s="1"/>
  <c r="M53" i="1"/>
  <c r="N53" i="1" s="1"/>
  <c r="L53" i="1"/>
  <c r="O52" i="1"/>
  <c r="P52" i="1" s="1"/>
  <c r="Q52" i="1" s="1"/>
  <c r="M52" i="1"/>
  <c r="N52" i="1" s="1"/>
  <c r="L52" i="1"/>
  <c r="P51" i="1"/>
  <c r="Q51" i="1" s="1"/>
  <c r="O51" i="1"/>
  <c r="M51" i="1"/>
  <c r="N51" i="1" s="1"/>
  <c r="L51" i="1"/>
  <c r="O50" i="1"/>
  <c r="P50" i="1" s="1"/>
  <c r="Q50" i="1" s="1"/>
  <c r="N50" i="1"/>
  <c r="M50" i="1"/>
  <c r="L50" i="1"/>
  <c r="O49" i="1"/>
  <c r="P49" i="1" s="1"/>
  <c r="Q49" i="1" s="1"/>
  <c r="M49" i="1"/>
  <c r="N49" i="1" s="1"/>
  <c r="L49" i="1"/>
  <c r="O48" i="1"/>
  <c r="P48" i="1" s="1"/>
  <c r="Q48" i="1" s="1"/>
  <c r="M48" i="1"/>
  <c r="N48" i="1" s="1"/>
  <c r="L48" i="1"/>
  <c r="P47" i="1"/>
  <c r="Q47" i="1" s="1"/>
  <c r="O47" i="1"/>
  <c r="M47" i="1"/>
  <c r="N47" i="1" s="1"/>
  <c r="L47" i="1"/>
  <c r="O46" i="1"/>
  <c r="P46" i="1" s="1"/>
  <c r="Q46" i="1" s="1"/>
  <c r="N46" i="1"/>
  <c r="M46" i="1"/>
  <c r="L46" i="1"/>
  <c r="O45" i="1"/>
  <c r="P45" i="1" s="1"/>
  <c r="Q45" i="1" s="1"/>
  <c r="M45" i="1"/>
  <c r="N45" i="1" s="1"/>
  <c r="L45" i="1"/>
  <c r="O44" i="1"/>
  <c r="P44" i="1" s="1"/>
  <c r="Q44" i="1" s="1"/>
  <c r="M44" i="1"/>
  <c r="N44" i="1" s="1"/>
  <c r="L44" i="1"/>
  <c r="P43" i="1"/>
  <c r="Q43" i="1" s="1"/>
  <c r="O43" i="1"/>
  <c r="M43" i="1"/>
  <c r="N43" i="1" s="1"/>
  <c r="L43" i="1"/>
  <c r="O42" i="1"/>
  <c r="P42" i="1" s="1"/>
  <c r="Q42" i="1" s="1"/>
  <c r="N42" i="1"/>
  <c r="M42" i="1"/>
  <c r="L42" i="1"/>
  <c r="O41" i="1"/>
  <c r="P41" i="1" s="1"/>
  <c r="Q41" i="1" s="1"/>
  <c r="M41" i="1"/>
  <c r="N41" i="1" s="1"/>
  <c r="L41" i="1"/>
  <c r="O40" i="1"/>
  <c r="P40" i="1" s="1"/>
  <c r="Q40" i="1" s="1"/>
  <c r="M40" i="1"/>
  <c r="N40" i="1" s="1"/>
  <c r="L40" i="1"/>
  <c r="P39" i="1"/>
  <c r="Q39" i="1" s="1"/>
  <c r="O39" i="1"/>
  <c r="M39" i="1"/>
  <c r="N39" i="1" s="1"/>
  <c r="L39" i="1"/>
  <c r="O38" i="1"/>
  <c r="P38" i="1" s="1"/>
  <c r="Q38" i="1" s="1"/>
  <c r="N38" i="1"/>
  <c r="M38" i="1"/>
  <c r="L38" i="1"/>
  <c r="O37" i="1"/>
  <c r="P37" i="1" s="1"/>
  <c r="Q37" i="1" s="1"/>
  <c r="M37" i="1"/>
  <c r="N37" i="1" s="1"/>
  <c r="L37" i="1"/>
  <c r="O36" i="1"/>
  <c r="P36" i="1" s="1"/>
  <c r="Q36" i="1" s="1"/>
  <c r="M36" i="1"/>
  <c r="N36" i="1" s="1"/>
  <c r="L36" i="1"/>
  <c r="P35" i="1"/>
  <c r="Q35" i="1" s="1"/>
  <c r="O35" i="1"/>
  <c r="M35" i="1"/>
  <c r="N35" i="1" s="1"/>
  <c r="L35" i="1"/>
  <c r="O34" i="1"/>
  <c r="P34" i="1" s="1"/>
  <c r="Q34" i="1" s="1"/>
  <c r="N34" i="1"/>
  <c r="M34" i="1"/>
  <c r="L34" i="1"/>
  <c r="O33" i="1"/>
  <c r="P33" i="1" s="1"/>
  <c r="Q33" i="1" s="1"/>
  <c r="M33" i="1"/>
  <c r="N33" i="1" s="1"/>
  <c r="L33" i="1"/>
  <c r="O32" i="1"/>
  <c r="P32" i="1" s="1"/>
  <c r="Q32" i="1" s="1"/>
  <c r="M32" i="1"/>
  <c r="N32" i="1" s="1"/>
  <c r="L32" i="1"/>
  <c r="P31" i="1"/>
  <c r="Q31" i="1" s="1"/>
  <c r="O31" i="1"/>
  <c r="M31" i="1"/>
  <c r="N31" i="1" s="1"/>
  <c r="L31" i="1"/>
  <c r="O30" i="1"/>
  <c r="P30" i="1" s="1"/>
  <c r="Q30" i="1" s="1"/>
  <c r="N30" i="1"/>
  <c r="M30" i="1"/>
  <c r="L30" i="1"/>
  <c r="O29" i="1"/>
  <c r="P29" i="1" s="1"/>
  <c r="Q29" i="1" s="1"/>
  <c r="M29" i="1"/>
  <c r="N29" i="1" s="1"/>
  <c r="L29" i="1"/>
  <c r="O28" i="1"/>
  <c r="P28" i="1" s="1"/>
  <c r="Q28" i="1" s="1"/>
  <c r="M28" i="1"/>
  <c r="N28" i="1" s="1"/>
  <c r="L28" i="1"/>
  <c r="P27" i="1"/>
  <c r="Q27" i="1" s="1"/>
  <c r="O27" i="1"/>
  <c r="M27" i="1"/>
  <c r="N27" i="1" s="1"/>
  <c r="L27" i="1"/>
  <c r="O26" i="1"/>
  <c r="P26" i="1" s="1"/>
  <c r="Q26" i="1" s="1"/>
  <c r="N26" i="1"/>
  <c r="M26" i="1"/>
  <c r="L26" i="1"/>
  <c r="O25" i="1"/>
  <c r="P25" i="1" s="1"/>
  <c r="Q25" i="1" s="1"/>
  <c r="M25" i="1"/>
  <c r="N25" i="1" s="1"/>
  <c r="L25" i="1"/>
  <c r="O24" i="1"/>
  <c r="P24" i="1" s="1"/>
  <c r="Q24" i="1" s="1"/>
  <c r="M24" i="1"/>
  <c r="N24" i="1" s="1"/>
  <c r="L24" i="1"/>
  <c r="P23" i="1"/>
  <c r="Q23" i="1" s="1"/>
  <c r="O23" i="1"/>
  <c r="M23" i="1"/>
  <c r="N23" i="1" s="1"/>
  <c r="L23" i="1"/>
  <c r="O22" i="1"/>
  <c r="P22" i="1" s="1"/>
  <c r="Q22" i="1" s="1"/>
  <c r="N22" i="1"/>
  <c r="M22" i="1"/>
  <c r="L22" i="1"/>
  <c r="O21" i="1"/>
  <c r="P21" i="1" s="1"/>
  <c r="Q21" i="1" s="1"/>
  <c r="M21" i="1"/>
  <c r="N21" i="1" s="1"/>
  <c r="L21" i="1"/>
  <c r="O20" i="1"/>
  <c r="P20" i="1" s="1"/>
  <c r="Q20" i="1" s="1"/>
  <c r="M20" i="1"/>
  <c r="N20" i="1" s="1"/>
  <c r="L20" i="1"/>
  <c r="P19" i="1"/>
  <c r="Q19" i="1" s="1"/>
  <c r="O19" i="1"/>
  <c r="M19" i="1"/>
  <c r="N19" i="1" s="1"/>
  <c r="L19" i="1"/>
  <c r="O18" i="1"/>
  <c r="P18" i="1" s="1"/>
  <c r="Q18" i="1" s="1"/>
  <c r="N18" i="1"/>
  <c r="M18" i="1"/>
  <c r="L18" i="1"/>
  <c r="O17" i="1"/>
  <c r="P17" i="1" s="1"/>
  <c r="Q17" i="1" s="1"/>
  <c r="M17" i="1"/>
  <c r="N17" i="1" s="1"/>
  <c r="L17" i="1"/>
  <c r="O16" i="1"/>
  <c r="P16" i="1" s="1"/>
  <c r="Q16" i="1" s="1"/>
  <c r="M16" i="1"/>
  <c r="N16" i="1" s="1"/>
  <c r="L16" i="1"/>
  <c r="P15" i="1"/>
  <c r="Q15" i="1" s="1"/>
  <c r="O15" i="1"/>
  <c r="M15" i="1"/>
  <c r="N15" i="1" s="1"/>
  <c r="L15" i="1"/>
  <c r="O14" i="1"/>
  <c r="P14" i="1" s="1"/>
  <c r="Q14" i="1" s="1"/>
  <c r="N14" i="1"/>
  <c r="M14" i="1"/>
  <c r="L14" i="1"/>
  <c r="O13" i="1"/>
  <c r="P13" i="1" s="1"/>
  <c r="Q13" i="1" s="1"/>
  <c r="M13" i="1"/>
  <c r="N13" i="1" s="1"/>
  <c r="L13" i="1"/>
  <c r="O12" i="1"/>
  <c r="P12" i="1" s="1"/>
  <c r="Q12" i="1" s="1"/>
  <c r="M12" i="1"/>
  <c r="N12" i="1" s="1"/>
  <c r="L12" i="1"/>
  <c r="P11" i="1"/>
  <c r="Q11" i="1" s="1"/>
  <c r="O11" i="1"/>
  <c r="M11" i="1"/>
  <c r="N11" i="1" s="1"/>
  <c r="L11" i="1"/>
  <c r="O10" i="1"/>
  <c r="P10" i="1" s="1"/>
  <c r="Q10" i="1" s="1"/>
  <c r="N10" i="1"/>
  <c r="M10" i="1"/>
  <c r="L10" i="1"/>
  <c r="S1126" i="6" l="1"/>
  <c r="S1118" i="6"/>
  <c r="A250" i="4"/>
  <c r="A591" i="4"/>
  <c r="A925" i="4"/>
  <c r="A1266" i="4"/>
  <c r="A1607" i="4"/>
  <c r="A1949" i="4"/>
  <c r="A2722" i="4"/>
  <c r="A493" i="4"/>
  <c r="A18" i="4"/>
  <c r="A63" i="4"/>
  <c r="A113" i="4"/>
  <c r="A161" i="4"/>
  <c r="A210" i="4"/>
  <c r="A258" i="4"/>
  <c r="A308" i="4"/>
  <c r="A357" i="4"/>
  <c r="A405" i="4"/>
  <c r="A454" i="4"/>
  <c r="A502" i="4"/>
  <c r="A551" i="4"/>
  <c r="A599" i="4"/>
  <c r="A652" i="4"/>
  <c r="A709" i="4"/>
  <c r="A765" i="4"/>
  <c r="A822" i="4"/>
  <c r="A879" i="4"/>
  <c r="A935" i="4"/>
  <c r="A993" i="4"/>
  <c r="A1050" i="4"/>
  <c r="A1106" i="4"/>
  <c r="A1164" i="4"/>
  <c r="A1221" i="4"/>
  <c r="A1277" i="4"/>
  <c r="A1334" i="4"/>
  <c r="A1391" i="4"/>
  <c r="A1447" i="4"/>
  <c r="A1505" i="4"/>
  <c r="A1562" i="4"/>
  <c r="A1618" i="4"/>
  <c r="A1676" i="4"/>
  <c r="A1733" i="4"/>
  <c r="A1789" i="4"/>
  <c r="A1846" i="4"/>
  <c r="A1903" i="4"/>
  <c r="A1959" i="4"/>
  <c r="A2017" i="4"/>
  <c r="A2074" i="4"/>
  <c r="A2199" i="4"/>
  <c r="A2370" i="4"/>
  <c r="A2541" i="4"/>
  <c r="A2743" i="4"/>
  <c r="A2948" i="4"/>
  <c r="A3153" i="4"/>
  <c r="A54" i="4"/>
  <c r="A348" i="4"/>
  <c r="A698" i="4"/>
  <c r="A1039" i="4"/>
  <c r="A1381" i="4"/>
  <c r="A1722" i="4"/>
  <c r="A2006" i="4"/>
  <c r="A2927" i="4"/>
  <c r="A21" i="4"/>
  <c r="A66" i="4"/>
  <c r="A116" i="4"/>
  <c r="A165" i="4"/>
  <c r="A213" i="4"/>
  <c r="A262" i="4"/>
  <c r="A310" i="4"/>
  <c r="A359" i="4"/>
  <c r="A407" i="4"/>
  <c r="A457" i="4"/>
  <c r="A506" i="4"/>
  <c r="A554" i="4"/>
  <c r="A604" i="4"/>
  <c r="A655" i="4"/>
  <c r="A711" i="4"/>
  <c r="A769" i="4"/>
  <c r="A826" i="4"/>
  <c r="A882" i="4"/>
  <c r="A940" i="4"/>
  <c r="A997" i="4"/>
  <c r="A1053" i="4"/>
  <c r="A1110" i="4"/>
  <c r="A1167" i="4"/>
  <c r="A1223" i="4"/>
  <c r="A1281" i="4"/>
  <c r="A1338" i="4"/>
  <c r="A1394" i="4"/>
  <c r="A1452" i="4"/>
  <c r="A1509" i="4"/>
  <c r="A1565" i="4"/>
  <c r="A1622" i="4"/>
  <c r="A1679" i="4"/>
  <c r="A1735" i="4"/>
  <c r="A1793" i="4"/>
  <c r="A1850" i="4"/>
  <c r="A1906" i="4"/>
  <c r="A1964" i="4"/>
  <c r="A2021" i="4"/>
  <c r="A2087" i="4"/>
  <c r="A2221" i="4"/>
  <c r="A2391" i="4"/>
  <c r="A2564" i="4"/>
  <c r="A2769" i="4"/>
  <c r="A2973" i="4"/>
  <c r="A10" i="4"/>
  <c r="A298" i="4"/>
  <c r="A641" i="4"/>
  <c r="A982" i="4"/>
  <c r="A1324" i="4"/>
  <c r="A1665" i="4"/>
  <c r="A2353" i="4"/>
  <c r="A29" i="4"/>
  <c r="A76" i="4"/>
  <c r="A125" i="4"/>
  <c r="A173" i="4"/>
  <c r="A222" i="4"/>
  <c r="A271" i="4"/>
  <c r="A319" i="4"/>
  <c r="A369" i="4"/>
  <c r="A417" i="4"/>
  <c r="A466" i="4"/>
  <c r="A514" i="4"/>
  <c r="A564" i="4"/>
  <c r="A613" i="4"/>
  <c r="A666" i="4"/>
  <c r="A722" i="4"/>
  <c r="A780" i="4"/>
  <c r="A837" i="4"/>
  <c r="A893" i="4"/>
  <c r="A950" i="4"/>
  <c r="A1007" i="4"/>
  <c r="A1063" i="4"/>
  <c r="A1121" i="4"/>
  <c r="A1178" i="4"/>
  <c r="A1234" i="4"/>
  <c r="A1292" i="4"/>
  <c r="A1349" i="4"/>
  <c r="A1405" i="4"/>
  <c r="A1462" i="4"/>
  <c r="A1519" i="4"/>
  <c r="A1575" i="4"/>
  <c r="A1633" i="4"/>
  <c r="A1690" i="4"/>
  <c r="A1746" i="4"/>
  <c r="A1804" i="4"/>
  <c r="A1861" i="4"/>
  <c r="A1917" i="4"/>
  <c r="A1974" i="4"/>
  <c r="A2031" i="4"/>
  <c r="A2106" i="4"/>
  <c r="A2246" i="4"/>
  <c r="A2417" i="4"/>
  <c r="A2594" i="4"/>
  <c r="A2799" i="4"/>
  <c r="A3004" i="4"/>
  <c r="A201" i="4"/>
  <c r="A542" i="4"/>
  <c r="A869" i="4"/>
  <c r="A1210" i="4"/>
  <c r="A1551" i="4"/>
  <c r="A1893" i="4"/>
  <c r="A2524" i="4"/>
  <c r="A31" i="4"/>
  <c r="A79" i="4"/>
  <c r="A127" i="4"/>
  <c r="A177" i="4"/>
  <c r="A225" i="4"/>
  <c r="A274" i="4"/>
  <c r="A322" i="4"/>
  <c r="A372" i="4"/>
  <c r="A421" i="4"/>
  <c r="A469" i="4"/>
  <c r="A518" i="4"/>
  <c r="A566" i="4"/>
  <c r="A615" i="4"/>
  <c r="A669" i="4"/>
  <c r="A726" i="4"/>
  <c r="A783" i="4"/>
  <c r="A839" i="4"/>
  <c r="A897" i="4"/>
  <c r="A954" i="4"/>
  <c r="A1010" i="4"/>
  <c r="A1068" i="4"/>
  <c r="A1125" i="4"/>
  <c r="A1181" i="4"/>
  <c r="A1238" i="4"/>
  <c r="A1295" i="4"/>
  <c r="A1351" i="4"/>
  <c r="A1409" i="4"/>
  <c r="A1466" i="4"/>
  <c r="A1522" i="4"/>
  <c r="A1580" i="4"/>
  <c r="A1637" i="4"/>
  <c r="A1693" i="4"/>
  <c r="A1750" i="4"/>
  <c r="A1807" i="4"/>
  <c r="A1863" i="4"/>
  <c r="A1921" i="4"/>
  <c r="A1978" i="4"/>
  <c r="A2034" i="4"/>
  <c r="A2119" i="4"/>
  <c r="A2268" i="4"/>
  <c r="A2438" i="4"/>
  <c r="A2620" i="4"/>
  <c r="A2825" i="4"/>
  <c r="A3029" i="4"/>
  <c r="A103" i="4"/>
  <c r="A396" i="4"/>
  <c r="A754" i="4"/>
  <c r="A1095" i="4"/>
  <c r="A1437" i="4"/>
  <c r="A1778" i="4"/>
  <c r="A2063" i="4"/>
  <c r="A3132" i="4"/>
  <c r="A39" i="4"/>
  <c r="A87" i="4"/>
  <c r="A137" i="4"/>
  <c r="A186" i="4"/>
  <c r="A234" i="4"/>
  <c r="A284" i="4"/>
  <c r="A332" i="4"/>
  <c r="A381" i="4"/>
  <c r="A429" i="4"/>
  <c r="A478" i="4"/>
  <c r="A527" i="4"/>
  <c r="A575" i="4"/>
  <c r="A625" i="4"/>
  <c r="A679" i="4"/>
  <c r="A737" i="4"/>
  <c r="A794" i="4"/>
  <c r="A850" i="4"/>
  <c r="A908" i="4"/>
  <c r="A965" i="4"/>
  <c r="A1021" i="4"/>
  <c r="A1078" i="4"/>
  <c r="A1135" i="4"/>
  <c r="A1191" i="4"/>
  <c r="A1249" i="4"/>
  <c r="A1306" i="4"/>
  <c r="A1362" i="4"/>
  <c r="A1420" i="4"/>
  <c r="A1477" i="4"/>
  <c r="A1533" i="4"/>
  <c r="A1590" i="4"/>
  <c r="A1647" i="4"/>
  <c r="A1703" i="4"/>
  <c r="A1761" i="4"/>
  <c r="A1818" i="4"/>
  <c r="A1874" i="4"/>
  <c r="A1932" i="4"/>
  <c r="A1989" i="4"/>
  <c r="A2045" i="4"/>
  <c r="A2130" i="4"/>
  <c r="A2285" i="4"/>
  <c r="A2455" i="4"/>
  <c r="A2641" i="4"/>
  <c r="A2845" i="4"/>
  <c r="A3050" i="4"/>
  <c r="W21" i="4"/>
  <c r="W17" i="4"/>
  <c r="W11" i="4"/>
  <c r="A151" i="4"/>
  <c r="A445" i="4"/>
  <c r="A812" i="4"/>
  <c r="A1153" i="4"/>
  <c r="A1494" i="4"/>
  <c r="A1836" i="4"/>
  <c r="A2183" i="4"/>
  <c r="A42" i="4"/>
  <c r="A92" i="4"/>
  <c r="A140" i="4"/>
  <c r="A189" i="4"/>
  <c r="A237" i="4"/>
  <c r="A286" i="4"/>
  <c r="A335" i="4"/>
  <c r="A383" i="4"/>
  <c r="A433" i="4"/>
  <c r="A481" i="4"/>
  <c r="A530" i="4"/>
  <c r="A578" i="4"/>
  <c r="A628" i="4"/>
  <c r="A684" i="4"/>
  <c r="A741" i="4"/>
  <c r="A797" i="4"/>
  <c r="A854" i="4"/>
  <c r="A911" i="4"/>
  <c r="A967" i="4"/>
  <c r="A1025" i="4"/>
  <c r="A1082" i="4"/>
  <c r="A1138" i="4"/>
  <c r="A1196" i="4"/>
  <c r="A1253" i="4"/>
  <c r="A1309" i="4"/>
  <c r="A1366" i="4"/>
  <c r="A1423" i="4"/>
  <c r="A1479" i="4"/>
  <c r="A1537" i="4"/>
  <c r="A1594" i="4"/>
  <c r="A1650" i="4"/>
  <c r="A1708" i="4"/>
  <c r="A1765" i="4"/>
  <c r="A1821" i="4"/>
  <c r="A1878" i="4"/>
  <c r="A1935" i="4"/>
  <c r="A1991" i="4"/>
  <c r="A2049" i="4"/>
  <c r="A2146" i="4"/>
  <c r="A2306" i="4"/>
  <c r="A2477" i="4"/>
  <c r="A2666" i="4"/>
  <c r="A2871" i="4"/>
  <c r="W14" i="4"/>
  <c r="A3101" i="4"/>
  <c r="A2999" i="4"/>
  <c r="A2897" i="4"/>
  <c r="A2794" i="4"/>
  <c r="A2692" i="4"/>
  <c r="A2589" i="4"/>
  <c r="A2498" i="4"/>
  <c r="A2413" i="4"/>
  <c r="A2327" i="4"/>
  <c r="A2242" i="4"/>
  <c r="A2162" i="4"/>
  <c r="A2102" i="4"/>
  <c r="A3081" i="4"/>
  <c r="A2978" i="4"/>
  <c r="A2876" i="4"/>
  <c r="A2773" i="4"/>
  <c r="A2671" i="4"/>
  <c r="A2569" i="4"/>
  <c r="A2481" i="4"/>
  <c r="A2396" i="4"/>
  <c r="A2310" i="4"/>
  <c r="A2225" i="4"/>
  <c r="A2150" i="4"/>
  <c r="A2092" i="4"/>
  <c r="A3157" i="4"/>
  <c r="A3055" i="4"/>
  <c r="A2953" i="4"/>
  <c r="A2850" i="4"/>
  <c r="A2748" i="4"/>
  <c r="A2645" i="4"/>
  <c r="A2545" i="4"/>
  <c r="A2460" i="4"/>
  <c r="A2374" i="4"/>
  <c r="A2289" i="4"/>
  <c r="A2204" i="4"/>
  <c r="A2134" i="4"/>
  <c r="A2077" i="4"/>
  <c r="A3127" i="4"/>
  <c r="A3025" i="4"/>
  <c r="A2922" i="4"/>
  <c r="A2820" i="4"/>
  <c r="A2717" i="4"/>
  <c r="A2615" i="4"/>
  <c r="A2519" i="4"/>
  <c r="A2434" i="4"/>
  <c r="A2349" i="4"/>
  <c r="A2263" i="4"/>
  <c r="A2181" i="4"/>
  <c r="A2117" i="4"/>
  <c r="A52" i="4"/>
  <c r="A101" i="4"/>
  <c r="A149" i="4"/>
  <c r="A198" i="4"/>
  <c r="A246" i="4"/>
  <c r="A295" i="4"/>
  <c r="A343" i="4"/>
  <c r="A393" i="4"/>
  <c r="A442" i="4"/>
  <c r="A490" i="4"/>
  <c r="A540" i="4"/>
  <c r="A588" i="4"/>
  <c r="A637" i="4"/>
  <c r="A694" i="4"/>
  <c r="A751" i="4"/>
  <c r="A807" i="4"/>
  <c r="A865" i="4"/>
  <c r="A922" i="4"/>
  <c r="A978" i="4"/>
  <c r="A1036" i="4"/>
  <c r="A1093" i="4"/>
  <c r="A1149" i="4"/>
  <c r="A1206" i="4"/>
  <c r="A1263" i="4"/>
  <c r="A1319" i="4"/>
  <c r="A1377" i="4"/>
  <c r="A1434" i="4"/>
  <c r="A1490" i="4"/>
  <c r="A1548" i="4"/>
  <c r="A1605" i="4"/>
  <c r="A1661" i="4"/>
  <c r="A1718" i="4"/>
  <c r="A1775" i="4"/>
  <c r="A1831" i="4"/>
  <c r="A1889" i="4"/>
  <c r="A1946" i="4"/>
  <c r="A2002" i="4"/>
  <c r="A2060" i="4"/>
  <c r="A2167" i="4"/>
  <c r="A2332" i="4"/>
  <c r="A2502" i="4"/>
  <c r="A2697" i="4"/>
  <c r="A2901" i="4"/>
  <c r="A3106" i="4"/>
  <c r="W16" i="4"/>
  <c r="S1125" i="6"/>
  <c r="S1117" i="6"/>
  <c r="Q167" i="1"/>
  <c r="O511" i="1"/>
  <c r="P511" i="1" s="1"/>
  <c r="A41" i="3"/>
  <c r="A81" i="3"/>
  <c r="A145" i="3"/>
  <c r="A201" i="3"/>
  <c r="A273" i="3"/>
  <c r="A345" i="3"/>
  <c r="A401" i="3"/>
  <c r="A489" i="3"/>
  <c r="A593" i="3"/>
  <c r="A14" i="3"/>
  <c r="A22" i="3"/>
  <c r="A30" i="3"/>
  <c r="A38" i="3"/>
  <c r="A46" i="3"/>
  <c r="A54" i="3"/>
  <c r="A62" i="3"/>
  <c r="A70" i="3"/>
  <c r="A78" i="3"/>
  <c r="A86" i="3"/>
  <c r="A94" i="3"/>
  <c r="A102" i="3"/>
  <c r="A110" i="3"/>
  <c r="A118" i="3"/>
  <c r="A126" i="3"/>
  <c r="A134" i="3"/>
  <c r="A142" i="3"/>
  <c r="A150" i="3"/>
  <c r="A158" i="3"/>
  <c r="A166" i="3"/>
  <c r="A174" i="3"/>
  <c r="A182" i="3"/>
  <c r="A190" i="3"/>
  <c r="A198" i="3"/>
  <c r="A206" i="3"/>
  <c r="A214" i="3"/>
  <c r="A222" i="3"/>
  <c r="A230" i="3"/>
  <c r="A238" i="3"/>
  <c r="A246" i="3"/>
  <c r="A254" i="3"/>
  <c r="A262" i="3"/>
  <c r="A270" i="3"/>
  <c r="A278" i="3"/>
  <c r="A286" i="3"/>
  <c r="A294" i="3"/>
  <c r="A302" i="3"/>
  <c r="A310" i="3"/>
  <c r="A318" i="3"/>
  <c r="A326" i="3"/>
  <c r="A334" i="3"/>
  <c r="A342" i="3"/>
  <c r="A350" i="3"/>
  <c r="A358" i="3"/>
  <c r="A366" i="3"/>
  <c r="A374" i="3"/>
  <c r="A382" i="3"/>
  <c r="A390" i="3"/>
  <c r="A398" i="3"/>
  <c r="A406" i="3"/>
  <c r="A414" i="3"/>
  <c r="A422" i="3"/>
  <c r="A430" i="3"/>
  <c r="A438" i="3"/>
  <c r="A446" i="3"/>
  <c r="A454" i="3"/>
  <c r="A462" i="3"/>
  <c r="A470" i="3"/>
  <c r="A478" i="3"/>
  <c r="A486" i="3"/>
  <c r="A494" i="3"/>
  <c r="A502" i="3"/>
  <c r="A510" i="3"/>
  <c r="A518" i="3"/>
  <c r="A526" i="3"/>
  <c r="A534" i="3"/>
  <c r="A542" i="3"/>
  <c r="A550" i="3"/>
  <c r="A558" i="3"/>
  <c r="A566" i="3"/>
  <c r="A574" i="3"/>
  <c r="A582" i="3"/>
  <c r="A590" i="3"/>
  <c r="A598" i="3"/>
  <c r="A606" i="3"/>
  <c r="A614" i="3"/>
  <c r="A622" i="3"/>
  <c r="A630" i="3"/>
  <c r="A638" i="3"/>
  <c r="A646" i="3"/>
  <c r="A654" i="3"/>
  <c r="A662" i="3"/>
  <c r="W14" i="3"/>
  <c r="A49" i="3"/>
  <c r="A97" i="3"/>
  <c r="A153" i="3"/>
  <c r="A217" i="3"/>
  <c r="A289" i="3"/>
  <c r="A377" i="3"/>
  <c r="A433" i="3"/>
  <c r="A481" i="3"/>
  <c r="A521" i="3"/>
  <c r="A561" i="3"/>
  <c r="A585" i="3"/>
  <c r="A601" i="3"/>
  <c r="A617" i="3"/>
  <c r="A633" i="3"/>
  <c r="A657" i="3"/>
  <c r="A665" i="3"/>
  <c r="A15" i="3"/>
  <c r="A23" i="3"/>
  <c r="A31" i="3"/>
  <c r="A39" i="3"/>
  <c r="A47" i="3"/>
  <c r="A55" i="3"/>
  <c r="A63" i="3"/>
  <c r="A71" i="3"/>
  <c r="A79" i="3"/>
  <c r="A87" i="3"/>
  <c r="A95" i="3"/>
  <c r="A103" i="3"/>
  <c r="A111" i="3"/>
  <c r="A119" i="3"/>
  <c r="A127" i="3"/>
  <c r="A135" i="3"/>
  <c r="A143" i="3"/>
  <c r="A151" i="3"/>
  <c r="A159" i="3"/>
  <c r="A167" i="3"/>
  <c r="A175" i="3"/>
  <c r="A183" i="3"/>
  <c r="A191" i="3"/>
  <c r="A199" i="3"/>
  <c r="A207" i="3"/>
  <c r="A215" i="3"/>
  <c r="A223" i="3"/>
  <c r="A231" i="3"/>
  <c r="A239" i="3"/>
  <c r="A247" i="3"/>
  <c r="A255" i="3"/>
  <c r="A263" i="3"/>
  <c r="A271" i="3"/>
  <c r="A279" i="3"/>
  <c r="A287" i="3"/>
  <c r="A295" i="3"/>
  <c r="A303" i="3"/>
  <c r="A311" i="3"/>
  <c r="A319" i="3"/>
  <c r="A327" i="3"/>
  <c r="A335" i="3"/>
  <c r="A343" i="3"/>
  <c r="A351" i="3"/>
  <c r="A359" i="3"/>
  <c r="A367" i="3"/>
  <c r="A375" i="3"/>
  <c r="A383" i="3"/>
  <c r="A391" i="3"/>
  <c r="A399" i="3"/>
  <c r="A407" i="3"/>
  <c r="A415" i="3"/>
  <c r="A423" i="3"/>
  <c r="A431" i="3"/>
  <c r="A439" i="3"/>
  <c r="A447" i="3"/>
  <c r="A455" i="3"/>
  <c r="A463" i="3"/>
  <c r="A471" i="3"/>
  <c r="A479" i="3"/>
  <c r="A487" i="3"/>
  <c r="A495" i="3"/>
  <c r="A503" i="3"/>
  <c r="A511" i="3"/>
  <c r="A519" i="3"/>
  <c r="A527" i="3"/>
  <c r="A535" i="3"/>
  <c r="A543" i="3"/>
  <c r="A551" i="3"/>
  <c r="A559" i="3"/>
  <c r="A567" i="3"/>
  <c r="A575" i="3"/>
  <c r="A583" i="3"/>
  <c r="A591" i="3"/>
  <c r="A599" i="3"/>
  <c r="A607" i="3"/>
  <c r="A615" i="3"/>
  <c r="A623" i="3"/>
  <c r="A631" i="3"/>
  <c r="A639" i="3"/>
  <c r="A647" i="3"/>
  <c r="A655" i="3"/>
  <c r="A663" i="3"/>
  <c r="W15" i="3"/>
  <c r="A33" i="3"/>
  <c r="A65" i="3"/>
  <c r="A113" i="3"/>
  <c r="A137" i="3"/>
  <c r="A169" i="3"/>
  <c r="A193" i="3"/>
  <c r="A233" i="3"/>
  <c r="A257" i="3"/>
  <c r="A281" i="3"/>
  <c r="A313" i="3"/>
  <c r="A329" i="3"/>
  <c r="A369" i="3"/>
  <c r="A393" i="3"/>
  <c r="A417" i="3"/>
  <c r="A457" i="3"/>
  <c r="A497" i="3"/>
  <c r="A529" i="3"/>
  <c r="A569" i="3"/>
  <c r="A649" i="3"/>
  <c r="O167" i="1"/>
  <c r="P167" i="1" s="1"/>
  <c r="A9" i="3"/>
  <c r="A16" i="3"/>
  <c r="A24" i="3"/>
  <c r="A32" i="3"/>
  <c r="A40" i="3"/>
  <c r="A48" i="3"/>
  <c r="A56" i="3"/>
  <c r="A64" i="3"/>
  <c r="A72" i="3"/>
  <c r="A80" i="3"/>
  <c r="A88" i="3"/>
  <c r="A96" i="3"/>
  <c r="A104" i="3"/>
  <c r="A112" i="3"/>
  <c r="A120" i="3"/>
  <c r="A128" i="3"/>
  <c r="A136" i="3"/>
  <c r="A144" i="3"/>
  <c r="A152" i="3"/>
  <c r="A160" i="3"/>
  <c r="A168" i="3"/>
  <c r="A176" i="3"/>
  <c r="A184" i="3"/>
  <c r="A192" i="3"/>
  <c r="A200" i="3"/>
  <c r="A208" i="3"/>
  <c r="A216" i="3"/>
  <c r="A224" i="3"/>
  <c r="A232" i="3"/>
  <c r="A240" i="3"/>
  <c r="A248" i="3"/>
  <c r="A256" i="3"/>
  <c r="A264" i="3"/>
  <c r="A272" i="3"/>
  <c r="A280" i="3"/>
  <c r="A288" i="3"/>
  <c r="A296" i="3"/>
  <c r="A304" i="3"/>
  <c r="A312" i="3"/>
  <c r="A320" i="3"/>
  <c r="A328" i="3"/>
  <c r="A336" i="3"/>
  <c r="A344" i="3"/>
  <c r="A352" i="3"/>
  <c r="A360" i="3"/>
  <c r="A368" i="3"/>
  <c r="A376" i="3"/>
  <c r="A384" i="3"/>
  <c r="A392" i="3"/>
  <c r="A400" i="3"/>
  <c r="A408" i="3"/>
  <c r="A416" i="3"/>
  <c r="A424" i="3"/>
  <c r="A432" i="3"/>
  <c r="A440" i="3"/>
  <c r="A448" i="3"/>
  <c r="A456" i="3"/>
  <c r="A464" i="3"/>
  <c r="A472" i="3"/>
  <c r="A480" i="3"/>
  <c r="A488" i="3"/>
  <c r="A496" i="3"/>
  <c r="A504" i="3"/>
  <c r="A512" i="3"/>
  <c r="A520" i="3"/>
  <c r="A528" i="3"/>
  <c r="A536" i="3"/>
  <c r="A544" i="3"/>
  <c r="A552" i="3"/>
  <c r="A560" i="3"/>
  <c r="A568" i="3"/>
  <c r="A576" i="3"/>
  <c r="A584" i="3"/>
  <c r="A592" i="3"/>
  <c r="A600" i="3"/>
  <c r="A608" i="3"/>
  <c r="A616" i="3"/>
  <c r="A624" i="3"/>
  <c r="A632" i="3"/>
  <c r="A640" i="3"/>
  <c r="A648" i="3"/>
  <c r="A656" i="3"/>
  <c r="A664" i="3"/>
  <c r="W9" i="3"/>
  <c r="W16" i="3"/>
  <c r="S484" i="3"/>
  <c r="T484" i="3" s="1"/>
  <c r="A89" i="3"/>
  <c r="A449" i="3"/>
  <c r="A10" i="3"/>
  <c r="A18" i="3"/>
  <c r="A26" i="3"/>
  <c r="A34" i="3"/>
  <c r="A42" i="3"/>
  <c r="A50" i="3"/>
  <c r="A58" i="3"/>
  <c r="A66" i="3"/>
  <c r="A74" i="3"/>
  <c r="A82" i="3"/>
  <c r="A90" i="3"/>
  <c r="A98" i="3"/>
  <c r="A106" i="3"/>
  <c r="A114" i="3"/>
  <c r="A122" i="3"/>
  <c r="A130" i="3"/>
  <c r="A138" i="3"/>
  <c r="A146" i="3"/>
  <c r="A154" i="3"/>
  <c r="A162" i="3"/>
  <c r="A170" i="3"/>
  <c r="A178" i="3"/>
  <c r="A186" i="3"/>
  <c r="A194" i="3"/>
  <c r="A202" i="3"/>
  <c r="A210" i="3"/>
  <c r="A218" i="3"/>
  <c r="A226" i="3"/>
  <c r="A234" i="3"/>
  <c r="A242" i="3"/>
  <c r="A250" i="3"/>
  <c r="A258" i="3"/>
  <c r="A266" i="3"/>
  <c r="A274" i="3"/>
  <c r="A282" i="3"/>
  <c r="A290" i="3"/>
  <c r="A298" i="3"/>
  <c r="A306" i="3"/>
  <c r="A314" i="3"/>
  <c r="A322" i="3"/>
  <c r="A330" i="3"/>
  <c r="A338" i="3"/>
  <c r="A346" i="3"/>
  <c r="A354" i="3"/>
  <c r="A362" i="3"/>
  <c r="A370" i="3"/>
  <c r="A378" i="3"/>
  <c r="A386" i="3"/>
  <c r="A394" i="3"/>
  <c r="A402" i="3"/>
  <c r="A410" i="3"/>
  <c r="A418" i="3"/>
  <c r="A426" i="3"/>
  <c r="A434" i="3"/>
  <c r="A442" i="3"/>
  <c r="A450" i="3"/>
  <c r="A458" i="3"/>
  <c r="A466" i="3"/>
  <c r="A474" i="3"/>
  <c r="A482" i="3"/>
  <c r="A490" i="3"/>
  <c r="A498" i="3"/>
  <c r="A506" i="3"/>
  <c r="A514" i="3"/>
  <c r="A522" i="3"/>
  <c r="A530" i="3"/>
  <c r="A538" i="3"/>
  <c r="A546" i="3"/>
  <c r="A554" i="3"/>
  <c r="A562" i="3"/>
  <c r="A570" i="3"/>
  <c r="A578" i="3"/>
  <c r="A586" i="3"/>
  <c r="A594" i="3"/>
  <c r="A602" i="3"/>
  <c r="A610" i="3"/>
  <c r="A618" i="3"/>
  <c r="A626" i="3"/>
  <c r="A634" i="3"/>
  <c r="A642" i="3"/>
  <c r="A650" i="3"/>
  <c r="A658" i="3"/>
  <c r="A666" i="3"/>
  <c r="W10" i="3"/>
  <c r="A25" i="3"/>
  <c r="A73" i="3"/>
  <c r="A121" i="3"/>
  <c r="A177" i="3"/>
  <c r="A241" i="3"/>
  <c r="A297" i="3"/>
  <c r="A353" i="3"/>
  <c r="A425" i="3"/>
  <c r="A473" i="3"/>
  <c r="A513" i="3"/>
  <c r="A537" i="3"/>
  <c r="A553" i="3"/>
  <c r="A577" i="3"/>
  <c r="A609" i="3"/>
  <c r="A641" i="3"/>
  <c r="W17" i="3"/>
  <c r="A11" i="3"/>
  <c r="A19" i="3"/>
  <c r="A27" i="3"/>
  <c r="A35" i="3"/>
  <c r="A43" i="3"/>
  <c r="A51" i="3"/>
  <c r="A59" i="3"/>
  <c r="A67" i="3"/>
  <c r="A75" i="3"/>
  <c r="A83" i="3"/>
  <c r="A91" i="3"/>
  <c r="A99" i="3"/>
  <c r="A107" i="3"/>
  <c r="A115" i="3"/>
  <c r="A123" i="3"/>
  <c r="A131" i="3"/>
  <c r="A139" i="3"/>
  <c r="A147" i="3"/>
  <c r="A155" i="3"/>
  <c r="A163" i="3"/>
  <c r="A171" i="3"/>
  <c r="A179" i="3"/>
  <c r="A187" i="3"/>
  <c r="A195" i="3"/>
  <c r="A203" i="3"/>
  <c r="A211" i="3"/>
  <c r="A219" i="3"/>
  <c r="A227" i="3"/>
  <c r="A235" i="3"/>
  <c r="A243" i="3"/>
  <c r="A251" i="3"/>
  <c r="A259" i="3"/>
  <c r="A267" i="3"/>
  <c r="A275" i="3"/>
  <c r="A283" i="3"/>
  <c r="A291" i="3"/>
  <c r="A299" i="3"/>
  <c r="A307" i="3"/>
  <c r="A315" i="3"/>
  <c r="A323" i="3"/>
  <c r="A331" i="3"/>
  <c r="A339" i="3"/>
  <c r="A347" i="3"/>
  <c r="A355" i="3"/>
  <c r="A363" i="3"/>
  <c r="A371" i="3"/>
  <c r="A379" i="3"/>
  <c r="A387" i="3"/>
  <c r="A395" i="3"/>
  <c r="A403" i="3"/>
  <c r="A411" i="3"/>
  <c r="A419" i="3"/>
  <c r="A427" i="3"/>
  <c r="A435" i="3"/>
  <c r="A443" i="3"/>
  <c r="A451" i="3"/>
  <c r="A459" i="3"/>
  <c r="A467" i="3"/>
  <c r="A475" i="3"/>
  <c r="A483" i="3"/>
  <c r="A491" i="3"/>
  <c r="A499" i="3"/>
  <c r="A507" i="3"/>
  <c r="A515" i="3"/>
  <c r="A523" i="3"/>
  <c r="A531" i="3"/>
  <c r="A539" i="3"/>
  <c r="A547" i="3"/>
  <c r="A555" i="3"/>
  <c r="A563" i="3"/>
  <c r="A571" i="3"/>
  <c r="A579" i="3"/>
  <c r="A587" i="3"/>
  <c r="A595" i="3"/>
  <c r="A603" i="3"/>
  <c r="A611" i="3"/>
  <c r="A619" i="3"/>
  <c r="A627" i="3"/>
  <c r="A635" i="3"/>
  <c r="A643" i="3"/>
  <c r="A651" i="3"/>
  <c r="A659" i="3"/>
  <c r="A667" i="3"/>
  <c r="W11" i="3"/>
  <c r="A17" i="3"/>
  <c r="A57" i="3"/>
  <c r="A105" i="3"/>
  <c r="A129" i="3"/>
  <c r="A161" i="3"/>
  <c r="A185" i="3"/>
  <c r="A225" i="3"/>
  <c r="A249" i="3"/>
  <c r="A265" i="3"/>
  <c r="A305" i="3"/>
  <c r="A321" i="3"/>
  <c r="A337" i="3"/>
  <c r="A361" i="3"/>
  <c r="A385" i="3"/>
  <c r="A409" i="3"/>
  <c r="A441" i="3"/>
  <c r="A465" i="3"/>
  <c r="A505" i="3"/>
  <c r="A545" i="3"/>
  <c r="A625" i="3"/>
  <c r="A12" i="3"/>
  <c r="A20" i="3"/>
  <c r="A28" i="3"/>
  <c r="A36" i="3"/>
  <c r="A44" i="3"/>
  <c r="A52" i="3"/>
  <c r="A60" i="3"/>
  <c r="A68" i="3"/>
  <c r="A76" i="3"/>
  <c r="A84" i="3"/>
  <c r="A92" i="3"/>
  <c r="A100" i="3"/>
  <c r="A108" i="3"/>
  <c r="A116" i="3"/>
  <c r="A124" i="3"/>
  <c r="A132" i="3"/>
  <c r="A140" i="3"/>
  <c r="A148" i="3"/>
  <c r="A156" i="3"/>
  <c r="A164" i="3"/>
  <c r="A172" i="3"/>
  <c r="A180" i="3"/>
  <c r="A188" i="3"/>
  <c r="A196" i="3"/>
  <c r="A204" i="3"/>
  <c r="A212" i="3"/>
  <c r="A220" i="3"/>
  <c r="A228" i="3"/>
  <c r="A236" i="3"/>
  <c r="A244" i="3"/>
  <c r="A252" i="3"/>
  <c r="A260" i="3"/>
  <c r="A268" i="3"/>
  <c r="A276" i="3"/>
  <c r="A284" i="3"/>
  <c r="A292" i="3"/>
  <c r="A300" i="3"/>
  <c r="A308" i="3"/>
  <c r="A316" i="3"/>
  <c r="A324" i="3"/>
  <c r="A332" i="3"/>
  <c r="A340" i="3"/>
  <c r="A348" i="3"/>
  <c r="A356" i="3"/>
  <c r="A364" i="3"/>
  <c r="A372" i="3"/>
  <c r="A380" i="3"/>
  <c r="A388" i="3"/>
  <c r="A396" i="3"/>
  <c r="A404" i="3"/>
  <c r="A412" i="3"/>
  <c r="A420" i="3"/>
  <c r="A428" i="3"/>
  <c r="A436" i="3"/>
  <c r="A444" i="3"/>
  <c r="A452" i="3"/>
  <c r="A460" i="3"/>
  <c r="A468" i="3"/>
  <c r="A476" i="3"/>
  <c r="A484" i="3"/>
  <c r="A492" i="3"/>
  <c r="A500" i="3"/>
  <c r="A508" i="3"/>
  <c r="A516" i="3"/>
  <c r="A524" i="3"/>
  <c r="A532" i="3"/>
  <c r="A540" i="3"/>
  <c r="A548" i="3"/>
  <c r="A556" i="3"/>
  <c r="A564" i="3"/>
  <c r="A572" i="3"/>
  <c r="A580" i="3"/>
  <c r="A588" i="3"/>
  <c r="A596" i="3"/>
  <c r="A604" i="3"/>
  <c r="A612" i="3"/>
  <c r="A620" i="3"/>
  <c r="A628" i="3"/>
  <c r="A636" i="3"/>
  <c r="A644" i="3"/>
  <c r="A652" i="3"/>
  <c r="A660" i="3"/>
  <c r="W12" i="3"/>
  <c r="A209" i="3"/>
  <c r="A13" i="3"/>
  <c r="A21" i="3"/>
  <c r="A29" i="3"/>
  <c r="A37" i="3"/>
  <c r="A45" i="3"/>
  <c r="A53" i="3"/>
  <c r="A61" i="3"/>
  <c r="A69" i="3"/>
  <c r="A77" i="3"/>
  <c r="A85" i="3"/>
  <c r="A93" i="3"/>
  <c r="A101" i="3"/>
  <c r="A109" i="3"/>
  <c r="A117" i="3"/>
  <c r="A125" i="3"/>
  <c r="A133" i="3"/>
  <c r="A141" i="3"/>
  <c r="A149" i="3"/>
  <c r="A157" i="3"/>
  <c r="A165" i="3"/>
  <c r="A173" i="3"/>
  <c r="A181" i="3"/>
  <c r="A189" i="3"/>
  <c r="A197" i="3"/>
  <c r="A205" i="3"/>
  <c r="A213" i="3"/>
  <c r="A221" i="3"/>
  <c r="A229" i="3"/>
  <c r="A237" i="3"/>
  <c r="A245" i="3"/>
  <c r="A253" i="3"/>
  <c r="A261" i="3"/>
  <c r="A269" i="3"/>
  <c r="A277" i="3"/>
  <c r="A285" i="3"/>
  <c r="A293" i="3"/>
  <c r="A301" i="3"/>
  <c r="A309" i="3"/>
  <c r="A317" i="3"/>
  <c r="A325" i="3"/>
  <c r="A333" i="3"/>
  <c r="A341" i="3"/>
  <c r="A349" i="3"/>
  <c r="A357" i="3"/>
  <c r="A365" i="3"/>
  <c r="A373" i="3"/>
  <c r="A381" i="3"/>
  <c r="A389" i="3"/>
  <c r="A397" i="3"/>
  <c r="A405" i="3"/>
  <c r="A413" i="3"/>
  <c r="A421" i="3"/>
  <c r="A429" i="3"/>
  <c r="A437" i="3"/>
  <c r="A445" i="3"/>
  <c r="A453" i="3"/>
  <c r="A461" i="3"/>
  <c r="A469" i="3"/>
  <c r="A477" i="3"/>
  <c r="A485" i="3"/>
  <c r="A493" i="3"/>
  <c r="A501" i="3"/>
  <c r="A509" i="3"/>
  <c r="A517" i="3"/>
  <c r="A525" i="3"/>
  <c r="A533" i="3"/>
  <c r="A541" i="3"/>
  <c r="A549" i="3"/>
  <c r="A557" i="3"/>
  <c r="A565" i="3"/>
  <c r="A573" i="3"/>
  <c r="A581" i="3"/>
  <c r="A589" i="3"/>
  <c r="A597" i="3"/>
  <c r="A605" i="3"/>
  <c r="A613" i="3"/>
  <c r="A621" i="3"/>
  <c r="A629" i="3"/>
  <c r="A637" i="3"/>
  <c r="A645" i="3"/>
  <c r="A653" i="3"/>
  <c r="A3163" i="4"/>
  <c r="A3155" i="4"/>
  <c r="A3147" i="4"/>
  <c r="A3139" i="4"/>
  <c r="A3131" i="4"/>
  <c r="A3123" i="4"/>
  <c r="A3115" i="4"/>
  <c r="A3107" i="4"/>
  <c r="A3099" i="4"/>
  <c r="A3091" i="4"/>
  <c r="A3083" i="4"/>
  <c r="A3075" i="4"/>
  <c r="A3067" i="4"/>
  <c r="A3059" i="4"/>
  <c r="A3051" i="4"/>
  <c r="A3043" i="4"/>
  <c r="A3035" i="4"/>
  <c r="A3027" i="4"/>
  <c r="A3019" i="4"/>
  <c r="A3011" i="4"/>
  <c r="A3003" i="4"/>
  <c r="A2995" i="4"/>
  <c r="A2987" i="4"/>
  <c r="A2979" i="4"/>
  <c r="A2971" i="4"/>
  <c r="A2963" i="4"/>
  <c r="A2955" i="4"/>
  <c r="A2947" i="4"/>
  <c r="A2939" i="4"/>
  <c r="A2931" i="4"/>
  <c r="A2923" i="4"/>
  <c r="A2915" i="4"/>
  <c r="A2907" i="4"/>
  <c r="A2899" i="4"/>
  <c r="A2891" i="4"/>
  <c r="A2883" i="4"/>
  <c r="A2875" i="4"/>
  <c r="A2867" i="4"/>
  <c r="A2859" i="4"/>
  <c r="A2851" i="4"/>
  <c r="A2843" i="4"/>
  <c r="A2835" i="4"/>
  <c r="A2827" i="4"/>
  <c r="A2819" i="4"/>
  <c r="A2811" i="4"/>
  <c r="A2803" i="4"/>
  <c r="A2795" i="4"/>
  <c r="A2787" i="4"/>
  <c r="A2779" i="4"/>
  <c r="A2771" i="4"/>
  <c r="A2763" i="4"/>
  <c r="A2755" i="4"/>
  <c r="A2747" i="4"/>
  <c r="A2739" i="4"/>
  <c r="A2731" i="4"/>
  <c r="A2723" i="4"/>
  <c r="A2715" i="4"/>
  <c r="A2707" i="4"/>
  <c r="A2699" i="4"/>
  <c r="A2691" i="4"/>
  <c r="A2683" i="4"/>
  <c r="A2675" i="4"/>
  <c r="A2667" i="4"/>
  <c r="A2659" i="4"/>
  <c r="A2651" i="4"/>
  <c r="A2643" i="4"/>
  <c r="A2635" i="4"/>
  <c r="A2627" i="4"/>
  <c r="A2619" i="4"/>
  <c r="A2611" i="4"/>
  <c r="A2603" i="4"/>
  <c r="A2595" i="4"/>
  <c r="A2587" i="4"/>
  <c r="A2579" i="4"/>
  <c r="A2571" i="4"/>
  <c r="A2563" i="4"/>
  <c r="A2555" i="4"/>
  <c r="A2547" i="4"/>
  <c r="A2539" i="4"/>
  <c r="A2531" i="4"/>
  <c r="A2523" i="4"/>
  <c r="A2515" i="4"/>
  <c r="A2507" i="4"/>
  <c r="A2499" i="4"/>
  <c r="A2491" i="4"/>
  <c r="A2483" i="4"/>
  <c r="A2475" i="4"/>
  <c r="A2467" i="4"/>
  <c r="A2459" i="4"/>
  <c r="A2451" i="4"/>
  <c r="A2443" i="4"/>
  <c r="A2435" i="4"/>
  <c r="A2427" i="4"/>
  <c r="A2419" i="4"/>
  <c r="A2411" i="4"/>
  <c r="A2403" i="4"/>
  <c r="A2395" i="4"/>
  <c r="A2387" i="4"/>
  <c r="A2379" i="4"/>
  <c r="A2371" i="4"/>
  <c r="A2363" i="4"/>
  <c r="A2355" i="4"/>
  <c r="A2347" i="4"/>
  <c r="A2339" i="4"/>
  <c r="A2331" i="4"/>
  <c r="A2323" i="4"/>
  <c r="A2315" i="4"/>
  <c r="A2307" i="4"/>
  <c r="A2299" i="4"/>
  <c r="A2291" i="4"/>
  <c r="A2283" i="4"/>
  <c r="A2275" i="4"/>
  <c r="A2267" i="4"/>
  <c r="A2259" i="4"/>
  <c r="A2251" i="4"/>
  <c r="A2243" i="4"/>
  <c r="A2235" i="4"/>
  <c r="A2227" i="4"/>
  <c r="A2219" i="4"/>
  <c r="A2211" i="4"/>
  <c r="A2203" i="4"/>
  <c r="A2195" i="4"/>
  <c r="A2187" i="4"/>
  <c r="A2179" i="4"/>
  <c r="A2171" i="4"/>
  <c r="A2163" i="4"/>
  <c r="A2155" i="4"/>
  <c r="A2147" i="4"/>
  <c r="A2139" i="4"/>
  <c r="A2131" i="4"/>
  <c r="A2123" i="4"/>
  <c r="A2115" i="4"/>
  <c r="A2107" i="4"/>
  <c r="A2099" i="4"/>
  <c r="A2091" i="4"/>
  <c r="A2083" i="4"/>
  <c r="A2075" i="4"/>
  <c r="A2067" i="4"/>
  <c r="A2059" i="4"/>
  <c r="A2051" i="4"/>
  <c r="A2043" i="4"/>
  <c r="A2035" i="4"/>
  <c r="A2027" i="4"/>
  <c r="A2019" i="4"/>
  <c r="A2011" i="4"/>
  <c r="A2003" i="4"/>
  <c r="A1995" i="4"/>
  <c r="A1987" i="4"/>
  <c r="A1979" i="4"/>
  <c r="A1971" i="4"/>
  <c r="A1963" i="4"/>
  <c r="A1955" i="4"/>
  <c r="A1947" i="4"/>
  <c r="A1939" i="4"/>
  <c r="A1931" i="4"/>
  <c r="A1923" i="4"/>
  <c r="A1915" i="4"/>
  <c r="A1907" i="4"/>
  <c r="A1899" i="4"/>
  <c r="A1891" i="4"/>
  <c r="A1883" i="4"/>
  <c r="A1875" i="4"/>
  <c r="A1867" i="4"/>
  <c r="A1859" i="4"/>
  <c r="A1851" i="4"/>
  <c r="A1843" i="4"/>
  <c r="A1835" i="4"/>
  <c r="A1827" i="4"/>
  <c r="A1819" i="4"/>
  <c r="A1811" i="4"/>
  <c r="A1803" i="4"/>
  <c r="A1795" i="4"/>
  <c r="A1787" i="4"/>
  <c r="A1779" i="4"/>
  <c r="A1771" i="4"/>
  <c r="A1763" i="4"/>
  <c r="A1755" i="4"/>
  <c r="A1747" i="4"/>
  <c r="A1739" i="4"/>
  <c r="A1731" i="4"/>
  <c r="A1723" i="4"/>
  <c r="A1715" i="4"/>
  <c r="A1707" i="4"/>
  <c r="A1699" i="4"/>
  <c r="A1691" i="4"/>
  <c r="A1683" i="4"/>
  <c r="A1675" i="4"/>
  <c r="A1667" i="4"/>
  <c r="A1659" i="4"/>
  <c r="A1651" i="4"/>
  <c r="A1643" i="4"/>
  <c r="A1635" i="4"/>
  <c r="A1627" i="4"/>
  <c r="A1619" i="4"/>
  <c r="A1611" i="4"/>
  <c r="A1603" i="4"/>
  <c r="A1595" i="4"/>
  <c r="A1587" i="4"/>
  <c r="A1579" i="4"/>
  <c r="A1571" i="4"/>
  <c r="A1563" i="4"/>
  <c r="A1555" i="4"/>
  <c r="A1547" i="4"/>
  <c r="A1539" i="4"/>
  <c r="A1531" i="4"/>
  <c r="A1523" i="4"/>
  <c r="A1515" i="4"/>
  <c r="A1507" i="4"/>
  <c r="A1499" i="4"/>
  <c r="A1491" i="4"/>
  <c r="A1483" i="4"/>
  <c r="A1475" i="4"/>
  <c r="A1467" i="4"/>
  <c r="A1459" i="4"/>
  <c r="A1451" i="4"/>
  <c r="A1443" i="4"/>
  <c r="A1435" i="4"/>
  <c r="A1427" i="4"/>
  <c r="A1419" i="4"/>
  <c r="A1411" i="4"/>
  <c r="A1403" i="4"/>
  <c r="A1395" i="4"/>
  <c r="A1387" i="4"/>
  <c r="A1379" i="4"/>
  <c r="A1371" i="4"/>
  <c r="A1363" i="4"/>
  <c r="A1355" i="4"/>
  <c r="A1347" i="4"/>
  <c r="A1339" i="4"/>
  <c r="A1331" i="4"/>
  <c r="A1323" i="4"/>
  <c r="A1315" i="4"/>
  <c r="A1307" i="4"/>
  <c r="A1299" i="4"/>
  <c r="A1291" i="4"/>
  <c r="A1283" i="4"/>
  <c r="A1275" i="4"/>
  <c r="A1267" i="4"/>
  <c r="A1259" i="4"/>
  <c r="A1251" i="4"/>
  <c r="A1243" i="4"/>
  <c r="A1235" i="4"/>
  <c r="A1227" i="4"/>
  <c r="A1219" i="4"/>
  <c r="A1211" i="4"/>
  <c r="A1203" i="4"/>
  <c r="A1195" i="4"/>
  <c r="A1187" i="4"/>
  <c r="A1179" i="4"/>
  <c r="A1171" i="4"/>
  <c r="A1163" i="4"/>
  <c r="A1155" i="4"/>
  <c r="A1147" i="4"/>
  <c r="A1139" i="4"/>
  <c r="A1131" i="4"/>
  <c r="A1123" i="4"/>
  <c r="A1115" i="4"/>
  <c r="A1107" i="4"/>
  <c r="A1099" i="4"/>
  <c r="A1091" i="4"/>
  <c r="A1083" i="4"/>
  <c r="A1075" i="4"/>
  <c r="A1067" i="4"/>
  <c r="A1059" i="4"/>
  <c r="A1051" i="4"/>
  <c r="A1043" i="4"/>
  <c r="A1035" i="4"/>
  <c r="A1027" i="4"/>
  <c r="A1019" i="4"/>
  <c r="A1011" i="4"/>
  <c r="A1003" i="4"/>
  <c r="A995" i="4"/>
  <c r="A987" i="4"/>
  <c r="A979" i="4"/>
  <c r="A971" i="4"/>
  <c r="A963" i="4"/>
  <c r="A955" i="4"/>
  <c r="A947" i="4"/>
  <c r="A939" i="4"/>
  <c r="A931" i="4"/>
  <c r="A923" i="4"/>
  <c r="A915" i="4"/>
  <c r="A907" i="4"/>
  <c r="A899" i="4"/>
  <c r="A891" i="4"/>
  <c r="A883" i="4"/>
  <c r="A875" i="4"/>
  <c r="A867" i="4"/>
  <c r="A859" i="4"/>
  <c r="A851" i="4"/>
  <c r="A843" i="4"/>
  <c r="A835" i="4"/>
  <c r="A827" i="4"/>
  <c r="A819" i="4"/>
  <c r="A811" i="4"/>
  <c r="A803" i="4"/>
  <c r="A795" i="4"/>
  <c r="A787" i="4"/>
  <c r="A779" i="4"/>
  <c r="A771" i="4"/>
  <c r="A763" i="4"/>
  <c r="A755" i="4"/>
  <c r="A747" i="4"/>
  <c r="A739" i="4"/>
  <c r="A731" i="4"/>
  <c r="A723" i="4"/>
  <c r="A715" i="4"/>
  <c r="A707" i="4"/>
  <c r="A699" i="4"/>
  <c r="A691" i="4"/>
  <c r="A683" i="4"/>
  <c r="A675" i="4"/>
  <c r="A667" i="4"/>
  <c r="A659" i="4"/>
  <c r="A651" i="4"/>
  <c r="A643" i="4"/>
  <c r="A635" i="4"/>
  <c r="A627" i="4"/>
  <c r="A619" i="4"/>
  <c r="A611" i="4"/>
  <c r="A603" i="4"/>
  <c r="A595" i="4"/>
  <c r="A587" i="4"/>
  <c r="A579" i="4"/>
  <c r="A571" i="4"/>
  <c r="A563" i="4"/>
  <c r="A555" i="4"/>
  <c r="A547" i="4"/>
  <c r="A539" i="4"/>
  <c r="A531" i="4"/>
  <c r="A523" i="4"/>
  <c r="A515" i="4"/>
  <c r="A507" i="4"/>
  <c r="A499" i="4"/>
  <c r="A491" i="4"/>
  <c r="A483" i="4"/>
  <c r="A475" i="4"/>
  <c r="A467" i="4"/>
  <c r="A459" i="4"/>
  <c r="A451" i="4"/>
  <c r="A443" i="4"/>
  <c r="A435" i="4"/>
  <c r="A427" i="4"/>
  <c r="A419" i="4"/>
  <c r="A411" i="4"/>
  <c r="A403" i="4"/>
  <c r="A395" i="4"/>
  <c r="A387" i="4"/>
  <c r="A379" i="4"/>
  <c r="A371" i="4"/>
  <c r="A363" i="4"/>
  <c r="A355" i="4"/>
  <c r="A347" i="4"/>
  <c r="A339" i="4"/>
  <c r="A331" i="4"/>
  <c r="A323" i="4"/>
  <c r="A315" i="4"/>
  <c r="A307" i="4"/>
  <c r="A299" i="4"/>
  <c r="A291" i="4"/>
  <c r="A283" i="4"/>
  <c r="A275" i="4"/>
  <c r="A267" i="4"/>
  <c r="A259" i="4"/>
  <c r="A251" i="4"/>
  <c r="A243" i="4"/>
  <c r="A235" i="4"/>
  <c r="A227" i="4"/>
  <c r="A219" i="4"/>
  <c r="A211" i="4"/>
  <c r="A203" i="4"/>
  <c r="A195" i="4"/>
  <c r="A187" i="4"/>
  <c r="A179" i="4"/>
  <c r="A171" i="4"/>
  <c r="A163" i="4"/>
  <c r="A155" i="4"/>
  <c r="A147" i="4"/>
  <c r="A139" i="4"/>
  <c r="A131" i="4"/>
  <c r="A123" i="4"/>
  <c r="A115" i="4"/>
  <c r="A107" i="4"/>
  <c r="A99" i="4"/>
  <c r="A91" i="4"/>
  <c r="A83" i="4"/>
  <c r="A75" i="4"/>
  <c r="A67" i="4"/>
  <c r="A59" i="4"/>
  <c r="A51" i="4"/>
  <c r="A43" i="4"/>
  <c r="A35" i="4"/>
  <c r="A27" i="4"/>
  <c r="A19" i="4"/>
  <c r="A11" i="4"/>
  <c r="A3160" i="4"/>
  <c r="A3152" i="4"/>
  <c r="A3144" i="4"/>
  <c r="A3136" i="4"/>
  <c r="A3128" i="4"/>
  <c r="A3120" i="4"/>
  <c r="A3112" i="4"/>
  <c r="A3104" i="4"/>
  <c r="A3096" i="4"/>
  <c r="A3088" i="4"/>
  <c r="A3080" i="4"/>
  <c r="A3072" i="4"/>
  <c r="A3064" i="4"/>
  <c r="A3056" i="4"/>
  <c r="A3048" i="4"/>
  <c r="A3040" i="4"/>
  <c r="A3032" i="4"/>
  <c r="A3024" i="4"/>
  <c r="A3016" i="4"/>
  <c r="A3008" i="4"/>
  <c r="A3000" i="4"/>
  <c r="A2992" i="4"/>
  <c r="A2984" i="4"/>
  <c r="A2976" i="4"/>
  <c r="A2968" i="4"/>
  <c r="A2960" i="4"/>
  <c r="A2952" i="4"/>
  <c r="A2944" i="4"/>
  <c r="A2936" i="4"/>
  <c r="A2928" i="4"/>
  <c r="A2920" i="4"/>
  <c r="A2912" i="4"/>
  <c r="A2904" i="4"/>
  <c r="A2896" i="4"/>
  <c r="A2888" i="4"/>
  <c r="A2880" i="4"/>
  <c r="A2872" i="4"/>
  <c r="A2864" i="4"/>
  <c r="A2856" i="4"/>
  <c r="A2848" i="4"/>
  <c r="A2840" i="4"/>
  <c r="A2832" i="4"/>
  <c r="A2824" i="4"/>
  <c r="A2816" i="4"/>
  <c r="A2808" i="4"/>
  <c r="A2800" i="4"/>
  <c r="A2792" i="4"/>
  <c r="A2784" i="4"/>
  <c r="A2776" i="4"/>
  <c r="A2768" i="4"/>
  <c r="A2760" i="4"/>
  <c r="A2752" i="4"/>
  <c r="A2744" i="4"/>
  <c r="A2736" i="4"/>
  <c r="A2728" i="4"/>
  <c r="A2720" i="4"/>
  <c r="A2712" i="4"/>
  <c r="A2704" i="4"/>
  <c r="A2696" i="4"/>
  <c r="A2688" i="4"/>
  <c r="A2680" i="4"/>
  <c r="A2672" i="4"/>
  <c r="A2664" i="4"/>
  <c r="A2656" i="4"/>
  <c r="A2648" i="4"/>
  <c r="A2640" i="4"/>
  <c r="A2632" i="4"/>
  <c r="A2624" i="4"/>
  <c r="A2616" i="4"/>
  <c r="A2608" i="4"/>
  <c r="A2600" i="4"/>
  <c r="A2592" i="4"/>
  <c r="A2584" i="4"/>
  <c r="A2576" i="4"/>
  <c r="A2568" i="4"/>
  <c r="A2560" i="4"/>
  <c r="A2552" i="4"/>
  <c r="A2544" i="4"/>
  <c r="A2536" i="4"/>
  <c r="A2528" i="4"/>
  <c r="A2520" i="4"/>
  <c r="A2512" i="4"/>
  <c r="A2504" i="4"/>
  <c r="A2496" i="4"/>
  <c r="A2488" i="4"/>
  <c r="A2480" i="4"/>
  <c r="A2472" i="4"/>
  <c r="A2464" i="4"/>
  <c r="A2456" i="4"/>
  <c r="A2448" i="4"/>
  <c r="A2440" i="4"/>
  <c r="A2432" i="4"/>
  <c r="A2424" i="4"/>
  <c r="A2416" i="4"/>
  <c r="A2408" i="4"/>
  <c r="A2400" i="4"/>
  <c r="A2392" i="4"/>
  <c r="A2384" i="4"/>
  <c r="A2376" i="4"/>
  <c r="A2368" i="4"/>
  <c r="A2360" i="4"/>
  <c r="A2352" i="4"/>
  <c r="A2344" i="4"/>
  <c r="A2336" i="4"/>
  <c r="A2328" i="4"/>
  <c r="A2320" i="4"/>
  <c r="A2312" i="4"/>
  <c r="A2304" i="4"/>
  <c r="A2296" i="4"/>
  <c r="A2288" i="4"/>
  <c r="A2280" i="4"/>
  <c r="A2272" i="4"/>
  <c r="A2264" i="4"/>
  <c r="A2256" i="4"/>
  <c r="A2248" i="4"/>
  <c r="A2240" i="4"/>
  <c r="A2232" i="4"/>
  <c r="A2224" i="4"/>
  <c r="A2216" i="4"/>
  <c r="A2208" i="4"/>
  <c r="A2200" i="4"/>
  <c r="A2192" i="4"/>
  <c r="A2184" i="4"/>
  <c r="A2176" i="4"/>
  <c r="A2168" i="4"/>
  <c r="A2160" i="4"/>
  <c r="A2152" i="4"/>
  <c r="A2144" i="4"/>
  <c r="A2136" i="4"/>
  <c r="A2128" i="4"/>
  <c r="A2120" i="4"/>
  <c r="A2112" i="4"/>
  <c r="A2104" i="4"/>
  <c r="A2096" i="4"/>
  <c r="A2088" i="4"/>
  <c r="A2080" i="4"/>
  <c r="A2072" i="4"/>
  <c r="A2064" i="4"/>
  <c r="A2056" i="4"/>
  <c r="A2048" i="4"/>
  <c r="A2040" i="4"/>
  <c r="A2032" i="4"/>
  <c r="A2024" i="4"/>
  <c r="A2016" i="4"/>
  <c r="A2008" i="4"/>
  <c r="A2000" i="4"/>
  <c r="A1992" i="4"/>
  <c r="A1984" i="4"/>
  <c r="A1976" i="4"/>
  <c r="A1968" i="4"/>
  <c r="A1960" i="4"/>
  <c r="A1952" i="4"/>
  <c r="A1944" i="4"/>
  <c r="A1936" i="4"/>
  <c r="A1928" i="4"/>
  <c r="A1920" i="4"/>
  <c r="A1912" i="4"/>
  <c r="A1904" i="4"/>
  <c r="A1896" i="4"/>
  <c r="A1888" i="4"/>
  <c r="A1880" i="4"/>
  <c r="A1872" i="4"/>
  <c r="A1864" i="4"/>
  <c r="A1856" i="4"/>
  <c r="A1848" i="4"/>
  <c r="A1840" i="4"/>
  <c r="A1832" i="4"/>
  <c r="A1824" i="4"/>
  <c r="A1816" i="4"/>
  <c r="A1808" i="4"/>
  <c r="A1800" i="4"/>
  <c r="A1792" i="4"/>
  <c r="A1784" i="4"/>
  <c r="A1776" i="4"/>
  <c r="A1768" i="4"/>
  <c r="A1760" i="4"/>
  <c r="A1752" i="4"/>
  <c r="A1744" i="4"/>
  <c r="A1736" i="4"/>
  <c r="A1728" i="4"/>
  <c r="A1720" i="4"/>
  <c r="A1712" i="4"/>
  <c r="A1704" i="4"/>
  <c r="A1696" i="4"/>
  <c r="A1688" i="4"/>
  <c r="A1680" i="4"/>
  <c r="A1672" i="4"/>
  <c r="A1664" i="4"/>
  <c r="A1656" i="4"/>
  <c r="A1648" i="4"/>
  <c r="A1640" i="4"/>
  <c r="A1632" i="4"/>
  <c r="A1624" i="4"/>
  <c r="A1616" i="4"/>
  <c r="A1608" i="4"/>
  <c r="A1600" i="4"/>
  <c r="A1592" i="4"/>
  <c r="A1584" i="4"/>
  <c r="A1576" i="4"/>
  <c r="A1568" i="4"/>
  <c r="A1560" i="4"/>
  <c r="A1552" i="4"/>
  <c r="A1544" i="4"/>
  <c r="A1536" i="4"/>
  <c r="A1528" i="4"/>
  <c r="A1520" i="4"/>
  <c r="A1512" i="4"/>
  <c r="A1504" i="4"/>
  <c r="A1496" i="4"/>
  <c r="A1488" i="4"/>
  <c r="A1480" i="4"/>
  <c r="A1472" i="4"/>
  <c r="A1464" i="4"/>
  <c r="A1456" i="4"/>
  <c r="A1448" i="4"/>
  <c r="A1440" i="4"/>
  <c r="A1432" i="4"/>
  <c r="A1424" i="4"/>
  <c r="A1416" i="4"/>
  <c r="A1408" i="4"/>
  <c r="A1400" i="4"/>
  <c r="A1392" i="4"/>
  <c r="A1384" i="4"/>
  <c r="A1376" i="4"/>
  <c r="A1368" i="4"/>
  <c r="A1360" i="4"/>
  <c r="A1352" i="4"/>
  <c r="A1344" i="4"/>
  <c r="A1336" i="4"/>
  <c r="A1328" i="4"/>
  <c r="A1320" i="4"/>
  <c r="A1312" i="4"/>
  <c r="A1304" i="4"/>
  <c r="A1296" i="4"/>
  <c r="A1288" i="4"/>
  <c r="A1280" i="4"/>
  <c r="A1272" i="4"/>
  <c r="A1264" i="4"/>
  <c r="A1256" i="4"/>
  <c r="A1248" i="4"/>
  <c r="A1240" i="4"/>
  <c r="A1232" i="4"/>
  <c r="A1224" i="4"/>
  <c r="A1216" i="4"/>
  <c r="A1208" i="4"/>
  <c r="A1200" i="4"/>
  <c r="A1192" i="4"/>
  <c r="A1184" i="4"/>
  <c r="A1176" i="4"/>
  <c r="A1168" i="4"/>
  <c r="A1160" i="4"/>
  <c r="A1152" i="4"/>
  <c r="A1144" i="4"/>
  <c r="A1136" i="4"/>
  <c r="A1128" i="4"/>
  <c r="A1120" i="4"/>
  <c r="A1112" i="4"/>
  <c r="A1104" i="4"/>
  <c r="A1096" i="4"/>
  <c r="A1088" i="4"/>
  <c r="A1080" i="4"/>
  <c r="A1072" i="4"/>
  <c r="A1064" i="4"/>
  <c r="A1056" i="4"/>
  <c r="A1048" i="4"/>
  <c r="A1040" i="4"/>
  <c r="A1032" i="4"/>
  <c r="A1024" i="4"/>
  <c r="A1016" i="4"/>
  <c r="A1008" i="4"/>
  <c r="A1000" i="4"/>
  <c r="A992" i="4"/>
  <c r="A984" i="4"/>
  <c r="A976" i="4"/>
  <c r="A968" i="4"/>
  <c r="A960" i="4"/>
  <c r="A952" i="4"/>
  <c r="A944" i="4"/>
  <c r="A936" i="4"/>
  <c r="A928" i="4"/>
  <c r="A920" i="4"/>
  <c r="A912" i="4"/>
  <c r="A904" i="4"/>
  <c r="A896" i="4"/>
  <c r="A888" i="4"/>
  <c r="A880" i="4"/>
  <c r="A872" i="4"/>
  <c r="A864" i="4"/>
  <c r="A856" i="4"/>
  <c r="A848" i="4"/>
  <c r="A840" i="4"/>
  <c r="A832" i="4"/>
  <c r="A824" i="4"/>
  <c r="A816" i="4"/>
  <c r="A808" i="4"/>
  <c r="A800" i="4"/>
  <c r="A792" i="4"/>
  <c r="A784" i="4"/>
  <c r="A776" i="4"/>
  <c r="A768" i="4"/>
  <c r="A760" i="4"/>
  <c r="A752" i="4"/>
  <c r="A744" i="4"/>
  <c r="A736" i="4"/>
  <c r="A728" i="4"/>
  <c r="A720" i="4"/>
  <c r="A712" i="4"/>
  <c r="A704" i="4"/>
  <c r="A696" i="4"/>
  <c r="A688" i="4"/>
  <c r="A680" i="4"/>
  <c r="A672" i="4"/>
  <c r="A664" i="4"/>
  <c r="A656" i="4"/>
  <c r="A648" i="4"/>
  <c r="A640" i="4"/>
  <c r="A632" i="4"/>
  <c r="A624" i="4"/>
  <c r="A616" i="4"/>
  <c r="A608" i="4"/>
  <c r="A600" i="4"/>
  <c r="A592" i="4"/>
  <c r="A584" i="4"/>
  <c r="A576" i="4"/>
  <c r="A568" i="4"/>
  <c r="A560" i="4"/>
  <c r="A552" i="4"/>
  <c r="A544" i="4"/>
  <c r="A536" i="4"/>
  <c r="A528" i="4"/>
  <c r="A520" i="4"/>
  <c r="A512" i="4"/>
  <c r="A504" i="4"/>
  <c r="A496" i="4"/>
  <c r="A488" i="4"/>
  <c r="A480" i="4"/>
  <c r="A472" i="4"/>
  <c r="A464" i="4"/>
  <c r="A456" i="4"/>
  <c r="A448" i="4"/>
  <c r="A440" i="4"/>
  <c r="A432" i="4"/>
  <c r="A424" i="4"/>
  <c r="A416" i="4"/>
  <c r="A408" i="4"/>
  <c r="A400" i="4"/>
  <c r="A392" i="4"/>
  <c r="A384" i="4"/>
  <c r="A376" i="4"/>
  <c r="A368" i="4"/>
  <c r="A360" i="4"/>
  <c r="A352" i="4"/>
  <c r="A344" i="4"/>
  <c r="A336" i="4"/>
  <c r="A328" i="4"/>
  <c r="A320" i="4"/>
  <c r="A312" i="4"/>
  <c r="A304" i="4"/>
  <c r="A296" i="4"/>
  <c r="A288" i="4"/>
  <c r="A280" i="4"/>
  <c r="A272" i="4"/>
  <c r="A264" i="4"/>
  <c r="A256" i="4"/>
  <c r="A248" i="4"/>
  <c r="A240" i="4"/>
  <c r="A232" i="4"/>
  <c r="A224" i="4"/>
  <c r="A216" i="4"/>
  <c r="A208" i="4"/>
  <c r="A200" i="4"/>
  <c r="A192" i="4"/>
  <c r="A184" i="4"/>
  <c r="A176" i="4"/>
  <c r="A168" i="4"/>
  <c r="A160" i="4"/>
  <c r="A152" i="4"/>
  <c r="A144" i="4"/>
  <c r="A136" i="4"/>
  <c r="A128" i="4"/>
  <c r="A120" i="4"/>
  <c r="A112" i="4"/>
  <c r="A104" i="4"/>
  <c r="A96" i="4"/>
  <c r="A88" i="4"/>
  <c r="A80" i="4"/>
  <c r="A72" i="4"/>
  <c r="A64" i="4"/>
  <c r="A56" i="4"/>
  <c r="A48" i="4"/>
  <c r="A40" i="4"/>
  <c r="A3166" i="4"/>
  <c r="A3158" i="4"/>
  <c r="A3150" i="4"/>
  <c r="A3142" i="4"/>
  <c r="A3134" i="4"/>
  <c r="A3126" i="4"/>
  <c r="A3118" i="4"/>
  <c r="A3110" i="4"/>
  <c r="A3102" i="4"/>
  <c r="A3094" i="4"/>
  <c r="A3086" i="4"/>
  <c r="A3078" i="4"/>
  <c r="A3070" i="4"/>
  <c r="A3062" i="4"/>
  <c r="A3054" i="4"/>
  <c r="A3046" i="4"/>
  <c r="A3038" i="4"/>
  <c r="A3030" i="4"/>
  <c r="A3022" i="4"/>
  <c r="A3014" i="4"/>
  <c r="A3006" i="4"/>
  <c r="A2998" i="4"/>
  <c r="A2990" i="4"/>
  <c r="A2982" i="4"/>
  <c r="A2974" i="4"/>
  <c r="A2966" i="4"/>
  <c r="A2958" i="4"/>
  <c r="A2950" i="4"/>
  <c r="A2942" i="4"/>
  <c r="A2934" i="4"/>
  <c r="A2926" i="4"/>
  <c r="A2918" i="4"/>
  <c r="A2910" i="4"/>
  <c r="A2902" i="4"/>
  <c r="A2894" i="4"/>
  <c r="A2886" i="4"/>
  <c r="A2878" i="4"/>
  <c r="A2870" i="4"/>
  <c r="A2862" i="4"/>
  <c r="A2854" i="4"/>
  <c r="A2846" i="4"/>
  <c r="A2838" i="4"/>
  <c r="A2830" i="4"/>
  <c r="A2822" i="4"/>
  <c r="A2814" i="4"/>
  <c r="A2806" i="4"/>
  <c r="A2798" i="4"/>
  <c r="A2790" i="4"/>
  <c r="A2782" i="4"/>
  <c r="A2774" i="4"/>
  <c r="A2766" i="4"/>
  <c r="A2758" i="4"/>
  <c r="A2750" i="4"/>
  <c r="A2742" i="4"/>
  <c r="A2734" i="4"/>
  <c r="A2726" i="4"/>
  <c r="A2718" i="4"/>
  <c r="A2710" i="4"/>
  <c r="A2702" i="4"/>
  <c r="A2694" i="4"/>
  <c r="A2686" i="4"/>
  <c r="A2678" i="4"/>
  <c r="A2670" i="4"/>
  <c r="A2662" i="4"/>
  <c r="A2654" i="4"/>
  <c r="A2646" i="4"/>
  <c r="A2638" i="4"/>
  <c r="A2630" i="4"/>
  <c r="A2622" i="4"/>
  <c r="A2614" i="4"/>
  <c r="A2606" i="4"/>
  <c r="A2598" i="4"/>
  <c r="A2590" i="4"/>
  <c r="A2582" i="4"/>
  <c r="A2574" i="4"/>
  <c r="A2566" i="4"/>
  <c r="A2558" i="4"/>
  <c r="A3167" i="4"/>
  <c r="A3154" i="4"/>
  <c r="A3141" i="4"/>
  <c r="A3129" i="4"/>
  <c r="A3116" i="4"/>
  <c r="A3103" i="4"/>
  <c r="A3090" i="4"/>
  <c r="A3077" i="4"/>
  <c r="A3065" i="4"/>
  <c r="A3052" i="4"/>
  <c r="A3039" i="4"/>
  <c r="A3026" i="4"/>
  <c r="A3013" i="4"/>
  <c r="A3001" i="4"/>
  <c r="A2988" i="4"/>
  <c r="A2975" i="4"/>
  <c r="A2962" i="4"/>
  <c r="A2949" i="4"/>
  <c r="A2937" i="4"/>
  <c r="A2924" i="4"/>
  <c r="A2911" i="4"/>
  <c r="A2898" i="4"/>
  <c r="A2885" i="4"/>
  <c r="A2873" i="4"/>
  <c r="A2860" i="4"/>
  <c r="A2847" i="4"/>
  <c r="A2834" i="4"/>
  <c r="A2821" i="4"/>
  <c r="A2809" i="4"/>
  <c r="A2796" i="4"/>
  <c r="A2783" i="4"/>
  <c r="A2770" i="4"/>
  <c r="A2757" i="4"/>
  <c r="A2745" i="4"/>
  <c r="A2732" i="4"/>
  <c r="A2719" i="4"/>
  <c r="A2706" i="4"/>
  <c r="A2693" i="4"/>
  <c r="A2681" i="4"/>
  <c r="A2668" i="4"/>
  <c r="A2655" i="4"/>
  <c r="A2642" i="4"/>
  <c r="A2629" i="4"/>
  <c r="A2617" i="4"/>
  <c r="A2604" i="4"/>
  <c r="A2591" i="4"/>
  <c r="A2578" i="4"/>
  <c r="A2565" i="4"/>
  <c r="A2553" i="4"/>
  <c r="A2542" i="4"/>
  <c r="A2532" i="4"/>
  <c r="A2521" i="4"/>
  <c r="A2510" i="4"/>
  <c r="A2500" i="4"/>
  <c r="A2489" i="4"/>
  <c r="A2478" i="4"/>
  <c r="A2468" i="4"/>
  <c r="A2457" i="4"/>
  <c r="A2446" i="4"/>
  <c r="A2436" i="4"/>
  <c r="A2425" i="4"/>
  <c r="A2414" i="4"/>
  <c r="A2404" i="4"/>
  <c r="A2393" i="4"/>
  <c r="A2382" i="4"/>
  <c r="A2372" i="4"/>
  <c r="A2361" i="4"/>
  <c r="A2350" i="4"/>
  <c r="A2340" i="4"/>
  <c r="A2329" i="4"/>
  <c r="A2318" i="4"/>
  <c r="A2308" i="4"/>
  <c r="A2297" i="4"/>
  <c r="A2286" i="4"/>
  <c r="A2276" i="4"/>
  <c r="A2265" i="4"/>
  <c r="A2254" i="4"/>
  <c r="A2244" i="4"/>
  <c r="A2233" i="4"/>
  <c r="A2222" i="4"/>
  <c r="A2212" i="4"/>
  <c r="A2201" i="4"/>
  <c r="A2190" i="4"/>
  <c r="A2180" i="4"/>
  <c r="A2169" i="4"/>
  <c r="A2158" i="4"/>
  <c r="A2148" i="4"/>
  <c r="A2137" i="4"/>
  <c r="A2126" i="4"/>
  <c r="A2116" i="4"/>
  <c r="A2105" i="4"/>
  <c r="A2094" i="4"/>
  <c r="A2084" i="4"/>
  <c r="A2073" i="4"/>
  <c r="A2062" i="4"/>
  <c r="A2052" i="4"/>
  <c r="A2041" i="4"/>
  <c r="A2030" i="4"/>
  <c r="A2020" i="4"/>
  <c r="A2009" i="4"/>
  <c r="A1998" i="4"/>
  <c r="A1988" i="4"/>
  <c r="A1977" i="4"/>
  <c r="A1966" i="4"/>
  <c r="A1956" i="4"/>
  <c r="A1945" i="4"/>
  <c r="A1934" i="4"/>
  <c r="A1924" i="4"/>
  <c r="A1913" i="4"/>
  <c r="A1902" i="4"/>
  <c r="A1892" i="4"/>
  <c r="A1881" i="4"/>
  <c r="A1870" i="4"/>
  <c r="A1860" i="4"/>
  <c r="A1849" i="4"/>
  <c r="A1838" i="4"/>
  <c r="A1828" i="4"/>
  <c r="A1817" i="4"/>
  <c r="A1806" i="4"/>
  <c r="A1796" i="4"/>
  <c r="A1785" i="4"/>
  <c r="A1774" i="4"/>
  <c r="A1764" i="4"/>
  <c r="A1753" i="4"/>
  <c r="A1742" i="4"/>
  <c r="A1732" i="4"/>
  <c r="A1721" i="4"/>
  <c r="A1710" i="4"/>
  <c r="A1700" i="4"/>
  <c r="A1689" i="4"/>
  <c r="A1678" i="4"/>
  <c r="A1668" i="4"/>
  <c r="A1657" i="4"/>
  <c r="A1646" i="4"/>
  <c r="A1636" i="4"/>
  <c r="A1625" i="4"/>
  <c r="A1614" i="4"/>
  <c r="A1604" i="4"/>
  <c r="A1593" i="4"/>
  <c r="A1582" i="4"/>
  <c r="A1572" i="4"/>
  <c r="A1561" i="4"/>
  <c r="A1550" i="4"/>
  <c r="A1540" i="4"/>
  <c r="A1529" i="4"/>
  <c r="A1518" i="4"/>
  <c r="A1508" i="4"/>
  <c r="A1497" i="4"/>
  <c r="A1486" i="4"/>
  <c r="A1476" i="4"/>
  <c r="A1465" i="4"/>
  <c r="A1454" i="4"/>
  <c r="A1444" i="4"/>
  <c r="A1433" i="4"/>
  <c r="A1422" i="4"/>
  <c r="A1412" i="4"/>
  <c r="A1401" i="4"/>
  <c r="A1390" i="4"/>
  <c r="A1380" i="4"/>
  <c r="A1369" i="4"/>
  <c r="A1358" i="4"/>
  <c r="A1348" i="4"/>
  <c r="A1337" i="4"/>
  <c r="A1326" i="4"/>
  <c r="A1316" i="4"/>
  <c r="A1305" i="4"/>
  <c r="A1294" i="4"/>
  <c r="A1284" i="4"/>
  <c r="A1273" i="4"/>
  <c r="A1262" i="4"/>
  <c r="A1252" i="4"/>
  <c r="A1241" i="4"/>
  <c r="A1230" i="4"/>
  <c r="A1220" i="4"/>
  <c r="A1209" i="4"/>
  <c r="A1198" i="4"/>
  <c r="A1188" i="4"/>
  <c r="A1177" i="4"/>
  <c r="A1166" i="4"/>
  <c r="A1156" i="4"/>
  <c r="A1145" i="4"/>
  <c r="A1134" i="4"/>
  <c r="A1124" i="4"/>
  <c r="A1113" i="4"/>
  <c r="A1102" i="4"/>
  <c r="A1092" i="4"/>
  <c r="A1081" i="4"/>
  <c r="A1070" i="4"/>
  <c r="A1060" i="4"/>
  <c r="A1049" i="4"/>
  <c r="A1038" i="4"/>
  <c r="A1028" i="4"/>
  <c r="A1017" i="4"/>
  <c r="A1006" i="4"/>
  <c r="A996" i="4"/>
  <c r="A985" i="4"/>
  <c r="A974" i="4"/>
  <c r="A964" i="4"/>
  <c r="A953" i="4"/>
  <c r="A942" i="4"/>
  <c r="A932" i="4"/>
  <c r="A921" i="4"/>
  <c r="A910" i="4"/>
  <c r="A900" i="4"/>
  <c r="A889" i="4"/>
  <c r="A878" i="4"/>
  <c r="A868" i="4"/>
  <c r="A857" i="4"/>
  <c r="A846" i="4"/>
  <c r="A836" i="4"/>
  <c r="A825" i="4"/>
  <c r="A814" i="4"/>
  <c r="A804" i="4"/>
  <c r="A793" i="4"/>
  <c r="A782" i="4"/>
  <c r="A772" i="4"/>
  <c r="A761" i="4"/>
  <c r="A750" i="4"/>
  <c r="A740" i="4"/>
  <c r="A729" i="4"/>
  <c r="A718" i="4"/>
  <c r="A708" i="4"/>
  <c r="A697" i="4"/>
  <c r="A686" i="4"/>
  <c r="A676" i="4"/>
  <c r="A665" i="4"/>
  <c r="A654" i="4"/>
  <c r="A644" i="4"/>
  <c r="A633" i="4"/>
  <c r="A622" i="4"/>
  <c r="A612" i="4"/>
  <c r="A601" i="4"/>
  <c r="A590" i="4"/>
  <c r="A580" i="4"/>
  <c r="A569" i="4"/>
  <c r="A558" i="4"/>
  <c r="A548" i="4"/>
  <c r="A537" i="4"/>
  <c r="A526" i="4"/>
  <c r="A516" i="4"/>
  <c r="A505" i="4"/>
  <c r="A494" i="4"/>
  <c r="A484" i="4"/>
  <c r="A473" i="4"/>
  <c r="A462" i="4"/>
  <c r="A452" i="4"/>
  <c r="A441" i="4"/>
  <c r="A430" i="4"/>
  <c r="A420" i="4"/>
  <c r="A409" i="4"/>
  <c r="A398" i="4"/>
  <c r="A388" i="4"/>
  <c r="A377" i="4"/>
  <c r="A366" i="4"/>
  <c r="A356" i="4"/>
  <c r="A345" i="4"/>
  <c r="A334" i="4"/>
  <c r="A324" i="4"/>
  <c r="A313" i="4"/>
  <c r="A302" i="4"/>
  <c r="A292" i="4"/>
  <c r="A281" i="4"/>
  <c r="A270" i="4"/>
  <c r="A260" i="4"/>
  <c r="A249" i="4"/>
  <c r="A238" i="4"/>
  <c r="A228" i="4"/>
  <c r="A217" i="4"/>
  <c r="A206" i="4"/>
  <c r="A196" i="4"/>
  <c r="A185" i="4"/>
  <c r="A174" i="4"/>
  <c r="A164" i="4"/>
  <c r="A153" i="4"/>
  <c r="A142" i="4"/>
  <c r="A132" i="4"/>
  <c r="A121" i="4"/>
  <c r="A110" i="4"/>
  <c r="A100" i="4"/>
  <c r="A89" i="4"/>
  <c r="A78" i="4"/>
  <c r="A68" i="4"/>
  <c r="A57" i="4"/>
  <c r="A46" i="4"/>
  <c r="A36" i="4"/>
  <c r="A26" i="4"/>
  <c r="A17" i="4"/>
  <c r="A9" i="4"/>
  <c r="A3164" i="4"/>
  <c r="A3151" i="4"/>
  <c r="A3138" i="4"/>
  <c r="A3125" i="4"/>
  <c r="A3113" i="4"/>
  <c r="A3100" i="4"/>
  <c r="A3087" i="4"/>
  <c r="A3074" i="4"/>
  <c r="A3061" i="4"/>
  <c r="A3049" i="4"/>
  <c r="A3036" i="4"/>
  <c r="A3023" i="4"/>
  <c r="A3010" i="4"/>
  <c r="A2997" i="4"/>
  <c r="A2985" i="4"/>
  <c r="A2972" i="4"/>
  <c r="A2959" i="4"/>
  <c r="A2946" i="4"/>
  <c r="A2933" i="4"/>
  <c r="A2921" i="4"/>
  <c r="A2908" i="4"/>
  <c r="A2895" i="4"/>
  <c r="A2882" i="4"/>
  <c r="A2869" i="4"/>
  <c r="A2857" i="4"/>
  <c r="A2844" i="4"/>
  <c r="A2831" i="4"/>
  <c r="A2818" i="4"/>
  <c r="A2805" i="4"/>
  <c r="A2793" i="4"/>
  <c r="A2780" i="4"/>
  <c r="A2767" i="4"/>
  <c r="A2754" i="4"/>
  <c r="A2741" i="4"/>
  <c r="A2729" i="4"/>
  <c r="A2716" i="4"/>
  <c r="A2703" i="4"/>
  <c r="A2690" i="4"/>
  <c r="A2677" i="4"/>
  <c r="A2665" i="4"/>
  <c r="A2652" i="4"/>
  <c r="A2639" i="4"/>
  <c r="A2626" i="4"/>
  <c r="A2613" i="4"/>
  <c r="A2601" i="4"/>
  <c r="A2588" i="4"/>
  <c r="A2575" i="4"/>
  <c r="A2562" i="4"/>
  <c r="A2550" i="4"/>
  <c r="A2540" i="4"/>
  <c r="A2529" i="4"/>
  <c r="A2518" i="4"/>
  <c r="A2508" i="4"/>
  <c r="A2497" i="4"/>
  <c r="A2486" i="4"/>
  <c r="A2476" i="4"/>
  <c r="A2465" i="4"/>
  <c r="A2454" i="4"/>
  <c r="A2444" i="4"/>
  <c r="A2433" i="4"/>
  <c r="A2422" i="4"/>
  <c r="A2412" i="4"/>
  <c r="A2401" i="4"/>
  <c r="A2390" i="4"/>
  <c r="A2380" i="4"/>
  <c r="A2369" i="4"/>
  <c r="A2358" i="4"/>
  <c r="A2348" i="4"/>
  <c r="A2337" i="4"/>
  <c r="A2326" i="4"/>
  <c r="A2316" i="4"/>
  <c r="A2305" i="4"/>
  <c r="A2294" i="4"/>
  <c r="A2284" i="4"/>
  <c r="A2273" i="4"/>
  <c r="A2262" i="4"/>
  <c r="A2252" i="4"/>
  <c r="A2241" i="4"/>
  <c r="A2230" i="4"/>
  <c r="A2220" i="4"/>
  <c r="A2209" i="4"/>
  <c r="A2198" i="4"/>
  <c r="A2188" i="4"/>
  <c r="A2177" i="4"/>
  <c r="A2166" i="4"/>
  <c r="A2156" i="4"/>
  <c r="A2145" i="4"/>
  <c r="A3162" i="4"/>
  <c r="A3149" i="4"/>
  <c r="A3137" i="4"/>
  <c r="A3124" i="4"/>
  <c r="A3111" i="4"/>
  <c r="A3098" i="4"/>
  <c r="A3085" i="4"/>
  <c r="A3073" i="4"/>
  <c r="A3060" i="4"/>
  <c r="A3047" i="4"/>
  <c r="A3034" i="4"/>
  <c r="A3021" i="4"/>
  <c r="A3009" i="4"/>
  <c r="A2996" i="4"/>
  <c r="A2983" i="4"/>
  <c r="A2970" i="4"/>
  <c r="A2957" i="4"/>
  <c r="A2945" i="4"/>
  <c r="A2932" i="4"/>
  <c r="A2919" i="4"/>
  <c r="A2906" i="4"/>
  <c r="A2893" i="4"/>
  <c r="A2881" i="4"/>
  <c r="A2868" i="4"/>
  <c r="A2855" i="4"/>
  <c r="A2842" i="4"/>
  <c r="A2829" i="4"/>
  <c r="A2817" i="4"/>
  <c r="A2804" i="4"/>
  <c r="A2791" i="4"/>
  <c r="A2778" i="4"/>
  <c r="A2765" i="4"/>
  <c r="A2753" i="4"/>
  <c r="A2740" i="4"/>
  <c r="A2727" i="4"/>
  <c r="A2714" i="4"/>
  <c r="A2701" i="4"/>
  <c r="A2689" i="4"/>
  <c r="A2676" i="4"/>
  <c r="A2663" i="4"/>
  <c r="A2650" i="4"/>
  <c r="A2637" i="4"/>
  <c r="A2625" i="4"/>
  <c r="A2612" i="4"/>
  <c r="A2599" i="4"/>
  <c r="A2586" i="4"/>
  <c r="A2573" i="4"/>
  <c r="A2561" i="4"/>
  <c r="A2549" i="4"/>
  <c r="A2538" i="4"/>
  <c r="A2527" i="4"/>
  <c r="A2517" i="4"/>
  <c r="A2506" i="4"/>
  <c r="A2495" i="4"/>
  <c r="A2485" i="4"/>
  <c r="A2474" i="4"/>
  <c r="A2463" i="4"/>
  <c r="A2453" i="4"/>
  <c r="A2442" i="4"/>
  <c r="A2431" i="4"/>
  <c r="A2421" i="4"/>
  <c r="A2410" i="4"/>
  <c r="A2399" i="4"/>
  <c r="A2389" i="4"/>
  <c r="A2378" i="4"/>
  <c r="A2367" i="4"/>
  <c r="A2357" i="4"/>
  <c r="A2346" i="4"/>
  <c r="A2335" i="4"/>
  <c r="A2325" i="4"/>
  <c r="A2314" i="4"/>
  <c r="A2303" i="4"/>
  <c r="A2293" i="4"/>
  <c r="A2282" i="4"/>
  <c r="A2271" i="4"/>
  <c r="A2261" i="4"/>
  <c r="A2250" i="4"/>
  <c r="A2239" i="4"/>
  <c r="A2229" i="4"/>
  <c r="A2218" i="4"/>
  <c r="A2207" i="4"/>
  <c r="A2197" i="4"/>
  <c r="A2186" i="4"/>
  <c r="A2175" i="4"/>
  <c r="A2165" i="4"/>
  <c r="A2154" i="4"/>
  <c r="A2143" i="4"/>
  <c r="A2133" i="4"/>
  <c r="A2122" i="4"/>
  <c r="A2111" i="4"/>
  <c r="A2101" i="4"/>
  <c r="A2090" i="4"/>
  <c r="A2079" i="4"/>
  <c r="A2069" i="4"/>
  <c r="A2058" i="4"/>
  <c r="A2047" i="4"/>
  <c r="A2037" i="4"/>
  <c r="A2026" i="4"/>
  <c r="A2015" i="4"/>
  <c r="A2005" i="4"/>
  <c r="A1994" i="4"/>
  <c r="A1983" i="4"/>
  <c r="A1973" i="4"/>
  <c r="A1962" i="4"/>
  <c r="A1951" i="4"/>
  <c r="A1941" i="4"/>
  <c r="A1930" i="4"/>
  <c r="A1919" i="4"/>
  <c r="A1909" i="4"/>
  <c r="A1898" i="4"/>
  <c r="A1887" i="4"/>
  <c r="A1877" i="4"/>
  <c r="A1866" i="4"/>
  <c r="A1855" i="4"/>
  <c r="A1845" i="4"/>
  <c r="A1834" i="4"/>
  <c r="A1823" i="4"/>
  <c r="A1813" i="4"/>
  <c r="A1802" i="4"/>
  <c r="A1791" i="4"/>
  <c r="A1781" i="4"/>
  <c r="A1770" i="4"/>
  <c r="A1759" i="4"/>
  <c r="A1749" i="4"/>
  <c r="A1738" i="4"/>
  <c r="A1727" i="4"/>
  <c r="A1717" i="4"/>
  <c r="A1706" i="4"/>
  <c r="A1695" i="4"/>
  <c r="A1685" i="4"/>
  <c r="A1674" i="4"/>
  <c r="A1663" i="4"/>
  <c r="A1653" i="4"/>
  <c r="A1642" i="4"/>
  <c r="A1631" i="4"/>
  <c r="A1621" i="4"/>
  <c r="A1610" i="4"/>
  <c r="A1599" i="4"/>
  <c r="A1589" i="4"/>
  <c r="A1578" i="4"/>
  <c r="A1567" i="4"/>
  <c r="A1557" i="4"/>
  <c r="A1546" i="4"/>
  <c r="A1535" i="4"/>
  <c r="A1525" i="4"/>
  <c r="A1514" i="4"/>
  <c r="A1503" i="4"/>
  <c r="A1493" i="4"/>
  <c r="A1482" i="4"/>
  <c r="A1471" i="4"/>
  <c r="A1461" i="4"/>
  <c r="A1450" i="4"/>
  <c r="A1439" i="4"/>
  <c r="A1429" i="4"/>
  <c r="A1418" i="4"/>
  <c r="A1407" i="4"/>
  <c r="A1397" i="4"/>
  <c r="A1386" i="4"/>
  <c r="A1375" i="4"/>
  <c r="A1365" i="4"/>
  <c r="A1354" i="4"/>
  <c r="A1343" i="4"/>
  <c r="A1333" i="4"/>
  <c r="A1322" i="4"/>
  <c r="A1311" i="4"/>
  <c r="A1301" i="4"/>
  <c r="A1290" i="4"/>
  <c r="A1279" i="4"/>
  <c r="A1269" i="4"/>
  <c r="A1258" i="4"/>
  <c r="A1247" i="4"/>
  <c r="A1237" i="4"/>
  <c r="A1226" i="4"/>
  <c r="A1215" i="4"/>
  <c r="A1205" i="4"/>
  <c r="A1194" i="4"/>
  <c r="A1183" i="4"/>
  <c r="A1173" i="4"/>
  <c r="A1162" i="4"/>
  <c r="A1151" i="4"/>
  <c r="A1141" i="4"/>
  <c r="A1130" i="4"/>
  <c r="A1119" i="4"/>
  <c r="A1109" i="4"/>
  <c r="A1098" i="4"/>
  <c r="A1087" i="4"/>
  <c r="A1077" i="4"/>
  <c r="A1066" i="4"/>
  <c r="A1055" i="4"/>
  <c r="A1045" i="4"/>
  <c r="A1034" i="4"/>
  <c r="A1023" i="4"/>
  <c r="A1013" i="4"/>
  <c r="A1002" i="4"/>
  <c r="A991" i="4"/>
  <c r="A981" i="4"/>
  <c r="A970" i="4"/>
  <c r="A959" i="4"/>
  <c r="A949" i="4"/>
  <c r="A938" i="4"/>
  <c r="A927" i="4"/>
  <c r="A917" i="4"/>
  <c r="A906" i="4"/>
  <c r="A895" i="4"/>
  <c r="A885" i="4"/>
  <c r="A874" i="4"/>
  <c r="A863" i="4"/>
  <c r="A853" i="4"/>
  <c r="A842" i="4"/>
  <c r="A831" i="4"/>
  <c r="A821" i="4"/>
  <c r="A810" i="4"/>
  <c r="A799" i="4"/>
  <c r="A789" i="4"/>
  <c r="A778" i="4"/>
  <c r="A767" i="4"/>
  <c r="A757" i="4"/>
  <c r="A746" i="4"/>
  <c r="A735" i="4"/>
  <c r="A725" i="4"/>
  <c r="A714" i="4"/>
  <c r="A703" i="4"/>
  <c r="A693" i="4"/>
  <c r="A682" i="4"/>
  <c r="A671" i="4"/>
  <c r="A661" i="4"/>
  <c r="A650" i="4"/>
  <c r="A639" i="4"/>
  <c r="A3159" i="4"/>
  <c r="A3146" i="4"/>
  <c r="A3133" i="4"/>
  <c r="A3121" i="4"/>
  <c r="A3108" i="4"/>
  <c r="A3095" i="4"/>
  <c r="A3082" i="4"/>
  <c r="A3069" i="4"/>
  <c r="A3057" i="4"/>
  <c r="A3044" i="4"/>
  <c r="A3031" i="4"/>
  <c r="A3018" i="4"/>
  <c r="A3005" i="4"/>
  <c r="A2993" i="4"/>
  <c r="A2980" i="4"/>
  <c r="A2967" i="4"/>
  <c r="A2954" i="4"/>
  <c r="A2941" i="4"/>
  <c r="A2929" i="4"/>
  <c r="A2916" i="4"/>
  <c r="A2903" i="4"/>
  <c r="A2890" i="4"/>
  <c r="A2877" i="4"/>
  <c r="A2865" i="4"/>
  <c r="A2852" i="4"/>
  <c r="A2839" i="4"/>
  <c r="A2826" i="4"/>
  <c r="A2813" i="4"/>
  <c r="A2801" i="4"/>
  <c r="A2788" i="4"/>
  <c r="A2775" i="4"/>
  <c r="A2762" i="4"/>
  <c r="A2749" i="4"/>
  <c r="A2737" i="4"/>
  <c r="A2724" i="4"/>
  <c r="A2711" i="4"/>
  <c r="A2698" i="4"/>
  <c r="A2685" i="4"/>
  <c r="A2673" i="4"/>
  <c r="A2660" i="4"/>
  <c r="A2647" i="4"/>
  <c r="A2634" i="4"/>
  <c r="A2621" i="4"/>
  <c r="A2609" i="4"/>
  <c r="A2596" i="4"/>
  <c r="A2583" i="4"/>
  <c r="A2570" i="4"/>
  <c r="A2557" i="4"/>
  <c r="A2546" i="4"/>
  <c r="A2535" i="4"/>
  <c r="A2525" i="4"/>
  <c r="A2514" i="4"/>
  <c r="A2503" i="4"/>
  <c r="A2493" i="4"/>
  <c r="A2482" i="4"/>
  <c r="A2471" i="4"/>
  <c r="A2461" i="4"/>
  <c r="A2450" i="4"/>
  <c r="A2439" i="4"/>
  <c r="A2429" i="4"/>
  <c r="A2418" i="4"/>
  <c r="A2407" i="4"/>
  <c r="A2397" i="4"/>
  <c r="A2386" i="4"/>
  <c r="A2375" i="4"/>
  <c r="A2365" i="4"/>
  <c r="A2354" i="4"/>
  <c r="A2343" i="4"/>
  <c r="A2333" i="4"/>
  <c r="A2322" i="4"/>
  <c r="A2311" i="4"/>
  <c r="A2301" i="4"/>
  <c r="A2290" i="4"/>
  <c r="A2279" i="4"/>
  <c r="A2269" i="4"/>
  <c r="A2258" i="4"/>
  <c r="A2247" i="4"/>
  <c r="A2237" i="4"/>
  <c r="A2226" i="4"/>
  <c r="A2215" i="4"/>
  <c r="A2205" i="4"/>
  <c r="A2194" i="4"/>
  <c r="A20" i="4"/>
  <c r="A30" i="4"/>
  <c r="A41" i="4"/>
  <c r="A53" i="4"/>
  <c r="A65" i="4"/>
  <c r="A77" i="4"/>
  <c r="A90" i="4"/>
  <c r="A102" i="4"/>
  <c r="A114" i="4"/>
  <c r="A126" i="4"/>
  <c r="A138" i="4"/>
  <c r="A150" i="4"/>
  <c r="A162" i="4"/>
  <c r="A175" i="4"/>
  <c r="A188" i="4"/>
  <c r="A199" i="4"/>
  <c r="A212" i="4"/>
  <c r="A223" i="4"/>
  <c r="A236" i="4"/>
  <c r="A247" i="4"/>
  <c r="A261" i="4"/>
  <c r="A273" i="4"/>
  <c r="A285" i="4"/>
  <c r="A297" i="4"/>
  <c r="A309" i="4"/>
  <c r="A321" i="4"/>
  <c r="A333" i="4"/>
  <c r="A346" i="4"/>
  <c r="A358" i="4"/>
  <c r="A370" i="4"/>
  <c r="A382" i="4"/>
  <c r="A394" i="4"/>
  <c r="A406" i="4"/>
  <c r="A418" i="4"/>
  <c r="A431" i="4"/>
  <c r="A444" i="4"/>
  <c r="A455" i="4"/>
  <c r="A468" i="4"/>
  <c r="A479" i="4"/>
  <c r="A492" i="4"/>
  <c r="A503" i="4"/>
  <c r="A517" i="4"/>
  <c r="A529" i="4"/>
  <c r="A541" i="4"/>
  <c r="A553" i="4"/>
  <c r="A565" i="4"/>
  <c r="A577" i="4"/>
  <c r="A589" i="4"/>
  <c r="A602" i="4"/>
  <c r="A614" i="4"/>
  <c r="A626" i="4"/>
  <c r="A638" i="4"/>
  <c r="A653" i="4"/>
  <c r="A668" i="4"/>
  <c r="A681" i="4"/>
  <c r="A695" i="4"/>
  <c r="A710" i="4"/>
  <c r="A724" i="4"/>
  <c r="A738" i="4"/>
  <c r="A753" i="4"/>
  <c r="A766" i="4"/>
  <c r="A781" i="4"/>
  <c r="A796" i="4"/>
  <c r="A809" i="4"/>
  <c r="A823" i="4"/>
  <c r="A838" i="4"/>
  <c r="A852" i="4"/>
  <c r="A866" i="4"/>
  <c r="A881" i="4"/>
  <c r="A894" i="4"/>
  <c r="A909" i="4"/>
  <c r="A924" i="4"/>
  <c r="A937" i="4"/>
  <c r="A951" i="4"/>
  <c r="A966" i="4"/>
  <c r="A980" i="4"/>
  <c r="A994" i="4"/>
  <c r="A1009" i="4"/>
  <c r="A1022" i="4"/>
  <c r="A1037" i="4"/>
  <c r="A1052" i="4"/>
  <c r="A1065" i="4"/>
  <c r="A1079" i="4"/>
  <c r="A1094" i="4"/>
  <c r="A1108" i="4"/>
  <c r="A1122" i="4"/>
  <c r="A1137" i="4"/>
  <c r="A1150" i="4"/>
  <c r="A1165" i="4"/>
  <c r="A1180" i="4"/>
  <c r="A1193" i="4"/>
  <c r="A1207" i="4"/>
  <c r="A1222" i="4"/>
  <c r="A1236" i="4"/>
  <c r="A1250" i="4"/>
  <c r="A1265" i="4"/>
  <c r="A1278" i="4"/>
  <c r="A1293" i="4"/>
  <c r="A1308" i="4"/>
  <c r="A1321" i="4"/>
  <c r="A1335" i="4"/>
  <c r="A1350" i="4"/>
  <c r="A1364" i="4"/>
  <c r="A1378" i="4"/>
  <c r="A1393" i="4"/>
  <c r="A1406" i="4"/>
  <c r="A1421" i="4"/>
  <c r="A1436" i="4"/>
  <c r="A1449" i="4"/>
  <c r="A1463" i="4"/>
  <c r="A1478" i="4"/>
  <c r="A1492" i="4"/>
  <c r="A1506" i="4"/>
  <c r="A1521" i="4"/>
  <c r="A1534" i="4"/>
  <c r="A1549" i="4"/>
  <c r="A1564" i="4"/>
  <c r="A1577" i="4"/>
  <c r="A1591" i="4"/>
  <c r="A1606" i="4"/>
  <c r="A1620" i="4"/>
  <c r="A1634" i="4"/>
  <c r="A1649" i="4"/>
  <c r="A1662" i="4"/>
  <c r="A1677" i="4"/>
  <c r="A1692" i="4"/>
  <c r="A1705" i="4"/>
  <c r="A1719" i="4"/>
  <c r="A1734" i="4"/>
  <c r="A1748" i="4"/>
  <c r="A1762" i="4"/>
  <c r="A1777" i="4"/>
  <c r="A1790" i="4"/>
  <c r="A1805" i="4"/>
  <c r="A1820" i="4"/>
  <c r="A1833" i="4"/>
  <c r="A1847" i="4"/>
  <c r="A1862" i="4"/>
  <c r="A1876" i="4"/>
  <c r="A1890" i="4"/>
  <c r="A1905" i="4"/>
  <c r="A1918" i="4"/>
  <c r="A1933" i="4"/>
  <c r="A1948" i="4"/>
  <c r="A1961" i="4"/>
  <c r="A1975" i="4"/>
  <c r="A1990" i="4"/>
  <c r="A2004" i="4"/>
  <c r="A2018" i="4"/>
  <c r="A2033" i="4"/>
  <c r="A2046" i="4"/>
  <c r="A2061" i="4"/>
  <c r="A2076" i="4"/>
  <c r="A2089" i="4"/>
  <c r="A2103" i="4"/>
  <c r="A2118" i="4"/>
  <c r="A2132" i="4"/>
  <c r="A2149" i="4"/>
  <c r="A2164" i="4"/>
  <c r="A2182" i="4"/>
  <c r="A2202" i="4"/>
  <c r="A2223" i="4"/>
  <c r="A2245" i="4"/>
  <c r="A2266" i="4"/>
  <c r="A2287" i="4"/>
  <c r="A2309" i="4"/>
  <c r="A2330" i="4"/>
  <c r="A2351" i="4"/>
  <c r="A2373" i="4"/>
  <c r="A2394" i="4"/>
  <c r="A2415" i="4"/>
  <c r="A2437" i="4"/>
  <c r="A2458" i="4"/>
  <c r="A2479" i="4"/>
  <c r="A2501" i="4"/>
  <c r="A2522" i="4"/>
  <c r="A2543" i="4"/>
  <c r="A2567" i="4"/>
  <c r="A2593" i="4"/>
  <c r="A2618" i="4"/>
  <c r="A2644" i="4"/>
  <c r="A2669" i="4"/>
  <c r="A2695" i="4"/>
  <c r="A2721" i="4"/>
  <c r="A2746" i="4"/>
  <c r="A2772" i="4"/>
  <c r="A2797" i="4"/>
  <c r="A2823" i="4"/>
  <c r="A2849" i="4"/>
  <c r="A2874" i="4"/>
  <c r="A2900" i="4"/>
  <c r="A2925" i="4"/>
  <c r="A2951" i="4"/>
  <c r="A2977" i="4"/>
  <c r="A3002" i="4"/>
  <c r="A3028" i="4"/>
  <c r="A3053" i="4"/>
  <c r="A3079" i="4"/>
  <c r="A3105" i="4"/>
  <c r="A3130" i="4"/>
  <c r="A3156" i="4"/>
  <c r="A12" i="4"/>
  <c r="A22" i="4"/>
  <c r="A32" i="4"/>
  <c r="A44" i="4"/>
  <c r="A55" i="4"/>
  <c r="A69" i="4"/>
  <c r="A81" i="4"/>
  <c r="A93" i="4"/>
  <c r="A105" i="4"/>
  <c r="A117" i="4"/>
  <c r="A129" i="4"/>
  <c r="A141" i="4"/>
  <c r="A154" i="4"/>
  <c r="A166" i="4"/>
  <c r="A178" i="4"/>
  <c r="A190" i="4"/>
  <c r="A202" i="4"/>
  <c r="A214" i="4"/>
  <c r="A226" i="4"/>
  <c r="A239" i="4"/>
  <c r="A252" i="4"/>
  <c r="A263" i="4"/>
  <c r="A276" i="4"/>
  <c r="A287" i="4"/>
  <c r="A300" i="4"/>
  <c r="A311" i="4"/>
  <c r="A325" i="4"/>
  <c r="A337" i="4"/>
  <c r="A349" i="4"/>
  <c r="A361" i="4"/>
  <c r="A373" i="4"/>
  <c r="A385" i="4"/>
  <c r="A397" i="4"/>
  <c r="A410" i="4"/>
  <c r="A422" i="4"/>
  <c r="A434" i="4"/>
  <c r="A446" i="4"/>
  <c r="A458" i="4"/>
  <c r="A470" i="4"/>
  <c r="A482" i="4"/>
  <c r="A495" i="4"/>
  <c r="A508" i="4"/>
  <c r="A519" i="4"/>
  <c r="A532" i="4"/>
  <c r="A543" i="4"/>
  <c r="A556" i="4"/>
  <c r="A567" i="4"/>
  <c r="A581" i="4"/>
  <c r="A593" i="4"/>
  <c r="A605" i="4"/>
  <c r="A617" i="4"/>
  <c r="A629" i="4"/>
  <c r="A642" i="4"/>
  <c r="A657" i="4"/>
  <c r="A670" i="4"/>
  <c r="A685" i="4"/>
  <c r="A700" i="4"/>
  <c r="A713" i="4"/>
  <c r="A727" i="4"/>
  <c r="A742" i="4"/>
  <c r="A756" i="4"/>
  <c r="A770" i="4"/>
  <c r="A785" i="4"/>
  <c r="A798" i="4"/>
  <c r="A813" i="4"/>
  <c r="A828" i="4"/>
  <c r="A841" i="4"/>
  <c r="A855" i="4"/>
  <c r="A870" i="4"/>
  <c r="A884" i="4"/>
  <c r="A898" i="4"/>
  <c r="A913" i="4"/>
  <c r="A926" i="4"/>
  <c r="A941" i="4"/>
  <c r="A956" i="4"/>
  <c r="A969" i="4"/>
  <c r="A983" i="4"/>
  <c r="A998" i="4"/>
  <c r="A1012" i="4"/>
  <c r="A1026" i="4"/>
  <c r="A1041" i="4"/>
  <c r="A1054" i="4"/>
  <c r="A1069" i="4"/>
  <c r="A1084" i="4"/>
  <c r="A1097" i="4"/>
  <c r="A1111" i="4"/>
  <c r="A1126" i="4"/>
  <c r="A1140" i="4"/>
  <c r="A1154" i="4"/>
  <c r="A1169" i="4"/>
  <c r="A1182" i="4"/>
  <c r="A1197" i="4"/>
  <c r="A1212" i="4"/>
  <c r="A1225" i="4"/>
  <c r="A1239" i="4"/>
  <c r="A1254" i="4"/>
  <c r="A1268" i="4"/>
  <c r="A1282" i="4"/>
  <c r="A1297" i="4"/>
  <c r="A1310" i="4"/>
  <c r="A1325" i="4"/>
  <c r="A1340" i="4"/>
  <c r="A1353" i="4"/>
  <c r="A1367" i="4"/>
  <c r="A1382" i="4"/>
  <c r="A1396" i="4"/>
  <c r="A1410" i="4"/>
  <c r="A1425" i="4"/>
  <c r="A1438" i="4"/>
  <c r="A1453" i="4"/>
  <c r="A1468" i="4"/>
  <c r="A1481" i="4"/>
  <c r="A1495" i="4"/>
  <c r="A1510" i="4"/>
  <c r="A1524" i="4"/>
  <c r="A1538" i="4"/>
  <c r="A1553" i="4"/>
  <c r="A1566" i="4"/>
  <c r="A1581" i="4"/>
  <c r="A1596" i="4"/>
  <c r="A1609" i="4"/>
  <c r="A1623" i="4"/>
  <c r="A1638" i="4"/>
  <c r="A1652" i="4"/>
  <c r="A1666" i="4"/>
  <c r="A1681" i="4"/>
  <c r="A1694" i="4"/>
  <c r="A1709" i="4"/>
  <c r="A1724" i="4"/>
  <c r="A1737" i="4"/>
  <c r="A1751" i="4"/>
  <c r="A1766" i="4"/>
  <c r="A1780" i="4"/>
  <c r="A1794" i="4"/>
  <c r="A1809" i="4"/>
  <c r="A1822" i="4"/>
  <c r="A1837" i="4"/>
  <c r="A1852" i="4"/>
  <c r="A1865" i="4"/>
  <c r="A1879" i="4"/>
  <c r="A1894" i="4"/>
  <c r="A1908" i="4"/>
  <c r="A1922" i="4"/>
  <c r="A1937" i="4"/>
  <c r="A1950" i="4"/>
  <c r="A1965" i="4"/>
  <c r="A1980" i="4"/>
  <c r="A1993" i="4"/>
  <c r="A2007" i="4"/>
  <c r="A2022" i="4"/>
  <c r="A2036" i="4"/>
  <c r="A2050" i="4"/>
  <c r="A2065" i="4"/>
  <c r="A2078" i="4"/>
  <c r="A2093" i="4"/>
  <c r="A2108" i="4"/>
  <c r="A2121" i="4"/>
  <c r="A2135" i="4"/>
  <c r="A2151" i="4"/>
  <c r="A2170" i="4"/>
  <c r="A2185" i="4"/>
  <c r="A2206" i="4"/>
  <c r="A2228" i="4"/>
  <c r="A2249" i="4"/>
  <c r="A2270" i="4"/>
  <c r="A2292" i="4"/>
  <c r="A2313" i="4"/>
  <c r="A2334" i="4"/>
  <c r="A2356" i="4"/>
  <c r="A2377" i="4"/>
  <c r="A2398" i="4"/>
  <c r="A2420" i="4"/>
  <c r="A2441" i="4"/>
  <c r="A2462" i="4"/>
  <c r="A2484" i="4"/>
  <c r="A2505" i="4"/>
  <c r="A2526" i="4"/>
  <c r="A2548" i="4"/>
  <c r="A2572" i="4"/>
  <c r="A2597" i="4"/>
  <c r="A2623" i="4"/>
  <c r="A2649" i="4"/>
  <c r="A2674" i="4"/>
  <c r="A2700" i="4"/>
  <c r="A2725" i="4"/>
  <c r="A2751" i="4"/>
  <c r="A2777" i="4"/>
  <c r="A2802" i="4"/>
  <c r="A2828" i="4"/>
  <c r="A2853" i="4"/>
  <c r="A2879" i="4"/>
  <c r="A2905" i="4"/>
  <c r="A2930" i="4"/>
  <c r="A2956" i="4"/>
  <c r="A2981" i="4"/>
  <c r="A3007" i="4"/>
  <c r="A3033" i="4"/>
  <c r="A3058" i="4"/>
  <c r="A3084" i="4"/>
  <c r="A3109" i="4"/>
  <c r="A3135" i="4"/>
  <c r="A3161" i="4"/>
  <c r="A13" i="4"/>
  <c r="A23" i="4"/>
  <c r="A33" i="4"/>
  <c r="A45" i="4"/>
  <c r="A58" i="4"/>
  <c r="A70" i="4"/>
  <c r="A82" i="4"/>
  <c r="A94" i="4"/>
  <c r="A106" i="4"/>
  <c r="A118" i="4"/>
  <c r="A130" i="4"/>
  <c r="A143" i="4"/>
  <c r="A156" i="4"/>
  <c r="A167" i="4"/>
  <c r="A180" i="4"/>
  <c r="A191" i="4"/>
  <c r="A204" i="4"/>
  <c r="A215" i="4"/>
  <c r="A229" i="4"/>
  <c r="A241" i="4"/>
  <c r="A253" i="4"/>
  <c r="A265" i="4"/>
  <c r="A277" i="4"/>
  <c r="A289" i="4"/>
  <c r="A301" i="4"/>
  <c r="A314" i="4"/>
  <c r="A326" i="4"/>
  <c r="A338" i="4"/>
  <c r="A350" i="4"/>
  <c r="A362" i="4"/>
  <c r="A374" i="4"/>
  <c r="A386" i="4"/>
  <c r="A399" i="4"/>
  <c r="A412" i="4"/>
  <c r="A423" i="4"/>
  <c r="A436" i="4"/>
  <c r="A447" i="4"/>
  <c r="A460" i="4"/>
  <c r="A471" i="4"/>
  <c r="A485" i="4"/>
  <c r="A497" i="4"/>
  <c r="A509" i="4"/>
  <c r="A521" i="4"/>
  <c r="A533" i="4"/>
  <c r="A545" i="4"/>
  <c r="A557" i="4"/>
  <c r="A570" i="4"/>
  <c r="A582" i="4"/>
  <c r="A594" i="4"/>
  <c r="A606" i="4"/>
  <c r="A618" i="4"/>
  <c r="A630" i="4"/>
  <c r="A645" i="4"/>
  <c r="A658" i="4"/>
  <c r="A673" i="4"/>
  <c r="A687" i="4"/>
  <c r="A701" i="4"/>
  <c r="A716" i="4"/>
  <c r="A730" i="4"/>
  <c r="A743" i="4"/>
  <c r="A758" i="4"/>
  <c r="A773" i="4"/>
  <c r="A786" i="4"/>
  <c r="A801" i="4"/>
  <c r="A815" i="4"/>
  <c r="A829" i="4"/>
  <c r="A844" i="4"/>
  <c r="A858" i="4"/>
  <c r="A871" i="4"/>
  <c r="A886" i="4"/>
  <c r="A901" i="4"/>
  <c r="A914" i="4"/>
  <c r="A929" i="4"/>
  <c r="A943" i="4"/>
  <c r="A957" i="4"/>
  <c r="A972" i="4"/>
  <c r="A986" i="4"/>
  <c r="A999" i="4"/>
  <c r="A1014" i="4"/>
  <c r="A1029" i="4"/>
  <c r="A1042" i="4"/>
  <c r="A1057" i="4"/>
  <c r="A1071" i="4"/>
  <c r="A1085" i="4"/>
  <c r="A1100" i="4"/>
  <c r="A1114" i="4"/>
  <c r="A1127" i="4"/>
  <c r="A1142" i="4"/>
  <c r="A1157" i="4"/>
  <c r="A1170" i="4"/>
  <c r="A1185" i="4"/>
  <c r="A1199" i="4"/>
  <c r="A1213" i="4"/>
  <c r="A1228" i="4"/>
  <c r="A1242" i="4"/>
  <c r="A1255" i="4"/>
  <c r="A1270" i="4"/>
  <c r="A1285" i="4"/>
  <c r="A1298" i="4"/>
  <c r="A1313" i="4"/>
  <c r="A1327" i="4"/>
  <c r="A1341" i="4"/>
  <c r="A1356" i="4"/>
  <c r="A1370" i="4"/>
  <c r="A1383" i="4"/>
  <c r="A1398" i="4"/>
  <c r="A1413" i="4"/>
  <c r="A1426" i="4"/>
  <c r="A1441" i="4"/>
  <c r="A1455" i="4"/>
  <c r="A1469" i="4"/>
  <c r="A1484" i="4"/>
  <c r="A1498" i="4"/>
  <c r="A1511" i="4"/>
  <c r="A1526" i="4"/>
  <c r="A1541" i="4"/>
  <c r="A1554" i="4"/>
  <c r="A1569" i="4"/>
  <c r="A1583" i="4"/>
  <c r="A1597" i="4"/>
  <c r="A1612" i="4"/>
  <c r="A1626" i="4"/>
  <c r="A1639" i="4"/>
  <c r="A1654" i="4"/>
  <c r="A1669" i="4"/>
  <c r="A1682" i="4"/>
  <c r="A1697" i="4"/>
  <c r="A1711" i="4"/>
  <c r="A1725" i="4"/>
  <c r="A1740" i="4"/>
  <c r="A1754" i="4"/>
  <c r="A1767" i="4"/>
  <c r="A1782" i="4"/>
  <c r="A1797" i="4"/>
  <c r="A1810" i="4"/>
  <c r="A1825" i="4"/>
  <c r="A1839" i="4"/>
  <c r="A1853" i="4"/>
  <c r="A1868" i="4"/>
  <c r="A1882" i="4"/>
  <c r="A1895" i="4"/>
  <c r="A1910" i="4"/>
  <c r="A1925" i="4"/>
  <c r="A1938" i="4"/>
  <c r="A1953" i="4"/>
  <c r="A1967" i="4"/>
  <c r="A1981" i="4"/>
  <c r="A1996" i="4"/>
  <c r="A2010" i="4"/>
  <c r="A2023" i="4"/>
  <c r="A2038" i="4"/>
  <c r="A2053" i="4"/>
  <c r="A2066" i="4"/>
  <c r="A2081" i="4"/>
  <c r="A2095" i="4"/>
  <c r="A2109" i="4"/>
  <c r="A2124" i="4"/>
  <c r="A2138" i="4"/>
  <c r="A2153" i="4"/>
  <c r="A2172" i="4"/>
  <c r="A2189" i="4"/>
  <c r="A2210" i="4"/>
  <c r="A2231" i="4"/>
  <c r="A2253" i="4"/>
  <c r="A2274" i="4"/>
  <c r="A2295" i="4"/>
  <c r="A2317" i="4"/>
  <c r="A2338" i="4"/>
  <c r="A2359" i="4"/>
  <c r="A2381" i="4"/>
  <c r="A2402" i="4"/>
  <c r="A2423" i="4"/>
  <c r="A2445" i="4"/>
  <c r="A2466" i="4"/>
  <c r="A2487" i="4"/>
  <c r="A2509" i="4"/>
  <c r="A2530" i="4"/>
  <c r="A2551" i="4"/>
  <c r="A2577" i="4"/>
  <c r="A2602" i="4"/>
  <c r="A2628" i="4"/>
  <c r="A2653" i="4"/>
  <c r="A2679" i="4"/>
  <c r="A2705" i="4"/>
  <c r="A2730" i="4"/>
  <c r="A2756" i="4"/>
  <c r="A2781" i="4"/>
  <c r="A2807" i="4"/>
  <c r="A2833" i="4"/>
  <c r="A2858" i="4"/>
  <c r="A2884" i="4"/>
  <c r="A2909" i="4"/>
  <c r="A2935" i="4"/>
  <c r="A2961" i="4"/>
  <c r="A2986" i="4"/>
  <c r="A3012" i="4"/>
  <c r="A3037" i="4"/>
  <c r="A3063" i="4"/>
  <c r="A3089" i="4"/>
  <c r="A3114" i="4"/>
  <c r="A3140" i="4"/>
  <c r="A3165" i="4"/>
  <c r="A14" i="4"/>
  <c r="A24" i="4"/>
  <c r="A34" i="4"/>
  <c r="A47" i="4"/>
  <c r="A60" i="4"/>
  <c r="A71" i="4"/>
  <c r="A84" i="4"/>
  <c r="A95" i="4"/>
  <c r="A108" i="4"/>
  <c r="A119" i="4"/>
  <c r="A133" i="4"/>
  <c r="A145" i="4"/>
  <c r="A157" i="4"/>
  <c r="A169" i="4"/>
  <c r="A181" i="4"/>
  <c r="A193" i="4"/>
  <c r="A205" i="4"/>
  <c r="A218" i="4"/>
  <c r="A230" i="4"/>
  <c r="A242" i="4"/>
  <c r="A254" i="4"/>
  <c r="A266" i="4"/>
  <c r="A278" i="4"/>
  <c r="A290" i="4"/>
  <c r="A303" i="4"/>
  <c r="A316" i="4"/>
  <c r="A327" i="4"/>
  <c r="A340" i="4"/>
  <c r="A351" i="4"/>
  <c r="A364" i="4"/>
  <c r="A375" i="4"/>
  <c r="A389" i="4"/>
  <c r="A401" i="4"/>
  <c r="A413" i="4"/>
  <c r="A425" i="4"/>
  <c r="A437" i="4"/>
  <c r="A449" i="4"/>
  <c r="A461" i="4"/>
  <c r="A474" i="4"/>
  <c r="A486" i="4"/>
  <c r="A498" i="4"/>
  <c r="A510" i="4"/>
  <c r="A522" i="4"/>
  <c r="A534" i="4"/>
  <c r="A546" i="4"/>
  <c r="A559" i="4"/>
  <c r="A572" i="4"/>
  <c r="A583" i="4"/>
  <c r="A596" i="4"/>
  <c r="A607" i="4"/>
  <c r="A620" i="4"/>
  <c r="A631" i="4"/>
  <c r="A646" i="4"/>
  <c r="A660" i="4"/>
  <c r="A674" i="4"/>
  <c r="A689" i="4"/>
  <c r="A702" i="4"/>
  <c r="A717" i="4"/>
  <c r="A732" i="4"/>
  <c r="A745" i="4"/>
  <c r="A759" i="4"/>
  <c r="A774" i="4"/>
  <c r="A788" i="4"/>
  <c r="A802" i="4"/>
  <c r="A817" i="4"/>
  <c r="A830" i="4"/>
  <c r="A845" i="4"/>
  <c r="A860" i="4"/>
  <c r="A873" i="4"/>
  <c r="A887" i="4"/>
  <c r="A902" i="4"/>
  <c r="A916" i="4"/>
  <c r="A930" i="4"/>
  <c r="A945" i="4"/>
  <c r="A958" i="4"/>
  <c r="A973" i="4"/>
  <c r="A988" i="4"/>
  <c r="A1001" i="4"/>
  <c r="A1015" i="4"/>
  <c r="A1030" i="4"/>
  <c r="A1044" i="4"/>
  <c r="A1058" i="4"/>
  <c r="A1073" i="4"/>
  <c r="A1086" i="4"/>
  <c r="A1101" i="4"/>
  <c r="A1116" i="4"/>
  <c r="A1129" i="4"/>
  <c r="A1143" i="4"/>
  <c r="A1158" i="4"/>
  <c r="A1172" i="4"/>
  <c r="A1186" i="4"/>
  <c r="A1201" i="4"/>
  <c r="A1214" i="4"/>
  <c r="A1229" i="4"/>
  <c r="A1244" i="4"/>
  <c r="A1257" i="4"/>
  <c r="A1271" i="4"/>
  <c r="A1286" i="4"/>
  <c r="A1300" i="4"/>
  <c r="A1314" i="4"/>
  <c r="A1329" i="4"/>
  <c r="A1342" i="4"/>
  <c r="A1357" i="4"/>
  <c r="A1372" i="4"/>
  <c r="A1385" i="4"/>
  <c r="A1399" i="4"/>
  <c r="A1414" i="4"/>
  <c r="A1428" i="4"/>
  <c r="A1442" i="4"/>
  <c r="A1457" i="4"/>
  <c r="A1470" i="4"/>
  <c r="A1485" i="4"/>
  <c r="A1500" i="4"/>
  <c r="A1513" i="4"/>
  <c r="A1527" i="4"/>
  <c r="A1542" i="4"/>
  <c r="A1556" i="4"/>
  <c r="A1570" i="4"/>
  <c r="A1585" i="4"/>
  <c r="A1598" i="4"/>
  <c r="A1613" i="4"/>
  <c r="A1628" i="4"/>
  <c r="A1641" i="4"/>
  <c r="A1655" i="4"/>
  <c r="A1670" i="4"/>
  <c r="A1684" i="4"/>
  <c r="A1698" i="4"/>
  <c r="A1713" i="4"/>
  <c r="A1726" i="4"/>
  <c r="A1741" i="4"/>
  <c r="A1756" i="4"/>
  <c r="A1769" i="4"/>
  <c r="A1783" i="4"/>
  <c r="A1798" i="4"/>
  <c r="A1812" i="4"/>
  <c r="A1826" i="4"/>
  <c r="A1841" i="4"/>
  <c r="A1854" i="4"/>
  <c r="A1869" i="4"/>
  <c r="A1884" i="4"/>
  <c r="A1897" i="4"/>
  <c r="A1911" i="4"/>
  <c r="A1926" i="4"/>
  <c r="A1940" i="4"/>
  <c r="A1954" i="4"/>
  <c r="A1969" i="4"/>
  <c r="A1982" i="4"/>
  <c r="A1997" i="4"/>
  <c r="A2012" i="4"/>
  <c r="A2025" i="4"/>
  <c r="A2039" i="4"/>
  <c r="A2054" i="4"/>
  <c r="A2068" i="4"/>
  <c r="A2082" i="4"/>
  <c r="A2097" i="4"/>
  <c r="A2110" i="4"/>
  <c r="A2125" i="4"/>
  <c r="A2140" i="4"/>
  <c r="A2157" i="4"/>
  <c r="A2173" i="4"/>
  <c r="A2191" i="4"/>
  <c r="A2213" i="4"/>
  <c r="A2234" i="4"/>
  <c r="A2255" i="4"/>
  <c r="A2277" i="4"/>
  <c r="A2298" i="4"/>
  <c r="A2319" i="4"/>
  <c r="A2341" i="4"/>
  <c r="A2362" i="4"/>
  <c r="A2383" i="4"/>
  <c r="A2405" i="4"/>
  <c r="A2426" i="4"/>
  <c r="A2447" i="4"/>
  <c r="A2469" i="4"/>
  <c r="A2490" i="4"/>
  <c r="A2511" i="4"/>
  <c r="A2533" i="4"/>
  <c r="A2554" i="4"/>
  <c r="A2580" i="4"/>
  <c r="A2605" i="4"/>
  <c r="A2631" i="4"/>
  <c r="A2657" i="4"/>
  <c r="A2682" i="4"/>
  <c r="A2708" i="4"/>
  <c r="A2733" i="4"/>
  <c r="A2759" i="4"/>
  <c r="A2785" i="4"/>
  <c r="A2810" i="4"/>
  <c r="A2836" i="4"/>
  <c r="A2861" i="4"/>
  <c r="A2887" i="4"/>
  <c r="A2913" i="4"/>
  <c r="A2938" i="4"/>
  <c r="A2964" i="4"/>
  <c r="A2989" i="4"/>
  <c r="A3015" i="4"/>
  <c r="A3041" i="4"/>
  <c r="A3066" i="4"/>
  <c r="A3092" i="4"/>
  <c r="A3117" i="4"/>
  <c r="A3143" i="4"/>
  <c r="A15" i="4"/>
  <c r="A25" i="4"/>
  <c r="A37" i="4"/>
  <c r="A49" i="4"/>
  <c r="A61" i="4"/>
  <c r="A73" i="4"/>
  <c r="A85" i="4"/>
  <c r="A97" i="4"/>
  <c r="A109" i="4"/>
  <c r="A122" i="4"/>
  <c r="A134" i="4"/>
  <c r="A146" i="4"/>
  <c r="A158" i="4"/>
  <c r="A170" i="4"/>
  <c r="A182" i="4"/>
  <c r="A194" i="4"/>
  <c r="A207" i="4"/>
  <c r="A220" i="4"/>
  <c r="A231" i="4"/>
  <c r="A244" i="4"/>
  <c r="A255" i="4"/>
  <c r="A268" i="4"/>
  <c r="A279" i="4"/>
  <c r="A293" i="4"/>
  <c r="A305" i="4"/>
  <c r="A317" i="4"/>
  <c r="A329" i="4"/>
  <c r="A341" i="4"/>
  <c r="A353" i="4"/>
  <c r="A365" i="4"/>
  <c r="A378" i="4"/>
  <c r="A390" i="4"/>
  <c r="A402" i="4"/>
  <c r="A414" i="4"/>
  <c r="A426" i="4"/>
  <c r="A438" i="4"/>
  <c r="A450" i="4"/>
  <c r="A463" i="4"/>
  <c r="A476" i="4"/>
  <c r="A487" i="4"/>
  <c r="A500" i="4"/>
  <c r="A511" i="4"/>
  <c r="A524" i="4"/>
  <c r="A535" i="4"/>
  <c r="A549" i="4"/>
  <c r="A561" i="4"/>
  <c r="A573" i="4"/>
  <c r="A585" i="4"/>
  <c r="A597" i="4"/>
  <c r="A609" i="4"/>
  <c r="A621" i="4"/>
  <c r="A634" i="4"/>
  <c r="A647" i="4"/>
  <c r="A662" i="4"/>
  <c r="A677" i="4"/>
  <c r="A690" i="4"/>
  <c r="A705" i="4"/>
  <c r="A719" i="4"/>
  <c r="A733" i="4"/>
  <c r="A748" i="4"/>
  <c r="A762" i="4"/>
  <c r="A775" i="4"/>
  <c r="A790" i="4"/>
  <c r="A805" i="4"/>
  <c r="A818" i="4"/>
  <c r="A833" i="4"/>
  <c r="A847" i="4"/>
  <c r="A861" i="4"/>
  <c r="A876" i="4"/>
  <c r="A890" i="4"/>
  <c r="A903" i="4"/>
  <c r="A918" i="4"/>
  <c r="A933" i="4"/>
  <c r="A946" i="4"/>
  <c r="A961" i="4"/>
  <c r="A975" i="4"/>
  <c r="A989" i="4"/>
  <c r="A1004" i="4"/>
  <c r="A1018" i="4"/>
  <c r="A1031" i="4"/>
  <c r="A1046" i="4"/>
  <c r="A1061" i="4"/>
  <c r="A1074" i="4"/>
  <c r="A1089" i="4"/>
  <c r="A1103" i="4"/>
  <c r="A1117" i="4"/>
  <c r="A1132" i="4"/>
  <c r="A1146" i="4"/>
  <c r="A1159" i="4"/>
  <c r="A1174" i="4"/>
  <c r="A1189" i="4"/>
  <c r="A1202" i="4"/>
  <c r="A1217" i="4"/>
  <c r="A1231" i="4"/>
  <c r="A1245" i="4"/>
  <c r="A1260" i="4"/>
  <c r="A1274" i="4"/>
  <c r="A1287" i="4"/>
  <c r="A1302" i="4"/>
  <c r="A1317" i="4"/>
  <c r="A1330" i="4"/>
  <c r="A1345" i="4"/>
  <c r="A1359" i="4"/>
  <c r="A1373" i="4"/>
  <c r="A1388" i="4"/>
  <c r="A1402" i="4"/>
  <c r="A1415" i="4"/>
  <c r="A1430" i="4"/>
  <c r="A1445" i="4"/>
  <c r="A1458" i="4"/>
  <c r="A1473" i="4"/>
  <c r="A1487" i="4"/>
  <c r="A1501" i="4"/>
  <c r="A1516" i="4"/>
  <c r="A1530" i="4"/>
  <c r="A1543" i="4"/>
  <c r="A1558" i="4"/>
  <c r="A1573" i="4"/>
  <c r="A1586" i="4"/>
  <c r="A1601" i="4"/>
  <c r="A1615" i="4"/>
  <c r="A1629" i="4"/>
  <c r="A1644" i="4"/>
  <c r="A1658" i="4"/>
  <c r="A1671" i="4"/>
  <c r="A1686" i="4"/>
  <c r="A1701" i="4"/>
  <c r="A1714" i="4"/>
  <c r="A1729" i="4"/>
  <c r="A1743" i="4"/>
  <c r="A1757" i="4"/>
  <c r="A1772" i="4"/>
  <c r="A1786" i="4"/>
  <c r="A1799" i="4"/>
  <c r="A1814" i="4"/>
  <c r="A1829" i="4"/>
  <c r="A1842" i="4"/>
  <c r="A1857" i="4"/>
  <c r="A1871" i="4"/>
  <c r="A1885" i="4"/>
  <c r="A1900" i="4"/>
  <c r="A1914" i="4"/>
  <c r="A1927" i="4"/>
  <c r="A1942" i="4"/>
  <c r="A1957" i="4"/>
  <c r="A1970" i="4"/>
  <c r="A1985" i="4"/>
  <c r="A1999" i="4"/>
  <c r="A2013" i="4"/>
  <c r="A2028" i="4"/>
  <c r="A2042" i="4"/>
  <c r="A2055" i="4"/>
  <c r="A2070" i="4"/>
  <c r="A2085" i="4"/>
  <c r="A2098" i="4"/>
  <c r="A2113" i="4"/>
  <c r="A2127" i="4"/>
  <c r="A2141" i="4"/>
  <c r="A2159" i="4"/>
  <c r="A2174" i="4"/>
  <c r="A2193" i="4"/>
  <c r="A2214" i="4"/>
  <c r="A2236" i="4"/>
  <c r="A2257" i="4"/>
  <c r="A2278" i="4"/>
  <c r="A2300" i="4"/>
  <c r="A2321" i="4"/>
  <c r="A2342" i="4"/>
  <c r="A2364" i="4"/>
  <c r="A2385" i="4"/>
  <c r="A2406" i="4"/>
  <c r="A2428" i="4"/>
  <c r="A2449" i="4"/>
  <c r="A2470" i="4"/>
  <c r="A2492" i="4"/>
  <c r="A2513" i="4"/>
  <c r="A2534" i="4"/>
  <c r="A2556" i="4"/>
  <c r="A2581" i="4"/>
  <c r="A2607" i="4"/>
  <c r="A2633" i="4"/>
  <c r="A2658" i="4"/>
  <c r="A2684" i="4"/>
  <c r="A2709" i="4"/>
  <c r="A2735" i="4"/>
  <c r="A2761" i="4"/>
  <c r="A2786" i="4"/>
  <c r="A2812" i="4"/>
  <c r="A2837" i="4"/>
  <c r="A2863" i="4"/>
  <c r="A2889" i="4"/>
  <c r="A2914" i="4"/>
  <c r="A2940" i="4"/>
  <c r="A2965" i="4"/>
  <c r="A2991" i="4"/>
  <c r="A3017" i="4"/>
  <c r="A3042" i="4"/>
  <c r="A3068" i="4"/>
  <c r="A3093" i="4"/>
  <c r="A3119" i="4"/>
  <c r="A3145" i="4"/>
  <c r="A16" i="4"/>
  <c r="A28" i="4"/>
  <c r="A38" i="4"/>
  <c r="A50" i="4"/>
  <c r="A62" i="4"/>
  <c r="A74" i="4"/>
  <c r="A86" i="4"/>
  <c r="A98" i="4"/>
  <c r="A111" i="4"/>
  <c r="A124" i="4"/>
  <c r="A135" i="4"/>
  <c r="A148" i="4"/>
  <c r="A159" i="4"/>
  <c r="A172" i="4"/>
  <c r="A183" i="4"/>
  <c r="A197" i="4"/>
  <c r="A209" i="4"/>
  <c r="A221" i="4"/>
  <c r="A233" i="4"/>
  <c r="A245" i="4"/>
  <c r="A257" i="4"/>
  <c r="A269" i="4"/>
  <c r="A282" i="4"/>
  <c r="A294" i="4"/>
  <c r="A306" i="4"/>
  <c r="A318" i="4"/>
  <c r="A330" i="4"/>
  <c r="A342" i="4"/>
  <c r="A354" i="4"/>
  <c r="A367" i="4"/>
  <c r="A380" i="4"/>
  <c r="A391" i="4"/>
  <c r="A404" i="4"/>
  <c r="A415" i="4"/>
  <c r="A428" i="4"/>
  <c r="A439" i="4"/>
  <c r="A453" i="4"/>
  <c r="A465" i="4"/>
  <c r="A477" i="4"/>
  <c r="A489" i="4"/>
  <c r="A501" i="4"/>
  <c r="A513" i="4"/>
  <c r="A525" i="4"/>
  <c r="A538" i="4"/>
  <c r="A550" i="4"/>
  <c r="A562" i="4"/>
  <c r="A574" i="4"/>
  <c r="A586" i="4"/>
  <c r="A598" i="4"/>
  <c r="A610" i="4"/>
  <c r="A623" i="4"/>
  <c r="A636" i="4"/>
  <c r="A649" i="4"/>
  <c r="A663" i="4"/>
  <c r="A678" i="4"/>
  <c r="A692" i="4"/>
  <c r="A706" i="4"/>
  <c r="A721" i="4"/>
  <c r="A734" i="4"/>
  <c r="A749" i="4"/>
  <c r="A764" i="4"/>
  <c r="A777" i="4"/>
  <c r="A791" i="4"/>
  <c r="A806" i="4"/>
  <c r="A820" i="4"/>
  <c r="A834" i="4"/>
  <c r="A849" i="4"/>
  <c r="A862" i="4"/>
  <c r="A877" i="4"/>
  <c r="A892" i="4"/>
  <c r="A905" i="4"/>
  <c r="A919" i="4"/>
  <c r="A934" i="4"/>
  <c r="A948" i="4"/>
  <c r="A962" i="4"/>
  <c r="A977" i="4"/>
  <c r="A990" i="4"/>
  <c r="A1005" i="4"/>
  <c r="A1020" i="4"/>
  <c r="A1033" i="4"/>
  <c r="A1047" i="4"/>
  <c r="A1062" i="4"/>
  <c r="A1076" i="4"/>
  <c r="A1090" i="4"/>
  <c r="A1105" i="4"/>
  <c r="A1118" i="4"/>
  <c r="A1133" i="4"/>
  <c r="A1148" i="4"/>
  <c r="A1161" i="4"/>
  <c r="A1175" i="4"/>
  <c r="A1190" i="4"/>
  <c r="A1204" i="4"/>
  <c r="A1218" i="4"/>
  <c r="A1233" i="4"/>
  <c r="A1246" i="4"/>
  <c r="A1261" i="4"/>
  <c r="A1276" i="4"/>
  <c r="A1289" i="4"/>
  <c r="A1303" i="4"/>
  <c r="A1318" i="4"/>
  <c r="A1332" i="4"/>
  <c r="A1346" i="4"/>
  <c r="A1361" i="4"/>
  <c r="A1374" i="4"/>
  <c r="A1389" i="4"/>
  <c r="A1404" i="4"/>
  <c r="A1417" i="4"/>
  <c r="A1431" i="4"/>
  <c r="A1446" i="4"/>
  <c r="A1460" i="4"/>
  <c r="A1474" i="4"/>
  <c r="A1489" i="4"/>
  <c r="A1502" i="4"/>
  <c r="A1517" i="4"/>
  <c r="A1532" i="4"/>
  <c r="A1545" i="4"/>
  <c r="A1559" i="4"/>
  <c r="A1574" i="4"/>
  <c r="A1588" i="4"/>
  <c r="A1602" i="4"/>
  <c r="A1617" i="4"/>
  <c r="A1630" i="4"/>
  <c r="A1645" i="4"/>
  <c r="A1660" i="4"/>
  <c r="A1673" i="4"/>
  <c r="A1687" i="4"/>
  <c r="A1702" i="4"/>
  <c r="A1716" i="4"/>
  <c r="A1730" i="4"/>
  <c r="A1745" i="4"/>
  <c r="A1758" i="4"/>
  <c r="A1773" i="4"/>
  <c r="A1788" i="4"/>
  <c r="A1801" i="4"/>
  <c r="A1815" i="4"/>
  <c r="A1830" i="4"/>
  <c r="A1844" i="4"/>
  <c r="A1858" i="4"/>
  <c r="A1873" i="4"/>
  <c r="A1886" i="4"/>
  <c r="A1901" i="4"/>
  <c r="A1916" i="4"/>
  <c r="A1929" i="4"/>
  <c r="A1943" i="4"/>
  <c r="A1958" i="4"/>
  <c r="A1972" i="4"/>
  <c r="A1986" i="4"/>
  <c r="A2001" i="4"/>
  <c r="A2014" i="4"/>
  <c r="A2029" i="4"/>
  <c r="A2044" i="4"/>
  <c r="A2057" i="4"/>
  <c r="A2071" i="4"/>
  <c r="A2086" i="4"/>
  <c r="A2100" i="4"/>
  <c r="A2114" i="4"/>
  <c r="A2129" i="4"/>
  <c r="A2142" i="4"/>
  <c r="A2161" i="4"/>
  <c r="A2178" i="4"/>
  <c r="A2196" i="4"/>
  <c r="A2217" i="4"/>
  <c r="A2238" i="4"/>
  <c r="A2260" i="4"/>
  <c r="A2281" i="4"/>
  <c r="A2302" i="4"/>
  <c r="A2324" i="4"/>
  <c r="A2345" i="4"/>
  <c r="A2366" i="4"/>
  <c r="A2388" i="4"/>
  <c r="A2409" i="4"/>
  <c r="A2430" i="4"/>
  <c r="A2452" i="4"/>
  <c r="A2473" i="4"/>
  <c r="A2494" i="4"/>
  <c r="A2516" i="4"/>
  <c r="A2537" i="4"/>
  <c r="A2559" i="4"/>
  <c r="A2585" i="4"/>
  <c r="A2610" i="4"/>
  <c r="A2636" i="4"/>
  <c r="A2661" i="4"/>
  <c r="A2687" i="4"/>
  <c r="A2713" i="4"/>
  <c r="A2738" i="4"/>
  <c r="A2764" i="4"/>
  <c r="A2789" i="4"/>
  <c r="A2815" i="4"/>
  <c r="A2841" i="4"/>
  <c r="A2866" i="4"/>
  <c r="A2892" i="4"/>
  <c r="A2917" i="4"/>
  <c r="A2943" i="4"/>
  <c r="A2969" i="4"/>
  <c r="A2994" i="4"/>
  <c r="A3020" i="4"/>
  <c r="A3045" i="4"/>
  <c r="A3071" i="4"/>
  <c r="A3097" i="4"/>
  <c r="A3122" i="4"/>
  <c r="A3148" i="4"/>
  <c r="W9" i="4"/>
  <c r="W23" i="4"/>
  <c r="W15" i="4"/>
  <c r="W20" i="4"/>
  <c r="W12" i="4"/>
  <c r="W18" i="4"/>
  <c r="W10" i="4"/>
  <c r="W22" i="4"/>
  <c r="W13" i="4"/>
  <c r="U7" i="5"/>
  <c r="Q432" i="6"/>
  <c r="R432" i="6"/>
  <c r="R479" i="6"/>
  <c r="Q479" i="6"/>
  <c r="R626" i="6"/>
  <c r="Q626" i="6"/>
  <c r="Q109" i="6"/>
  <c r="R109" i="6"/>
  <c r="Q359" i="6"/>
  <c r="R359" i="6"/>
  <c r="R378" i="6"/>
  <c r="Q378" i="6"/>
  <c r="O8" i="6"/>
  <c r="R171" i="6"/>
  <c r="Q171" i="6"/>
  <c r="R324" i="6"/>
  <c r="Q324" i="6"/>
  <c r="R170" i="6"/>
  <c r="Q170" i="6"/>
  <c r="R187" i="6"/>
  <c r="Q187" i="6"/>
  <c r="R278" i="6"/>
  <c r="Q278" i="6"/>
  <c r="Q367" i="6"/>
  <c r="R367" i="6"/>
  <c r="Q53" i="6"/>
  <c r="Q136" i="6"/>
  <c r="R294" i="6"/>
  <c r="Q294" i="6"/>
  <c r="R98" i="6"/>
  <c r="Q98" i="6"/>
  <c r="Q434" i="6"/>
  <c r="Q441" i="6"/>
  <c r="Q500" i="6"/>
  <c r="R500" i="6"/>
  <c r="R508" i="6"/>
  <c r="Q508" i="6"/>
  <c r="Q656" i="6"/>
  <c r="R656" i="6"/>
  <c r="Q582" i="6"/>
  <c r="R582" i="6"/>
  <c r="Q666" i="6"/>
  <c r="R666" i="6"/>
  <c r="Q688" i="6"/>
  <c r="R688" i="6"/>
  <c r="Q598" i="6"/>
  <c r="R598" i="6"/>
  <c r="R617" i="6"/>
  <c r="Q617" i="6"/>
  <c r="Q385" i="6"/>
  <c r="R555" i="6"/>
  <c r="Q555" i="6"/>
  <c r="R683" i="6"/>
  <c r="Q683" i="6"/>
  <c r="R987" i="6"/>
  <c r="Q987" i="6"/>
  <c r="R837" i="6"/>
  <c r="Q837" i="6"/>
  <c r="R856" i="6"/>
  <c r="Q856" i="6"/>
  <c r="R800" i="6"/>
  <c r="Q800" i="6"/>
  <c r="R804" i="6"/>
  <c r="Q804" i="6"/>
  <c r="R848" i="6"/>
  <c r="Q848" i="6"/>
  <c r="R864" i="6"/>
  <c r="Q864" i="6"/>
  <c r="Q866" i="6"/>
  <c r="R866" i="6"/>
  <c r="R1022" i="6"/>
  <c r="Q1022" i="6"/>
  <c r="Q579" i="6"/>
  <c r="R732" i="6"/>
  <c r="Q732" i="6"/>
  <c r="R762" i="6"/>
  <c r="Q762" i="6"/>
  <c r="R684" i="6"/>
  <c r="Q684" i="6"/>
  <c r="R734" i="6"/>
  <c r="R750" i="6"/>
  <c r="Q750" i="6"/>
  <c r="R779" i="6"/>
  <c r="Q779" i="6"/>
  <c r="R936" i="6"/>
  <c r="Q936" i="6"/>
  <c r="R976" i="6"/>
  <c r="Q976" i="6"/>
  <c r="Q514" i="6"/>
  <c r="Q549" i="6"/>
  <c r="Q569" i="6"/>
  <c r="R857" i="6"/>
  <c r="Q857" i="6"/>
  <c r="R805" i="6"/>
  <c r="Q805" i="6"/>
  <c r="R698" i="6"/>
  <c r="R1417" i="6"/>
  <c r="Q1417" i="6"/>
  <c r="R1070" i="6"/>
  <c r="Q1070" i="6"/>
  <c r="Q1087" i="6"/>
  <c r="R1087" i="6"/>
  <c r="Q1150" i="6"/>
  <c r="R1150" i="6"/>
  <c r="Q851" i="6"/>
  <c r="R973" i="6"/>
  <c r="Q1013" i="6"/>
  <c r="R1013" i="6"/>
  <c r="R1069" i="6"/>
  <c r="Q1069" i="6"/>
  <c r="S1116" i="6"/>
  <c r="S1124" i="6"/>
  <c r="S1132" i="6"/>
  <c r="Q1615" i="6"/>
  <c r="R1615" i="6"/>
  <c r="S1119" i="6"/>
  <c r="S1127" i="6"/>
  <c r="R1409" i="6"/>
  <c r="Q1409" i="6"/>
  <c r="S1113" i="6"/>
  <c r="S1120" i="6"/>
  <c r="S1128" i="6"/>
  <c r="S1121" i="6"/>
  <c r="S1129" i="6"/>
  <c r="R1354" i="6"/>
  <c r="Q1354" i="6"/>
  <c r="R1368" i="6"/>
  <c r="R1453" i="6"/>
  <c r="Q1453" i="6"/>
  <c r="Q1463" i="6"/>
  <c r="Q1019" i="6"/>
  <c r="Q1038" i="6"/>
  <c r="Q1053" i="6"/>
  <c r="S1114" i="6"/>
  <c r="S1122" i="6"/>
  <c r="S1130" i="6"/>
  <c r="Q1226" i="6"/>
  <c r="R1236" i="6"/>
  <c r="Q1550" i="6"/>
  <c r="R1550" i="6"/>
  <c r="S1115" i="6"/>
  <c r="S1123" i="6"/>
  <c r="Q1369" i="6"/>
  <c r="Q1405" i="6"/>
  <c r="Q1559" i="6"/>
  <c r="Q1569" i="6"/>
  <c r="R1599" i="6"/>
  <c r="Q1599" i="6"/>
  <c r="R1600" i="6"/>
  <c r="Q160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<sst xmlns="http://schemas.openxmlformats.org/spreadsheetml/2006/main" count="31762" uniqueCount="2030">
  <si>
    <t>For Retail / Manufacturing Industry</t>
  </si>
  <si>
    <t>ANNEX A</t>
  </si>
  <si>
    <t>LETTERED L FOOD SERVICES, INC.</t>
  </si>
  <si>
    <t>Inventory</t>
  </si>
  <si>
    <t>MERCHANDISE/ RAW MATERIALS / GOODS IN PROCESS / FINISHED GOODS INVENTORY</t>
  </si>
  <si>
    <t>As of December 31, 2025</t>
  </si>
  <si>
    <t>PRODUCT / INVENTORY CODE</t>
  </si>
  <si>
    <t>ITEM DESCRIPTION</t>
  </si>
  <si>
    <t>LOCATION (Note 1)</t>
  </si>
  <si>
    <t>INVENTORY VALUATION METHOD</t>
  </si>
  <si>
    <t>UNIT PRICE</t>
  </si>
  <si>
    <t>QUANTITY IN STOCKS</t>
  </si>
  <si>
    <t>weight / volume</t>
  </si>
  <si>
    <t>Unit of Measure</t>
  </si>
  <si>
    <t>UNIT OF MEASUREMENT</t>
  </si>
  <si>
    <t>TOTAL WEIGHT / VOLUME</t>
  </si>
  <si>
    <t>TOTAL COST</t>
  </si>
  <si>
    <t>ADDRESS</t>
  </si>
  <si>
    <t>CODE</t>
  </si>
  <si>
    <t>REMARKS</t>
  </si>
  <si>
    <t>ok</t>
  </si>
  <si>
    <t>wala</t>
  </si>
  <si>
    <t>(In weight or volume)</t>
  </si>
  <si>
    <t>concat</t>
  </si>
  <si>
    <t>(Note 2)</t>
  </si>
  <si>
    <t>e.g., kilos, grams, liters, etc.)</t>
  </si>
  <si>
    <t>Checking</t>
  </si>
  <si>
    <t>SAMPLE</t>
  </si>
  <si>
    <t>All Purpose Ceam</t>
  </si>
  <si>
    <t>MCN</t>
  </si>
  <si>
    <t>Nestle</t>
  </si>
  <si>
    <t>FIFO</t>
  </si>
  <si>
    <t>ml</t>
  </si>
  <si>
    <t xml:space="preserve"> </t>
  </si>
  <si>
    <t>All Purpose Cream</t>
  </si>
  <si>
    <t>Alaska</t>
  </si>
  <si>
    <t>Angel</t>
  </si>
  <si>
    <t>All Purpose Flour</t>
  </si>
  <si>
    <t>Maya</t>
  </si>
  <si>
    <t>grams</t>
  </si>
  <si>
    <t>White Pigeon</t>
  </si>
  <si>
    <t xml:space="preserve"> grams</t>
  </si>
  <si>
    <t>All Purpose Flour - 3rd class</t>
  </si>
  <si>
    <t>Penguin</t>
  </si>
  <si>
    <t>Baking Powder</t>
  </si>
  <si>
    <t>Calumet</t>
  </si>
  <si>
    <t>Baking Soda</t>
  </si>
  <si>
    <t>Queen</t>
  </si>
  <si>
    <t>Bread Crumbs</t>
  </si>
  <si>
    <t>Goodlife/pack/1000grams</t>
  </si>
  <si>
    <t>Cake Flour</t>
  </si>
  <si>
    <t>pack/1000grams</t>
  </si>
  <si>
    <t>Cassava Starch</t>
  </si>
  <si>
    <t>Cheese</t>
  </si>
  <si>
    <t>Daily Quezo/box/160grams</t>
  </si>
  <si>
    <t>Bigtime/pack/160grams</t>
  </si>
  <si>
    <t>Condensed Milk</t>
  </si>
  <si>
    <t>Cowbell/can/374ml</t>
  </si>
  <si>
    <t>Condensed Milk Mango</t>
  </si>
  <si>
    <t>Jersey/can/390ml</t>
  </si>
  <si>
    <t>Confectioner sugar</t>
  </si>
  <si>
    <t>Peotraco/box/450grams</t>
  </si>
  <si>
    <t>Cornstarch</t>
  </si>
  <si>
    <t>Superior/pack/1000grams</t>
  </si>
  <si>
    <t>Evaporated Milk</t>
  </si>
  <si>
    <t>Cowbell/can/360ml</t>
  </si>
  <si>
    <t>Glutinous Rice Flour</t>
  </si>
  <si>
    <t>Polar Bear/pack/500grams</t>
  </si>
  <si>
    <t>Gulaman - Green</t>
  </si>
  <si>
    <t>Mr Gulaman/box/(10sachetx25grams)</t>
  </si>
  <si>
    <t>Gulaman - Mango</t>
  </si>
  <si>
    <t>Gulaman - Red</t>
  </si>
  <si>
    <t>Gulaman - White</t>
  </si>
  <si>
    <t>Hotcake Mix</t>
  </si>
  <si>
    <t>Maya/box/500grams</t>
  </si>
  <si>
    <t>Lard</t>
  </si>
  <si>
    <t>Spring Shortening/pail/11000grams</t>
  </si>
  <si>
    <t>Lihia</t>
  </si>
  <si>
    <t>Mr. Brown/bottle/350ml</t>
  </si>
  <si>
    <t>Margarine</t>
  </si>
  <si>
    <t>Freeto/pail/11000grams</t>
  </si>
  <si>
    <t>Sugar - Brown</t>
  </si>
  <si>
    <t>Hermano/pack/1000grams</t>
  </si>
  <si>
    <t>Sugar - Washed</t>
  </si>
  <si>
    <t>Sugar - White</t>
  </si>
  <si>
    <t>Vanilla Flavor</t>
  </si>
  <si>
    <t>Orion/bottle/375ml</t>
  </si>
  <si>
    <t>Beef Laman (frozen)</t>
  </si>
  <si>
    <t>seara</t>
  </si>
  <si>
    <t>kilo</t>
  </si>
  <si>
    <t>Bear Brand Sterilized</t>
  </si>
  <si>
    <t>Nestle/Tetrapack/250ml</t>
  </si>
  <si>
    <t>pieces</t>
  </si>
  <si>
    <t>C2  Solo Apple</t>
  </si>
  <si>
    <t>Pepsi/box (24x230ml)</t>
  </si>
  <si>
    <t xml:space="preserve">Coke Mismo </t>
  </si>
  <si>
    <t>Coca-Cola/case (12x290ml)</t>
  </si>
  <si>
    <t>Fit n Right Burn Pineapple</t>
  </si>
  <si>
    <t>Del Monte/box (24x320ml)</t>
  </si>
  <si>
    <t>Gatorade (asstd flavor)</t>
  </si>
  <si>
    <t>Pepsi/case (24x500ml)</t>
  </si>
  <si>
    <t>Guyabano Juice</t>
  </si>
  <si>
    <t>ZEST-O Big 250/box (10x250ml)</t>
  </si>
  <si>
    <t>Mineral Water</t>
  </si>
  <si>
    <t>Below Zero/box (24pcsx500ml)</t>
  </si>
  <si>
    <t>Minute Maid Fresh</t>
  </si>
  <si>
    <t>Coca-Cola (pcsx250ml)</t>
  </si>
  <si>
    <t>Mountain Dew</t>
  </si>
  <si>
    <t>Pepsi (12x290ml)</t>
  </si>
  <si>
    <t>Mug Rootbeer - Can</t>
  </si>
  <si>
    <t>Pepsi/case (24x330ml)</t>
  </si>
  <si>
    <t>Pineapple Juice with ACE</t>
  </si>
  <si>
    <t>Del Monte/case (24pcsx220ml)</t>
  </si>
  <si>
    <t>RC Cola</t>
  </si>
  <si>
    <t>Rc Cola (12 x 237 )</t>
  </si>
  <si>
    <t>Rite &amp; Lite Rootbeer</t>
  </si>
  <si>
    <t>case (24pcsx250ml)</t>
  </si>
  <si>
    <t>Royal mismo</t>
  </si>
  <si>
    <t>Coca-Cola/case (24x250ml)</t>
  </si>
  <si>
    <t>Sting</t>
  </si>
  <si>
    <t>Pepsi/case (24pcsx320ml)</t>
  </si>
  <si>
    <t>Alaska Powder</t>
  </si>
  <si>
    <t>Alaska/pack (sachetx33grams)</t>
  </si>
  <si>
    <t>Bear Brand</t>
  </si>
  <si>
    <t>Nestle/pcsx33grams)</t>
  </si>
  <si>
    <t>Birch Tree</t>
  </si>
  <si>
    <t>Birch Tree/pack (pcsx33grams)</t>
  </si>
  <si>
    <t>Brewed Coffee</t>
  </si>
  <si>
    <t>Tropical Brewed/pack/500grams</t>
  </si>
  <si>
    <t>Champion</t>
  </si>
  <si>
    <t>Energen/pack (pcsx30grams)</t>
  </si>
  <si>
    <t>Coffee Stick</t>
  </si>
  <si>
    <t>Great Tastepack (pcsx1.8grams)</t>
  </si>
  <si>
    <t>Coffeemate</t>
  </si>
  <si>
    <t>Nestle/pack (pcsx5grams)</t>
  </si>
  <si>
    <t>Creamy White</t>
  </si>
  <si>
    <t xml:space="preserve">Great Taste/pack (pcsx26grams) </t>
  </si>
  <si>
    <t>Energen Vanilla</t>
  </si>
  <si>
    <t xml:space="preserve">Energen/pack (pcsx40grams) </t>
  </si>
  <si>
    <t>Coffee Granules Stick</t>
  </si>
  <si>
    <t>Great Taste/1.8/Sachet</t>
  </si>
  <si>
    <t>Green Tea</t>
  </si>
  <si>
    <t>Lipton/box (pcsx1.5grams)</t>
  </si>
  <si>
    <t>Kopiko Black</t>
  </si>
  <si>
    <t>Kopiko/pack (10x30grams)</t>
  </si>
  <si>
    <t>Kopiko Brown</t>
  </si>
  <si>
    <t>Kopiko/pack (10x27.5grams)</t>
  </si>
  <si>
    <t>Kopiko L.A</t>
  </si>
  <si>
    <t>Kopikopack (20pcsx/25grams)</t>
  </si>
  <si>
    <t>Milo</t>
  </si>
  <si>
    <t>Nestle/pack (12x24grams)</t>
  </si>
  <si>
    <t>Nescafe Coffee Original</t>
  </si>
  <si>
    <t>Nescafe/pack (30pcsx26grams)</t>
  </si>
  <si>
    <t>Nescafe Creamy White Coffee</t>
  </si>
  <si>
    <t>Nescafe/ (pcsx/25.5grams)</t>
  </si>
  <si>
    <t xml:space="preserve">Orange Juice Powder </t>
  </si>
  <si>
    <t>Tang/pack/19grams</t>
  </si>
  <si>
    <t>Pandesal Mate Chocolate Drink</t>
  </si>
  <si>
    <t>San Mig Coffee - Original</t>
  </si>
  <si>
    <t>San Mig/pack/7grams</t>
  </si>
  <si>
    <t>San Mig Coffee - Sugar Free</t>
  </si>
  <si>
    <t>San Mig/pack (10pcsx20grams)</t>
  </si>
  <si>
    <t>555 Fried Sardines Hot &amp; Spicy</t>
  </si>
  <si>
    <t>555/can/155grams</t>
  </si>
  <si>
    <t>Beef Loaf</t>
  </si>
  <si>
    <t>Argentina/can/250grams</t>
  </si>
  <si>
    <t xml:space="preserve">Black Beans </t>
  </si>
  <si>
    <t>Temple/can/180grams</t>
  </si>
  <si>
    <t>Button Mushroom Whole</t>
  </si>
  <si>
    <t>Jolly/can/400grams.200grams drained weight</t>
  </si>
  <si>
    <t>Drained Weight grams</t>
  </si>
  <si>
    <t>Corned Beef</t>
  </si>
  <si>
    <t>Argentina/can/260grams</t>
  </si>
  <si>
    <t>Cream of Corn Stye</t>
  </si>
  <si>
    <t>Mega Prime/can/425grams</t>
  </si>
  <si>
    <t>Fruit Cocktail</t>
  </si>
  <si>
    <t>Today's/can/3033grams</t>
  </si>
  <si>
    <t>Garbanzos</t>
  </si>
  <si>
    <t>Ram/can/450grams</t>
  </si>
  <si>
    <t>Drained weight grams</t>
  </si>
  <si>
    <t>Jamonila</t>
  </si>
  <si>
    <t>Tulip/can24pcs/340 grams</t>
  </si>
  <si>
    <t>Kernel Corn Whole</t>
  </si>
  <si>
    <t>J em J/can/425grams</t>
  </si>
  <si>
    <t>Liver Spread</t>
  </si>
  <si>
    <t>CDO/can/85grams</t>
  </si>
  <si>
    <t>Luncheon Meat</t>
  </si>
  <si>
    <t>Purefoods/can/340grams</t>
  </si>
  <si>
    <t>Mackerel in Natural Oil</t>
  </si>
  <si>
    <t>Unipack/can/425grams</t>
  </si>
  <si>
    <t>Pineapple Chunks</t>
  </si>
  <si>
    <t>Del Monte/can (200grams)</t>
  </si>
  <si>
    <t>Pork &amp; Beans</t>
  </si>
  <si>
    <t>Hunts/can/425grams</t>
  </si>
  <si>
    <t xml:space="preserve">Sardines in Tomato Sauce </t>
  </si>
  <si>
    <t>555/can/425grams</t>
  </si>
  <si>
    <t>Vienna Sausage</t>
  </si>
  <si>
    <t>Argentina/can/260grams/155drained weight</t>
  </si>
  <si>
    <t>Dishwashing Liquid</t>
  </si>
  <si>
    <t>Quinriv</t>
  </si>
  <si>
    <t>gal</t>
  </si>
  <si>
    <t>Hand Gloves</t>
  </si>
  <si>
    <t>My Eveyday ( 1 X 100 )</t>
  </si>
  <si>
    <t>Mop Head</t>
  </si>
  <si>
    <t>Universal/large/piece</t>
  </si>
  <si>
    <t>Scrubbing pad 3m</t>
  </si>
  <si>
    <t>Scotchbrite</t>
  </si>
  <si>
    <t>Scrubbing pad black</t>
  </si>
  <si>
    <t>Trash Bag Black</t>
  </si>
  <si>
    <t>Superb/rollx10pcs/XXL</t>
  </si>
  <si>
    <t>roll</t>
  </si>
  <si>
    <t>Chicken Leg Quarter</t>
  </si>
  <si>
    <t>Frozen/box(kilos)</t>
  </si>
  <si>
    <t>kilos</t>
  </si>
  <si>
    <t>Chicken Whole</t>
  </si>
  <si>
    <t>Chicken Wings</t>
  </si>
  <si>
    <t>Fresh</t>
  </si>
  <si>
    <t>Cooked Ham</t>
  </si>
  <si>
    <t>CDO/pack/250grams</t>
  </si>
  <si>
    <t>Fish ball</t>
  </si>
  <si>
    <t>Shanghai/pack/250grams</t>
  </si>
  <si>
    <t>Hotdog Jumbo</t>
  </si>
  <si>
    <t>Purefoods/pack/1000grams</t>
  </si>
  <si>
    <t>Kikiam</t>
  </si>
  <si>
    <t>Shanghai/pack/1000grams</t>
  </si>
  <si>
    <t>Aji Panda Seasoning</t>
  </si>
  <si>
    <t>Ajinomoto/pack/500grams</t>
  </si>
  <si>
    <t>All Purpose Dressing</t>
  </si>
  <si>
    <t>Best Foods/gallon/3500ml</t>
  </si>
  <si>
    <t>gallon</t>
  </si>
  <si>
    <t>Atusete</t>
  </si>
  <si>
    <t>Balsamic Vinegar</t>
  </si>
  <si>
    <t>Filippo Berio/bottle/330ml</t>
  </si>
  <si>
    <t>Black Peppercon - Ground</t>
  </si>
  <si>
    <t>Edward/pack/1000grams</t>
  </si>
  <si>
    <t>Broth Cubes - Beef</t>
  </si>
  <si>
    <t>Knorr/box/60grams</t>
  </si>
  <si>
    <t>Broth Cubes - Chicken</t>
  </si>
  <si>
    <t>Catsup</t>
  </si>
  <si>
    <t>Ticman/gallon/3500ml</t>
  </si>
  <si>
    <t>Cheese Powder</t>
  </si>
  <si>
    <t>SM Bonus/pack/50grams</t>
  </si>
  <si>
    <t>Chicken and Corn</t>
  </si>
  <si>
    <t>Knorr/sachet/60grams</t>
  </si>
  <si>
    <t>Chili Garlic Sauce</t>
  </si>
  <si>
    <t>Lee Kum Kee/bottle/226grams</t>
  </si>
  <si>
    <t>Cooking Oil - Vegetable</t>
  </si>
  <si>
    <t>Freeto/tin can/16kilos</t>
  </si>
  <si>
    <t>Crab and Corn</t>
  </si>
  <si>
    <t>Knorr/sachet/37grams</t>
  </si>
  <si>
    <t>Cream of Mushroom</t>
  </si>
  <si>
    <t>Knorr/sachet/62grams</t>
  </si>
  <si>
    <t>Cumin Powder</t>
  </si>
  <si>
    <t>Robinson /pack/20grams</t>
  </si>
  <si>
    <t>Curry Powder</t>
  </si>
  <si>
    <t>Pure Basic/pack/50grams</t>
  </si>
  <si>
    <t>Fish Sauce</t>
  </si>
  <si>
    <t>Garlic Powder</t>
  </si>
  <si>
    <t>Sure buy/pack/30grams</t>
  </si>
  <si>
    <t>Lechon Sauce</t>
  </si>
  <si>
    <t>Mang Tomas/bottle/550grams</t>
  </si>
  <si>
    <t xml:space="preserve">Liquid Seasoning </t>
  </si>
  <si>
    <t>Knorr/bottle/1000ml</t>
  </si>
  <si>
    <t>Magic Sarap</t>
  </si>
  <si>
    <t>Maggi/sachet/8grams</t>
  </si>
  <si>
    <t>Mc Cormick - Chili Powder</t>
  </si>
  <si>
    <t>Mc Cormik/bottle/35grams</t>
  </si>
  <si>
    <t>Mc Cormick - Cream of tartar</t>
  </si>
  <si>
    <t>Mc Cormick/bottle/45grams</t>
  </si>
  <si>
    <t>Mc Cormick - Oregano Ground</t>
  </si>
  <si>
    <t>Mc Cormick/bottle/23grams</t>
  </si>
  <si>
    <t>Mc Cormick - Rosemary Leaves</t>
  </si>
  <si>
    <t>Mc Cormick/bottle/11grams</t>
  </si>
  <si>
    <t>Mc Cormick - Thyme Leaves Whole</t>
  </si>
  <si>
    <t>Mc Cormick/bottle/14grams</t>
  </si>
  <si>
    <t>Mc Cormick - White Pepper</t>
  </si>
  <si>
    <t>Mc Cormick/bottle/31grams</t>
  </si>
  <si>
    <t>Nido Oriental Style</t>
  </si>
  <si>
    <t>Knorr/sachet/53grams</t>
  </si>
  <si>
    <t>Oyster Sauce</t>
  </si>
  <si>
    <t>1</t>
  </si>
  <si>
    <t>Mama Sitas/bottle/405grams</t>
  </si>
  <si>
    <t>Salt - Rock</t>
  </si>
  <si>
    <t>/pack/1000grams</t>
  </si>
  <si>
    <t>Sinigang Mix Original</t>
  </si>
  <si>
    <t>Knorr/sachet/44grams</t>
  </si>
  <si>
    <t>Soy Sauce</t>
  </si>
  <si>
    <t>galloon</t>
  </si>
  <si>
    <t>Tomato Paste</t>
  </si>
  <si>
    <t>Del Monte/sachet/150grams</t>
  </si>
  <si>
    <t>Tomato Sauce</t>
  </si>
  <si>
    <t>Vinegar</t>
  </si>
  <si>
    <t>Tinapa</t>
  </si>
  <si>
    <t>Egg</t>
  </si>
  <si>
    <t>Small/tray</t>
  </si>
  <si>
    <t>Alamang</t>
  </si>
  <si>
    <t>Pink Salmon</t>
  </si>
  <si>
    <t>Indicate ave weight/piece</t>
  </si>
  <si>
    <t>Pink Salmon Head</t>
  </si>
  <si>
    <t>Barbecue Sticks</t>
  </si>
  <si>
    <t>pack/100pcs</t>
  </si>
  <si>
    <t>pack</t>
  </si>
  <si>
    <t>Chopsticks</t>
  </si>
  <si>
    <t>Welcome/pack 100s'</t>
  </si>
  <si>
    <t>packs</t>
  </si>
  <si>
    <t>Corn Oil</t>
  </si>
  <si>
    <t>gallon/2000ml</t>
  </si>
  <si>
    <t>Curry Bar</t>
  </si>
  <si>
    <t>bar/1000grams</t>
  </si>
  <si>
    <t>Dashi</t>
  </si>
  <si>
    <t>Marutomo</t>
  </si>
  <si>
    <t>Japanese Mayonnaise</t>
  </si>
  <si>
    <t>Kewpie/bottle/1000ml</t>
  </si>
  <si>
    <t>Miso Paste</t>
  </si>
  <si>
    <t>marukume</t>
  </si>
  <si>
    <t>Red Cane Vinegar</t>
  </si>
  <si>
    <t>bottle/490ml</t>
  </si>
  <si>
    <t>Wakame</t>
  </si>
  <si>
    <t>Bihon</t>
  </si>
  <si>
    <t>Super Q/pack/500grams</t>
  </si>
  <si>
    <t>Canton</t>
  </si>
  <si>
    <t>Excellent/pack/400grams</t>
  </si>
  <si>
    <t>Cup-Noodles Chicken Sotanghon</t>
  </si>
  <si>
    <t>Lucky Me/box (48pcsx40grams)</t>
  </si>
  <si>
    <t>Cup-Noodles Jjamppong</t>
  </si>
  <si>
    <t>Macaroni Noodles</t>
  </si>
  <si>
    <t>Ideal/pack/1000grams</t>
  </si>
  <si>
    <t>Misua</t>
  </si>
  <si>
    <t>Excellent/pack/10x100grams</t>
  </si>
  <si>
    <t>Sotanghon</t>
  </si>
  <si>
    <t>Spaghetti</t>
  </si>
  <si>
    <t>Coffee Stirrer</t>
  </si>
  <si>
    <t>My Everyday/50's</t>
  </si>
  <si>
    <t>Panty Liner</t>
  </si>
  <si>
    <t>Sister/pack/8s'</t>
  </si>
  <si>
    <t xml:space="preserve">Tissue </t>
  </si>
  <si>
    <t>Femme</t>
  </si>
  <si>
    <t>1`</t>
  </si>
  <si>
    <t>Toothbrush</t>
  </si>
  <si>
    <t>Colgate/classic/adult</t>
  </si>
  <si>
    <t>Toothpaste</t>
  </si>
  <si>
    <t>Unique/tube/150ml</t>
  </si>
  <si>
    <t>Close-Up/twinpack/20g</t>
  </si>
  <si>
    <t>Brown Supot #10</t>
  </si>
  <si>
    <t>Brown Supot #16</t>
  </si>
  <si>
    <t>Cup Cake Holder</t>
  </si>
  <si>
    <t>Cupcake Holder</t>
  </si>
  <si>
    <t>Microwavable - Rectangular 500ml</t>
  </si>
  <si>
    <t>Bestbuy/pack by 10s'</t>
  </si>
  <si>
    <t>Microwavable - Rectangular 750ml</t>
  </si>
  <si>
    <t>Gold Label/pack by 10s'</t>
  </si>
  <si>
    <t>Table Napkin - Pre Cut</t>
  </si>
  <si>
    <t>Everyday/pack by 1000s'</t>
  </si>
  <si>
    <t>Tissue - Pre-cut</t>
  </si>
  <si>
    <t>Jade /pack/1000s'</t>
  </si>
  <si>
    <t>Toothpick</t>
  </si>
  <si>
    <t>pack by 100's</t>
  </si>
  <si>
    <t>Pork Jowls</t>
  </si>
  <si>
    <t>Pork Kasim</t>
  </si>
  <si>
    <t>Pork Liempo</t>
  </si>
  <si>
    <t>Frozen/box(20kilo)</t>
  </si>
  <si>
    <t>Pork Liver/mascara</t>
  </si>
  <si>
    <t>Porkchop</t>
  </si>
  <si>
    <t>Frozen</t>
  </si>
  <si>
    <t>Jasmine Rice</t>
  </si>
  <si>
    <t>Thai Jasmine/sack/25kilos</t>
  </si>
  <si>
    <t>Malagkit na Bigas</t>
  </si>
  <si>
    <t>Amparos/pack/1kilos</t>
  </si>
  <si>
    <t>Bingo Orange</t>
  </si>
  <si>
    <t>Monde(10pcsx28grams)</t>
  </si>
  <si>
    <t>Bingo Vanilla Biscuits</t>
  </si>
  <si>
    <t>Monde (10pcsx28grams)</t>
  </si>
  <si>
    <t>Butter Coconut</t>
  </si>
  <si>
    <t>Nissin/pack (10pcsx28grams)</t>
  </si>
  <si>
    <t>Cheese Ring Cheese</t>
  </si>
  <si>
    <t>Regent/bundle (25x60 grams)</t>
  </si>
  <si>
    <t>Cheez-it Cheese</t>
  </si>
  <si>
    <t>Nutri-Snackbundle (50x60grams)</t>
  </si>
  <si>
    <t>Cloud 9 Classic</t>
  </si>
  <si>
    <t>Jack n Jill/box (12pcsx/28grams)</t>
  </si>
  <si>
    <t>Cracklings Salt &amp; Vinegar</t>
  </si>
  <si>
    <t>Oishi/box (50pcsx50grams)</t>
  </si>
  <si>
    <t>Cream-O Choco</t>
  </si>
  <si>
    <t>Jack n Jill/pack (10pcsx33grams)</t>
  </si>
  <si>
    <t>Cream-O Crinkles</t>
  </si>
  <si>
    <t>Jack n Jill/pack (10x30grams)</t>
  </si>
  <si>
    <t>Cream-O Vanilla</t>
  </si>
  <si>
    <t>Jack n Jill/pack (10pcsx30grams)</t>
  </si>
  <si>
    <t>Dewberry Blueberry</t>
  </si>
  <si>
    <t>Jack n Jill/pack (10x33 grams)</t>
  </si>
  <si>
    <t>Dewberry Cakeberry</t>
  </si>
  <si>
    <t>Jack n Jill/pack (10pcsx/2grams)</t>
  </si>
  <si>
    <t>Fishda</t>
  </si>
  <si>
    <t>Oishibox(pcsx90grams)</t>
  </si>
  <si>
    <t>Fita Crackers Plain</t>
  </si>
  <si>
    <t>M.Y Sanpack (10x30grams)</t>
  </si>
  <si>
    <t>Fudge Bar - Macapuno</t>
  </si>
  <si>
    <t>Suncrest Food/pack (10pcsx41grams)</t>
  </si>
  <si>
    <t>Garlic Peanut</t>
  </si>
  <si>
    <t>Growers/box (24pcsx80grams)</t>
  </si>
  <si>
    <t>Graham Crackers</t>
  </si>
  <si>
    <t>M.Y San/pack (210grams)</t>
  </si>
  <si>
    <t>Graham Crushed</t>
  </si>
  <si>
    <t>M.Y San/pack (200grams)</t>
  </si>
  <si>
    <t>Hansel Cracker - Plain</t>
  </si>
  <si>
    <t>Rebisco/pack (10pcsx32grams)</t>
  </si>
  <si>
    <t>Hansel Crackers - Milk</t>
  </si>
  <si>
    <t>Rebisco/pack (10pcsx31grams)</t>
  </si>
  <si>
    <t>Hansel Crackers - Mocha</t>
  </si>
  <si>
    <t>Hello Wafer Strawberry</t>
  </si>
  <si>
    <t>Jack n Jill/pack (10pcsX15grams)</t>
  </si>
  <si>
    <t>Hiro</t>
  </si>
  <si>
    <t>Fibisco/pack (10pcsx33grams)</t>
  </si>
  <si>
    <t>Honey Butter</t>
  </si>
  <si>
    <t>Japanese Cake</t>
  </si>
  <si>
    <t>Regent/pack (10pcsx34grams)</t>
  </si>
  <si>
    <t>Japanese Motchi</t>
  </si>
  <si>
    <t>Magic Creams Butter</t>
  </si>
  <si>
    <t>Rebisco/box (10pcsx28grams)</t>
  </si>
  <si>
    <t>Magic Flakes Plain Crackers</t>
  </si>
  <si>
    <t>Jack n jill/pack (10pcsx28grams)</t>
  </si>
  <si>
    <t>Mang Juan Sukang Paombong</t>
  </si>
  <si>
    <t>Jack n Jill/bundle (18x90grams)</t>
  </si>
  <si>
    <t>Moby</t>
  </si>
  <si>
    <t>Oishi/pack/pc/60grams</t>
  </si>
  <si>
    <t>Nova Cheddar</t>
  </si>
  <si>
    <t>Jack &amp; Jill/box/ (80pcsx 38grams)</t>
  </si>
  <si>
    <t>Oreo - Vanilla</t>
  </si>
  <si>
    <t>Mondelez/pack (9pcsx27.6grams)</t>
  </si>
  <si>
    <t>Piattos - Cheese</t>
  </si>
  <si>
    <t>Jack n Jill/box (50pcsx85grams)</t>
  </si>
  <si>
    <t>Pinatsu Seaweed</t>
  </si>
  <si>
    <t>Oishi/pack(30x 100grams)</t>
  </si>
  <si>
    <t>Potato Fries - Cheese</t>
  </si>
  <si>
    <t>Presto Creams - Peanut Butter</t>
  </si>
  <si>
    <t>Jack n Jill/ pack (10pcsx30grams)</t>
  </si>
  <si>
    <t>Quake Overload</t>
  </si>
  <si>
    <t>Jack &amp; Jill/pack(10pcsx33grams))</t>
  </si>
  <si>
    <t>Rebisco Cracker - Plain</t>
  </si>
  <si>
    <t>Rebisco (10pcsx33grams)</t>
  </si>
  <si>
    <t>Skyflakes Crackers</t>
  </si>
  <si>
    <t>M.Y San/ pack (10pcsx25grams)</t>
  </si>
  <si>
    <t>Tops</t>
  </si>
  <si>
    <t>Suncrest Food/pack (10pcsx34grams)</t>
  </si>
  <si>
    <t>Tortillos - BBQ</t>
  </si>
  <si>
    <t>Granny Goose/box(50pcsx100grams)</t>
  </si>
  <si>
    <t>Wafertime</t>
  </si>
  <si>
    <t>Rebisco (10pcsxgrams)</t>
  </si>
  <si>
    <t>Whoopie Marshmallow Cake - Strawberry</t>
  </si>
  <si>
    <t>Suncrest Food/pack(10pcsx32grams)</t>
  </si>
  <si>
    <t>Cabbage</t>
  </si>
  <si>
    <t>Carrots</t>
  </si>
  <si>
    <t>Garlic</t>
  </si>
  <si>
    <t>Ginger</t>
  </si>
  <si>
    <t>Monggo</t>
  </si>
  <si>
    <t xml:space="preserve">Onion White </t>
  </si>
  <si>
    <t>Potato</t>
  </si>
  <si>
    <t>Upo</t>
  </si>
  <si>
    <t>TOTAL</t>
  </si>
  <si>
    <t>Note 1</t>
  </si>
  <si>
    <t>Include all goods whether taxpayer has title thereto or not, provided these goods are actually situated in location/address at the Head Office or Branch or Facilities (with or without sales activity of the taxpayer).  Facilities shall include but not limited to place of production, showroom, warehouse, storage place, leased property, etc.  Include also goods out on consignment, though not physically present are nonetheless owned by the taxpayer.</t>
  </si>
  <si>
    <t>Use the following codes:</t>
  </si>
  <si>
    <r>
      <rPr>
        <b/>
        <sz val="10"/>
        <color theme="1"/>
        <rFont val="Calibri"/>
        <family val="2"/>
      </rPr>
      <t>C</t>
    </r>
    <r>
      <rPr>
        <b/>
        <vertAlign val="subscript"/>
        <sz val="10"/>
        <color rgb="FF000000"/>
        <rFont val="Calibri"/>
        <family val="2"/>
      </rPr>
      <t>H</t>
    </r>
  </si>
  <si>
    <t>Goods on consignment held by the taxpayer</t>
  </si>
  <si>
    <t>Indicate the name of the consignor in the Remarks column</t>
  </si>
  <si>
    <t>P</t>
  </si>
  <si>
    <t>Parked goods or goods owned by related parties</t>
  </si>
  <si>
    <t>Indicate the name of related party/owner in the Remarks column</t>
  </si>
  <si>
    <t>O</t>
  </si>
  <si>
    <t>Goods owned by the taxpayer</t>
  </si>
  <si>
    <r>
      <rPr>
        <b/>
        <sz val="10"/>
        <color theme="1"/>
        <rFont val="Calibri"/>
        <family val="2"/>
      </rPr>
      <t>C</t>
    </r>
    <r>
      <rPr>
        <b/>
        <vertAlign val="subscript"/>
        <sz val="10"/>
        <color rgb="FF000000"/>
        <rFont val="Calibri"/>
        <family val="2"/>
      </rPr>
      <t>O</t>
    </r>
  </si>
  <si>
    <t>Goods out on consignment held in the hands of entity other than taxpayer</t>
  </si>
  <si>
    <t>Indicate the name of the entity in the Remarks column</t>
  </si>
  <si>
    <t>Note 2</t>
  </si>
  <si>
    <t>Indicate Costing Method applied, e.g., Standard Costing, FIFO, Weighted Average, Specific Identification, etc.</t>
  </si>
  <si>
    <t xml:space="preserve">               We declare, under the penalties of perjury, that this schedule has been made in good faith, verified by us, and to the best of our knowlegde and belief, is true and correct pursuant to the provisions of the National Internal Revenue Code, as amended, and the regulations issued under authority thereof.</t>
  </si>
  <si>
    <t>BETTY S. ASCANO</t>
  </si>
  <si>
    <t>Finance Officer</t>
  </si>
  <si>
    <t>TIN :</t>
  </si>
  <si>
    <t>006-723-814-000</t>
  </si>
  <si>
    <t>RAW DATA</t>
  </si>
  <si>
    <t>ok wala</t>
  </si>
  <si>
    <t>Toshiba</t>
  </si>
  <si>
    <t>Non-Toshiba</t>
  </si>
  <si>
    <t>Jersey/can/250grams</t>
  </si>
  <si>
    <t>Alaska/tetrapack(48x250ml)</t>
  </si>
  <si>
    <t>White Pigeon/pack/1000grams</t>
  </si>
  <si>
    <t>Maya Complete/box/500grams</t>
  </si>
  <si>
    <t>No Brand/pack/1000grams</t>
  </si>
  <si>
    <t>Bagoong Isda Balayan</t>
  </si>
  <si>
    <t>La Marina/bottle/340grams</t>
  </si>
  <si>
    <t>Bagoong Isda Jp Boneless</t>
  </si>
  <si>
    <t>Bangus</t>
  </si>
  <si>
    <t>Bear Brand adult</t>
  </si>
  <si>
    <t>Bear Brand Adult</t>
  </si>
  <si>
    <t>Bear Brand Swak</t>
  </si>
  <si>
    <t>Nestle/pack (pcsx33grams)</t>
  </si>
  <si>
    <t>Beng-Beng Choco Caramel</t>
  </si>
  <si>
    <t>Besuto</t>
  </si>
  <si>
    <t>Super Q/pack/1000grams</t>
  </si>
  <si>
    <t>Bingo Choco Orange</t>
  </si>
  <si>
    <t>Bingo Double Choco</t>
  </si>
  <si>
    <t>Mondepack (10pcsx28grams)</t>
  </si>
  <si>
    <t>Black Beans</t>
  </si>
  <si>
    <t>Black Coffee</t>
  </si>
  <si>
    <t>Kopiko/pack (pcsx30grams)</t>
  </si>
  <si>
    <t>Black Olives</t>
  </si>
  <si>
    <t>Dona Elena/bottle/330grams</t>
  </si>
  <si>
    <t>Blanca Coffee</t>
  </si>
  <si>
    <t>Bleach</t>
  </si>
  <si>
    <t>Blend 45</t>
  </si>
  <si>
    <t>URC/pack (pcsx18grams)</t>
  </si>
  <si>
    <t>Krispers/pack/1000grams</t>
  </si>
  <si>
    <t>Bread Stick</t>
  </si>
  <si>
    <t>Tropical Brewed/pack/1000</t>
  </si>
  <si>
    <t>Knorr/box/grams/12pcs</t>
  </si>
  <si>
    <t>Mc Cormick/bottle/30ml</t>
  </si>
  <si>
    <t>Knorr/box/grams</t>
  </si>
  <si>
    <t>Broth Cubes - Pork</t>
  </si>
  <si>
    <t>drained weight grams</t>
  </si>
  <si>
    <t>C2 Solo Apple</t>
  </si>
  <si>
    <t>Cake bar chocolate</t>
  </si>
  <si>
    <t>Alaska/box (48x80ml)</t>
  </si>
  <si>
    <t>Fudgee bar/pack (10pcsx40grams)</t>
  </si>
  <si>
    <t>Calabasa</t>
  </si>
  <si>
    <t>Calbee</t>
  </si>
  <si>
    <t>Canola Oil</t>
  </si>
  <si>
    <t>Caramel Popcorn</t>
  </si>
  <si>
    <t>Oishi/box (pcsx60grams)</t>
  </si>
  <si>
    <t>Carne Norte Classic</t>
  </si>
  <si>
    <t>Cayenne Powder</t>
  </si>
  <si>
    <t>Century Flakes in Oil</t>
  </si>
  <si>
    <t>Charmie liner</t>
  </si>
  <si>
    <t>Cheese Ball</t>
  </si>
  <si>
    <t>Cheese Curls</t>
  </si>
  <si>
    <t>Cheese Ring</t>
  </si>
  <si>
    <t>Cheezy</t>
  </si>
  <si>
    <t>Chicken Breast</t>
  </si>
  <si>
    <t>Star/pail/1000grams</t>
  </si>
  <si>
    <t>Frozen with bone</t>
  </si>
  <si>
    <t>Chilli Powder</t>
  </si>
  <si>
    <t>UFC/pack/30grams</t>
  </si>
  <si>
    <t>Chippy Babarque</t>
  </si>
  <si>
    <t>Jack n Jill/box (100/25grams)</t>
  </si>
  <si>
    <t>Chiz Curls</t>
  </si>
  <si>
    <t>Jack n Jill/box (pcsx55grams)</t>
  </si>
  <si>
    <t>Chocnut</t>
  </si>
  <si>
    <t>King/pack (24pcsxgrams)</t>
  </si>
  <si>
    <t>Choco Crunchies</t>
  </si>
  <si>
    <t>Chocolate Syrup</t>
  </si>
  <si>
    <t>Injoy bottle/750ml</t>
  </si>
  <si>
    <t>Chocolate-Cadbury</t>
  </si>
  <si>
    <t>Chocolate-Kikkat</t>
  </si>
  <si>
    <t>Cloud 9 Classic mini</t>
  </si>
  <si>
    <t>Clover BBQ</t>
  </si>
  <si>
    <t>Coconut Milk Powder</t>
  </si>
  <si>
    <t>Coconut Powder</t>
  </si>
  <si>
    <t>Vista/pack (24pcsx50grams)</t>
  </si>
  <si>
    <t>Coffee 5 in 1</t>
  </si>
  <si>
    <t>Coffee mate</t>
  </si>
  <si>
    <t>Coffee Premuim Classic Stick</t>
  </si>
  <si>
    <t>Nestle/pack/400grams</t>
  </si>
  <si>
    <t>Coke Mismo</t>
  </si>
  <si>
    <t>Condensada</t>
  </si>
  <si>
    <t>Alaska (48x370ml)</t>
  </si>
  <si>
    <t>Alaska 206ml</t>
  </si>
  <si>
    <t>Cowbell/can/375ml</t>
  </si>
  <si>
    <t>Condensed Milk Macapuno</t>
  </si>
  <si>
    <t>Condensed Milk Ube</t>
  </si>
  <si>
    <t>Cooking Oil</t>
  </si>
  <si>
    <t>Happy Fiesta/pouch/1800ml</t>
  </si>
  <si>
    <t>Corned Tuna chilli</t>
  </si>
  <si>
    <t>Corned Tuna Plain</t>
  </si>
  <si>
    <t>Cream Dory Fish Fillet</t>
  </si>
  <si>
    <t>CREAM O CAKE BAR</t>
  </si>
  <si>
    <t>CREAM O37G</t>
  </si>
  <si>
    <t>CREAM O CRINKLES</t>
  </si>
  <si>
    <t>CREAM O 30G</t>
  </si>
  <si>
    <t>Jolly/can/425grams</t>
  </si>
  <si>
    <t>Cream- O Vanilla</t>
  </si>
  <si>
    <t>Cream-O Choco Chips</t>
  </si>
  <si>
    <t>Great Taste/pack (pcsx26grams)</t>
  </si>
  <si>
    <t>Crispy fry</t>
  </si>
  <si>
    <t>Crispy Fry Breadcrumbs</t>
  </si>
  <si>
    <t>Ajinomoto/pack/62grams</t>
  </si>
  <si>
    <t>Crushed Graham</t>
  </si>
  <si>
    <t>My San/pack/200grams</t>
  </si>
  <si>
    <t>Mama/canister/1000grams</t>
  </si>
  <si>
    <t>S8 Greatbuy/pack/30grams</t>
  </si>
  <si>
    <t>Dried Dilis</t>
  </si>
  <si>
    <t>Dried Mushroom</t>
  </si>
  <si>
    <t>Dulong</t>
  </si>
  <si>
    <t>100grams per pc</t>
  </si>
  <si>
    <t>Dutchmill Yogurt Orange</t>
  </si>
  <si>
    <t>Dutchmill Yogurt Strawberry</t>
  </si>
  <si>
    <t>eco sun</t>
  </si>
  <si>
    <t>Mr Brown/bottle/350ml</t>
  </si>
  <si>
    <t>Energen Champion</t>
  </si>
  <si>
    <t>Energen Choco</t>
  </si>
  <si>
    <t>Energen/pack (pcsx40grams)</t>
  </si>
  <si>
    <t>Energen Chocolate</t>
  </si>
  <si>
    <t>Alaska/can/360ml</t>
  </si>
  <si>
    <t>Alaska/tetrapack/1liter</t>
  </si>
  <si>
    <t>Healthy cow/can/370ml</t>
  </si>
  <si>
    <t>Fita Crackers</t>
  </si>
  <si>
    <t>MY Sac/pck/10/30g</t>
  </si>
  <si>
    <t>Food Color</t>
  </si>
  <si>
    <t>Hyco/bottle/454grams</t>
  </si>
  <si>
    <t>Food Flavoring-Cheese Powder</t>
  </si>
  <si>
    <t>Good Foods/100grams/pack</t>
  </si>
  <si>
    <t>Freshmilk</t>
  </si>
  <si>
    <t>Today's/can/836grams/422drainedweight</t>
  </si>
  <si>
    <t>Fruit Dalandan</t>
  </si>
  <si>
    <t>Fruit Kalamansi</t>
  </si>
  <si>
    <t>Fruit Soda Orange</t>
  </si>
  <si>
    <t>Fruitti Apple</t>
  </si>
  <si>
    <t>Fussili Gourmet</t>
  </si>
  <si>
    <t>General Sanitizer</t>
  </si>
  <si>
    <t>Giniling</t>
  </si>
  <si>
    <t>Kings/pack/500grams</t>
  </si>
  <si>
    <t>Goto</t>
  </si>
  <si>
    <t>Goya Chocolate Big</t>
  </si>
  <si>
    <t>Goya Chocolate small</t>
  </si>
  <si>
    <t>Grass Jelly</t>
  </si>
  <si>
    <t>Jolly/can/540grams</t>
  </si>
  <si>
    <t>Great taste - White</t>
  </si>
  <si>
    <t>Great Taste/pack (10pcsx30grams)</t>
  </si>
  <si>
    <t>Great Taste - White</t>
  </si>
  <si>
    <t>Ground Pepper</t>
  </si>
  <si>
    <t>Gulaman - Buko Pandan</t>
  </si>
  <si>
    <t>Gulaman - Coffee</t>
  </si>
  <si>
    <t>Gulaman - Yellow</t>
  </si>
  <si>
    <t>Hand Sanitizer</t>
  </si>
  <si>
    <t>Hany Milk</t>
  </si>
  <si>
    <t>Hello Panda Caramel</t>
  </si>
  <si>
    <t>Hi-ho</t>
  </si>
  <si>
    <t>Hipon ( 30 )</t>
  </si>
  <si>
    <t>Hotdog King Size</t>
  </si>
  <si>
    <t>Instant Oats</t>
  </si>
  <si>
    <t>Australia Harvest/pack/1000grams</t>
  </si>
  <si>
    <t>Italian Spaghetti Sauce</t>
  </si>
  <si>
    <t>Del Monte/pack/900grams</t>
  </si>
  <si>
    <t>Tulip/can/24pcsx340 grams</t>
  </si>
  <si>
    <t>Japanese Cake-ube</t>
  </si>
  <si>
    <t>Japanese Mayonaise</t>
  </si>
  <si>
    <t>Japanese Rice</t>
  </si>
  <si>
    <t>Mt. Fuji/sack/25kilos</t>
  </si>
  <si>
    <t>Japanesemayonnaise</t>
  </si>
  <si>
    <t>kewpien/500ml</t>
  </si>
  <si>
    <t>Jet Dry</t>
  </si>
  <si>
    <t>Jolly Biscuit</t>
  </si>
  <si>
    <t>Kopiko/pack (30x30grams)</t>
  </si>
  <si>
    <t>Kopiko Blanca</t>
  </si>
  <si>
    <t>Lala Tempura</t>
  </si>
  <si>
    <t>Lasagna Noodles</t>
  </si>
  <si>
    <t>Ideal/box/500grams</t>
  </si>
  <si>
    <t>Laurel Leaves</t>
  </si>
  <si>
    <t>Lihia/Lye Water</t>
  </si>
  <si>
    <t>Green Leaves/bottle/375ml</t>
  </si>
  <si>
    <t>Lime Away</t>
  </si>
  <si>
    <t>Liquid Seasoning</t>
  </si>
  <si>
    <t>Knorr/bottle/500ml</t>
  </si>
  <si>
    <t>Luncheon Meat - Chicken</t>
  </si>
  <si>
    <t>Luncheon Meat- Chicken</t>
  </si>
  <si>
    <t>Luya</t>
  </si>
  <si>
    <t>Lychees</t>
  </si>
  <si>
    <t>Macaroni (Elbow)</t>
  </si>
  <si>
    <t>White king/pack/1000grams</t>
  </si>
  <si>
    <t>Magic Creams Peanut Butter</t>
  </si>
  <si>
    <t>Mang Juan Chix &amp; Skin</t>
  </si>
  <si>
    <t>Mango Juice</t>
  </si>
  <si>
    <t>Marsmallow</t>
  </si>
  <si>
    <t>Mello/680</t>
  </si>
  <si>
    <t>Mayo Sandwich Spread</t>
  </si>
  <si>
    <t>Mc Cormick - Cumin Ground</t>
  </si>
  <si>
    <t>Mc Cormick/bottle/30grams</t>
  </si>
  <si>
    <t>Mc Cormick - Dry Mustard</t>
  </si>
  <si>
    <t>Mc Cormick - Marjoram</t>
  </si>
  <si>
    <t>Mc Cormick - Taco Seasoning</t>
  </si>
  <si>
    <t>Meat loaf</t>
  </si>
  <si>
    <t>Milk Shake</t>
  </si>
  <si>
    <t>Milk Shake/Injoy/1000</t>
  </si>
  <si>
    <t>Milky Knots Choco (100x25g)</t>
  </si>
  <si>
    <t>Mirin</t>
  </si>
  <si>
    <t>Miso</t>
  </si>
  <si>
    <t>Miswa</t>
  </si>
  <si>
    <t>Unicorn/pack/1000grams</t>
  </si>
  <si>
    <t>Moby-Caramel puff</t>
  </si>
  <si>
    <t>Mountaindew</t>
  </si>
  <si>
    <t>pepsi/290ml</t>
  </si>
  <si>
    <t>Mr Chips Sweet Corn</t>
  </si>
  <si>
    <t>Multi-Purpse Cleaner ( MPC)</t>
  </si>
  <si>
    <t>Multipurpose Cleaner</t>
  </si>
  <si>
    <t>Quinriv/gallon</t>
  </si>
  <si>
    <t>Mushroom Pieces &amp; Stem</t>
  </si>
  <si>
    <t>Mushroom Whole</t>
  </si>
  <si>
    <t>Jolly/can/284grams/156 drained weight</t>
  </si>
  <si>
    <t>Nachos</t>
  </si>
  <si>
    <t>Nescafe Creamy Latte</t>
  </si>
  <si>
    <t>Nescafe Creamy White</t>
  </si>
  <si>
    <t>Nestle /(pcsx25.5grams)</t>
  </si>
  <si>
    <t>O-Pusit</t>
  </si>
  <si>
    <t>Oishi/80grams</t>
  </si>
  <si>
    <t>Olive Oil - Pure</t>
  </si>
  <si>
    <t>Dona Elena/bottle/250ml</t>
  </si>
  <si>
    <t>Onion White</t>
  </si>
  <si>
    <t>Orange Juice Powder</t>
  </si>
  <si>
    <t>Original Chiz Whiz</t>
  </si>
  <si>
    <t>Palabok</t>
  </si>
  <si>
    <t>charme</t>
  </si>
  <si>
    <t>Peanut Butter</t>
  </si>
  <si>
    <t>Peanut Butter Big</t>
  </si>
  <si>
    <t>Baby/canister/1800grams</t>
  </si>
  <si>
    <t>Piattos Cheese</t>
  </si>
  <si>
    <t>Pimiento Chiz Whiz</t>
  </si>
  <si>
    <t>Del Monte/can227grams/137drained weight</t>
  </si>
  <si>
    <t>Pineapple Juice</t>
  </si>
  <si>
    <t>ZEST-O Big 250/box(10x250ml)</t>
  </si>
  <si>
    <t>Pineapple Juice Powder</t>
  </si>
  <si>
    <t>Tang/sachet/19grams</t>
  </si>
  <si>
    <t>Del Monte/case (24x220ml)</t>
  </si>
  <si>
    <t>Pineapple sliced</t>
  </si>
  <si>
    <t>Del Monte/can/137227grams</t>
  </si>
  <si>
    <t>Pineapple Tidbits</t>
  </si>
  <si>
    <t>Pocky</t>
  </si>
  <si>
    <t>Pods Pea Snacks</t>
  </si>
  <si>
    <t>Oishi/ box (50pcsx60grams)</t>
  </si>
  <si>
    <t>Popcorn Caramel</t>
  </si>
  <si>
    <t>oishi/box/50/60g</t>
  </si>
  <si>
    <t>Pork Ears</t>
  </si>
  <si>
    <t>Pork Liver</t>
  </si>
  <si>
    <t>Pork Longganisa</t>
  </si>
  <si>
    <t>CDO/pack/200grams</t>
  </si>
  <si>
    <t>Pot Holder</t>
  </si>
  <si>
    <t>Potato Fries Plain</t>
  </si>
  <si>
    <t>Powdered-juices</t>
  </si>
  <si>
    <t>Presto Creams Choco Peanut Butter</t>
  </si>
  <si>
    <t>Presto Creams Choco Vanilla</t>
  </si>
  <si>
    <t>Pusit Kalawang</t>
  </si>
  <si>
    <t>Quake Black Forest</t>
  </si>
  <si>
    <t>Jack &amp; Jill/pack(10pcsx38grams))</t>
  </si>
  <si>
    <t>Quake Strawberry</t>
  </si>
  <si>
    <t>Quaker Oats Instant Oatmeal</t>
  </si>
  <si>
    <t>Raisins</t>
  </si>
  <si>
    <t>Ram/pack/1000grams</t>
  </si>
  <si>
    <t>Raw Sago</t>
  </si>
  <si>
    <t>No Brand/1000grams</t>
  </si>
  <si>
    <t>Rebisco Crackers - Chocolate</t>
  </si>
  <si>
    <t>Red Pimiento</t>
  </si>
  <si>
    <t>Regent</t>
  </si>
  <si>
    <t>Rice</t>
  </si>
  <si>
    <t>Super Alsa/sack/25kilos</t>
  </si>
  <si>
    <t>Sinandomeng/sack25kilos</t>
  </si>
  <si>
    <t>Rinbee Cheese Sticks</t>
  </si>
  <si>
    <t>Royal - Can</t>
  </si>
  <si>
    <t>Sake</t>
  </si>
  <si>
    <t>Salabat</t>
  </si>
  <si>
    <t>Ludys/box (pcsx8 grams)</t>
  </si>
  <si>
    <t>Salt</t>
  </si>
  <si>
    <t>Crystal/pack/1000grams</t>
  </si>
  <si>
    <t>Salted Black Beans</t>
  </si>
  <si>
    <t>Ram/pack/100grams</t>
  </si>
  <si>
    <t>Sanitary Napkin - Day</t>
  </si>
  <si>
    <t>Sanitary Napkin - Night Max</t>
  </si>
  <si>
    <t>Sanitary Napkin non Wings</t>
  </si>
  <si>
    <t>Silkday/packx20's</t>
  </si>
  <si>
    <t>Sardines in Tomato Sauce</t>
  </si>
  <si>
    <t>Mega/can/425grams</t>
  </si>
  <si>
    <t>Sayote</t>
  </si>
  <si>
    <t>Scrubbing Pad 3 in 1</t>
  </si>
  <si>
    <t>Sesame Dressing</t>
  </si>
  <si>
    <t>Sesame Oil</t>
  </si>
  <si>
    <t>Lee Kum Kee/bottle/410grams</t>
  </si>
  <si>
    <t>liters</t>
  </si>
  <si>
    <t>Sinigang Mix sa Bayabas</t>
  </si>
  <si>
    <t>Sinigang Mix sa Sampalok</t>
  </si>
  <si>
    <t>Soup Chicken &amp; Corn</t>
  </si>
  <si>
    <t>Soup Crab and Corn Soup</t>
  </si>
  <si>
    <t>Soup Cream of Mushroom</t>
  </si>
  <si>
    <t>Soup Nido Oriental</t>
  </si>
  <si>
    <t>sourcream powder</t>
  </si>
  <si>
    <t>pck</t>
  </si>
  <si>
    <t>Kikkoman/bottle/1000ml</t>
  </si>
  <si>
    <r>
      <rPr>
        <b/>
        <sz val="10"/>
        <color theme="1"/>
        <rFont val="Calibri"/>
        <family val="2"/>
      </rPr>
      <t>C</t>
    </r>
    <r>
      <rPr>
        <b/>
        <vertAlign val="subscript"/>
        <sz val="10"/>
        <color rgb="FF000000"/>
        <rFont val="Calibri"/>
        <family val="2"/>
      </rPr>
      <t>H</t>
    </r>
  </si>
  <si>
    <t>Sunshine/pack/900grams</t>
  </si>
  <si>
    <t>Spam Lite</t>
  </si>
  <si>
    <t>Sponge</t>
  </si>
  <si>
    <t>Sponge with Scrub</t>
  </si>
  <si>
    <t>Spread</t>
  </si>
  <si>
    <t>Star Anise</t>
  </si>
  <si>
    <t>Lipa Spices/pack/1000grams</t>
  </si>
  <si>
    <r>
      <rPr>
        <b/>
        <sz val="10"/>
        <color theme="1"/>
        <rFont val="Calibri"/>
        <family val="2"/>
      </rPr>
      <t>C</t>
    </r>
    <r>
      <rPr>
        <b/>
        <vertAlign val="subscript"/>
        <sz val="10"/>
        <color rgb="FF000000"/>
        <rFont val="Calibri"/>
        <family val="2"/>
      </rPr>
      <t>O</t>
    </r>
  </si>
  <si>
    <t>Star Margarine</t>
  </si>
  <si>
    <t>Suga r- Refined</t>
  </si>
  <si>
    <t>Sugar</t>
  </si>
  <si>
    <t>Cilgar/pack (pcsx1gram)</t>
  </si>
  <si>
    <t>Sugar - Brown Sachet</t>
  </si>
  <si>
    <t>My Everyday/sachet/5grams</t>
  </si>
  <si>
    <t>Sugar - Intense</t>
  </si>
  <si>
    <t>Injoy/pack/200grams</t>
  </si>
  <si>
    <t>Sugar - White Premuim</t>
  </si>
  <si>
    <t>Table Napkin</t>
  </si>
  <si>
    <t>Tanigue</t>
  </si>
  <si>
    <t>Tater Thins Crackers</t>
  </si>
  <si>
    <t>Oishi/packs/75grams</t>
  </si>
  <si>
    <t>Tater Thins Cucumber Snacks</t>
  </si>
  <si>
    <t>Tempura</t>
  </si>
  <si>
    <t>Tenga Daga</t>
  </si>
  <si>
    <t>Tilapia</t>
  </si>
  <si>
    <t>Tinapa Powder</t>
  </si>
  <si>
    <t>Tissue</t>
  </si>
  <si>
    <t>Tissue Pre-cut</t>
  </si>
  <si>
    <t>Togarashi</t>
  </si>
  <si>
    <t>S/B</t>
  </si>
  <si>
    <t>Tonkatsu Sauce</t>
  </si>
  <si>
    <t>Bulldog/bottle</t>
  </si>
  <si>
    <t>Colgate/66g</t>
  </si>
  <si>
    <t>Unique/tube/50ml</t>
  </si>
  <si>
    <t>Tortillos Cheese</t>
  </si>
  <si>
    <t>Granny Goose/box(50pcsx72grams)</t>
  </si>
  <si>
    <t>Trash Bag xl-White</t>
  </si>
  <si>
    <t>Trash Bag xxl-Black</t>
  </si>
  <si>
    <t>Trash Bag xxl-White</t>
  </si>
  <si>
    <t>Tuna Afritada</t>
  </si>
  <si>
    <t>Tuna Flakes in Oil</t>
  </si>
  <si>
    <t>Century/can420grams</t>
  </si>
  <si>
    <t>Tuna Loin</t>
  </si>
  <si>
    <t>White Beans</t>
  </si>
  <si>
    <t>Amparos/pack/500grams</t>
  </si>
  <si>
    <t>Whole Corn Kernel</t>
  </si>
  <si>
    <t>Wooden Fork</t>
  </si>
  <si>
    <t>Versa/pack by 25s'</t>
  </si>
  <si>
    <t>Wooden Spoon</t>
  </si>
  <si>
    <t>Worcestireshire Sauce</t>
  </si>
  <si>
    <t>Lea &amp; Perrins/bottle/270</t>
  </si>
  <si>
    <t>Yellow Label Tea</t>
  </si>
  <si>
    <t>Young Corn Cuts</t>
  </si>
  <si>
    <t>Zesto Big Apple</t>
  </si>
  <si>
    <t>Zesto Big Orange</t>
  </si>
  <si>
    <t>Zesto Big PineApple</t>
  </si>
  <si>
    <t>3in1 Coffee</t>
  </si>
  <si>
    <t>Kopiko - Blanca</t>
  </si>
  <si>
    <t>Kopiko - Brown</t>
  </si>
  <si>
    <t>Kopiko - L.A. Coffee</t>
  </si>
  <si>
    <t>Nestle - Nescafe Original</t>
  </si>
  <si>
    <t>Nestle - Nescafe Creamy White</t>
  </si>
  <si>
    <t>Nestle - Nescafe Creamylatte</t>
  </si>
  <si>
    <t>Nestle - Nescafe Creamylatte twin</t>
  </si>
  <si>
    <t>Best Foods</t>
  </si>
  <si>
    <t>Wellington</t>
  </si>
  <si>
    <t>Magnolia</t>
  </si>
  <si>
    <t>Amparo's</t>
  </si>
  <si>
    <t>All Purpose Flour - 1st Class</t>
  </si>
  <si>
    <t>All Spice Ground</t>
  </si>
  <si>
    <t>McCormick</t>
  </si>
  <si>
    <t>Alugbati</t>
  </si>
  <si>
    <t>Alumahan</t>
  </si>
  <si>
    <t>Aluminum Foil</t>
  </si>
  <si>
    <t>Suy Sing - My Everyday</t>
  </si>
  <si>
    <t>Gold Wrap</t>
  </si>
  <si>
    <t>Ampalaya</t>
  </si>
  <si>
    <t>Apple</t>
  </si>
  <si>
    <t>Apple Cider Vinegar</t>
  </si>
  <si>
    <t>Essential Everyday</t>
  </si>
  <si>
    <t>Asparagus Cut</t>
  </si>
  <si>
    <t>Jolly</t>
  </si>
  <si>
    <t>Atsuete</t>
  </si>
  <si>
    <t>Edward Edit</t>
  </si>
  <si>
    <t>Bacon</t>
  </si>
  <si>
    <t>Vida</t>
  </si>
  <si>
    <t>Purefoods</t>
  </si>
  <si>
    <t>Bossing</t>
  </si>
  <si>
    <t>Bagoong - Boneless</t>
  </si>
  <si>
    <t>JP</t>
  </si>
  <si>
    <t>Bagoong Alamang</t>
  </si>
  <si>
    <t>Barrio Fiesta</t>
  </si>
  <si>
    <t>Bagoong Alamang - Sweet</t>
  </si>
  <si>
    <t>La Marina</t>
  </si>
  <si>
    <t>Baguio Beans</t>
  </si>
  <si>
    <t>Arm &amp; Hammer</t>
  </si>
  <si>
    <t>Filippo Berio</t>
  </si>
  <si>
    <t>Capri</t>
  </si>
  <si>
    <t>Bamboo Toothpick</t>
  </si>
  <si>
    <t>Pad Bear</t>
  </si>
  <si>
    <t>Banana Blossom</t>
  </si>
  <si>
    <t>Banana Blossom - Gayat</t>
  </si>
  <si>
    <t>Banana Blossoms</t>
  </si>
  <si>
    <t>Rehnalyn Corpuz</t>
  </si>
  <si>
    <t>Banana Essence</t>
  </si>
  <si>
    <t>Twin Brand</t>
  </si>
  <si>
    <t>White Rose</t>
  </si>
  <si>
    <t>Bangus - Boneless</t>
  </si>
  <si>
    <t>Sarangani Bay</t>
  </si>
  <si>
    <t>Barako Grind</t>
  </si>
  <si>
    <t>Gourmet</t>
  </si>
  <si>
    <t>Barbecue Stick</t>
  </si>
  <si>
    <t>Stack and Stock</t>
  </si>
  <si>
    <t>Mama Sita's</t>
  </si>
  <si>
    <t>Barbeque Marinade</t>
  </si>
  <si>
    <t>Barbeque Stick</t>
  </si>
  <si>
    <t>Uncle John's</t>
  </si>
  <si>
    <t>Super 8</t>
  </si>
  <si>
    <t>Basil Leaves Whole</t>
  </si>
  <si>
    <t>Basmati Rice</t>
  </si>
  <si>
    <t>Jordan Farm</t>
  </si>
  <si>
    <t>Bawang</t>
  </si>
  <si>
    <t>Beef Giniling</t>
  </si>
  <si>
    <t>Francis Trebajo</t>
  </si>
  <si>
    <t>Beef Laman</t>
  </si>
  <si>
    <t>K&amp;K Frozen Food Trading</t>
  </si>
  <si>
    <t>Century - Argentina</t>
  </si>
  <si>
    <t>Bell Pepper</t>
  </si>
  <si>
    <t>Hernan Logmao</t>
  </si>
  <si>
    <t>Bento 5 diviison box</t>
  </si>
  <si>
    <t>Bento Box - black</t>
  </si>
  <si>
    <t>3 division</t>
  </si>
  <si>
    <t>Bibingka Flour</t>
  </si>
  <si>
    <t>White King</t>
  </si>
  <si>
    <t>Sarap Pinoy</t>
  </si>
  <si>
    <t>Super Q</t>
  </si>
  <si>
    <t>Hobe</t>
  </si>
  <si>
    <t>Biscuit Sticks - Choco</t>
  </si>
  <si>
    <t>Jack n Jill - Pretzels</t>
  </si>
  <si>
    <t>Biscuit Sticks - Strawberry</t>
  </si>
  <si>
    <t>Biscuits</t>
  </si>
  <si>
    <t>Monde - Bingo Choco Orange</t>
  </si>
  <si>
    <t>Monde - Bingo Vanilla</t>
  </si>
  <si>
    <t>Monde - Bingo</t>
  </si>
  <si>
    <t>Monde - Bingo Double Choco</t>
  </si>
  <si>
    <t>Fibisco - Choco Crunchies</t>
  </si>
  <si>
    <t>Fibisco - Choco Mallows</t>
  </si>
  <si>
    <t>Jack n Jill - Cream-O Choco</t>
  </si>
  <si>
    <t>M.Y. San - Fita Spreadz</t>
  </si>
  <si>
    <t>M.Y. San - Fita</t>
  </si>
  <si>
    <t>Fibisco - Hi-ro Chocolate Cookie Sandwich</t>
  </si>
  <si>
    <t>Jack n Jill - Presto Creams - Choco Vanilla</t>
  </si>
  <si>
    <t>Jack n Jill - Presto Creams - Chocolate</t>
  </si>
  <si>
    <t>Jack n Jill - Presto Creams - Chocolate - Slug</t>
  </si>
  <si>
    <t>Rebisco - Bravo</t>
  </si>
  <si>
    <t>Nissin - Butter Coconut</t>
  </si>
  <si>
    <t>Jack n Jill - Dewberry Strawberry</t>
  </si>
  <si>
    <t>Jack n Jill - Choco Knots</t>
  </si>
  <si>
    <t>Multirich - Choco Mucho Sandwich Chocolate</t>
  </si>
  <si>
    <t>Multirich - Choco Mucho Sandwich White</t>
  </si>
  <si>
    <t>Jack n Jill - Cream-O</t>
  </si>
  <si>
    <t>Jack n Jill - Cream-O Crinkles</t>
  </si>
  <si>
    <t>Jack n Jill - Cream-O Premium</t>
  </si>
  <si>
    <t>Jack n Jill - Cream-O Vanilla</t>
  </si>
  <si>
    <t>Jack n Jill - Dewberry Yogurt - Blueberry Cake</t>
  </si>
  <si>
    <t>Jack n Jill - Dewberry Yogurt - Mango Cake</t>
  </si>
  <si>
    <t>Rebisco - Hansel Biscuits - Butter</t>
  </si>
  <si>
    <t>Rebisco - Hansel Cracker - Plain</t>
  </si>
  <si>
    <t>Fibisco - Hi-ro</t>
  </si>
  <si>
    <t>Valmer Choco Sandwich Biscuit</t>
  </si>
  <si>
    <t>Jack n Jill - Presto</t>
  </si>
  <si>
    <t>Jack n Jill - Presto Creams - Choco Peanut Butter</t>
  </si>
  <si>
    <t>Jack n Jill - Presto Creams - Peanut Butter</t>
  </si>
  <si>
    <t>Orchid</t>
  </si>
  <si>
    <t>Temple</t>
  </si>
  <si>
    <t>Ram</t>
  </si>
  <si>
    <t>Philips</t>
  </si>
  <si>
    <t>Black Fungus</t>
  </si>
  <si>
    <t>Lipa Spices</t>
  </si>
  <si>
    <t>Dona Elena</t>
  </si>
  <si>
    <t>Black Pepper - Ground</t>
  </si>
  <si>
    <t>Simply Chef</t>
  </si>
  <si>
    <t>Black Pepper - Whole</t>
  </si>
  <si>
    <t>I-Spice</t>
  </si>
  <si>
    <t>Black Sesame Seeds</t>
  </si>
  <si>
    <t>Manny's premium</t>
  </si>
  <si>
    <t>Bologna - Chicken</t>
  </si>
  <si>
    <t>Maco's</t>
  </si>
  <si>
    <t>Bologna - Pork</t>
  </si>
  <si>
    <t>Bottled Juice - Calamansi</t>
  </si>
  <si>
    <t>Zambo Tropical</t>
  </si>
  <si>
    <t>Box Paper</t>
  </si>
  <si>
    <t>(Single division )</t>
  </si>
  <si>
    <t>(Three division)</t>
  </si>
  <si>
    <t>(Two division)</t>
  </si>
  <si>
    <t>Krispers</t>
  </si>
  <si>
    <t>Good Life</t>
  </si>
  <si>
    <t>Yan Yan</t>
  </si>
  <si>
    <t>Happy Fiesta</t>
  </si>
  <si>
    <t>Ajinomoto - Crispy Fry Seasoned Crumbs</t>
  </si>
  <si>
    <t>Breading Mix</t>
  </si>
  <si>
    <t>Crispy Fry</t>
  </si>
  <si>
    <t>Brocolli</t>
  </si>
  <si>
    <t>Unilever - Knorr</t>
  </si>
  <si>
    <t>Brown Paper #1</t>
  </si>
  <si>
    <t>100pcs/ream</t>
  </si>
  <si>
    <t>ream</t>
  </si>
  <si>
    <t>Carandang Merchandise</t>
  </si>
  <si>
    <t>Brown Paper #10</t>
  </si>
  <si>
    <t>Brown Paper #12</t>
  </si>
  <si>
    <t>Brown Paper #2</t>
  </si>
  <si>
    <t>Brown Paper #3</t>
  </si>
  <si>
    <t>Brown Paper #4</t>
  </si>
  <si>
    <t>Brown Paper #8</t>
  </si>
  <si>
    <t>Brown Rice</t>
  </si>
  <si>
    <t>Japonica</t>
  </si>
  <si>
    <t>Dona Maria</t>
  </si>
  <si>
    <t>Buko</t>
  </si>
  <si>
    <t>Buko Kayod</t>
  </si>
  <si>
    <t>Buko Pastillas</t>
  </si>
  <si>
    <t>Ysanne Ktara Native Kakanin</t>
  </si>
  <si>
    <t>Burger Patties</t>
  </si>
  <si>
    <t>CDO - Ulam Burger</t>
  </si>
  <si>
    <t>Butter</t>
  </si>
  <si>
    <t>Magnolia - Salted</t>
  </si>
  <si>
    <t>Magnolia - Buttercup</t>
  </si>
  <si>
    <t>Button Mushroom</t>
  </si>
  <si>
    <t>Jolly - Pieces &amp; Stems</t>
  </si>
  <si>
    <t>Caesar Dressing</t>
  </si>
  <si>
    <t>Lady's Choice</t>
  </si>
  <si>
    <t>Cajun Seasoning</t>
  </si>
  <si>
    <t>Cake Bar</t>
  </si>
  <si>
    <t>Jack n Jill - Quake Choco Burst</t>
  </si>
  <si>
    <t>Jack n Jill - Quake Chocolate Bar</t>
  </si>
  <si>
    <t>Jack n Jill - Cream-O Cake Bar</t>
  </si>
  <si>
    <t>Suncrest Food - Fudgee Bar - Dark Choco</t>
  </si>
  <si>
    <t>Jack &amp; Jill - Quake Vanilla Trilla Bar</t>
  </si>
  <si>
    <t>Calamansi</t>
  </si>
  <si>
    <t>Candy</t>
  </si>
  <si>
    <t>Maxx - Cherry</t>
  </si>
  <si>
    <t>Candy - Lemon</t>
  </si>
  <si>
    <t>maxx</t>
  </si>
  <si>
    <t>Candy (Choco Mint)</t>
  </si>
  <si>
    <t>Dynamite</t>
  </si>
  <si>
    <t>Candy (Choco Peanut)</t>
  </si>
  <si>
    <t>Choco Mani</t>
  </si>
  <si>
    <t>Candy (Coffee)</t>
  </si>
  <si>
    <t>Kopiko Cappuccino Candy</t>
  </si>
  <si>
    <t>Candy (Melon Mint)</t>
  </si>
  <si>
    <t>Jack n Jill - Dynamite</t>
  </si>
  <si>
    <t>Candy (White Chocolate)</t>
  </si>
  <si>
    <t>Jack n Jill - Nips</t>
  </si>
  <si>
    <t>Canned Sardines</t>
  </si>
  <si>
    <t>Master</t>
  </si>
  <si>
    <t>Ligo Sardines</t>
  </si>
  <si>
    <t>Canned Sardines - in Tomato Sauce</t>
  </si>
  <si>
    <t>Masters</t>
  </si>
  <si>
    <t>Canned Strawberry</t>
  </si>
  <si>
    <t>Sunbest</t>
  </si>
  <si>
    <t>Canned Tuna</t>
  </si>
  <si>
    <t>Century</t>
  </si>
  <si>
    <t>Canned Tuna - Adobo</t>
  </si>
  <si>
    <t>Canned Tuna - Afritada</t>
  </si>
  <si>
    <t>Canned Tuna - Caldereta</t>
  </si>
  <si>
    <t>Canned Tuna - Chili Corned Tuna</t>
  </si>
  <si>
    <t>San Marino</t>
  </si>
  <si>
    <t>Canned Tuna - Corned Tuna</t>
  </si>
  <si>
    <t>San Marino - Red</t>
  </si>
  <si>
    <t>San Marino - Yellow</t>
  </si>
  <si>
    <t>Canned Tuna - Flakes in Oil</t>
  </si>
  <si>
    <t>Canned Tuna - Hot &amp; Spicy</t>
  </si>
  <si>
    <t>Canned Tuna - Mechado</t>
  </si>
  <si>
    <t>Excellent</t>
  </si>
  <si>
    <t>KENDYS</t>
  </si>
  <si>
    <t>Epti - Kitchen Blends</t>
  </si>
  <si>
    <t>Super Dragon</t>
  </si>
  <si>
    <t>Louise Food and Beverage Trading</t>
  </si>
  <si>
    <t>Cashew</t>
  </si>
  <si>
    <t>Mialendra Online Shop</t>
  </si>
  <si>
    <t>pouch</t>
  </si>
  <si>
    <t>jar</t>
  </si>
  <si>
    <t>Cashew Nuts</t>
  </si>
  <si>
    <t>Growers</t>
  </si>
  <si>
    <t>Cassava Flour</t>
  </si>
  <si>
    <t>JRS Vegetables and Seafoods</t>
  </si>
  <si>
    <t>Ticman</t>
  </si>
  <si>
    <t>NutriAsia - UFC</t>
  </si>
  <si>
    <t>Jugirox</t>
  </si>
  <si>
    <t>Cauliflower</t>
  </si>
  <si>
    <t>Cayenne Pepper Powder</t>
  </si>
  <si>
    <t>J&amp;Y</t>
  </si>
  <si>
    <t>Cereal Drink - Choco</t>
  </si>
  <si>
    <t>Energen</t>
  </si>
  <si>
    <t>Cereal Drink - Chocolate</t>
  </si>
  <si>
    <t>Energen - Chocolate</t>
  </si>
  <si>
    <t>Cereal Drink - Vanilla</t>
  </si>
  <si>
    <t>Energen - Vanilla</t>
  </si>
  <si>
    <t>Chafing Fuel</t>
  </si>
  <si>
    <t>Ko-nice Alcogel</t>
  </si>
  <si>
    <t>Magnolia - Daily Quezo</t>
  </si>
  <si>
    <t>Mondelez - Eden</t>
  </si>
  <si>
    <t>CDO - Big Time</t>
  </si>
  <si>
    <t>Cheese - Sliced</t>
  </si>
  <si>
    <t>Danes</t>
  </si>
  <si>
    <t>A-mark</t>
  </si>
  <si>
    <t>Cheesemiss</t>
  </si>
  <si>
    <t>Chicharon</t>
  </si>
  <si>
    <t>Chicharon Durog</t>
  </si>
  <si>
    <t>Chicharon Powder</t>
  </si>
  <si>
    <t>Chicken - Breast</t>
  </si>
  <si>
    <t>Chicken - Whole</t>
  </si>
  <si>
    <t>Chicken - Fillet</t>
  </si>
  <si>
    <t>Chicken - Frozen Leg Quarter</t>
  </si>
  <si>
    <t>Chicken - Leg Quarter</t>
  </si>
  <si>
    <t>Daisuke</t>
  </si>
  <si>
    <t>Chicken - Neck</t>
  </si>
  <si>
    <t>Chicken Nuggets</t>
  </si>
  <si>
    <t>Gerabelle</t>
  </si>
  <si>
    <t>Lee Kum Kee</t>
  </si>
  <si>
    <t>Chili Powder</t>
  </si>
  <si>
    <t>Chili Seasoning</t>
  </si>
  <si>
    <t>Chocolate Chips - White</t>
  </si>
  <si>
    <t>Dutche</t>
  </si>
  <si>
    <t>Chocolate Drink</t>
  </si>
  <si>
    <t>Nestle - Milo</t>
  </si>
  <si>
    <t>Hersheys</t>
  </si>
  <si>
    <t>Chorizo Bilbao</t>
  </si>
  <si>
    <t>Chorizo Macao</t>
  </si>
  <si>
    <t>Cinnamon Powder</t>
  </si>
  <si>
    <t>Cling Wrap</t>
  </si>
  <si>
    <t>Formosa</t>
  </si>
  <si>
    <t>Croco</t>
  </si>
  <si>
    <t>Cloves Powder</t>
  </si>
  <si>
    <t>Cocktail Toothpick</t>
  </si>
  <si>
    <t>pack by 200's</t>
  </si>
  <si>
    <t>Cocoa Powder</t>
  </si>
  <si>
    <t>Ricoa</t>
  </si>
  <si>
    <t>JB</t>
  </si>
  <si>
    <t>Coconut Milk</t>
  </si>
  <si>
    <t>Coco Mama</t>
  </si>
  <si>
    <t>Vista</t>
  </si>
  <si>
    <t>Coffee - Brewed</t>
  </si>
  <si>
    <t>Tropical Brew</t>
  </si>
  <si>
    <t>Coffee Creamer</t>
  </si>
  <si>
    <t>Nestle - Coffee Mate</t>
  </si>
  <si>
    <t>Great Taste</t>
  </si>
  <si>
    <t>Coffee Cups</t>
  </si>
  <si>
    <t>Carandang Merch. - 8oz Double Set</t>
  </si>
  <si>
    <t>(Riffle-brown)</t>
  </si>
  <si>
    <t>Nestle - Nescafe Classic Stick</t>
  </si>
  <si>
    <t>Nestle - Nescafe Classic Stick (Pack)</t>
  </si>
  <si>
    <t>Nescafe/pack (48pcsx1.9grams)</t>
  </si>
  <si>
    <t>Alaska 370</t>
  </si>
  <si>
    <t>Cowbell</t>
  </si>
  <si>
    <t>Vina</t>
  </si>
  <si>
    <t>Jersey - Pandan</t>
  </si>
  <si>
    <t>Jersey - Ube</t>
  </si>
  <si>
    <t>Conditioner - Creamsilk</t>
  </si>
  <si>
    <t>Creamsilk</t>
  </si>
  <si>
    <t>Confectioner's Sugar</t>
  </si>
  <si>
    <t>Peotraco</t>
  </si>
  <si>
    <t>Winner</t>
  </si>
  <si>
    <t>Cookies</t>
  </si>
  <si>
    <t>Jack n Jill - Chips Ahoy</t>
  </si>
  <si>
    <t>Chips Delight</t>
  </si>
  <si>
    <t>Nissin - Eggnog Cookies</t>
  </si>
  <si>
    <t>Freeto</t>
  </si>
  <si>
    <t>Marca Leon</t>
  </si>
  <si>
    <t>Cooking Wine</t>
  </si>
  <si>
    <t>Marca Pina</t>
  </si>
  <si>
    <t>Coriander Powder</t>
  </si>
  <si>
    <t>Corn Syrup</t>
  </si>
  <si>
    <t>Peotraco/500ml</t>
  </si>
  <si>
    <t>Star</t>
  </si>
  <si>
    <t>Couscous</t>
  </si>
  <si>
    <t>Crab Sticks</t>
  </si>
  <si>
    <t>Robo</t>
  </si>
  <si>
    <t>Crackers</t>
  </si>
  <si>
    <t>Rebisco - Combi Triple Choco</t>
  </si>
  <si>
    <t>Jack n Jill - Magic Creams Cracker Sandwich - Choco</t>
  </si>
  <si>
    <t>M.Y. San - Sky Flakes</t>
  </si>
  <si>
    <t>tub</t>
  </si>
  <si>
    <t>M.Y. San - Sky Flakes Sweet Butter</t>
  </si>
  <si>
    <t>M.Y. San - Sky Flakes - Condensada</t>
  </si>
  <si>
    <t>Rebisco Crackers</t>
  </si>
  <si>
    <t>Rebisco - Pastillas</t>
  </si>
  <si>
    <t>Jack n Jill - Magic Creams Cracker Sandwich - Butter/box (10pcsx28grams)</t>
  </si>
  <si>
    <t>Jack n Jill - Magic Creams Cracker Sandwich - Condensada/box (10pcsx28grams)</t>
  </si>
  <si>
    <t>Jack n jill - Magic Creams Cracker Sandwich - Peanut Butter/box (10pcsx28grams)</t>
  </si>
  <si>
    <t>Jack n Jill - Magic Flakes Cheese/pack (10pcsx28grams)</t>
  </si>
  <si>
    <t>Jack n Jill - Magic Flakes Cheese 28g</t>
  </si>
  <si>
    <t>Rebisco - Choco</t>
  </si>
  <si>
    <t>Cream of Corn</t>
  </si>
  <si>
    <t>Golden Sweet</t>
  </si>
  <si>
    <t>Cream of Pumpkin</t>
  </si>
  <si>
    <t>Cream of Tartar</t>
  </si>
  <si>
    <t>Crushed Grahams</t>
  </si>
  <si>
    <t>M.Y. San</t>
  </si>
  <si>
    <t>Robinsons</t>
  </si>
  <si>
    <t>Puregold - Pure Basics</t>
  </si>
  <si>
    <t>UFC</t>
  </si>
  <si>
    <t>Dahunan</t>
  </si>
  <si>
    <t>Dalagang Bukid</t>
  </si>
  <si>
    <t>Danggit</t>
  </si>
  <si>
    <t>Diced Tomato</t>
  </si>
  <si>
    <t>Dilis</t>
  </si>
  <si>
    <t>Dilis - Boneless</t>
  </si>
  <si>
    <t>JRS Vegetables and Sea Foods</t>
  </si>
  <si>
    <t>Disposable Fork</t>
  </si>
  <si>
    <t>Disposable Gloves</t>
  </si>
  <si>
    <t>Surebuy</t>
  </si>
  <si>
    <t>Safe Hand</t>
  </si>
  <si>
    <t>Pinoy Gloves</t>
  </si>
  <si>
    <t>Disposable Popcorn Cups</t>
  </si>
  <si>
    <t>Disposable Spoon</t>
  </si>
  <si>
    <t>Glow</t>
  </si>
  <si>
    <t>Division Box</t>
  </si>
  <si>
    <t>Bio Pack</t>
  </si>
  <si>
    <t>Dixie cups w/ Lid</t>
  </si>
  <si>
    <t>Belle</t>
  </si>
  <si>
    <t>Dried Oregano</t>
  </si>
  <si>
    <t>Dry Yeast</t>
  </si>
  <si>
    <t>Super 8 - Great Buy</t>
  </si>
  <si>
    <t>Eco Bag</t>
  </si>
  <si>
    <t>Eco Bag - Medium</t>
  </si>
  <si>
    <t>Everyday/bundle/25pcs</t>
  </si>
  <si>
    <t>Medium/tray</t>
  </si>
  <si>
    <t>Medium</t>
  </si>
  <si>
    <t>trays</t>
  </si>
  <si>
    <t>Medium/tray/30pieces</t>
  </si>
  <si>
    <t>Electrolyte Drink</t>
  </si>
  <si>
    <t>Pepsi - Gatorade (Assorted)</t>
  </si>
  <si>
    <t>Pepsi - Gatorade</t>
  </si>
  <si>
    <t>Otsuka - Pocari Sweat</t>
  </si>
  <si>
    <t>Fettuccine</t>
  </si>
  <si>
    <t>San Remo</t>
  </si>
  <si>
    <t>Fish Balls</t>
  </si>
  <si>
    <t>Shanghai</t>
  </si>
  <si>
    <t>Lorin's</t>
  </si>
  <si>
    <t>JP - Pangasinan Fish Sauce</t>
  </si>
  <si>
    <t>ounces</t>
  </si>
  <si>
    <t>Hyco</t>
  </si>
  <si>
    <t>Food Color - Green</t>
  </si>
  <si>
    <t>Green Leaves</t>
  </si>
  <si>
    <t>Food Color - Yellow</t>
  </si>
  <si>
    <t>Food Flavoring - Almond</t>
  </si>
  <si>
    <t>Food Flavoring - Buko Pandan</t>
  </si>
  <si>
    <t>Food Flavoring - Melon</t>
  </si>
  <si>
    <t>Food Flavoring - Strawberry</t>
  </si>
  <si>
    <t>Food Flavoring - Ube</t>
  </si>
  <si>
    <t>Flavorade</t>
  </si>
  <si>
    <t>Footlong</t>
  </si>
  <si>
    <t>Holiday</t>
  </si>
  <si>
    <t>French Fries</t>
  </si>
  <si>
    <t>Frenchies</t>
  </si>
  <si>
    <t>Frozen Peas</t>
  </si>
  <si>
    <t>Today's</t>
  </si>
  <si>
    <t>Del Monte</t>
  </si>
  <si>
    <t>Gabi</t>
  </si>
  <si>
    <t>Galunggong</t>
  </si>
  <si>
    <t>Sevilla</t>
  </si>
  <si>
    <t>Garlic - Granulated Singles</t>
  </si>
  <si>
    <t>Gelatine</t>
  </si>
  <si>
    <t>Ferna/box/50grams</t>
  </si>
  <si>
    <t>Gin</t>
  </si>
  <si>
    <t>Ginebra</t>
  </si>
  <si>
    <t>Argentina</t>
  </si>
  <si>
    <t>Arawan</t>
  </si>
  <si>
    <t>Kings</t>
  </si>
  <si>
    <t>Master Chef</t>
  </si>
  <si>
    <t>Polar Bear</t>
  </si>
  <si>
    <t>Grapes Green</t>
  </si>
  <si>
    <t>Grapes Seedless</t>
  </si>
  <si>
    <t>Greaseproof french fries paperbag</t>
  </si>
  <si>
    <t>Green Olives</t>
  </si>
  <si>
    <t>Green Peas</t>
  </si>
  <si>
    <t>Ground Cumin</t>
  </si>
  <si>
    <t>Badia</t>
  </si>
  <si>
    <t>Gulaman - Black</t>
  </si>
  <si>
    <t>Mr. Gulaman</t>
  </si>
  <si>
    <t>Master Gulaman</t>
  </si>
  <si>
    <t>Gulaman - Orange</t>
  </si>
  <si>
    <t>Master. Gulaman</t>
  </si>
  <si>
    <t>Mr Gulaman</t>
  </si>
  <si>
    <t>Gummy Worm</t>
  </si>
  <si>
    <t>Ham</t>
  </si>
  <si>
    <t>Mekeni</t>
  </si>
  <si>
    <t>Hand Goves</t>
  </si>
  <si>
    <t>Scotch Brite</t>
  </si>
  <si>
    <t>Hasa</t>
  </si>
  <si>
    <t>Hipon</t>
  </si>
  <si>
    <t>Hofan Rice Noodles</t>
  </si>
  <si>
    <t>Fat &amp; Thin</t>
  </si>
  <si>
    <t>Hoisin Sauce</t>
  </si>
  <si>
    <t>Honey</t>
  </si>
  <si>
    <t>Honeylicious</t>
  </si>
  <si>
    <t>Hopia - Monggo</t>
  </si>
  <si>
    <t>Tipas</t>
  </si>
  <si>
    <t>Hopia - Pandan</t>
  </si>
  <si>
    <t>Hot Pepper Sauce</t>
  </si>
  <si>
    <t>Tabasco</t>
  </si>
  <si>
    <t>Hot Sauce</t>
  </si>
  <si>
    <t>Mother's Best</t>
  </si>
  <si>
    <t>Hotdog</t>
  </si>
  <si>
    <t>Hotdog - Cheese</t>
  </si>
  <si>
    <t>Virginia</t>
  </si>
  <si>
    <t>New Yorkers</t>
  </si>
  <si>
    <t>Hotdog - Giant</t>
  </si>
  <si>
    <t>Hotdog - Jumbo</t>
  </si>
  <si>
    <t>Hotdog - King Size</t>
  </si>
  <si>
    <t>Hotdog - Regular</t>
  </si>
  <si>
    <t>Hungarian Sausage</t>
  </si>
  <si>
    <t>Ice Bag</t>
  </si>
  <si>
    <t>Shure - 4 x 12</t>
  </si>
  <si>
    <t>My Everyday - 4 x 12</t>
  </si>
  <si>
    <t>Ice bag</t>
  </si>
  <si>
    <t>Shure</t>
  </si>
  <si>
    <t>Iced Tea - Lemon</t>
  </si>
  <si>
    <t>Instant Noodles</t>
  </si>
  <si>
    <t>Lucky Me! - Go cup Batchoy 40g</t>
  </si>
  <si>
    <t>Lucky Me! - Go cup Beef 40g</t>
  </si>
  <si>
    <t>Lucky Me! - Go cup Bulalo 40g</t>
  </si>
  <si>
    <t>Lucky Me! - Go cup Jjampong 40g</t>
  </si>
  <si>
    <t>Lucky Me! - Go cup Seafood 40g</t>
  </si>
  <si>
    <t>Lucky Me! - Go cup Sotanghon 40g</t>
  </si>
  <si>
    <t>Lucky Me! - Go cup Spicy Batchoy 40g</t>
  </si>
  <si>
    <t>Lucky Me! - Chicken Sotanghon</t>
  </si>
  <si>
    <t>Nissin - Cup Noodles Batchoy</t>
  </si>
  <si>
    <t>Nissin - Cup Noodles Creamy Seafood</t>
  </si>
  <si>
    <t>Lucky Me! - Go Cup Seafood</t>
  </si>
  <si>
    <t>Lucky Me! - Go Cup Spicy Bulalo</t>
  </si>
  <si>
    <t>Lucky Me! - Jjamppong</t>
  </si>
  <si>
    <t>Instant Oast</t>
  </si>
  <si>
    <t>quaker/pack/500grams</t>
  </si>
  <si>
    <t>Instant Oatmeal</t>
  </si>
  <si>
    <t>Quaker</t>
  </si>
  <si>
    <t>Quaker - 6x33grams</t>
  </si>
  <si>
    <t>Instant Oatmeal - Chocolate</t>
  </si>
  <si>
    <t>Italian Seasoning</t>
  </si>
  <si>
    <t>Mc Cormick</t>
  </si>
  <si>
    <t>JAPCHAE NOODLES</t>
  </si>
  <si>
    <t>PACK/1000</t>
  </si>
  <si>
    <t>Golden Grains/pack/5kilos</t>
  </si>
  <si>
    <t>Kalabasa</t>
  </si>
  <si>
    <t>Kamatis</t>
  </si>
  <si>
    <t>Kamote</t>
  </si>
  <si>
    <t>Kangkong</t>
  </si>
  <si>
    <t>bundle</t>
  </si>
  <si>
    <t>Kaong Red</t>
  </si>
  <si>
    <t>Florence</t>
  </si>
  <si>
    <t>Kapeng Barako - Ground</t>
  </si>
  <si>
    <t>Amparos</t>
  </si>
  <si>
    <t>Jolly/can/425grams/250gramsdrained weight</t>
  </si>
  <si>
    <t>DEL MONTE</t>
  </si>
  <si>
    <t>HAPPY FIESTA</t>
  </si>
  <si>
    <t>Ketchup</t>
  </si>
  <si>
    <t>MAFRAN</t>
  </si>
  <si>
    <t>ORION</t>
  </si>
  <si>
    <t>Kutob</t>
  </si>
  <si>
    <t>Labanos</t>
  </si>
  <si>
    <t>Lakatan</t>
  </si>
  <si>
    <t>Langka</t>
  </si>
  <si>
    <t>Tita Elys/bottle/340grams</t>
  </si>
  <si>
    <t>Approved/6800grams</t>
  </si>
  <si>
    <t>Lasagna</t>
  </si>
  <si>
    <t>Ideal</t>
  </si>
  <si>
    <t>Mang Tomas/bottle/325grams</t>
  </si>
  <si>
    <t>Mang Tomas</t>
  </si>
  <si>
    <t>Lasap</t>
  </si>
  <si>
    <t>Lemon</t>
  </si>
  <si>
    <t>TOPPINGS</t>
  </si>
  <si>
    <t>Lemonade - Blue</t>
  </si>
  <si>
    <t>Lemonade - Cucumber</t>
  </si>
  <si>
    <t>Lettuce - Green Ice</t>
  </si>
  <si>
    <t>Light Soy sauce</t>
  </si>
  <si>
    <t>Kikkoman</t>
  </si>
  <si>
    <t>Light Soy Sauce</t>
  </si>
  <si>
    <t>heng Bing/bottle/1800Ml</t>
  </si>
  <si>
    <t>Sampaguita/bottle/350ml</t>
  </si>
  <si>
    <t>Lime Juice</t>
  </si>
  <si>
    <t>Lime Seasoning Mix</t>
  </si>
  <si>
    <t>Liquid Glucose</t>
  </si>
  <si>
    <t>Ferna/bottle/1000ml</t>
  </si>
  <si>
    <t>Liquid seasoning</t>
  </si>
  <si>
    <t>CDO</t>
  </si>
  <si>
    <t>Reno/can/85grams</t>
  </si>
  <si>
    <t>Argentina/can/85grams</t>
  </si>
  <si>
    <t>Lomi</t>
  </si>
  <si>
    <t>JMRL</t>
  </si>
  <si>
    <t>Lomi Noodles</t>
  </si>
  <si>
    <t>LPG</t>
  </si>
  <si>
    <t>Balcos</t>
  </si>
  <si>
    <t>cylinder</t>
  </si>
  <si>
    <t>Lubi Kayod</t>
  </si>
  <si>
    <t>Ludy's Salabat</t>
  </si>
  <si>
    <t>Ludy's - 8g</t>
  </si>
  <si>
    <t>Lumpia Wrapper</t>
  </si>
  <si>
    <t>Lumpia Wrapper Large</t>
  </si>
  <si>
    <t>pack (1x100piece)</t>
  </si>
  <si>
    <t>piece</t>
  </si>
  <si>
    <t>Lumpia Wrapper Small</t>
  </si>
  <si>
    <t>Prem</t>
  </si>
  <si>
    <t>Tulip</t>
  </si>
  <si>
    <t>Hormel - Spam - 25% Less Sodium</t>
  </si>
  <si>
    <t>Hormel - Spam Lite</t>
  </si>
  <si>
    <t>Lotte</t>
  </si>
  <si>
    <t>Chef's Choice</t>
  </si>
  <si>
    <t>Maling</t>
  </si>
  <si>
    <t>Lotte/can/340grams</t>
  </si>
  <si>
    <t>CDO/can/350grams</t>
  </si>
  <si>
    <t>Luncheon Meat - Chinese Style</t>
  </si>
  <si>
    <t>Purefoods/can/350grams</t>
  </si>
  <si>
    <t>Lychee in Light Syrup</t>
  </si>
  <si>
    <t>Jolly/can/540grams/230 draigned weight</t>
  </si>
  <si>
    <t>HOSEN</t>
  </si>
  <si>
    <t>Lye Water</t>
  </si>
  <si>
    <t>Macapuno</t>
  </si>
  <si>
    <t>Buenas</t>
  </si>
  <si>
    <t>Macaroni</t>
  </si>
  <si>
    <t>Macaroni Elbow</t>
  </si>
  <si>
    <t>SUNSHINE</t>
  </si>
  <si>
    <t>El Real</t>
  </si>
  <si>
    <t>Mackerel</t>
  </si>
  <si>
    <t>Uni pak</t>
  </si>
  <si>
    <t>MEGA</t>
  </si>
  <si>
    <t>Unipak</t>
  </si>
  <si>
    <t>Mega</t>
  </si>
  <si>
    <t>UNIPAK</t>
  </si>
  <si>
    <t>Nestle - Maggi</t>
  </si>
  <si>
    <t>Malagkit</t>
  </si>
  <si>
    <t>/pack/1kilos</t>
  </si>
  <si>
    <t>Malunggay</t>
  </si>
  <si>
    <t>Mami</t>
  </si>
  <si>
    <t>BestFoods/pack/1000grams</t>
  </si>
  <si>
    <t>Mangga</t>
  </si>
  <si>
    <t>Dari Cream</t>
  </si>
  <si>
    <t>Buttercup</t>
  </si>
  <si>
    <t>Frito</t>
  </si>
  <si>
    <t>Marjoram</t>
  </si>
  <si>
    <t>Marshmallow</t>
  </si>
  <si>
    <t>Oishi - O-Puff Mashmallow - Chocolate</t>
  </si>
  <si>
    <t>Mondelez - Cheez Whiz</t>
  </si>
  <si>
    <t>Mayonnaise</t>
  </si>
  <si>
    <t>Lady's Choice - Real Mayonnaise</t>
  </si>
  <si>
    <t>Best Foods - Wonder Mayo</t>
  </si>
  <si>
    <t>Meal Box</t>
  </si>
  <si>
    <t>I-box - LB2 CLEAR</t>
  </si>
  <si>
    <t>I-box - LB3 CLEAR</t>
  </si>
  <si>
    <t>Meat Loaf</t>
  </si>
  <si>
    <t>Meat Tenderizer</t>
  </si>
  <si>
    <t>Melon Cantaloupe</t>
  </si>
  <si>
    <t>Microwavable Conatiner</t>
  </si>
  <si>
    <t>Trigem - 4 division</t>
  </si>
  <si>
    <t>Fas Pack - Rectangular 500</t>
  </si>
  <si>
    <t>Belle - Rectangular 500ml</t>
  </si>
  <si>
    <t>Bestbuy - Rectangular 500ml</t>
  </si>
  <si>
    <t>Calypso - Rectangular 750</t>
  </si>
  <si>
    <t>Belle - Round 10oz</t>
  </si>
  <si>
    <t>3D</t>
  </si>
  <si>
    <t>4D</t>
  </si>
  <si>
    <t>5D</t>
  </si>
  <si>
    <t>Suy Sing - My Everyday - 30oz Plastic Round</t>
  </si>
  <si>
    <t>Microwavable Container</t>
  </si>
  <si>
    <t>Suy Sing - My Everyday - 500ml Plastic Rectanguar</t>
  </si>
  <si>
    <t>Belle - RE500</t>
  </si>
  <si>
    <t>Belle - RE750</t>
  </si>
  <si>
    <t>Belle - RO10</t>
  </si>
  <si>
    <t>Belle - RO16</t>
  </si>
  <si>
    <t>Miki</t>
  </si>
  <si>
    <t>Milk - Fresh</t>
  </si>
  <si>
    <t>Nestle - Fresh Milk</t>
  </si>
  <si>
    <t>Selecta</t>
  </si>
  <si>
    <t>Milk - Powdered</t>
  </si>
  <si>
    <t>Nestle - Bear Brand</t>
  </si>
  <si>
    <t>Milk - Powdered (Choco)</t>
  </si>
  <si>
    <t>Milk- Sterelized</t>
  </si>
  <si>
    <t>Asia Brewery - Summit</t>
  </si>
  <si>
    <t>Asia Brewery - Summit Still</t>
  </si>
  <si>
    <t>Acqua Panna</t>
  </si>
  <si>
    <t>Nature's Spring</t>
  </si>
  <si>
    <t>Coca Cola - Wilkins</t>
  </si>
  <si>
    <t>Mineral water</t>
  </si>
  <si>
    <t>kl</t>
  </si>
  <si>
    <t>Pure Basics</t>
  </si>
  <si>
    <t>Unicorn</t>
  </si>
  <si>
    <t>Molo Wrapper</t>
  </si>
  <si>
    <t>Dinks</t>
  </si>
  <si>
    <t>Wet Market</t>
  </si>
  <si>
    <t>Universal</t>
  </si>
  <si>
    <t>Mustard</t>
  </si>
  <si>
    <t>Nata de Coco - Green</t>
  </si>
  <si>
    <t>Fruit Delight</t>
  </si>
  <si>
    <t>Net Sponge</t>
  </si>
  <si>
    <t>Niyog Kayod</t>
  </si>
  <si>
    <t>Nutmeg</t>
  </si>
  <si>
    <t>Okra</t>
  </si>
  <si>
    <t>Louise Food and Beverages Trading</t>
  </si>
  <si>
    <t>Olive Oil</t>
  </si>
  <si>
    <t>Onion Leeks</t>
  </si>
  <si>
    <t>Onion Powder</t>
  </si>
  <si>
    <t>Onion Red</t>
  </si>
  <si>
    <t>Orange Marmalade</t>
  </si>
  <si>
    <t>Clara Ole</t>
  </si>
  <si>
    <t>Orange Ponkan</t>
  </si>
  <si>
    <t>Oregano Leaves Whole</t>
  </si>
  <si>
    <t>Oxtripe</t>
  </si>
  <si>
    <t>Gold Dragon</t>
  </si>
  <si>
    <t>Pakwan</t>
  </si>
  <si>
    <t>Pakwan Yellow</t>
  </si>
  <si>
    <t>Pandan Extract</t>
  </si>
  <si>
    <t>Pantyliner</t>
  </si>
  <si>
    <t>Charmee</t>
  </si>
  <si>
    <t>Sisters</t>
  </si>
  <si>
    <t>Panutsa</t>
  </si>
  <si>
    <t>Papaya</t>
  </si>
  <si>
    <t>Paper Box - 2 division</t>
  </si>
  <si>
    <t>Wow</t>
  </si>
  <si>
    <t>Orange Box</t>
  </si>
  <si>
    <t>Paper Box - Microwavable</t>
  </si>
  <si>
    <t>Paper Box - Silver (Single)</t>
  </si>
  <si>
    <t>Paper Cups</t>
  </si>
  <si>
    <t>Dixie</t>
  </si>
  <si>
    <t>Paper Cups - 12oz</t>
  </si>
  <si>
    <t>pack by 50s'</t>
  </si>
  <si>
    <t>Paper Cups - 6.5oz</t>
  </si>
  <si>
    <t>Paper Cups - 8oz</t>
  </si>
  <si>
    <t>Paper Cups with Lid - 390cc</t>
  </si>
  <si>
    <t>Paper Cups with Lid - 520cc</t>
  </si>
  <si>
    <t>Paper Hotdog</t>
  </si>
  <si>
    <t>Paper Plate</t>
  </si>
  <si>
    <t>Paper Plate - Small</t>
  </si>
  <si>
    <t>Good News</t>
  </si>
  <si>
    <t>Paper Plate (Round)</t>
  </si>
  <si>
    <t>Paper Towel</t>
  </si>
  <si>
    <t>Paprika Powder</t>
  </si>
  <si>
    <t>Parmesan Cheese</t>
  </si>
  <si>
    <t>Coloma</t>
  </si>
  <si>
    <t>Pastillas Roll</t>
  </si>
  <si>
    <t>Patatas</t>
  </si>
  <si>
    <t>Peach Halves</t>
  </si>
  <si>
    <t>Baby</t>
  </si>
  <si>
    <t>Lily's</t>
  </si>
  <si>
    <t>Peanuts</t>
  </si>
  <si>
    <t>JBC - Happy</t>
  </si>
  <si>
    <t>Peanuts - Garlic</t>
  </si>
  <si>
    <t>Wow Mani</t>
  </si>
  <si>
    <t>Peanuts (Big)</t>
  </si>
  <si>
    <t>Peanuts (Small)</t>
  </si>
  <si>
    <t>Pechay Baguio</t>
  </si>
  <si>
    <t>Pechay Native</t>
  </si>
  <si>
    <t>Penne</t>
  </si>
  <si>
    <t>Petchay</t>
  </si>
  <si>
    <t>Pickle Relish</t>
  </si>
  <si>
    <t>Pickles</t>
  </si>
  <si>
    <t>Pili Nuts</t>
  </si>
  <si>
    <t>Pineapple Jam</t>
  </si>
  <si>
    <t>Pineapple Sliced</t>
  </si>
  <si>
    <t>Pinipig</t>
  </si>
  <si>
    <t>Pinto Beans</t>
  </si>
  <si>
    <t>La Costera</t>
  </si>
  <si>
    <t>Pinya</t>
  </si>
  <si>
    <t>Pipino</t>
  </si>
  <si>
    <t>Pizza Seasoning</t>
  </si>
  <si>
    <t>Plastic Cups</t>
  </si>
  <si>
    <t>Carandang Merchandise - 16 0Z PP Clear Set</t>
  </si>
  <si>
    <t>pack by 50's</t>
  </si>
  <si>
    <t>Plastic Labo</t>
  </si>
  <si>
    <t>Calypso - 8x11</t>
  </si>
  <si>
    <t>8x11</t>
  </si>
  <si>
    <t>Pork - BBQ on Stick</t>
  </si>
  <si>
    <t>Richard/piece/</t>
  </si>
  <si>
    <t>Pork - Frozen Jowls</t>
  </si>
  <si>
    <t>Pork - Frozen Kasim</t>
  </si>
  <si>
    <t>Pork - Frozen Liempo</t>
  </si>
  <si>
    <t>Pork - Frozen Pata</t>
  </si>
  <si>
    <t>Pork - Ground</t>
  </si>
  <si>
    <t>Pork - Jowls</t>
  </si>
  <si>
    <t>Pork - Kasim</t>
  </si>
  <si>
    <t>Pork - Laman</t>
  </si>
  <si>
    <t>Pork - Liempo</t>
  </si>
  <si>
    <t>Pork - Liver</t>
  </si>
  <si>
    <t>Pork - Mask</t>
  </si>
  <si>
    <t>Pork - Pata</t>
  </si>
  <si>
    <t>Pork - Porkchop</t>
  </si>
  <si>
    <t>Pork Longanisa</t>
  </si>
  <si>
    <t>pack/1000g</t>
  </si>
  <si>
    <t>Powdered Juice</t>
  </si>
  <si>
    <t>Nestle - Houseblend</t>
  </si>
  <si>
    <t>Nestle - Orange Juice</t>
  </si>
  <si>
    <t>Nestle - Pineapple Juice</t>
  </si>
  <si>
    <t>Nestle - Pink Lychee</t>
  </si>
  <si>
    <t>Nestle - Strawberry</t>
  </si>
  <si>
    <t>Powdered Juice - Dalandan</t>
  </si>
  <si>
    <t>Mondelez - Tang</t>
  </si>
  <si>
    <t>Powdered Juice - Four Seasons</t>
  </si>
  <si>
    <t>Powdered Juice - Honey Lemon</t>
  </si>
  <si>
    <t>Powdered Juice - Orange</t>
  </si>
  <si>
    <t>Powdered Juice - Pineapple</t>
  </si>
  <si>
    <t>Sun Maid</t>
  </si>
  <si>
    <t>Razor blade</t>
  </si>
  <si>
    <t>Gillette</t>
  </si>
  <si>
    <t>Red Rice</t>
  </si>
  <si>
    <t>MBN</t>
  </si>
  <si>
    <t>Red Wine</t>
  </si>
  <si>
    <t>Carlo Rossi</t>
  </si>
  <si>
    <t>Premium</t>
  </si>
  <si>
    <t>Sinandomeng</t>
  </si>
  <si>
    <t>sacks</t>
  </si>
  <si>
    <t>MBN Rice</t>
  </si>
  <si>
    <t>Super Alsa</t>
  </si>
  <si>
    <t>Golden Cup</t>
  </si>
  <si>
    <t>Kohaku</t>
  </si>
  <si>
    <t>Orchids</t>
  </si>
  <si>
    <t>Rice Vinegar</t>
  </si>
  <si>
    <t>Marukan</t>
  </si>
  <si>
    <t>Rice Wrapper</t>
  </si>
  <si>
    <t>Rice Wrapper - Large</t>
  </si>
  <si>
    <t>(1000pcs per bundle)</t>
  </si>
  <si>
    <t>Rolled Oats</t>
  </si>
  <si>
    <t>RTD - Chocolate</t>
  </si>
  <si>
    <t>Nestle - Chuckie</t>
  </si>
  <si>
    <t>RTD - Iced Tea</t>
  </si>
  <si>
    <t>Universal Robina - C2 Solo Apple</t>
  </si>
  <si>
    <t>Universal Robina - C2 Solo</t>
  </si>
  <si>
    <t>Universal Robina - C2 Solo Lemon</t>
  </si>
  <si>
    <t>RTD - Juice</t>
  </si>
  <si>
    <t>Coca-Cola - Minute Maid Fresh</t>
  </si>
  <si>
    <t>Coca-Cola - Minute Maid Mango</t>
  </si>
  <si>
    <t>Coca-Cola - Minute Maid Orange</t>
  </si>
  <si>
    <t>Mogu-Mogu Melon</t>
  </si>
  <si>
    <t>Del Monte - Four Seasons</t>
  </si>
  <si>
    <t>cans</t>
  </si>
  <si>
    <t>RTD - Pineapple Juice</t>
  </si>
  <si>
    <t>RTD - Pineapple Juice with ACE</t>
  </si>
  <si>
    <t>RTD - Pineapple Orange Juice</t>
  </si>
  <si>
    <t>RTD - Strawberry Drink</t>
  </si>
  <si>
    <t>Nutriboost</t>
  </si>
  <si>
    <t>Saba</t>
  </si>
  <si>
    <t>Sage</t>
  </si>
  <si>
    <t>Sago</t>
  </si>
  <si>
    <t>JRS Vegetables and Sea foods</t>
  </si>
  <si>
    <t>Ludy's</t>
  </si>
  <si>
    <t>Salami</t>
  </si>
  <si>
    <t>King Sue</t>
  </si>
  <si>
    <t>Salmon Head</t>
  </si>
  <si>
    <t>Salsa</t>
  </si>
  <si>
    <t>Tostitos - Chunky Salsa</t>
  </si>
  <si>
    <t>Crystal</t>
  </si>
  <si>
    <t>Salt - Iodized</t>
  </si>
  <si>
    <t>Fidel</t>
  </si>
  <si>
    <t>Salted Egg</t>
  </si>
  <si>
    <t>Saluyot</t>
  </si>
  <si>
    <t>Sandwich Bag</t>
  </si>
  <si>
    <t>Cheers - box of 50's</t>
  </si>
  <si>
    <t>box</t>
  </si>
  <si>
    <t>Sanitary Pad</t>
  </si>
  <si>
    <t>Charmee - All Night</t>
  </si>
  <si>
    <t>Modess</t>
  </si>
  <si>
    <t>Sanitary Pads</t>
  </si>
  <si>
    <t>Modess - All Night</t>
  </si>
  <si>
    <t>Sapsap</t>
  </si>
  <si>
    <t>Sauce Cup - 30ml</t>
  </si>
  <si>
    <t>Calypso - pack by 50's</t>
  </si>
  <si>
    <t>Sauce Cup 1oz</t>
  </si>
  <si>
    <t>Sauce Cup 4oz</t>
  </si>
  <si>
    <t>Savor Classic</t>
  </si>
  <si>
    <t>Scrubbing Pad</t>
  </si>
  <si>
    <t>Seasoning Powder</t>
  </si>
  <si>
    <t>Mc Cody</t>
  </si>
  <si>
    <t>Sesame Seeds</t>
  </si>
  <si>
    <t>Shampoo</t>
  </si>
  <si>
    <t>Sunsilk</t>
  </si>
  <si>
    <t>Shiitake Mushroom</t>
  </si>
  <si>
    <t>Shiracha Catsup</t>
  </si>
  <si>
    <t>Jufran</t>
  </si>
  <si>
    <t>Shrimp</t>
  </si>
  <si>
    <t>Sibuyas</t>
  </si>
  <si>
    <t>Sili Labuyo</t>
  </si>
  <si>
    <t>HERNAN</t>
  </si>
  <si>
    <t>Sili Sigang</t>
  </si>
  <si>
    <t>Sinigang Mix sa Gabi</t>
  </si>
  <si>
    <t>Siomai - Pork</t>
  </si>
  <si>
    <t>FC</t>
  </si>
  <si>
    <t>Sitaw</t>
  </si>
  <si>
    <t>Skinless Longganisa</t>
  </si>
  <si>
    <t>Chino's</t>
  </si>
  <si>
    <t>Sliced Cheese</t>
  </si>
  <si>
    <t>Snack</t>
  </si>
  <si>
    <t>Oishi - Potato Chips</t>
  </si>
  <si>
    <t>Oishi - Potato Chips - Sweet and Spicy</t>
  </si>
  <si>
    <t>Oishi - Potato Fries - Cheese</t>
  </si>
  <si>
    <t>Oishi - Potato Fries - Ketchup</t>
  </si>
  <si>
    <t>Oishi - Potato Fries</t>
  </si>
  <si>
    <t>Snack Bar</t>
  </si>
  <si>
    <t>Multirich - Choco Mucho - Cookies &amp; Cream</t>
  </si>
  <si>
    <t>Multirich - Choco Mucho - Dark Choco Caramel</t>
  </si>
  <si>
    <t>Multirich - Choco Mucho - Peanut Butter</t>
  </si>
  <si>
    <t>Mayora - Beng-Beng Choco Caramel</t>
  </si>
  <si>
    <t>Jack n Jill - Cloud 9 Classic</t>
  </si>
  <si>
    <t>Jack n Jill - Cloud 9 Overload</t>
  </si>
  <si>
    <t>Jack n Jill - Cloud 9 Peanut Butter</t>
  </si>
  <si>
    <t>Jack n Jill - Cloud 9 White</t>
  </si>
  <si>
    <t>Snacks</t>
  </si>
  <si>
    <t>Oishi - Kirei</t>
  </si>
  <si>
    <t>Oishi - Kirei 45g</t>
  </si>
  <si>
    <t>Jack n Jill - Magic Chips - Cheese (pcsx28grams)</t>
  </si>
  <si>
    <t>Jack n Jill - Magic Chips - Sourcream&amp;Onion/box (pcsx28grams)</t>
  </si>
  <si>
    <t>Jack n Jill - Mang Juan Chik'n Skin/70g</t>
  </si>
  <si>
    <t>Jack n Jill - Mang Juan Sukang Paombong/bundle (18x90grams)</t>
  </si>
  <si>
    <t>Oishi - Marty's Cracklin' Chicken Inasal</t>
  </si>
  <si>
    <t>Oishi - Marty's Cracklin' Spicy</t>
  </si>
  <si>
    <t>Oishi - Miggos</t>
  </si>
  <si>
    <t>Nutri Snack - Moby</t>
  </si>
  <si>
    <t>Monde - Mamon Classic</t>
  </si>
  <si>
    <t>Jack n Jill - Mr. Chips Manamis Mais</t>
  </si>
  <si>
    <t>Jack n Jill - Mr. Chips Cheese</t>
  </si>
  <si>
    <t>Jack n Jill - Nova</t>
  </si>
  <si>
    <t>Jack n Jill - Nova Cheddar</t>
  </si>
  <si>
    <t>Nutri Snacks - Okejie Tempura</t>
  </si>
  <si>
    <t>Oishi - Onion Rings</t>
  </si>
  <si>
    <t>W.L. Foods - Panda 3D Biscuits</t>
  </si>
  <si>
    <t>Oishi - Crispy Patata</t>
  </si>
  <si>
    <t>Perrier</t>
  </si>
  <si>
    <t>Jack n Jill - Piattos</t>
  </si>
  <si>
    <t>Jack n Jill - Pic-A BBQ Overload</t>
  </si>
  <si>
    <t>Oishi - Pillows Ube</t>
  </si>
  <si>
    <t>Oishi - Pods Pea Snacks</t>
  </si>
  <si>
    <t>Lobster - Prawn Crackers</t>
  </si>
  <si>
    <t>Besuto - Onion &amp; Garlic</t>
  </si>
  <si>
    <t>Oishi - Prawn Crackers Spicy</t>
  </si>
  <si>
    <t>Oishi - Pillows Choco</t>
  </si>
  <si>
    <t>Jack n Jill - Pretzels Chocolate Mini</t>
  </si>
  <si>
    <t>Stateline - Tomi Sweet Corn</t>
  </si>
  <si>
    <t>Oishi - Bread Pan Butter Toast</t>
  </si>
  <si>
    <t>Oishi - Bread Pan White Cheddar</t>
  </si>
  <si>
    <t>Nissin - Bread Stixx</t>
  </si>
  <si>
    <t>Oishi - Baconette Strips</t>
  </si>
  <si>
    <t>WL Foods - Cheepee</t>
  </si>
  <si>
    <t>Nutri-Snack - Cheez-it Cheese</t>
  </si>
  <si>
    <t>Jack n Jill - Chippy</t>
  </si>
  <si>
    <t>Leslie's - Clover Chips - Cheese</t>
  </si>
  <si>
    <t>Oishi - Cracklings</t>
  </si>
  <si>
    <t>Suncrest Food - Dowee Donut Choco</t>
  </si>
  <si>
    <t>Oishi - Spicy Seafood Curls</t>
  </si>
  <si>
    <t>Regent - Sweet Corn</t>
  </si>
  <si>
    <t>Oishi - Tater Thins Cucumber Snacks</t>
  </si>
  <si>
    <t>WL Foods - Tattoos</t>
  </si>
  <si>
    <t>Regent - Tempura</t>
  </si>
  <si>
    <t>Regent - Snacku</t>
  </si>
  <si>
    <t>Socks</t>
  </si>
  <si>
    <t>pair</t>
  </si>
  <si>
    <t>Softdrinks</t>
  </si>
  <si>
    <t>Pepsi - Mountain Dew</t>
  </si>
  <si>
    <t>Pepsi - Mug Root Beer</t>
  </si>
  <si>
    <t>Pepsi</t>
  </si>
  <si>
    <t>ARC - Rite 'N Lite Cucumber</t>
  </si>
  <si>
    <t>ARC - Rite 'N Lite Lemon</t>
  </si>
  <si>
    <t>ARC - Rite 'N Lite Lemon and Lime</t>
  </si>
  <si>
    <t>Coca-Cola - Regular (Liter)</t>
  </si>
  <si>
    <t>Coca-Cola - Zero (Mini can)</t>
  </si>
  <si>
    <t>Coca-Cola - Regular (Mismo)</t>
  </si>
  <si>
    <t>Coca-Cola - Regular (Can)</t>
  </si>
  <si>
    <t>Coca-Cola - Zero (Liter)</t>
  </si>
  <si>
    <t>Coca-Cola - Zero (Can)</t>
  </si>
  <si>
    <t>Coca-Cola - Royal (Liter)</t>
  </si>
  <si>
    <t>Coca-Cola - Royal (Mismo)</t>
  </si>
  <si>
    <t>Coca-Cola - Royal (Can)</t>
  </si>
  <si>
    <t>Coca-Cola - Sprite (Liter)</t>
  </si>
  <si>
    <t>Coca-Cola - Sprite (Mismo)</t>
  </si>
  <si>
    <t>Coca-Cola - Sprite (Can)</t>
  </si>
  <si>
    <t>Sapporo</t>
  </si>
  <si>
    <t>Relish</t>
  </si>
  <si>
    <t>Soup Mix</t>
  </si>
  <si>
    <t>Knorr - Nido Oriental Soup</t>
  </si>
  <si>
    <t>Datu Puti</t>
  </si>
  <si>
    <t>Soy sauce</t>
  </si>
  <si>
    <t>Silver Swan</t>
  </si>
  <si>
    <t>Sunmac</t>
  </si>
  <si>
    <t>Del Monter</t>
  </si>
  <si>
    <t>Sunshine</t>
  </si>
  <si>
    <t>Spaghetti Box</t>
  </si>
  <si>
    <t>Trigem</t>
  </si>
  <si>
    <t>Spaghetti Bundle (Pasta+Sauce)</t>
  </si>
  <si>
    <t>Spaghetti Sauce - Filipino Style</t>
  </si>
  <si>
    <t>Spaghetti Sauce Sweet Style</t>
  </si>
  <si>
    <t>Royal</t>
  </si>
  <si>
    <t>Spanish Paprika</t>
  </si>
  <si>
    <t>Spanish Paprika Singles</t>
  </si>
  <si>
    <t>Spiral Noodles</t>
  </si>
  <si>
    <t>Zim</t>
  </si>
  <si>
    <t>3M</t>
  </si>
  <si>
    <t>Ladys Choice Bacon 27 ml</t>
  </si>
  <si>
    <t>Ladys Choice Chicken Spread 27ml</t>
  </si>
  <si>
    <t>Ladys Choice Ham Spread 27ml</t>
  </si>
  <si>
    <t>Mondelez - Cheeze Whiz Cheese</t>
  </si>
  <si>
    <t>Mondelez - Cheeze Whiz Pimento</t>
  </si>
  <si>
    <t>Springroll Wrapper</t>
  </si>
  <si>
    <t>Fat and Thin</t>
  </si>
  <si>
    <t>Squid Balls</t>
  </si>
  <si>
    <t>Orion</t>
  </si>
  <si>
    <t>Steak Sauce</t>
  </si>
  <si>
    <t>A1</t>
  </si>
  <si>
    <t>Steel wool</t>
  </si>
  <si>
    <t>Cleans-Up</t>
  </si>
  <si>
    <t>Stirrer</t>
  </si>
  <si>
    <t>Strawberry Jam</t>
  </si>
  <si>
    <t>Strippler</t>
  </si>
  <si>
    <t>Durabrite</t>
  </si>
  <si>
    <t>Hermano</t>
  </si>
  <si>
    <t>Orsomco</t>
  </si>
  <si>
    <t>Sugar - Sachet</t>
  </si>
  <si>
    <t>Equal</t>
  </si>
  <si>
    <t>Splenda</t>
  </si>
  <si>
    <t>Golden Harvest</t>
  </si>
  <si>
    <t>Depot</t>
  </si>
  <si>
    <t>Busco</t>
  </si>
  <si>
    <t>Sundried Pesto</t>
  </si>
  <si>
    <t>Sweet Chilli Sauce</t>
  </si>
  <si>
    <t>Sweet Ham</t>
  </si>
  <si>
    <t>Table napkin</t>
  </si>
  <si>
    <t>Jade</t>
  </si>
  <si>
    <t>Tablea</t>
  </si>
  <si>
    <t>Batangas Tablea</t>
  </si>
  <si>
    <t>Taco Seasoning</t>
  </si>
  <si>
    <t>Talong</t>
  </si>
  <si>
    <t>Tambakol</t>
  </si>
  <si>
    <t>Tanglad</t>
  </si>
  <si>
    <t>Tarragon</t>
  </si>
  <si>
    <t>Tea</t>
  </si>
  <si>
    <t>Twinings - English Breakfast</t>
  </si>
  <si>
    <t>Twinings - Peppermint</t>
  </si>
  <si>
    <t>Tea - Green Tea</t>
  </si>
  <si>
    <t>Pepsi - Lipton</t>
  </si>
  <si>
    <t>Tea - Yellow Label</t>
  </si>
  <si>
    <t>Tempura Batter Mix</t>
  </si>
  <si>
    <t>Showa</t>
  </si>
  <si>
    <t>Teriyaki Sauce</t>
  </si>
  <si>
    <t>Tetrapack - Apple Juice</t>
  </si>
  <si>
    <t>ZEST-O Big 250</t>
  </si>
  <si>
    <t>Tetrapack - Mango Juice</t>
  </si>
  <si>
    <t>Tetrapack - Orange Juice</t>
  </si>
  <si>
    <t>Thyme</t>
  </si>
  <si>
    <t>Harmony</t>
  </si>
  <si>
    <t>Tissue - Quarterly Fold</t>
  </si>
  <si>
    <t>Tocino - Chicken</t>
  </si>
  <si>
    <t>Tocino - Pork</t>
  </si>
  <si>
    <t>Joshua</t>
  </si>
  <si>
    <t>Tofu</t>
  </si>
  <si>
    <t>Kem Kang</t>
  </si>
  <si>
    <t>Togue</t>
  </si>
  <si>
    <t>Tomato</t>
  </si>
  <si>
    <t>Tomato Ketchup</t>
  </si>
  <si>
    <t>Tomato Sauce - Filipino Style</t>
  </si>
  <si>
    <t>Tomato Sauce - Original Style</t>
  </si>
  <si>
    <t>Colgate</t>
  </si>
  <si>
    <t>Close-Up - Twin pack</t>
  </si>
  <si>
    <t>Close-Up</t>
  </si>
  <si>
    <t>Tiger</t>
  </si>
  <si>
    <t>Trash Bag</t>
  </si>
  <si>
    <t>Superb</t>
  </si>
  <si>
    <t>Trash Bag White</t>
  </si>
  <si>
    <t>Trash Bag White - XL</t>
  </si>
  <si>
    <t>Tuna</t>
  </si>
  <si>
    <t>(9 slices/kl)</t>
  </si>
  <si>
    <t>Turmeric Powder</t>
  </si>
  <si>
    <t>Tuyo</t>
  </si>
  <si>
    <t>Vanilla Essence</t>
  </si>
  <si>
    <t>Mr.Brown</t>
  </si>
  <si>
    <t>NutriAsia - Datu Puti</t>
  </si>
  <si>
    <t>NutriAsia - Silver Swan</t>
  </si>
  <si>
    <t>Vista Coconut Powder</t>
  </si>
  <si>
    <t>Wafer</t>
  </si>
  <si>
    <t>Nabati - Richeese Cheese Wafer</t>
  </si>
  <si>
    <t>Mayora - Wafello Coconut Crème</t>
  </si>
  <si>
    <t>Mayora - Cal Cheese</t>
  </si>
  <si>
    <t>Nissin - Wafer Double Chocolate</t>
  </si>
  <si>
    <t>Walnuts</t>
  </si>
  <si>
    <t>Crown Food</t>
  </si>
  <si>
    <t>Water Chestnut</t>
  </si>
  <si>
    <t>Wax</t>
  </si>
  <si>
    <t>Easy Heat</t>
  </si>
  <si>
    <t>tin</t>
  </si>
  <si>
    <t>Wax Paper</t>
  </si>
  <si>
    <t>White Bread</t>
  </si>
  <si>
    <t>Gardenia</t>
  </si>
  <si>
    <t>White Jumbo Paper Bag</t>
  </si>
  <si>
    <t>Whole Kernel Corn</t>
  </si>
  <si>
    <t>Whole Mushroom</t>
  </si>
  <si>
    <t>Whole Young Corn</t>
  </si>
  <si>
    <t>Mega Prime</t>
  </si>
  <si>
    <t>Versa - pack by 25s'</t>
  </si>
  <si>
    <t>Bio Pack - pack by 25s'</t>
  </si>
  <si>
    <t>Wooden Fruitfork</t>
  </si>
  <si>
    <t>Wooden Knife</t>
  </si>
  <si>
    <t>Versa</t>
  </si>
  <si>
    <t>Wooden Stirrer</t>
  </si>
  <si>
    <t>Mr Bamboo - pack by 100's</t>
  </si>
  <si>
    <t>Worcestershire Sauce</t>
  </si>
  <si>
    <t>Lea &amp; Perrins</t>
  </si>
  <si>
    <t>Yellow Watermelon</t>
  </si>
  <si>
    <t>Yema</t>
  </si>
  <si>
    <t>item</t>
  </si>
  <si>
    <t>correction</t>
  </si>
  <si>
    <t>brand</t>
  </si>
  <si>
    <t>uom</t>
  </si>
  <si>
    <t>weight/vol</t>
  </si>
  <si>
    <t>outlet</t>
  </si>
  <si>
    <t>remarks</t>
  </si>
  <si>
    <t>quantity</t>
  </si>
  <si>
    <t>weight/volume</t>
  </si>
  <si>
    <t>corrected UOM</t>
  </si>
  <si>
    <t>CIP</t>
  </si>
  <si>
    <t>Ajinomoto</t>
  </si>
  <si>
    <t>Annex</t>
  </si>
  <si>
    <t>F1</t>
  </si>
  <si>
    <t>Jersey</t>
  </si>
  <si>
    <t>All Purpose Creama</t>
  </si>
  <si>
    <t>n/a</t>
  </si>
  <si>
    <t>555</t>
  </si>
  <si>
    <t>BBQ stick</t>
  </si>
  <si>
    <t>Bell Pepper - Red</t>
  </si>
  <si>
    <t>Nissin - Bingo Double Choco</t>
  </si>
  <si>
    <t>Black Pepper - Cracked</t>
  </si>
  <si>
    <t>Tagumpay</t>
  </si>
  <si>
    <t>Instant Coffee</t>
  </si>
  <si>
    <t>URC - Blend 45</t>
  </si>
  <si>
    <t>Rebisco - Bravo Biscuits</t>
  </si>
  <si>
    <t>Broth Cubes - Shrimp</t>
  </si>
  <si>
    <t>Harvester</t>
  </si>
  <si>
    <t>Celery</t>
  </si>
  <si>
    <t>Regent - Cheese Ring</t>
  </si>
  <si>
    <t>Chicken</t>
  </si>
  <si>
    <t>Chippy</t>
  </si>
  <si>
    <t>Nescafe stick</t>
  </si>
  <si>
    <t>Nestle  Coffee mate</t>
  </si>
  <si>
    <t>Rebisco - Combi</t>
  </si>
  <si>
    <t>UFC - Golden Fiesta</t>
  </si>
  <si>
    <t>l</t>
  </si>
  <si>
    <t>can</t>
  </si>
  <si>
    <t>Nestle - Creamy White</t>
  </si>
  <si>
    <t>Dewberry</t>
  </si>
  <si>
    <t>QPLC</t>
  </si>
  <si>
    <t>Gatorade Blue Bolt</t>
  </si>
  <si>
    <t>Fish -  Salmon Local</t>
  </si>
  <si>
    <t>seafoods</t>
  </si>
  <si>
    <t>ticman</t>
  </si>
  <si>
    <t>Food Wrap</t>
  </si>
  <si>
    <t>Glutionous Rice</t>
  </si>
  <si>
    <t>Liption</t>
  </si>
  <si>
    <t>Hansel Cracker</t>
  </si>
  <si>
    <t>rebisco</t>
  </si>
  <si>
    <t>Hansel Mocha</t>
  </si>
  <si>
    <t>Hi-Ro</t>
  </si>
  <si>
    <t>Honeybee</t>
  </si>
  <si>
    <t>Hot Cheesy</t>
  </si>
  <si>
    <t>nissin</t>
  </si>
  <si>
    <t>Hotdog TJ Jumbo</t>
  </si>
  <si>
    <t>mccormick</t>
  </si>
  <si>
    <t>Japnese Cheesecake</t>
  </si>
  <si>
    <t>Jjamppong</t>
  </si>
  <si>
    <t>lucky me</t>
  </si>
  <si>
    <t>vegetables</t>
  </si>
  <si>
    <t>Knorr Liquid Seasoning</t>
  </si>
  <si>
    <t>knorr</t>
  </si>
  <si>
    <t>bottle</t>
  </si>
  <si>
    <t>Kopiko</t>
  </si>
  <si>
    <t>Lava Cake</t>
  </si>
  <si>
    <t>fruits</t>
  </si>
  <si>
    <t>Liguine Pasta</t>
  </si>
  <si>
    <t>ideal</t>
  </si>
  <si>
    <t>sunmac</t>
  </si>
  <si>
    <t>Mackarel</t>
  </si>
  <si>
    <t>Unipack</t>
  </si>
  <si>
    <t>Magic Flakes Cheese</t>
  </si>
  <si>
    <t>magggi</t>
  </si>
  <si>
    <t>Marty's Spicy</t>
  </si>
  <si>
    <t>oishi</t>
  </si>
  <si>
    <t>Nestle - Bearbrand Swak</t>
  </si>
  <si>
    <t>Summit</t>
  </si>
  <si>
    <t>premium</t>
  </si>
  <si>
    <t>Mr. Chips</t>
  </si>
  <si>
    <t>Mr. Chips Cheese</t>
  </si>
  <si>
    <t>jack n jill</t>
  </si>
  <si>
    <t>Multi Purpose Cleaner</t>
  </si>
  <si>
    <t>QUINRIV</t>
  </si>
  <si>
    <t>Muncher</t>
  </si>
  <si>
    <t>W.L</t>
  </si>
  <si>
    <t>Napkin</t>
  </si>
  <si>
    <t>modess</t>
  </si>
  <si>
    <t>Oinion Rings</t>
  </si>
  <si>
    <t>Oishi Prawn Crackers</t>
  </si>
  <si>
    <t>Onion - White</t>
  </si>
  <si>
    <t>mama sitas</t>
  </si>
  <si>
    <t>charmee</t>
  </si>
  <si>
    <t>Paper Cups 8 oz</t>
  </si>
  <si>
    <t>Baby Peabut Spreads</t>
  </si>
  <si>
    <t>Peewee</t>
  </si>
  <si>
    <t>Petchay - Native</t>
  </si>
  <si>
    <t>Piattos</t>
  </si>
  <si>
    <t>Del Monte - Pineapple Juice</t>
  </si>
  <si>
    <t>Pod Pea</t>
  </si>
  <si>
    <t>Presto Cream</t>
  </si>
  <si>
    <t>Raisin</t>
  </si>
  <si>
    <t>Real Mayonaise</t>
  </si>
  <si>
    <t>bestfood wonder</t>
  </si>
  <si>
    <t>Rebisco Butter</t>
  </si>
  <si>
    <t>Rebisco Cracker</t>
  </si>
  <si>
    <t xml:space="preserve">Rice </t>
  </si>
  <si>
    <t>Rinbee</t>
  </si>
  <si>
    <t>Rosemary</t>
  </si>
  <si>
    <t>tagumpay</t>
  </si>
  <si>
    <t>Del Monte - Fit and Right Pineapple</t>
  </si>
  <si>
    <t>lasap</t>
  </si>
  <si>
    <t>Young's Town</t>
  </si>
  <si>
    <t>Scothbrite</t>
  </si>
  <si>
    <t>ZIM</t>
  </si>
  <si>
    <t>Seafoods</t>
  </si>
  <si>
    <t>Sinigang Mix</t>
  </si>
  <si>
    <t>Sky Flakes</t>
  </si>
  <si>
    <t>M.Y.C</t>
  </si>
  <si>
    <t>Snaku</t>
  </si>
  <si>
    <t>coca cola - Coke Mismo</t>
  </si>
  <si>
    <t>Coke - Royal</t>
  </si>
  <si>
    <t>Spicy Seafood Prawn Cracker</t>
  </si>
  <si>
    <t>vida</t>
  </si>
  <si>
    <t>Tater</t>
  </si>
  <si>
    <t xml:space="preserve">Tattos </t>
  </si>
  <si>
    <t>Tawilis</t>
  </si>
  <si>
    <t>ram</t>
  </si>
  <si>
    <t>Tomi</t>
  </si>
  <si>
    <t>colgate</t>
  </si>
  <si>
    <t>cogate</t>
  </si>
  <si>
    <t>Trashbag Black</t>
  </si>
  <si>
    <t>Yakult</t>
  </si>
  <si>
    <t>yakult</t>
  </si>
  <si>
    <t/>
  </si>
  <si>
    <t>Malvar</t>
  </si>
  <si>
    <t>MCQ</t>
  </si>
  <si>
    <t>SSS</t>
  </si>
  <si>
    <t>WYETH</t>
  </si>
  <si>
    <t>CF</t>
  </si>
  <si>
    <t>LF</t>
  </si>
  <si>
    <t>TF</t>
  </si>
  <si>
    <t>PMI</t>
  </si>
  <si>
    <t>cleaned</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</si>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</sst>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_-* #,##0.00_-;\-* #,##0.00_-;_-* &quot;-&quot;??_-;_-@"/>
    <numFmt numFmtId="167" formatCode="0_);\(0\)"/>
    <numFmt numFmtId="168" formatCode="_(* #,##0.00_);_(* \(#,##0.00\);_(* &quot;-&quot;??.00_);_(@_)"/>
    <numFmt numFmtId="169" formatCode="_-* #,##0.00_-;\-* #,##0.00_-;_-* &quot;-&quot;??.00_-;_-@"/>
    <numFmt numFmtId="170" formatCode="0.0"/>
    <numFmt numFmtId="171" formatCode="_-* #,##0.00_-;\-* #,##0.00_-;_-* &quot;-&quot;??.0_-;_-@"/>
  </numFmts>
  <fonts count="36" x14ac:knownFonts="1">
    <font>
      <sz val="11"/>
      <color theme="1"/>
      <name val="Calibri"/>
      <scheme val="minor"/>
    </font>
    <font>
      <b/>
      <i/>
      <sz val="14"/>
      <color theme="1"/>
      <name val="Arial Narrow"/>
      <family val="2"/>
    </font>
    <font>
      <sz val="11"/>
      <color theme="1"/>
      <name val="Arial Narrow"/>
      <family val="2"/>
    </font>
    <font>
      <sz val="11"/>
      <color rgb="FFFF0000"/>
      <name val="Arial Narrow"/>
      <family val="2"/>
    </font>
    <font>
      <sz val="11"/>
      <color theme="1"/>
      <name val="Calibri"/>
      <family val="2"/>
    </font>
    <font>
      <b/>
      <sz val="18"/>
      <color rgb="FFFF0000"/>
      <name val="Arial Narrow"/>
      <family val="2"/>
    </font>
    <font>
      <b/>
      <sz val="18"/>
      <color theme="1"/>
      <name val="Arial Narrow"/>
      <family val="2"/>
    </font>
    <font>
      <b/>
      <sz val="11"/>
      <color theme="1"/>
      <name val="Arial Narrow"/>
      <family val="2"/>
    </font>
    <font>
      <sz val="10"/>
      <color rgb="FFFF0000"/>
      <name val="Arial Narrow"/>
      <family val="2"/>
    </font>
    <font>
      <sz val="11"/>
      <color rgb="FFD0CECE"/>
      <name val="Calibri"/>
      <family val="2"/>
    </font>
    <font>
      <b/>
      <sz val="11"/>
      <color rgb="FFFF0000"/>
      <name val="Arial Narrow"/>
      <family val="2"/>
    </font>
    <font>
      <b/>
      <sz val="12"/>
      <color rgb="FFFF0000"/>
      <name val="Calibri"/>
      <family val="2"/>
    </font>
    <font>
      <b/>
      <sz val="11"/>
      <color rgb="FFFF0000"/>
      <name val="Calibri"/>
      <family val="2"/>
    </font>
    <font>
      <sz val="12"/>
      <color theme="1"/>
      <name val="Calibri"/>
      <family val="2"/>
    </font>
    <font>
      <sz val="12"/>
      <color rgb="FF000000"/>
      <name val="Calibri"/>
      <family val="2"/>
    </font>
    <font>
      <sz val="12"/>
      <color rgb="FF000000"/>
      <name val="Arial Narrow"/>
      <family val="2"/>
    </font>
    <font>
      <sz val="11"/>
      <color theme="1"/>
      <name val="Arial"/>
      <family val="2"/>
    </font>
    <font>
      <b/>
      <sz val="12"/>
      <color rgb="FF000000"/>
      <name val="Calibri"/>
      <family val="2"/>
    </font>
    <font>
      <b/>
      <sz val="11"/>
      <color theme="1"/>
      <name val="Calibri"/>
      <family val="2"/>
    </font>
    <font>
      <sz val="11"/>
      <color rgb="FF000000"/>
      <name val="Arial Narrow"/>
      <family val="2"/>
    </font>
    <font>
      <sz val="12"/>
      <color theme="1"/>
      <name val="Arial Narrow"/>
      <family val="2"/>
    </font>
    <font>
      <b/>
      <sz val="10"/>
      <color theme="1"/>
      <name val="Arial Narrow"/>
      <family val="2"/>
    </font>
    <font>
      <sz val="10"/>
      <color theme="1"/>
      <name val="Arial Narrow"/>
      <family val="2"/>
    </font>
    <font>
      <b/>
      <sz val="10"/>
      <color theme="1"/>
      <name val="Calibri"/>
      <family val="2"/>
    </font>
    <font>
      <sz val="10"/>
      <color theme="1"/>
      <name val="Calibri"/>
      <family val="2"/>
    </font>
    <font>
      <sz val="11"/>
      <color rgb="FF000000"/>
      <name val="Calibri"/>
      <family val="2"/>
    </font>
    <font>
      <b/>
      <i/>
      <sz val="12"/>
      <color theme="1"/>
      <name val="Arial Narrow"/>
      <family val="2"/>
    </font>
    <font>
      <b/>
      <sz val="12"/>
      <color rgb="FFFF0000"/>
      <name val="Arial Narrow"/>
      <family val="2"/>
    </font>
    <font>
      <b/>
      <sz val="12"/>
      <color theme="1"/>
      <name val="Arial Narrow"/>
      <family val="2"/>
    </font>
    <font>
      <sz val="12"/>
      <color rgb="FFFF0000"/>
      <name val="Arial Narrow"/>
      <family val="2"/>
    </font>
    <font>
      <sz val="12"/>
      <color rgb="FFFF0000"/>
      <name val="Calibri"/>
      <family val="2"/>
    </font>
    <font>
      <b/>
      <sz val="12"/>
      <color theme="1"/>
      <name val="Calibri"/>
      <family val="2"/>
    </font>
    <font>
      <sz val="12"/>
      <color theme="1"/>
      <name val="Arial"/>
      <family val="2"/>
    </font>
    <font>
      <sz val="12"/>
      <color rgb="FFC00000"/>
      <name val="Calibri"/>
      <family val="2"/>
    </font>
    <font>
      <sz val="11"/>
      <color theme="1"/>
      <name val="Calibri"/>
      <family val="2"/>
      <scheme val="minor"/>
    </font>
    <font>
      <b/>
      <vertAlign val="subscript"/>
      <sz val="10"/>
      <color rgb="FF000000"/>
      <name val="Calibri"/>
      <family val="2"/>
    </font>
  </fonts>
  <fills count="8">
    <fill>
      <patternFill patternType="none"/>
    </fill>
    <fill>
      <patternFill patternType="gray125"/>
    </fill>
    <fill>
      <patternFill patternType="solid">
        <fgColor rgb="FFFFFF00"/>
        <bgColor rgb="FFFFFF00"/>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520">
    <xf numFmtId="0" fontId="0" fillId="0" borderId="0" xfId="0"/>
    <xf numFmtId="0" fontId="1"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164" fontId="2" fillId="0" borderId="0" xfId="0" applyNumberFormat="1" applyFont="1" applyAlignment="1">
      <alignment horizontal="left"/>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applyAlignment="1">
      <alignment horizontal="left"/>
    </xf>
    <xf numFmtId="0" fontId="2" fillId="0" borderId="0" xfId="0" applyFont="1"/>
    <xf numFmtId="164" fontId="2" fillId="0" borderId="0" xfId="0" applyNumberFormat="1" applyFont="1"/>
    <xf numFmtId="165" fontId="5" fillId="0" borderId="0" xfId="0" applyNumberFormat="1" applyFont="1" applyAlignment="1">
      <alignment horizontal="center"/>
    </xf>
    <xf numFmtId="164" fontId="6" fillId="0" borderId="0" xfId="0" applyNumberFormat="1" applyFont="1" applyAlignment="1">
      <alignment horizontal="left"/>
    </xf>
    <xf numFmtId="0" fontId="4" fillId="0" borderId="0" xfId="0" applyFont="1"/>
    <xf numFmtId="0" fontId="7" fillId="0" borderId="0" xfId="0" applyFont="1"/>
    <xf numFmtId="164" fontId="7" fillId="0" borderId="0" xfId="0" applyNumberFormat="1" applyFont="1"/>
    <xf numFmtId="0" fontId="8" fillId="0" borderId="1" xfId="0" applyFont="1" applyBorder="1" applyAlignment="1">
      <alignment vertical="center" wrapText="1"/>
    </xf>
    <xf numFmtId="0" fontId="3" fillId="0" borderId="1" xfId="0" applyFont="1" applyBorder="1" applyAlignment="1">
      <alignment vertical="center" wrapText="1"/>
    </xf>
    <xf numFmtId="164" fontId="3" fillId="0" borderId="1" xfId="0" applyNumberFormat="1"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2" fillId="0" borderId="1" xfId="0" applyFont="1" applyBorder="1" applyAlignment="1">
      <alignment vertical="center" wrapText="1"/>
    </xf>
    <xf numFmtId="165" fontId="2" fillId="0" borderId="1" xfId="0" applyNumberFormat="1" applyFont="1" applyBorder="1" applyAlignment="1">
      <alignment vertical="center" wrapText="1"/>
    </xf>
    <xf numFmtId="164" fontId="2" fillId="0" borderId="1" xfId="0" applyNumberFormat="1" applyFont="1" applyBorder="1" applyAlignment="1">
      <alignment vertical="center" wrapText="1"/>
    </xf>
    <xf numFmtId="164" fontId="7" fillId="0" borderId="1" xfId="0" applyNumberFormat="1" applyFont="1" applyBorder="1" applyAlignment="1">
      <alignment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horizontal="center" vertical="center" wrapText="1"/>
    </xf>
    <xf numFmtId="0" fontId="4" fillId="0" borderId="0" xfId="0" applyFont="1" applyAlignment="1">
      <alignment horizontal="center" vertical="center"/>
    </xf>
    <xf numFmtId="0" fontId="10" fillId="2" borderId="1" xfId="0" applyFont="1" applyFill="1" applyBorder="1" applyAlignment="1">
      <alignment horizontal="center"/>
    </xf>
    <xf numFmtId="0" fontId="11" fillId="2" borderId="1" xfId="0" applyFont="1" applyFill="1" applyBorder="1"/>
    <xf numFmtId="0" fontId="11" fillId="2" borderId="1" xfId="0" applyFont="1" applyFill="1" applyBorder="1" applyAlignment="1">
      <alignment horizontal="left"/>
    </xf>
    <xf numFmtId="166" fontId="11" fillId="2" borderId="1" xfId="0" applyNumberFormat="1" applyFont="1" applyFill="1" applyBorder="1"/>
    <xf numFmtId="0" fontId="11" fillId="2" borderId="1" xfId="0" applyFont="1" applyFill="1" applyBorder="1" applyAlignment="1">
      <alignment horizontal="center"/>
    </xf>
    <xf numFmtId="0" fontId="11" fillId="2" borderId="5" xfId="0" applyFont="1" applyFill="1" applyBorder="1" applyAlignment="1">
      <alignment horizontal="center"/>
    </xf>
    <xf numFmtId="0" fontId="11" fillId="2" borderId="6" xfId="0" applyFont="1" applyFill="1" applyBorder="1" applyAlignment="1">
      <alignment horizontal="center"/>
    </xf>
    <xf numFmtId="0" fontId="10" fillId="2" borderId="1" xfId="0" applyFont="1" applyFill="1" applyBorder="1" applyAlignment="1">
      <alignment horizontal="center" vertical="center" wrapText="1"/>
    </xf>
    <xf numFmtId="165" fontId="10" fillId="2" borderId="1" xfId="0" applyNumberFormat="1"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164" fontId="12" fillId="2" borderId="6" xfId="0" applyNumberFormat="1" applyFont="1" applyFill="1" applyBorder="1" applyAlignment="1">
      <alignment horizontal="center" vertical="center"/>
    </xf>
    <xf numFmtId="164" fontId="4" fillId="0" borderId="0" xfId="0" applyNumberFormat="1" applyFont="1" applyAlignment="1">
      <alignment horizontal="center" vertical="center"/>
    </xf>
    <xf numFmtId="0" fontId="2" fillId="0" borderId="1" xfId="0" applyFont="1" applyBorder="1" applyAlignment="1">
      <alignment horizontal="center"/>
    </xf>
    <xf numFmtId="0" fontId="13" fillId="0" borderId="1" xfId="0" applyFont="1" applyBorder="1"/>
    <xf numFmtId="0" fontId="13" fillId="0" borderId="7" xfId="0" applyFont="1" applyBorder="1"/>
    <xf numFmtId="0" fontId="13" fillId="0" borderId="1" xfId="0" applyFont="1" applyBorder="1" applyAlignment="1">
      <alignment horizontal="left"/>
    </xf>
    <xf numFmtId="166" fontId="14" fillId="0" borderId="1" xfId="0" applyNumberFormat="1" applyFont="1" applyBorder="1"/>
    <xf numFmtId="0" fontId="14" fillId="0" borderId="1" xfId="0" applyFont="1" applyBorder="1" applyAlignment="1">
      <alignment horizontal="center"/>
    </xf>
    <xf numFmtId="0" fontId="14" fillId="0" borderId="7" xfId="0" applyFont="1" applyBorder="1" applyAlignment="1">
      <alignment horizontal="center"/>
    </xf>
    <xf numFmtId="0" fontId="14" fillId="0" borderId="0" xfId="0" applyFont="1" applyAlignment="1">
      <alignment horizontal="center"/>
    </xf>
    <xf numFmtId="0" fontId="7" fillId="0" borderId="1" xfId="0" applyFont="1" applyBorder="1" applyAlignment="1">
      <alignment horizontal="center" vertical="center" wrapText="1"/>
    </xf>
    <xf numFmtId="165" fontId="7" fillId="2" borderId="1" xfId="0" applyNumberFormat="1"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14" fillId="0" borderId="1" xfId="0" applyFont="1" applyBorder="1"/>
    <xf numFmtId="0" fontId="15" fillId="0" borderId="8" xfId="0" applyFont="1" applyBorder="1"/>
    <xf numFmtId="0" fontId="14" fillId="0" borderId="1" xfId="0" applyFont="1" applyBorder="1" applyAlignment="1">
      <alignment horizontal="left"/>
    </xf>
    <xf numFmtId="166" fontId="13" fillId="0" borderId="1" xfId="0" applyNumberFormat="1" applyFont="1" applyBorder="1"/>
    <xf numFmtId="0" fontId="13" fillId="0" borderId="1" xfId="0" applyFont="1" applyBorder="1" applyAlignment="1">
      <alignment horizontal="center"/>
    </xf>
    <xf numFmtId="164" fontId="4" fillId="0" borderId="0" xfId="0" applyNumberFormat="1" applyFont="1"/>
    <xf numFmtId="0" fontId="15" fillId="0" borderId="1" xfId="0" applyFont="1" applyBorder="1"/>
    <xf numFmtId="166" fontId="13" fillId="0" borderId="2" xfId="0" applyNumberFormat="1" applyFont="1" applyBorder="1"/>
    <xf numFmtId="0" fontId="13" fillId="0" borderId="2" xfId="0" applyFont="1" applyBorder="1" applyAlignment="1">
      <alignment horizontal="center"/>
    </xf>
    <xf numFmtId="164" fontId="16" fillId="0" borderId="0" xfId="0" applyNumberFormat="1" applyFont="1"/>
    <xf numFmtId="0" fontId="16" fillId="0" borderId="0" xfId="0" applyFont="1"/>
    <xf numFmtId="0" fontId="13" fillId="0" borderId="2" xfId="0" applyFont="1" applyBorder="1"/>
    <xf numFmtId="0" fontId="14" fillId="0" borderId="8" xfId="0" applyFont="1" applyBorder="1"/>
    <xf numFmtId="166" fontId="14" fillId="0" borderId="0" xfId="0" applyNumberFormat="1" applyFont="1"/>
    <xf numFmtId="0" fontId="14" fillId="0" borderId="8" xfId="0" applyFont="1" applyBorder="1" applyAlignment="1">
      <alignment horizontal="center"/>
    </xf>
    <xf numFmtId="166" fontId="13" fillId="0" borderId="0" xfId="0" applyNumberFormat="1" applyFont="1"/>
    <xf numFmtId="0" fontId="14" fillId="0" borderId="2" xfId="0" applyFont="1" applyBorder="1" applyAlignment="1">
      <alignment horizontal="left"/>
    </xf>
    <xf numFmtId="166" fontId="14" fillId="0" borderId="2" xfId="0" applyNumberFormat="1" applyFont="1" applyBorder="1"/>
    <xf numFmtId="0" fontId="14" fillId="0" borderId="9" xfId="0" applyFont="1" applyBorder="1" applyAlignment="1">
      <alignment horizontal="center"/>
    </xf>
    <xf numFmtId="0" fontId="14" fillId="0" borderId="10" xfId="0" applyFont="1" applyBorder="1" applyAlignment="1">
      <alignment horizontal="center"/>
    </xf>
    <xf numFmtId="0" fontId="13" fillId="0" borderId="2" xfId="0" applyFont="1" applyBorder="1" applyAlignment="1">
      <alignment horizontal="left"/>
    </xf>
    <xf numFmtId="0" fontId="14" fillId="0" borderId="8" xfId="0" applyFont="1" applyBorder="1" applyAlignment="1">
      <alignment horizontal="left"/>
    </xf>
    <xf numFmtId="166" fontId="14" fillId="0" borderId="8" xfId="0" applyNumberFormat="1" applyFont="1" applyBorder="1"/>
    <xf numFmtId="0" fontId="13" fillId="0" borderId="8" xfId="0" applyFont="1" applyBorder="1" applyAlignment="1">
      <alignment horizontal="left"/>
    </xf>
    <xf numFmtId="166" fontId="13" fillId="0" borderId="8" xfId="0" applyNumberFormat="1" applyFont="1" applyBorder="1"/>
    <xf numFmtId="0" fontId="15" fillId="0" borderId="9" xfId="0" applyFont="1" applyBorder="1"/>
    <xf numFmtId="0" fontId="14" fillId="0" borderId="9" xfId="0" applyFont="1" applyBorder="1"/>
    <xf numFmtId="0" fontId="14" fillId="0" borderId="9" xfId="0" applyFont="1" applyBorder="1" applyAlignment="1">
      <alignment horizontal="left"/>
    </xf>
    <xf numFmtId="166" fontId="14" fillId="0" borderId="9" xfId="0" applyNumberFormat="1" applyFont="1" applyBorder="1"/>
    <xf numFmtId="0" fontId="14" fillId="0" borderId="4" xfId="0" applyFont="1" applyBorder="1"/>
    <xf numFmtId="0" fontId="14" fillId="0" borderId="4" xfId="0" applyFont="1" applyBorder="1" applyAlignment="1">
      <alignment horizontal="left"/>
    </xf>
    <xf numFmtId="0" fontId="14" fillId="4" borderId="1" xfId="0" applyFont="1" applyFill="1" applyBorder="1"/>
    <xf numFmtId="0" fontId="15" fillId="0" borderId="11" xfId="0" applyFont="1" applyBorder="1"/>
    <xf numFmtId="0" fontId="14" fillId="0" borderId="0" xfId="0" applyFont="1" applyAlignment="1">
      <alignment horizontal="left"/>
    </xf>
    <xf numFmtId="0" fontId="17" fillId="0" borderId="0" xfId="0" applyFont="1" applyAlignment="1">
      <alignment horizontal="center"/>
    </xf>
    <xf numFmtId="164" fontId="18" fillId="0" borderId="0" xfId="0" applyNumberFormat="1" applyFont="1" applyAlignment="1">
      <alignment horizontal="center" vertical="center"/>
    </xf>
    <xf numFmtId="164" fontId="18" fillId="0" borderId="0" xfId="0" applyNumberFormat="1" applyFont="1"/>
    <xf numFmtId="0" fontId="18" fillId="0" borderId="0" xfId="0" applyFont="1"/>
    <xf numFmtId="0" fontId="18" fillId="0" borderId="0" xfId="0" applyFont="1" applyAlignment="1">
      <alignment horizontal="center" vertical="center"/>
    </xf>
    <xf numFmtId="0" fontId="13" fillId="0" borderId="8" xfId="0" applyFont="1" applyBorder="1"/>
    <xf numFmtId="0" fontId="14" fillId="4" borderId="12" xfId="0" applyFont="1" applyFill="1" applyBorder="1"/>
    <xf numFmtId="0" fontId="15" fillId="0" borderId="7" xfId="0" applyFont="1" applyBorder="1"/>
    <xf numFmtId="0" fontId="19" fillId="0" borderId="7" xfId="0" applyFont="1" applyBorder="1" applyAlignment="1">
      <alignment horizontal="center" vertical="center"/>
    </xf>
    <xf numFmtId="0" fontId="13" fillId="0" borderId="8" xfId="0" applyFont="1" applyBorder="1" applyAlignment="1">
      <alignment horizontal="center"/>
    </xf>
    <xf numFmtId="166" fontId="14" fillId="0" borderId="7" xfId="0" applyNumberFormat="1" applyFont="1" applyBorder="1"/>
    <xf numFmtId="167" fontId="14" fillId="0" borderId="8" xfId="0" applyNumberFormat="1" applyFont="1" applyBorder="1" applyAlignment="1">
      <alignment horizontal="center"/>
    </xf>
    <xf numFmtId="166" fontId="14" fillId="0" borderId="1" xfId="0" applyNumberFormat="1" applyFont="1" applyBorder="1" applyAlignment="1">
      <alignment horizontal="center"/>
    </xf>
    <xf numFmtId="0" fontId="19" fillId="0" borderId="8" xfId="0" applyFont="1" applyBorder="1" applyAlignment="1">
      <alignment horizontal="center" vertical="center"/>
    </xf>
    <xf numFmtId="0" fontId="14" fillId="0" borderId="11" xfId="0" applyFont="1" applyBorder="1" applyAlignment="1">
      <alignment horizontal="center"/>
    </xf>
    <xf numFmtId="0" fontId="14" fillId="5" borderId="1" xfId="0" applyFont="1" applyFill="1" applyBorder="1"/>
    <xf numFmtId="166" fontId="14" fillId="0" borderId="13" xfId="0" applyNumberFormat="1" applyFont="1" applyBorder="1"/>
    <xf numFmtId="0" fontId="15" fillId="4" borderId="1" xfId="0" applyFont="1" applyFill="1" applyBorder="1"/>
    <xf numFmtId="0" fontId="14" fillId="5" borderId="12" xfId="0" applyFont="1" applyFill="1" applyBorder="1"/>
    <xf numFmtId="0" fontId="2" fillId="0" borderId="0" xfId="0" applyFont="1" applyAlignment="1">
      <alignment horizontal="center" vertical="center"/>
    </xf>
    <xf numFmtId="0" fontId="14" fillId="4" borderId="14" xfId="0" applyFont="1" applyFill="1" applyBorder="1"/>
    <xf numFmtId="2" fontId="14" fillId="0" borderId="8" xfId="0" applyNumberFormat="1" applyFont="1" applyBorder="1"/>
    <xf numFmtId="0" fontId="14" fillId="0" borderId="7" xfId="0" applyFont="1" applyBorder="1"/>
    <xf numFmtId="0" fontId="14" fillId="0" borderId="7" xfId="0" applyFont="1" applyBorder="1" applyAlignment="1">
      <alignment horizontal="left"/>
    </xf>
    <xf numFmtId="167" fontId="14" fillId="0" borderId="1" xfId="0" applyNumberFormat="1" applyFont="1" applyBorder="1" applyAlignment="1">
      <alignment horizontal="center"/>
    </xf>
    <xf numFmtId="37" fontId="14" fillId="0" borderId="1" xfId="0" applyNumberFormat="1" applyFont="1" applyBorder="1" applyAlignment="1">
      <alignment horizontal="center"/>
    </xf>
    <xf numFmtId="0" fontId="20" fillId="0" borderId="1" xfId="0" applyFont="1" applyBorder="1"/>
    <xf numFmtId="0" fontId="21" fillId="0" borderId="1" xfId="0" applyFont="1" applyBorder="1" applyAlignment="1">
      <alignment horizontal="center"/>
    </xf>
    <xf numFmtId="0" fontId="2" fillId="0" borderId="1" xfId="0" applyFont="1" applyBorder="1"/>
    <xf numFmtId="0" fontId="22" fillId="0" borderId="1" xfId="0" applyFont="1" applyBorder="1" applyAlignment="1">
      <alignment horizontal="center"/>
    </xf>
    <xf numFmtId="0" fontId="22" fillId="0" borderId="1" xfId="0" applyFont="1" applyBorder="1"/>
    <xf numFmtId="164" fontId="22" fillId="0" borderId="1" xfId="0" applyNumberFormat="1" applyFont="1" applyBorder="1"/>
    <xf numFmtId="0" fontId="8" fillId="0" borderId="1" xfId="0" applyFont="1" applyBorder="1" applyAlignment="1">
      <alignment horizontal="center"/>
    </xf>
    <xf numFmtId="165" fontId="3" fillId="0" borderId="1" xfId="0" applyNumberFormat="1" applyFont="1" applyBorder="1" applyAlignment="1">
      <alignment horizontal="center"/>
    </xf>
    <xf numFmtId="164" fontId="2" fillId="0" borderId="1" xfId="0" applyNumberFormat="1" applyFont="1" applyBorder="1"/>
    <xf numFmtId="164" fontId="7" fillId="3" borderId="15" xfId="0" applyNumberFormat="1" applyFont="1" applyFill="1" applyBorder="1" applyAlignment="1">
      <alignment horizontal="center" vertical="center" wrapText="1"/>
    </xf>
    <xf numFmtId="0" fontId="23" fillId="0" borderId="0" xfId="0" applyFont="1" applyAlignment="1">
      <alignment horizontal="right"/>
    </xf>
    <xf numFmtId="0" fontId="21" fillId="0" borderId="0" xfId="0" applyFont="1" applyAlignment="1">
      <alignment horizontal="center"/>
    </xf>
    <xf numFmtId="0" fontId="24" fillId="0" borderId="0" xfId="0" applyFont="1" applyAlignment="1">
      <alignment vertical="top" wrapText="1"/>
    </xf>
    <xf numFmtId="0" fontId="24" fillId="0" borderId="0" xfId="0" applyFont="1"/>
    <xf numFmtId="0" fontId="22" fillId="0" borderId="0" xfId="0" applyFont="1"/>
    <xf numFmtId="0" fontId="24" fillId="0" borderId="0" xfId="0" applyFont="1" applyAlignment="1">
      <alignment horizontal="center"/>
    </xf>
    <xf numFmtId="164" fontId="24" fillId="0" borderId="0" xfId="0" applyNumberFormat="1" applyFont="1"/>
    <xf numFmtId="165" fontId="24" fillId="0" borderId="0" xfId="0" applyNumberFormat="1" applyFont="1" applyAlignment="1">
      <alignment horizontal="center"/>
    </xf>
    <xf numFmtId="0" fontId="23" fillId="0" borderId="0" xfId="0" applyFont="1" applyAlignment="1">
      <alignment horizontal="center"/>
    </xf>
    <xf numFmtId="0" fontId="24" fillId="0" borderId="0" xfId="0" applyFont="1" applyAlignment="1">
      <alignment wrapText="1"/>
    </xf>
    <xf numFmtId="164" fontId="24" fillId="0" borderId="0" xfId="0" applyNumberFormat="1" applyFont="1" applyAlignment="1">
      <alignment horizontal="left" wrapText="1"/>
    </xf>
    <xf numFmtId="0" fontId="24" fillId="0" borderId="0" xfId="0" applyFont="1" applyAlignment="1">
      <alignment horizontal="center" wrapText="1"/>
    </xf>
    <xf numFmtId="165" fontId="24" fillId="0" borderId="0" xfId="0" applyNumberFormat="1" applyFont="1" applyAlignment="1">
      <alignment horizontal="center" wrapText="1"/>
    </xf>
    <xf numFmtId="164" fontId="24" fillId="0" borderId="0" xfId="0" applyNumberFormat="1" applyFont="1" applyAlignment="1">
      <alignment wrapText="1"/>
    </xf>
    <xf numFmtId="0" fontId="4" fillId="0" borderId="0" xfId="0" applyFont="1" applyAlignment="1">
      <alignment horizontal="center" vertical="top" wrapText="1"/>
    </xf>
    <xf numFmtId="0" fontId="4" fillId="0" borderId="0" xfId="0" applyFont="1" applyAlignment="1">
      <alignment vertical="top" wrapText="1"/>
    </xf>
    <xf numFmtId="164" fontId="4" fillId="0" borderId="0" xfId="0" applyNumberFormat="1" applyFont="1" applyAlignment="1">
      <alignment vertical="top" wrapText="1"/>
    </xf>
    <xf numFmtId="165" fontId="4" fillId="0" borderId="0" xfId="0" applyNumberFormat="1" applyFont="1" applyAlignment="1">
      <alignment horizontal="center"/>
    </xf>
    <xf numFmtId="0" fontId="4" fillId="0" borderId="0" xfId="0" applyFont="1" applyAlignment="1">
      <alignment vertical="center" wrapText="1"/>
    </xf>
    <xf numFmtId="164" fontId="4"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165" fontId="4" fillId="0" borderId="0" xfId="0" applyNumberFormat="1" applyFont="1" applyAlignment="1">
      <alignment horizontal="center" vertical="center" wrapText="1"/>
    </xf>
    <xf numFmtId="0" fontId="4" fillId="0" borderId="0" xfId="0" applyFont="1" applyAlignment="1">
      <alignment horizontal="center"/>
    </xf>
    <xf numFmtId="0" fontId="18" fillId="0" borderId="13" xfId="0" applyFont="1" applyBorder="1"/>
    <xf numFmtId="0" fontId="18" fillId="0" borderId="0" xfId="0" applyFont="1" applyAlignment="1">
      <alignment horizontal="center"/>
    </xf>
    <xf numFmtId="0" fontId="4" fillId="0" borderId="16" xfId="0" applyFont="1" applyBorder="1"/>
    <xf numFmtId="0" fontId="25" fillId="0" borderId="0" xfId="0" applyFont="1" applyAlignment="1">
      <alignment horizontal="right"/>
    </xf>
    <xf numFmtId="0" fontId="25" fillId="0" borderId="0" xfId="0" applyFont="1"/>
    <xf numFmtId="166" fontId="25" fillId="0" borderId="0" xfId="0" applyNumberFormat="1" applyFont="1" applyAlignment="1">
      <alignment horizontal="right"/>
    </xf>
    <xf numFmtId="164" fontId="25" fillId="0" borderId="0" xfId="0" applyNumberFormat="1" applyFont="1" applyAlignment="1">
      <alignment horizontal="right"/>
    </xf>
    <xf numFmtId="167" fontId="25" fillId="0" borderId="0" xfId="0" applyNumberFormat="1" applyFont="1" applyAlignment="1">
      <alignment horizontal="right"/>
    </xf>
    <xf numFmtId="166" fontId="25" fillId="0" borderId="0" xfId="0" applyNumberFormat="1" applyFont="1"/>
    <xf numFmtId="2" fontId="25" fillId="0" borderId="0" xfId="0" applyNumberFormat="1" applyFont="1" applyAlignment="1">
      <alignment horizontal="right"/>
    </xf>
    <xf numFmtId="37" fontId="25" fillId="0" borderId="0" xfId="0" applyNumberFormat="1" applyFont="1" applyAlignment="1">
      <alignment horizontal="right"/>
    </xf>
    <xf numFmtId="0" fontId="26" fillId="0" borderId="0" xfId="0" applyFont="1"/>
    <xf numFmtId="165" fontId="4" fillId="0" borderId="0" xfId="0" applyNumberFormat="1" applyFont="1"/>
    <xf numFmtId="165" fontId="27" fillId="0" borderId="0" xfId="0" applyNumberFormat="1" applyFont="1" applyAlignment="1">
      <alignment horizontal="center"/>
    </xf>
    <xf numFmtId="0" fontId="28" fillId="0" borderId="0" xfId="0" applyFont="1"/>
    <xf numFmtId="0" fontId="13" fillId="0" borderId="0" xfId="0" applyFont="1"/>
    <xf numFmtId="0" fontId="20" fillId="0" borderId="0" xfId="0" applyFont="1"/>
    <xf numFmtId="0" fontId="29" fillId="0" borderId="1" xfId="0" applyFont="1" applyBorder="1" applyAlignment="1">
      <alignment wrapText="1"/>
    </xf>
    <xf numFmtId="0" fontId="4" fillId="0" borderId="1" xfId="0" applyFont="1" applyBorder="1"/>
    <xf numFmtId="164" fontId="29" fillId="0" borderId="1" xfId="0" applyNumberFormat="1" applyFont="1" applyBorder="1" applyAlignment="1">
      <alignment wrapText="1"/>
    </xf>
    <xf numFmtId="0" fontId="29" fillId="0" borderId="2" xfId="0" applyFont="1" applyBorder="1" applyAlignment="1">
      <alignment wrapText="1"/>
    </xf>
    <xf numFmtId="0" fontId="4" fillId="0" borderId="2" xfId="0" applyFont="1" applyBorder="1"/>
    <xf numFmtId="0" fontId="20" fillId="0" borderId="1" xfId="0" applyFont="1" applyBorder="1" applyAlignment="1">
      <alignment wrapText="1"/>
    </xf>
    <xf numFmtId="165" fontId="20" fillId="0" borderId="1" xfId="0" applyNumberFormat="1" applyFont="1" applyBorder="1" applyAlignment="1">
      <alignment wrapText="1"/>
    </xf>
    <xf numFmtId="164" fontId="20" fillId="0" borderId="1" xfId="0" applyNumberFormat="1" applyFont="1" applyBorder="1"/>
    <xf numFmtId="164" fontId="28" fillId="0" borderId="1" xfId="0" applyNumberFormat="1" applyFont="1" applyBorder="1" applyAlignment="1">
      <alignment wrapText="1"/>
    </xf>
    <xf numFmtId="0" fontId="30" fillId="0" borderId="1" xfId="0" applyFont="1" applyBorder="1" applyAlignment="1">
      <alignment wrapText="1"/>
    </xf>
    <xf numFmtId="164" fontId="4" fillId="0" borderId="1" xfId="0" applyNumberFormat="1" applyFont="1" applyBorder="1"/>
    <xf numFmtId="0" fontId="4" fillId="0" borderId="3" xfId="0" applyFont="1" applyBorder="1"/>
    <xf numFmtId="165" fontId="4" fillId="0" borderId="1" xfId="0" applyNumberFormat="1" applyFont="1" applyBorder="1"/>
    <xf numFmtId="164" fontId="28" fillId="0" borderId="1" xfId="0" applyNumberFormat="1" applyFont="1" applyBorder="1" applyAlignment="1">
      <alignment horizontal="right" wrapText="1"/>
    </xf>
    <xf numFmtId="0" fontId="31" fillId="0" borderId="1" xfId="0" applyFont="1" applyBorder="1" applyAlignment="1">
      <alignment horizontal="center"/>
    </xf>
    <xf numFmtId="0" fontId="27" fillId="0" borderId="1" xfId="0" applyFont="1" applyBorder="1" applyAlignment="1">
      <alignment wrapText="1"/>
    </xf>
    <xf numFmtId="0" fontId="11" fillId="0" borderId="1" xfId="0" applyFont="1" applyBorder="1" applyAlignment="1">
      <alignment wrapText="1"/>
    </xf>
    <xf numFmtId="0" fontId="27" fillId="0" borderId="1" xfId="0" applyFont="1" applyBorder="1" applyAlignment="1">
      <alignment horizontal="center"/>
    </xf>
    <xf numFmtId="164" fontId="27" fillId="0" borderId="1" xfId="0" applyNumberFormat="1" applyFont="1" applyBorder="1" applyAlignment="1">
      <alignment wrapText="1"/>
    </xf>
    <xf numFmtId="0" fontId="27" fillId="0" borderId="4" xfId="0" applyFont="1" applyBorder="1" applyAlignment="1">
      <alignment wrapText="1"/>
    </xf>
    <xf numFmtId="0" fontId="27" fillId="0" borderId="3" xfId="0" applyFont="1" applyBorder="1" applyAlignment="1">
      <alignment wrapText="1"/>
    </xf>
    <xf numFmtId="0" fontId="27" fillId="0" borderId="2" xfId="0" applyFont="1" applyBorder="1" applyAlignment="1">
      <alignment wrapText="1"/>
    </xf>
    <xf numFmtId="0" fontId="4" fillId="0" borderId="4" xfId="0" applyFont="1" applyBorder="1"/>
    <xf numFmtId="0" fontId="28" fillId="0" borderId="1" xfId="0" applyFont="1" applyBorder="1" applyAlignment="1">
      <alignment horizontal="center" wrapText="1"/>
    </xf>
    <xf numFmtId="0" fontId="31" fillId="0" borderId="0" xfId="0" applyFont="1" applyAlignment="1">
      <alignment horizontal="center"/>
    </xf>
    <xf numFmtId="0" fontId="31" fillId="0" borderId="1" xfId="0" applyFont="1" applyBorder="1"/>
    <xf numFmtId="166" fontId="13" fillId="0" borderId="1" xfId="0" applyNumberFormat="1" applyFont="1" applyBorder="1" applyAlignment="1">
      <alignment horizontal="right"/>
    </xf>
    <xf numFmtId="167" fontId="13" fillId="0" borderId="1" xfId="0" applyNumberFormat="1" applyFont="1" applyBorder="1" applyAlignment="1">
      <alignment horizontal="center"/>
    </xf>
    <xf numFmtId="166" fontId="13" fillId="0" borderId="1" xfId="0" applyNumberFormat="1" applyFont="1" applyBorder="1" applyAlignment="1">
      <alignment horizontal="center"/>
    </xf>
    <xf numFmtId="168" fontId="28" fillId="2" borderId="1" xfId="0" applyNumberFormat="1" applyFont="1" applyFill="1" applyBorder="1" applyAlignment="1">
      <alignment horizontal="center" wrapText="1"/>
    </xf>
    <xf numFmtId="164" fontId="28" fillId="2" borderId="1" xfId="0" applyNumberFormat="1" applyFont="1" applyFill="1" applyBorder="1" applyAlignment="1">
      <alignment horizontal="center"/>
    </xf>
    <xf numFmtId="164" fontId="20" fillId="3" borderId="1" xfId="0" applyNumberFormat="1" applyFont="1" applyFill="1" applyBorder="1" applyAlignment="1">
      <alignment horizontal="center" wrapText="1"/>
    </xf>
    <xf numFmtId="166" fontId="4" fillId="0" borderId="0" xfId="0" applyNumberFormat="1" applyFont="1"/>
    <xf numFmtId="166" fontId="32" fillId="0" borderId="1" xfId="0" applyNumberFormat="1" applyFont="1" applyBorder="1" applyAlignment="1">
      <alignment horizontal="center"/>
    </xf>
    <xf numFmtId="0" fontId="32" fillId="0" borderId="1" xfId="0" applyFont="1" applyBorder="1" applyAlignment="1">
      <alignment horizontal="center"/>
    </xf>
    <xf numFmtId="166" fontId="32" fillId="0" borderId="1" xfId="0" applyNumberFormat="1" applyFont="1" applyBorder="1" applyAlignment="1">
      <alignment horizontal="right"/>
    </xf>
    <xf numFmtId="164" fontId="13" fillId="0" borderId="0" xfId="0" applyNumberFormat="1" applyFont="1" applyAlignment="1">
      <alignment horizontal="center"/>
    </xf>
    <xf numFmtId="0" fontId="18" fillId="0" borderId="1" xfId="0" applyFont="1" applyBorder="1" applyAlignment="1">
      <alignment horizontal="center"/>
    </xf>
    <xf numFmtId="0" fontId="16" fillId="5" borderId="1" xfId="0" applyFont="1" applyFill="1" applyBorder="1" applyAlignment="1">
      <alignment horizontal="center"/>
    </xf>
    <xf numFmtId="0" fontId="16" fillId="0" borderId="1" xfId="0" applyFont="1" applyBorder="1" applyAlignment="1">
      <alignment horizontal="center"/>
    </xf>
    <xf numFmtId="0" fontId="13" fillId="5" borderId="1" xfId="0" applyFont="1" applyFill="1" applyBorder="1" applyAlignment="1">
      <alignment horizontal="center"/>
    </xf>
    <xf numFmtId="4" fontId="32" fillId="0" borderId="1" xfId="0" applyNumberFormat="1" applyFont="1" applyBorder="1" applyAlignment="1">
      <alignment horizontal="center"/>
    </xf>
    <xf numFmtId="0" fontId="33" fillId="0" borderId="1" xfId="0" applyFont="1" applyBorder="1" applyAlignment="1">
      <alignment wrapText="1"/>
    </xf>
    <xf numFmtId="2" fontId="32" fillId="0" borderId="1" xfId="0" applyNumberFormat="1" applyFont="1" applyBorder="1" applyAlignment="1">
      <alignment horizontal="center"/>
    </xf>
    <xf numFmtId="167" fontId="32" fillId="0" borderId="1" xfId="0" applyNumberFormat="1" applyFont="1" applyBorder="1" applyAlignment="1">
      <alignment horizontal="center"/>
    </xf>
    <xf numFmtId="0" fontId="31" fillId="5" borderId="1" xfId="0" applyFont="1" applyFill="1" applyBorder="1"/>
    <xf numFmtId="0" fontId="4" fillId="5" borderId="1" xfId="0" applyFont="1" applyFill="1" applyBorder="1"/>
    <xf numFmtId="166" fontId="13" fillId="5" borderId="1" xfId="0" applyNumberFormat="1" applyFont="1" applyFill="1" applyBorder="1" applyAlignment="1">
      <alignment horizontal="center"/>
    </xf>
    <xf numFmtId="166" fontId="32" fillId="5" borderId="1" xfId="0" applyNumberFormat="1" applyFont="1" applyFill="1" applyBorder="1" applyAlignment="1">
      <alignment horizontal="center"/>
    </xf>
    <xf numFmtId="2" fontId="13" fillId="0" borderId="1" xfId="0" applyNumberFormat="1" applyFont="1" applyBorder="1" applyAlignment="1">
      <alignment horizontal="right"/>
    </xf>
    <xf numFmtId="0" fontId="13" fillId="5" borderId="1" xfId="0" applyFont="1" applyFill="1" applyBorder="1"/>
    <xf numFmtId="0" fontId="32" fillId="5" borderId="1" xfId="0" applyFont="1" applyFill="1" applyBorder="1" applyAlignment="1">
      <alignment horizontal="center"/>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2" fillId="0" borderId="4" xfId="0" applyFont="1" applyBorder="1" applyAlignment="1">
      <alignment horizontal="center"/>
    </xf>
    <xf numFmtId="0" fontId="13" fillId="0" borderId="4" xfId="0" applyFont="1" applyBorder="1" applyAlignment="1">
      <alignment horizontal="center"/>
    </xf>
    <xf numFmtId="49" fontId="32" fillId="0" borderId="1" xfId="0" applyNumberFormat="1" applyFont="1" applyBorder="1" applyAlignment="1">
      <alignment horizontal="center"/>
    </xf>
    <xf numFmtId="49" fontId="13" fillId="0" borderId="1" xfId="0" applyNumberFormat="1" applyFont="1" applyBorder="1" applyAlignment="1">
      <alignment horizontal="center"/>
    </xf>
    <xf numFmtId="0" fontId="16" fillId="0" borderId="2" xfId="0" applyFont="1" applyBorder="1" applyAlignment="1">
      <alignment horizontal="center"/>
    </xf>
    <xf numFmtId="37" fontId="32" fillId="0" borderId="1" xfId="0" applyNumberFormat="1" applyFont="1" applyBorder="1" applyAlignment="1">
      <alignment horizontal="center"/>
    </xf>
    <xf numFmtId="37" fontId="13" fillId="0" borderId="1" xfId="0" applyNumberFormat="1" applyFont="1" applyBorder="1" applyAlignment="1">
      <alignment horizontal="center"/>
    </xf>
    <xf numFmtId="0" fontId="16" fillId="0" borderId="4" xfId="0" applyFont="1" applyBorder="1" applyAlignment="1">
      <alignment horizontal="center"/>
    </xf>
    <xf numFmtId="0" fontId="31" fillId="0" borderId="17" xfId="0" applyFont="1" applyBorder="1"/>
    <xf numFmtId="0" fontId="31" fillId="0" borderId="4" xfId="0" applyFont="1" applyBorder="1"/>
    <xf numFmtId="0" fontId="13" fillId="0" borderId="6" xfId="0" applyFont="1" applyBorder="1" applyAlignment="1">
      <alignment horizontal="center"/>
    </xf>
    <xf numFmtId="0" fontId="13" fillId="0" borderId="14"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4" fillId="0" borderId="7" xfId="0" applyFont="1" applyBorder="1"/>
    <xf numFmtId="0" fontId="13" fillId="5" borderId="7" xfId="0" applyFont="1" applyFill="1" applyBorder="1" applyAlignment="1">
      <alignment horizontal="center"/>
    </xf>
    <xf numFmtId="0" fontId="4" fillId="0" borderId="8" xfId="0" applyFont="1" applyBorder="1"/>
    <xf numFmtId="0" fontId="13" fillId="0" borderId="7" xfId="0" applyFont="1" applyBorder="1" applyAlignment="1">
      <alignment horizontal="center"/>
    </xf>
    <xf numFmtId="166" fontId="13" fillId="0" borderId="2" xfId="0" applyNumberFormat="1" applyFont="1" applyBorder="1" applyAlignment="1">
      <alignment horizontal="center"/>
    </xf>
    <xf numFmtId="0" fontId="32" fillId="0" borderId="2" xfId="0" applyFont="1" applyBorder="1" applyAlignment="1">
      <alignment horizontal="center"/>
    </xf>
    <xf numFmtId="0" fontId="31" fillId="0" borderId="2" xfId="0" applyFont="1" applyBorder="1"/>
    <xf numFmtId="0" fontId="31" fillId="0" borderId="8" xfId="0" applyFont="1" applyBorder="1"/>
    <xf numFmtId="166" fontId="13" fillId="0" borderId="0" xfId="0" applyNumberFormat="1" applyFont="1" applyAlignment="1">
      <alignment horizontal="right"/>
    </xf>
    <xf numFmtId="166" fontId="32" fillId="0" borderId="2" xfId="0" applyNumberFormat="1" applyFont="1" applyBorder="1" applyAlignment="1">
      <alignment horizontal="center"/>
    </xf>
    <xf numFmtId="0" fontId="32" fillId="0" borderId="8" xfId="0" applyFont="1" applyBorder="1" applyAlignment="1">
      <alignment horizontal="center"/>
    </xf>
    <xf numFmtId="0" fontId="32" fillId="0" borderId="9" xfId="0" applyFont="1" applyBorder="1" applyAlignment="1">
      <alignment horizontal="center"/>
    </xf>
    <xf numFmtId="0" fontId="13" fillId="0" borderId="10" xfId="0" applyFont="1" applyBorder="1" applyAlignment="1">
      <alignment horizontal="center"/>
    </xf>
    <xf numFmtId="0" fontId="16" fillId="0" borderId="8" xfId="0" applyFont="1" applyBorder="1" applyAlignment="1">
      <alignment horizontal="center"/>
    </xf>
    <xf numFmtId="166" fontId="32" fillId="0" borderId="8" xfId="0" applyNumberFormat="1" applyFont="1" applyBorder="1" applyAlignment="1">
      <alignment horizontal="right"/>
    </xf>
    <xf numFmtId="0" fontId="31" fillId="5" borderId="8" xfId="0" applyFont="1" applyFill="1" applyBorder="1"/>
    <xf numFmtId="0" fontId="4" fillId="5" borderId="8" xfId="0" applyFont="1" applyFill="1" applyBorder="1"/>
    <xf numFmtId="166" fontId="13" fillId="0" borderId="8" xfId="0" applyNumberFormat="1" applyFont="1" applyBorder="1" applyAlignment="1">
      <alignment horizontal="right"/>
    </xf>
    <xf numFmtId="166" fontId="13" fillId="0" borderId="8" xfId="0" applyNumberFormat="1" applyFont="1" applyBorder="1" applyAlignment="1">
      <alignment horizontal="center"/>
    </xf>
    <xf numFmtId="0" fontId="4" fillId="0" borderId="9" xfId="0" applyFont="1" applyBorder="1"/>
    <xf numFmtId="166" fontId="32" fillId="5" borderId="8" xfId="0" applyNumberFormat="1" applyFont="1" applyFill="1" applyBorder="1" applyAlignment="1">
      <alignment horizontal="center"/>
    </xf>
    <xf numFmtId="0" fontId="31" fillId="0" borderId="9" xfId="0" applyFont="1" applyBorder="1"/>
    <xf numFmtId="166" fontId="13" fillId="0" borderId="9" xfId="0" applyNumberFormat="1" applyFont="1" applyBorder="1" applyAlignment="1">
      <alignment horizontal="center"/>
    </xf>
    <xf numFmtId="0" fontId="16" fillId="0" borderId="9" xfId="0" applyFont="1" applyBorder="1" applyAlignment="1">
      <alignment horizontal="center"/>
    </xf>
    <xf numFmtId="0" fontId="13" fillId="0" borderId="8" xfId="0" applyFont="1" applyBorder="1" applyAlignment="1">
      <alignment horizontal="center" wrapText="1"/>
    </xf>
    <xf numFmtId="2" fontId="32" fillId="0" borderId="8" xfId="0" applyNumberFormat="1" applyFont="1" applyBorder="1" applyAlignment="1">
      <alignment horizontal="center"/>
    </xf>
    <xf numFmtId="4" fontId="32" fillId="0" borderId="8" xfId="0" applyNumberFormat="1" applyFont="1" applyBorder="1" applyAlignment="1">
      <alignment horizontal="center"/>
    </xf>
    <xf numFmtId="0" fontId="13" fillId="0" borderId="4" xfId="0" applyFont="1" applyBorder="1"/>
    <xf numFmtId="0" fontId="32" fillId="5" borderId="8" xfId="0" applyFont="1" applyFill="1" applyBorder="1" applyAlignment="1">
      <alignment horizontal="center"/>
    </xf>
    <xf numFmtId="0" fontId="16" fillId="5" borderId="8" xfId="0" applyFont="1" applyFill="1" applyBorder="1" applyAlignment="1">
      <alignment horizontal="center"/>
    </xf>
    <xf numFmtId="0" fontId="4" fillId="0" borderId="11" xfId="0" applyFont="1" applyBorder="1"/>
    <xf numFmtId="0" fontId="31" fillId="0" borderId="12" xfId="0" applyFont="1" applyBorder="1"/>
    <xf numFmtId="0" fontId="13" fillId="5" borderId="8" xfId="0" applyFont="1" applyFill="1" applyBorder="1" applyAlignment="1">
      <alignment horizontal="center"/>
    </xf>
    <xf numFmtId="166" fontId="13" fillId="0" borderId="7" xfId="0" applyNumberFormat="1" applyFont="1" applyBorder="1" applyAlignment="1">
      <alignment horizontal="right"/>
    </xf>
    <xf numFmtId="166" fontId="32" fillId="0" borderId="8" xfId="0" applyNumberFormat="1" applyFont="1" applyBorder="1" applyAlignment="1">
      <alignment horizontal="center"/>
    </xf>
    <xf numFmtId="0" fontId="13" fillId="5" borderId="11" xfId="0" applyFont="1" applyFill="1" applyBorder="1" applyAlignment="1">
      <alignment horizontal="center"/>
    </xf>
    <xf numFmtId="0" fontId="13" fillId="0" borderId="11" xfId="0" applyFont="1" applyBorder="1" applyAlignment="1">
      <alignment horizontal="center"/>
    </xf>
    <xf numFmtId="166" fontId="13" fillId="0" borderId="13" xfId="0" applyNumberFormat="1" applyFont="1" applyBorder="1" applyAlignment="1">
      <alignment horizontal="center"/>
    </xf>
    <xf numFmtId="166" fontId="13" fillId="0" borderId="13" xfId="0" applyNumberFormat="1" applyFont="1" applyBorder="1" applyAlignment="1">
      <alignment horizontal="right"/>
    </xf>
    <xf numFmtId="166" fontId="13" fillId="0" borderId="7" xfId="0" applyNumberFormat="1" applyFont="1" applyBorder="1" applyAlignment="1">
      <alignment horizontal="center"/>
    </xf>
    <xf numFmtId="0" fontId="31" fillId="0" borderId="14" xfId="0" applyFont="1" applyBorder="1"/>
    <xf numFmtId="0" fontId="32" fillId="0" borderId="10" xfId="0" applyFont="1" applyBorder="1" applyAlignment="1">
      <alignment horizontal="center"/>
    </xf>
    <xf numFmtId="0" fontId="31" fillId="0" borderId="7" xfId="0" applyFont="1" applyBorder="1"/>
    <xf numFmtId="0" fontId="32" fillId="0" borderId="7" xfId="0" applyFont="1" applyBorder="1" applyAlignment="1">
      <alignment horizontal="center"/>
    </xf>
    <xf numFmtId="0" fontId="28" fillId="0" borderId="0" xfId="0" applyFont="1" applyAlignment="1">
      <alignment horizontal="center" wrapText="1"/>
    </xf>
    <xf numFmtId="0" fontId="16" fillId="0" borderId="7" xfId="0" applyFont="1" applyBorder="1" applyAlignment="1">
      <alignment horizontal="center"/>
    </xf>
    <xf numFmtId="0" fontId="16" fillId="5" borderId="7" xfId="0" applyFont="1" applyFill="1" applyBorder="1" applyAlignment="1">
      <alignment horizontal="center"/>
    </xf>
    <xf numFmtId="0" fontId="33" fillId="0" borderId="8" xfId="0" applyFont="1" applyBorder="1" applyAlignment="1">
      <alignment wrapText="1"/>
    </xf>
    <xf numFmtId="166" fontId="13" fillId="5" borderId="8" xfId="0" applyNumberFormat="1" applyFont="1" applyFill="1" applyBorder="1" applyAlignment="1">
      <alignment horizontal="center"/>
    </xf>
    <xf numFmtId="0" fontId="13" fillId="0" borderId="7" xfId="0" applyFont="1" applyBorder="1" applyAlignment="1">
      <alignment horizontal="center" wrapText="1"/>
    </xf>
    <xf numFmtId="0" fontId="13" fillId="0" borderId="7" xfId="0" applyFont="1" applyBorder="1" applyAlignment="1">
      <alignment horizontal="center" vertical="top" wrapText="1"/>
    </xf>
    <xf numFmtId="169" fontId="13" fillId="0" borderId="1" xfId="0" applyNumberFormat="1" applyFont="1" applyBorder="1" applyAlignment="1">
      <alignment horizontal="center"/>
    </xf>
    <xf numFmtId="2" fontId="13" fillId="0" borderId="1" xfId="0" applyNumberFormat="1" applyFont="1" applyBorder="1" applyAlignment="1">
      <alignment horizontal="center"/>
    </xf>
    <xf numFmtId="1" fontId="13" fillId="0" borderId="1" xfId="0" applyNumberFormat="1" applyFont="1" applyBorder="1" applyAlignment="1">
      <alignment horizontal="center"/>
    </xf>
    <xf numFmtId="169" fontId="13" fillId="5" borderId="1" xfId="0" applyNumberFormat="1" applyFont="1" applyFill="1" applyBorder="1" applyAlignment="1">
      <alignment horizontal="center"/>
    </xf>
    <xf numFmtId="2" fontId="13" fillId="5" borderId="1" xfId="0" applyNumberFormat="1" applyFont="1" applyFill="1" applyBorder="1" applyAlignment="1">
      <alignment horizontal="center"/>
    </xf>
    <xf numFmtId="1" fontId="13" fillId="5" borderId="1" xfId="0" applyNumberFormat="1" applyFont="1" applyFill="1" applyBorder="1" applyAlignment="1">
      <alignment horizontal="center"/>
    </xf>
    <xf numFmtId="49" fontId="4" fillId="0" borderId="0" xfId="0" applyNumberFormat="1" applyFont="1"/>
    <xf numFmtId="169" fontId="13" fillId="5" borderId="1" xfId="0" applyNumberFormat="1" applyFont="1" applyFill="1" applyBorder="1" applyAlignment="1">
      <alignment horizontal="center" wrapText="1"/>
    </xf>
    <xf numFmtId="0" fontId="4" fillId="0" borderId="1" xfId="0" applyFont="1" applyBorder="1" applyAlignment="1">
      <alignment vertical="top"/>
    </xf>
    <xf numFmtId="49" fontId="13" fillId="0" borderId="1" xfId="0" applyNumberFormat="1" applyFont="1" applyBorder="1"/>
    <xf numFmtId="1" fontId="13" fillId="0" borderId="1" xfId="0" applyNumberFormat="1" applyFont="1" applyBorder="1" applyAlignment="1">
      <alignment horizontal="center" vertical="top"/>
    </xf>
    <xf numFmtId="0" fontId="13" fillId="6" borderId="1" xfId="0" applyFont="1" applyFill="1" applyBorder="1"/>
    <xf numFmtId="169" fontId="13" fillId="6" borderId="1" xfId="0" applyNumberFormat="1" applyFont="1" applyFill="1" applyBorder="1" applyAlignment="1">
      <alignment horizontal="center"/>
    </xf>
    <xf numFmtId="2" fontId="13" fillId="6" borderId="1" xfId="0" applyNumberFormat="1" applyFont="1" applyFill="1" applyBorder="1" applyAlignment="1">
      <alignment horizontal="center"/>
    </xf>
    <xf numFmtId="1" fontId="13" fillId="6" borderId="1" xfId="0" applyNumberFormat="1" applyFont="1" applyFill="1" applyBorder="1" applyAlignment="1">
      <alignment horizontal="center"/>
    </xf>
    <xf numFmtId="2" fontId="13" fillId="5" borderId="1" xfId="0" applyNumberFormat="1" applyFont="1" applyFill="1" applyBorder="1" applyAlignment="1">
      <alignment horizontal="center" vertical="top" wrapText="1"/>
    </xf>
    <xf numFmtId="49" fontId="13" fillId="5" borderId="1" xfId="0" applyNumberFormat="1" applyFont="1" applyFill="1" applyBorder="1"/>
    <xf numFmtId="0" fontId="13" fillId="0" borderId="1" xfId="0" applyFont="1" applyBorder="1" applyAlignment="1">
      <alignment wrapText="1"/>
    </xf>
    <xf numFmtId="0" fontId="13" fillId="0" borderId="1" xfId="0" applyFont="1" applyBorder="1" applyAlignment="1">
      <alignment horizontal="right"/>
    </xf>
    <xf numFmtId="0" fontId="13" fillId="0" borderId="1" xfId="0" applyFont="1" applyBorder="1" applyAlignment="1">
      <alignment vertical="top" wrapText="1"/>
    </xf>
    <xf numFmtId="2" fontId="13" fillId="0" borderId="1" xfId="0" applyNumberFormat="1" applyFont="1" applyBorder="1" applyAlignment="1">
      <alignment horizontal="center" vertical="top" wrapText="1"/>
    </xf>
    <xf numFmtId="0" fontId="13" fillId="0" borderId="13" xfId="0" applyFont="1" applyBorder="1"/>
    <xf numFmtId="0" fontId="13" fillId="0" borderId="16" xfId="0" applyFont="1" applyBorder="1"/>
    <xf numFmtId="169" fontId="13" fillId="0" borderId="1" xfId="0" applyNumberFormat="1" applyFont="1" applyBorder="1" applyAlignment="1">
      <alignment horizontal="center" wrapText="1"/>
    </xf>
    <xf numFmtId="2" fontId="13" fillId="2" borderId="1" xfId="0" applyNumberFormat="1" applyFont="1" applyFill="1" applyBorder="1" applyAlignment="1">
      <alignment horizontal="center"/>
    </xf>
    <xf numFmtId="1" fontId="13" fillId="2" borderId="1" xfId="0" applyNumberFormat="1" applyFont="1" applyFill="1" applyBorder="1" applyAlignment="1">
      <alignment horizontal="center"/>
    </xf>
    <xf numFmtId="0" fontId="13" fillId="2" borderId="1" xfId="0" applyFont="1" applyFill="1" applyBorder="1"/>
    <xf numFmtId="0" fontId="4" fillId="5" borderId="0" xfId="0" applyFont="1" applyFill="1"/>
    <xf numFmtId="0" fontId="31" fillId="0" borderId="0" xfId="0" applyFont="1"/>
    <xf numFmtId="0" fontId="13" fillId="5" borderId="13" xfId="0" applyFont="1" applyFill="1" applyBorder="1"/>
    <xf numFmtId="0" fontId="13" fillId="5" borderId="1" xfId="0" applyFont="1" applyFill="1" applyBorder="1" applyAlignment="1">
      <alignment vertical="top" wrapText="1"/>
    </xf>
    <xf numFmtId="1" fontId="4" fillId="0" borderId="1" xfId="0" applyNumberFormat="1" applyFont="1" applyBorder="1"/>
    <xf numFmtId="0" fontId="13" fillId="0" borderId="11" xfId="0" applyFont="1" applyBorder="1"/>
    <xf numFmtId="170" fontId="13" fillId="0" borderId="1" xfId="0" applyNumberFormat="1" applyFont="1" applyBorder="1" applyAlignment="1">
      <alignment horizontal="center"/>
    </xf>
    <xf numFmtId="170" fontId="13" fillId="5" borderId="1" xfId="0" applyNumberFormat="1" applyFont="1" applyFill="1" applyBorder="1" applyAlignment="1">
      <alignment horizontal="center"/>
    </xf>
    <xf numFmtId="2" fontId="13" fillId="5" borderId="1" xfId="0" applyNumberFormat="1" applyFont="1" applyFill="1" applyBorder="1" applyAlignment="1">
      <alignment horizontal="center" vertical="top"/>
    </xf>
    <xf numFmtId="0" fontId="13" fillId="0" borderId="1" xfId="0" applyFont="1" applyBorder="1" applyAlignment="1">
      <alignment vertical="top"/>
    </xf>
    <xf numFmtId="0" fontId="13" fillId="5" borderId="0" xfId="0" applyFont="1" applyFill="1"/>
    <xf numFmtId="0" fontId="4" fillId="5" borderId="1" xfId="0" applyFont="1" applyFill="1" applyBorder="1" applyAlignment="1">
      <alignment vertical="top"/>
    </xf>
    <xf numFmtId="0" fontId="13" fillId="5" borderId="7" xfId="0" applyFont="1" applyFill="1" applyBorder="1"/>
    <xf numFmtId="169" fontId="13" fillId="5" borderId="2" xfId="0" applyNumberFormat="1" applyFont="1" applyFill="1" applyBorder="1" applyAlignment="1">
      <alignment horizontal="center"/>
    </xf>
    <xf numFmtId="2" fontId="13" fillId="5" borderId="2" xfId="0" applyNumberFormat="1" applyFont="1" applyFill="1" applyBorder="1" applyAlignment="1">
      <alignment horizontal="center"/>
    </xf>
    <xf numFmtId="1" fontId="13" fillId="5" borderId="2" xfId="0" applyNumberFormat="1" applyFont="1" applyFill="1" applyBorder="1" applyAlignment="1">
      <alignment horizontal="center"/>
    </xf>
    <xf numFmtId="169" fontId="13" fillId="0" borderId="0" xfId="0" applyNumberFormat="1" applyFont="1" applyAlignment="1">
      <alignment horizontal="center"/>
    </xf>
    <xf numFmtId="2" fontId="13" fillId="0" borderId="8" xfId="0" applyNumberFormat="1" applyFont="1" applyBorder="1" applyAlignment="1">
      <alignment horizontal="center"/>
    </xf>
    <xf numFmtId="1" fontId="13" fillId="0" borderId="8" xfId="0" applyNumberFormat="1" applyFont="1" applyBorder="1" applyAlignment="1">
      <alignment horizontal="center"/>
    </xf>
    <xf numFmtId="169" fontId="13" fillId="5" borderId="0" xfId="0" applyNumberFormat="1" applyFont="1" applyFill="1" applyAlignment="1">
      <alignment horizontal="center"/>
    </xf>
    <xf numFmtId="2" fontId="13" fillId="5" borderId="8" xfId="0" applyNumberFormat="1" applyFont="1" applyFill="1" applyBorder="1" applyAlignment="1">
      <alignment horizontal="center"/>
    </xf>
    <xf numFmtId="1" fontId="13" fillId="5" borderId="8" xfId="0" applyNumberFormat="1" applyFont="1" applyFill="1" applyBorder="1" applyAlignment="1">
      <alignment horizontal="center"/>
    </xf>
    <xf numFmtId="169" fontId="13" fillId="0" borderId="2" xfId="0" applyNumberFormat="1" applyFont="1" applyBorder="1" applyAlignment="1">
      <alignment horizontal="center"/>
    </xf>
    <xf numFmtId="1" fontId="13" fillId="0" borderId="9" xfId="0" applyNumberFormat="1" applyFont="1" applyBorder="1" applyAlignment="1">
      <alignment horizontal="center"/>
    </xf>
    <xf numFmtId="0" fontId="13" fillId="0" borderId="10" xfId="0" applyFont="1" applyBorder="1"/>
    <xf numFmtId="0" fontId="13" fillId="5" borderId="8" xfId="0" applyFont="1" applyFill="1" applyBorder="1"/>
    <xf numFmtId="169" fontId="13" fillId="5" borderId="8" xfId="0" applyNumberFormat="1" applyFont="1" applyFill="1" applyBorder="1" applyAlignment="1">
      <alignment horizontal="center"/>
    </xf>
    <xf numFmtId="169" fontId="13" fillId="0" borderId="8" xfId="0" applyNumberFormat="1" applyFont="1" applyBorder="1" applyAlignment="1">
      <alignment horizontal="center"/>
    </xf>
    <xf numFmtId="0" fontId="4" fillId="0" borderId="8" xfId="0" applyFont="1" applyBorder="1" applyAlignment="1">
      <alignment vertical="top"/>
    </xf>
    <xf numFmtId="0" fontId="13" fillId="0" borderId="9" xfId="0" applyFont="1" applyBorder="1"/>
    <xf numFmtId="169" fontId="13" fillId="0" borderId="9" xfId="0" applyNumberFormat="1" applyFont="1" applyBorder="1" applyAlignment="1">
      <alignment horizontal="center"/>
    </xf>
    <xf numFmtId="2" fontId="13" fillId="0" borderId="9" xfId="0" applyNumberFormat="1" applyFont="1" applyBorder="1" applyAlignment="1">
      <alignment horizontal="center"/>
    </xf>
    <xf numFmtId="0" fontId="13" fillId="0" borderId="12" xfId="0" applyFont="1" applyBorder="1"/>
    <xf numFmtId="0" fontId="13" fillId="5" borderId="12" xfId="0" applyFont="1" applyFill="1" applyBorder="1"/>
    <xf numFmtId="0" fontId="13" fillId="0" borderId="5" xfId="0" applyFont="1" applyBorder="1"/>
    <xf numFmtId="169" fontId="13" fillId="0" borderId="7" xfId="0" applyNumberFormat="1" applyFont="1" applyBorder="1" applyAlignment="1">
      <alignment horizontal="center"/>
    </xf>
    <xf numFmtId="0" fontId="13" fillId="5" borderId="11" xfId="0" applyFont="1" applyFill="1" applyBorder="1"/>
    <xf numFmtId="169" fontId="13" fillId="0" borderId="13" xfId="0" applyNumberFormat="1" applyFont="1" applyBorder="1" applyAlignment="1">
      <alignment horizontal="center"/>
    </xf>
    <xf numFmtId="0" fontId="4" fillId="0" borderId="12" xfId="0" applyFont="1" applyBorder="1"/>
    <xf numFmtId="169" fontId="13" fillId="5" borderId="7" xfId="0" applyNumberFormat="1" applyFont="1" applyFill="1" applyBorder="1" applyAlignment="1">
      <alignment horizontal="center"/>
    </xf>
    <xf numFmtId="0" fontId="13" fillId="5" borderId="14" xfId="0" applyFont="1" applyFill="1" applyBorder="1"/>
    <xf numFmtId="0" fontId="13" fillId="0" borderId="14" xfId="0" applyFont="1" applyBorder="1"/>
    <xf numFmtId="1" fontId="13" fillId="0" borderId="7" xfId="0" applyNumberFormat="1" applyFont="1" applyBorder="1" applyAlignment="1">
      <alignment horizontal="center"/>
    </xf>
    <xf numFmtId="1" fontId="13" fillId="0" borderId="10" xfId="0" applyNumberFormat="1" applyFont="1" applyBorder="1" applyAlignment="1">
      <alignment horizontal="center"/>
    </xf>
    <xf numFmtId="169" fontId="13" fillId="0" borderId="1" xfId="0" applyNumberFormat="1" applyFont="1" applyBorder="1" applyAlignment="1">
      <alignment horizontal="right"/>
    </xf>
    <xf numFmtId="171" fontId="4" fillId="0" borderId="1" xfId="0" applyNumberFormat="1" applyFont="1" applyBorder="1" applyAlignment="1">
      <alignment horizontal="right"/>
    </xf>
    <xf numFmtId="169" fontId="13" fillId="0" borderId="2" xfId="0" applyNumberFormat="1" applyFont="1" applyBorder="1" applyAlignment="1">
      <alignment horizontal="right"/>
    </xf>
    <xf numFmtId="2" fontId="13" fillId="0" borderId="2" xfId="0" applyNumberFormat="1" applyFont="1" applyBorder="1" applyAlignment="1">
      <alignment horizontal="center"/>
    </xf>
    <xf numFmtId="171" fontId="4" fillId="0" borderId="2" xfId="0" applyNumberFormat="1" applyFont="1" applyBorder="1" applyAlignment="1">
      <alignment horizontal="right"/>
    </xf>
    <xf numFmtId="0" fontId="4" fillId="0" borderId="7" xfId="0" applyFont="1" applyBorder="1" applyAlignment="1">
      <alignment horizontal="center"/>
    </xf>
    <xf numFmtId="169" fontId="13" fillId="0" borderId="0" xfId="0" applyNumberFormat="1" applyFont="1" applyAlignment="1">
      <alignment horizontal="right"/>
    </xf>
    <xf numFmtId="171" fontId="4" fillId="0" borderId="8" xfId="0" applyNumberFormat="1" applyFont="1" applyBorder="1" applyAlignment="1">
      <alignment horizontal="right"/>
    </xf>
    <xf numFmtId="171" fontId="4" fillId="0" borderId="9" xfId="0" applyNumberFormat="1" applyFont="1" applyBorder="1" applyAlignment="1">
      <alignment horizontal="right"/>
    </xf>
    <xf numFmtId="169" fontId="13" fillId="0" borderId="8" xfId="0" applyNumberFormat="1" applyFont="1" applyBorder="1" applyAlignment="1">
      <alignment horizontal="right"/>
    </xf>
    <xf numFmtId="169" fontId="13" fillId="0" borderId="9" xfId="0" applyNumberFormat="1" applyFont="1" applyBorder="1" applyAlignment="1">
      <alignment horizontal="right"/>
    </xf>
    <xf numFmtId="37" fontId="4" fillId="0" borderId="8" xfId="0" applyNumberFormat="1" applyFont="1" applyBorder="1" applyAlignment="1">
      <alignment horizontal="right"/>
    </xf>
    <xf numFmtId="171" fontId="4" fillId="0" borderId="8" xfId="0" applyNumberFormat="1" applyFont="1" applyBorder="1"/>
    <xf numFmtId="169" fontId="13" fillId="0" borderId="7" xfId="0" applyNumberFormat="1" applyFont="1" applyBorder="1" applyAlignment="1">
      <alignment horizontal="right"/>
    </xf>
    <xf numFmtId="169" fontId="13" fillId="0" borderId="13" xfId="0" applyNumberFormat="1" applyFont="1" applyBorder="1" applyAlignment="1">
      <alignment horizontal="right"/>
    </xf>
    <xf numFmtId="171" fontId="4" fillId="0" borderId="7" xfId="0" applyNumberFormat="1" applyFont="1" applyBorder="1" applyAlignment="1">
      <alignment horizontal="right"/>
    </xf>
    <xf numFmtId="171" fontId="4" fillId="0" borderId="10" xfId="0" applyNumberFormat="1" applyFont="1" applyBorder="1" applyAlignment="1">
      <alignment horizontal="right"/>
    </xf>
    <xf numFmtId="171" fontId="4" fillId="0" borderId="1" xfId="0" applyNumberFormat="1" applyFont="1" applyBorder="1"/>
    <xf numFmtId="0" fontId="13" fillId="0" borderId="0" xfId="0" applyFont="1" applyAlignment="1">
      <alignment horizontal="center"/>
    </xf>
    <xf numFmtId="0" fontId="31" fillId="5" borderId="0" xfId="0" applyFont="1" applyFill="1"/>
    <xf numFmtId="166" fontId="13" fillId="0" borderId="0" xfId="0" applyNumberFormat="1" applyFont="1" applyAlignment="1">
      <alignment horizontal="center"/>
    </xf>
    <xf numFmtId="0" fontId="16" fillId="5" borderId="0" xfId="0" applyFont="1" applyFill="1" applyAlignment="1">
      <alignment horizontal="center"/>
    </xf>
    <xf numFmtId="0" fontId="13" fillId="5" borderId="0" xfId="0" applyFont="1" applyFill="1" applyAlignment="1">
      <alignment horizontal="center"/>
    </xf>
    <xf numFmtId="168" fontId="28" fillId="2" borderId="0" xfId="0" applyNumberFormat="1" applyFont="1" applyFill="1" applyAlignment="1">
      <alignment horizontal="center" wrapText="1"/>
    </xf>
    <xf numFmtId="164" fontId="28" fillId="2" borderId="0" xfId="0" applyNumberFormat="1" applyFont="1" applyFill="1" applyAlignment="1">
      <alignment horizontal="center"/>
    </xf>
    <xf numFmtId="164" fontId="20" fillId="3" borderId="0" xfId="0" applyNumberFormat="1" applyFont="1" applyFill="1" applyAlignment="1">
      <alignment horizontal="center" wrapText="1"/>
    </xf>
    <xf numFmtId="166" fontId="16" fillId="5" borderId="1" xfId="0" applyNumberFormat="1" applyFont="1" applyFill="1" applyBorder="1" applyAlignment="1">
      <alignment horizontal="center"/>
    </xf>
    <xf numFmtId="166" fontId="16" fillId="0" borderId="1" xfId="0" applyNumberFormat="1" applyFont="1" applyBorder="1" applyAlignment="1">
      <alignment horizontal="center"/>
    </xf>
    <xf numFmtId="166" fontId="13" fillId="0" borderId="6" xfId="0" applyNumberFormat="1" applyFont="1" applyBorder="1" applyAlignment="1">
      <alignment horizontal="center"/>
    </xf>
    <xf numFmtId="166" fontId="13" fillId="0" borderId="4" xfId="0" applyNumberFormat="1" applyFont="1" applyBorder="1" applyAlignment="1">
      <alignment horizontal="center"/>
    </xf>
    <xf numFmtId="166" fontId="16" fillId="0" borderId="8" xfId="0" applyNumberFormat="1" applyFont="1" applyBorder="1" applyAlignment="1">
      <alignment horizontal="center"/>
    </xf>
    <xf numFmtId="166" fontId="16" fillId="5" borderId="8" xfId="0" applyNumberFormat="1" applyFont="1" applyFill="1" applyBorder="1" applyAlignment="1">
      <alignment horizontal="center"/>
    </xf>
    <xf numFmtId="166" fontId="13" fillId="5" borderId="1" xfId="0" applyNumberFormat="1" applyFont="1" applyFill="1" applyBorder="1" applyAlignment="1">
      <alignment horizontal="center" wrapText="1"/>
    </xf>
    <xf numFmtId="0" fontId="31" fillId="6" borderId="1" xfId="0" applyFont="1" applyFill="1" applyBorder="1"/>
    <xf numFmtId="166" fontId="13" fillId="6" borderId="1" xfId="0" applyNumberFormat="1" applyFont="1" applyFill="1" applyBorder="1" applyAlignment="1">
      <alignment horizontal="center"/>
    </xf>
    <xf numFmtId="166" fontId="13" fillId="5" borderId="1" xfId="0" applyNumberFormat="1" applyFont="1" applyFill="1" applyBorder="1" applyAlignment="1">
      <alignment horizontal="center" vertical="top" wrapText="1"/>
    </xf>
    <xf numFmtId="166" fontId="13" fillId="0" borderId="1" xfId="0" applyNumberFormat="1" applyFont="1" applyBorder="1" applyAlignment="1">
      <alignment horizontal="center" vertical="top" wrapText="1"/>
    </xf>
    <xf numFmtId="166" fontId="13" fillId="0" borderId="1" xfId="0" applyNumberFormat="1" applyFont="1" applyBorder="1" applyAlignment="1">
      <alignment horizontal="center" wrapText="1"/>
    </xf>
    <xf numFmtId="166" fontId="13" fillId="2" borderId="1" xfId="0" applyNumberFormat="1" applyFont="1" applyFill="1" applyBorder="1" applyAlignment="1">
      <alignment horizontal="center"/>
    </xf>
    <xf numFmtId="166" fontId="13" fillId="5" borderId="1" xfId="0" applyNumberFormat="1" applyFont="1" applyFill="1" applyBorder="1" applyAlignment="1">
      <alignment horizontal="center" vertical="top"/>
    </xf>
    <xf numFmtId="166" fontId="13" fillId="5" borderId="7" xfId="0" applyNumberFormat="1" applyFont="1" applyFill="1" applyBorder="1" applyAlignment="1">
      <alignment horizontal="center"/>
    </xf>
    <xf numFmtId="0" fontId="18" fillId="0" borderId="1" xfId="0" applyFont="1" applyBorder="1"/>
    <xf numFmtId="166" fontId="13" fillId="0" borderId="9" xfId="0" applyNumberFormat="1" applyFont="1" applyBorder="1" applyAlignment="1">
      <alignment horizontal="right"/>
    </xf>
    <xf numFmtId="169" fontId="2" fillId="0" borderId="0" xfId="0" applyNumberFormat="1" applyFont="1" applyAlignment="1">
      <alignment horizontal="left"/>
    </xf>
    <xf numFmtId="2" fontId="2" fillId="0" borderId="0" xfId="0" applyNumberFormat="1" applyFont="1" applyAlignment="1">
      <alignment horizontal="left"/>
    </xf>
    <xf numFmtId="171" fontId="3" fillId="0" borderId="0" xfId="0" applyNumberFormat="1" applyFont="1" applyAlignment="1">
      <alignment horizontal="left"/>
    </xf>
    <xf numFmtId="169" fontId="7" fillId="0" borderId="0" xfId="0" applyNumberFormat="1" applyFont="1" applyAlignment="1">
      <alignment horizontal="left"/>
    </xf>
    <xf numFmtId="2" fontId="7" fillId="0" borderId="0" xfId="0" applyNumberFormat="1" applyFont="1" applyAlignment="1">
      <alignment horizontal="left"/>
    </xf>
    <xf numFmtId="171" fontId="7" fillId="0" borderId="0" xfId="0" applyNumberFormat="1" applyFont="1" applyAlignment="1">
      <alignment horizontal="left"/>
    </xf>
    <xf numFmtId="171" fontId="2" fillId="0" borderId="0" xfId="0" applyNumberFormat="1" applyFont="1" applyAlignment="1">
      <alignment horizontal="left"/>
    </xf>
    <xf numFmtId="169" fontId="3" fillId="0" borderId="1" xfId="0" applyNumberFormat="1" applyFont="1" applyBorder="1" applyAlignment="1">
      <alignment horizontal="left" vertical="center" wrapText="1"/>
    </xf>
    <xf numFmtId="2" fontId="3" fillId="0" borderId="1" xfId="0" applyNumberFormat="1" applyFont="1" applyBorder="1" applyAlignment="1">
      <alignment horizontal="left" vertical="center" wrapText="1"/>
    </xf>
    <xf numFmtId="171" fontId="3" fillId="0" borderId="2" xfId="0" applyNumberFormat="1" applyFont="1" applyBorder="1" applyAlignment="1">
      <alignment horizontal="left" vertical="center" wrapText="1"/>
    </xf>
    <xf numFmtId="171" fontId="3" fillId="0" borderId="3" xfId="0" applyNumberFormat="1" applyFont="1" applyBorder="1" applyAlignment="1">
      <alignment horizontal="left" vertical="center" wrapText="1"/>
    </xf>
    <xf numFmtId="171" fontId="3" fillId="0" borderId="4" xfId="0" applyNumberFormat="1" applyFont="1" applyBorder="1" applyAlignment="1">
      <alignment horizontal="left" vertical="center" wrapText="1"/>
    </xf>
    <xf numFmtId="0" fontId="13" fillId="5" borderId="1" xfId="0" applyFont="1" applyFill="1" applyBorder="1" applyAlignment="1">
      <alignment horizontal="left"/>
    </xf>
    <xf numFmtId="0" fontId="7" fillId="0" borderId="1" xfId="0" applyFont="1" applyBorder="1" applyAlignment="1">
      <alignment horizontal="center" wrapText="1"/>
    </xf>
    <xf numFmtId="165" fontId="7" fillId="2" borderId="1" xfId="0" applyNumberFormat="1" applyFont="1" applyFill="1" applyBorder="1" applyAlignment="1">
      <alignment horizontal="center" wrapText="1"/>
    </xf>
    <xf numFmtId="164" fontId="7" fillId="2" borderId="1" xfId="0" applyNumberFormat="1" applyFont="1" applyFill="1" applyBorder="1" applyAlignment="1">
      <alignment horizontal="center" wrapText="1"/>
    </xf>
    <xf numFmtId="164" fontId="2" fillId="3" borderId="1" xfId="0" applyNumberFormat="1" applyFont="1" applyFill="1" applyBorder="1" applyAlignment="1">
      <alignment horizontal="center" wrapText="1"/>
    </xf>
    <xf numFmtId="164" fontId="4" fillId="0" borderId="0" xfId="0" applyNumberFormat="1" applyFont="1" applyAlignment="1">
      <alignment horizontal="center"/>
    </xf>
    <xf numFmtId="166" fontId="13" fillId="0" borderId="1" xfId="0" applyNumberFormat="1" applyFont="1" applyBorder="1" applyAlignment="1">
      <alignment horizontal="left"/>
    </xf>
    <xf numFmtId="0" fontId="34" fillId="0" borderId="0" xfId="0" applyFont="1" applyAlignment="1">
      <alignment horizontal="center"/>
    </xf>
    <xf numFmtId="49" fontId="13" fillId="0" borderId="1" xfId="0" applyNumberFormat="1" applyFont="1" applyBorder="1" applyAlignment="1">
      <alignment horizontal="left"/>
    </xf>
    <xf numFmtId="0" fontId="33" fillId="0" borderId="1" xfId="0" applyFont="1" applyBorder="1" applyAlignment="1">
      <alignment vertical="top" wrapText="1"/>
    </xf>
    <xf numFmtId="0" fontId="24" fillId="0" borderId="1" xfId="0" applyFont="1" applyBorder="1"/>
    <xf numFmtId="164" fontId="18" fillId="0" borderId="0" xfId="0" applyNumberFormat="1" applyFont="1" applyAlignment="1">
      <alignment horizontal="center"/>
    </xf>
    <xf numFmtId="0" fontId="34" fillId="0" borderId="1" xfId="0" applyFont="1" applyBorder="1"/>
    <xf numFmtId="0" fontId="2" fillId="6" borderId="1" xfId="0" applyFont="1" applyFill="1" applyBorder="1" applyAlignment="1">
      <alignment horizontal="center"/>
    </xf>
    <xf numFmtId="0" fontId="13" fillId="6" borderId="1" xfId="0" applyFont="1" applyFill="1" applyBorder="1" applyAlignment="1">
      <alignment horizontal="left"/>
    </xf>
    <xf numFmtId="0" fontId="14" fillId="6" borderId="1" xfId="0" applyFont="1" applyFill="1" applyBorder="1" applyAlignment="1">
      <alignment horizontal="center"/>
    </xf>
    <xf numFmtId="0" fontId="7" fillId="6" borderId="1" xfId="0" applyFont="1" applyFill="1" applyBorder="1" applyAlignment="1">
      <alignment horizontal="center" vertical="center" wrapText="1"/>
    </xf>
    <xf numFmtId="165" fontId="7" fillId="6" borderId="1" xfId="0" applyNumberFormat="1" applyFont="1" applyFill="1" applyBorder="1" applyAlignment="1">
      <alignment horizontal="center" vertical="center" wrapText="1"/>
    </xf>
    <xf numFmtId="164" fontId="7" fillId="6" borderId="1" xfId="0" applyNumberFormat="1" applyFont="1" applyFill="1" applyBorder="1" applyAlignment="1">
      <alignment horizontal="center" vertical="center" wrapText="1"/>
    </xf>
    <xf numFmtId="164" fontId="2" fillId="6" borderId="1" xfId="0" applyNumberFormat="1" applyFont="1" applyFill="1" applyBorder="1" applyAlignment="1">
      <alignment horizontal="center" vertical="center" wrapText="1"/>
    </xf>
    <xf numFmtId="0" fontId="4" fillId="6" borderId="0" xfId="0" applyFont="1" applyFill="1"/>
    <xf numFmtId="0" fontId="4" fillId="6" borderId="0" xfId="0" applyFont="1" applyFill="1" applyAlignment="1">
      <alignment horizontal="center"/>
    </xf>
    <xf numFmtId="49" fontId="13" fillId="5" borderId="1" xfId="0" applyNumberFormat="1" applyFont="1" applyFill="1" applyBorder="1" applyAlignment="1">
      <alignment horizontal="left"/>
    </xf>
    <xf numFmtId="0" fontId="13" fillId="0" borderId="1" xfId="0" applyFont="1" applyBorder="1" applyAlignment="1">
      <alignment horizontal="left" vertical="top" wrapText="1"/>
    </xf>
    <xf numFmtId="0" fontId="13" fillId="2" borderId="1" xfId="0" applyFont="1" applyFill="1" applyBorder="1" applyAlignment="1">
      <alignment horizontal="left"/>
    </xf>
    <xf numFmtId="0" fontId="13" fillId="5" borderId="1" xfId="0" applyFont="1" applyFill="1" applyBorder="1" applyAlignment="1">
      <alignment horizontal="left" vertical="top" wrapText="1"/>
    </xf>
    <xf numFmtId="0" fontId="23" fillId="0" borderId="1" xfId="0" applyFont="1" applyBorder="1" applyAlignment="1">
      <alignment horizontal="right"/>
    </xf>
    <xf numFmtId="0" fontId="7" fillId="0" borderId="1" xfId="0" applyFont="1" applyBorder="1" applyAlignment="1">
      <alignment horizontal="center" vertical="center"/>
    </xf>
    <xf numFmtId="165" fontId="7" fillId="2" borderId="1" xfId="0" applyNumberFormat="1" applyFont="1" applyFill="1" applyBorder="1" applyAlignment="1">
      <alignment horizontal="center" vertical="center"/>
    </xf>
    <xf numFmtId="164" fontId="7" fillId="2"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0" fontId="13" fillId="0" borderId="1" xfId="0" applyFont="1" applyBorder="1" applyAlignment="1">
      <alignment horizontal="left" vertical="top"/>
    </xf>
    <xf numFmtId="164" fontId="2" fillId="7" borderId="1" xfId="0" applyNumberFormat="1" applyFont="1" applyFill="1" applyBorder="1" applyAlignment="1">
      <alignment horizontal="center" vertical="center" wrapText="1"/>
    </xf>
    <xf numFmtId="0" fontId="13" fillId="0" borderId="7" xfId="0" applyFont="1" applyBorder="1" applyAlignment="1">
      <alignment horizontal="left"/>
    </xf>
    <xf numFmtId="0" fontId="13" fillId="5" borderId="7" xfId="0" applyFont="1" applyFill="1" applyBorder="1" applyAlignment="1">
      <alignment horizontal="left"/>
    </xf>
    <xf numFmtId="0" fontId="13" fillId="0" borderId="10" xfId="0" applyFont="1" applyBorder="1" applyAlignment="1">
      <alignment horizontal="left"/>
    </xf>
    <xf numFmtId="0" fontId="13" fillId="0" borderId="8" xfId="0" applyFont="1" applyBorder="1" applyAlignment="1">
      <alignment vertical="top"/>
    </xf>
    <xf numFmtId="0" fontId="33" fillId="0" borderId="8" xfId="0" applyFont="1" applyBorder="1" applyAlignment="1">
      <alignment vertical="top" wrapText="1"/>
    </xf>
    <xf numFmtId="0" fontId="13" fillId="5" borderId="8" xfId="0" applyFont="1" applyFill="1" applyBorder="1" applyAlignment="1">
      <alignment horizontal="left"/>
    </xf>
    <xf numFmtId="0" fontId="13" fillId="0" borderId="11" xfId="0" applyFont="1" applyBorder="1" applyAlignment="1">
      <alignment horizontal="left"/>
    </xf>
    <xf numFmtId="0" fontId="13" fillId="5" borderId="11" xfId="0" applyFont="1" applyFill="1" applyBorder="1" applyAlignment="1">
      <alignment horizontal="left"/>
    </xf>
    <xf numFmtId="0" fontId="34" fillId="0" borderId="12" xfId="0" applyFont="1" applyBorder="1"/>
    <xf numFmtId="165" fontId="7" fillId="0" borderId="1" xfId="0" applyNumberFormat="1" applyFont="1" applyBorder="1" applyAlignment="1">
      <alignment horizontal="center" wrapText="1"/>
    </xf>
    <xf numFmtId="164" fontId="7" fillId="0" borderId="1" xfId="0" applyNumberFormat="1" applyFont="1" applyBorder="1" applyAlignment="1">
      <alignment horizontal="center" wrapText="1"/>
    </xf>
    <xf numFmtId="164" fontId="16" fillId="0" borderId="0" xfId="0" applyNumberFormat="1" applyFont="1" applyAlignment="1">
      <alignment horizontal="right"/>
    </xf>
    <xf numFmtId="171" fontId="4" fillId="0" borderId="2" xfId="0" applyNumberFormat="1" applyFont="1" applyBorder="1"/>
    <xf numFmtId="164" fontId="4" fillId="0" borderId="0" xfId="0" applyNumberFormat="1" applyFont="1" applyAlignment="1">
      <alignment horizontal="right"/>
    </xf>
    <xf numFmtId="171" fontId="4" fillId="0" borderId="9" xfId="0" applyNumberFormat="1" applyFont="1" applyBorder="1"/>
    <xf numFmtId="37" fontId="4" fillId="0" borderId="8" xfId="0" applyNumberFormat="1" applyFont="1" applyBorder="1"/>
    <xf numFmtId="165" fontId="13" fillId="0" borderId="1" xfId="0" applyNumberFormat="1" applyFont="1" applyBorder="1" applyAlignment="1">
      <alignment horizontal="center"/>
    </xf>
    <xf numFmtId="164" fontId="13" fillId="0" borderId="1" xfId="0" applyNumberFormat="1" applyFont="1" applyBorder="1" applyAlignment="1">
      <alignment horizontal="center"/>
    </xf>
    <xf numFmtId="0" fontId="7" fillId="0" borderId="7" xfId="0" applyFont="1" applyBorder="1" applyAlignment="1">
      <alignment horizontal="center" wrapText="1"/>
    </xf>
    <xf numFmtId="165" fontId="7" fillId="0" borderId="7" xfId="0" applyNumberFormat="1" applyFont="1" applyBorder="1" applyAlignment="1">
      <alignment horizontal="center" wrapText="1"/>
    </xf>
    <xf numFmtId="164" fontId="7" fillId="0" borderId="7" xfId="0" applyNumberFormat="1" applyFont="1" applyBorder="1" applyAlignment="1">
      <alignment horizontal="center" wrapText="1"/>
    </xf>
    <xf numFmtId="165" fontId="13" fillId="0" borderId="7" xfId="0" applyNumberFormat="1" applyFont="1" applyBorder="1" applyAlignment="1">
      <alignment horizontal="center"/>
    </xf>
    <xf numFmtId="164" fontId="13" fillId="0" borderId="7" xfId="0" applyNumberFormat="1" applyFont="1" applyBorder="1" applyAlignment="1">
      <alignment horizontal="center"/>
    </xf>
    <xf numFmtId="171" fontId="4" fillId="0" borderId="7" xfId="0" applyNumberFormat="1" applyFont="1" applyBorder="1"/>
    <xf numFmtId="171" fontId="4" fillId="0" borderId="10" xfId="0" applyNumberFormat="1" applyFont="1" applyBorder="1"/>
    <xf numFmtId="171" fontId="13" fillId="0" borderId="1" xfId="0" applyNumberFormat="1" applyFont="1" applyBorder="1" applyAlignment="1">
      <alignment horizontal="center"/>
    </xf>
    <xf numFmtId="0" fontId="3" fillId="0" borderId="1" xfId="0" applyFont="1" applyBorder="1" applyAlignment="1">
      <alignment horizontal="center"/>
    </xf>
    <xf numFmtId="2" fontId="13" fillId="0" borderId="0" xfId="0" applyNumberFormat="1" applyFont="1" applyAlignment="1">
      <alignment horizontal="center"/>
    </xf>
    <xf numFmtId="171" fontId="13" fillId="0" borderId="0" xfId="0" applyNumberFormat="1" applyFont="1" applyAlignment="1">
      <alignment horizontal="center"/>
    </xf>
    <xf numFmtId="0" fontId="13" fillId="0" borderId="0" xfId="0" applyFont="1" applyAlignment="1">
      <alignment horizontal="left"/>
    </xf>
    <xf numFmtId="0" fontId="4" fillId="0" borderId="0" xfId="0" applyFont="1" applyAlignment="1">
      <alignment horizontal="center" vertical="center" wrapText="1"/>
    </xf>
    <xf numFmtId="0" fontId="0" fillId="0" borderId="0" xfId="0"/>
    <xf numFmtId="0" fontId="31" fillId="0" borderId="0" xfId="0" applyFont="1" applyBorder="1" applyAlignment="1">
      <alignment horizontal="center"/>
    </xf>
    <xf numFmtId="0" fontId="13" fillId="5" borderId="2" xfId="0" applyFont="1" applyFill="1" applyBorder="1"/>
    <xf numFmtId="0" fontId="31" fillId="0" borderId="13" xfId="0" applyFont="1" applyBorder="1"/>
    <xf numFmtId="0" fontId="13" fillId="5" borderId="17" xfId="0" applyFont="1" applyFill="1" applyBorder="1"/>
    <xf numFmtId="0" fontId="13" fillId="0" borderId="0" xfId="0" applyFont="1" applyBorder="1"/>
    <xf numFmtId="0" fontId="31" fillId="5" borderId="2" xfId="0" applyFont="1" applyFill="1" applyBorder="1"/>
    <xf numFmtId="0" fontId="31" fillId="0" borderId="0" xfId="0" applyFont="1" applyBorder="1"/>
    <xf numFmtId="0" fontId="13" fillId="5" borderId="16" xfId="0" applyFont="1" applyFill="1" applyBorder="1"/>
    <xf numFmtId="0" fontId="4" fillId="0" borderId="0" xfId="0" applyFont="1" applyBorder="1"/>
    <xf numFmtId="0" fontId="4" fillId="5" borderId="2" xfId="0" applyFont="1" applyFill="1" applyBorder="1"/>
    <xf numFmtId="0" fontId="4" fillId="5" borderId="0" xfId="0" applyFont="1" applyFill="1" applyBorder="1"/>
    <xf numFmtId="0" fontId="4" fillId="5" borderId="9" xfId="0" applyFont="1" applyFill="1" applyBorder="1"/>
    <xf numFmtId="0" fontId="4" fillId="5" borderId="7" xfId="0" applyFont="1" applyFill="1" applyBorder="1"/>
    <xf numFmtId="0" fontId="4" fillId="5" borderId="4" xfId="0" applyFont="1" applyFill="1" applyBorder="1"/>
    <xf numFmtId="0" fontId="31" fillId="5" borderId="0" xfId="0" applyFont="1" applyFill="1" applyBorder="1"/>
    <xf numFmtId="0" fontId="4" fillId="5" borderId="11" xfId="0" applyFont="1" applyFill="1" applyBorder="1"/>
    <xf numFmtId="0" fontId="33" fillId="0" borderId="7" xfId="0" applyFont="1" applyBorder="1" applyAlignment="1">
      <alignment wrapText="1"/>
    </xf>
    <xf numFmtId="166" fontId="13" fillId="0" borderId="0" xfId="0" applyNumberFormat="1" applyFont="1" applyBorder="1" applyAlignment="1">
      <alignment horizontal="center"/>
    </xf>
    <xf numFmtId="166" fontId="13" fillId="5" borderId="0" xfId="0" applyNumberFormat="1" applyFont="1" applyFill="1" applyBorder="1" applyAlignment="1">
      <alignment horizontal="center"/>
    </xf>
    <xf numFmtId="166" fontId="32" fillId="5" borderId="13" xfId="0" applyNumberFormat="1" applyFont="1" applyFill="1" applyBorder="1" applyAlignment="1">
      <alignment horizontal="center"/>
    </xf>
    <xf numFmtId="166" fontId="32" fillId="0" borderId="7" xfId="0" applyNumberFormat="1" applyFont="1" applyBorder="1" applyAlignment="1">
      <alignment horizontal="center"/>
    </xf>
    <xf numFmtId="166" fontId="13" fillId="5" borderId="0" xfId="0" applyNumberFormat="1" applyFont="1" applyFill="1" applyBorder="1" applyAlignment="1">
      <alignment horizontal="center" wrapText="1"/>
    </xf>
    <xf numFmtId="166" fontId="13" fillId="5" borderId="8" xfId="0" applyNumberFormat="1" applyFont="1" applyFill="1" applyBorder="1" applyAlignment="1">
      <alignment horizontal="center" vertical="top" wrapText="1"/>
    </xf>
    <xf numFmtId="1" fontId="13" fillId="5" borderId="7" xfId="0" applyNumberFormat="1" applyFont="1" applyFill="1" applyBorder="1" applyAlignment="1">
      <alignment horizontal="center"/>
    </xf>
    <xf numFmtId="1" fontId="13" fillId="0" borderId="19" xfId="0" applyNumberFormat="1" applyFont="1" applyBorder="1" applyAlignment="1">
      <alignment horizontal="center"/>
    </xf>
    <xf numFmtId="1" fontId="13" fillId="0" borderId="14" xfId="0" applyNumberFormat="1" applyFont="1" applyBorder="1" applyAlignment="1">
      <alignment horizontal="center"/>
    </xf>
    <xf numFmtId="0" fontId="16" fillId="0" borderId="10" xfId="0" applyFont="1" applyBorder="1" applyAlignment="1">
      <alignment horizontal="center"/>
    </xf>
    <xf numFmtId="170" fontId="13" fillId="5" borderId="8" xfId="0" applyNumberFormat="1" applyFont="1" applyFill="1" applyBorder="1" applyAlignment="1">
      <alignment horizontal="center"/>
    </xf>
    <xf numFmtId="0" fontId="13" fillId="0" borderId="9" xfId="0" applyFont="1" applyBorder="1" applyAlignment="1">
      <alignment horizontal="center"/>
    </xf>
    <xf numFmtId="1" fontId="13" fillId="0" borderId="2" xfId="0" applyNumberFormat="1" applyFont="1" applyBorder="1" applyAlignment="1">
      <alignment horizontal="center"/>
    </xf>
    <xf numFmtId="1" fontId="13" fillId="0" borderId="4" xfId="0" applyNumberFormat="1" applyFont="1" applyBorder="1" applyAlignment="1">
      <alignment horizontal="center"/>
    </xf>
    <xf numFmtId="1" fontId="13" fillId="5" borderId="10" xfId="0" applyNumberFormat="1" applyFont="1" applyFill="1" applyBorder="1" applyAlignment="1">
      <alignment horizontal="center"/>
    </xf>
    <xf numFmtId="37" fontId="4" fillId="0" borderId="1" xfId="0" applyNumberFormat="1" applyFont="1" applyBorder="1" applyAlignment="1">
      <alignment horizontal="right"/>
    </xf>
    <xf numFmtId="170" fontId="13" fillId="0" borderId="8" xfId="0" applyNumberFormat="1" applyFont="1" applyBorder="1" applyAlignment="1">
      <alignment horizontal="center"/>
    </xf>
    <xf numFmtId="0" fontId="4" fillId="0" borderId="1" xfId="0" applyFont="1" applyBorder="1" applyAlignment="1">
      <alignment horizontal="center"/>
    </xf>
    <xf numFmtId="49" fontId="13" fillId="5" borderId="7" xfId="0" applyNumberFormat="1" applyFont="1" applyFill="1" applyBorder="1"/>
    <xf numFmtId="0" fontId="13" fillId="0" borderId="0" xfId="0" applyFont="1" applyBorder="1" applyAlignment="1">
      <alignment horizontal="center"/>
    </xf>
    <xf numFmtId="49" fontId="13" fillId="0" borderId="7" xfId="0" applyNumberFormat="1" applyFont="1" applyBorder="1"/>
    <xf numFmtId="49" fontId="13" fillId="5" borderId="8" xfId="0" applyNumberFormat="1" applyFont="1" applyFill="1" applyBorder="1"/>
    <xf numFmtId="49" fontId="13" fillId="0" borderId="8" xfId="0" applyNumberFormat="1" applyFont="1" applyBorder="1"/>
    <xf numFmtId="0" fontId="13" fillId="0" borderId="1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3826"/>
  <sheetViews>
    <sheetView tabSelected="1" topLeftCell="P1" workbookViewId="0">
      <selection activeCell="C10" sqref="C10"/>
    </sheetView>
  </sheetViews>
  <sheetFormatPr defaultColWidth="14.44140625" defaultRowHeight="15" customHeight="1" x14ac:dyDescent="0.3"/>
  <cols>
    <col min="10" max="10" width="37.109375" customWidth="1"/>
  </cols>
  <sheetData>
    <row r="1" spans="1:23" x14ac:dyDescent="0.3">
      <c r="A1" s="163" t="s">
        <v>0</v>
      </c>
      <c r="B1" s="12"/>
      <c r="C1" s="12"/>
      <c r="D1" s="12"/>
      <c r="E1" s="12"/>
      <c r="F1" s="12"/>
      <c r="G1" s="12"/>
      <c r="H1" s="12"/>
      <c r="I1" s="12"/>
      <c r="J1" s="12"/>
      <c r="K1" s="12"/>
      <c r="L1" s="62"/>
      <c r="M1" s="12"/>
      <c r="N1" s="12"/>
      <c r="O1" s="12"/>
      <c r="P1" s="12"/>
      <c r="Q1" s="12"/>
      <c r="R1" s="12"/>
      <c r="S1" s="164"/>
      <c r="T1" s="62"/>
      <c r="U1" s="62"/>
      <c r="V1" s="12"/>
      <c r="W1" s="12"/>
    </row>
    <row r="2" spans="1:23" x14ac:dyDescent="0.3">
      <c r="A2" s="12"/>
      <c r="B2" s="12"/>
      <c r="C2" s="12"/>
      <c r="D2" s="12"/>
      <c r="E2" s="12"/>
      <c r="F2" s="12"/>
      <c r="G2" s="12"/>
      <c r="H2" s="12"/>
      <c r="I2" s="12"/>
      <c r="J2" s="12"/>
      <c r="K2" s="12"/>
      <c r="L2" s="62"/>
      <c r="M2" s="12"/>
      <c r="N2" s="12"/>
      <c r="O2" s="12"/>
      <c r="P2" s="12"/>
      <c r="Q2" s="12"/>
      <c r="R2" s="12"/>
      <c r="S2" s="165" t="s">
        <v>1</v>
      </c>
      <c r="T2" s="62"/>
      <c r="U2" s="62"/>
      <c r="V2" s="12"/>
      <c r="W2" s="12"/>
    </row>
    <row r="3" spans="1:23" x14ac:dyDescent="0.3">
      <c r="A3" s="166" t="s">
        <v>2</v>
      </c>
      <c r="B3" s="12"/>
      <c r="C3" s="12"/>
      <c r="D3" s="12"/>
      <c r="E3" s="12"/>
      <c r="F3" s="12"/>
      <c r="G3" s="12"/>
      <c r="H3" s="12"/>
      <c r="I3" s="12"/>
      <c r="J3" s="12"/>
      <c r="K3" s="12"/>
      <c r="L3" s="12"/>
      <c r="M3" s="12"/>
      <c r="N3" s="12"/>
      <c r="O3" s="12"/>
      <c r="P3" s="12"/>
      <c r="Q3" s="12"/>
      <c r="R3" s="12"/>
      <c r="S3" s="12"/>
      <c r="T3" s="62"/>
      <c r="U3" s="12"/>
      <c r="V3" s="167" t="s">
        <v>3</v>
      </c>
      <c r="W3" s="12"/>
    </row>
    <row r="4" spans="1:23" x14ac:dyDescent="0.3">
      <c r="A4" s="166" t="s">
        <v>4</v>
      </c>
      <c r="B4" s="12"/>
      <c r="C4" s="12"/>
      <c r="D4" s="12"/>
      <c r="E4" s="12"/>
      <c r="F4" s="12"/>
      <c r="G4" s="12"/>
      <c r="H4" s="12"/>
      <c r="I4" s="12"/>
      <c r="J4" s="12"/>
      <c r="K4" s="12"/>
      <c r="L4" s="12"/>
      <c r="M4" s="12"/>
      <c r="N4" s="12"/>
      <c r="O4" s="12"/>
      <c r="P4" s="12"/>
      <c r="Q4" s="12"/>
      <c r="R4" s="12"/>
      <c r="S4" s="12"/>
      <c r="T4" s="62"/>
      <c r="U4" s="12"/>
      <c r="V4" s="12"/>
      <c r="W4" s="12"/>
    </row>
    <row r="5" spans="1:23" x14ac:dyDescent="0.3">
      <c r="A5" s="168" t="s">
        <v>5</v>
      </c>
      <c r="B5" s="12"/>
      <c r="C5" s="12"/>
      <c r="D5" s="12"/>
      <c r="E5" s="12"/>
      <c r="F5" s="12"/>
      <c r="G5" s="12"/>
      <c r="H5" s="12"/>
      <c r="I5" s="12"/>
      <c r="J5" s="12"/>
      <c r="K5" s="12"/>
      <c r="L5" s="12"/>
      <c r="M5" s="12"/>
      <c r="N5" s="12"/>
      <c r="O5" s="12"/>
      <c r="P5" s="12"/>
      <c r="Q5" s="12"/>
      <c r="R5" s="12"/>
      <c r="S5" s="12"/>
      <c r="T5" s="62"/>
      <c r="U5" s="12"/>
      <c r="V5" s="12"/>
      <c r="W5" s="12"/>
    </row>
    <row r="6" spans="1:23" x14ac:dyDescent="0.3">
      <c r="A6" s="169" t="s">
        <v>6</v>
      </c>
      <c r="B6" s="169" t="s">
        <v>7</v>
      </c>
      <c r="C6" s="170"/>
      <c r="D6" s="170"/>
      <c r="E6" s="170"/>
      <c r="F6" s="170"/>
      <c r="G6" s="170"/>
      <c r="H6" s="169" t="s">
        <v>8</v>
      </c>
      <c r="I6" s="170"/>
      <c r="J6" s="170"/>
      <c r="K6" s="169" t="s">
        <v>9</v>
      </c>
      <c r="L6" s="171" t="s">
        <v>10</v>
      </c>
      <c r="M6" s="169" t="s">
        <v>11</v>
      </c>
      <c r="N6" s="172" t="s">
        <v>12</v>
      </c>
      <c r="O6" s="173"/>
      <c r="P6" s="172" t="s">
        <v>13</v>
      </c>
      <c r="Q6" s="173"/>
      <c r="R6" s="174" t="s">
        <v>14</v>
      </c>
      <c r="S6" s="175" t="s">
        <v>15</v>
      </c>
      <c r="T6" s="176" t="s">
        <v>15</v>
      </c>
      <c r="U6" s="177" t="s">
        <v>16</v>
      </c>
      <c r="V6" s="12"/>
      <c r="W6" s="12"/>
    </row>
    <row r="7" spans="1:23" x14ac:dyDescent="0.3">
      <c r="A7" s="170"/>
      <c r="B7" s="170"/>
      <c r="C7" s="170"/>
      <c r="D7" s="170"/>
      <c r="E7" s="170"/>
      <c r="F7" s="170"/>
      <c r="G7" s="170"/>
      <c r="H7" s="169" t="s">
        <v>17</v>
      </c>
      <c r="I7" s="169" t="s">
        <v>18</v>
      </c>
      <c r="J7" s="178" t="s">
        <v>19</v>
      </c>
      <c r="K7" s="170"/>
      <c r="L7" s="179"/>
      <c r="M7" s="170"/>
      <c r="N7" s="180"/>
      <c r="O7" s="180"/>
      <c r="P7" s="180"/>
      <c r="Q7" s="180"/>
      <c r="R7" s="170"/>
      <c r="S7" s="181"/>
      <c r="T7" s="179"/>
      <c r="U7" s="182">
        <f>SUM(U9:U3826)</f>
        <v>2625550.4675000003</v>
      </c>
      <c r="V7" s="12"/>
      <c r="W7" s="12"/>
    </row>
    <row r="8" spans="1:23" x14ac:dyDescent="0.3">
      <c r="A8" s="183"/>
      <c r="B8" s="184" t="s">
        <v>1885</v>
      </c>
      <c r="C8" s="184" t="s">
        <v>1886</v>
      </c>
      <c r="D8" s="184" t="s">
        <v>1887</v>
      </c>
      <c r="E8" s="184" t="s">
        <v>1888</v>
      </c>
      <c r="F8" s="184" t="s">
        <v>1889</v>
      </c>
      <c r="G8" s="170"/>
      <c r="H8" s="184" t="s">
        <v>1890</v>
      </c>
      <c r="I8" s="170"/>
      <c r="J8" s="185" t="s">
        <v>1891</v>
      </c>
      <c r="K8" s="186" t="s">
        <v>24</v>
      </c>
      <c r="L8" s="187" t="s">
        <v>10</v>
      </c>
      <c r="M8" s="184" t="s">
        <v>1892</v>
      </c>
      <c r="N8" s="188" t="s">
        <v>1893</v>
      </c>
      <c r="O8" s="189" t="s">
        <v>1894</v>
      </c>
      <c r="P8" s="190" t="s">
        <v>13</v>
      </c>
      <c r="Q8" s="191"/>
      <c r="R8" s="192" t="s">
        <v>25</v>
      </c>
      <c r="S8" s="181"/>
      <c r="T8" s="179"/>
      <c r="U8" s="179" t="s">
        <v>20</v>
      </c>
      <c r="V8" s="193" t="s">
        <v>26</v>
      </c>
      <c r="W8" s="12"/>
    </row>
    <row r="9" spans="1:23" x14ac:dyDescent="0.3">
      <c r="A9" s="183" cm="1">
        <f t="array" ref="A9:A3000">IF(B9:B3000&lt;&gt;"", MATCH(B9:B3000, _xlfn.UNIQUE(B9:B3000), 0), "")</f>
        <v>1</v>
      </c>
      <c r="B9" s="46" t="s">
        <v>840</v>
      </c>
      <c r="C9" s="170"/>
      <c r="D9" s="194"/>
      <c r="E9" s="194"/>
      <c r="F9" s="194"/>
      <c r="G9" s="170"/>
      <c r="H9" s="194" t="s">
        <v>2020</v>
      </c>
      <c r="I9" s="170"/>
      <c r="J9" s="46" t="s">
        <v>841</v>
      </c>
      <c r="K9" s="170"/>
      <c r="L9" s="197">
        <v>8.5</v>
      </c>
      <c r="M9" s="197">
        <v>113</v>
      </c>
      <c r="N9" s="290">
        <v>20</v>
      </c>
      <c r="O9" s="46"/>
      <c r="P9" s="46" t="s">
        <v>39</v>
      </c>
      <c r="Q9" s="170"/>
      <c r="R9" s="192" t="str">
        <f>CONCATENATE(N9,P9)</f>
        <v>20grams</v>
      </c>
      <c r="S9" s="198">
        <f>M9*N9</f>
        <v>2260</v>
      </c>
      <c r="T9" s="199" t="str">
        <f>CONCATENATE(S9,Q9,P9)</f>
        <v>2260grams</v>
      </c>
      <c r="U9" s="200">
        <f>L9*M9</f>
        <v>960.5</v>
      </c>
      <c r="V9" s="12"/>
      <c r="W9" s="12"/>
    </row>
    <row r="10" spans="1:23" x14ac:dyDescent="0.3">
      <c r="A10" s="183">
        <v>1</v>
      </c>
      <c r="B10" s="46" t="s">
        <v>840</v>
      </c>
      <c r="C10" s="170"/>
      <c r="D10" s="194"/>
      <c r="E10" s="194"/>
      <c r="F10" s="194"/>
      <c r="G10" s="170"/>
      <c r="H10" s="194" t="s">
        <v>2021</v>
      </c>
      <c r="I10" s="170"/>
      <c r="J10" s="46" t="s">
        <v>841</v>
      </c>
      <c r="K10" s="170"/>
      <c r="L10" s="216">
        <v>8.5299999999999994</v>
      </c>
      <c r="M10" s="216">
        <v>16</v>
      </c>
      <c r="N10" s="293">
        <v>30</v>
      </c>
      <c r="O10" s="219"/>
      <c r="P10" s="219" t="s">
        <v>39</v>
      </c>
      <c r="Q10" s="170"/>
      <c r="R10" s="192" t="str">
        <f>CONCATENATE(N10,P10)</f>
        <v>30grams</v>
      </c>
      <c r="S10" s="198">
        <f>M10*N10</f>
        <v>480</v>
      </c>
      <c r="T10" s="199" t="str">
        <f>CONCATENATE(S10,Q10,P10)</f>
        <v>480grams</v>
      </c>
      <c r="U10" s="200">
        <f>L10*M10</f>
        <v>136.47999999999999</v>
      </c>
      <c r="V10" s="12"/>
      <c r="W10" s="12"/>
    </row>
    <row r="11" spans="1:23" x14ac:dyDescent="0.3">
      <c r="A11" s="183">
        <v>1</v>
      </c>
      <c r="B11" s="46" t="s">
        <v>840</v>
      </c>
      <c r="C11" s="170"/>
      <c r="D11" s="194"/>
      <c r="E11" s="170"/>
      <c r="F11" s="170"/>
      <c r="G11" s="170"/>
      <c r="H11" s="194" t="s">
        <v>2020</v>
      </c>
      <c r="I11" s="170"/>
      <c r="J11" s="46" t="s">
        <v>841</v>
      </c>
      <c r="K11" s="170"/>
      <c r="L11" s="197">
        <v>8.5</v>
      </c>
      <c r="M11" s="197">
        <v>92</v>
      </c>
      <c r="N11" s="290">
        <v>20</v>
      </c>
      <c r="O11" s="46"/>
      <c r="P11" s="46" t="s">
        <v>39</v>
      </c>
      <c r="Q11" s="170"/>
      <c r="R11" s="192" t="str">
        <f>CONCATENATE(N11,P11)</f>
        <v>20grams</v>
      </c>
      <c r="S11" s="198">
        <f>M11*N11</f>
        <v>1840</v>
      </c>
      <c r="T11" s="199" t="str">
        <f>CONCATENATE(S11,Q11,P11)</f>
        <v>1840grams</v>
      </c>
      <c r="U11" s="200">
        <f>L11*M11</f>
        <v>782</v>
      </c>
      <c r="V11" s="12"/>
      <c r="W11" s="12"/>
    </row>
    <row r="12" spans="1:23" x14ac:dyDescent="0.3">
      <c r="A12" s="183">
        <v>1</v>
      </c>
      <c r="B12" s="46" t="s">
        <v>840</v>
      </c>
      <c r="C12" s="170"/>
      <c r="D12" s="194"/>
      <c r="E12" s="170"/>
      <c r="F12" s="170"/>
      <c r="G12" s="170"/>
      <c r="H12" s="194" t="s">
        <v>2020</v>
      </c>
      <c r="I12" s="170"/>
      <c r="J12" s="46" t="s">
        <v>842</v>
      </c>
      <c r="K12" s="170"/>
      <c r="L12" s="197">
        <v>8.5</v>
      </c>
      <c r="M12" s="197">
        <v>21</v>
      </c>
      <c r="N12" s="290">
        <v>20</v>
      </c>
      <c r="O12" s="46"/>
      <c r="P12" s="46" t="s">
        <v>39</v>
      </c>
      <c r="Q12" s="170"/>
      <c r="R12" s="192" t="str">
        <f>CONCATENATE(N12,P12)</f>
        <v>20grams</v>
      </c>
      <c r="S12" s="198">
        <f>M12*N12</f>
        <v>420</v>
      </c>
      <c r="T12" s="199" t="str">
        <f>CONCATENATE(S12,Q12,P12)</f>
        <v>420grams</v>
      </c>
      <c r="U12" s="200">
        <f>L12*M12</f>
        <v>178.5</v>
      </c>
      <c r="V12" s="12"/>
      <c r="W12" s="12"/>
    </row>
    <row r="13" spans="1:23" x14ac:dyDescent="0.3">
      <c r="A13" s="183">
        <v>1</v>
      </c>
      <c r="B13" s="46" t="s">
        <v>840</v>
      </c>
      <c r="C13" s="170"/>
      <c r="D13" s="194"/>
      <c r="E13" s="194"/>
      <c r="F13" s="194"/>
      <c r="G13" s="170"/>
      <c r="H13" s="194" t="s">
        <v>2022</v>
      </c>
      <c r="I13" s="170"/>
      <c r="J13" s="46" t="s">
        <v>842</v>
      </c>
      <c r="K13" s="170"/>
      <c r="L13" s="197">
        <v>7.7</v>
      </c>
      <c r="M13" s="197">
        <v>15</v>
      </c>
      <c r="N13" s="290">
        <v>26</v>
      </c>
      <c r="O13" s="46"/>
      <c r="P13" s="46" t="s">
        <v>39</v>
      </c>
      <c r="Q13" s="170"/>
      <c r="R13" s="192" t="str">
        <f>CONCATENATE(N13,P13)</f>
        <v>26grams</v>
      </c>
      <c r="S13" s="198">
        <f>M13*N13</f>
        <v>390</v>
      </c>
      <c r="T13" s="199" t="str">
        <f>CONCATENATE(S13,Q13,P13)</f>
        <v>390grams</v>
      </c>
      <c r="U13" s="200">
        <f>L13*M13</f>
        <v>115.5</v>
      </c>
      <c r="V13" s="12"/>
      <c r="W13" s="12"/>
    </row>
    <row r="14" spans="1:23" x14ac:dyDescent="0.3">
      <c r="A14" s="183">
        <v>1</v>
      </c>
      <c r="B14" s="46" t="s">
        <v>840</v>
      </c>
      <c r="C14" s="170"/>
      <c r="D14" s="194"/>
      <c r="E14" s="194"/>
      <c r="F14" s="194"/>
      <c r="G14" s="170"/>
      <c r="H14" s="194" t="s">
        <v>2022</v>
      </c>
      <c r="I14" s="170"/>
      <c r="J14" s="46" t="s">
        <v>841</v>
      </c>
      <c r="K14" s="170"/>
      <c r="L14" s="197">
        <v>7.7</v>
      </c>
      <c r="M14" s="197">
        <v>18</v>
      </c>
      <c r="N14" s="290">
        <v>30</v>
      </c>
      <c r="O14" s="46"/>
      <c r="P14" s="46" t="s">
        <v>39</v>
      </c>
      <c r="Q14" s="170"/>
      <c r="R14" s="192" t="str">
        <f>CONCATENATE(N14,P14)</f>
        <v>30grams</v>
      </c>
      <c r="S14" s="198">
        <f>M14*N14</f>
        <v>540</v>
      </c>
      <c r="T14" s="199" t="str">
        <f>CONCATENATE(S14,Q14,P14)</f>
        <v>540grams</v>
      </c>
      <c r="U14" s="200">
        <f>L14*M14</f>
        <v>138.6</v>
      </c>
      <c r="V14" s="12"/>
      <c r="W14" s="12"/>
    </row>
    <row r="15" spans="1:23" x14ac:dyDescent="0.3">
      <c r="A15" s="183">
        <v>1</v>
      </c>
      <c r="B15" s="46" t="s">
        <v>840</v>
      </c>
      <c r="C15" s="170"/>
      <c r="D15" s="194"/>
      <c r="E15" s="170"/>
      <c r="F15" s="170"/>
      <c r="G15" s="170"/>
      <c r="H15" s="194" t="s">
        <v>2022</v>
      </c>
      <c r="I15" s="170"/>
      <c r="J15" s="46" t="s">
        <v>841</v>
      </c>
      <c r="K15" s="170"/>
      <c r="L15" s="197">
        <v>7.7</v>
      </c>
      <c r="M15" s="197">
        <v>10</v>
      </c>
      <c r="N15" s="290">
        <v>30</v>
      </c>
      <c r="O15" s="46"/>
      <c r="P15" s="46" t="s">
        <v>39</v>
      </c>
      <c r="Q15" s="170"/>
      <c r="R15" s="192" t="str">
        <f>CONCATENATE(N15,P15)</f>
        <v>30grams</v>
      </c>
      <c r="S15" s="198">
        <f>M15*N15</f>
        <v>300</v>
      </c>
      <c r="T15" s="199" t="str">
        <f>CONCATENATE(S15,Q15,P15)</f>
        <v>300grams</v>
      </c>
      <c r="U15" s="200">
        <f>L15*M15</f>
        <v>77</v>
      </c>
      <c r="V15" s="12"/>
      <c r="W15" s="12"/>
    </row>
    <row r="16" spans="1:23" x14ac:dyDescent="0.3">
      <c r="A16" s="183">
        <v>1</v>
      </c>
      <c r="B16" s="46" t="s">
        <v>840</v>
      </c>
      <c r="C16" s="194"/>
      <c r="D16" s="194"/>
      <c r="E16" s="194"/>
      <c r="F16" s="194"/>
      <c r="G16" s="170"/>
      <c r="H16" s="194" t="s">
        <v>2021</v>
      </c>
      <c r="I16" s="170"/>
      <c r="J16" s="46" t="s">
        <v>842</v>
      </c>
      <c r="K16" s="170"/>
      <c r="L16" s="216">
        <v>7.74</v>
      </c>
      <c r="M16" s="216">
        <v>8</v>
      </c>
      <c r="N16" s="293">
        <v>28</v>
      </c>
      <c r="O16" s="219"/>
      <c r="P16" s="219" t="s">
        <v>39</v>
      </c>
      <c r="Q16" s="61" t="s">
        <v>33</v>
      </c>
      <c r="R16" s="192" t="str">
        <f>CONCATENATE(N16,P16)</f>
        <v>28grams</v>
      </c>
      <c r="S16" s="198">
        <f>M16*N16</f>
        <v>224</v>
      </c>
      <c r="T16" s="199" t="str">
        <f>CONCATENATE(S16,Q16,P16)</f>
        <v>224 grams</v>
      </c>
      <c r="U16" s="200">
        <f>L16*M16</f>
        <v>61.92</v>
      </c>
      <c r="V16" s="12"/>
      <c r="W16" s="12"/>
    </row>
    <row r="17" spans="1:23" x14ac:dyDescent="0.3">
      <c r="A17" s="183">
        <v>1</v>
      </c>
      <c r="B17" s="46" t="s">
        <v>840</v>
      </c>
      <c r="C17" s="170"/>
      <c r="D17" s="194"/>
      <c r="E17" s="194"/>
      <c r="F17" s="194"/>
      <c r="G17" s="170"/>
      <c r="H17" s="194" t="s">
        <v>2021</v>
      </c>
      <c r="I17" s="170"/>
      <c r="J17" s="219" t="s">
        <v>843</v>
      </c>
      <c r="K17" s="170"/>
      <c r="L17" s="216">
        <v>8.6999999999999993</v>
      </c>
      <c r="M17" s="216">
        <v>5</v>
      </c>
      <c r="N17" s="293">
        <v>25</v>
      </c>
      <c r="O17" s="219"/>
      <c r="P17" s="219" t="s">
        <v>39</v>
      </c>
      <c r="Q17" s="170"/>
      <c r="R17" s="192" t="str">
        <f>CONCATENATE(N17,P17)</f>
        <v>25grams</v>
      </c>
      <c r="S17" s="198">
        <f>M17*N17</f>
        <v>125</v>
      </c>
      <c r="T17" s="199" t="str">
        <f>CONCATENATE(S17,Q17,P17)</f>
        <v>125grams</v>
      </c>
      <c r="U17" s="200">
        <f>L17*M17</f>
        <v>43.5</v>
      </c>
      <c r="V17" s="12"/>
      <c r="W17" s="12"/>
    </row>
    <row r="18" spans="1:23" x14ac:dyDescent="0.3">
      <c r="A18" s="183">
        <v>1</v>
      </c>
      <c r="B18" s="46" t="s">
        <v>840</v>
      </c>
      <c r="C18" s="170"/>
      <c r="D18" s="194"/>
      <c r="E18" s="194"/>
      <c r="F18" s="194"/>
      <c r="G18" s="170"/>
      <c r="H18" s="194" t="s">
        <v>2022</v>
      </c>
      <c r="I18" s="170"/>
      <c r="J18" s="46" t="s">
        <v>843</v>
      </c>
      <c r="K18" s="170"/>
      <c r="L18" s="197">
        <v>7.7</v>
      </c>
      <c r="M18" s="197">
        <v>2</v>
      </c>
      <c r="N18" s="290">
        <v>30</v>
      </c>
      <c r="O18" s="46"/>
      <c r="P18" s="46" t="s">
        <v>39</v>
      </c>
      <c r="Q18" s="170"/>
      <c r="R18" s="192" t="str">
        <f>CONCATENATE(N18,P18)</f>
        <v>30grams</v>
      </c>
      <c r="S18" s="198">
        <f>M18*N18</f>
        <v>60</v>
      </c>
      <c r="T18" s="199" t="str">
        <f>CONCATENATE(S18,Q18,P18)</f>
        <v>60grams</v>
      </c>
      <c r="U18" s="200">
        <f>L18*M18</f>
        <v>15.4</v>
      </c>
      <c r="V18" s="12"/>
      <c r="W18" s="12"/>
    </row>
    <row r="19" spans="1:23" x14ac:dyDescent="0.3">
      <c r="A19" s="183">
        <v>1</v>
      </c>
      <c r="B19" s="46" t="s">
        <v>840</v>
      </c>
      <c r="C19" s="194"/>
      <c r="D19" s="194"/>
      <c r="E19" s="194"/>
      <c r="F19" s="194"/>
      <c r="G19" s="170"/>
      <c r="H19" s="194" t="s">
        <v>2023</v>
      </c>
      <c r="I19" s="170"/>
      <c r="J19" s="46" t="s">
        <v>844</v>
      </c>
      <c r="K19" s="170"/>
      <c r="L19" s="197">
        <v>7.65</v>
      </c>
      <c r="M19" s="197">
        <v>763</v>
      </c>
      <c r="N19" s="290">
        <v>26</v>
      </c>
      <c r="O19" s="46"/>
      <c r="P19" s="46" t="s">
        <v>39</v>
      </c>
      <c r="Q19" s="170"/>
      <c r="R19" s="192" t="str">
        <f>CONCATENATE(N19,P19)</f>
        <v>26grams</v>
      </c>
      <c r="S19" s="198">
        <f>M19*N19</f>
        <v>19838</v>
      </c>
      <c r="T19" s="199" t="str">
        <f>CONCATENATE(S19,Q19,P19)</f>
        <v>19838grams</v>
      </c>
      <c r="U19" s="200">
        <f>L19*M19</f>
        <v>5836.95</v>
      </c>
      <c r="V19" s="12"/>
      <c r="W19" s="12"/>
    </row>
    <row r="20" spans="1:23" x14ac:dyDescent="0.3">
      <c r="A20" s="183">
        <v>1</v>
      </c>
      <c r="B20" s="46" t="s">
        <v>840</v>
      </c>
      <c r="C20" s="170"/>
      <c r="D20" s="194"/>
      <c r="E20" s="194"/>
      <c r="F20" s="194"/>
      <c r="G20" s="170"/>
      <c r="H20" s="194" t="s">
        <v>29</v>
      </c>
      <c r="I20" s="170"/>
      <c r="J20" s="46" t="s">
        <v>845</v>
      </c>
      <c r="K20" s="170"/>
      <c r="L20" s="197">
        <v>13.9</v>
      </c>
      <c r="M20" s="197">
        <v>34</v>
      </c>
      <c r="N20" s="290">
        <v>52</v>
      </c>
      <c r="O20" s="46"/>
      <c r="P20" s="46" t="s">
        <v>39</v>
      </c>
      <c r="Q20" s="170"/>
      <c r="R20" s="192" t="str">
        <f>CONCATENATE(N20,P20)</f>
        <v>52grams</v>
      </c>
      <c r="S20" s="198">
        <f>M20*N20</f>
        <v>1768</v>
      </c>
      <c r="T20" s="199" t="str">
        <f>CONCATENATE(S20,Q20,P20)</f>
        <v>1768grams</v>
      </c>
      <c r="U20" s="200">
        <f>L20*M20</f>
        <v>472.6</v>
      </c>
      <c r="V20" s="12"/>
      <c r="W20" s="12"/>
    </row>
    <row r="21" spans="1:23" x14ac:dyDescent="0.3">
      <c r="A21" s="183">
        <v>1</v>
      </c>
      <c r="B21" s="46" t="s">
        <v>840</v>
      </c>
      <c r="C21" s="170"/>
      <c r="D21" s="194"/>
      <c r="E21" s="170"/>
      <c r="F21" s="170"/>
      <c r="G21" s="170"/>
      <c r="H21" s="194" t="s">
        <v>2023</v>
      </c>
      <c r="I21" s="170"/>
      <c r="J21" s="46" t="s">
        <v>845</v>
      </c>
      <c r="K21" s="170"/>
      <c r="L21" s="197">
        <v>8.6</v>
      </c>
      <c r="M21" s="197">
        <v>493</v>
      </c>
      <c r="N21" s="290">
        <v>26</v>
      </c>
      <c r="O21" s="46"/>
      <c r="P21" s="46" t="s">
        <v>39</v>
      </c>
      <c r="Q21" s="170"/>
      <c r="R21" s="192" t="str">
        <f>CONCATENATE(N21,P21)</f>
        <v>26grams</v>
      </c>
      <c r="S21" s="198">
        <f>M21*N21</f>
        <v>12818</v>
      </c>
      <c r="T21" s="199" t="str">
        <f>CONCATENATE(S21,Q21,P21)</f>
        <v>12818grams</v>
      </c>
      <c r="U21" s="200">
        <f>L21*M21</f>
        <v>4239.8</v>
      </c>
      <c r="V21" s="12"/>
      <c r="W21" s="12"/>
    </row>
    <row r="22" spans="1:23" x14ac:dyDescent="0.3">
      <c r="A22" s="183">
        <v>1</v>
      </c>
      <c r="B22" s="46" t="s">
        <v>840</v>
      </c>
      <c r="C22" s="170"/>
      <c r="D22" s="194"/>
      <c r="E22" s="194"/>
      <c r="F22" s="194"/>
      <c r="G22" s="170"/>
      <c r="H22" s="194" t="s">
        <v>2021</v>
      </c>
      <c r="I22" s="170"/>
      <c r="J22" s="219" t="s">
        <v>845</v>
      </c>
      <c r="K22" s="170"/>
      <c r="L22" s="216">
        <v>8.51</v>
      </c>
      <c r="M22" s="216">
        <v>7</v>
      </c>
      <c r="N22" s="293">
        <v>20</v>
      </c>
      <c r="O22" s="219"/>
      <c r="P22" s="219" t="s">
        <v>39</v>
      </c>
      <c r="Q22" s="61" t="s">
        <v>33</v>
      </c>
      <c r="R22" s="192" t="str">
        <f>CONCATENATE(N22,P22)</f>
        <v>20grams</v>
      </c>
      <c r="S22" s="198">
        <f>M22*N22</f>
        <v>140</v>
      </c>
      <c r="T22" s="199" t="str">
        <f>CONCATENATE(S22,Q22,P22)</f>
        <v>140 grams</v>
      </c>
      <c r="U22" s="200">
        <f>L22*M22</f>
        <v>59.57</v>
      </c>
      <c r="V22" s="12"/>
      <c r="W22" s="12"/>
    </row>
    <row r="23" spans="1:23" x14ac:dyDescent="0.3">
      <c r="A23" s="183">
        <v>1</v>
      </c>
      <c r="B23" s="46" t="s">
        <v>840</v>
      </c>
      <c r="C23" s="170"/>
      <c r="D23" s="194"/>
      <c r="E23" s="194"/>
      <c r="F23" s="194"/>
      <c r="G23" s="170"/>
      <c r="H23" s="194" t="s">
        <v>2020</v>
      </c>
      <c r="I23" s="170"/>
      <c r="J23" s="219" t="s">
        <v>845</v>
      </c>
      <c r="K23" s="170"/>
      <c r="L23" s="197">
        <v>8.6</v>
      </c>
      <c r="M23" s="197">
        <v>27</v>
      </c>
      <c r="N23" s="290">
        <v>20</v>
      </c>
      <c r="O23" s="46"/>
      <c r="P23" s="46" t="s">
        <v>39</v>
      </c>
      <c r="Q23" s="170"/>
      <c r="R23" s="192" t="str">
        <f>CONCATENATE(N23,P23)</f>
        <v>20grams</v>
      </c>
      <c r="S23" s="198">
        <f>M23*N23</f>
        <v>540</v>
      </c>
      <c r="T23" s="199" t="str">
        <f>CONCATENATE(S23,Q23,P23)</f>
        <v>540grams</v>
      </c>
      <c r="U23" s="200">
        <f>L23*M23</f>
        <v>232.2</v>
      </c>
      <c r="V23" s="12"/>
      <c r="W23" s="12"/>
    </row>
    <row r="24" spans="1:23" x14ac:dyDescent="0.3">
      <c r="A24" s="183">
        <v>1</v>
      </c>
      <c r="B24" s="46" t="s">
        <v>840</v>
      </c>
      <c r="C24" s="170"/>
      <c r="D24" s="194"/>
      <c r="E24" s="194"/>
      <c r="F24" s="194"/>
      <c r="G24" s="170"/>
      <c r="H24" s="194" t="s">
        <v>2020</v>
      </c>
      <c r="I24" s="170"/>
      <c r="J24" s="219" t="s">
        <v>846</v>
      </c>
      <c r="K24" s="170"/>
      <c r="L24" s="197">
        <v>13.9</v>
      </c>
      <c r="M24" s="197">
        <v>62</v>
      </c>
      <c r="N24" s="290">
        <v>40</v>
      </c>
      <c r="O24" s="60"/>
      <c r="P24" s="60" t="s">
        <v>39</v>
      </c>
      <c r="Q24" s="170"/>
      <c r="R24" s="192" t="str">
        <f>CONCATENATE(N24,P24)</f>
        <v>40grams</v>
      </c>
      <c r="S24" s="198">
        <f>M24*N24</f>
        <v>2480</v>
      </c>
      <c r="T24" s="199" t="str">
        <f>CONCATENATE(S24,Q24,P24)</f>
        <v>2480grams</v>
      </c>
      <c r="U24" s="200">
        <f>L24*M24</f>
        <v>861.80000000000007</v>
      </c>
      <c r="V24" s="12"/>
      <c r="W24" s="12"/>
    </row>
    <row r="25" spans="1:23" x14ac:dyDescent="0.3">
      <c r="A25" s="183">
        <v>1</v>
      </c>
      <c r="B25" s="46" t="s">
        <v>840</v>
      </c>
      <c r="C25" s="170"/>
      <c r="D25" s="194"/>
      <c r="E25" s="194"/>
      <c r="F25" s="194"/>
      <c r="G25" s="170"/>
      <c r="H25" s="194" t="s">
        <v>2023</v>
      </c>
      <c r="I25" s="170"/>
      <c r="J25" s="46" t="s">
        <v>847</v>
      </c>
      <c r="K25" s="170"/>
      <c r="L25" s="197">
        <v>12.26</v>
      </c>
      <c r="M25" s="197">
        <v>255</v>
      </c>
      <c r="N25" s="290">
        <v>51</v>
      </c>
      <c r="O25" s="46"/>
      <c r="P25" s="46" t="s">
        <v>39</v>
      </c>
      <c r="Q25" s="170"/>
      <c r="R25" s="192" t="str">
        <f>CONCATENATE(N25,P25)</f>
        <v>51grams</v>
      </c>
      <c r="S25" s="198">
        <f>M25*N25</f>
        <v>13005</v>
      </c>
      <c r="T25" s="199" t="str">
        <f>CONCATENATE(S25,Q25,P25)</f>
        <v>13005grams</v>
      </c>
      <c r="U25" s="200">
        <f>L25*M25</f>
        <v>3126.2999999999997</v>
      </c>
      <c r="V25" s="12"/>
      <c r="W25" s="12"/>
    </row>
    <row r="26" spans="1:23" x14ac:dyDescent="0.3">
      <c r="A26" s="183">
        <v>1</v>
      </c>
      <c r="B26" s="46" t="s">
        <v>840</v>
      </c>
      <c r="C26" s="170"/>
      <c r="D26" s="194"/>
      <c r="E26" s="194"/>
      <c r="F26" s="194"/>
      <c r="G26" s="170"/>
      <c r="H26" s="194" t="s">
        <v>2021</v>
      </c>
      <c r="I26" s="170"/>
      <c r="J26" s="219" t="s">
        <v>847</v>
      </c>
      <c r="K26" s="170"/>
      <c r="L26" s="216">
        <v>8.51</v>
      </c>
      <c r="M26" s="216">
        <v>15</v>
      </c>
      <c r="N26" s="293">
        <v>51</v>
      </c>
      <c r="O26" s="219"/>
      <c r="P26" s="219" t="s">
        <v>39</v>
      </c>
      <c r="Q26" s="170"/>
      <c r="R26" s="192" t="str">
        <f>CONCATENATE(N26,P26)</f>
        <v>51grams</v>
      </c>
      <c r="S26" s="198">
        <f>M26*N26</f>
        <v>765</v>
      </c>
      <c r="T26" s="199" t="str">
        <f>CONCATENATE(S26,Q26,P26)</f>
        <v>765grams</v>
      </c>
      <c r="U26" s="200">
        <f>L26*M26</f>
        <v>127.64999999999999</v>
      </c>
      <c r="V26" s="12"/>
      <c r="W26" s="12"/>
    </row>
    <row r="27" spans="1:23" x14ac:dyDescent="0.3">
      <c r="A27" s="183">
        <v>1</v>
      </c>
      <c r="B27" s="46" t="s">
        <v>840</v>
      </c>
      <c r="C27" s="170"/>
      <c r="D27" s="194"/>
      <c r="E27" s="170"/>
      <c r="F27" s="170"/>
      <c r="G27" s="170"/>
      <c r="H27" s="194" t="s">
        <v>29</v>
      </c>
      <c r="I27" s="170"/>
      <c r="J27" s="46" t="s">
        <v>844</v>
      </c>
      <c r="K27" s="170"/>
      <c r="L27" s="197">
        <v>7.7</v>
      </c>
      <c r="M27" s="197">
        <v>30</v>
      </c>
      <c r="N27" s="290">
        <v>26</v>
      </c>
      <c r="O27" s="46"/>
      <c r="P27" s="46" t="s">
        <v>39</v>
      </c>
      <c r="Q27" s="170"/>
      <c r="R27" s="192" t="str">
        <f>CONCATENATE(N27,P27)</f>
        <v>26grams</v>
      </c>
      <c r="S27" s="198">
        <f>M27*N27</f>
        <v>780</v>
      </c>
      <c r="T27" s="199" t="str">
        <f>CONCATENATE(S27,Q27,P27)</f>
        <v>780grams</v>
      </c>
      <c r="U27" s="200">
        <f>L27*M27</f>
        <v>231</v>
      </c>
      <c r="V27" s="12"/>
      <c r="W27" s="12"/>
    </row>
    <row r="28" spans="1:23" x14ac:dyDescent="0.3">
      <c r="A28" s="183">
        <v>1</v>
      </c>
      <c r="B28" s="46" t="s">
        <v>840</v>
      </c>
      <c r="C28" s="170"/>
      <c r="D28" s="194"/>
      <c r="E28" s="194"/>
      <c r="F28" s="194"/>
      <c r="G28" s="170"/>
      <c r="H28" s="194" t="s">
        <v>2020</v>
      </c>
      <c r="I28" s="170"/>
      <c r="J28" s="219" t="s">
        <v>844</v>
      </c>
      <c r="K28" s="170"/>
      <c r="L28" s="197">
        <v>7.7</v>
      </c>
      <c r="M28" s="197">
        <v>126</v>
      </c>
      <c r="N28" s="290">
        <v>20</v>
      </c>
      <c r="O28" s="46"/>
      <c r="P28" s="46" t="s">
        <v>39</v>
      </c>
      <c r="Q28" s="170"/>
      <c r="R28" s="192" t="str">
        <f>CONCATENATE(N28,P28)</f>
        <v>20grams</v>
      </c>
      <c r="S28" s="198">
        <f>M28*N28</f>
        <v>2520</v>
      </c>
      <c r="T28" s="199" t="str">
        <f>CONCATENATE(S28,Q28,P28)</f>
        <v>2520grams</v>
      </c>
      <c r="U28" s="200">
        <f>L28*M28</f>
        <v>970.2</v>
      </c>
      <c r="V28" s="12"/>
      <c r="W28" s="12"/>
    </row>
    <row r="29" spans="1:23" x14ac:dyDescent="0.3">
      <c r="A29" s="183">
        <v>1</v>
      </c>
      <c r="B29" s="219" t="s">
        <v>840</v>
      </c>
      <c r="C29" s="170"/>
      <c r="D29" s="194"/>
      <c r="E29" s="194"/>
      <c r="F29" s="194"/>
      <c r="G29" s="170"/>
      <c r="H29" s="194" t="s">
        <v>2021</v>
      </c>
      <c r="I29" s="170"/>
      <c r="J29" s="219" t="s">
        <v>158</v>
      </c>
      <c r="K29" s="170"/>
      <c r="L29" s="391">
        <v>7.37</v>
      </c>
      <c r="M29" s="216">
        <v>2</v>
      </c>
      <c r="N29" s="293">
        <v>1</v>
      </c>
      <c r="O29" s="219"/>
      <c r="P29" s="219" t="s">
        <v>39</v>
      </c>
      <c r="Q29" s="170"/>
      <c r="R29" s="192" t="str">
        <f>CONCATENATE(N29,P29)</f>
        <v>1grams</v>
      </c>
      <c r="S29" s="198">
        <f>M29*N29</f>
        <v>2</v>
      </c>
      <c r="T29" s="199" t="str">
        <f>CONCATENATE(S29,Q29,P29)</f>
        <v>2grams</v>
      </c>
      <c r="U29" s="200">
        <f>L29*M29</f>
        <v>14.74</v>
      </c>
      <c r="V29" s="12"/>
      <c r="W29" s="12"/>
    </row>
    <row r="30" spans="1:23" x14ac:dyDescent="0.3">
      <c r="A30" s="183">
        <v>1</v>
      </c>
      <c r="B30" s="46" t="s">
        <v>840</v>
      </c>
      <c r="C30" s="215"/>
      <c r="D30" s="194"/>
      <c r="E30" s="215"/>
      <c r="F30" s="215"/>
      <c r="G30" s="215"/>
      <c r="H30" s="400" t="s">
        <v>2027</v>
      </c>
      <c r="I30" s="170"/>
      <c r="J30" s="46" t="s">
        <v>1923</v>
      </c>
      <c r="K30" s="170"/>
      <c r="L30" s="195">
        <v>7.1</v>
      </c>
      <c r="M30" s="197">
        <v>140</v>
      </c>
      <c r="N30" s="360">
        <v>1</v>
      </c>
      <c r="O30" s="61"/>
      <c r="P30" s="61" t="s">
        <v>92</v>
      </c>
      <c r="Q30" s="170"/>
      <c r="R30" s="192" t="str">
        <f>CONCATENATE(N30,P30)</f>
        <v>1pieces</v>
      </c>
      <c r="S30" s="198">
        <f>M30*N30</f>
        <v>140</v>
      </c>
      <c r="T30" s="199" t="str">
        <f>CONCATENATE(S30,Q30,P30)</f>
        <v>140pieces</v>
      </c>
      <c r="U30" s="200">
        <f>L30*M30</f>
        <v>994</v>
      </c>
      <c r="V30" s="12"/>
      <c r="W30" s="12"/>
    </row>
    <row r="31" spans="1:23" x14ac:dyDescent="0.3">
      <c r="A31" s="183">
        <v>2</v>
      </c>
      <c r="B31" s="194" t="s">
        <v>162</v>
      </c>
      <c r="C31" s="170"/>
      <c r="D31" s="194">
        <v>555</v>
      </c>
      <c r="E31" s="194" t="s">
        <v>39</v>
      </c>
      <c r="F31" s="194">
        <v>155</v>
      </c>
      <c r="G31" s="170"/>
      <c r="H31" s="183" t="s">
        <v>1895</v>
      </c>
      <c r="I31" s="170"/>
      <c r="J31" s="46" t="s">
        <v>163</v>
      </c>
      <c r="K31" s="170"/>
      <c r="L31" s="195">
        <v>32.299999999999997</v>
      </c>
      <c r="M31" s="197">
        <v>117</v>
      </c>
      <c r="N31" s="61">
        <v>1</v>
      </c>
      <c r="O31" s="61" t="str">
        <f>E31</f>
        <v>grams</v>
      </c>
      <c r="P31" s="197" t="s">
        <v>92</v>
      </c>
      <c r="Q31" s="170"/>
      <c r="R31" s="192" t="str">
        <f>CONCATENATE(N31,P31)</f>
        <v>1pieces</v>
      </c>
      <c r="S31" s="198">
        <f>M31*N31</f>
        <v>117</v>
      </c>
      <c r="T31" s="199" t="str">
        <f>CONCATENATE(S31,Q31,P31)</f>
        <v>117pieces</v>
      </c>
      <c r="U31" s="200">
        <f>L31*M31</f>
        <v>3779.0999999999995</v>
      </c>
      <c r="V31" s="12"/>
      <c r="W31" s="201"/>
    </row>
    <row r="32" spans="1:23" x14ac:dyDescent="0.3">
      <c r="A32" s="183">
        <v>3</v>
      </c>
      <c r="B32" s="194" t="s">
        <v>225</v>
      </c>
      <c r="C32" s="170"/>
      <c r="D32" s="194" t="s">
        <v>1896</v>
      </c>
      <c r="E32" s="194" t="s">
        <v>39</v>
      </c>
      <c r="F32" s="194">
        <v>500</v>
      </c>
      <c r="G32" s="170"/>
      <c r="H32" s="183" t="s">
        <v>1895</v>
      </c>
      <c r="I32" s="170"/>
      <c r="J32" s="46" t="s">
        <v>226</v>
      </c>
      <c r="K32" s="170"/>
      <c r="L32" s="195">
        <v>160</v>
      </c>
      <c r="M32" s="197">
        <v>3.6</v>
      </c>
      <c r="N32" s="61">
        <v>1</v>
      </c>
      <c r="O32" s="61" t="str">
        <f>E32</f>
        <v>grams</v>
      </c>
      <c r="P32" s="61" t="s">
        <v>39</v>
      </c>
      <c r="Q32" s="170"/>
      <c r="R32" s="192" t="str">
        <f>CONCATENATE(N32,P32)</f>
        <v>1grams</v>
      </c>
      <c r="S32" s="198">
        <f>M32*N32</f>
        <v>3.6</v>
      </c>
      <c r="T32" s="199" t="str">
        <f>CONCATENATE(S32,Q32,P32)</f>
        <v>3.6grams</v>
      </c>
      <c r="U32" s="200">
        <f>L32*M32</f>
        <v>576</v>
      </c>
      <c r="V32" s="12"/>
      <c r="W32" s="12"/>
    </row>
    <row r="33" spans="1:23" x14ac:dyDescent="0.3">
      <c r="A33" s="183">
        <v>4</v>
      </c>
      <c r="B33" s="194" t="s">
        <v>295</v>
      </c>
      <c r="C33" s="170"/>
      <c r="D33" s="194" t="str">
        <f ca="1">IFERROR(__xludf.DUMMYFUNCTION("IF(J11="""",""n/a"",IFERROR(SPLIT(J11,""/"")))"),"n/a")</f>
        <v>n/a</v>
      </c>
      <c r="E33" s="170"/>
      <c r="F33" s="170"/>
      <c r="G33" s="170"/>
      <c r="H33" s="183" t="s">
        <v>1897</v>
      </c>
      <c r="I33" s="170"/>
      <c r="J33" s="170"/>
      <c r="K33" s="170"/>
      <c r="L33" s="202">
        <v>0.06</v>
      </c>
      <c r="M33" s="202">
        <v>2000</v>
      </c>
      <c r="N33" s="203">
        <v>1000</v>
      </c>
      <c r="O33" s="170">
        <f>E33</f>
        <v>0</v>
      </c>
      <c r="P33" s="61" t="s">
        <v>39</v>
      </c>
      <c r="Q33" s="170"/>
      <c r="R33" s="192" t="str">
        <f>CONCATENATE(N33,P33)</f>
        <v>1000grams</v>
      </c>
      <c r="S33" s="198">
        <f>M33*N33</f>
        <v>2000000</v>
      </c>
      <c r="T33" s="199" t="str">
        <f>CONCATENATE(S33,Q33,P33)</f>
        <v>2000000grams</v>
      </c>
      <c r="U33" s="200">
        <f>L33*M33</f>
        <v>120</v>
      </c>
      <c r="V33" s="12"/>
      <c r="W33" s="12"/>
    </row>
    <row r="34" spans="1:23" x14ac:dyDescent="0.3">
      <c r="A34" s="183">
        <v>4</v>
      </c>
      <c r="B34" s="194" t="s">
        <v>295</v>
      </c>
      <c r="C34" s="170"/>
      <c r="D34" s="194" t="str">
        <f ca="1">IFERROR(__xludf.DUMMYFUNCTION("IF(J12="""",""n/a"",IFERROR(SPLIT(J12,""/"")))"),"n/a")</f>
        <v>n/a</v>
      </c>
      <c r="E34" s="170"/>
      <c r="F34" s="170"/>
      <c r="G34" s="170"/>
      <c r="H34" s="183" t="s">
        <v>1895</v>
      </c>
      <c r="I34" s="170"/>
      <c r="J34" s="170"/>
      <c r="K34" s="170"/>
      <c r="L34" s="195">
        <v>45</v>
      </c>
      <c r="M34" s="197">
        <v>12</v>
      </c>
      <c r="N34" s="61">
        <v>1</v>
      </c>
      <c r="O34" s="170">
        <f>E34</f>
        <v>0</v>
      </c>
      <c r="P34" s="61" t="s">
        <v>39</v>
      </c>
      <c r="Q34" s="170"/>
      <c r="R34" s="192" t="str">
        <f>CONCATENATE(N34,P34)</f>
        <v>1grams</v>
      </c>
      <c r="S34" s="198">
        <f>M34*N34</f>
        <v>12</v>
      </c>
      <c r="T34" s="199" t="str">
        <f>CONCATENATE(S34,Q34,P34)</f>
        <v>12grams</v>
      </c>
      <c r="U34" s="200">
        <f>L34*M34</f>
        <v>540</v>
      </c>
      <c r="V34" s="12"/>
      <c r="W34" s="12"/>
    </row>
    <row r="35" spans="1:23" x14ac:dyDescent="0.3">
      <c r="A35" s="183">
        <v>4</v>
      </c>
      <c r="B35" s="46" t="s">
        <v>295</v>
      </c>
      <c r="C35" s="170"/>
      <c r="D35" s="194"/>
      <c r="E35" s="170"/>
      <c r="F35" s="170"/>
      <c r="G35" s="170"/>
      <c r="H35" s="194" t="s">
        <v>2024</v>
      </c>
      <c r="I35" s="170"/>
      <c r="J35" s="296"/>
      <c r="K35" s="170"/>
      <c r="L35" s="197">
        <v>60</v>
      </c>
      <c r="M35" s="197">
        <v>2</v>
      </c>
      <c r="N35" s="290">
        <v>1</v>
      </c>
      <c r="O35" s="46"/>
      <c r="P35" s="46" t="s">
        <v>213</v>
      </c>
      <c r="Q35" s="170"/>
      <c r="R35" s="192" t="str">
        <f>CONCATENATE(N35,P35)</f>
        <v>1kilos</v>
      </c>
      <c r="S35" s="198">
        <f>M35*N35</f>
        <v>2</v>
      </c>
      <c r="T35" s="199" t="str">
        <f>CONCATENATE(S35,Q35,P35)</f>
        <v>2kilos</v>
      </c>
      <c r="U35" s="200">
        <f>L35*M35</f>
        <v>120</v>
      </c>
      <c r="V35" s="12"/>
      <c r="W35" s="12"/>
    </row>
    <row r="36" spans="1:23" x14ac:dyDescent="0.3">
      <c r="A36" s="183">
        <v>4</v>
      </c>
      <c r="B36" s="46" t="s">
        <v>295</v>
      </c>
      <c r="C36" s="170"/>
      <c r="D36" s="194"/>
      <c r="E36" s="194"/>
      <c r="F36" s="194"/>
      <c r="G36" s="170"/>
      <c r="H36" s="194" t="s">
        <v>2025</v>
      </c>
      <c r="I36" s="170"/>
      <c r="J36" s="170"/>
      <c r="K36" s="170"/>
      <c r="L36" s="197">
        <v>60</v>
      </c>
      <c r="M36" s="197">
        <v>5</v>
      </c>
      <c r="N36" s="290">
        <v>1</v>
      </c>
      <c r="O36" s="46"/>
      <c r="P36" s="46" t="s">
        <v>213</v>
      </c>
      <c r="Q36" s="170"/>
      <c r="R36" s="192" t="str">
        <f>CONCATENATE(N36,P36)</f>
        <v>1kilos</v>
      </c>
      <c r="S36" s="198">
        <f>M36*N36</f>
        <v>5</v>
      </c>
      <c r="T36" s="199" t="str">
        <f>CONCATENATE(S36,Q36,P36)</f>
        <v>5kilos</v>
      </c>
      <c r="U36" s="200">
        <f>L36*M36</f>
        <v>300</v>
      </c>
      <c r="V36" s="12"/>
      <c r="W36" s="12"/>
    </row>
    <row r="37" spans="1:23" x14ac:dyDescent="0.3">
      <c r="A37" s="183">
        <v>4</v>
      </c>
      <c r="B37" s="46" t="s">
        <v>295</v>
      </c>
      <c r="C37" s="170"/>
      <c r="D37" s="194"/>
      <c r="E37" s="194"/>
      <c r="F37" s="194"/>
      <c r="G37" s="170"/>
      <c r="H37" s="194" t="s">
        <v>2026</v>
      </c>
      <c r="I37" s="170"/>
      <c r="J37" s="170"/>
      <c r="K37" s="170"/>
      <c r="L37" s="197">
        <v>90</v>
      </c>
      <c r="M37" s="197">
        <v>1</v>
      </c>
      <c r="N37" s="290">
        <v>1</v>
      </c>
      <c r="O37" s="46"/>
      <c r="P37" s="46" t="s">
        <v>213</v>
      </c>
      <c r="Q37" s="170"/>
      <c r="R37" s="192" t="str">
        <f>CONCATENATE(N37,P37)</f>
        <v>1kilos</v>
      </c>
      <c r="S37" s="198">
        <f>M37*N37</f>
        <v>1</v>
      </c>
      <c r="T37" s="199" t="str">
        <f>CONCATENATE(S37,Q37,P37)</f>
        <v>1kilos</v>
      </c>
      <c r="U37" s="200">
        <f>L37*M37</f>
        <v>90</v>
      </c>
      <c r="V37" s="12"/>
      <c r="W37" s="12"/>
    </row>
    <row r="38" spans="1:23" x14ac:dyDescent="0.3">
      <c r="A38" s="183">
        <v>5</v>
      </c>
      <c r="B38" s="194" t="s">
        <v>121</v>
      </c>
      <c r="C38" s="170"/>
      <c r="D38" s="194" t="s">
        <v>35</v>
      </c>
      <c r="E38" s="194" t="s">
        <v>39</v>
      </c>
      <c r="F38" s="194">
        <v>33</v>
      </c>
      <c r="G38" s="170"/>
      <c r="H38" s="183" t="s">
        <v>1897</v>
      </c>
      <c r="I38" s="170"/>
      <c r="J38" s="46" t="s">
        <v>122</v>
      </c>
      <c r="K38" s="170"/>
      <c r="L38" s="204">
        <v>8.2799999999999994</v>
      </c>
      <c r="M38" s="202">
        <v>180</v>
      </c>
      <c r="N38" s="203">
        <v>1</v>
      </c>
      <c r="O38" s="61" t="str">
        <f>E38</f>
        <v>grams</v>
      </c>
      <c r="P38" s="61" t="s">
        <v>92</v>
      </c>
      <c r="Q38" s="170"/>
      <c r="R38" s="192" t="str">
        <f>CONCATENATE(N38,P38)</f>
        <v>1pieces</v>
      </c>
      <c r="S38" s="198">
        <f>M38*N38</f>
        <v>180</v>
      </c>
      <c r="T38" s="199" t="str">
        <f>CONCATENATE(S38,Q38,P38)</f>
        <v>180pieces</v>
      </c>
      <c r="U38" s="200">
        <f>L38*M38</f>
        <v>1490.3999999999999</v>
      </c>
      <c r="V38" s="205"/>
      <c r="W38" s="62"/>
    </row>
    <row r="39" spans="1:23" x14ac:dyDescent="0.3">
      <c r="A39" s="183">
        <v>5</v>
      </c>
      <c r="B39" s="194" t="s">
        <v>121</v>
      </c>
      <c r="C39" s="170"/>
      <c r="D39" s="194" t="s">
        <v>35</v>
      </c>
      <c r="E39" s="194" t="s">
        <v>39</v>
      </c>
      <c r="F39" s="194">
        <v>33</v>
      </c>
      <c r="G39" s="170"/>
      <c r="H39" s="183" t="s">
        <v>1895</v>
      </c>
      <c r="I39" s="170"/>
      <c r="J39" s="46" t="s">
        <v>122</v>
      </c>
      <c r="K39" s="170"/>
      <c r="L39" s="195">
        <v>8.2799999999999994</v>
      </c>
      <c r="M39" s="197">
        <v>141</v>
      </c>
      <c r="N39" s="61">
        <v>1</v>
      </c>
      <c r="O39" s="61" t="str">
        <f>E39</f>
        <v>grams</v>
      </c>
      <c r="P39" s="61" t="s">
        <v>92</v>
      </c>
      <c r="Q39" s="170"/>
      <c r="R39" s="192" t="str">
        <f>CONCATENATE(N39,P39)</f>
        <v>1pieces</v>
      </c>
      <c r="S39" s="198">
        <f>M39*N39</f>
        <v>141</v>
      </c>
      <c r="T39" s="199" t="str">
        <f>CONCATENATE(S39,Q39,P39)</f>
        <v>141pieces</v>
      </c>
      <c r="U39" s="200">
        <f>L39*M39</f>
        <v>1167.48</v>
      </c>
      <c r="V39" s="12"/>
      <c r="W39" s="12"/>
    </row>
    <row r="40" spans="1:23" x14ac:dyDescent="0.3">
      <c r="A40" s="183">
        <v>5</v>
      </c>
      <c r="B40" s="194" t="s">
        <v>121</v>
      </c>
      <c r="C40" s="170"/>
      <c r="D40" s="194" t="str">
        <f ca="1">IFERROR(__xludf.DUMMYFUNCTION("IF(J15="""",""n/a"",IFERROR(SPLIT(J15,""/"")))"),"n/a")</f>
        <v>n/a</v>
      </c>
      <c r="E40" s="170"/>
      <c r="F40" s="170"/>
      <c r="G40" s="170"/>
      <c r="H40" s="206" t="s">
        <v>1898</v>
      </c>
      <c r="I40" s="170"/>
      <c r="J40" s="170"/>
      <c r="K40" s="170"/>
      <c r="L40" s="197">
        <v>9.1999999999999993</v>
      </c>
      <c r="M40" s="385">
        <v>157</v>
      </c>
      <c r="N40" s="208">
        <v>1</v>
      </c>
      <c r="O40" s="170">
        <f>E40</f>
        <v>0</v>
      </c>
      <c r="P40" s="209" t="s">
        <v>92</v>
      </c>
      <c r="Q40" s="170"/>
      <c r="R40" s="192" t="str">
        <f>CONCATENATE(N40,P40)</f>
        <v>1pieces</v>
      </c>
      <c r="S40" s="198">
        <f>M40*N40</f>
        <v>157</v>
      </c>
      <c r="T40" s="199" t="str">
        <f>CONCATENATE(S40,Q40,P40)</f>
        <v>157pieces</v>
      </c>
      <c r="U40" s="200">
        <f>L40*M40</f>
        <v>1444.3999999999999</v>
      </c>
      <c r="V40" s="12"/>
      <c r="W40" s="12"/>
    </row>
    <row r="41" spans="1:23" x14ac:dyDescent="0.3">
      <c r="A41" s="183">
        <v>6</v>
      </c>
      <c r="B41" s="194" t="s">
        <v>34</v>
      </c>
      <c r="C41" s="194" t="s">
        <v>28</v>
      </c>
      <c r="D41" s="194" t="s">
        <v>1899</v>
      </c>
      <c r="E41" s="194" t="s">
        <v>39</v>
      </c>
      <c r="F41" s="194">
        <v>250</v>
      </c>
      <c r="G41" s="170"/>
      <c r="H41" s="183" t="s">
        <v>1897</v>
      </c>
      <c r="I41" s="170"/>
      <c r="J41" s="46" t="s">
        <v>484</v>
      </c>
      <c r="K41" s="170"/>
      <c r="L41" s="195">
        <v>0.24</v>
      </c>
      <c r="M41" s="202">
        <v>11500</v>
      </c>
      <c r="N41" s="202">
        <v>250</v>
      </c>
      <c r="O41" s="61" t="str">
        <f>E41</f>
        <v>grams</v>
      </c>
      <c r="P41" s="197" t="s">
        <v>39</v>
      </c>
      <c r="Q41" s="61" t="s">
        <v>33</v>
      </c>
      <c r="R41" s="192" t="str">
        <f>CONCATENATE(N41,P41)</f>
        <v>250grams</v>
      </c>
      <c r="S41" s="198">
        <f>M41*N41</f>
        <v>2875000</v>
      </c>
      <c r="T41" s="199" t="str">
        <f>CONCATENATE(S41,Q41,P41)</f>
        <v>2875000 grams</v>
      </c>
      <c r="U41" s="200">
        <f>L41*M41</f>
        <v>2760</v>
      </c>
      <c r="V41" s="205"/>
      <c r="W41" s="62"/>
    </row>
    <row r="42" spans="1:23" x14ac:dyDescent="0.3">
      <c r="A42" s="183">
        <v>6</v>
      </c>
      <c r="B42" s="194" t="s">
        <v>34</v>
      </c>
      <c r="C42" s="170"/>
      <c r="D42" s="194" t="s">
        <v>35</v>
      </c>
      <c r="E42" s="194" t="s">
        <v>32</v>
      </c>
      <c r="F42" s="194">
        <v>250</v>
      </c>
      <c r="G42" s="170"/>
      <c r="H42" s="183" t="s">
        <v>1895</v>
      </c>
      <c r="I42" s="170"/>
      <c r="J42" s="46" t="s">
        <v>35</v>
      </c>
      <c r="K42" s="170"/>
      <c r="L42" s="195">
        <v>61.32</v>
      </c>
      <c r="M42" s="197">
        <v>30</v>
      </c>
      <c r="N42" s="61">
        <v>250</v>
      </c>
      <c r="O42" s="61" t="str">
        <f>E42</f>
        <v>ml</v>
      </c>
      <c r="P42" s="61" t="s">
        <v>32</v>
      </c>
      <c r="Q42" s="170"/>
      <c r="R42" s="192" t="str">
        <f>CONCATENATE(N42,P42)</f>
        <v>250ml</v>
      </c>
      <c r="S42" s="198">
        <f>M42*N42</f>
        <v>7500</v>
      </c>
      <c r="T42" s="199" t="str">
        <f>CONCATENATE(S42,Q42,P42)</f>
        <v>7500ml</v>
      </c>
      <c r="U42" s="200">
        <f>L42*M42</f>
        <v>1839.6</v>
      </c>
      <c r="V42" s="12"/>
      <c r="W42" s="12"/>
    </row>
    <row r="43" spans="1:23" x14ac:dyDescent="0.3">
      <c r="A43" s="183">
        <v>6</v>
      </c>
      <c r="B43" s="194" t="s">
        <v>34</v>
      </c>
      <c r="C43" s="170"/>
      <c r="D43" s="194" t="s">
        <v>36</v>
      </c>
      <c r="E43" s="194" t="s">
        <v>32</v>
      </c>
      <c r="F43" s="194">
        <v>250</v>
      </c>
      <c r="G43" s="170"/>
      <c r="H43" s="183" t="s">
        <v>1895</v>
      </c>
      <c r="I43" s="170"/>
      <c r="J43" s="46" t="s">
        <v>36</v>
      </c>
      <c r="K43" s="170"/>
      <c r="L43" s="195">
        <v>46.58</v>
      </c>
      <c r="M43" s="197">
        <v>22</v>
      </c>
      <c r="N43" s="61">
        <v>250</v>
      </c>
      <c r="O43" s="61" t="str">
        <f>E43</f>
        <v>ml</v>
      </c>
      <c r="P43" s="61" t="s">
        <v>32</v>
      </c>
      <c r="Q43" s="170"/>
      <c r="R43" s="192" t="str">
        <f>CONCATENATE(N43,P43)</f>
        <v>250ml</v>
      </c>
      <c r="S43" s="198">
        <f>M43*N43</f>
        <v>5500</v>
      </c>
      <c r="T43" s="199" t="str">
        <f>CONCATENATE(S43,Q43,P43)</f>
        <v>5500ml</v>
      </c>
      <c r="U43" s="200">
        <f>L43*M43</f>
        <v>1024.76</v>
      </c>
      <c r="V43" s="12"/>
      <c r="W43" s="12"/>
    </row>
    <row r="44" spans="1:23" x14ac:dyDescent="0.3">
      <c r="A44" s="183">
        <v>6</v>
      </c>
      <c r="B44" s="194" t="s">
        <v>34</v>
      </c>
      <c r="C44" s="194" t="s">
        <v>1900</v>
      </c>
      <c r="D44" s="194" t="s">
        <v>35</v>
      </c>
      <c r="E44" s="194" t="s">
        <v>32</v>
      </c>
      <c r="F44" s="194">
        <v>250</v>
      </c>
      <c r="G44" s="170"/>
      <c r="H44" s="206" t="s">
        <v>1898</v>
      </c>
      <c r="I44" s="170"/>
      <c r="J44" s="46" t="s">
        <v>485</v>
      </c>
      <c r="K44" s="170"/>
      <c r="L44" s="197">
        <v>0.25</v>
      </c>
      <c r="M44" s="386">
        <v>6500</v>
      </c>
      <c r="N44" s="208">
        <v>250</v>
      </c>
      <c r="O44" s="61" t="str">
        <f>E44</f>
        <v>ml</v>
      </c>
      <c r="P44" s="61" t="s">
        <v>32</v>
      </c>
      <c r="Q44" s="170"/>
      <c r="R44" s="192" t="str">
        <f>CONCATENATE(N44,P44)</f>
        <v>250ml</v>
      </c>
      <c r="S44" s="198">
        <f>M44*N44</f>
        <v>1625000</v>
      </c>
      <c r="T44" s="199" t="str">
        <f>CONCATENATE(S44,Q44,P44)</f>
        <v>1625000ml</v>
      </c>
      <c r="U44" s="200">
        <f>L44*M44</f>
        <v>1625</v>
      </c>
      <c r="V44" s="12"/>
      <c r="W44" s="12"/>
    </row>
    <row r="45" spans="1:23" x14ac:dyDescent="0.3">
      <c r="A45" s="183">
        <v>6</v>
      </c>
      <c r="B45" s="46" t="s">
        <v>34</v>
      </c>
      <c r="C45" s="170"/>
      <c r="D45" s="194"/>
      <c r="E45" s="194"/>
      <c r="F45" s="194"/>
      <c r="G45" s="170"/>
      <c r="H45" s="194" t="s">
        <v>29</v>
      </c>
      <c r="I45" s="170"/>
      <c r="J45" s="46" t="s">
        <v>30</v>
      </c>
      <c r="K45" s="170"/>
      <c r="L45" s="197">
        <v>69.8</v>
      </c>
      <c r="M45" s="197">
        <v>7</v>
      </c>
      <c r="N45" s="290">
        <v>250</v>
      </c>
      <c r="O45" s="46"/>
      <c r="P45" s="46" t="s">
        <v>32</v>
      </c>
      <c r="Q45" s="170"/>
      <c r="R45" s="192" t="str">
        <f>CONCATENATE(N45,P45)</f>
        <v>250ml</v>
      </c>
      <c r="S45" s="198">
        <f>M45*N45</f>
        <v>1750</v>
      </c>
      <c r="T45" s="199" t="str">
        <f>CONCATENATE(S45,Q45,P45)</f>
        <v>1750ml</v>
      </c>
      <c r="U45" s="200">
        <f>L45*M45</f>
        <v>488.59999999999997</v>
      </c>
      <c r="V45" s="12"/>
      <c r="W45" s="12"/>
    </row>
    <row r="46" spans="1:23" x14ac:dyDescent="0.3">
      <c r="A46" s="183">
        <v>6</v>
      </c>
      <c r="B46" s="46" t="s">
        <v>34</v>
      </c>
      <c r="C46" s="170"/>
      <c r="D46" s="194"/>
      <c r="E46" s="194"/>
      <c r="F46" s="170"/>
      <c r="G46" s="170"/>
      <c r="H46" s="194" t="s">
        <v>2025</v>
      </c>
      <c r="I46" s="170"/>
      <c r="J46" s="46" t="s">
        <v>35</v>
      </c>
      <c r="K46" s="170"/>
      <c r="L46" s="197">
        <v>42.7</v>
      </c>
      <c r="M46" s="197">
        <v>13</v>
      </c>
      <c r="N46" s="290">
        <v>250</v>
      </c>
      <c r="O46" s="46"/>
      <c r="P46" s="46" t="s">
        <v>32</v>
      </c>
      <c r="Q46" s="170"/>
      <c r="R46" s="192" t="str">
        <f>CONCATENATE(N46,P46)</f>
        <v>250ml</v>
      </c>
      <c r="S46" s="198">
        <f>M46*N46</f>
        <v>3250</v>
      </c>
      <c r="T46" s="199" t="str">
        <f>CONCATENATE(S46,Q46,P46)</f>
        <v>3250ml</v>
      </c>
      <c r="U46" s="200">
        <f>L46*M46</f>
        <v>555.1</v>
      </c>
      <c r="V46" s="12"/>
      <c r="W46" s="12"/>
    </row>
    <row r="47" spans="1:23" x14ac:dyDescent="0.3">
      <c r="A47" s="183">
        <v>6</v>
      </c>
      <c r="B47" s="46" t="s">
        <v>34</v>
      </c>
      <c r="C47" s="170"/>
      <c r="D47" s="194"/>
      <c r="E47" s="194"/>
      <c r="F47" s="170"/>
      <c r="G47" s="170"/>
      <c r="H47" s="194" t="s">
        <v>2026</v>
      </c>
      <c r="I47" s="170"/>
      <c r="J47" s="46" t="s">
        <v>30</v>
      </c>
      <c r="K47" s="170"/>
      <c r="L47" s="197">
        <v>61.88</v>
      </c>
      <c r="M47" s="197">
        <v>2</v>
      </c>
      <c r="N47" s="290">
        <v>250</v>
      </c>
      <c r="O47" s="46"/>
      <c r="P47" s="46" t="s">
        <v>32</v>
      </c>
      <c r="Q47" s="170"/>
      <c r="R47" s="192" t="str">
        <f>CONCATENATE(N47,P47)</f>
        <v>250ml</v>
      </c>
      <c r="S47" s="198">
        <f>M47*N47</f>
        <v>500</v>
      </c>
      <c r="T47" s="199" t="str">
        <f>CONCATENATE(S47,Q47,P47)</f>
        <v>500ml</v>
      </c>
      <c r="U47" s="200">
        <f>L47*M47</f>
        <v>123.76</v>
      </c>
      <c r="V47" s="12"/>
      <c r="W47" s="12"/>
    </row>
    <row r="48" spans="1:23" x14ac:dyDescent="0.3">
      <c r="A48" s="183">
        <v>6</v>
      </c>
      <c r="B48" s="46" t="s">
        <v>34</v>
      </c>
      <c r="C48" s="170"/>
      <c r="D48" s="194"/>
      <c r="E48" s="194"/>
      <c r="F48" s="170"/>
      <c r="G48" s="170"/>
      <c r="H48" s="194" t="s">
        <v>2023</v>
      </c>
      <c r="I48" s="170"/>
      <c r="J48" s="46" t="s">
        <v>30</v>
      </c>
      <c r="K48" s="170"/>
      <c r="L48" s="197">
        <v>68.900000000000006</v>
      </c>
      <c r="M48" s="197">
        <v>49</v>
      </c>
      <c r="N48" s="290">
        <v>250</v>
      </c>
      <c r="O48" s="46"/>
      <c r="P48" s="46" t="s">
        <v>32</v>
      </c>
      <c r="Q48" s="170"/>
      <c r="R48" s="192" t="str">
        <f>CONCATENATE(N48,P48)</f>
        <v>250ml</v>
      </c>
      <c r="S48" s="198">
        <f>M48*N48</f>
        <v>12250</v>
      </c>
      <c r="T48" s="199" t="str">
        <f>CONCATENATE(S48,Q48,P48)</f>
        <v>12250ml</v>
      </c>
      <c r="U48" s="200">
        <f>L48*M48</f>
        <v>3376.1000000000004</v>
      </c>
      <c r="V48" s="12"/>
      <c r="W48" s="12"/>
    </row>
    <row r="49" spans="1:23" x14ac:dyDescent="0.3">
      <c r="A49" s="183">
        <v>6</v>
      </c>
      <c r="B49" s="46" t="s">
        <v>34</v>
      </c>
      <c r="C49" s="170"/>
      <c r="D49" s="194"/>
      <c r="E49" s="194"/>
      <c r="F49" s="170"/>
      <c r="G49" s="170"/>
      <c r="H49" s="194" t="s">
        <v>2022</v>
      </c>
      <c r="I49" s="170"/>
      <c r="J49" s="46" t="s">
        <v>30</v>
      </c>
      <c r="K49" s="170"/>
      <c r="L49" s="197">
        <v>69.8</v>
      </c>
      <c r="M49" s="197">
        <v>36</v>
      </c>
      <c r="N49" s="290">
        <v>250</v>
      </c>
      <c r="O49" s="46"/>
      <c r="P49" s="46" t="s">
        <v>32</v>
      </c>
      <c r="Q49" s="170"/>
      <c r="R49" s="192" t="str">
        <f>CONCATENATE(N49,P49)</f>
        <v>250ml</v>
      </c>
      <c r="S49" s="198">
        <f>M49*N49</f>
        <v>9000</v>
      </c>
      <c r="T49" s="199" t="str">
        <f>CONCATENATE(S49,Q49,P49)</f>
        <v>9000ml</v>
      </c>
      <c r="U49" s="200">
        <f>L49*M49</f>
        <v>2512.7999999999997</v>
      </c>
      <c r="V49" s="12"/>
      <c r="W49" s="12"/>
    </row>
    <row r="50" spans="1:23" x14ac:dyDescent="0.3">
      <c r="A50" s="183">
        <v>6</v>
      </c>
      <c r="B50" s="219" t="s">
        <v>34</v>
      </c>
      <c r="C50" s="170"/>
      <c r="D50" s="194"/>
      <c r="E50" s="170"/>
      <c r="F50" s="170"/>
      <c r="G50" s="170"/>
      <c r="H50" s="194" t="s">
        <v>2021</v>
      </c>
      <c r="I50" s="170"/>
      <c r="J50" s="219" t="s">
        <v>30</v>
      </c>
      <c r="K50" s="170"/>
      <c r="L50" s="216">
        <v>63.5</v>
      </c>
      <c r="M50" s="216">
        <v>3</v>
      </c>
      <c r="N50" s="293">
        <v>250</v>
      </c>
      <c r="O50" s="219"/>
      <c r="P50" s="219" t="s">
        <v>32</v>
      </c>
      <c r="Q50" s="170"/>
      <c r="R50" s="192" t="str">
        <f>CONCATENATE(N50,P50)</f>
        <v>250ml</v>
      </c>
      <c r="S50" s="198">
        <f>M50*N50</f>
        <v>750</v>
      </c>
      <c r="T50" s="199" t="str">
        <f>CONCATENATE(S50,Q50,P50)</f>
        <v>750ml</v>
      </c>
      <c r="U50" s="200">
        <f>L50*M50</f>
        <v>190.5</v>
      </c>
      <c r="V50" s="12"/>
      <c r="W50" s="12"/>
    </row>
    <row r="51" spans="1:23" x14ac:dyDescent="0.3">
      <c r="A51" s="183">
        <v>6</v>
      </c>
      <c r="B51" s="46" t="s">
        <v>34</v>
      </c>
      <c r="C51" s="170"/>
      <c r="D51" s="194"/>
      <c r="E51" s="194"/>
      <c r="F51" s="194"/>
      <c r="G51" s="170"/>
      <c r="H51" s="194" t="s">
        <v>2020</v>
      </c>
      <c r="I51" s="170"/>
      <c r="J51" s="46" t="s">
        <v>36</v>
      </c>
      <c r="K51" s="170"/>
      <c r="L51" s="197">
        <v>47.6</v>
      </c>
      <c r="M51" s="197">
        <v>7</v>
      </c>
      <c r="N51" s="290">
        <v>250</v>
      </c>
      <c r="O51" s="46"/>
      <c r="P51" s="46" t="s">
        <v>32</v>
      </c>
      <c r="Q51" s="170"/>
      <c r="R51" s="192" t="str">
        <f>CONCATENATE(N51,P51)</f>
        <v>250ml</v>
      </c>
      <c r="S51" s="198">
        <f>M51*N51</f>
        <v>1750</v>
      </c>
      <c r="T51" s="199" t="str">
        <f>CONCATENATE(S51,Q51,P51)</f>
        <v>1750ml</v>
      </c>
      <c r="U51" s="200">
        <f>L51*M51</f>
        <v>333.2</v>
      </c>
      <c r="V51" s="12"/>
      <c r="W51" s="12"/>
    </row>
    <row r="52" spans="1:23" x14ac:dyDescent="0.3">
      <c r="A52" s="183">
        <v>6</v>
      </c>
      <c r="B52" s="46" t="s">
        <v>34</v>
      </c>
      <c r="C52" s="215"/>
      <c r="D52" s="194"/>
      <c r="E52" s="215"/>
      <c r="F52" s="215"/>
      <c r="G52" s="215"/>
      <c r="H52" s="400" t="s">
        <v>2027</v>
      </c>
      <c r="I52" s="170"/>
      <c r="J52" s="46" t="s">
        <v>30</v>
      </c>
      <c r="K52" s="170"/>
      <c r="L52" s="195">
        <v>47.6</v>
      </c>
      <c r="M52" s="197">
        <v>6</v>
      </c>
      <c r="N52" s="360">
        <v>250</v>
      </c>
      <c r="O52" s="61"/>
      <c r="P52" s="61" t="s">
        <v>32</v>
      </c>
      <c r="Q52" s="170"/>
      <c r="R52" s="192" t="str">
        <f>CONCATENATE(N52,P52)</f>
        <v>250ml</v>
      </c>
      <c r="S52" s="198">
        <f>M52*N52</f>
        <v>1500</v>
      </c>
      <c r="T52" s="199" t="str">
        <f>CONCATENATE(S52,Q52,P52)</f>
        <v>1500ml</v>
      </c>
      <c r="U52" s="200">
        <f>L52*M52</f>
        <v>285.60000000000002</v>
      </c>
      <c r="V52" s="12"/>
      <c r="W52" s="12"/>
    </row>
    <row r="53" spans="1:23" x14ac:dyDescent="0.3">
      <c r="A53" s="183">
        <v>7</v>
      </c>
      <c r="B53" s="194" t="s">
        <v>227</v>
      </c>
      <c r="C53" s="170"/>
      <c r="D53" s="194" t="s">
        <v>848</v>
      </c>
      <c r="E53" s="194" t="s">
        <v>32</v>
      </c>
      <c r="F53" s="194">
        <v>3500</v>
      </c>
      <c r="G53" s="170"/>
      <c r="H53" s="183" t="s">
        <v>1895</v>
      </c>
      <c r="I53" s="170"/>
      <c r="J53" s="46" t="s">
        <v>228</v>
      </c>
      <c r="K53" s="170"/>
      <c r="L53" s="195">
        <v>412.28</v>
      </c>
      <c r="M53" s="197">
        <v>8</v>
      </c>
      <c r="N53" s="61">
        <v>1</v>
      </c>
      <c r="O53" s="61" t="str">
        <f>E53</f>
        <v>ml</v>
      </c>
      <c r="P53" s="61" t="s">
        <v>200</v>
      </c>
      <c r="Q53" s="170"/>
      <c r="R53" s="192" t="str">
        <f>CONCATENATE(N53,P53)</f>
        <v>1gal</v>
      </c>
      <c r="S53" s="198">
        <f>M53*N53</f>
        <v>8</v>
      </c>
      <c r="T53" s="199" t="str">
        <f>CONCATENATE(S53,Q53,P53)</f>
        <v>8gal</v>
      </c>
      <c r="U53" s="200">
        <f>L53*M53</f>
        <v>3298.24</v>
      </c>
      <c r="V53" s="12"/>
      <c r="W53" s="12"/>
    </row>
    <row r="54" spans="1:23" x14ac:dyDescent="0.3">
      <c r="A54" s="183">
        <v>7</v>
      </c>
      <c r="B54" s="194" t="s">
        <v>227</v>
      </c>
      <c r="C54" s="170"/>
      <c r="D54" s="194" t="str">
        <f ca="1">IFERROR(__xludf.DUMMYFUNCTION("IF(J21="""",""n/a"",IFERROR(SPLIT(J21,""/"")))"),"n/a")</f>
        <v>n/a</v>
      </c>
      <c r="E54" s="170"/>
      <c r="F54" s="170"/>
      <c r="G54" s="170"/>
      <c r="H54" s="206" t="s">
        <v>1898</v>
      </c>
      <c r="I54" s="170"/>
      <c r="J54" s="170"/>
      <c r="K54" s="170"/>
      <c r="L54" s="197">
        <v>420.6</v>
      </c>
      <c r="M54" s="386">
        <v>3</v>
      </c>
      <c r="N54" s="208">
        <v>1</v>
      </c>
      <c r="O54" s="170">
        <f>E54</f>
        <v>0</v>
      </c>
      <c r="P54" s="61" t="s">
        <v>200</v>
      </c>
      <c r="Q54" s="170"/>
      <c r="R54" s="192" t="str">
        <f>CONCATENATE(N54,P54)</f>
        <v>1gal</v>
      </c>
      <c r="S54" s="198">
        <f>M54*N54</f>
        <v>3</v>
      </c>
      <c r="T54" s="199" t="str">
        <f>CONCATENATE(S54,Q54,P54)</f>
        <v>3gal</v>
      </c>
      <c r="U54" s="200">
        <f>L54*M54</f>
        <v>1261.8000000000002</v>
      </c>
      <c r="V54" s="12"/>
      <c r="W54" s="12"/>
    </row>
    <row r="55" spans="1:23" x14ac:dyDescent="0.3">
      <c r="A55" s="183">
        <v>7</v>
      </c>
      <c r="B55" s="46" t="s">
        <v>227</v>
      </c>
      <c r="C55" s="170"/>
      <c r="D55" s="194"/>
      <c r="E55" s="194"/>
      <c r="F55" s="170"/>
      <c r="G55" s="170"/>
      <c r="H55" s="194" t="s">
        <v>2024</v>
      </c>
      <c r="I55" s="170"/>
      <c r="J55" s="46" t="s">
        <v>848</v>
      </c>
      <c r="K55" s="170"/>
      <c r="L55" s="197">
        <v>420.6</v>
      </c>
      <c r="M55" s="197">
        <v>2</v>
      </c>
      <c r="N55" s="290">
        <v>3500</v>
      </c>
      <c r="O55" s="297"/>
      <c r="P55" s="297" t="s">
        <v>32</v>
      </c>
      <c r="Q55" s="170"/>
      <c r="R55" s="192" t="str">
        <f>CONCATENATE(N55,P55)</f>
        <v>3500ml</v>
      </c>
      <c r="S55" s="198">
        <f>M55*N55</f>
        <v>7000</v>
      </c>
      <c r="T55" s="199" t="str">
        <f>CONCATENATE(S55,Q55,P55)</f>
        <v>7000ml</v>
      </c>
      <c r="U55" s="200">
        <f>L55*M55</f>
        <v>841.2</v>
      </c>
      <c r="V55" s="12"/>
      <c r="W55" s="12"/>
    </row>
    <row r="56" spans="1:23" x14ac:dyDescent="0.3">
      <c r="A56" s="183">
        <v>7</v>
      </c>
      <c r="B56" s="46" t="s">
        <v>227</v>
      </c>
      <c r="C56" s="170"/>
      <c r="D56" s="194"/>
      <c r="E56" s="170"/>
      <c r="F56" s="170"/>
      <c r="G56" s="170"/>
      <c r="H56" s="194" t="s">
        <v>2026</v>
      </c>
      <c r="I56" s="170"/>
      <c r="J56" s="46" t="s">
        <v>848</v>
      </c>
      <c r="K56" s="170"/>
      <c r="L56" s="197">
        <v>420.6</v>
      </c>
      <c r="M56" s="197">
        <v>1</v>
      </c>
      <c r="N56" s="290">
        <v>3500</v>
      </c>
      <c r="O56" s="297"/>
      <c r="P56" s="297" t="s">
        <v>32</v>
      </c>
      <c r="Q56" s="170"/>
      <c r="R56" s="192" t="str">
        <f>CONCATENATE(N56,P56)</f>
        <v>3500ml</v>
      </c>
      <c r="S56" s="198">
        <f>M56*N56</f>
        <v>3500</v>
      </c>
      <c r="T56" s="199" t="str">
        <f>CONCATENATE(S56,Q56,P56)</f>
        <v>3500ml</v>
      </c>
      <c r="U56" s="200">
        <f>L56*M56</f>
        <v>420.6</v>
      </c>
      <c r="V56" s="12"/>
      <c r="W56" s="12"/>
    </row>
    <row r="57" spans="1:23" x14ac:dyDescent="0.3">
      <c r="A57" s="183">
        <v>7</v>
      </c>
      <c r="B57" s="46" t="s">
        <v>227</v>
      </c>
      <c r="C57" s="170"/>
      <c r="D57" s="194"/>
      <c r="E57" s="170"/>
      <c r="F57" s="170"/>
      <c r="G57" s="170"/>
      <c r="H57" s="194" t="s">
        <v>2021</v>
      </c>
      <c r="I57" s="170"/>
      <c r="J57" s="46" t="s">
        <v>848</v>
      </c>
      <c r="K57" s="170"/>
      <c r="L57" s="197">
        <v>420.6</v>
      </c>
      <c r="M57" s="197">
        <v>1</v>
      </c>
      <c r="N57" s="290">
        <v>3500</v>
      </c>
      <c r="O57" s="297"/>
      <c r="P57" s="297" t="s">
        <v>32</v>
      </c>
      <c r="Q57" s="170"/>
      <c r="R57" s="192" t="str">
        <f>CONCATENATE(N57,P57)</f>
        <v>3500ml</v>
      </c>
      <c r="S57" s="198">
        <f>M57*N57</f>
        <v>3500</v>
      </c>
      <c r="T57" s="199" t="str">
        <f>CONCATENATE(S57,Q57,P57)</f>
        <v>3500ml</v>
      </c>
      <c r="U57" s="200">
        <f>L57*M57</f>
        <v>420.6</v>
      </c>
      <c r="V57" s="12"/>
      <c r="W57" s="12"/>
    </row>
    <row r="58" spans="1:23" x14ac:dyDescent="0.3">
      <c r="A58" s="183">
        <v>8</v>
      </c>
      <c r="B58" s="194" t="s">
        <v>37</v>
      </c>
      <c r="C58" s="170"/>
      <c r="D58" s="194" t="s">
        <v>40</v>
      </c>
      <c r="E58" s="194" t="s">
        <v>39</v>
      </c>
      <c r="F58" s="194">
        <v>1000</v>
      </c>
      <c r="G58" s="170"/>
      <c r="H58" s="183" t="s">
        <v>1897</v>
      </c>
      <c r="I58" s="170"/>
      <c r="J58" s="46" t="s">
        <v>486</v>
      </c>
      <c r="K58" s="170"/>
      <c r="L58" s="195">
        <v>0.08</v>
      </c>
      <c r="M58" s="202">
        <v>5000</v>
      </c>
      <c r="N58" s="203">
        <v>1000</v>
      </c>
      <c r="O58" s="61" t="str">
        <f>E58</f>
        <v>grams</v>
      </c>
      <c r="P58" s="61" t="s">
        <v>39</v>
      </c>
      <c r="Q58" s="61" t="s">
        <v>33</v>
      </c>
      <c r="R58" s="192" t="str">
        <f>CONCATENATE(N58,P58)</f>
        <v>1000grams</v>
      </c>
      <c r="S58" s="198">
        <f>M58*N58</f>
        <v>5000000</v>
      </c>
      <c r="T58" s="199" t="str">
        <f>CONCATENATE(S58,Q58,P58)</f>
        <v>5000000 grams</v>
      </c>
      <c r="U58" s="200">
        <f>L58*M58</f>
        <v>400</v>
      </c>
      <c r="V58" s="205"/>
      <c r="W58" s="62"/>
    </row>
    <row r="59" spans="1:23" x14ac:dyDescent="0.3">
      <c r="A59" s="183">
        <v>8</v>
      </c>
      <c r="B59" s="194" t="s">
        <v>37</v>
      </c>
      <c r="C59" s="170"/>
      <c r="D59" s="194" t="str">
        <f ca="1">IFERROR(__xludf.DUMMYFUNCTION("IF(J23="""",""n/a"",IFERROR(SPLIT(J23,""/"")))"),"White Pigeon")</f>
        <v>White Pigeon</v>
      </c>
      <c r="E59" s="194" t="s">
        <v>39</v>
      </c>
      <c r="F59" s="194">
        <v>1000</v>
      </c>
      <c r="G59" s="170"/>
      <c r="H59" s="183" t="s">
        <v>1895</v>
      </c>
      <c r="I59" s="170"/>
      <c r="J59" s="46" t="s">
        <v>40</v>
      </c>
      <c r="K59" s="170"/>
      <c r="L59" s="195">
        <v>59.6</v>
      </c>
      <c r="M59" s="197">
        <v>22</v>
      </c>
      <c r="N59" s="61">
        <v>1000</v>
      </c>
      <c r="O59" s="61" t="str">
        <f>E59</f>
        <v>grams</v>
      </c>
      <c r="P59" s="61" t="s">
        <v>39</v>
      </c>
      <c r="Q59" s="170"/>
      <c r="R59" s="192" t="str">
        <f>CONCATENATE(N59,P59)</f>
        <v>1000grams</v>
      </c>
      <c r="S59" s="198">
        <f>M59*N59</f>
        <v>22000</v>
      </c>
      <c r="T59" s="199" t="str">
        <f>CONCATENATE(S59,Q59,P59)</f>
        <v>22000grams</v>
      </c>
      <c r="U59" s="200">
        <f>L59*M59</f>
        <v>1311.2</v>
      </c>
      <c r="V59" s="12"/>
      <c r="W59" s="12"/>
    </row>
    <row r="60" spans="1:23" x14ac:dyDescent="0.3">
      <c r="A60" s="183">
        <v>8</v>
      </c>
      <c r="B60" s="194" t="s">
        <v>37</v>
      </c>
      <c r="C60" s="170"/>
      <c r="D60" s="194" t="str">
        <f ca="1">IFERROR(__xludf.DUMMYFUNCTION("IF(J24="""",""n/a"",IFERROR(SPLIT(J24,""/"")))"),"Maya")</f>
        <v>Maya</v>
      </c>
      <c r="E60" s="194" t="s">
        <v>39</v>
      </c>
      <c r="F60" s="194">
        <v>400</v>
      </c>
      <c r="G60" s="170"/>
      <c r="H60" s="183" t="s">
        <v>1895</v>
      </c>
      <c r="I60" s="170"/>
      <c r="J60" s="46" t="s">
        <v>38</v>
      </c>
      <c r="K60" s="170"/>
      <c r="L60" s="195">
        <v>45.54</v>
      </c>
      <c r="M60" s="197">
        <v>2</v>
      </c>
      <c r="N60" s="61">
        <v>400</v>
      </c>
      <c r="O60" s="61" t="str">
        <f>E60</f>
        <v>grams</v>
      </c>
      <c r="P60" s="61" t="s">
        <v>39</v>
      </c>
      <c r="Q60" s="170"/>
      <c r="R60" s="192" t="str">
        <f>CONCATENATE(N60,P60)</f>
        <v>400grams</v>
      </c>
      <c r="S60" s="198">
        <f>M60*N60</f>
        <v>800</v>
      </c>
      <c r="T60" s="199" t="str">
        <f>CONCATENATE(S60,Q60,P60)</f>
        <v>800grams</v>
      </c>
      <c r="U60" s="200">
        <f>L60*M60</f>
        <v>91.08</v>
      </c>
      <c r="V60" s="12"/>
      <c r="W60" s="12"/>
    </row>
    <row r="61" spans="1:23" x14ac:dyDescent="0.3">
      <c r="A61" s="183">
        <v>8</v>
      </c>
      <c r="B61" s="194" t="s">
        <v>37</v>
      </c>
      <c r="C61" s="170"/>
      <c r="D61" s="194" t="s">
        <v>38</v>
      </c>
      <c r="E61" s="194" t="s">
        <v>39</v>
      </c>
      <c r="F61" s="194">
        <v>500</v>
      </c>
      <c r="G61" s="170"/>
      <c r="H61" s="206" t="s">
        <v>1898</v>
      </c>
      <c r="I61" s="170"/>
      <c r="J61" s="46" t="s">
        <v>487</v>
      </c>
      <c r="K61" s="170"/>
      <c r="L61" s="197">
        <v>0.17</v>
      </c>
      <c r="M61" s="385">
        <v>4500</v>
      </c>
      <c r="N61" s="208">
        <v>500</v>
      </c>
      <c r="O61" s="61" t="str">
        <f>E61</f>
        <v>grams</v>
      </c>
      <c r="P61" s="61" t="s">
        <v>39</v>
      </c>
      <c r="Q61" s="170"/>
      <c r="R61" s="192" t="str">
        <f>CONCATENATE(N61,P61)</f>
        <v>500grams</v>
      </c>
      <c r="S61" s="198">
        <f>M61*N61</f>
        <v>2250000</v>
      </c>
      <c r="T61" s="199" t="str">
        <f>CONCATENATE(S61,Q61,P61)</f>
        <v>2250000grams</v>
      </c>
      <c r="U61" s="200">
        <f>L61*M61</f>
        <v>765</v>
      </c>
      <c r="V61" s="12"/>
      <c r="W61" s="12"/>
    </row>
    <row r="62" spans="1:23" x14ac:dyDescent="0.3">
      <c r="A62" s="183">
        <v>8</v>
      </c>
      <c r="B62" s="194" t="s">
        <v>37</v>
      </c>
      <c r="C62" s="170"/>
      <c r="D62" s="194" t="str">
        <f ca="1">IFERROR(__xludf.DUMMYFUNCTION("IF(J26="""",""n/a"",IFERROR(SPLIT(J26,""/"")))"),"No Brand")</f>
        <v>No Brand</v>
      </c>
      <c r="E62" s="194" t="str">
        <f ca="1">IFERROR(__xludf.DUMMYFUNCTION("""COMPUTED_VALUE"""),"pack")</f>
        <v>pack</v>
      </c>
      <c r="F62" s="194" t="str">
        <f ca="1">IFERROR(__xludf.DUMMYFUNCTION("""COMPUTED_VALUE"""),"1000grams")</f>
        <v>1000grams</v>
      </c>
      <c r="G62" s="170"/>
      <c r="H62" s="206" t="s">
        <v>1898</v>
      </c>
      <c r="I62" s="170"/>
      <c r="J62" s="46" t="s">
        <v>488</v>
      </c>
      <c r="K62" s="170"/>
      <c r="L62" s="197">
        <v>0.05</v>
      </c>
      <c r="M62" s="386">
        <v>750</v>
      </c>
      <c r="N62" s="208">
        <v>1000</v>
      </c>
      <c r="O62" s="61" t="str">
        <f ca="1">E62</f>
        <v>pack</v>
      </c>
      <c r="P62" s="61" t="s">
        <v>39</v>
      </c>
      <c r="Q62" s="170"/>
      <c r="R62" s="192" t="str">
        <f>CONCATENATE(N62,P62)</f>
        <v>1000grams</v>
      </c>
      <c r="S62" s="198">
        <f>M62*N62</f>
        <v>750000</v>
      </c>
      <c r="T62" s="199" t="str">
        <f>CONCATENATE(S62,Q62,P62)</f>
        <v>750000grams</v>
      </c>
      <c r="U62" s="200">
        <f>L62*M62</f>
        <v>37.5</v>
      </c>
      <c r="V62" s="12"/>
      <c r="W62" s="12"/>
    </row>
    <row r="63" spans="1:23" x14ac:dyDescent="0.3">
      <c r="A63" s="183">
        <v>8</v>
      </c>
      <c r="B63" s="46" t="s">
        <v>37</v>
      </c>
      <c r="C63" s="170"/>
      <c r="D63" s="194"/>
      <c r="E63" s="170"/>
      <c r="F63" s="170"/>
      <c r="G63" s="170"/>
      <c r="H63" s="194" t="s">
        <v>2024</v>
      </c>
      <c r="I63" s="170"/>
      <c r="J63" s="46" t="s">
        <v>849</v>
      </c>
      <c r="K63" s="170"/>
      <c r="L63" s="197">
        <v>48</v>
      </c>
      <c r="M63" s="197">
        <v>1</v>
      </c>
      <c r="N63" s="290">
        <v>1</v>
      </c>
      <c r="O63" s="46"/>
      <c r="P63" s="46" t="s">
        <v>213</v>
      </c>
      <c r="Q63" s="170"/>
      <c r="R63" s="192" t="str">
        <f>CONCATENATE(N63,P63)</f>
        <v>1kilos</v>
      </c>
      <c r="S63" s="198">
        <f>M63*N63</f>
        <v>1</v>
      </c>
      <c r="T63" s="199" t="str">
        <f>CONCATENATE(S63,Q63,P63)</f>
        <v>1kilos</v>
      </c>
      <c r="U63" s="200">
        <f>L63*M63</f>
        <v>48</v>
      </c>
      <c r="V63" s="12"/>
      <c r="W63" s="12"/>
    </row>
    <row r="64" spans="1:23" x14ac:dyDescent="0.3">
      <c r="A64" s="183">
        <v>8</v>
      </c>
      <c r="B64" s="46" t="s">
        <v>37</v>
      </c>
      <c r="C64" s="170"/>
      <c r="D64" s="194"/>
      <c r="E64" s="194"/>
      <c r="F64" s="194"/>
      <c r="G64" s="170"/>
      <c r="H64" s="194" t="s">
        <v>2026</v>
      </c>
      <c r="I64" s="170"/>
      <c r="J64" s="46" t="s">
        <v>38</v>
      </c>
      <c r="K64" s="170"/>
      <c r="L64" s="197">
        <v>42.53</v>
      </c>
      <c r="M64" s="197">
        <v>21</v>
      </c>
      <c r="N64" s="290">
        <v>400</v>
      </c>
      <c r="O64" s="46"/>
      <c r="P64" s="46" t="s">
        <v>39</v>
      </c>
      <c r="Q64" s="170"/>
      <c r="R64" s="192" t="str">
        <f>CONCATENATE(N64,P64)</f>
        <v>400grams</v>
      </c>
      <c r="S64" s="198">
        <f>M64*N64</f>
        <v>8400</v>
      </c>
      <c r="T64" s="199" t="str">
        <f>CONCATENATE(S64,Q64,P64)</f>
        <v>8400grams</v>
      </c>
      <c r="U64" s="200">
        <f>L64*M64</f>
        <v>893.13</v>
      </c>
      <c r="V64" s="12"/>
      <c r="W64" s="12"/>
    </row>
    <row r="65" spans="1:23" x14ac:dyDescent="0.3">
      <c r="A65" s="183">
        <v>8</v>
      </c>
      <c r="B65" s="46" t="s">
        <v>37</v>
      </c>
      <c r="C65" s="170"/>
      <c r="D65" s="194"/>
      <c r="E65" s="170"/>
      <c r="F65" s="170"/>
      <c r="G65" s="170"/>
      <c r="H65" s="194" t="s">
        <v>1368</v>
      </c>
      <c r="I65" s="170"/>
      <c r="J65" s="46" t="s">
        <v>850</v>
      </c>
      <c r="K65" s="170"/>
      <c r="L65" s="197">
        <v>455</v>
      </c>
      <c r="M65" s="197">
        <v>1</v>
      </c>
      <c r="N65" s="290">
        <v>4000</v>
      </c>
      <c r="O65" s="46"/>
      <c r="P65" s="46" t="s">
        <v>39</v>
      </c>
      <c r="Q65" s="170"/>
      <c r="R65" s="192" t="str">
        <f>CONCATENATE(N65,P65)</f>
        <v>4000grams</v>
      </c>
      <c r="S65" s="198">
        <f>M65*N65</f>
        <v>4000</v>
      </c>
      <c r="T65" s="199" t="str">
        <f>CONCATENATE(S65,Q65,P65)</f>
        <v>4000grams</v>
      </c>
      <c r="U65" s="200">
        <f>L65*M65</f>
        <v>455</v>
      </c>
      <c r="V65" s="12"/>
      <c r="W65" s="12"/>
    </row>
    <row r="66" spans="1:23" x14ac:dyDescent="0.3">
      <c r="A66" s="183">
        <v>8</v>
      </c>
      <c r="B66" s="46" t="s">
        <v>37</v>
      </c>
      <c r="C66" s="170"/>
      <c r="D66" s="194"/>
      <c r="E66" s="170"/>
      <c r="F66" s="170"/>
      <c r="G66" s="170"/>
      <c r="H66" s="194" t="s">
        <v>2023</v>
      </c>
      <c r="I66" s="170"/>
      <c r="J66" s="46" t="s">
        <v>851</v>
      </c>
      <c r="K66" s="170"/>
      <c r="L66" s="197">
        <v>65</v>
      </c>
      <c r="M66" s="197">
        <v>15</v>
      </c>
      <c r="N66" s="290">
        <v>1000</v>
      </c>
      <c r="O66" s="297"/>
      <c r="P66" s="297" t="s">
        <v>39</v>
      </c>
      <c r="Q66" s="170"/>
      <c r="R66" s="192" t="str">
        <f>CONCATENATE(N66,P66)</f>
        <v>1000grams</v>
      </c>
      <c r="S66" s="198">
        <f>M66*N66</f>
        <v>15000</v>
      </c>
      <c r="T66" s="199" t="str">
        <f>CONCATENATE(S66,Q66,P66)</f>
        <v>15000grams</v>
      </c>
      <c r="U66" s="200">
        <f>L66*M66</f>
        <v>975</v>
      </c>
      <c r="V66" s="12"/>
      <c r="W66" s="12"/>
    </row>
    <row r="67" spans="1:23" x14ac:dyDescent="0.3">
      <c r="A67" s="183">
        <v>8</v>
      </c>
      <c r="B67" s="46" t="s">
        <v>37</v>
      </c>
      <c r="C67" s="170"/>
      <c r="D67" s="194"/>
      <c r="E67" s="194"/>
      <c r="F67" s="194"/>
      <c r="G67" s="170"/>
      <c r="H67" s="194" t="s">
        <v>2022</v>
      </c>
      <c r="I67" s="170"/>
      <c r="J67" s="46" t="s">
        <v>43</v>
      </c>
      <c r="K67" s="170"/>
      <c r="L67" s="197">
        <v>52</v>
      </c>
      <c r="M67" s="197">
        <v>9</v>
      </c>
      <c r="N67" s="290">
        <v>1000</v>
      </c>
      <c r="O67" s="46"/>
      <c r="P67" s="46" t="s">
        <v>213</v>
      </c>
      <c r="Q67" s="170"/>
      <c r="R67" s="192" t="str">
        <f>CONCATENATE(N67,P67)</f>
        <v>1000kilos</v>
      </c>
      <c r="S67" s="198">
        <f>M67*N67</f>
        <v>9000</v>
      </c>
      <c r="T67" s="199" t="str">
        <f>CONCATENATE(S67,Q67,P67)</f>
        <v>9000kilos</v>
      </c>
      <c r="U67" s="200">
        <f>L67*M67</f>
        <v>468</v>
      </c>
      <c r="V67" s="12"/>
      <c r="W67" s="12"/>
    </row>
    <row r="68" spans="1:23" x14ac:dyDescent="0.3">
      <c r="A68" s="183">
        <v>8</v>
      </c>
      <c r="B68" s="46" t="s">
        <v>37</v>
      </c>
      <c r="C68" s="170"/>
      <c r="D68" s="194"/>
      <c r="E68" s="194"/>
      <c r="F68" s="194"/>
      <c r="G68" s="170"/>
      <c r="H68" s="194" t="s">
        <v>2021</v>
      </c>
      <c r="I68" s="170"/>
      <c r="J68" s="219" t="s">
        <v>38</v>
      </c>
      <c r="K68" s="170"/>
      <c r="L68" s="216">
        <v>66.5</v>
      </c>
      <c r="M68" s="216">
        <v>2</v>
      </c>
      <c r="N68" s="293">
        <v>500</v>
      </c>
      <c r="O68" s="219"/>
      <c r="P68" s="219" t="s">
        <v>39</v>
      </c>
      <c r="Q68" s="170"/>
      <c r="R68" s="192" t="str">
        <f>CONCATENATE(N68,P68)</f>
        <v>500grams</v>
      </c>
      <c r="S68" s="198">
        <f>M68*N68</f>
        <v>1000</v>
      </c>
      <c r="T68" s="199" t="str">
        <f>CONCATENATE(S68,Q68,P68)</f>
        <v>1000grams</v>
      </c>
      <c r="U68" s="200">
        <f>L68*M68</f>
        <v>133</v>
      </c>
      <c r="V68" s="12"/>
      <c r="W68" s="12"/>
    </row>
    <row r="69" spans="1:23" x14ac:dyDescent="0.3">
      <c r="A69" s="183">
        <v>8</v>
      </c>
      <c r="B69" s="46" t="s">
        <v>37</v>
      </c>
      <c r="C69" s="170"/>
      <c r="D69" s="194"/>
      <c r="E69" s="170"/>
      <c r="F69" s="170"/>
      <c r="G69" s="170"/>
      <c r="H69" s="194" t="s">
        <v>2021</v>
      </c>
      <c r="I69" s="170"/>
      <c r="J69" s="219" t="s">
        <v>849</v>
      </c>
      <c r="K69" s="170"/>
      <c r="L69" s="216">
        <v>48</v>
      </c>
      <c r="M69" s="216">
        <v>27</v>
      </c>
      <c r="N69" s="293">
        <v>1000</v>
      </c>
      <c r="O69" s="219"/>
      <c r="P69" s="219" t="s">
        <v>39</v>
      </c>
      <c r="Q69" s="170"/>
      <c r="R69" s="192" t="str">
        <f>CONCATENATE(N69,P69)</f>
        <v>1000grams</v>
      </c>
      <c r="S69" s="198">
        <f>M69*N69</f>
        <v>27000</v>
      </c>
      <c r="T69" s="199" t="str">
        <f>CONCATENATE(S69,Q69,P69)</f>
        <v>27000grams</v>
      </c>
      <c r="U69" s="200">
        <f>L69*M69</f>
        <v>1296</v>
      </c>
      <c r="V69" s="12"/>
      <c r="W69" s="12"/>
    </row>
    <row r="70" spans="1:23" x14ac:dyDescent="0.3">
      <c r="A70" s="183">
        <v>8</v>
      </c>
      <c r="B70" s="46" t="s">
        <v>37</v>
      </c>
      <c r="C70" s="170"/>
      <c r="D70" s="194"/>
      <c r="E70" s="170"/>
      <c r="F70" s="170"/>
      <c r="G70" s="170"/>
      <c r="H70" s="194" t="s">
        <v>1368</v>
      </c>
      <c r="I70" s="170"/>
      <c r="J70" s="170"/>
      <c r="K70" s="170"/>
      <c r="L70" s="197">
        <v>42</v>
      </c>
      <c r="M70" s="197">
        <v>3</v>
      </c>
      <c r="N70" s="290">
        <v>1</v>
      </c>
      <c r="O70" s="46"/>
      <c r="P70" s="46" t="s">
        <v>213</v>
      </c>
      <c r="Q70" s="170"/>
      <c r="R70" s="192" t="str">
        <f>CONCATENATE(N70,P70)</f>
        <v>1kilos</v>
      </c>
      <c r="S70" s="198">
        <f>M70*N70</f>
        <v>3</v>
      </c>
      <c r="T70" s="199" t="str">
        <f>CONCATENATE(S70,Q70,P70)</f>
        <v>3kilos</v>
      </c>
      <c r="U70" s="200">
        <f>L70*M70</f>
        <v>126</v>
      </c>
      <c r="V70" s="12"/>
      <c r="W70" s="12"/>
    </row>
    <row r="71" spans="1:23" x14ac:dyDescent="0.3">
      <c r="A71" s="183">
        <v>8</v>
      </c>
      <c r="B71" s="46" t="s">
        <v>37</v>
      </c>
      <c r="C71" s="170"/>
      <c r="D71" s="194"/>
      <c r="E71" s="170"/>
      <c r="F71" s="170"/>
      <c r="G71" s="170"/>
      <c r="H71" s="194" t="s">
        <v>2020</v>
      </c>
      <c r="I71" s="170"/>
      <c r="J71" s="46" t="s">
        <v>47</v>
      </c>
      <c r="K71" s="170"/>
      <c r="L71" s="197">
        <v>55</v>
      </c>
      <c r="M71" s="197">
        <v>3</v>
      </c>
      <c r="N71" s="290">
        <v>1000</v>
      </c>
      <c r="O71" s="46"/>
      <c r="P71" s="46" t="s">
        <v>213</v>
      </c>
      <c r="Q71" s="170"/>
      <c r="R71" s="192" t="str">
        <f>CONCATENATE(N71,P71)</f>
        <v>1000kilos</v>
      </c>
      <c r="S71" s="198">
        <f>M71*N71</f>
        <v>3000</v>
      </c>
      <c r="T71" s="199" t="str">
        <f>CONCATENATE(S71,Q71,P71)</f>
        <v>3000kilos</v>
      </c>
      <c r="U71" s="200">
        <f>L71*M71</f>
        <v>165</v>
      </c>
      <c r="V71" s="12"/>
      <c r="W71" s="12"/>
    </row>
    <row r="72" spans="1:23" x14ac:dyDescent="0.3">
      <c r="A72" s="183">
        <v>8</v>
      </c>
      <c r="B72" s="46" t="s">
        <v>37</v>
      </c>
      <c r="C72" s="215"/>
      <c r="D72" s="194"/>
      <c r="E72" s="215"/>
      <c r="F72" s="215"/>
      <c r="G72" s="215"/>
      <c r="H72" s="400" t="s">
        <v>2027</v>
      </c>
      <c r="I72" s="170"/>
      <c r="J72" s="170"/>
      <c r="K72" s="170"/>
      <c r="L72" s="195">
        <v>43.4</v>
      </c>
      <c r="M72" s="197">
        <v>6</v>
      </c>
      <c r="N72" s="360">
        <v>1</v>
      </c>
      <c r="O72" s="61"/>
      <c r="P72" s="61" t="s">
        <v>213</v>
      </c>
      <c r="Q72" s="170"/>
      <c r="R72" s="192" t="str">
        <f>CONCATENATE(N72,P72)</f>
        <v>1kilos</v>
      </c>
      <c r="S72" s="198">
        <f>M72*N72</f>
        <v>6</v>
      </c>
      <c r="T72" s="199" t="str">
        <f>CONCATENATE(S72,Q72,P72)</f>
        <v>6kilos</v>
      </c>
      <c r="U72" s="200">
        <f>L72*M72</f>
        <v>260.39999999999998</v>
      </c>
      <c r="V72" s="12"/>
      <c r="W72" s="12"/>
    </row>
    <row r="73" spans="1:23" x14ac:dyDescent="0.3">
      <c r="A73" s="183">
        <v>9</v>
      </c>
      <c r="B73" s="219" t="s">
        <v>852</v>
      </c>
      <c r="C73" s="170"/>
      <c r="D73" s="194"/>
      <c r="E73" s="170"/>
      <c r="F73" s="170"/>
      <c r="G73" s="170"/>
      <c r="H73" s="194" t="s">
        <v>2021</v>
      </c>
      <c r="I73" s="170"/>
      <c r="J73" s="215"/>
      <c r="K73" s="170"/>
      <c r="L73" s="216">
        <v>37.6</v>
      </c>
      <c r="M73" s="216">
        <v>10</v>
      </c>
      <c r="N73" s="293">
        <v>1000</v>
      </c>
      <c r="O73" s="219"/>
      <c r="P73" s="219" t="s">
        <v>39</v>
      </c>
      <c r="Q73" s="170"/>
      <c r="R73" s="192" t="str">
        <f>CONCATENATE(N73,P73)</f>
        <v>1000grams</v>
      </c>
      <c r="S73" s="198">
        <f>M73*N73</f>
        <v>10000</v>
      </c>
      <c r="T73" s="199" t="str">
        <f>CONCATENATE(S73,Q73,P73)</f>
        <v>10000grams</v>
      </c>
      <c r="U73" s="200">
        <f>L73*M73</f>
        <v>376</v>
      </c>
      <c r="V73" s="12"/>
      <c r="W73" s="12"/>
    </row>
    <row r="74" spans="1:23" x14ac:dyDescent="0.3">
      <c r="A74" s="183">
        <v>10</v>
      </c>
      <c r="B74" s="194" t="s">
        <v>42</v>
      </c>
      <c r="C74" s="170"/>
      <c r="D74" s="194" t="str">
        <f ca="1">IFERROR(__xludf.DUMMYFUNCTION("IF(J27="""",""n/a"",IFERROR(SPLIT(J27,""/"")))"),"Penguin")</f>
        <v>Penguin</v>
      </c>
      <c r="E74" s="170"/>
      <c r="F74" s="170"/>
      <c r="G74" s="170"/>
      <c r="H74" s="183" t="s">
        <v>1895</v>
      </c>
      <c r="I74" s="170"/>
      <c r="J74" s="46" t="s">
        <v>43</v>
      </c>
      <c r="K74" s="170"/>
      <c r="L74" s="195">
        <v>48</v>
      </c>
      <c r="M74" s="197">
        <v>26</v>
      </c>
      <c r="N74" s="61">
        <v>1000</v>
      </c>
      <c r="O74" s="170">
        <f>E74</f>
        <v>0</v>
      </c>
      <c r="P74" s="61" t="s">
        <v>39</v>
      </c>
      <c r="Q74" s="170"/>
      <c r="R74" s="192" t="str">
        <f>CONCATENATE(N74,P74)</f>
        <v>1000grams</v>
      </c>
      <c r="S74" s="198">
        <f>M74*N74</f>
        <v>26000</v>
      </c>
      <c r="T74" s="199" t="str">
        <f>CONCATENATE(S74,Q74,P74)</f>
        <v>26000grams</v>
      </c>
      <c r="U74" s="200">
        <f>L74*M74</f>
        <v>1248</v>
      </c>
      <c r="V74" s="12"/>
      <c r="W74" s="12"/>
    </row>
    <row r="75" spans="1:23" x14ac:dyDescent="0.3">
      <c r="A75" s="183">
        <v>10</v>
      </c>
      <c r="B75" s="46" t="s">
        <v>42</v>
      </c>
      <c r="C75" s="170"/>
      <c r="D75" s="194"/>
      <c r="E75" s="170"/>
      <c r="F75" s="170"/>
      <c r="G75" s="170"/>
      <c r="H75" s="194" t="s">
        <v>2024</v>
      </c>
      <c r="I75" s="170"/>
      <c r="J75" s="46" t="s">
        <v>43</v>
      </c>
      <c r="K75" s="170"/>
      <c r="L75" s="197">
        <v>48</v>
      </c>
      <c r="M75" s="197">
        <v>1</v>
      </c>
      <c r="N75" s="290">
        <v>1</v>
      </c>
      <c r="O75" s="46"/>
      <c r="P75" s="46" t="s">
        <v>213</v>
      </c>
      <c r="Q75" s="170"/>
      <c r="R75" s="192" t="str">
        <f>CONCATENATE(N75,P75)</f>
        <v>1kilos</v>
      </c>
      <c r="S75" s="198">
        <f>M75*N75</f>
        <v>1</v>
      </c>
      <c r="T75" s="199" t="str">
        <f>CONCATENATE(S75,Q75,P75)</f>
        <v>1kilos</v>
      </c>
      <c r="U75" s="200">
        <f>L75*M75</f>
        <v>48</v>
      </c>
      <c r="V75" s="12"/>
      <c r="W75" s="12"/>
    </row>
    <row r="76" spans="1:23" x14ac:dyDescent="0.3">
      <c r="A76" s="183">
        <v>10</v>
      </c>
      <c r="B76" s="219" t="s">
        <v>42</v>
      </c>
      <c r="C76" s="170"/>
      <c r="D76" s="194"/>
      <c r="E76" s="170"/>
      <c r="F76" s="170"/>
      <c r="G76" s="170"/>
      <c r="H76" s="194" t="s">
        <v>2021</v>
      </c>
      <c r="I76" s="170"/>
      <c r="J76" s="215"/>
      <c r="K76" s="170"/>
      <c r="L76" s="216">
        <v>50</v>
      </c>
      <c r="M76" s="216">
        <v>18</v>
      </c>
      <c r="N76" s="293">
        <v>1000</v>
      </c>
      <c r="O76" s="219"/>
      <c r="P76" s="219" t="s">
        <v>39</v>
      </c>
      <c r="Q76" s="170"/>
      <c r="R76" s="192" t="str">
        <f>CONCATENATE(N76,P76)</f>
        <v>1000grams</v>
      </c>
      <c r="S76" s="198">
        <f>M76*N76</f>
        <v>18000</v>
      </c>
      <c r="T76" s="199" t="str">
        <f>CONCATENATE(S76,Q76,P76)</f>
        <v>18000grams</v>
      </c>
      <c r="U76" s="200">
        <f>L76*M76</f>
        <v>900</v>
      </c>
      <c r="V76" s="12"/>
      <c r="W76" s="12"/>
    </row>
    <row r="77" spans="1:23" x14ac:dyDescent="0.3">
      <c r="A77" s="183">
        <v>11</v>
      </c>
      <c r="B77" s="219" t="s">
        <v>853</v>
      </c>
      <c r="C77" s="170"/>
      <c r="D77" s="194"/>
      <c r="E77" s="170"/>
      <c r="F77" s="170"/>
      <c r="G77" s="170"/>
      <c r="H77" s="194" t="s">
        <v>2021</v>
      </c>
      <c r="I77" s="170"/>
      <c r="J77" s="219" t="s">
        <v>854</v>
      </c>
      <c r="K77" s="170"/>
      <c r="L77" s="216">
        <v>88</v>
      </c>
      <c r="M77" s="216">
        <v>2</v>
      </c>
      <c r="N77" s="293">
        <v>32</v>
      </c>
      <c r="O77" s="219"/>
      <c r="P77" s="219" t="s">
        <v>39</v>
      </c>
      <c r="Q77" s="170"/>
      <c r="R77" s="192" t="str">
        <f>CONCATENATE(N77,P77)</f>
        <v>32grams</v>
      </c>
      <c r="S77" s="198">
        <f>M77*N77</f>
        <v>64</v>
      </c>
      <c r="T77" s="199" t="str">
        <f>CONCATENATE(S77,Q77,P77)</f>
        <v>64grams</v>
      </c>
      <c r="U77" s="200">
        <f>L77*M77</f>
        <v>176</v>
      </c>
      <c r="V77" s="12"/>
      <c r="W77" s="12"/>
    </row>
    <row r="78" spans="1:23" x14ac:dyDescent="0.3">
      <c r="A78" s="183">
        <v>12</v>
      </c>
      <c r="B78" s="46" t="s">
        <v>855</v>
      </c>
      <c r="C78" s="170"/>
      <c r="D78" s="194"/>
      <c r="E78" s="194"/>
      <c r="F78" s="170"/>
      <c r="G78" s="170"/>
      <c r="H78" s="194" t="s">
        <v>2025</v>
      </c>
      <c r="I78" s="170"/>
      <c r="J78" s="170"/>
      <c r="K78" s="170"/>
      <c r="L78" s="197">
        <v>80</v>
      </c>
      <c r="M78" s="197">
        <v>1</v>
      </c>
      <c r="N78" s="290">
        <v>1</v>
      </c>
      <c r="O78" s="46"/>
      <c r="P78" s="46" t="s">
        <v>213</v>
      </c>
      <c r="Q78" s="170"/>
      <c r="R78" s="192" t="str">
        <f>CONCATENATE(N78,P78)</f>
        <v>1kilos</v>
      </c>
      <c r="S78" s="198">
        <f>M78*N78</f>
        <v>1</v>
      </c>
      <c r="T78" s="199" t="str">
        <f>CONCATENATE(S78,Q78,P78)</f>
        <v>1kilos</v>
      </c>
      <c r="U78" s="200">
        <f>L78*M78</f>
        <v>80</v>
      </c>
      <c r="V78" s="12"/>
      <c r="W78" s="12"/>
    </row>
    <row r="79" spans="1:23" x14ac:dyDescent="0.3">
      <c r="A79" s="183">
        <v>12</v>
      </c>
      <c r="B79" s="46" t="s">
        <v>855</v>
      </c>
      <c r="C79" s="170"/>
      <c r="D79" s="194"/>
      <c r="E79" s="194"/>
      <c r="F79" s="170"/>
      <c r="G79" s="170"/>
      <c r="H79" s="194" t="s">
        <v>1368</v>
      </c>
      <c r="I79" s="170"/>
      <c r="J79" s="170"/>
      <c r="K79" s="170"/>
      <c r="L79" s="197">
        <v>60</v>
      </c>
      <c r="M79" s="197">
        <v>1</v>
      </c>
      <c r="N79" s="290">
        <v>1</v>
      </c>
      <c r="O79" s="46"/>
      <c r="P79" s="46" t="s">
        <v>213</v>
      </c>
      <c r="Q79" s="170"/>
      <c r="R79" s="192" t="str">
        <f>CONCATENATE(N79,P79)</f>
        <v>1kilos</v>
      </c>
      <c r="S79" s="198">
        <f>M79*N79</f>
        <v>1</v>
      </c>
      <c r="T79" s="199" t="str">
        <f>CONCATENATE(S79,Q79,P79)</f>
        <v>1kilos</v>
      </c>
      <c r="U79" s="200">
        <f>L79*M79</f>
        <v>60</v>
      </c>
      <c r="V79" s="12"/>
      <c r="W79" s="12"/>
    </row>
    <row r="80" spans="1:23" x14ac:dyDescent="0.3">
      <c r="A80" s="183">
        <v>13</v>
      </c>
      <c r="B80" s="46" t="s">
        <v>856</v>
      </c>
      <c r="C80" s="170"/>
      <c r="D80" s="194"/>
      <c r="E80" s="170"/>
      <c r="F80" s="170"/>
      <c r="G80" s="170"/>
      <c r="H80" s="194" t="s">
        <v>2024</v>
      </c>
      <c r="I80" s="170"/>
      <c r="J80" s="296"/>
      <c r="K80" s="170"/>
      <c r="L80" s="197">
        <v>310</v>
      </c>
      <c r="M80" s="197">
        <v>8</v>
      </c>
      <c r="N80" s="290">
        <v>1</v>
      </c>
      <c r="O80" s="46"/>
      <c r="P80" s="46" t="s">
        <v>213</v>
      </c>
      <c r="Q80" s="170"/>
      <c r="R80" s="192" t="str">
        <f>CONCATENATE(N80,P80)</f>
        <v>1kilos</v>
      </c>
      <c r="S80" s="198">
        <f>M80*N80</f>
        <v>8</v>
      </c>
      <c r="T80" s="199" t="str">
        <f>CONCATENATE(S80,Q80,P80)</f>
        <v>8kilos</v>
      </c>
      <c r="U80" s="200">
        <f>L80*M80</f>
        <v>2480</v>
      </c>
      <c r="V80" s="12"/>
      <c r="W80" s="12"/>
    </row>
    <row r="81" spans="1:23" x14ac:dyDescent="0.3">
      <c r="A81" s="183">
        <v>13</v>
      </c>
      <c r="B81" s="46" t="s">
        <v>856</v>
      </c>
      <c r="C81" s="170"/>
      <c r="D81" s="194"/>
      <c r="E81" s="194"/>
      <c r="F81" s="194"/>
      <c r="G81" s="170"/>
      <c r="H81" s="194" t="s">
        <v>2025</v>
      </c>
      <c r="I81" s="170"/>
      <c r="J81" s="170"/>
      <c r="K81" s="170"/>
      <c r="L81" s="197">
        <v>220</v>
      </c>
      <c r="M81" s="197">
        <v>3</v>
      </c>
      <c r="N81" s="290">
        <v>1</v>
      </c>
      <c r="O81" s="46"/>
      <c r="P81" s="46" t="s">
        <v>213</v>
      </c>
      <c r="Q81" s="170"/>
      <c r="R81" s="192" t="str">
        <f>CONCATENATE(N81,P81)</f>
        <v>1kilos</v>
      </c>
      <c r="S81" s="198">
        <f>M81*N81</f>
        <v>3</v>
      </c>
      <c r="T81" s="199" t="str">
        <f>CONCATENATE(S81,Q81,P81)</f>
        <v>3kilos</v>
      </c>
      <c r="U81" s="200">
        <f>L81*M81</f>
        <v>660</v>
      </c>
      <c r="V81" s="12"/>
      <c r="W81" s="12"/>
    </row>
    <row r="82" spans="1:23" x14ac:dyDescent="0.3">
      <c r="A82" s="183">
        <v>14</v>
      </c>
      <c r="B82" s="46" t="s">
        <v>857</v>
      </c>
      <c r="C82" s="170"/>
      <c r="D82" s="194"/>
      <c r="E82" s="170"/>
      <c r="F82" s="170"/>
      <c r="G82" s="170"/>
      <c r="H82" s="194" t="s">
        <v>29</v>
      </c>
      <c r="I82" s="170"/>
      <c r="J82" s="46" t="s">
        <v>858</v>
      </c>
      <c r="K82" s="170"/>
      <c r="L82" s="197">
        <v>21.8</v>
      </c>
      <c r="M82" s="197">
        <v>6</v>
      </c>
      <c r="N82" s="290">
        <v>1</v>
      </c>
      <c r="O82" s="46"/>
      <c r="P82" s="46" t="s">
        <v>92</v>
      </c>
      <c r="Q82" s="170"/>
      <c r="R82" s="192" t="str">
        <f>CONCATENATE(N82,P82)</f>
        <v>1pieces</v>
      </c>
      <c r="S82" s="198">
        <f>M82*N82</f>
        <v>6</v>
      </c>
      <c r="T82" s="199" t="str">
        <f>CONCATENATE(S82,Q82,P82)</f>
        <v>6pieces</v>
      </c>
      <c r="U82" s="200">
        <f>L82*M82</f>
        <v>130.80000000000001</v>
      </c>
      <c r="V82" s="12"/>
      <c r="W82" s="12"/>
    </row>
    <row r="83" spans="1:23" x14ac:dyDescent="0.3">
      <c r="A83" s="183">
        <v>14</v>
      </c>
      <c r="B83" s="219" t="s">
        <v>857</v>
      </c>
      <c r="C83" s="170"/>
      <c r="D83" s="194"/>
      <c r="E83" s="194"/>
      <c r="F83" s="170"/>
      <c r="G83" s="170"/>
      <c r="H83" s="194" t="s">
        <v>2021</v>
      </c>
      <c r="I83" s="170"/>
      <c r="J83" s="219" t="s">
        <v>859</v>
      </c>
      <c r="K83" s="170"/>
      <c r="L83" s="216">
        <v>700</v>
      </c>
      <c r="M83" s="216">
        <v>1</v>
      </c>
      <c r="N83" s="293">
        <v>1</v>
      </c>
      <c r="O83" s="219"/>
      <c r="P83" s="219" t="s">
        <v>210</v>
      </c>
      <c r="Q83" s="61" t="s">
        <v>33</v>
      </c>
      <c r="R83" s="192" t="str">
        <f>CONCATENATE(N83,P83)</f>
        <v>1roll</v>
      </c>
      <c r="S83" s="198">
        <f>M83*N83</f>
        <v>1</v>
      </c>
      <c r="T83" s="199" t="str">
        <f>CONCATENATE(S83,Q83,P83)</f>
        <v>1 roll</v>
      </c>
      <c r="U83" s="200">
        <f>L83*M83</f>
        <v>700</v>
      </c>
      <c r="V83" s="12"/>
      <c r="W83" s="12"/>
    </row>
    <row r="84" spans="1:23" x14ac:dyDescent="0.3">
      <c r="A84" s="183">
        <v>15</v>
      </c>
      <c r="B84" s="46" t="s">
        <v>860</v>
      </c>
      <c r="C84" s="170"/>
      <c r="D84" s="194"/>
      <c r="E84" s="194"/>
      <c r="F84" s="194"/>
      <c r="G84" s="170"/>
      <c r="H84" s="194" t="s">
        <v>2026</v>
      </c>
      <c r="I84" s="170"/>
      <c r="J84" s="170"/>
      <c r="K84" s="170"/>
      <c r="L84" s="197">
        <v>150</v>
      </c>
      <c r="M84" s="197">
        <v>1</v>
      </c>
      <c r="N84" s="290">
        <v>1</v>
      </c>
      <c r="O84" s="46"/>
      <c r="P84" s="46" t="s">
        <v>213</v>
      </c>
      <c r="Q84" s="170"/>
      <c r="R84" s="192" t="str">
        <f>CONCATENATE(N84,P84)</f>
        <v>1kilos</v>
      </c>
      <c r="S84" s="198">
        <f>M84*N84</f>
        <v>1</v>
      </c>
      <c r="T84" s="199" t="str">
        <f>CONCATENATE(S84,Q84,P84)</f>
        <v>1kilos</v>
      </c>
      <c r="U84" s="200">
        <f>L84*M84</f>
        <v>150</v>
      </c>
      <c r="V84" s="12"/>
      <c r="W84" s="12"/>
    </row>
    <row r="85" spans="1:23" x14ac:dyDescent="0.3">
      <c r="A85" s="183">
        <v>15</v>
      </c>
      <c r="B85" s="46" t="s">
        <v>860</v>
      </c>
      <c r="C85" s="170"/>
      <c r="D85" s="194"/>
      <c r="E85" s="194"/>
      <c r="F85" s="194"/>
      <c r="G85" s="170"/>
      <c r="H85" s="194" t="s">
        <v>2023</v>
      </c>
      <c r="I85" s="170"/>
      <c r="J85" s="170"/>
      <c r="K85" s="170"/>
      <c r="L85" s="197">
        <v>160</v>
      </c>
      <c r="M85" s="197">
        <v>3</v>
      </c>
      <c r="N85" s="290">
        <v>1</v>
      </c>
      <c r="O85" s="46"/>
      <c r="P85" s="46" t="s">
        <v>213</v>
      </c>
      <c r="Q85" s="170"/>
      <c r="R85" s="192" t="str">
        <f>CONCATENATE(N85,P85)</f>
        <v>1kilos</v>
      </c>
      <c r="S85" s="198">
        <f>M85*N85</f>
        <v>3</v>
      </c>
      <c r="T85" s="199" t="str">
        <f>CONCATENATE(S85,Q85,P85)</f>
        <v>3kilos</v>
      </c>
      <c r="U85" s="200">
        <f>L85*M85</f>
        <v>480</v>
      </c>
      <c r="V85" s="12"/>
      <c r="W85" s="12"/>
    </row>
    <row r="86" spans="1:23" x14ac:dyDescent="0.3">
      <c r="A86" s="183">
        <v>15</v>
      </c>
      <c r="B86" s="46" t="s">
        <v>860</v>
      </c>
      <c r="C86" s="215"/>
      <c r="D86" s="194"/>
      <c r="E86" s="215"/>
      <c r="F86" s="215"/>
      <c r="G86" s="215"/>
      <c r="H86" s="400" t="s">
        <v>2027</v>
      </c>
      <c r="I86" s="170"/>
      <c r="J86" s="170"/>
      <c r="K86" s="170"/>
      <c r="L86" s="195">
        <v>80</v>
      </c>
      <c r="M86" s="197">
        <v>2</v>
      </c>
      <c r="N86" s="360">
        <v>1</v>
      </c>
      <c r="O86" s="513"/>
      <c r="P86" s="513" t="s">
        <v>213</v>
      </c>
      <c r="Q86" s="170"/>
      <c r="R86" s="192" t="str">
        <f>CONCATENATE(N86,P86)</f>
        <v>1kilos</v>
      </c>
      <c r="S86" s="198">
        <f>M86*N86</f>
        <v>2</v>
      </c>
      <c r="T86" s="199" t="str">
        <f>CONCATENATE(S86,Q86,P86)</f>
        <v>2kilos</v>
      </c>
      <c r="U86" s="200">
        <f>L86*M86</f>
        <v>160</v>
      </c>
      <c r="V86" s="12"/>
      <c r="W86" s="12"/>
    </row>
    <row r="87" spans="1:23" x14ac:dyDescent="0.3">
      <c r="A87" s="183">
        <v>16</v>
      </c>
      <c r="B87" s="46" t="s">
        <v>861</v>
      </c>
      <c r="C87" s="170"/>
      <c r="D87" s="194"/>
      <c r="E87" s="194"/>
      <c r="F87" s="170"/>
      <c r="G87" s="170"/>
      <c r="H87" s="194" t="s">
        <v>2025</v>
      </c>
      <c r="I87" s="170"/>
      <c r="J87" s="170"/>
      <c r="K87" s="170"/>
      <c r="L87" s="197">
        <v>30</v>
      </c>
      <c r="M87" s="197">
        <v>4</v>
      </c>
      <c r="N87" s="290">
        <v>1</v>
      </c>
      <c r="O87" s="46"/>
      <c r="P87" s="46" t="s">
        <v>92</v>
      </c>
      <c r="Q87" s="170"/>
      <c r="R87" s="192" t="str">
        <f>CONCATENATE(N87,P87)</f>
        <v>1pieces</v>
      </c>
      <c r="S87" s="198">
        <f>M87*N87</f>
        <v>4</v>
      </c>
      <c r="T87" s="199" t="str">
        <f>CONCATENATE(S87,Q87,P87)</f>
        <v>4pieces</v>
      </c>
      <c r="U87" s="200">
        <f>L87*M87</f>
        <v>120</v>
      </c>
      <c r="V87" s="12"/>
      <c r="W87" s="12"/>
    </row>
    <row r="88" spans="1:23" x14ac:dyDescent="0.3">
      <c r="A88" s="183">
        <v>16</v>
      </c>
      <c r="B88" s="46" t="s">
        <v>861</v>
      </c>
      <c r="C88" s="170"/>
      <c r="D88" s="194"/>
      <c r="E88" s="170"/>
      <c r="F88" s="170"/>
      <c r="G88" s="170"/>
      <c r="H88" s="194" t="s">
        <v>2023</v>
      </c>
      <c r="I88" s="170"/>
      <c r="J88" s="170"/>
      <c r="K88" s="170"/>
      <c r="L88" s="197">
        <v>40</v>
      </c>
      <c r="M88" s="197">
        <v>2</v>
      </c>
      <c r="N88" s="290">
        <v>1</v>
      </c>
      <c r="O88" s="46"/>
      <c r="P88" s="46" t="s">
        <v>92</v>
      </c>
      <c r="Q88" s="170"/>
      <c r="R88" s="192" t="str">
        <f>CONCATENATE(N88,P88)</f>
        <v>1pieces</v>
      </c>
      <c r="S88" s="198">
        <f>M88*N88</f>
        <v>2</v>
      </c>
      <c r="T88" s="199" t="str">
        <f>CONCATENATE(S88,Q88,P88)</f>
        <v>2pieces</v>
      </c>
      <c r="U88" s="200">
        <f>L88*M88</f>
        <v>80</v>
      </c>
      <c r="V88" s="12"/>
      <c r="W88" s="12"/>
    </row>
    <row r="89" spans="1:23" x14ac:dyDescent="0.3">
      <c r="A89" s="183">
        <v>17</v>
      </c>
      <c r="B89" s="46" t="s">
        <v>862</v>
      </c>
      <c r="C89" s="170"/>
      <c r="D89" s="194"/>
      <c r="E89" s="194"/>
      <c r="F89" s="170"/>
      <c r="G89" s="170"/>
      <c r="H89" s="194" t="s">
        <v>2025</v>
      </c>
      <c r="I89" s="170"/>
      <c r="J89" s="46" t="s">
        <v>863</v>
      </c>
      <c r="K89" s="170"/>
      <c r="L89" s="197">
        <v>159.5</v>
      </c>
      <c r="M89" s="197">
        <v>1</v>
      </c>
      <c r="N89" s="290">
        <v>473</v>
      </c>
      <c r="O89" s="46"/>
      <c r="P89" s="46" t="s">
        <v>32</v>
      </c>
      <c r="Q89" s="170"/>
      <c r="R89" s="192" t="str">
        <f>CONCATENATE(N89,P89)</f>
        <v>473ml</v>
      </c>
      <c r="S89" s="198">
        <f>M89*N89</f>
        <v>473</v>
      </c>
      <c r="T89" s="199" t="str">
        <f>CONCATENATE(S89,Q89,P89)</f>
        <v>473ml</v>
      </c>
      <c r="U89" s="200">
        <f>L89*M89</f>
        <v>159.5</v>
      </c>
      <c r="V89" s="12"/>
      <c r="W89" s="12"/>
    </row>
    <row r="90" spans="1:23" x14ac:dyDescent="0.3">
      <c r="A90" s="183">
        <v>18</v>
      </c>
      <c r="B90" s="219" t="s">
        <v>864</v>
      </c>
      <c r="C90" s="170"/>
      <c r="D90" s="194"/>
      <c r="E90" s="170"/>
      <c r="F90" s="170"/>
      <c r="G90" s="170"/>
      <c r="H90" s="194" t="s">
        <v>2021</v>
      </c>
      <c r="I90" s="170"/>
      <c r="J90" s="219" t="s">
        <v>865</v>
      </c>
      <c r="K90" s="170"/>
      <c r="L90" s="216">
        <v>92</v>
      </c>
      <c r="M90" s="197">
        <v>2</v>
      </c>
      <c r="N90" s="290">
        <v>270</v>
      </c>
      <c r="O90" s="46"/>
      <c r="P90" s="46" t="s">
        <v>39</v>
      </c>
      <c r="Q90" s="170"/>
      <c r="R90" s="192" t="str">
        <f>CONCATENATE(N90,P90)</f>
        <v>270grams</v>
      </c>
      <c r="S90" s="198">
        <f>M90*N90</f>
        <v>540</v>
      </c>
      <c r="T90" s="199" t="str">
        <f>CONCATENATE(S90,Q90,P90)</f>
        <v>540grams</v>
      </c>
      <c r="U90" s="200">
        <f>L90*M90</f>
        <v>184</v>
      </c>
      <c r="V90" s="12"/>
      <c r="W90" s="12"/>
    </row>
    <row r="91" spans="1:23" x14ac:dyDescent="0.3">
      <c r="A91" s="183">
        <v>19</v>
      </c>
      <c r="B91" s="46" t="s">
        <v>866</v>
      </c>
      <c r="C91" s="170"/>
      <c r="D91" s="194"/>
      <c r="E91" s="194"/>
      <c r="F91" s="194"/>
      <c r="G91" s="170"/>
      <c r="H91" s="194" t="s">
        <v>2020</v>
      </c>
      <c r="I91" s="170"/>
      <c r="J91" s="170"/>
      <c r="K91" s="170"/>
      <c r="L91" s="197">
        <v>87.5</v>
      </c>
      <c r="M91" s="197">
        <v>1</v>
      </c>
      <c r="N91" s="290">
        <v>250</v>
      </c>
      <c r="O91" s="46"/>
      <c r="P91" s="46" t="s">
        <v>39</v>
      </c>
      <c r="Q91" s="170"/>
      <c r="R91" s="192" t="str">
        <f>CONCATENATE(N91,P91)</f>
        <v>250grams</v>
      </c>
      <c r="S91" s="198">
        <f>M91*N91</f>
        <v>250</v>
      </c>
      <c r="T91" s="199" t="str">
        <f>CONCATENATE(S91,Q91,P91)</f>
        <v>250grams</v>
      </c>
      <c r="U91" s="200">
        <f>L91*M91</f>
        <v>87.5</v>
      </c>
      <c r="V91" s="12"/>
      <c r="W91" s="12"/>
    </row>
    <row r="92" spans="1:23" x14ac:dyDescent="0.3">
      <c r="A92" s="183">
        <v>19</v>
      </c>
      <c r="B92" s="46" t="s">
        <v>866</v>
      </c>
      <c r="C92" s="170"/>
      <c r="D92" s="194"/>
      <c r="E92" s="194"/>
      <c r="F92" s="194"/>
      <c r="G92" s="170"/>
      <c r="H92" s="194" t="s">
        <v>2025</v>
      </c>
      <c r="I92" s="170"/>
      <c r="J92" s="46" t="s">
        <v>867</v>
      </c>
      <c r="K92" s="170"/>
      <c r="L92" s="197">
        <v>550</v>
      </c>
      <c r="M92" s="197">
        <v>0</v>
      </c>
      <c r="N92" s="290">
        <v>1</v>
      </c>
      <c r="O92" s="46"/>
      <c r="P92" s="46" t="s">
        <v>213</v>
      </c>
      <c r="Q92" s="170"/>
      <c r="R92" s="192" t="str">
        <f>CONCATENATE(N92,P92)</f>
        <v>1kilos</v>
      </c>
      <c r="S92" s="198">
        <f>M92*N92</f>
        <v>0</v>
      </c>
      <c r="T92" s="199" t="str">
        <f>CONCATENATE(S92,Q92,P92)</f>
        <v>0kilos</v>
      </c>
      <c r="U92" s="200">
        <f>L92*M92</f>
        <v>0</v>
      </c>
      <c r="V92" s="12"/>
      <c r="W92" s="12"/>
    </row>
    <row r="93" spans="1:23" x14ac:dyDescent="0.3">
      <c r="A93" s="183">
        <v>19</v>
      </c>
      <c r="B93" s="46" t="s">
        <v>866</v>
      </c>
      <c r="C93" s="170"/>
      <c r="D93" s="194"/>
      <c r="E93" s="170"/>
      <c r="F93" s="170"/>
      <c r="G93" s="170"/>
      <c r="H93" s="194" t="s">
        <v>2021</v>
      </c>
      <c r="I93" s="170"/>
      <c r="J93" s="215"/>
      <c r="K93" s="170"/>
      <c r="L93" s="216">
        <v>650</v>
      </c>
      <c r="M93" s="216">
        <v>4</v>
      </c>
      <c r="N93" s="290">
        <v>1</v>
      </c>
      <c r="O93" s="46"/>
      <c r="P93" s="46" t="s">
        <v>213</v>
      </c>
      <c r="Q93" s="170"/>
      <c r="R93" s="192" t="str">
        <f>CONCATENATE(N93,P93)</f>
        <v>1kilos</v>
      </c>
      <c r="S93" s="198">
        <f>M93*N93</f>
        <v>4</v>
      </c>
      <c r="T93" s="199" t="str">
        <f>CONCATENATE(S93,Q93,P93)</f>
        <v>4kilos</v>
      </c>
      <c r="U93" s="200">
        <f>L93*M93</f>
        <v>2600</v>
      </c>
      <c r="V93" s="12"/>
      <c r="W93" s="12"/>
    </row>
    <row r="94" spans="1:23" x14ac:dyDescent="0.3">
      <c r="A94" s="183">
        <v>19</v>
      </c>
      <c r="B94" s="46" t="s">
        <v>866</v>
      </c>
      <c r="C94" s="170"/>
      <c r="D94" s="194"/>
      <c r="E94" s="194"/>
      <c r="F94" s="194"/>
      <c r="G94" s="170"/>
      <c r="H94" s="194" t="s">
        <v>2022</v>
      </c>
      <c r="I94" s="170"/>
      <c r="J94" s="46" t="s">
        <v>867</v>
      </c>
      <c r="K94" s="170"/>
      <c r="L94" s="197">
        <v>450</v>
      </c>
      <c r="M94" s="197">
        <v>3</v>
      </c>
      <c r="N94" s="290">
        <v>1</v>
      </c>
      <c r="O94" s="46"/>
      <c r="P94" s="46" t="s">
        <v>213</v>
      </c>
      <c r="Q94" s="170"/>
      <c r="R94" s="192" t="str">
        <f>CONCATENATE(N94,P94)</f>
        <v>1kilos</v>
      </c>
      <c r="S94" s="198">
        <f>M94*N94</f>
        <v>3</v>
      </c>
      <c r="T94" s="199" t="str">
        <f>CONCATENATE(S94,Q94,P94)</f>
        <v>3kilos</v>
      </c>
      <c r="U94" s="200">
        <f>L94*M94</f>
        <v>1350</v>
      </c>
      <c r="V94" s="12"/>
      <c r="W94" s="12"/>
    </row>
    <row r="95" spans="1:23" x14ac:dyDescent="0.3">
      <c r="A95" s="183">
        <v>19</v>
      </c>
      <c r="B95" s="46" t="s">
        <v>866</v>
      </c>
      <c r="C95" s="170"/>
      <c r="D95" s="194"/>
      <c r="E95" s="194"/>
      <c r="F95" s="194"/>
      <c r="G95" s="170"/>
      <c r="H95" s="194" t="s">
        <v>29</v>
      </c>
      <c r="I95" s="170"/>
      <c r="J95" s="170"/>
      <c r="K95" s="170"/>
      <c r="L95" s="197">
        <v>220</v>
      </c>
      <c r="M95" s="197">
        <v>1</v>
      </c>
      <c r="N95" s="290">
        <v>100</v>
      </c>
      <c r="O95" s="46"/>
      <c r="P95" s="46" t="s">
        <v>39</v>
      </c>
      <c r="Q95" s="170"/>
      <c r="R95" s="192" t="str">
        <f>CONCATENATE(N95,P95)</f>
        <v>100grams</v>
      </c>
      <c r="S95" s="198">
        <f>M95*N95</f>
        <v>100</v>
      </c>
      <c r="T95" s="199" t="str">
        <f>CONCATENATE(S95,Q95,P95)</f>
        <v>100grams</v>
      </c>
      <c r="U95" s="200">
        <f>L95*M95</f>
        <v>220</v>
      </c>
      <c r="V95" s="12"/>
      <c r="W95" s="12"/>
    </row>
    <row r="96" spans="1:23" x14ac:dyDescent="0.3">
      <c r="A96" s="183">
        <v>20</v>
      </c>
      <c r="B96" s="194" t="s">
        <v>230</v>
      </c>
      <c r="C96" s="170"/>
      <c r="D96" s="194" t="s">
        <v>1901</v>
      </c>
      <c r="E96" s="194" t="s">
        <v>39</v>
      </c>
      <c r="F96" s="194">
        <v>1000</v>
      </c>
      <c r="G96" s="170"/>
      <c r="H96" s="183" t="s">
        <v>1895</v>
      </c>
      <c r="I96" s="170"/>
      <c r="J96" s="46" t="s">
        <v>51</v>
      </c>
      <c r="K96" s="170"/>
      <c r="L96" s="195">
        <v>650</v>
      </c>
      <c r="M96" s="197">
        <v>0.25</v>
      </c>
      <c r="N96" s="61">
        <v>1</v>
      </c>
      <c r="O96" s="61" t="str">
        <f>E96</f>
        <v>grams</v>
      </c>
      <c r="P96" s="61" t="s">
        <v>39</v>
      </c>
      <c r="Q96" s="170"/>
      <c r="R96" s="192" t="str">
        <f>CONCATENATE(N96,P96)</f>
        <v>1grams</v>
      </c>
      <c r="S96" s="198">
        <f>M96*N96</f>
        <v>0.25</v>
      </c>
      <c r="T96" s="199" t="str">
        <f>CONCATENATE(S96,Q96,P96)</f>
        <v>0.25grams</v>
      </c>
      <c r="U96" s="200">
        <f>L96*M96</f>
        <v>162.5</v>
      </c>
      <c r="V96" s="12"/>
      <c r="W96" s="12"/>
    </row>
    <row r="97" spans="1:23" x14ac:dyDescent="0.3">
      <c r="A97" s="183">
        <v>21</v>
      </c>
      <c r="B97" s="46" t="s">
        <v>868</v>
      </c>
      <c r="C97" s="170"/>
      <c r="D97" s="194"/>
      <c r="E97" s="170"/>
      <c r="F97" s="170"/>
      <c r="G97" s="170"/>
      <c r="H97" s="194" t="s">
        <v>2026</v>
      </c>
      <c r="I97" s="170"/>
      <c r="J97" s="170"/>
      <c r="K97" s="170"/>
      <c r="L97" s="197">
        <v>180.25</v>
      </c>
      <c r="M97" s="197">
        <v>2</v>
      </c>
      <c r="N97" s="290">
        <v>250</v>
      </c>
      <c r="O97" s="46"/>
      <c r="P97" s="46" t="s">
        <v>39</v>
      </c>
      <c r="Q97" s="170"/>
      <c r="R97" s="192" t="str">
        <f>CONCATENATE(N97,P97)</f>
        <v>250grams</v>
      </c>
      <c r="S97" s="198">
        <f>M97*N97</f>
        <v>500</v>
      </c>
      <c r="T97" s="199" t="str">
        <f>CONCATENATE(S97,Q97,P97)</f>
        <v>500grams</v>
      </c>
      <c r="U97" s="200">
        <f>L97*M97</f>
        <v>360.5</v>
      </c>
      <c r="V97" s="12"/>
      <c r="W97" s="12"/>
    </row>
    <row r="98" spans="1:23" x14ac:dyDescent="0.3">
      <c r="A98" s="183">
        <v>21</v>
      </c>
      <c r="B98" s="46" t="s">
        <v>868</v>
      </c>
      <c r="C98" s="170"/>
      <c r="D98" s="194"/>
      <c r="E98" s="194"/>
      <c r="F98" s="194"/>
      <c r="G98" s="194"/>
      <c r="H98" s="194" t="s">
        <v>1368</v>
      </c>
      <c r="I98" s="170"/>
      <c r="J98" s="46" t="s">
        <v>870</v>
      </c>
      <c r="K98" s="170"/>
      <c r="L98" s="197">
        <v>185</v>
      </c>
      <c r="M98" s="197">
        <v>1</v>
      </c>
      <c r="N98" s="290">
        <v>200</v>
      </c>
      <c r="O98" s="46"/>
      <c r="P98" s="46" t="s">
        <v>39</v>
      </c>
      <c r="Q98" s="170"/>
      <c r="R98" s="192" t="str">
        <f>CONCATENATE(N98,P98)</f>
        <v>200grams</v>
      </c>
      <c r="S98" s="198">
        <f>M98*N98</f>
        <v>200</v>
      </c>
      <c r="T98" s="199" t="str">
        <f>CONCATENATE(S98,Q98,P98)</f>
        <v>200grams</v>
      </c>
      <c r="U98" s="200">
        <f>L98*M98</f>
        <v>185</v>
      </c>
      <c r="V98" s="12"/>
      <c r="W98" s="12"/>
    </row>
    <row r="99" spans="1:23" x14ac:dyDescent="0.3">
      <c r="A99" s="183">
        <v>21</v>
      </c>
      <c r="B99" s="46" t="s">
        <v>868</v>
      </c>
      <c r="C99" s="170"/>
      <c r="D99" s="194"/>
      <c r="E99" s="194"/>
      <c r="F99" s="194"/>
      <c r="G99" s="170"/>
      <c r="H99" s="194" t="s">
        <v>2023</v>
      </c>
      <c r="I99" s="170"/>
      <c r="J99" s="46" t="s">
        <v>871</v>
      </c>
      <c r="K99" s="170"/>
      <c r="L99" s="197">
        <v>75</v>
      </c>
      <c r="M99" s="197">
        <v>2</v>
      </c>
      <c r="N99" s="290">
        <v>230</v>
      </c>
      <c r="O99" s="46"/>
      <c r="P99" s="46" t="s">
        <v>39</v>
      </c>
      <c r="Q99" s="61" t="s">
        <v>33</v>
      </c>
      <c r="R99" s="192" t="str">
        <f>CONCATENATE(N99,P99)</f>
        <v>230grams</v>
      </c>
      <c r="S99" s="198">
        <f>M99*N99</f>
        <v>460</v>
      </c>
      <c r="T99" s="199" t="str">
        <f>CONCATENATE(S99,Q99,P99)</f>
        <v>460 grams</v>
      </c>
      <c r="U99" s="200">
        <f>L99*M99</f>
        <v>150</v>
      </c>
      <c r="V99" s="12"/>
      <c r="W99" s="12"/>
    </row>
    <row r="100" spans="1:23" x14ac:dyDescent="0.3">
      <c r="A100" s="183">
        <v>22</v>
      </c>
      <c r="B100" s="219" t="s">
        <v>872</v>
      </c>
      <c r="C100" s="170"/>
      <c r="D100" s="194"/>
      <c r="E100" s="194"/>
      <c r="F100" s="194"/>
      <c r="G100" s="170"/>
      <c r="H100" s="194" t="s">
        <v>2021</v>
      </c>
      <c r="I100" s="170"/>
      <c r="J100" s="219" t="s">
        <v>873</v>
      </c>
      <c r="K100" s="170"/>
      <c r="L100" s="216">
        <v>32</v>
      </c>
      <c r="M100" s="216">
        <v>2</v>
      </c>
      <c r="N100" s="293">
        <v>290</v>
      </c>
      <c r="O100" s="219"/>
      <c r="P100" s="219" t="s">
        <v>39</v>
      </c>
      <c r="Q100" s="170"/>
      <c r="R100" s="192" t="str">
        <f>CONCATENATE(N100,P100)</f>
        <v>290grams</v>
      </c>
      <c r="S100" s="198">
        <f>M100*N100</f>
        <v>580</v>
      </c>
      <c r="T100" s="199" t="str">
        <f>CONCATENATE(S100,Q100,P100)</f>
        <v>580grams</v>
      </c>
      <c r="U100" s="200">
        <f>L100*M100</f>
        <v>64</v>
      </c>
      <c r="V100" s="12"/>
      <c r="W100" s="12"/>
    </row>
    <row r="101" spans="1:23" x14ac:dyDescent="0.3">
      <c r="A101" s="183">
        <v>23</v>
      </c>
      <c r="B101" s="219" t="s">
        <v>874</v>
      </c>
      <c r="C101" s="170"/>
      <c r="D101" s="194"/>
      <c r="E101" s="194"/>
      <c r="F101" s="194"/>
      <c r="G101" s="170"/>
      <c r="H101" s="194" t="s">
        <v>2021</v>
      </c>
      <c r="I101" s="170"/>
      <c r="J101" s="219" t="s">
        <v>875</v>
      </c>
      <c r="K101" s="170"/>
      <c r="L101" s="216">
        <v>110</v>
      </c>
      <c r="M101" s="216">
        <v>1</v>
      </c>
      <c r="N101" s="293">
        <v>250</v>
      </c>
      <c r="O101" s="219"/>
      <c r="P101" s="219" t="s">
        <v>39</v>
      </c>
      <c r="Q101" s="170"/>
      <c r="R101" s="192" t="str">
        <f>CONCATENATE(N101,P101)</f>
        <v>250grams</v>
      </c>
      <c r="S101" s="198">
        <f>M101*N101</f>
        <v>250</v>
      </c>
      <c r="T101" s="199" t="str">
        <f>CONCATENATE(S101,Q101,P101)</f>
        <v>250grams</v>
      </c>
      <c r="U101" s="200">
        <f>L101*M101</f>
        <v>110</v>
      </c>
      <c r="V101" s="12"/>
      <c r="W101" s="12"/>
    </row>
    <row r="102" spans="1:23" x14ac:dyDescent="0.3">
      <c r="A102" s="183">
        <v>24</v>
      </c>
      <c r="B102" s="219" t="s">
        <v>876</v>
      </c>
      <c r="C102" s="170"/>
      <c r="D102" s="194"/>
      <c r="E102" s="194"/>
      <c r="F102" s="194"/>
      <c r="G102" s="170"/>
      <c r="H102" s="194" t="s">
        <v>2021</v>
      </c>
      <c r="I102" s="170"/>
      <c r="J102" s="219" t="s">
        <v>875</v>
      </c>
      <c r="K102" s="170"/>
      <c r="L102" s="216">
        <v>107.5</v>
      </c>
      <c r="M102" s="216">
        <v>1</v>
      </c>
      <c r="N102" s="293">
        <v>250</v>
      </c>
      <c r="O102" s="219"/>
      <c r="P102" s="219" t="s">
        <v>39</v>
      </c>
      <c r="Q102" s="170"/>
      <c r="R102" s="192" t="str">
        <f>CONCATENATE(N102,P102)</f>
        <v>250grams</v>
      </c>
      <c r="S102" s="198">
        <f>M102*N102</f>
        <v>250</v>
      </c>
      <c r="T102" s="199" t="str">
        <f>CONCATENATE(S102,Q102,P102)</f>
        <v>250grams</v>
      </c>
      <c r="U102" s="200">
        <f>L102*M102</f>
        <v>107.5</v>
      </c>
      <c r="V102" s="12"/>
      <c r="W102" s="12"/>
    </row>
    <row r="103" spans="1:23" x14ac:dyDescent="0.3">
      <c r="A103" s="183">
        <v>25</v>
      </c>
      <c r="B103" s="194" t="s">
        <v>489</v>
      </c>
      <c r="C103" s="170"/>
      <c r="D103" s="194" t="str">
        <f ca="1">IFERROR(__xludf.DUMMYFUNCTION("IF(J29="""",""n/a"",IFERROR(SPLIT(J29,""/"")))"),"La Marina")</f>
        <v>La Marina</v>
      </c>
      <c r="E103" s="194" t="str">
        <f ca="1">IFERROR(__xludf.DUMMYFUNCTION("""COMPUTED_VALUE"""),"bottle")</f>
        <v>bottle</v>
      </c>
      <c r="F103" s="194" t="str">
        <f ca="1">IFERROR(__xludf.DUMMYFUNCTION("""COMPUTED_VALUE"""),"340grams")</f>
        <v>340grams</v>
      </c>
      <c r="G103" s="170"/>
      <c r="H103" s="183" t="s">
        <v>1897</v>
      </c>
      <c r="I103" s="170"/>
      <c r="J103" s="46" t="s">
        <v>490</v>
      </c>
      <c r="K103" s="170"/>
      <c r="L103" s="195">
        <v>0.09</v>
      </c>
      <c r="M103" s="202">
        <v>1020</v>
      </c>
      <c r="N103" s="203">
        <v>340</v>
      </c>
      <c r="O103" s="61" t="str">
        <f ca="1">E103</f>
        <v>bottle</v>
      </c>
      <c r="P103" s="61" t="s">
        <v>39</v>
      </c>
      <c r="Q103" s="170"/>
      <c r="R103" s="192" t="str">
        <f>CONCATENATE(N103,P103)</f>
        <v>340grams</v>
      </c>
      <c r="S103" s="198">
        <f>M103*N103</f>
        <v>346800</v>
      </c>
      <c r="T103" s="199" t="str">
        <f>CONCATENATE(S103,Q103,P103)</f>
        <v>346800grams</v>
      </c>
      <c r="U103" s="200">
        <f>L103*M103</f>
        <v>91.8</v>
      </c>
      <c r="V103" s="205"/>
      <c r="W103" s="62"/>
    </row>
    <row r="104" spans="1:23" x14ac:dyDescent="0.3">
      <c r="A104" s="183">
        <v>25</v>
      </c>
      <c r="B104" s="46" t="s">
        <v>489</v>
      </c>
      <c r="C104" s="170"/>
      <c r="D104" s="194"/>
      <c r="E104" s="194"/>
      <c r="F104" s="194"/>
      <c r="G104" s="170"/>
      <c r="H104" s="194" t="s">
        <v>2022</v>
      </c>
      <c r="I104" s="170"/>
      <c r="J104" s="46" t="s">
        <v>877</v>
      </c>
      <c r="K104" s="170"/>
      <c r="L104" s="197">
        <v>35</v>
      </c>
      <c r="M104" s="197">
        <v>2</v>
      </c>
      <c r="N104" s="290">
        <v>340</v>
      </c>
      <c r="O104" s="46"/>
      <c r="P104" s="46" t="s">
        <v>39</v>
      </c>
      <c r="Q104" s="61" t="s">
        <v>33</v>
      </c>
      <c r="R104" s="192" t="str">
        <f>CONCATENATE(N104,P104)</f>
        <v>340grams</v>
      </c>
      <c r="S104" s="198">
        <f>M104*N104</f>
        <v>680</v>
      </c>
      <c r="T104" s="199" t="str">
        <f>CONCATENATE(S104,Q104,P104)</f>
        <v>680 grams</v>
      </c>
      <c r="U104" s="200">
        <f>L104*M104</f>
        <v>70</v>
      </c>
      <c r="V104" s="12"/>
      <c r="W104" s="12"/>
    </row>
    <row r="105" spans="1:23" x14ac:dyDescent="0.3">
      <c r="A105" s="183">
        <v>26</v>
      </c>
      <c r="B105" s="194" t="s">
        <v>491</v>
      </c>
      <c r="C105" s="170"/>
      <c r="D105" s="194" t="str">
        <f ca="1">IFERROR(__xludf.DUMMYFUNCTION("IF(J30="""",""n/a"",IFERROR(SPLIT(J30,""/"")))"),"n/a")</f>
        <v>n/a</v>
      </c>
      <c r="E105" s="170"/>
      <c r="F105" s="170"/>
      <c r="G105" s="170"/>
      <c r="H105" s="206" t="s">
        <v>1898</v>
      </c>
      <c r="I105" s="170"/>
      <c r="J105" s="170"/>
      <c r="K105" s="170"/>
      <c r="L105" s="197">
        <v>0.17</v>
      </c>
      <c r="M105" s="385">
        <v>1450</v>
      </c>
      <c r="N105" s="208">
        <v>290</v>
      </c>
      <c r="O105" s="170">
        <f>E105</f>
        <v>0</v>
      </c>
      <c r="P105" s="61" t="s">
        <v>32</v>
      </c>
      <c r="Q105" s="170"/>
      <c r="R105" s="192" t="str">
        <f>CONCATENATE(N105,P105)</f>
        <v>290ml</v>
      </c>
      <c r="S105" s="198">
        <f>M105*N105</f>
        <v>420500</v>
      </c>
      <c r="T105" s="199" t="str">
        <f>CONCATENATE(S105,Q105,P105)</f>
        <v>420500ml</v>
      </c>
      <c r="U105" s="200">
        <f>L105*M105</f>
        <v>246.50000000000003</v>
      </c>
      <c r="V105" s="12"/>
      <c r="W105" s="12"/>
    </row>
    <row r="106" spans="1:23" x14ac:dyDescent="0.3">
      <c r="A106" s="183">
        <v>27</v>
      </c>
      <c r="B106" s="46" t="s">
        <v>878</v>
      </c>
      <c r="C106" s="170"/>
      <c r="D106" s="194"/>
      <c r="E106" s="170"/>
      <c r="F106" s="170"/>
      <c r="G106" s="170"/>
      <c r="H106" s="194" t="s">
        <v>1368</v>
      </c>
      <c r="I106" s="170"/>
      <c r="J106" s="170"/>
      <c r="K106" s="170"/>
      <c r="L106" s="197">
        <v>60</v>
      </c>
      <c r="M106" s="197">
        <v>5</v>
      </c>
      <c r="N106" s="290">
        <v>1</v>
      </c>
      <c r="O106" s="46"/>
      <c r="P106" s="46" t="s">
        <v>213</v>
      </c>
      <c r="Q106" s="170"/>
      <c r="R106" s="192" t="str">
        <f>CONCATENATE(N106,P106)</f>
        <v>1kilos</v>
      </c>
      <c r="S106" s="198">
        <f>M106*N106</f>
        <v>5</v>
      </c>
      <c r="T106" s="199" t="str">
        <f>CONCATENATE(S106,Q106,P106)</f>
        <v>5kilos</v>
      </c>
      <c r="U106" s="200">
        <f>L106*M106</f>
        <v>300</v>
      </c>
      <c r="V106" s="12"/>
      <c r="W106" s="12"/>
    </row>
    <row r="107" spans="1:23" x14ac:dyDescent="0.3">
      <c r="A107" s="183">
        <v>27</v>
      </c>
      <c r="B107" s="46" t="s">
        <v>878</v>
      </c>
      <c r="C107" s="170"/>
      <c r="D107" s="194"/>
      <c r="E107" s="170"/>
      <c r="F107" s="170"/>
      <c r="G107" s="170"/>
      <c r="H107" s="194" t="s">
        <v>2025</v>
      </c>
      <c r="I107" s="170"/>
      <c r="J107" s="170"/>
      <c r="K107" s="170"/>
      <c r="L107" s="197">
        <v>160</v>
      </c>
      <c r="M107" s="197">
        <v>0</v>
      </c>
      <c r="N107" s="290">
        <v>1</v>
      </c>
      <c r="O107" s="46"/>
      <c r="P107" s="46" t="s">
        <v>213</v>
      </c>
      <c r="Q107" s="170"/>
      <c r="R107" s="192" t="str">
        <f>CONCATENATE(N107,P107)</f>
        <v>1kilos</v>
      </c>
      <c r="S107" s="198">
        <f>M107*N107</f>
        <v>0</v>
      </c>
      <c r="T107" s="199" t="str">
        <f>CONCATENATE(S107,Q107,P107)</f>
        <v>0kilos</v>
      </c>
      <c r="U107" s="200">
        <f>L107*M107</f>
        <v>0</v>
      </c>
      <c r="V107" s="12"/>
      <c r="W107" s="12"/>
    </row>
    <row r="108" spans="1:23" x14ac:dyDescent="0.3">
      <c r="A108" s="183">
        <v>27</v>
      </c>
      <c r="B108" s="46" t="s">
        <v>878</v>
      </c>
      <c r="C108" s="170"/>
      <c r="D108" s="194"/>
      <c r="E108" s="194"/>
      <c r="F108" s="170"/>
      <c r="G108" s="170"/>
      <c r="H108" s="194" t="s">
        <v>2026</v>
      </c>
      <c r="I108" s="170"/>
      <c r="J108" s="170"/>
      <c r="K108" s="170"/>
      <c r="L108" s="197">
        <v>200</v>
      </c>
      <c r="M108" s="197">
        <v>1</v>
      </c>
      <c r="N108" s="290">
        <v>1</v>
      </c>
      <c r="O108" s="46"/>
      <c r="P108" s="46" t="s">
        <v>213</v>
      </c>
      <c r="Q108" s="170"/>
      <c r="R108" s="192" t="str">
        <f>CONCATENATE(N108,P108)</f>
        <v>1kilos</v>
      </c>
      <c r="S108" s="198">
        <f>M108*N108</f>
        <v>1</v>
      </c>
      <c r="T108" s="199" t="str">
        <f>CONCATENATE(S108,Q108,P108)</f>
        <v>1kilos</v>
      </c>
      <c r="U108" s="200">
        <f>L108*M108</f>
        <v>200</v>
      </c>
      <c r="V108" s="12"/>
      <c r="W108" s="12"/>
    </row>
    <row r="109" spans="1:23" x14ac:dyDescent="0.3">
      <c r="A109" s="183">
        <v>27</v>
      </c>
      <c r="B109" s="46" t="s">
        <v>878</v>
      </c>
      <c r="C109" s="215"/>
      <c r="D109" s="194"/>
      <c r="E109" s="214"/>
      <c r="F109" s="214"/>
      <c r="G109" s="215"/>
      <c r="H109" s="194" t="s">
        <v>2023</v>
      </c>
      <c r="I109" s="170"/>
      <c r="J109" s="170"/>
      <c r="K109" s="170"/>
      <c r="L109" s="197">
        <v>170</v>
      </c>
      <c r="M109" s="197">
        <v>0</v>
      </c>
      <c r="N109" s="290">
        <v>1</v>
      </c>
      <c r="O109" s="46"/>
      <c r="P109" s="46" t="s">
        <v>213</v>
      </c>
      <c r="Q109" s="170"/>
      <c r="R109" s="192" t="str">
        <f>CONCATENATE(N109,P109)</f>
        <v>1kilos</v>
      </c>
      <c r="S109" s="198">
        <f>M109*N109</f>
        <v>0</v>
      </c>
      <c r="T109" s="199" t="str">
        <f>CONCATENATE(S109,Q109,P109)</f>
        <v>0kilos</v>
      </c>
      <c r="U109" s="200">
        <f>L109*M109</f>
        <v>0</v>
      </c>
      <c r="V109" s="12"/>
      <c r="W109" s="12"/>
    </row>
    <row r="110" spans="1:23" x14ac:dyDescent="0.3">
      <c r="A110" s="183">
        <v>27</v>
      </c>
      <c r="B110" s="46" t="s">
        <v>878</v>
      </c>
      <c r="C110" s="215"/>
      <c r="D110" s="194"/>
      <c r="E110" s="215"/>
      <c r="F110" s="215"/>
      <c r="G110" s="215"/>
      <c r="H110" s="400" t="s">
        <v>2027</v>
      </c>
      <c r="I110" s="170"/>
      <c r="J110" s="170"/>
      <c r="K110" s="170"/>
      <c r="L110" s="195">
        <v>145</v>
      </c>
      <c r="M110" s="197">
        <v>0</v>
      </c>
      <c r="N110" s="360">
        <v>1</v>
      </c>
      <c r="O110" s="61"/>
      <c r="P110" s="61" t="s">
        <v>213</v>
      </c>
      <c r="Q110" s="170"/>
      <c r="R110" s="192" t="str">
        <f>CONCATENATE(N110,P110)</f>
        <v>1kilos</v>
      </c>
      <c r="S110" s="198">
        <f>M110*N110</f>
        <v>0</v>
      </c>
      <c r="T110" s="199" t="str">
        <f>CONCATENATE(S110,Q110,P110)</f>
        <v>0kilos</v>
      </c>
      <c r="U110" s="200">
        <f>L110*M110</f>
        <v>0</v>
      </c>
      <c r="V110" s="12"/>
      <c r="W110" s="12"/>
    </row>
    <row r="111" spans="1:23" x14ac:dyDescent="0.3">
      <c r="A111" s="183">
        <v>28</v>
      </c>
      <c r="B111" s="194" t="s">
        <v>44</v>
      </c>
      <c r="C111" s="170"/>
      <c r="D111" s="194" t="str">
        <f ca="1">IFERROR(__xludf.DUMMYFUNCTION("IF(J31="""",""n/a"",IFERROR(SPLIT(J31,""/"")))"),"Calumet")</f>
        <v>Calumet</v>
      </c>
      <c r="E111" s="194" t="s">
        <v>39</v>
      </c>
      <c r="F111" s="194">
        <v>1000</v>
      </c>
      <c r="G111" s="170"/>
      <c r="H111" s="183" t="s">
        <v>1895</v>
      </c>
      <c r="I111" s="170"/>
      <c r="J111" s="46" t="s">
        <v>45</v>
      </c>
      <c r="K111" s="170"/>
      <c r="L111" s="195">
        <v>208</v>
      </c>
      <c r="M111" s="197">
        <v>2</v>
      </c>
      <c r="N111" s="61">
        <v>1000</v>
      </c>
      <c r="O111" s="61" t="str">
        <f>E111</f>
        <v>grams</v>
      </c>
      <c r="P111" s="61" t="s">
        <v>39</v>
      </c>
      <c r="Q111" s="170"/>
      <c r="R111" s="192" t="str">
        <f>CONCATENATE(N111,P111)</f>
        <v>1000grams</v>
      </c>
      <c r="S111" s="198">
        <f>M111*N111</f>
        <v>2000</v>
      </c>
      <c r="T111" s="199" t="str">
        <f>CONCATENATE(S111,Q111,P111)</f>
        <v>2000grams</v>
      </c>
      <c r="U111" s="200">
        <f>L111*M111</f>
        <v>416</v>
      </c>
      <c r="V111" s="12"/>
      <c r="W111" s="12"/>
    </row>
    <row r="112" spans="1:23" x14ac:dyDescent="0.3">
      <c r="A112" s="183">
        <v>28</v>
      </c>
      <c r="B112" s="46" t="s">
        <v>44</v>
      </c>
      <c r="C112" s="170"/>
      <c r="D112" s="194"/>
      <c r="E112" s="194"/>
      <c r="F112" s="170"/>
      <c r="G112" s="170"/>
      <c r="H112" s="194" t="s">
        <v>29</v>
      </c>
      <c r="I112" s="170"/>
      <c r="J112" s="46" t="s">
        <v>45</v>
      </c>
      <c r="K112" s="170"/>
      <c r="L112" s="197">
        <v>16.5</v>
      </c>
      <c r="M112" s="197">
        <v>1</v>
      </c>
      <c r="N112" s="290">
        <v>50</v>
      </c>
      <c r="O112" s="297"/>
      <c r="P112" s="297" t="s">
        <v>39</v>
      </c>
      <c r="Q112" s="170"/>
      <c r="R112" s="192" t="str">
        <f>CONCATENATE(N112,P112)</f>
        <v>50grams</v>
      </c>
      <c r="S112" s="198">
        <f>M112*N112</f>
        <v>50</v>
      </c>
      <c r="T112" s="199" t="str">
        <f>CONCATENATE(S112,Q112,P112)</f>
        <v>50grams</v>
      </c>
      <c r="U112" s="200">
        <f>L112*M112</f>
        <v>16.5</v>
      </c>
      <c r="V112" s="12"/>
      <c r="W112" s="12"/>
    </row>
    <row r="113" spans="1:23" x14ac:dyDescent="0.3">
      <c r="A113" s="183">
        <v>28</v>
      </c>
      <c r="B113" s="46" t="s">
        <v>44</v>
      </c>
      <c r="C113" s="170"/>
      <c r="D113" s="194"/>
      <c r="E113" s="170"/>
      <c r="F113" s="170"/>
      <c r="G113" s="170"/>
      <c r="H113" s="194" t="s">
        <v>2024</v>
      </c>
      <c r="I113" s="170"/>
      <c r="J113" s="46" t="s">
        <v>45</v>
      </c>
      <c r="K113" s="170"/>
      <c r="L113" s="197">
        <v>21</v>
      </c>
      <c r="M113" s="197">
        <v>1</v>
      </c>
      <c r="N113" s="290">
        <v>50</v>
      </c>
      <c r="O113" s="297"/>
      <c r="P113" s="297" t="s">
        <v>39</v>
      </c>
      <c r="Q113" s="170"/>
      <c r="R113" s="192" t="str">
        <f>CONCATENATE(N113,P113)</f>
        <v>50grams</v>
      </c>
      <c r="S113" s="198">
        <f>M113*N113</f>
        <v>50</v>
      </c>
      <c r="T113" s="199" t="str">
        <f>CONCATENATE(S113,Q113,P113)</f>
        <v>50grams</v>
      </c>
      <c r="U113" s="200">
        <f>L113*M113</f>
        <v>21</v>
      </c>
      <c r="V113" s="12"/>
      <c r="W113" s="12"/>
    </row>
    <row r="114" spans="1:23" x14ac:dyDescent="0.3">
      <c r="A114" s="183">
        <v>28</v>
      </c>
      <c r="B114" s="46" t="s">
        <v>44</v>
      </c>
      <c r="C114" s="170"/>
      <c r="D114" s="194"/>
      <c r="E114" s="170"/>
      <c r="F114" s="170"/>
      <c r="G114" s="170"/>
      <c r="H114" s="194" t="s">
        <v>2025</v>
      </c>
      <c r="I114" s="170"/>
      <c r="J114" s="46" t="s">
        <v>45</v>
      </c>
      <c r="K114" s="170"/>
      <c r="L114" s="197">
        <v>15.3</v>
      </c>
      <c r="M114" s="197">
        <v>3</v>
      </c>
      <c r="N114" s="290">
        <v>50</v>
      </c>
      <c r="O114" s="297"/>
      <c r="P114" s="297" t="s">
        <v>39</v>
      </c>
      <c r="Q114" s="170"/>
      <c r="R114" s="192" t="str">
        <f>CONCATENATE(N114,P114)</f>
        <v>50grams</v>
      </c>
      <c r="S114" s="198">
        <f>M114*N114</f>
        <v>150</v>
      </c>
      <c r="T114" s="199" t="str">
        <f>CONCATENATE(S114,Q114,P114)</f>
        <v>150grams</v>
      </c>
      <c r="U114" s="200">
        <f>L114*M114</f>
        <v>45.900000000000006</v>
      </c>
      <c r="V114" s="12"/>
      <c r="W114" s="12"/>
    </row>
    <row r="115" spans="1:23" x14ac:dyDescent="0.3">
      <c r="A115" s="183">
        <v>28</v>
      </c>
      <c r="B115" s="46" t="s">
        <v>44</v>
      </c>
      <c r="C115" s="170"/>
      <c r="D115" s="194"/>
      <c r="E115" s="194"/>
      <c r="F115" s="170"/>
      <c r="G115" s="170"/>
      <c r="H115" s="194" t="s">
        <v>2026</v>
      </c>
      <c r="I115" s="170"/>
      <c r="J115" s="46" t="s">
        <v>45</v>
      </c>
      <c r="K115" s="170"/>
      <c r="L115" s="197">
        <v>16.5</v>
      </c>
      <c r="M115" s="197">
        <v>3</v>
      </c>
      <c r="N115" s="290">
        <v>50</v>
      </c>
      <c r="O115" s="297"/>
      <c r="P115" s="297" t="s">
        <v>39</v>
      </c>
      <c r="Q115" s="170"/>
      <c r="R115" s="192" t="str">
        <f>CONCATENATE(N115,P115)</f>
        <v>50grams</v>
      </c>
      <c r="S115" s="198">
        <f>M115*N115</f>
        <v>150</v>
      </c>
      <c r="T115" s="199" t="str">
        <f>CONCATENATE(S115,Q115,P115)</f>
        <v>150grams</v>
      </c>
      <c r="U115" s="200">
        <f>L115*M115</f>
        <v>49.5</v>
      </c>
      <c r="V115" s="12"/>
      <c r="W115" s="12"/>
    </row>
    <row r="116" spans="1:23" x14ac:dyDescent="0.3">
      <c r="A116" s="183">
        <v>28</v>
      </c>
      <c r="B116" s="46" t="s">
        <v>44</v>
      </c>
      <c r="C116" s="170"/>
      <c r="D116" s="194"/>
      <c r="E116" s="194"/>
      <c r="F116" s="170"/>
      <c r="G116" s="170"/>
      <c r="H116" s="194" t="s">
        <v>1368</v>
      </c>
      <c r="I116" s="170"/>
      <c r="J116" s="46" t="s">
        <v>45</v>
      </c>
      <c r="K116" s="170"/>
      <c r="L116" s="197">
        <v>20</v>
      </c>
      <c r="M116" s="197">
        <v>1</v>
      </c>
      <c r="N116" s="290">
        <v>50</v>
      </c>
      <c r="O116" s="297"/>
      <c r="P116" s="297" t="s">
        <v>39</v>
      </c>
      <c r="Q116" s="170"/>
      <c r="R116" s="192" t="str">
        <f>CONCATENATE(N116,P116)</f>
        <v>50grams</v>
      </c>
      <c r="S116" s="198">
        <f>M116*N116</f>
        <v>50</v>
      </c>
      <c r="T116" s="199" t="str">
        <f>CONCATENATE(S116,Q116,P116)</f>
        <v>50grams</v>
      </c>
      <c r="U116" s="200">
        <f>L116*M116</f>
        <v>20</v>
      </c>
      <c r="V116" s="12"/>
      <c r="W116" s="12"/>
    </row>
    <row r="117" spans="1:23" x14ac:dyDescent="0.3">
      <c r="A117" s="183">
        <v>28</v>
      </c>
      <c r="B117" s="46" t="s">
        <v>44</v>
      </c>
      <c r="C117" s="170"/>
      <c r="D117" s="194"/>
      <c r="E117" s="194"/>
      <c r="F117" s="170"/>
      <c r="G117" s="170"/>
      <c r="H117" s="194" t="s">
        <v>2023</v>
      </c>
      <c r="I117" s="170"/>
      <c r="J117" s="46" t="s">
        <v>45</v>
      </c>
      <c r="K117" s="170"/>
      <c r="L117" s="197">
        <v>208</v>
      </c>
      <c r="M117" s="197">
        <v>1</v>
      </c>
      <c r="N117" s="290">
        <v>1000</v>
      </c>
      <c r="O117" s="297"/>
      <c r="P117" s="297" t="s">
        <v>39</v>
      </c>
      <c r="Q117" s="170"/>
      <c r="R117" s="192" t="str">
        <f>CONCATENATE(N117,P117)</f>
        <v>1000grams</v>
      </c>
      <c r="S117" s="198">
        <f>M117*N117</f>
        <v>1000</v>
      </c>
      <c r="T117" s="199" t="str">
        <f>CONCATENATE(S117,Q117,P117)</f>
        <v>1000grams</v>
      </c>
      <c r="U117" s="200">
        <f>L117*M117</f>
        <v>208</v>
      </c>
      <c r="V117" s="12"/>
      <c r="W117" s="12"/>
    </row>
    <row r="118" spans="1:23" x14ac:dyDescent="0.3">
      <c r="A118" s="183">
        <v>28</v>
      </c>
      <c r="B118" s="46" t="s">
        <v>44</v>
      </c>
      <c r="C118" s="170"/>
      <c r="D118" s="194"/>
      <c r="E118" s="170"/>
      <c r="F118" s="170"/>
      <c r="G118" s="170"/>
      <c r="H118" s="194" t="s">
        <v>2022</v>
      </c>
      <c r="I118" s="170"/>
      <c r="J118" s="46" t="s">
        <v>45</v>
      </c>
      <c r="K118" s="170"/>
      <c r="L118" s="197">
        <v>15</v>
      </c>
      <c r="M118" s="197">
        <v>44</v>
      </c>
      <c r="N118" s="290">
        <v>50</v>
      </c>
      <c r="O118" s="297"/>
      <c r="P118" s="297" t="s">
        <v>39</v>
      </c>
      <c r="Q118" s="170"/>
      <c r="R118" s="192" t="str">
        <f>CONCATENATE(N118,P118)</f>
        <v>50grams</v>
      </c>
      <c r="S118" s="198">
        <f>M118*N118</f>
        <v>2200</v>
      </c>
      <c r="T118" s="199" t="str">
        <f>CONCATENATE(S118,Q118,P118)</f>
        <v>2200grams</v>
      </c>
      <c r="U118" s="200">
        <f>L118*M118</f>
        <v>660</v>
      </c>
      <c r="V118" s="12"/>
      <c r="W118" s="12"/>
    </row>
    <row r="119" spans="1:23" x14ac:dyDescent="0.3">
      <c r="A119" s="183">
        <v>28</v>
      </c>
      <c r="B119" s="46" t="s">
        <v>44</v>
      </c>
      <c r="C119" s="170"/>
      <c r="D119" s="194"/>
      <c r="E119" s="170"/>
      <c r="F119" s="170"/>
      <c r="G119" s="170"/>
      <c r="H119" s="194" t="s">
        <v>2021</v>
      </c>
      <c r="I119" s="170"/>
      <c r="J119" s="46" t="s">
        <v>45</v>
      </c>
      <c r="K119" s="170"/>
      <c r="L119" s="216">
        <v>20</v>
      </c>
      <c r="M119" s="216">
        <v>5</v>
      </c>
      <c r="N119" s="293">
        <v>50</v>
      </c>
      <c r="O119" s="297"/>
      <c r="P119" s="297" t="s">
        <v>39</v>
      </c>
      <c r="Q119" s="170"/>
      <c r="R119" s="192" t="str">
        <f>CONCATENATE(N119,P119)</f>
        <v>50grams</v>
      </c>
      <c r="S119" s="198">
        <f>M119*N119</f>
        <v>250</v>
      </c>
      <c r="T119" s="199" t="str">
        <f>CONCATENATE(S119,Q119,P119)</f>
        <v>250grams</v>
      </c>
      <c r="U119" s="200">
        <f>L119*M119</f>
        <v>100</v>
      </c>
      <c r="V119" s="12"/>
      <c r="W119" s="12"/>
    </row>
    <row r="120" spans="1:23" x14ac:dyDescent="0.3">
      <c r="A120" s="183">
        <v>29</v>
      </c>
      <c r="B120" s="194" t="s">
        <v>46</v>
      </c>
      <c r="C120" s="170"/>
      <c r="D120" s="194" t="str">
        <f ca="1">IFERROR(__xludf.DUMMYFUNCTION("IF(J32="""",""n/a"",IFERROR(SPLIT(J32,""/"")))"),"Queen")</f>
        <v>Queen</v>
      </c>
      <c r="E120" s="194" t="s">
        <v>39</v>
      </c>
      <c r="F120" s="194">
        <v>250</v>
      </c>
      <c r="G120" s="170"/>
      <c r="H120" s="183" t="s">
        <v>1895</v>
      </c>
      <c r="I120" s="170"/>
      <c r="J120" s="46" t="s">
        <v>47</v>
      </c>
      <c r="K120" s="170"/>
      <c r="L120" s="195">
        <v>32.1</v>
      </c>
      <c r="M120" s="197">
        <v>2</v>
      </c>
      <c r="N120" s="61">
        <v>250</v>
      </c>
      <c r="O120" s="61" t="str">
        <f>E120</f>
        <v>grams</v>
      </c>
      <c r="P120" s="61" t="s">
        <v>39</v>
      </c>
      <c r="Q120" s="170"/>
      <c r="R120" s="192" t="str">
        <f>CONCATENATE(N120,P120)</f>
        <v>250grams</v>
      </c>
      <c r="S120" s="198">
        <f>M120*N120</f>
        <v>500</v>
      </c>
      <c r="T120" s="199" t="str">
        <f>CONCATENATE(S120,Q120,P120)</f>
        <v>500grams</v>
      </c>
      <c r="U120" s="200">
        <f>L120*M120</f>
        <v>64.2</v>
      </c>
      <c r="V120" s="12"/>
      <c r="W120" s="12"/>
    </row>
    <row r="121" spans="1:23" x14ac:dyDescent="0.3">
      <c r="A121" s="183">
        <v>29</v>
      </c>
      <c r="B121" s="46" t="s">
        <v>46</v>
      </c>
      <c r="C121" s="170"/>
      <c r="D121" s="194"/>
      <c r="E121" s="170"/>
      <c r="F121" s="170"/>
      <c r="G121" s="170"/>
      <c r="H121" s="194" t="s">
        <v>2025</v>
      </c>
      <c r="I121" s="170"/>
      <c r="J121" s="46" t="s">
        <v>47</v>
      </c>
      <c r="K121" s="170"/>
      <c r="L121" s="197">
        <v>32.1</v>
      </c>
      <c r="M121" s="197">
        <v>3</v>
      </c>
      <c r="N121" s="290">
        <v>250</v>
      </c>
      <c r="O121" s="46"/>
      <c r="P121" s="46" t="s">
        <v>39</v>
      </c>
      <c r="Q121" s="170"/>
      <c r="R121" s="192" t="str">
        <f>CONCATENATE(N121,P121)</f>
        <v>250grams</v>
      </c>
      <c r="S121" s="198">
        <f>M121*N121</f>
        <v>750</v>
      </c>
      <c r="T121" s="199" t="str">
        <f>CONCATENATE(S121,Q121,P121)</f>
        <v>750grams</v>
      </c>
      <c r="U121" s="200">
        <f>L121*M121</f>
        <v>96.300000000000011</v>
      </c>
      <c r="V121" s="12"/>
      <c r="W121" s="12"/>
    </row>
    <row r="122" spans="1:23" x14ac:dyDescent="0.3">
      <c r="A122" s="183">
        <v>29</v>
      </c>
      <c r="B122" s="46" t="s">
        <v>46</v>
      </c>
      <c r="C122" s="170"/>
      <c r="D122" s="194"/>
      <c r="E122" s="194"/>
      <c r="F122" s="194"/>
      <c r="G122" s="170"/>
      <c r="H122" s="194" t="s">
        <v>2026</v>
      </c>
      <c r="I122" s="170"/>
      <c r="J122" s="46" t="s">
        <v>47</v>
      </c>
      <c r="K122" s="170"/>
      <c r="L122" s="197">
        <v>32.1</v>
      </c>
      <c r="M122" s="197">
        <v>1</v>
      </c>
      <c r="N122" s="290">
        <v>250</v>
      </c>
      <c r="O122" s="46"/>
      <c r="P122" s="46" t="s">
        <v>39</v>
      </c>
      <c r="Q122" s="170"/>
      <c r="R122" s="192" t="str">
        <f>CONCATENATE(N122,P122)</f>
        <v>250grams</v>
      </c>
      <c r="S122" s="198">
        <f>M122*N122</f>
        <v>250</v>
      </c>
      <c r="T122" s="199" t="str">
        <f>CONCATENATE(S122,Q122,P122)</f>
        <v>250grams</v>
      </c>
      <c r="U122" s="200">
        <f>L122*M122</f>
        <v>32.1</v>
      </c>
      <c r="V122" s="12"/>
      <c r="W122" s="12"/>
    </row>
    <row r="123" spans="1:23" x14ac:dyDescent="0.3">
      <c r="A123" s="183">
        <v>29</v>
      </c>
      <c r="B123" s="46" t="s">
        <v>46</v>
      </c>
      <c r="C123" s="170"/>
      <c r="D123" s="194"/>
      <c r="E123" s="194"/>
      <c r="F123" s="194"/>
      <c r="G123" s="170"/>
      <c r="H123" s="194" t="s">
        <v>1368</v>
      </c>
      <c r="I123" s="170"/>
      <c r="J123" s="46" t="s">
        <v>879</v>
      </c>
      <c r="K123" s="170"/>
      <c r="L123" s="197">
        <v>64.5</v>
      </c>
      <c r="M123" s="197">
        <v>1</v>
      </c>
      <c r="N123" s="298">
        <v>454</v>
      </c>
      <c r="O123" s="46"/>
      <c r="P123" s="46" t="s">
        <v>39</v>
      </c>
      <c r="Q123" s="170"/>
      <c r="R123" s="192" t="str">
        <f>CONCATENATE(N123,P123)</f>
        <v>454grams</v>
      </c>
      <c r="S123" s="198">
        <f>M123*N123</f>
        <v>454</v>
      </c>
      <c r="T123" s="199" t="str">
        <f>CONCATENATE(S123,Q123,P123)</f>
        <v>454grams</v>
      </c>
      <c r="U123" s="200">
        <f>L123*M123</f>
        <v>64.5</v>
      </c>
      <c r="V123" s="12"/>
      <c r="W123" s="12"/>
    </row>
    <row r="124" spans="1:23" x14ac:dyDescent="0.3">
      <c r="A124" s="183">
        <v>29</v>
      </c>
      <c r="B124" s="46" t="s">
        <v>46</v>
      </c>
      <c r="C124" s="170"/>
      <c r="D124" s="194"/>
      <c r="E124" s="170"/>
      <c r="F124" s="170"/>
      <c r="G124" s="170"/>
      <c r="H124" s="194" t="s">
        <v>2023</v>
      </c>
      <c r="I124" s="170"/>
      <c r="J124" s="46" t="s">
        <v>47</v>
      </c>
      <c r="K124" s="170"/>
      <c r="L124" s="197">
        <v>118</v>
      </c>
      <c r="M124" s="197">
        <v>3</v>
      </c>
      <c r="N124" s="290">
        <v>250</v>
      </c>
      <c r="O124" s="46"/>
      <c r="P124" s="46" t="s">
        <v>39</v>
      </c>
      <c r="Q124" s="170"/>
      <c r="R124" s="192" t="str">
        <f>CONCATENATE(N124,P124)</f>
        <v>250grams</v>
      </c>
      <c r="S124" s="198">
        <f>M124*N124</f>
        <v>750</v>
      </c>
      <c r="T124" s="199" t="str">
        <f>CONCATENATE(S124,Q124,P124)</f>
        <v>750grams</v>
      </c>
      <c r="U124" s="200">
        <f>L124*M124</f>
        <v>354</v>
      </c>
      <c r="V124" s="12"/>
      <c r="W124" s="12"/>
    </row>
    <row r="125" spans="1:23" x14ac:dyDescent="0.3">
      <c r="A125" s="183">
        <v>29</v>
      </c>
      <c r="B125" s="46" t="s">
        <v>46</v>
      </c>
      <c r="C125" s="170"/>
      <c r="D125" s="194"/>
      <c r="E125" s="194"/>
      <c r="F125" s="170"/>
      <c r="G125" s="170"/>
      <c r="H125" s="194" t="s">
        <v>2022</v>
      </c>
      <c r="I125" s="170"/>
      <c r="J125" s="46" t="s">
        <v>47</v>
      </c>
      <c r="K125" s="170"/>
      <c r="L125" s="197">
        <v>26</v>
      </c>
      <c r="M125" s="197">
        <v>1</v>
      </c>
      <c r="N125" s="290">
        <v>250</v>
      </c>
      <c r="O125" s="46"/>
      <c r="P125" s="46" t="s">
        <v>39</v>
      </c>
      <c r="Q125" s="170"/>
      <c r="R125" s="192" t="str">
        <f>CONCATENATE(N125,P125)</f>
        <v>250grams</v>
      </c>
      <c r="S125" s="198">
        <f>M125*N125</f>
        <v>250</v>
      </c>
      <c r="T125" s="199" t="str">
        <f>CONCATENATE(S125,Q125,P125)</f>
        <v>250grams</v>
      </c>
      <c r="U125" s="200">
        <f>L125*M125</f>
        <v>26</v>
      </c>
      <c r="V125" s="12"/>
      <c r="W125" s="12"/>
    </row>
    <row r="126" spans="1:23" x14ac:dyDescent="0.3">
      <c r="A126" s="183">
        <v>29</v>
      </c>
      <c r="B126" s="46" t="s">
        <v>46</v>
      </c>
      <c r="C126" s="170"/>
      <c r="D126" s="194"/>
      <c r="E126" s="170"/>
      <c r="F126" s="170"/>
      <c r="G126" s="170"/>
      <c r="H126" s="194" t="s">
        <v>2022</v>
      </c>
      <c r="I126" s="170"/>
      <c r="J126" s="46" t="s">
        <v>47</v>
      </c>
      <c r="K126" s="170"/>
      <c r="L126" s="197">
        <v>13.8</v>
      </c>
      <c r="M126" s="197">
        <v>1</v>
      </c>
      <c r="N126" s="290">
        <v>125</v>
      </c>
      <c r="O126" s="46"/>
      <c r="P126" s="46" t="s">
        <v>39</v>
      </c>
      <c r="Q126" s="170"/>
      <c r="R126" s="192" t="str">
        <f>CONCATENATE(N126,P126)</f>
        <v>125grams</v>
      </c>
      <c r="S126" s="198">
        <f>M126*N126</f>
        <v>125</v>
      </c>
      <c r="T126" s="199" t="str">
        <f>CONCATENATE(S126,Q126,P126)</f>
        <v>125grams</v>
      </c>
      <c r="U126" s="200">
        <f>L126*M126</f>
        <v>13.8</v>
      </c>
      <c r="V126" s="12"/>
      <c r="W126" s="12"/>
    </row>
    <row r="127" spans="1:23" x14ac:dyDescent="0.3">
      <c r="A127" s="183">
        <v>30</v>
      </c>
      <c r="B127" s="194" t="s">
        <v>231</v>
      </c>
      <c r="C127" s="170"/>
      <c r="D127" s="194" t="str">
        <f ca="1">IFERROR(__xludf.DUMMYFUNCTION("IF(J33="""",""n/a"",IFERROR(SPLIT(J33,""/"")))"),"Filippo Berio")</f>
        <v>Filippo Berio</v>
      </c>
      <c r="E127" s="194" t="str">
        <f ca="1">IFERROR(__xludf.DUMMYFUNCTION("""COMPUTED_VALUE"""),"bottle")</f>
        <v>bottle</v>
      </c>
      <c r="F127" s="194" t="str">
        <f ca="1">IFERROR(__xludf.DUMMYFUNCTION("""COMPUTED_VALUE"""),"330ml")</f>
        <v>330ml</v>
      </c>
      <c r="G127" s="170"/>
      <c r="H127" s="183" t="s">
        <v>1895</v>
      </c>
      <c r="I127" s="170"/>
      <c r="J127" s="46" t="s">
        <v>232</v>
      </c>
      <c r="K127" s="170"/>
      <c r="L127" s="195">
        <v>255</v>
      </c>
      <c r="M127" s="197">
        <v>1</v>
      </c>
      <c r="N127" s="61">
        <v>1</v>
      </c>
      <c r="O127" s="61" t="str">
        <f ca="1">E127</f>
        <v>bottle</v>
      </c>
      <c r="P127" s="61" t="s">
        <v>32</v>
      </c>
      <c r="Q127" s="170"/>
      <c r="R127" s="192" t="str">
        <f>CONCATENATE(N127,P127)</f>
        <v>1ml</v>
      </c>
      <c r="S127" s="198">
        <f>M127*N127</f>
        <v>1</v>
      </c>
      <c r="T127" s="199" t="str">
        <f>CONCATENATE(S127,Q127,P127)</f>
        <v>1ml</v>
      </c>
      <c r="U127" s="200">
        <f>L127*M127</f>
        <v>255</v>
      </c>
      <c r="V127" s="12"/>
      <c r="W127" s="12"/>
    </row>
    <row r="128" spans="1:23" x14ac:dyDescent="0.3">
      <c r="A128" s="183">
        <v>30</v>
      </c>
      <c r="B128" s="46" t="s">
        <v>231</v>
      </c>
      <c r="C128" s="170"/>
      <c r="D128" s="194"/>
      <c r="E128" s="170"/>
      <c r="F128" s="170"/>
      <c r="G128" s="170"/>
      <c r="H128" s="194" t="s">
        <v>2026</v>
      </c>
      <c r="I128" s="170"/>
      <c r="J128" s="46" t="s">
        <v>880</v>
      </c>
      <c r="K128" s="170"/>
      <c r="L128" s="197">
        <v>169.8</v>
      </c>
      <c r="M128" s="197">
        <v>1</v>
      </c>
      <c r="N128" s="290">
        <v>250</v>
      </c>
      <c r="O128" s="46"/>
      <c r="P128" s="46" t="s">
        <v>32</v>
      </c>
      <c r="Q128" s="170"/>
      <c r="R128" s="192" t="str">
        <f>CONCATENATE(N128,P128)</f>
        <v>250ml</v>
      </c>
      <c r="S128" s="198">
        <f>M128*N128</f>
        <v>250</v>
      </c>
      <c r="T128" s="199" t="str">
        <f>CONCATENATE(S128,Q128,P128)</f>
        <v>250ml</v>
      </c>
      <c r="U128" s="200">
        <f>L128*M128</f>
        <v>169.8</v>
      </c>
      <c r="V128" s="12"/>
      <c r="W128" s="12"/>
    </row>
    <row r="129" spans="1:23" x14ac:dyDescent="0.3">
      <c r="A129" s="183">
        <v>30</v>
      </c>
      <c r="B129" s="46" t="s">
        <v>231</v>
      </c>
      <c r="C129" s="170"/>
      <c r="D129" s="194"/>
      <c r="E129" s="194"/>
      <c r="F129" s="170"/>
      <c r="G129" s="170"/>
      <c r="H129" s="194" t="s">
        <v>2022</v>
      </c>
      <c r="I129" s="170"/>
      <c r="J129" s="46" t="s">
        <v>880</v>
      </c>
      <c r="K129" s="170"/>
      <c r="L129" s="197">
        <v>198</v>
      </c>
      <c r="M129" s="197">
        <v>1</v>
      </c>
      <c r="N129" s="290">
        <v>330</v>
      </c>
      <c r="O129" s="46"/>
      <c r="P129" s="46" t="s">
        <v>32</v>
      </c>
      <c r="Q129" s="61" t="s">
        <v>33</v>
      </c>
      <c r="R129" s="192" t="str">
        <f>CONCATENATE(N129,P129)</f>
        <v>330ml</v>
      </c>
      <c r="S129" s="198">
        <f>M129*N129</f>
        <v>330</v>
      </c>
      <c r="T129" s="199" t="str">
        <f>CONCATENATE(S129,Q129,P129)</f>
        <v>330 ml</v>
      </c>
      <c r="U129" s="200">
        <f>L129*M129</f>
        <v>198</v>
      </c>
      <c r="V129" s="12"/>
      <c r="W129" s="12"/>
    </row>
    <row r="130" spans="1:23" x14ac:dyDescent="0.3">
      <c r="A130" s="183">
        <v>30</v>
      </c>
      <c r="B130" s="46" t="s">
        <v>231</v>
      </c>
      <c r="C130" s="170"/>
      <c r="D130" s="194"/>
      <c r="E130" s="194"/>
      <c r="F130" s="170"/>
      <c r="G130" s="170"/>
      <c r="H130" s="194" t="s">
        <v>2022</v>
      </c>
      <c r="I130" s="170"/>
      <c r="J130" s="46" t="s">
        <v>881</v>
      </c>
      <c r="K130" s="170"/>
      <c r="L130" s="197">
        <v>256</v>
      </c>
      <c r="M130" s="197">
        <v>1</v>
      </c>
      <c r="N130" s="290">
        <v>500</v>
      </c>
      <c r="O130" s="46"/>
      <c r="P130" s="46" t="s">
        <v>32</v>
      </c>
      <c r="Q130" s="170"/>
      <c r="R130" s="192" t="str">
        <f>CONCATENATE(N130,P130)</f>
        <v>500ml</v>
      </c>
      <c r="S130" s="198">
        <f>M130*N130</f>
        <v>500</v>
      </c>
      <c r="T130" s="199" t="str">
        <f>CONCATENATE(S130,Q130,P130)</f>
        <v>500ml</v>
      </c>
      <c r="U130" s="200">
        <f>L130*M130</f>
        <v>256</v>
      </c>
      <c r="V130" s="12"/>
      <c r="W130" s="12"/>
    </row>
    <row r="131" spans="1:23" x14ac:dyDescent="0.3">
      <c r="A131" s="183">
        <v>31</v>
      </c>
      <c r="B131" s="219" t="s">
        <v>882</v>
      </c>
      <c r="C131" s="170"/>
      <c r="D131" s="194"/>
      <c r="E131" s="194"/>
      <c r="F131" s="194"/>
      <c r="G131" s="170"/>
      <c r="H131" s="194" t="s">
        <v>2021</v>
      </c>
      <c r="I131" s="170"/>
      <c r="J131" s="219" t="s">
        <v>883</v>
      </c>
      <c r="K131" s="170"/>
      <c r="L131" s="216">
        <v>145</v>
      </c>
      <c r="M131" s="216">
        <v>2</v>
      </c>
      <c r="N131" s="293">
        <v>1</v>
      </c>
      <c r="O131" s="219"/>
      <c r="P131" s="219" t="s">
        <v>304</v>
      </c>
      <c r="Q131" s="170"/>
      <c r="R131" s="192" t="str">
        <f>CONCATENATE(N131,P131)</f>
        <v>1packs</v>
      </c>
      <c r="S131" s="198">
        <f>M131*N131</f>
        <v>2</v>
      </c>
      <c r="T131" s="199" t="str">
        <f>CONCATENATE(S131,Q131,P131)</f>
        <v>2packs</v>
      </c>
      <c r="U131" s="200">
        <f>L131*M131</f>
        <v>290</v>
      </c>
      <c r="V131" s="12"/>
      <c r="W131" s="12"/>
    </row>
    <row r="132" spans="1:23" x14ac:dyDescent="0.3">
      <c r="A132" s="183">
        <v>32</v>
      </c>
      <c r="B132" s="46" t="s">
        <v>884</v>
      </c>
      <c r="C132" s="170"/>
      <c r="D132" s="194"/>
      <c r="E132" s="194"/>
      <c r="F132" s="194"/>
      <c r="G132" s="170"/>
      <c r="H132" s="194" t="s">
        <v>2025</v>
      </c>
      <c r="I132" s="170"/>
      <c r="J132" s="170"/>
      <c r="K132" s="170"/>
      <c r="L132" s="197">
        <v>40</v>
      </c>
      <c r="M132" s="197">
        <v>1</v>
      </c>
      <c r="N132" s="290">
        <v>1</v>
      </c>
      <c r="O132" s="46"/>
      <c r="P132" s="46" t="s">
        <v>213</v>
      </c>
      <c r="Q132" s="170"/>
      <c r="R132" s="192" t="str">
        <f>CONCATENATE(N132,P132)</f>
        <v>1kilos</v>
      </c>
      <c r="S132" s="198">
        <f>M132*N132</f>
        <v>1</v>
      </c>
      <c r="T132" s="199" t="str">
        <f>CONCATENATE(S132,Q132,P132)</f>
        <v>1kilos</v>
      </c>
      <c r="U132" s="200">
        <f>L132*M132</f>
        <v>40</v>
      </c>
      <c r="V132" s="12"/>
      <c r="W132" s="12"/>
    </row>
    <row r="133" spans="1:23" x14ac:dyDescent="0.3">
      <c r="A133" s="183">
        <v>33</v>
      </c>
      <c r="B133" s="46" t="s">
        <v>885</v>
      </c>
      <c r="C133" s="170"/>
      <c r="D133" s="194"/>
      <c r="E133" s="170"/>
      <c r="F133" s="170"/>
      <c r="G133" s="170"/>
      <c r="H133" s="194" t="s">
        <v>2026</v>
      </c>
      <c r="I133" s="170"/>
      <c r="J133" s="170"/>
      <c r="K133" s="170"/>
      <c r="L133" s="197">
        <v>110</v>
      </c>
      <c r="M133" s="197">
        <v>2</v>
      </c>
      <c r="N133" s="290">
        <v>1</v>
      </c>
      <c r="O133" s="46"/>
      <c r="P133" s="46" t="s">
        <v>213</v>
      </c>
      <c r="Q133" s="170"/>
      <c r="R133" s="192" t="str">
        <f>CONCATENATE(N133,P133)</f>
        <v>1kilos</v>
      </c>
      <c r="S133" s="198">
        <f>M133*N133</f>
        <v>2</v>
      </c>
      <c r="T133" s="199" t="str">
        <f>CONCATENATE(S133,Q133,P133)</f>
        <v>2kilos</v>
      </c>
      <c r="U133" s="200">
        <f>L133*M133</f>
        <v>220</v>
      </c>
      <c r="V133" s="12"/>
      <c r="W133" s="12"/>
    </row>
    <row r="134" spans="1:23" x14ac:dyDescent="0.3">
      <c r="A134" s="183">
        <v>34</v>
      </c>
      <c r="B134" s="46" t="s">
        <v>886</v>
      </c>
      <c r="C134" s="170"/>
      <c r="D134" s="194"/>
      <c r="E134" s="170"/>
      <c r="F134" s="170"/>
      <c r="G134" s="170"/>
      <c r="H134" s="194" t="s">
        <v>2022</v>
      </c>
      <c r="I134" s="170"/>
      <c r="J134" s="46" t="s">
        <v>887</v>
      </c>
      <c r="K134" s="170"/>
      <c r="L134" s="197">
        <v>36</v>
      </c>
      <c r="M134" s="197">
        <v>2</v>
      </c>
      <c r="N134" s="290">
        <v>30</v>
      </c>
      <c r="O134" s="46"/>
      <c r="P134" s="46" t="s">
        <v>39</v>
      </c>
      <c r="Q134" s="170"/>
      <c r="R134" s="192" t="str">
        <f>CONCATENATE(N134,P134)</f>
        <v>30grams</v>
      </c>
      <c r="S134" s="198">
        <f>M134*N134</f>
        <v>60</v>
      </c>
      <c r="T134" s="199" t="str">
        <f>CONCATENATE(S134,Q134,P134)</f>
        <v>60grams</v>
      </c>
      <c r="U134" s="200">
        <f>L134*M134</f>
        <v>72</v>
      </c>
      <c r="V134" s="12"/>
      <c r="W134" s="12"/>
    </row>
    <row r="135" spans="1:23" x14ac:dyDescent="0.3">
      <c r="A135" s="183">
        <v>35</v>
      </c>
      <c r="B135" s="219" t="s">
        <v>888</v>
      </c>
      <c r="C135" s="170"/>
      <c r="D135" s="194"/>
      <c r="E135" s="194"/>
      <c r="F135" s="170"/>
      <c r="G135" s="170"/>
      <c r="H135" s="194" t="s">
        <v>2021</v>
      </c>
      <c r="I135" s="170"/>
      <c r="J135" s="219" t="s">
        <v>889</v>
      </c>
      <c r="K135" s="170"/>
      <c r="L135" s="216">
        <v>55</v>
      </c>
      <c r="M135" s="216">
        <v>1</v>
      </c>
      <c r="N135" s="293">
        <v>25</v>
      </c>
      <c r="O135" s="219"/>
      <c r="P135" s="219" t="s">
        <v>32</v>
      </c>
      <c r="Q135" s="170"/>
      <c r="R135" s="192" t="str">
        <f>CONCATENATE(N135,P135)</f>
        <v>25ml</v>
      </c>
      <c r="S135" s="198">
        <f>M135*N135</f>
        <v>25</v>
      </c>
      <c r="T135" s="199" t="str">
        <f>CONCATENATE(S135,Q135,P135)</f>
        <v>25ml</v>
      </c>
      <c r="U135" s="200">
        <f>L135*M135</f>
        <v>55</v>
      </c>
      <c r="V135" s="12"/>
      <c r="W135" s="12"/>
    </row>
    <row r="136" spans="1:23" x14ac:dyDescent="0.3">
      <c r="A136" s="183">
        <v>35</v>
      </c>
      <c r="B136" s="219" t="s">
        <v>888</v>
      </c>
      <c r="C136" s="170"/>
      <c r="D136" s="194"/>
      <c r="E136" s="194"/>
      <c r="F136" s="170"/>
      <c r="G136" s="170"/>
      <c r="H136" s="194" t="s">
        <v>2021</v>
      </c>
      <c r="I136" s="170"/>
      <c r="J136" s="219" t="s">
        <v>890</v>
      </c>
      <c r="K136" s="170"/>
      <c r="L136" s="216">
        <v>41</v>
      </c>
      <c r="M136" s="216">
        <v>2</v>
      </c>
      <c r="N136" s="293">
        <v>25</v>
      </c>
      <c r="O136" s="219"/>
      <c r="P136" s="219" t="s">
        <v>32</v>
      </c>
      <c r="Q136" s="170"/>
      <c r="R136" s="192" t="str">
        <f>CONCATENATE(N136,P136)</f>
        <v>25ml</v>
      </c>
      <c r="S136" s="198">
        <f>M136*N136</f>
        <v>50</v>
      </c>
      <c r="T136" s="199" t="str">
        <f>CONCATENATE(S136,Q136,P136)</f>
        <v>50ml</v>
      </c>
      <c r="U136" s="200">
        <f>L136*M136</f>
        <v>82</v>
      </c>
      <c r="V136" s="12"/>
      <c r="W136" s="12"/>
    </row>
    <row r="137" spans="1:23" x14ac:dyDescent="0.3">
      <c r="A137" s="183">
        <v>36</v>
      </c>
      <c r="B137" s="194" t="s">
        <v>492</v>
      </c>
      <c r="C137" s="170"/>
      <c r="D137" s="194" t="str">
        <f ca="1">IFERROR(__xludf.DUMMYFUNCTION("IF(J34="""",""n/a"",IFERROR(SPLIT(J34,""/"")))"),"Indicate ave weight")</f>
        <v>Indicate ave weight</v>
      </c>
      <c r="E137" s="194" t="str">
        <f ca="1">IFERROR(__xludf.DUMMYFUNCTION("""COMPUTED_VALUE"""),"piece")</f>
        <v>piece</v>
      </c>
      <c r="F137" s="170"/>
      <c r="G137" s="170"/>
      <c r="H137" s="183" t="s">
        <v>1897</v>
      </c>
      <c r="I137" s="170"/>
      <c r="J137" s="211" t="s">
        <v>297</v>
      </c>
      <c r="K137" s="170"/>
      <c r="L137" s="202">
        <v>0.27</v>
      </c>
      <c r="M137" s="202">
        <v>10000</v>
      </c>
      <c r="N137" s="203">
        <v>1000</v>
      </c>
      <c r="O137" s="61" t="str">
        <f ca="1">E137</f>
        <v>piece</v>
      </c>
      <c r="P137" s="61" t="s">
        <v>39</v>
      </c>
      <c r="Q137" s="170"/>
      <c r="R137" s="192" t="str">
        <f>CONCATENATE(N137,P137)</f>
        <v>1000grams</v>
      </c>
      <c r="S137" s="198">
        <f>M137*N137</f>
        <v>10000000</v>
      </c>
      <c r="T137" s="199" t="str">
        <f>CONCATENATE(S137,Q137,P137)</f>
        <v>10000000grams</v>
      </c>
      <c r="U137" s="200">
        <f>L137*M137</f>
        <v>2700</v>
      </c>
      <c r="V137" s="62"/>
      <c r="W137" s="12"/>
    </row>
    <row r="138" spans="1:23" x14ac:dyDescent="0.3">
      <c r="A138" s="183">
        <v>36</v>
      </c>
      <c r="B138" s="46" t="s">
        <v>492</v>
      </c>
      <c r="C138" s="215"/>
      <c r="D138" s="194"/>
      <c r="E138" s="215"/>
      <c r="F138" s="215"/>
      <c r="G138" s="215"/>
      <c r="H138" s="194" t="s">
        <v>2024</v>
      </c>
      <c r="I138" s="170"/>
      <c r="J138" s="296"/>
      <c r="K138" s="170"/>
      <c r="L138" s="197">
        <v>260</v>
      </c>
      <c r="M138" s="197">
        <v>20</v>
      </c>
      <c r="N138" s="290">
        <v>1</v>
      </c>
      <c r="O138" s="46"/>
      <c r="P138" s="46" t="s">
        <v>213</v>
      </c>
      <c r="Q138" s="170"/>
      <c r="R138" s="192" t="str">
        <f>CONCATENATE(N138,P138)</f>
        <v>1kilos</v>
      </c>
      <c r="S138" s="198">
        <f>M138*N138</f>
        <v>20</v>
      </c>
      <c r="T138" s="199" t="str">
        <f>CONCATENATE(S138,Q138,P138)</f>
        <v>20kilos</v>
      </c>
      <c r="U138" s="200">
        <f>L138*M138</f>
        <v>5200</v>
      </c>
      <c r="V138" s="12"/>
      <c r="W138" s="12"/>
    </row>
    <row r="139" spans="1:23" x14ac:dyDescent="0.3">
      <c r="A139" s="183">
        <v>36</v>
      </c>
      <c r="B139" s="46" t="s">
        <v>492</v>
      </c>
      <c r="C139" s="170"/>
      <c r="D139" s="194"/>
      <c r="E139" s="194"/>
      <c r="F139" s="194"/>
      <c r="G139" s="170"/>
      <c r="H139" s="194" t="s">
        <v>2025</v>
      </c>
      <c r="I139" s="170"/>
      <c r="J139" s="170"/>
      <c r="K139" s="170"/>
      <c r="L139" s="197">
        <v>200</v>
      </c>
      <c r="M139" s="197">
        <v>4</v>
      </c>
      <c r="N139" s="290">
        <v>1</v>
      </c>
      <c r="O139" s="46"/>
      <c r="P139" s="46" t="s">
        <v>213</v>
      </c>
      <c r="Q139" s="61" t="s">
        <v>33</v>
      </c>
      <c r="R139" s="192" t="str">
        <f>CONCATENATE(N139,P139)</f>
        <v>1kilos</v>
      </c>
      <c r="S139" s="198">
        <f>M139*N139</f>
        <v>4</v>
      </c>
      <c r="T139" s="199" t="str">
        <f>CONCATENATE(S139,Q139,P139)</f>
        <v>4 kilos</v>
      </c>
      <c r="U139" s="200">
        <f>L139*M139</f>
        <v>800</v>
      </c>
      <c r="V139" s="12"/>
      <c r="W139" s="12"/>
    </row>
    <row r="140" spans="1:23" x14ac:dyDescent="0.3">
      <c r="A140" s="183">
        <v>36</v>
      </c>
      <c r="B140" s="46" t="s">
        <v>492</v>
      </c>
      <c r="C140" s="170"/>
      <c r="D140" s="194"/>
      <c r="E140" s="194"/>
      <c r="F140" s="194"/>
      <c r="G140" s="170"/>
      <c r="H140" s="194" t="s">
        <v>2026</v>
      </c>
      <c r="I140" s="170"/>
      <c r="J140" s="170"/>
      <c r="K140" s="170"/>
      <c r="L140" s="197">
        <v>280</v>
      </c>
      <c r="M140" s="197">
        <v>3</v>
      </c>
      <c r="N140" s="290">
        <v>1</v>
      </c>
      <c r="O140" s="46"/>
      <c r="P140" s="46" t="s">
        <v>213</v>
      </c>
      <c r="Q140" s="170"/>
      <c r="R140" s="192" t="str">
        <f>CONCATENATE(N140,P140)</f>
        <v>1kilos</v>
      </c>
      <c r="S140" s="198">
        <f>M140*N140</f>
        <v>3</v>
      </c>
      <c r="T140" s="199" t="str">
        <f>CONCATENATE(S140,Q140,P140)</f>
        <v>3kilos</v>
      </c>
      <c r="U140" s="200">
        <f>L140*M140</f>
        <v>840</v>
      </c>
      <c r="V140" s="12"/>
      <c r="W140" s="12"/>
    </row>
    <row r="141" spans="1:23" x14ac:dyDescent="0.3">
      <c r="A141" s="183">
        <v>36</v>
      </c>
      <c r="B141" s="46" t="s">
        <v>492</v>
      </c>
      <c r="C141" s="170"/>
      <c r="D141" s="194"/>
      <c r="E141" s="194"/>
      <c r="F141" s="194"/>
      <c r="G141" s="170"/>
      <c r="H141" s="194" t="s">
        <v>1368</v>
      </c>
      <c r="I141" s="170"/>
      <c r="J141" s="170"/>
      <c r="K141" s="170"/>
      <c r="L141" s="197">
        <v>200</v>
      </c>
      <c r="M141" s="197">
        <v>7</v>
      </c>
      <c r="N141" s="290">
        <v>1</v>
      </c>
      <c r="O141" s="46"/>
      <c r="P141" s="46" t="s">
        <v>213</v>
      </c>
      <c r="Q141" s="170"/>
      <c r="R141" s="192" t="str">
        <f>CONCATENATE(N141,P141)</f>
        <v>1kilos</v>
      </c>
      <c r="S141" s="198">
        <f>M141*N141</f>
        <v>7</v>
      </c>
      <c r="T141" s="199" t="str">
        <f>CONCATENATE(S141,Q141,P141)</f>
        <v>7kilos</v>
      </c>
      <c r="U141" s="200">
        <f>L141*M141</f>
        <v>1400</v>
      </c>
      <c r="V141" s="12"/>
      <c r="W141" s="12"/>
    </row>
    <row r="142" spans="1:23" x14ac:dyDescent="0.3">
      <c r="A142" s="183">
        <v>36</v>
      </c>
      <c r="B142" s="46" t="s">
        <v>492</v>
      </c>
      <c r="C142" s="170"/>
      <c r="D142" s="194"/>
      <c r="E142" s="194"/>
      <c r="F142" s="194"/>
      <c r="G142" s="170"/>
      <c r="H142" s="194" t="s">
        <v>2023</v>
      </c>
      <c r="I142" s="170"/>
      <c r="J142" s="296"/>
      <c r="K142" s="170"/>
      <c r="L142" s="197">
        <v>300</v>
      </c>
      <c r="M142" s="197">
        <v>3</v>
      </c>
      <c r="N142" s="290">
        <v>1</v>
      </c>
      <c r="O142" s="46"/>
      <c r="P142" s="46" t="s">
        <v>213</v>
      </c>
      <c r="Q142" s="170"/>
      <c r="R142" s="192" t="str">
        <f>CONCATENATE(N142,P142)</f>
        <v>1kilos</v>
      </c>
      <c r="S142" s="198">
        <f>M142*N142</f>
        <v>3</v>
      </c>
      <c r="T142" s="199" t="str">
        <f>CONCATENATE(S142,Q142,P142)</f>
        <v>3kilos</v>
      </c>
      <c r="U142" s="200">
        <f>L142*M142</f>
        <v>900</v>
      </c>
      <c r="V142" s="12"/>
      <c r="W142" s="12"/>
    </row>
    <row r="143" spans="1:23" x14ac:dyDescent="0.3">
      <c r="A143" s="183">
        <v>36</v>
      </c>
      <c r="B143" s="46" t="s">
        <v>492</v>
      </c>
      <c r="C143" s="170"/>
      <c r="D143" s="194"/>
      <c r="E143" s="170"/>
      <c r="F143" s="170"/>
      <c r="G143" s="170"/>
      <c r="H143" s="194" t="s">
        <v>2020</v>
      </c>
      <c r="I143" s="170"/>
      <c r="J143" s="170"/>
      <c r="K143" s="170"/>
      <c r="L143" s="197">
        <v>220</v>
      </c>
      <c r="M143" s="197">
        <v>1</v>
      </c>
      <c r="N143" s="290">
        <v>1</v>
      </c>
      <c r="O143" s="46"/>
      <c r="P143" s="46" t="s">
        <v>213</v>
      </c>
      <c r="Q143" s="170"/>
      <c r="R143" s="192" t="str">
        <f>CONCATENATE(N143,P143)</f>
        <v>1kilos</v>
      </c>
      <c r="S143" s="198">
        <f>M143*N143</f>
        <v>1</v>
      </c>
      <c r="T143" s="199" t="str">
        <f>CONCATENATE(S143,Q143,P143)</f>
        <v>1kilos</v>
      </c>
      <c r="U143" s="200">
        <f>L143*M143</f>
        <v>220</v>
      </c>
      <c r="V143" s="12"/>
      <c r="W143" s="12"/>
    </row>
    <row r="144" spans="1:23" x14ac:dyDescent="0.3">
      <c r="A144" s="183">
        <v>36</v>
      </c>
      <c r="B144" s="46" t="s">
        <v>492</v>
      </c>
      <c r="C144" s="170"/>
      <c r="D144" s="194"/>
      <c r="E144" s="170"/>
      <c r="F144" s="170"/>
      <c r="G144" s="170"/>
      <c r="H144" s="194" t="s">
        <v>1368</v>
      </c>
      <c r="I144" s="170"/>
      <c r="J144" s="170"/>
      <c r="K144" s="170"/>
      <c r="L144" s="197">
        <v>150</v>
      </c>
      <c r="M144" s="197">
        <v>5</v>
      </c>
      <c r="N144" s="290">
        <v>1</v>
      </c>
      <c r="O144" s="46"/>
      <c r="P144" s="46" t="s">
        <v>213</v>
      </c>
      <c r="Q144" s="170"/>
      <c r="R144" s="192" t="str">
        <f>CONCATENATE(N144,P144)</f>
        <v>1kilos</v>
      </c>
      <c r="S144" s="198">
        <f>M144*N144</f>
        <v>5</v>
      </c>
      <c r="T144" s="199" t="str">
        <f>CONCATENATE(S144,Q144,P144)</f>
        <v>5kilos</v>
      </c>
      <c r="U144" s="200">
        <f>L144*M144</f>
        <v>750</v>
      </c>
      <c r="V144" s="12"/>
      <c r="W144" s="12"/>
    </row>
    <row r="145" spans="1:23" x14ac:dyDescent="0.3">
      <c r="A145" s="183">
        <v>36</v>
      </c>
      <c r="B145" s="46" t="s">
        <v>492</v>
      </c>
      <c r="C145" s="215"/>
      <c r="D145" s="194"/>
      <c r="E145" s="215"/>
      <c r="F145" s="215"/>
      <c r="G145" s="215"/>
      <c r="H145" s="400" t="s">
        <v>2027</v>
      </c>
      <c r="I145" s="170"/>
      <c r="J145" s="170"/>
      <c r="K145" s="170"/>
      <c r="L145" s="195">
        <v>275</v>
      </c>
      <c r="M145" s="197">
        <v>6</v>
      </c>
      <c r="N145" s="360">
        <v>1</v>
      </c>
      <c r="O145" s="61"/>
      <c r="P145" s="61" t="s">
        <v>213</v>
      </c>
      <c r="Q145" s="170"/>
      <c r="R145" s="192" t="str">
        <f>CONCATENATE(N145,P145)</f>
        <v>1kilos</v>
      </c>
      <c r="S145" s="198">
        <f>M145*N145</f>
        <v>6</v>
      </c>
      <c r="T145" s="199" t="str">
        <f>CONCATENATE(S145,Q145,P145)</f>
        <v>6kilos</v>
      </c>
      <c r="U145" s="200">
        <f>L145*M145</f>
        <v>1650</v>
      </c>
      <c r="V145" s="12"/>
      <c r="W145" s="12"/>
    </row>
    <row r="146" spans="1:23" x14ac:dyDescent="0.3">
      <c r="A146" s="183">
        <v>37</v>
      </c>
      <c r="B146" s="46" t="s">
        <v>891</v>
      </c>
      <c r="C146" s="170"/>
      <c r="D146" s="194"/>
      <c r="E146" s="194"/>
      <c r="F146" s="194"/>
      <c r="G146" s="170"/>
      <c r="H146" s="194" t="s">
        <v>1368</v>
      </c>
      <c r="I146" s="170"/>
      <c r="J146" s="46" t="s">
        <v>892</v>
      </c>
      <c r="K146" s="170"/>
      <c r="L146" s="197">
        <v>265</v>
      </c>
      <c r="M146" s="197">
        <v>1</v>
      </c>
      <c r="N146" s="290">
        <v>1</v>
      </c>
      <c r="O146" s="46"/>
      <c r="P146" s="46" t="s">
        <v>213</v>
      </c>
      <c r="Q146" s="170"/>
      <c r="R146" s="192" t="str">
        <f>CONCATENATE(N146,P146)</f>
        <v>1kilos</v>
      </c>
      <c r="S146" s="198">
        <f>M146*N146</f>
        <v>1</v>
      </c>
      <c r="T146" s="199" t="str">
        <f>CONCATENATE(S146,Q146,P146)</f>
        <v>1kilos</v>
      </c>
      <c r="U146" s="200">
        <f>L146*M146</f>
        <v>265</v>
      </c>
      <c r="V146" s="12"/>
      <c r="W146" s="12"/>
    </row>
    <row r="147" spans="1:23" x14ac:dyDescent="0.3">
      <c r="A147" s="183">
        <v>38</v>
      </c>
      <c r="B147" s="219" t="s">
        <v>893</v>
      </c>
      <c r="C147" s="170"/>
      <c r="D147" s="194"/>
      <c r="E147" s="170"/>
      <c r="F147" s="170"/>
      <c r="G147" s="170"/>
      <c r="H147" s="194" t="s">
        <v>2021</v>
      </c>
      <c r="I147" s="170"/>
      <c r="J147" s="219" t="s">
        <v>894</v>
      </c>
      <c r="K147" s="170"/>
      <c r="L147" s="216">
        <v>559</v>
      </c>
      <c r="M147" s="216">
        <v>1</v>
      </c>
      <c r="N147" s="293">
        <v>1000</v>
      </c>
      <c r="O147" s="219"/>
      <c r="P147" s="219" t="s">
        <v>39</v>
      </c>
      <c r="Q147" s="170"/>
      <c r="R147" s="192" t="str">
        <f>CONCATENATE(N147,P147)</f>
        <v>1000grams</v>
      </c>
      <c r="S147" s="198">
        <f>M147*N147</f>
        <v>1000</v>
      </c>
      <c r="T147" s="199" t="str">
        <f>CONCATENATE(S147,Q147,P147)</f>
        <v>1000grams</v>
      </c>
      <c r="U147" s="200">
        <f>L147*M147</f>
        <v>559</v>
      </c>
      <c r="V147" s="12"/>
      <c r="W147" s="12"/>
    </row>
    <row r="148" spans="1:23" x14ac:dyDescent="0.3">
      <c r="A148" s="183">
        <v>39</v>
      </c>
      <c r="B148" s="46" t="s">
        <v>895</v>
      </c>
      <c r="C148" s="170"/>
      <c r="D148" s="194"/>
      <c r="E148" s="194"/>
      <c r="F148" s="170"/>
      <c r="G148" s="170"/>
      <c r="H148" s="194" t="s">
        <v>1368</v>
      </c>
      <c r="I148" s="170"/>
      <c r="J148" s="46" t="s">
        <v>896</v>
      </c>
      <c r="K148" s="170"/>
      <c r="L148" s="197">
        <v>34.75</v>
      </c>
      <c r="M148" s="197">
        <v>2</v>
      </c>
      <c r="N148" s="290">
        <v>1</v>
      </c>
      <c r="O148" s="46"/>
      <c r="P148" s="46" t="s">
        <v>304</v>
      </c>
      <c r="Q148" s="170"/>
      <c r="R148" s="192" t="str">
        <f>CONCATENATE(N148,P148)</f>
        <v>1packs</v>
      </c>
      <c r="S148" s="198">
        <f>M148*N148</f>
        <v>2</v>
      </c>
      <c r="T148" s="199" t="str">
        <f>CONCATENATE(S148,Q148,P148)</f>
        <v>2packs</v>
      </c>
      <c r="U148" s="200">
        <f>L148*M148</f>
        <v>69.5</v>
      </c>
      <c r="V148" s="12"/>
      <c r="W148" s="12"/>
    </row>
    <row r="149" spans="1:23" x14ac:dyDescent="0.3">
      <c r="A149" s="183">
        <v>39</v>
      </c>
      <c r="B149" s="46" t="s">
        <v>895</v>
      </c>
      <c r="C149" s="170"/>
      <c r="D149" s="194"/>
      <c r="E149" s="194"/>
      <c r="F149" s="170"/>
      <c r="G149" s="170"/>
      <c r="H149" s="194" t="s">
        <v>2020</v>
      </c>
      <c r="I149" s="170"/>
      <c r="J149" s="46" t="s">
        <v>897</v>
      </c>
      <c r="K149" s="170"/>
      <c r="L149" s="197">
        <v>32</v>
      </c>
      <c r="M149" s="197">
        <v>1</v>
      </c>
      <c r="N149" s="290">
        <v>110</v>
      </c>
      <c r="O149" s="46"/>
      <c r="P149" s="46" t="s">
        <v>39</v>
      </c>
      <c r="Q149" s="170"/>
      <c r="R149" s="192" t="str">
        <f>CONCATENATE(N149,P149)</f>
        <v>110grams</v>
      </c>
      <c r="S149" s="198">
        <f>M149*N149</f>
        <v>110</v>
      </c>
      <c r="T149" s="199" t="str">
        <f>CONCATENATE(S149,Q149,P149)</f>
        <v>110grams</v>
      </c>
      <c r="U149" s="200">
        <f>L149*M149</f>
        <v>32</v>
      </c>
      <c r="V149" s="12"/>
      <c r="W149" s="12"/>
    </row>
    <row r="150" spans="1:23" x14ac:dyDescent="0.3">
      <c r="A150" s="183">
        <v>40</v>
      </c>
      <c r="B150" s="194" t="s">
        <v>299</v>
      </c>
      <c r="C150" s="170"/>
      <c r="D150" s="194" t="str">
        <f ca="1">IFERROR(__xludf.DUMMYFUNCTION("IF(J35="""",""n/a"",IFERROR(SPLIT(J35,""/"")))"),"pack")</f>
        <v>pack</v>
      </c>
      <c r="E150" s="194" t="str">
        <f ca="1">IFERROR(__xludf.DUMMYFUNCTION("""COMPUTED_VALUE"""),"100pcs")</f>
        <v>100pcs</v>
      </c>
      <c r="F150" s="170"/>
      <c r="G150" s="170"/>
      <c r="H150" s="183" t="s">
        <v>1895</v>
      </c>
      <c r="I150" s="170"/>
      <c r="J150" s="46" t="s">
        <v>300</v>
      </c>
      <c r="K150" s="170"/>
      <c r="L150" s="195">
        <v>18.940000000000001</v>
      </c>
      <c r="M150" s="197">
        <v>30</v>
      </c>
      <c r="N150" s="61">
        <v>1</v>
      </c>
      <c r="O150" s="61" t="str">
        <f ca="1">E150</f>
        <v>100pcs</v>
      </c>
      <c r="P150" s="61" t="s">
        <v>304</v>
      </c>
      <c r="Q150" s="170"/>
      <c r="R150" s="192" t="str">
        <f>CONCATENATE(N150,P150)</f>
        <v>1packs</v>
      </c>
      <c r="S150" s="198">
        <f>M150*N150</f>
        <v>30</v>
      </c>
      <c r="T150" s="199" t="str">
        <f>CONCATENATE(S150,Q150,P150)</f>
        <v>30packs</v>
      </c>
      <c r="U150" s="200">
        <f>L150*M150</f>
        <v>568.20000000000005</v>
      </c>
      <c r="V150" s="12"/>
      <c r="W150" s="12"/>
    </row>
    <row r="151" spans="1:23" x14ac:dyDescent="0.3">
      <c r="A151" s="183">
        <v>41</v>
      </c>
      <c r="B151" s="219" t="s">
        <v>898</v>
      </c>
      <c r="C151" s="170"/>
      <c r="D151" s="194"/>
      <c r="E151" s="194"/>
      <c r="F151" s="170"/>
      <c r="G151" s="170"/>
      <c r="H151" s="194" t="s">
        <v>2021</v>
      </c>
      <c r="I151" s="170"/>
      <c r="J151" s="219" t="s">
        <v>897</v>
      </c>
      <c r="K151" s="170"/>
      <c r="L151" s="216">
        <v>77</v>
      </c>
      <c r="M151" s="216">
        <v>1</v>
      </c>
      <c r="N151" s="293">
        <v>350</v>
      </c>
      <c r="O151" s="219"/>
      <c r="P151" s="219" t="s">
        <v>32</v>
      </c>
      <c r="Q151" s="170"/>
      <c r="R151" s="192" t="str">
        <f>CONCATENATE(N151,P151)</f>
        <v>350ml</v>
      </c>
      <c r="S151" s="198">
        <f>M151*N151</f>
        <v>350</v>
      </c>
      <c r="T151" s="199" t="str">
        <f>CONCATENATE(S151,Q151,P151)</f>
        <v>350ml</v>
      </c>
      <c r="U151" s="200">
        <f>L151*M151</f>
        <v>77</v>
      </c>
      <c r="V151" s="12"/>
      <c r="W151" s="12"/>
    </row>
    <row r="152" spans="1:23" x14ac:dyDescent="0.3">
      <c r="A152" s="183">
        <v>42</v>
      </c>
      <c r="B152" s="46" t="s">
        <v>899</v>
      </c>
      <c r="C152" s="170"/>
      <c r="D152" s="194"/>
      <c r="E152" s="170"/>
      <c r="F152" s="170"/>
      <c r="G152" s="170"/>
      <c r="H152" s="194" t="s">
        <v>2024</v>
      </c>
      <c r="I152" s="170"/>
      <c r="J152" s="46" t="s">
        <v>900</v>
      </c>
      <c r="K152" s="170"/>
      <c r="L152" s="197">
        <v>17</v>
      </c>
      <c r="M152" s="197">
        <v>3</v>
      </c>
      <c r="N152" s="290">
        <v>1</v>
      </c>
      <c r="O152" s="46"/>
      <c r="P152" s="46" t="s">
        <v>304</v>
      </c>
      <c r="Q152" s="170"/>
      <c r="R152" s="192" t="str">
        <f>CONCATENATE(N152,P152)</f>
        <v>1packs</v>
      </c>
      <c r="S152" s="198">
        <f>M152*N152</f>
        <v>3</v>
      </c>
      <c r="T152" s="199" t="str">
        <f>CONCATENATE(S152,Q152,P152)</f>
        <v>3packs</v>
      </c>
      <c r="U152" s="200">
        <f>L152*M152</f>
        <v>51</v>
      </c>
      <c r="V152" s="12"/>
      <c r="W152" s="12"/>
    </row>
    <row r="153" spans="1:23" x14ac:dyDescent="0.3">
      <c r="A153" s="183">
        <v>42</v>
      </c>
      <c r="B153" s="46" t="s">
        <v>899</v>
      </c>
      <c r="C153" s="170"/>
      <c r="D153" s="194"/>
      <c r="E153" s="170"/>
      <c r="F153" s="170"/>
      <c r="G153" s="170"/>
      <c r="H153" s="194" t="s">
        <v>2025</v>
      </c>
      <c r="I153" s="170"/>
      <c r="J153" s="46" t="s">
        <v>858</v>
      </c>
      <c r="K153" s="170"/>
      <c r="L153" s="197">
        <v>25.56</v>
      </c>
      <c r="M153" s="197">
        <v>9</v>
      </c>
      <c r="N153" s="290">
        <v>100</v>
      </c>
      <c r="O153" s="46"/>
      <c r="P153" s="46" t="s">
        <v>92</v>
      </c>
      <c r="Q153" s="170"/>
      <c r="R153" s="192" t="str">
        <f>CONCATENATE(N153,P153)</f>
        <v>100pieces</v>
      </c>
      <c r="S153" s="198">
        <f>M153*N153</f>
        <v>900</v>
      </c>
      <c r="T153" s="199" t="str">
        <f>CONCATENATE(S153,Q153,P153)</f>
        <v>900pieces</v>
      </c>
      <c r="U153" s="200">
        <f>L153*M153</f>
        <v>230.04</v>
      </c>
      <c r="V153" s="12"/>
      <c r="W153" s="12"/>
    </row>
    <row r="154" spans="1:23" x14ac:dyDescent="0.3">
      <c r="A154" s="183">
        <v>42</v>
      </c>
      <c r="B154" s="46" t="s">
        <v>899</v>
      </c>
      <c r="C154" s="170"/>
      <c r="D154" s="194"/>
      <c r="E154" s="170"/>
      <c r="F154" s="170"/>
      <c r="G154" s="170"/>
      <c r="H154" s="194" t="s">
        <v>2023</v>
      </c>
      <c r="I154" s="170"/>
      <c r="J154" s="46" t="s">
        <v>900</v>
      </c>
      <c r="K154" s="170"/>
      <c r="L154" s="197">
        <v>25</v>
      </c>
      <c r="M154" s="197">
        <v>1</v>
      </c>
      <c r="N154" s="290">
        <v>1</v>
      </c>
      <c r="O154" s="46"/>
      <c r="P154" s="46" t="s">
        <v>304</v>
      </c>
      <c r="Q154" s="170"/>
      <c r="R154" s="192" t="str">
        <f>CONCATENATE(N154,P154)</f>
        <v>1packs</v>
      </c>
      <c r="S154" s="198">
        <f>M154*N154</f>
        <v>1</v>
      </c>
      <c r="T154" s="199" t="str">
        <f>CONCATENATE(S154,Q154,P154)</f>
        <v>1packs</v>
      </c>
      <c r="U154" s="200">
        <f>L154*M154</f>
        <v>25</v>
      </c>
      <c r="V154" s="12"/>
      <c r="W154" s="12"/>
    </row>
    <row r="155" spans="1:23" x14ac:dyDescent="0.3">
      <c r="A155" s="183">
        <v>42</v>
      </c>
      <c r="B155" s="46" t="s">
        <v>899</v>
      </c>
      <c r="C155" s="170"/>
      <c r="D155" s="194"/>
      <c r="E155" s="170"/>
      <c r="F155" s="170"/>
      <c r="G155" s="170"/>
      <c r="H155" s="194" t="s">
        <v>2022</v>
      </c>
      <c r="I155" s="170"/>
      <c r="J155" s="46" t="s">
        <v>901</v>
      </c>
      <c r="K155" s="170"/>
      <c r="L155" s="197">
        <v>18</v>
      </c>
      <c r="M155" s="197">
        <v>4</v>
      </c>
      <c r="N155" s="290">
        <v>1</v>
      </c>
      <c r="O155" s="46"/>
      <c r="P155" s="46" t="s">
        <v>304</v>
      </c>
      <c r="Q155" s="170"/>
      <c r="R155" s="192" t="str">
        <f>CONCATENATE(N155,P155)</f>
        <v>1packs</v>
      </c>
      <c r="S155" s="198">
        <f>M155*N155</f>
        <v>4</v>
      </c>
      <c r="T155" s="199" t="str">
        <f>CONCATENATE(S155,Q155,P155)</f>
        <v>4packs</v>
      </c>
      <c r="U155" s="200">
        <f>L155*M155</f>
        <v>72</v>
      </c>
      <c r="V155" s="12"/>
      <c r="W155" s="12"/>
    </row>
    <row r="156" spans="1:23" x14ac:dyDescent="0.3">
      <c r="A156" s="183">
        <v>42</v>
      </c>
      <c r="B156" s="46" t="s">
        <v>899</v>
      </c>
      <c r="C156" s="170"/>
      <c r="D156" s="194"/>
      <c r="E156" s="194"/>
      <c r="F156" s="194"/>
      <c r="G156" s="170"/>
      <c r="H156" s="194" t="s">
        <v>2025</v>
      </c>
      <c r="I156" s="170"/>
      <c r="J156" s="170"/>
      <c r="K156" s="170"/>
      <c r="L156" s="197">
        <v>22.27</v>
      </c>
      <c r="M156" s="197">
        <v>1</v>
      </c>
      <c r="N156" s="290">
        <v>100</v>
      </c>
      <c r="O156" s="46"/>
      <c r="P156" s="46" t="s">
        <v>92</v>
      </c>
      <c r="Q156" s="170"/>
      <c r="R156" s="192" t="str">
        <f>CONCATENATE(N156,P156)</f>
        <v>100pieces</v>
      </c>
      <c r="S156" s="198">
        <f>M156*N156</f>
        <v>100</v>
      </c>
      <c r="T156" s="199" t="str">
        <f>CONCATENATE(S156,Q156,P156)</f>
        <v>100pieces</v>
      </c>
      <c r="U156" s="200">
        <f>L156*M156</f>
        <v>22.27</v>
      </c>
      <c r="V156" s="12"/>
      <c r="W156" s="12"/>
    </row>
    <row r="157" spans="1:23" x14ac:dyDescent="0.3">
      <c r="A157" s="183">
        <v>43</v>
      </c>
      <c r="B157" s="219" t="s">
        <v>902</v>
      </c>
      <c r="C157" s="170"/>
      <c r="D157" s="194"/>
      <c r="E157" s="194"/>
      <c r="F157" s="194"/>
      <c r="G157" s="170"/>
      <c r="H157" s="194" t="s">
        <v>2026</v>
      </c>
      <c r="I157" s="170"/>
      <c r="J157" s="219" t="s">
        <v>854</v>
      </c>
      <c r="K157" s="170"/>
      <c r="L157" s="197">
        <v>68</v>
      </c>
      <c r="M157" s="197">
        <v>1</v>
      </c>
      <c r="N157" s="290">
        <v>9</v>
      </c>
      <c r="O157" s="46"/>
      <c r="P157" s="46" t="s">
        <v>39</v>
      </c>
      <c r="Q157" s="170"/>
      <c r="R157" s="192" t="str">
        <f>CONCATENATE(N157,P157)</f>
        <v>9grams</v>
      </c>
      <c r="S157" s="198">
        <f>M157*N157</f>
        <v>9</v>
      </c>
      <c r="T157" s="199" t="str">
        <f>CONCATENATE(S157,Q157,P157)</f>
        <v>9grams</v>
      </c>
      <c r="U157" s="200">
        <f>L157*M157</f>
        <v>68</v>
      </c>
      <c r="V157" s="12"/>
      <c r="W157" s="12"/>
    </row>
    <row r="158" spans="1:23" x14ac:dyDescent="0.3">
      <c r="A158" s="183">
        <v>43</v>
      </c>
      <c r="B158" s="219" t="s">
        <v>902</v>
      </c>
      <c r="C158" s="170"/>
      <c r="D158" s="194"/>
      <c r="E158" s="170"/>
      <c r="F158" s="170"/>
      <c r="G158" s="170"/>
      <c r="H158" s="194" t="s">
        <v>2021</v>
      </c>
      <c r="I158" s="170"/>
      <c r="J158" s="219" t="s">
        <v>854</v>
      </c>
      <c r="K158" s="170"/>
      <c r="L158" s="216">
        <v>59.5</v>
      </c>
      <c r="M158" s="216">
        <v>4</v>
      </c>
      <c r="N158" s="293">
        <v>9</v>
      </c>
      <c r="O158" s="219"/>
      <c r="P158" s="219" t="s">
        <v>39</v>
      </c>
      <c r="Q158" s="170"/>
      <c r="R158" s="192" t="str">
        <f>CONCATENATE(N158,P158)</f>
        <v>9grams</v>
      </c>
      <c r="S158" s="198">
        <f>M158*N158</f>
        <v>36</v>
      </c>
      <c r="T158" s="199" t="str">
        <f>CONCATENATE(S158,Q158,P158)</f>
        <v>36grams</v>
      </c>
      <c r="U158" s="200">
        <f>L158*M158</f>
        <v>238</v>
      </c>
      <c r="V158" s="12"/>
      <c r="W158" s="12"/>
    </row>
    <row r="159" spans="1:23" x14ac:dyDescent="0.3">
      <c r="A159" s="183">
        <v>44</v>
      </c>
      <c r="B159" s="219" t="s">
        <v>903</v>
      </c>
      <c r="C159" s="170"/>
      <c r="D159" s="194"/>
      <c r="E159" s="194"/>
      <c r="F159" s="170"/>
      <c r="G159" s="170"/>
      <c r="H159" s="194" t="s">
        <v>2021</v>
      </c>
      <c r="I159" s="170"/>
      <c r="J159" s="219" t="s">
        <v>904</v>
      </c>
      <c r="K159" s="170"/>
      <c r="L159" s="216">
        <v>252</v>
      </c>
      <c r="M159" s="216">
        <v>1</v>
      </c>
      <c r="N159" s="293">
        <v>2</v>
      </c>
      <c r="O159" s="219"/>
      <c r="P159" s="219" t="s">
        <v>213</v>
      </c>
      <c r="Q159" s="170"/>
      <c r="R159" s="192" t="str">
        <f>CONCATENATE(N159,P159)</f>
        <v>2kilos</v>
      </c>
      <c r="S159" s="198">
        <f>M159*N159</f>
        <v>2</v>
      </c>
      <c r="T159" s="199" t="str">
        <f>CONCATENATE(S159,Q159,P159)</f>
        <v>2kilos</v>
      </c>
      <c r="U159" s="200">
        <f>L159*M159</f>
        <v>252</v>
      </c>
      <c r="V159" s="12"/>
      <c r="W159" s="12"/>
    </row>
    <row r="160" spans="1:23" x14ac:dyDescent="0.3">
      <c r="A160" s="183">
        <v>45</v>
      </c>
      <c r="B160" s="46" t="s">
        <v>905</v>
      </c>
      <c r="C160" s="215"/>
      <c r="D160" s="194"/>
      <c r="E160" s="214"/>
      <c r="F160" s="215"/>
      <c r="G160" s="215"/>
      <c r="H160" s="194" t="s">
        <v>1368</v>
      </c>
      <c r="I160" s="170"/>
      <c r="J160" s="170"/>
      <c r="K160" s="170"/>
      <c r="L160" s="197">
        <v>130</v>
      </c>
      <c r="M160" s="197">
        <v>2</v>
      </c>
      <c r="N160" s="293">
        <v>2</v>
      </c>
      <c r="O160" s="219"/>
      <c r="P160" s="219" t="s">
        <v>213</v>
      </c>
      <c r="Q160" s="170"/>
      <c r="R160" s="192" t="str">
        <f>CONCATENATE(N160,P160)</f>
        <v>2kilos</v>
      </c>
      <c r="S160" s="198">
        <f>M160*N160</f>
        <v>4</v>
      </c>
      <c r="T160" s="199" t="str">
        <f>CONCATENATE(S160,Q160,P160)</f>
        <v>4kilos</v>
      </c>
      <c r="U160" s="200">
        <f>L160*M160</f>
        <v>260</v>
      </c>
      <c r="V160" s="12"/>
      <c r="W160" s="12"/>
    </row>
    <row r="161" spans="1:23" x14ac:dyDescent="0.3">
      <c r="A161" s="183">
        <v>46</v>
      </c>
      <c r="B161" s="46" t="s">
        <v>1903</v>
      </c>
      <c r="C161" s="215"/>
      <c r="D161" s="194"/>
      <c r="E161" s="215"/>
      <c r="F161" s="215"/>
      <c r="G161" s="215"/>
      <c r="H161" s="400" t="s">
        <v>2027</v>
      </c>
      <c r="I161" s="170"/>
      <c r="J161" s="170"/>
      <c r="K161" s="170"/>
      <c r="L161" s="195">
        <v>0.24</v>
      </c>
      <c r="M161" s="197">
        <v>84</v>
      </c>
      <c r="N161" s="360">
        <v>1</v>
      </c>
      <c r="O161" s="61"/>
      <c r="P161" s="61" t="s">
        <v>92</v>
      </c>
      <c r="Q161" s="170"/>
      <c r="R161" s="192" t="str">
        <f>CONCATENATE(N161,P161)</f>
        <v>1pieces</v>
      </c>
      <c r="S161" s="198">
        <f>M161*N161</f>
        <v>84</v>
      </c>
      <c r="T161" s="199" t="str">
        <f>CONCATENATE(S161,Q161,P161)</f>
        <v>84pieces</v>
      </c>
      <c r="U161" s="200">
        <f>L161*M161</f>
        <v>20.16</v>
      </c>
      <c r="V161" s="12"/>
      <c r="W161" s="12"/>
    </row>
    <row r="162" spans="1:23" x14ac:dyDescent="0.3">
      <c r="A162" s="183">
        <v>47</v>
      </c>
      <c r="B162" s="194" t="s">
        <v>123</v>
      </c>
      <c r="C162" s="170"/>
      <c r="D162" s="194" t="str">
        <f ca="1">IFERROR(__xludf.DUMMYFUNCTION("IF(J36="""",""n/a"",IFERROR(SPLIT(J36,""/"")))"),"Nestle")</f>
        <v>Nestle</v>
      </c>
      <c r="E162" s="194" t="str">
        <f ca="1">IFERROR(__xludf.DUMMYFUNCTION("""COMPUTED_VALUE"""),"pcsx33grams)")</f>
        <v>pcsx33grams)</v>
      </c>
      <c r="F162" s="170"/>
      <c r="G162" s="170"/>
      <c r="H162" s="183" t="s">
        <v>1895</v>
      </c>
      <c r="I162" s="170"/>
      <c r="J162" s="46" t="s">
        <v>124</v>
      </c>
      <c r="K162" s="170"/>
      <c r="L162" s="195">
        <v>10.82</v>
      </c>
      <c r="M162" s="197">
        <v>132</v>
      </c>
      <c r="N162" s="61">
        <v>1</v>
      </c>
      <c r="O162" s="61" t="str">
        <f ca="1">E162</f>
        <v>pcsx33grams)</v>
      </c>
      <c r="P162" s="61" t="s">
        <v>92</v>
      </c>
      <c r="Q162" s="170"/>
      <c r="R162" s="192" t="str">
        <f>CONCATENATE(N162,P162)</f>
        <v>1pieces</v>
      </c>
      <c r="S162" s="198">
        <f>M162*N162</f>
        <v>132</v>
      </c>
      <c r="T162" s="199" t="str">
        <f>CONCATENATE(S162,Q162,P162)</f>
        <v>132pieces</v>
      </c>
      <c r="U162" s="200">
        <f>L162*M162</f>
        <v>1428.24</v>
      </c>
      <c r="V162" s="12"/>
      <c r="W162" s="12"/>
    </row>
    <row r="163" spans="1:23" x14ac:dyDescent="0.3">
      <c r="A163" s="183">
        <v>48</v>
      </c>
      <c r="B163" s="194" t="s">
        <v>493</v>
      </c>
      <c r="C163" s="170"/>
      <c r="D163" s="194" t="str">
        <f ca="1">IFERROR(__xludf.DUMMYFUNCTION("IF(J37="""",""n/a"",IFERROR(SPLIT(J37,""/"")))"),"Nestle")</f>
        <v>Nestle</v>
      </c>
      <c r="E163" s="194" t="str">
        <f ca="1">IFERROR(__xludf.DUMMYFUNCTION("""COMPUTED_VALUE"""),"pcsx33grams)")</f>
        <v>pcsx33grams)</v>
      </c>
      <c r="F163" s="170"/>
      <c r="G163" s="170"/>
      <c r="H163" s="183" t="s">
        <v>1897</v>
      </c>
      <c r="I163" s="170"/>
      <c r="J163" s="46" t="s">
        <v>124</v>
      </c>
      <c r="K163" s="170"/>
      <c r="L163" s="195">
        <v>16.899999999999999</v>
      </c>
      <c r="M163" s="202">
        <v>26</v>
      </c>
      <c r="N163" s="203">
        <v>1</v>
      </c>
      <c r="O163" s="61" t="str">
        <f ca="1">E163</f>
        <v>pcsx33grams)</v>
      </c>
      <c r="P163" s="61" t="s">
        <v>92</v>
      </c>
      <c r="Q163" s="170"/>
      <c r="R163" s="192" t="str">
        <f>CONCATENATE(N163,P163)</f>
        <v>1pieces</v>
      </c>
      <c r="S163" s="198">
        <f>M163*N163</f>
        <v>26</v>
      </c>
      <c r="T163" s="199" t="str">
        <f>CONCATENATE(S163,Q163,P163)</f>
        <v>26pieces</v>
      </c>
      <c r="U163" s="200">
        <f>L163*M163</f>
        <v>439.4</v>
      </c>
      <c r="V163" s="205"/>
      <c r="W163" s="62"/>
    </row>
    <row r="164" spans="1:23" x14ac:dyDescent="0.3">
      <c r="A164" s="183">
        <v>48</v>
      </c>
      <c r="B164" s="194" t="s">
        <v>494</v>
      </c>
      <c r="C164" s="170"/>
      <c r="D164" s="194" t="str">
        <f ca="1">IFERROR(__xludf.DUMMYFUNCTION("IF(J38="""",""n/a"",IFERROR(SPLIT(J38,""/"")))"),"n/a")</f>
        <v>n/a</v>
      </c>
      <c r="E164" s="170"/>
      <c r="F164" s="170"/>
      <c r="G164" s="170"/>
      <c r="H164" s="206" t="s">
        <v>1898</v>
      </c>
      <c r="I164" s="170"/>
      <c r="J164" s="170"/>
      <c r="K164" s="170"/>
      <c r="L164" s="197">
        <v>18.850000000000001</v>
      </c>
      <c r="M164" s="385">
        <v>16</v>
      </c>
      <c r="N164" s="207">
        <v>1</v>
      </c>
      <c r="O164" s="170">
        <f>E164</f>
        <v>0</v>
      </c>
      <c r="P164" s="209" t="s">
        <v>92</v>
      </c>
      <c r="Q164" s="170"/>
      <c r="R164" s="192" t="str">
        <f>CONCATENATE(N164,P164)</f>
        <v>1pieces</v>
      </c>
      <c r="S164" s="198">
        <f>M164*N164</f>
        <v>16</v>
      </c>
      <c r="T164" s="199" t="str">
        <f>CONCATENATE(S164,Q164,P164)</f>
        <v>16pieces</v>
      </c>
      <c r="U164" s="200">
        <f>L164*M164</f>
        <v>301.60000000000002</v>
      </c>
      <c r="V164" s="12"/>
      <c r="W164" s="12"/>
    </row>
    <row r="165" spans="1:23" x14ac:dyDescent="0.3">
      <c r="A165" s="183">
        <v>49</v>
      </c>
      <c r="B165" s="194" t="s">
        <v>90</v>
      </c>
      <c r="C165" s="170"/>
      <c r="D165" s="194" t="str">
        <f ca="1">IFERROR(__xludf.DUMMYFUNCTION("IF(J39="""",""n/a"",IFERROR(SPLIT(J39,""/"")))"),"Nestle")</f>
        <v>Nestle</v>
      </c>
      <c r="E165" s="194" t="str">
        <f ca="1">IFERROR(__xludf.DUMMYFUNCTION("""COMPUTED_VALUE"""),"Tetrapack")</f>
        <v>Tetrapack</v>
      </c>
      <c r="F165" s="194" t="str">
        <f ca="1">IFERROR(__xludf.DUMMYFUNCTION("""COMPUTED_VALUE"""),"250ml")</f>
        <v>250ml</v>
      </c>
      <c r="G165" s="170"/>
      <c r="H165" s="183" t="s">
        <v>1895</v>
      </c>
      <c r="I165" s="170"/>
      <c r="J165" s="46" t="s">
        <v>91</v>
      </c>
      <c r="K165" s="170"/>
      <c r="L165" s="195">
        <v>23.75</v>
      </c>
      <c r="M165" s="197">
        <v>20</v>
      </c>
      <c r="N165" s="61">
        <v>1</v>
      </c>
      <c r="O165" s="61" t="str">
        <f ca="1">E165</f>
        <v>Tetrapack</v>
      </c>
      <c r="P165" s="61" t="s">
        <v>92</v>
      </c>
      <c r="Q165" s="170"/>
      <c r="R165" s="192" t="str">
        <f>CONCATENATE(N165,P165)</f>
        <v>1pieces</v>
      </c>
      <c r="S165" s="198">
        <f>M165*N165</f>
        <v>20</v>
      </c>
      <c r="T165" s="199" t="str">
        <f>CONCATENATE(S165,Q165,P165)</f>
        <v>20pieces</v>
      </c>
      <c r="U165" s="200">
        <f>L165*M165</f>
        <v>475</v>
      </c>
      <c r="V165" s="12"/>
      <c r="W165" s="12"/>
    </row>
    <row r="166" spans="1:23" x14ac:dyDescent="0.3">
      <c r="A166" s="183">
        <v>50</v>
      </c>
      <c r="B166" s="194" t="s">
        <v>495</v>
      </c>
      <c r="C166" s="170"/>
      <c r="D166" s="194" t="str">
        <f ca="1">IFERROR(__xludf.DUMMYFUNCTION("IF(J40="""",""n/a"",IFERROR(SPLIT(J40,""/"")))"),"Nestle")</f>
        <v>Nestle</v>
      </c>
      <c r="E166" s="194" t="str">
        <f ca="1">IFERROR(__xludf.DUMMYFUNCTION("""COMPUTED_VALUE"""),"pack (pcsx33grams)")</f>
        <v>pack (pcsx33grams)</v>
      </c>
      <c r="F166" s="170"/>
      <c r="G166" s="170"/>
      <c r="H166" s="183" t="s">
        <v>1897</v>
      </c>
      <c r="I166" s="170"/>
      <c r="J166" s="46" t="s">
        <v>496</v>
      </c>
      <c r="K166" s="170"/>
      <c r="L166" s="204">
        <v>10.82</v>
      </c>
      <c r="M166" s="202">
        <v>374</v>
      </c>
      <c r="N166" s="203">
        <v>1</v>
      </c>
      <c r="O166" s="61" t="str">
        <f ca="1">E166</f>
        <v>pack (pcsx33grams)</v>
      </c>
      <c r="P166" s="61" t="s">
        <v>92</v>
      </c>
      <c r="Q166" s="170"/>
      <c r="R166" s="192" t="str">
        <f>CONCATENATE(N166,P166)</f>
        <v>1pieces</v>
      </c>
      <c r="S166" s="198">
        <f>M166*N166</f>
        <v>374</v>
      </c>
      <c r="T166" s="199" t="str">
        <f>CONCATENATE(S166,Q166,P166)</f>
        <v>374pieces</v>
      </c>
      <c r="U166" s="200">
        <f>L166*M166</f>
        <v>4046.6800000000003</v>
      </c>
      <c r="V166" s="205"/>
      <c r="W166" s="62"/>
    </row>
    <row r="167" spans="1:23" x14ac:dyDescent="0.3">
      <c r="A167" s="183">
        <v>50</v>
      </c>
      <c r="B167" s="194" t="s">
        <v>495</v>
      </c>
      <c r="C167" s="170"/>
      <c r="D167" s="194" t="str">
        <f ca="1">IFERROR(__xludf.DUMMYFUNCTION("IF(J41="""",""n/a"",IFERROR(SPLIT(J41,""/"")))"),"n/a")</f>
        <v>n/a</v>
      </c>
      <c r="E167" s="170"/>
      <c r="F167" s="170"/>
      <c r="G167" s="170"/>
      <c r="H167" s="206" t="s">
        <v>1898</v>
      </c>
      <c r="I167" s="170"/>
      <c r="J167" s="170"/>
      <c r="K167" s="170"/>
      <c r="L167" s="197">
        <v>11</v>
      </c>
      <c r="M167" s="385">
        <v>256</v>
      </c>
      <c r="N167" s="207">
        <v>1</v>
      </c>
      <c r="O167" s="170">
        <f>E167</f>
        <v>0</v>
      </c>
      <c r="P167" s="209" t="s">
        <v>92</v>
      </c>
      <c r="Q167" s="170"/>
      <c r="R167" s="192" t="str">
        <f>CONCATENATE(N167,P167)</f>
        <v>1pieces</v>
      </c>
      <c r="S167" s="198">
        <f>M167*N167</f>
        <v>256</v>
      </c>
      <c r="T167" s="199" t="str">
        <f>CONCATENATE(S167,Q167,P167)</f>
        <v>256pieces</v>
      </c>
      <c r="U167" s="200">
        <f>L167*M167</f>
        <v>2816</v>
      </c>
      <c r="V167" s="12"/>
      <c r="W167" s="12"/>
    </row>
    <row r="168" spans="1:23" x14ac:dyDescent="0.3">
      <c r="A168" s="183">
        <v>51</v>
      </c>
      <c r="B168" s="46" t="s">
        <v>906</v>
      </c>
      <c r="C168" s="170"/>
      <c r="D168" s="194"/>
      <c r="E168" s="170"/>
      <c r="F168" s="170"/>
      <c r="G168" s="170"/>
      <c r="H168" s="194" t="s">
        <v>2022</v>
      </c>
      <c r="I168" s="170"/>
      <c r="J168" s="46" t="s">
        <v>907</v>
      </c>
      <c r="K168" s="170"/>
      <c r="L168" s="197">
        <v>380</v>
      </c>
      <c r="M168" s="197">
        <v>7</v>
      </c>
      <c r="N168" s="293">
        <v>2</v>
      </c>
      <c r="O168" s="219"/>
      <c r="P168" s="219" t="s">
        <v>213</v>
      </c>
      <c r="Q168" s="170"/>
      <c r="R168" s="192" t="str">
        <f>CONCATENATE(N168,P168)</f>
        <v>2kilos</v>
      </c>
      <c r="S168" s="198">
        <f>M168*N168</f>
        <v>14</v>
      </c>
      <c r="T168" s="199" t="str">
        <f>CONCATENATE(S168,Q168,P168)</f>
        <v>14kilos</v>
      </c>
      <c r="U168" s="200">
        <f>L168*M168</f>
        <v>2660</v>
      </c>
      <c r="V168" s="12"/>
      <c r="W168" s="12"/>
    </row>
    <row r="169" spans="1:23" x14ac:dyDescent="0.3">
      <c r="A169" s="183">
        <v>51</v>
      </c>
      <c r="B169" s="46" t="s">
        <v>906</v>
      </c>
      <c r="C169" s="215"/>
      <c r="D169" s="194"/>
      <c r="E169" s="214"/>
      <c r="F169" s="215"/>
      <c r="G169" s="215"/>
      <c r="H169" s="194" t="s">
        <v>2021</v>
      </c>
      <c r="I169" s="170"/>
      <c r="J169" s="46" t="s">
        <v>907</v>
      </c>
      <c r="K169" s="170"/>
      <c r="L169" s="216">
        <v>385</v>
      </c>
      <c r="M169" s="216">
        <v>3</v>
      </c>
      <c r="N169" s="293">
        <v>1</v>
      </c>
      <c r="O169" s="219"/>
      <c r="P169" s="219" t="s">
        <v>213</v>
      </c>
      <c r="Q169" s="170"/>
      <c r="R169" s="192" t="str">
        <f>CONCATENATE(N169,P169)</f>
        <v>1kilos</v>
      </c>
      <c r="S169" s="198">
        <f>M169*N169</f>
        <v>3</v>
      </c>
      <c r="T169" s="199" t="str">
        <f>CONCATENATE(S169,Q169,P169)</f>
        <v>3kilos</v>
      </c>
      <c r="U169" s="200">
        <f>L169*M169</f>
        <v>1155</v>
      </c>
      <c r="V169" s="12"/>
      <c r="W169" s="12"/>
    </row>
    <row r="170" spans="1:23" x14ac:dyDescent="0.3">
      <c r="A170" s="183">
        <v>52</v>
      </c>
      <c r="B170" s="46" t="s">
        <v>908</v>
      </c>
      <c r="C170" s="170"/>
      <c r="D170" s="194"/>
      <c r="E170" s="170"/>
      <c r="F170" s="170"/>
      <c r="G170" s="170"/>
      <c r="H170" s="194" t="s">
        <v>2024</v>
      </c>
      <c r="I170" s="170"/>
      <c r="J170" s="170"/>
      <c r="K170" s="170"/>
      <c r="L170" s="197">
        <v>312</v>
      </c>
      <c r="M170" s="197">
        <v>20</v>
      </c>
      <c r="N170" s="290">
        <v>1</v>
      </c>
      <c r="O170" s="46"/>
      <c r="P170" s="46" t="s">
        <v>213</v>
      </c>
      <c r="Q170" s="170"/>
      <c r="R170" s="192" t="str">
        <f>CONCATENATE(N170,P170)</f>
        <v>1kilos</v>
      </c>
      <c r="S170" s="198">
        <f>M170*N170</f>
        <v>20</v>
      </c>
      <c r="T170" s="199" t="str">
        <f>CONCATENATE(S170,Q170,P170)</f>
        <v>20kilos</v>
      </c>
      <c r="U170" s="200">
        <f>L170*M170</f>
        <v>6240</v>
      </c>
      <c r="V170" s="12"/>
      <c r="W170" s="12"/>
    </row>
    <row r="171" spans="1:23" x14ac:dyDescent="0.3">
      <c r="A171" s="183">
        <v>52</v>
      </c>
      <c r="B171" s="46" t="s">
        <v>908</v>
      </c>
      <c r="C171" s="215"/>
      <c r="D171" s="194"/>
      <c r="E171" s="215"/>
      <c r="F171" s="215"/>
      <c r="G171" s="215"/>
      <c r="H171" s="194" t="s">
        <v>2025</v>
      </c>
      <c r="I171" s="170"/>
      <c r="J171" s="170"/>
      <c r="K171" s="170"/>
      <c r="L171" s="197">
        <v>385</v>
      </c>
      <c r="M171" s="197">
        <v>13</v>
      </c>
      <c r="N171" s="290">
        <v>1</v>
      </c>
      <c r="O171" s="46"/>
      <c r="P171" s="46" t="s">
        <v>213</v>
      </c>
      <c r="Q171" s="170"/>
      <c r="R171" s="192" t="str">
        <f>CONCATENATE(N171,P171)</f>
        <v>1kilos</v>
      </c>
      <c r="S171" s="198">
        <f>M171*N171</f>
        <v>13</v>
      </c>
      <c r="T171" s="199" t="str">
        <f>CONCATENATE(S171,Q171,P171)</f>
        <v>13kilos</v>
      </c>
      <c r="U171" s="200">
        <f>L171*M171</f>
        <v>5005</v>
      </c>
      <c r="V171" s="12"/>
      <c r="W171" s="12"/>
    </row>
    <row r="172" spans="1:23" x14ac:dyDescent="0.3">
      <c r="A172" s="183">
        <v>52</v>
      </c>
      <c r="B172" s="46" t="s">
        <v>908</v>
      </c>
      <c r="C172" s="170"/>
      <c r="D172" s="194"/>
      <c r="E172" s="194"/>
      <c r="F172" s="194"/>
      <c r="G172" s="170"/>
      <c r="H172" s="194" t="s">
        <v>2022</v>
      </c>
      <c r="I172" s="170"/>
      <c r="J172" s="46" t="s">
        <v>907</v>
      </c>
      <c r="K172" s="170"/>
      <c r="L172" s="197">
        <v>380</v>
      </c>
      <c r="M172" s="197">
        <v>20</v>
      </c>
      <c r="N172" s="290">
        <v>1</v>
      </c>
      <c r="O172" s="46"/>
      <c r="P172" s="46" t="s">
        <v>213</v>
      </c>
      <c r="Q172" s="170"/>
      <c r="R172" s="192" t="str">
        <f>CONCATENATE(N172,P172)</f>
        <v>1kilos</v>
      </c>
      <c r="S172" s="198">
        <f>M172*N172</f>
        <v>20</v>
      </c>
      <c r="T172" s="199" t="str">
        <f>CONCATENATE(S172,Q172,P172)</f>
        <v>20kilos</v>
      </c>
      <c r="U172" s="200">
        <f>L172*M172</f>
        <v>7600</v>
      </c>
      <c r="V172" s="12"/>
      <c r="W172" s="12"/>
    </row>
    <row r="173" spans="1:23" x14ac:dyDescent="0.3">
      <c r="A173" s="183">
        <v>52</v>
      </c>
      <c r="B173" s="46" t="s">
        <v>908</v>
      </c>
      <c r="C173" s="170"/>
      <c r="D173" s="194"/>
      <c r="E173" s="194"/>
      <c r="F173" s="194"/>
      <c r="G173" s="170"/>
      <c r="H173" s="194" t="s">
        <v>2021</v>
      </c>
      <c r="I173" s="170"/>
      <c r="J173" s="46" t="s">
        <v>907</v>
      </c>
      <c r="K173" s="170"/>
      <c r="L173" s="216">
        <v>385</v>
      </c>
      <c r="M173" s="216">
        <v>17</v>
      </c>
      <c r="N173" s="293">
        <v>1</v>
      </c>
      <c r="O173" s="219"/>
      <c r="P173" s="219" t="s">
        <v>213</v>
      </c>
      <c r="Q173" s="170"/>
      <c r="R173" s="192" t="str">
        <f>CONCATENATE(N173,P173)</f>
        <v>1kilos</v>
      </c>
      <c r="S173" s="198">
        <f>M173*N173</f>
        <v>17</v>
      </c>
      <c r="T173" s="199" t="str">
        <f>CONCATENATE(S173,Q173,P173)</f>
        <v>17kilos</v>
      </c>
      <c r="U173" s="200">
        <f>L173*M173</f>
        <v>6545</v>
      </c>
      <c r="V173" s="12"/>
      <c r="W173" s="12"/>
    </row>
    <row r="174" spans="1:23" x14ac:dyDescent="0.3">
      <c r="A174" s="183">
        <v>52</v>
      </c>
      <c r="B174" s="46" t="s">
        <v>908</v>
      </c>
      <c r="C174" s="170"/>
      <c r="D174" s="194"/>
      <c r="E174" s="194"/>
      <c r="F174" s="194"/>
      <c r="G174" s="170"/>
      <c r="H174" s="194" t="s">
        <v>2023</v>
      </c>
      <c r="I174" s="170"/>
      <c r="J174" s="46" t="s">
        <v>909</v>
      </c>
      <c r="K174" s="170"/>
      <c r="L174" s="197">
        <v>320</v>
      </c>
      <c r="M174" s="197">
        <v>62</v>
      </c>
      <c r="N174" s="290">
        <v>1</v>
      </c>
      <c r="O174" s="46"/>
      <c r="P174" s="46" t="s">
        <v>213</v>
      </c>
      <c r="Q174" s="170"/>
      <c r="R174" s="192" t="str">
        <f>CONCATENATE(N174,P174)</f>
        <v>1kilos</v>
      </c>
      <c r="S174" s="198">
        <f>M174*N174</f>
        <v>62</v>
      </c>
      <c r="T174" s="199" t="str">
        <f>CONCATENATE(S174,Q174,P174)</f>
        <v>62kilos</v>
      </c>
      <c r="U174" s="200">
        <f>L174*M174</f>
        <v>19840</v>
      </c>
      <c r="V174" s="12"/>
      <c r="W174" s="12"/>
    </row>
    <row r="175" spans="1:23" x14ac:dyDescent="0.3">
      <c r="A175" s="183">
        <v>52</v>
      </c>
      <c r="B175" s="46" t="s">
        <v>908</v>
      </c>
      <c r="C175" s="215"/>
      <c r="D175" s="194"/>
      <c r="E175" s="215"/>
      <c r="F175" s="215"/>
      <c r="G175" s="215"/>
      <c r="H175" s="400" t="s">
        <v>2027</v>
      </c>
      <c r="I175" s="170"/>
      <c r="J175" s="170"/>
      <c r="K175" s="170"/>
      <c r="L175" s="195">
        <v>325</v>
      </c>
      <c r="M175" s="197">
        <v>5</v>
      </c>
      <c r="N175" s="360">
        <v>1</v>
      </c>
      <c r="O175" s="61"/>
      <c r="P175" s="61" t="s">
        <v>213</v>
      </c>
      <c r="Q175" s="170"/>
      <c r="R175" s="192" t="str">
        <f>CONCATENATE(N175,P175)</f>
        <v>1kilos</v>
      </c>
      <c r="S175" s="198">
        <f>M175*N175</f>
        <v>5</v>
      </c>
      <c r="T175" s="199" t="str">
        <f>CONCATENATE(S175,Q175,P175)</f>
        <v>5kilos</v>
      </c>
      <c r="U175" s="200">
        <f>L175*M175</f>
        <v>1625</v>
      </c>
      <c r="V175" s="12"/>
      <c r="W175" s="12"/>
    </row>
    <row r="176" spans="1:23" x14ac:dyDescent="0.3">
      <c r="A176" s="183">
        <v>53</v>
      </c>
      <c r="B176" s="194" t="s">
        <v>87</v>
      </c>
      <c r="C176" s="170"/>
      <c r="D176" s="194" t="str">
        <f ca="1">IFERROR(__xludf.DUMMYFUNCTION("IF(J42="""",""n/a"",IFERROR(SPLIT(J42,""/"")))"),"seara")</f>
        <v>seara</v>
      </c>
      <c r="E176" s="170"/>
      <c r="F176" s="170"/>
      <c r="G176" s="170"/>
      <c r="H176" s="183" t="s">
        <v>1895</v>
      </c>
      <c r="I176" s="170"/>
      <c r="J176" s="46" t="s">
        <v>88</v>
      </c>
      <c r="K176" s="170"/>
      <c r="L176" s="195">
        <v>330</v>
      </c>
      <c r="M176" s="197">
        <v>30</v>
      </c>
      <c r="N176" s="61">
        <v>1</v>
      </c>
      <c r="O176" s="170">
        <f>E176</f>
        <v>0</v>
      </c>
      <c r="P176" s="61" t="s">
        <v>213</v>
      </c>
      <c r="Q176" s="170"/>
      <c r="R176" s="192" t="str">
        <f>CONCATENATE(N176,P176)</f>
        <v>1kilos</v>
      </c>
      <c r="S176" s="198">
        <f>M176*N176</f>
        <v>30</v>
      </c>
      <c r="T176" s="199" t="str">
        <f>CONCATENATE(S176,Q176,P176)</f>
        <v>30kilos</v>
      </c>
      <c r="U176" s="200">
        <f>L176*M176</f>
        <v>9900</v>
      </c>
      <c r="V176" s="12"/>
      <c r="W176" s="12"/>
    </row>
    <row r="177" spans="1:23" x14ac:dyDescent="0.3">
      <c r="A177" s="183">
        <v>53</v>
      </c>
      <c r="B177" s="194" t="s">
        <v>87</v>
      </c>
      <c r="C177" s="170"/>
      <c r="D177" s="194" t="str">
        <f ca="1">IFERROR(__xludf.DUMMYFUNCTION("IF(J43="""",""n/a"",IFERROR(SPLIT(J43,""/"")))"),"n/a")</f>
        <v>n/a</v>
      </c>
      <c r="E177" s="170"/>
      <c r="F177" s="170"/>
      <c r="G177" s="170"/>
      <c r="H177" s="206" t="s">
        <v>1898</v>
      </c>
      <c r="I177" s="170"/>
      <c r="J177" s="170"/>
      <c r="K177" s="170"/>
      <c r="L177" s="197">
        <v>317</v>
      </c>
      <c r="M177" s="386">
        <v>39</v>
      </c>
      <c r="N177" s="208">
        <v>1</v>
      </c>
      <c r="O177" s="170">
        <f>E177</f>
        <v>0</v>
      </c>
      <c r="P177" s="61" t="s">
        <v>213</v>
      </c>
      <c r="Q177" s="170"/>
      <c r="R177" s="192" t="str">
        <f>CONCATENATE(N177,P177)</f>
        <v>1kilos</v>
      </c>
      <c r="S177" s="198">
        <f>M177*N177</f>
        <v>39</v>
      </c>
      <c r="T177" s="199" t="str">
        <f>CONCATENATE(S177,Q177,P177)</f>
        <v>39kilos</v>
      </c>
      <c r="U177" s="200">
        <f>L177*M177</f>
        <v>12363</v>
      </c>
      <c r="V177" s="12"/>
      <c r="W177" s="12"/>
    </row>
    <row r="178" spans="1:23" x14ac:dyDescent="0.3">
      <c r="A178" s="183">
        <v>54</v>
      </c>
      <c r="B178" s="194" t="s">
        <v>164</v>
      </c>
      <c r="C178" s="170"/>
      <c r="D178" s="194" t="str">
        <f ca="1">IFERROR(__xludf.DUMMYFUNCTION("IF(J44="""",""n/a"",IFERROR(SPLIT(J44,""/"")))"),"Argentina")</f>
        <v>Argentina</v>
      </c>
      <c r="E178" s="194" t="str">
        <f ca="1">IFERROR(__xludf.DUMMYFUNCTION("""COMPUTED_VALUE"""),"can")</f>
        <v>can</v>
      </c>
      <c r="F178" s="194" t="str">
        <f ca="1">IFERROR(__xludf.DUMMYFUNCTION("""COMPUTED_VALUE"""),"250grams")</f>
        <v>250grams</v>
      </c>
      <c r="G178" s="170"/>
      <c r="H178" s="183" t="s">
        <v>1895</v>
      </c>
      <c r="I178" s="170"/>
      <c r="J178" s="46" t="s">
        <v>165</v>
      </c>
      <c r="K178" s="170"/>
      <c r="L178" s="195">
        <v>29.86</v>
      </c>
      <c r="M178" s="197">
        <v>97.92</v>
      </c>
      <c r="N178" s="61">
        <v>1</v>
      </c>
      <c r="O178" s="61" t="str">
        <f ca="1">E178</f>
        <v>can</v>
      </c>
      <c r="P178" s="61" t="s">
        <v>39</v>
      </c>
      <c r="Q178" s="170"/>
      <c r="R178" s="192" t="str">
        <f>CONCATENATE(N178,P178)</f>
        <v>1grams</v>
      </c>
      <c r="S178" s="198">
        <f>M178*N178</f>
        <v>97.92</v>
      </c>
      <c r="T178" s="199" t="str">
        <f>CONCATENATE(S178,Q178,P178)</f>
        <v>97.92grams</v>
      </c>
      <c r="U178" s="200">
        <f>L178*M178</f>
        <v>2923.8912</v>
      </c>
      <c r="V178" s="12"/>
      <c r="W178" s="12"/>
    </row>
    <row r="179" spans="1:23" x14ac:dyDescent="0.3">
      <c r="A179" s="183">
        <v>54</v>
      </c>
      <c r="B179" s="46" t="s">
        <v>164</v>
      </c>
      <c r="C179" s="170"/>
      <c r="D179" s="194"/>
      <c r="E179" s="170"/>
      <c r="F179" s="170"/>
      <c r="G179" s="170"/>
      <c r="H179" s="194" t="s">
        <v>2026</v>
      </c>
      <c r="I179" s="170"/>
      <c r="J179" s="46" t="s">
        <v>910</v>
      </c>
      <c r="K179" s="170"/>
      <c r="L179" s="197">
        <v>31</v>
      </c>
      <c r="M179" s="197">
        <v>4</v>
      </c>
      <c r="N179" s="290">
        <v>250</v>
      </c>
      <c r="O179" s="46"/>
      <c r="P179" s="46" t="s">
        <v>39</v>
      </c>
      <c r="Q179" s="170"/>
      <c r="R179" s="192" t="str">
        <f>CONCATENATE(N179,P179)</f>
        <v>250grams</v>
      </c>
      <c r="S179" s="198">
        <f>M179*N179</f>
        <v>1000</v>
      </c>
      <c r="T179" s="199" t="str">
        <f>CONCATENATE(S179,Q179,P179)</f>
        <v>1000grams</v>
      </c>
      <c r="U179" s="200">
        <f>L179*M179</f>
        <v>124</v>
      </c>
      <c r="V179" s="12"/>
      <c r="W179" s="12"/>
    </row>
    <row r="180" spans="1:23" x14ac:dyDescent="0.3">
      <c r="A180" s="183">
        <v>54</v>
      </c>
      <c r="B180" s="46" t="s">
        <v>164</v>
      </c>
      <c r="C180" s="170"/>
      <c r="D180" s="194"/>
      <c r="E180" s="194"/>
      <c r="F180" s="170"/>
      <c r="G180" s="170"/>
      <c r="H180" s="194" t="s">
        <v>1368</v>
      </c>
      <c r="I180" s="170"/>
      <c r="J180" s="46" t="s">
        <v>910</v>
      </c>
      <c r="K180" s="170"/>
      <c r="L180" s="197">
        <v>35</v>
      </c>
      <c r="M180" s="197">
        <v>10</v>
      </c>
      <c r="N180" s="290">
        <v>250</v>
      </c>
      <c r="O180" s="46"/>
      <c r="P180" s="46" t="s">
        <v>39</v>
      </c>
      <c r="Q180" s="170"/>
      <c r="R180" s="192" t="str">
        <f>CONCATENATE(N180,P180)</f>
        <v>250grams</v>
      </c>
      <c r="S180" s="198">
        <f>M180*N180</f>
        <v>2500</v>
      </c>
      <c r="T180" s="199" t="str">
        <f>CONCATENATE(S180,Q180,P180)</f>
        <v>2500grams</v>
      </c>
      <c r="U180" s="200">
        <f>L180*M180</f>
        <v>350</v>
      </c>
      <c r="V180" s="12"/>
      <c r="W180" s="12"/>
    </row>
    <row r="181" spans="1:23" x14ac:dyDescent="0.3">
      <c r="A181" s="183">
        <v>54</v>
      </c>
      <c r="B181" s="46" t="s">
        <v>164</v>
      </c>
      <c r="C181" s="170"/>
      <c r="D181" s="194"/>
      <c r="E181" s="194"/>
      <c r="F181" s="170"/>
      <c r="G181" s="170"/>
      <c r="H181" s="194" t="s">
        <v>2023</v>
      </c>
      <c r="I181" s="170"/>
      <c r="J181" s="46" t="s">
        <v>910</v>
      </c>
      <c r="K181" s="170"/>
      <c r="L181" s="197">
        <v>31</v>
      </c>
      <c r="M181" s="197">
        <v>3</v>
      </c>
      <c r="N181" s="290">
        <v>250</v>
      </c>
      <c r="O181" s="60"/>
      <c r="P181" s="60" t="s">
        <v>39</v>
      </c>
      <c r="Q181" s="170"/>
      <c r="R181" s="192" t="str">
        <f>CONCATENATE(N181,P181)</f>
        <v>250grams</v>
      </c>
      <c r="S181" s="198">
        <f>M181*N181</f>
        <v>750</v>
      </c>
      <c r="T181" s="199" t="str">
        <f>CONCATENATE(S181,Q181,P181)</f>
        <v>750grams</v>
      </c>
      <c r="U181" s="200">
        <f>L181*M181</f>
        <v>93</v>
      </c>
      <c r="V181" s="12"/>
      <c r="W181" s="12"/>
    </row>
    <row r="182" spans="1:23" x14ac:dyDescent="0.3">
      <c r="A182" s="183">
        <v>54</v>
      </c>
      <c r="B182" s="46" t="s">
        <v>164</v>
      </c>
      <c r="C182" s="170"/>
      <c r="D182" s="194"/>
      <c r="E182" s="170"/>
      <c r="F182" s="170"/>
      <c r="G182" s="170"/>
      <c r="H182" s="194" t="s">
        <v>2025</v>
      </c>
      <c r="I182" s="170"/>
      <c r="J182" s="46" t="s">
        <v>910</v>
      </c>
      <c r="K182" s="170"/>
      <c r="L182" s="197">
        <v>31</v>
      </c>
      <c r="M182" s="197">
        <v>6</v>
      </c>
      <c r="N182" s="290">
        <v>250</v>
      </c>
      <c r="O182" s="46"/>
      <c r="P182" s="46" t="s">
        <v>39</v>
      </c>
      <c r="Q182" s="170"/>
      <c r="R182" s="192" t="str">
        <f>CONCATENATE(N182,P182)</f>
        <v>250grams</v>
      </c>
      <c r="S182" s="198">
        <f>M182*N182</f>
        <v>1500</v>
      </c>
      <c r="T182" s="199" t="str">
        <f>CONCATENATE(S182,Q182,P182)</f>
        <v>1500grams</v>
      </c>
      <c r="U182" s="200">
        <f>L182*M182</f>
        <v>186</v>
      </c>
      <c r="V182" s="12"/>
      <c r="W182" s="12"/>
    </row>
    <row r="183" spans="1:23" x14ac:dyDescent="0.3">
      <c r="A183" s="183">
        <v>55</v>
      </c>
      <c r="B183" s="46" t="s">
        <v>911</v>
      </c>
      <c r="C183" s="170"/>
      <c r="D183" s="194"/>
      <c r="E183" s="170"/>
      <c r="F183" s="170"/>
      <c r="G183" s="170"/>
      <c r="H183" s="194" t="s">
        <v>2026</v>
      </c>
      <c r="I183" s="170"/>
      <c r="J183" s="170"/>
      <c r="K183" s="170"/>
      <c r="L183" s="197">
        <v>700</v>
      </c>
      <c r="M183" s="197">
        <v>0</v>
      </c>
      <c r="N183" s="290">
        <v>1000</v>
      </c>
      <c r="O183" s="46"/>
      <c r="P183" s="46" t="s">
        <v>39</v>
      </c>
      <c r="Q183" s="170"/>
      <c r="R183" s="192" t="str">
        <f>CONCATENATE(N183,P183)</f>
        <v>1000grams</v>
      </c>
      <c r="S183" s="198">
        <f>M183*N183</f>
        <v>0</v>
      </c>
      <c r="T183" s="199" t="str">
        <f>CONCATENATE(S183,Q183,P183)</f>
        <v>0grams</v>
      </c>
      <c r="U183" s="200">
        <f>L183*M183</f>
        <v>0</v>
      </c>
      <c r="V183" s="12"/>
      <c r="W183" s="12"/>
    </row>
    <row r="184" spans="1:23" x14ac:dyDescent="0.3">
      <c r="A184" s="183">
        <v>55</v>
      </c>
      <c r="B184" s="46" t="s">
        <v>911</v>
      </c>
      <c r="C184" s="170"/>
      <c r="D184" s="194"/>
      <c r="E184" s="194"/>
      <c r="F184" s="170"/>
      <c r="G184" s="170"/>
      <c r="H184" s="194" t="s">
        <v>2023</v>
      </c>
      <c r="I184" s="170"/>
      <c r="J184" s="170"/>
      <c r="K184" s="170"/>
      <c r="L184" s="197">
        <v>195</v>
      </c>
      <c r="M184" s="197">
        <v>0</v>
      </c>
      <c r="N184" s="290">
        <v>1000</v>
      </c>
      <c r="O184" s="46"/>
      <c r="P184" s="46" t="s">
        <v>39</v>
      </c>
      <c r="Q184" s="61" t="s">
        <v>33</v>
      </c>
      <c r="R184" s="192" t="str">
        <f>CONCATENATE(N184,P184)</f>
        <v>1000grams</v>
      </c>
      <c r="S184" s="198">
        <f>M184*N184</f>
        <v>0</v>
      </c>
      <c r="T184" s="199" t="str">
        <f>CONCATENATE(S184,Q184,P184)</f>
        <v>0 grams</v>
      </c>
      <c r="U184" s="200">
        <f>L184*M184</f>
        <v>0</v>
      </c>
      <c r="V184" s="12"/>
      <c r="W184" s="12"/>
    </row>
    <row r="185" spans="1:23" x14ac:dyDescent="0.3">
      <c r="A185" s="183">
        <v>55</v>
      </c>
      <c r="B185" s="46" t="s">
        <v>911</v>
      </c>
      <c r="C185" s="170"/>
      <c r="D185" s="194"/>
      <c r="E185" s="170"/>
      <c r="F185" s="170"/>
      <c r="G185" s="170"/>
      <c r="H185" s="194" t="s">
        <v>2022</v>
      </c>
      <c r="I185" s="170"/>
      <c r="J185" s="46" t="s">
        <v>912</v>
      </c>
      <c r="K185" s="170"/>
      <c r="L185" s="197">
        <v>195</v>
      </c>
      <c r="M185" s="197">
        <v>0</v>
      </c>
      <c r="N185" s="290">
        <v>1000</v>
      </c>
      <c r="O185" s="46"/>
      <c r="P185" s="46" t="s">
        <v>39</v>
      </c>
      <c r="Q185" s="170"/>
      <c r="R185" s="192" t="str">
        <f>CONCATENATE(N185,P185)</f>
        <v>1000grams</v>
      </c>
      <c r="S185" s="198">
        <f>M185*N185</f>
        <v>0</v>
      </c>
      <c r="T185" s="199" t="str">
        <f>CONCATENATE(S185,Q185,P185)</f>
        <v>0grams</v>
      </c>
      <c r="U185" s="200">
        <f>L185*M185</f>
        <v>0</v>
      </c>
      <c r="V185" s="12"/>
      <c r="W185" s="12"/>
    </row>
    <row r="186" spans="1:23" x14ac:dyDescent="0.3">
      <c r="A186" s="183">
        <v>56</v>
      </c>
      <c r="B186" s="46" t="s">
        <v>1904</v>
      </c>
      <c r="C186" s="215"/>
      <c r="D186" s="194"/>
      <c r="E186" s="215"/>
      <c r="F186" s="215"/>
      <c r="G186" s="215"/>
      <c r="H186" s="400" t="s">
        <v>2027</v>
      </c>
      <c r="I186" s="170"/>
      <c r="J186" s="170"/>
      <c r="K186" s="170"/>
      <c r="L186" s="195">
        <v>430</v>
      </c>
      <c r="M186" s="197">
        <v>0</v>
      </c>
      <c r="N186" s="360">
        <v>1</v>
      </c>
      <c r="O186" s="61"/>
      <c r="P186" s="61" t="s">
        <v>213</v>
      </c>
      <c r="Q186" s="170"/>
      <c r="R186" s="192" t="str">
        <f>CONCATENATE(N186,P186)</f>
        <v>1kilos</v>
      </c>
      <c r="S186" s="198">
        <f>M186*N186</f>
        <v>0</v>
      </c>
      <c r="T186" s="199" t="str">
        <f>CONCATENATE(S186,Q186,P186)</f>
        <v>0kilos</v>
      </c>
      <c r="U186" s="200">
        <f>L186*M186</f>
        <v>0</v>
      </c>
      <c r="V186" s="12"/>
      <c r="W186" s="12"/>
    </row>
    <row r="187" spans="1:23" x14ac:dyDescent="0.3">
      <c r="A187" s="183">
        <v>57</v>
      </c>
      <c r="B187" s="194" t="s">
        <v>497</v>
      </c>
      <c r="C187" s="170"/>
      <c r="D187" s="194" t="str">
        <f ca="1">IFERROR(__xludf.DUMMYFUNCTION("IF(J45="""",""n/a"",IFERROR(SPLIT(J45,""/"")))"),"n/a")</f>
        <v>n/a</v>
      </c>
      <c r="E187" s="170"/>
      <c r="F187" s="170"/>
      <c r="G187" s="170"/>
      <c r="H187" s="206" t="s">
        <v>1898</v>
      </c>
      <c r="I187" s="170"/>
      <c r="J187" s="170"/>
      <c r="K187" s="170"/>
      <c r="L187" s="197">
        <v>8.48</v>
      </c>
      <c r="M187" s="385">
        <v>8</v>
      </c>
      <c r="N187" s="207">
        <v>10</v>
      </c>
      <c r="O187" s="170">
        <f>E187</f>
        <v>0</v>
      </c>
      <c r="P187" s="209" t="s">
        <v>92</v>
      </c>
      <c r="Q187" s="170"/>
      <c r="R187" s="192" t="str">
        <f>CONCATENATE(N187,P187)</f>
        <v>10pieces</v>
      </c>
      <c r="S187" s="198">
        <f>M187*N187</f>
        <v>80</v>
      </c>
      <c r="T187" s="199" t="str">
        <f>CONCATENATE(S187,Q187,P187)</f>
        <v>80pieces</v>
      </c>
      <c r="U187" s="200">
        <f>L187*M187</f>
        <v>67.84</v>
      </c>
      <c r="V187" s="12"/>
      <c r="W187" s="12"/>
    </row>
    <row r="188" spans="1:23" x14ac:dyDescent="0.3">
      <c r="A188" s="183">
        <v>58</v>
      </c>
      <c r="B188" s="46" t="s">
        <v>913</v>
      </c>
      <c r="C188" s="170"/>
      <c r="D188" s="194"/>
      <c r="E188" s="170"/>
      <c r="F188" s="170"/>
      <c r="G188" s="170"/>
      <c r="H188" s="194" t="s">
        <v>2025</v>
      </c>
      <c r="I188" s="170"/>
      <c r="J188" s="170"/>
      <c r="K188" s="170"/>
      <c r="L188" s="197">
        <v>7</v>
      </c>
      <c r="M188" s="197">
        <v>8</v>
      </c>
      <c r="N188" s="290">
        <v>1</v>
      </c>
      <c r="O188" s="46"/>
      <c r="P188" s="46" t="s">
        <v>92</v>
      </c>
      <c r="Q188" s="170"/>
      <c r="R188" s="192" t="str">
        <f>CONCATENATE(N188,P188)</f>
        <v>1pieces</v>
      </c>
      <c r="S188" s="198">
        <f>M188*N188</f>
        <v>8</v>
      </c>
      <c r="T188" s="199" t="str">
        <f>CONCATENATE(S188,Q188,P188)</f>
        <v>8pieces</v>
      </c>
      <c r="U188" s="200">
        <f>L188*M188</f>
        <v>56</v>
      </c>
      <c r="V188" s="12"/>
      <c r="W188" s="12"/>
    </row>
    <row r="189" spans="1:23" x14ac:dyDescent="0.3">
      <c r="A189" s="183">
        <v>59</v>
      </c>
      <c r="B189" s="46" t="s">
        <v>914</v>
      </c>
      <c r="C189" s="170"/>
      <c r="D189" s="194"/>
      <c r="E189" s="194"/>
      <c r="F189" s="170"/>
      <c r="G189" s="170"/>
      <c r="H189" s="194" t="s">
        <v>2026</v>
      </c>
      <c r="I189" s="170"/>
      <c r="J189" s="46" t="s">
        <v>915</v>
      </c>
      <c r="K189" s="170"/>
      <c r="L189" s="197">
        <v>10</v>
      </c>
      <c r="M189" s="197">
        <v>33</v>
      </c>
      <c r="N189" s="290">
        <v>1</v>
      </c>
      <c r="O189" s="46"/>
      <c r="P189" s="46" t="s">
        <v>92</v>
      </c>
      <c r="Q189" s="170"/>
      <c r="R189" s="192" t="str">
        <f>CONCATENATE(N189,P189)</f>
        <v>1pieces</v>
      </c>
      <c r="S189" s="198">
        <f>M189*N189</f>
        <v>33</v>
      </c>
      <c r="T189" s="199" t="str">
        <f>CONCATENATE(S189,Q189,P189)</f>
        <v>33pieces</v>
      </c>
      <c r="U189" s="200">
        <f>L189*M189</f>
        <v>330</v>
      </c>
      <c r="V189" s="12"/>
      <c r="W189" s="12"/>
    </row>
    <row r="190" spans="1:23" x14ac:dyDescent="0.3">
      <c r="A190" s="183">
        <v>60</v>
      </c>
      <c r="B190" s="194" t="s">
        <v>498</v>
      </c>
      <c r="C190" s="170"/>
      <c r="D190" s="194" t="str">
        <f ca="1">IFERROR(__xludf.DUMMYFUNCTION("IF(J46="""",""n/a"",IFERROR(SPLIT(J46,""/"")))"),"n/a")</f>
        <v>n/a</v>
      </c>
      <c r="E190" s="170"/>
      <c r="F190" s="170"/>
      <c r="G190" s="170"/>
      <c r="H190" s="206" t="s">
        <v>1898</v>
      </c>
      <c r="I190" s="170"/>
      <c r="J190" s="170"/>
      <c r="K190" s="170"/>
      <c r="L190" s="197">
        <v>0.31</v>
      </c>
      <c r="M190" s="386">
        <v>1500</v>
      </c>
      <c r="N190" s="208">
        <v>500</v>
      </c>
      <c r="O190" s="170">
        <f>E190</f>
        <v>0</v>
      </c>
      <c r="P190" s="61" t="s">
        <v>92</v>
      </c>
      <c r="Q190" s="170"/>
      <c r="R190" s="192" t="str">
        <f>CONCATENATE(N190,P190)</f>
        <v>500pieces</v>
      </c>
      <c r="S190" s="198">
        <f>M190*N190</f>
        <v>750000</v>
      </c>
      <c r="T190" s="199" t="str">
        <f>CONCATENATE(S190,Q190,P190)</f>
        <v>750000pieces</v>
      </c>
      <c r="U190" s="200">
        <f>L190*M190</f>
        <v>465</v>
      </c>
      <c r="V190" s="12"/>
      <c r="W190" s="12"/>
    </row>
    <row r="191" spans="1:23" x14ac:dyDescent="0.3">
      <c r="A191" s="183">
        <v>61</v>
      </c>
      <c r="B191" s="219" t="s">
        <v>916</v>
      </c>
      <c r="C191" s="170"/>
      <c r="D191" s="194"/>
      <c r="E191" s="194"/>
      <c r="F191" s="194"/>
      <c r="G191" s="170"/>
      <c r="H191" s="194" t="s">
        <v>2021</v>
      </c>
      <c r="I191" s="170"/>
      <c r="J191" s="219" t="s">
        <v>917</v>
      </c>
      <c r="K191" s="170"/>
      <c r="L191" s="216">
        <v>102</v>
      </c>
      <c r="M191" s="216">
        <v>3</v>
      </c>
      <c r="N191" s="293">
        <v>500</v>
      </c>
      <c r="O191" s="219"/>
      <c r="P191" s="219" t="s">
        <v>39</v>
      </c>
      <c r="Q191" s="170"/>
      <c r="R191" s="192" t="str">
        <f>CONCATENATE(N191,P191)</f>
        <v>500grams</v>
      </c>
      <c r="S191" s="198">
        <f>M191*N191</f>
        <v>1500</v>
      </c>
      <c r="T191" s="199" t="str">
        <f>CONCATENATE(S191,Q191,P191)</f>
        <v>1500grams</v>
      </c>
      <c r="U191" s="200">
        <f>L191*M191</f>
        <v>306</v>
      </c>
      <c r="V191" s="12"/>
      <c r="W191" s="12"/>
    </row>
    <row r="192" spans="1:23" x14ac:dyDescent="0.3">
      <c r="A192" s="183">
        <v>61</v>
      </c>
      <c r="B192" s="219" t="s">
        <v>916</v>
      </c>
      <c r="C192" s="170"/>
      <c r="D192" s="194"/>
      <c r="E192" s="170"/>
      <c r="F192" s="170"/>
      <c r="G192" s="170"/>
      <c r="H192" s="194" t="s">
        <v>2021</v>
      </c>
      <c r="I192" s="170"/>
      <c r="J192" s="219" t="s">
        <v>918</v>
      </c>
      <c r="K192" s="170"/>
      <c r="L192" s="216">
        <v>89</v>
      </c>
      <c r="M192" s="216">
        <v>2</v>
      </c>
      <c r="N192" s="293">
        <v>320</v>
      </c>
      <c r="O192" s="219"/>
      <c r="P192" s="219" t="s">
        <v>39</v>
      </c>
      <c r="Q192" s="170"/>
      <c r="R192" s="192" t="str">
        <f>CONCATENATE(N192,P192)</f>
        <v>320grams</v>
      </c>
      <c r="S192" s="198">
        <f>M192*N192</f>
        <v>640</v>
      </c>
      <c r="T192" s="199" t="str">
        <f>CONCATENATE(S192,Q192,P192)</f>
        <v>640grams</v>
      </c>
      <c r="U192" s="200">
        <f>L192*M192</f>
        <v>178</v>
      </c>
      <c r="V192" s="12"/>
      <c r="W192" s="12"/>
    </row>
    <row r="193" spans="1:23" x14ac:dyDescent="0.3">
      <c r="A193" s="183">
        <v>62</v>
      </c>
      <c r="B193" s="194" t="s">
        <v>318</v>
      </c>
      <c r="C193" s="170"/>
      <c r="D193" s="194" t="str">
        <f ca="1">IFERROR(__xludf.DUMMYFUNCTION("IF(J47="""",""n/a"",IFERROR(SPLIT(J47,""/"")))"),"Super Q")</f>
        <v>Super Q</v>
      </c>
      <c r="E193" s="194" t="str">
        <f ca="1">IFERROR(__xludf.DUMMYFUNCTION("""COMPUTED_VALUE"""),"pack")</f>
        <v>pack</v>
      </c>
      <c r="F193" s="194" t="str">
        <f ca="1">IFERROR(__xludf.DUMMYFUNCTION("""COMPUTED_VALUE"""),"1000grams")</f>
        <v>1000grams</v>
      </c>
      <c r="G193" s="170"/>
      <c r="H193" s="183" t="s">
        <v>1897</v>
      </c>
      <c r="I193" s="170"/>
      <c r="J193" s="46" t="s">
        <v>499</v>
      </c>
      <c r="K193" s="170"/>
      <c r="L193" s="202">
        <v>0.1</v>
      </c>
      <c r="M193" s="202">
        <v>7000</v>
      </c>
      <c r="N193" s="203">
        <v>1000</v>
      </c>
      <c r="O193" s="61" t="str">
        <f ca="1">E193</f>
        <v>pack</v>
      </c>
      <c r="P193" s="61" t="s">
        <v>39</v>
      </c>
      <c r="Q193" s="170"/>
      <c r="R193" s="192" t="str">
        <f>CONCATENATE(N193,P193)</f>
        <v>1000grams</v>
      </c>
      <c r="S193" s="198">
        <f>M193*N193</f>
        <v>7000000</v>
      </c>
      <c r="T193" s="199" t="str">
        <f>CONCATENATE(S193,Q193,P193)</f>
        <v>7000000grams</v>
      </c>
      <c r="U193" s="200">
        <f>L193*M193</f>
        <v>700</v>
      </c>
      <c r="V193" s="12"/>
      <c r="W193" s="12"/>
    </row>
    <row r="194" spans="1:23" x14ac:dyDescent="0.3">
      <c r="A194" s="183">
        <v>62</v>
      </c>
      <c r="B194" s="194" t="s">
        <v>318</v>
      </c>
      <c r="C194" s="170"/>
      <c r="D194" s="194" t="str">
        <f ca="1">IFERROR(__xludf.DUMMYFUNCTION("IF(J48="""",""n/a"",IFERROR(SPLIT(J48,""/"")))"),"Super Q")</f>
        <v>Super Q</v>
      </c>
      <c r="E194" s="194" t="str">
        <f ca="1">IFERROR(__xludf.DUMMYFUNCTION("""COMPUTED_VALUE"""),"pack")</f>
        <v>pack</v>
      </c>
      <c r="F194" s="194" t="str">
        <f ca="1">IFERROR(__xludf.DUMMYFUNCTION("""COMPUTED_VALUE"""),"500grams")</f>
        <v>500grams</v>
      </c>
      <c r="G194" s="170"/>
      <c r="H194" s="183" t="s">
        <v>1895</v>
      </c>
      <c r="I194" s="170"/>
      <c r="J194" s="46" t="s">
        <v>319</v>
      </c>
      <c r="K194" s="170"/>
      <c r="L194" s="195">
        <v>38.700000000000003</v>
      </c>
      <c r="M194" s="197">
        <v>9</v>
      </c>
      <c r="N194" s="61">
        <v>1</v>
      </c>
      <c r="O194" s="61" t="str">
        <f ca="1">E194</f>
        <v>pack</v>
      </c>
      <c r="P194" s="61" t="s">
        <v>39</v>
      </c>
      <c r="Q194" s="170"/>
      <c r="R194" s="192" t="str">
        <f>CONCATENATE(N194,P194)</f>
        <v>1grams</v>
      </c>
      <c r="S194" s="198">
        <f>M194*N194</f>
        <v>9</v>
      </c>
      <c r="T194" s="199" t="str">
        <f>CONCATENATE(S194,Q194,P194)</f>
        <v>9grams</v>
      </c>
      <c r="U194" s="200">
        <f>L194*M194</f>
        <v>348.3</v>
      </c>
      <c r="V194" s="12"/>
      <c r="W194" s="12"/>
    </row>
    <row r="195" spans="1:23" x14ac:dyDescent="0.3">
      <c r="A195" s="183">
        <v>62</v>
      </c>
      <c r="B195" s="194" t="s">
        <v>318</v>
      </c>
      <c r="C195" s="170"/>
      <c r="D195" s="194" t="str">
        <f ca="1">IFERROR(__xludf.DUMMYFUNCTION("IF(J49="""",""n/a"",IFERROR(SPLIT(J49,""/"")))"),"n/a")</f>
        <v>n/a</v>
      </c>
      <c r="E195" s="170"/>
      <c r="F195" s="170"/>
      <c r="G195" s="170"/>
      <c r="H195" s="206" t="s">
        <v>1898</v>
      </c>
      <c r="I195" s="170"/>
      <c r="J195" s="170"/>
      <c r="K195" s="170"/>
      <c r="L195" s="197">
        <v>0.08</v>
      </c>
      <c r="M195" s="386">
        <v>1000</v>
      </c>
      <c r="N195" s="208">
        <v>500</v>
      </c>
      <c r="O195" s="170">
        <f>E195</f>
        <v>0</v>
      </c>
      <c r="P195" s="61" t="s">
        <v>39</v>
      </c>
      <c r="Q195" s="170"/>
      <c r="R195" s="192" t="str">
        <f>CONCATENATE(N195,P195)</f>
        <v>500grams</v>
      </c>
      <c r="S195" s="198">
        <f>M195*N195</f>
        <v>500000</v>
      </c>
      <c r="T195" s="199" t="str">
        <f>CONCATENATE(S195,Q195,P195)</f>
        <v>500000grams</v>
      </c>
      <c r="U195" s="200">
        <f>L195*M195</f>
        <v>80</v>
      </c>
      <c r="V195" s="12"/>
      <c r="W195" s="12"/>
    </row>
    <row r="196" spans="1:23" x14ac:dyDescent="0.3">
      <c r="A196" s="183">
        <v>62</v>
      </c>
      <c r="B196" s="46" t="s">
        <v>318</v>
      </c>
      <c r="C196" s="170"/>
      <c r="D196" s="194"/>
      <c r="E196" s="170"/>
      <c r="F196" s="170"/>
      <c r="G196" s="170"/>
      <c r="H196" s="194" t="s">
        <v>29</v>
      </c>
      <c r="I196" s="170"/>
      <c r="J196" s="46" t="s">
        <v>919</v>
      </c>
      <c r="K196" s="170"/>
      <c r="L196" s="197">
        <v>41.9</v>
      </c>
      <c r="M196" s="197">
        <v>6</v>
      </c>
      <c r="N196" s="290">
        <v>500</v>
      </c>
      <c r="O196" s="46"/>
      <c r="P196" s="46" t="s">
        <v>39</v>
      </c>
      <c r="Q196" s="170"/>
      <c r="R196" s="192" t="str">
        <f>CONCATENATE(N196,P196)</f>
        <v>500grams</v>
      </c>
      <c r="S196" s="198">
        <f>M196*N196</f>
        <v>3000</v>
      </c>
      <c r="T196" s="199" t="str">
        <f>CONCATENATE(S196,Q196,P196)</f>
        <v>3000grams</v>
      </c>
      <c r="U196" s="200">
        <f>L196*M196</f>
        <v>251.39999999999998</v>
      </c>
      <c r="V196" s="12"/>
      <c r="W196" s="12"/>
    </row>
    <row r="197" spans="1:23" x14ac:dyDescent="0.3">
      <c r="A197" s="183">
        <v>62</v>
      </c>
      <c r="B197" s="46" t="s">
        <v>318</v>
      </c>
      <c r="C197" s="170"/>
      <c r="D197" s="194"/>
      <c r="E197" s="170"/>
      <c r="F197" s="170"/>
      <c r="G197" s="170"/>
      <c r="H197" s="194" t="s">
        <v>2024</v>
      </c>
      <c r="I197" s="170"/>
      <c r="J197" s="46" t="s">
        <v>919</v>
      </c>
      <c r="K197" s="170"/>
      <c r="L197" s="197">
        <v>41.9</v>
      </c>
      <c r="M197" s="197">
        <v>28</v>
      </c>
      <c r="N197" s="290">
        <v>500</v>
      </c>
      <c r="O197" s="46"/>
      <c r="P197" s="46" t="s">
        <v>39</v>
      </c>
      <c r="Q197" s="170"/>
      <c r="R197" s="192" t="str">
        <f>CONCATENATE(N197,P197)</f>
        <v>500grams</v>
      </c>
      <c r="S197" s="198">
        <f>M197*N197</f>
        <v>14000</v>
      </c>
      <c r="T197" s="199" t="str">
        <f>CONCATENATE(S197,Q197,P197)</f>
        <v>14000grams</v>
      </c>
      <c r="U197" s="200">
        <f>L197*M197</f>
        <v>1173.2</v>
      </c>
      <c r="V197" s="12"/>
      <c r="W197" s="12"/>
    </row>
    <row r="198" spans="1:23" x14ac:dyDescent="0.3">
      <c r="A198" s="183">
        <v>62</v>
      </c>
      <c r="B198" s="46" t="s">
        <v>318</v>
      </c>
      <c r="C198" s="170"/>
      <c r="D198" s="194"/>
      <c r="E198" s="170"/>
      <c r="F198" s="170"/>
      <c r="G198" s="170"/>
      <c r="H198" s="194" t="s">
        <v>2025</v>
      </c>
      <c r="I198" s="170"/>
      <c r="J198" s="46" t="s">
        <v>919</v>
      </c>
      <c r="K198" s="170"/>
      <c r="L198" s="197">
        <v>41.9</v>
      </c>
      <c r="M198" s="197">
        <v>4</v>
      </c>
      <c r="N198" s="290">
        <v>500</v>
      </c>
      <c r="O198" s="46"/>
      <c r="P198" s="46" t="s">
        <v>39</v>
      </c>
      <c r="Q198" s="170"/>
      <c r="R198" s="192" t="str">
        <f>CONCATENATE(N198,P198)</f>
        <v>500grams</v>
      </c>
      <c r="S198" s="198">
        <f>M198*N198</f>
        <v>2000</v>
      </c>
      <c r="T198" s="199" t="str">
        <f>CONCATENATE(S198,Q198,P198)</f>
        <v>2000grams</v>
      </c>
      <c r="U198" s="200">
        <f>L198*M198</f>
        <v>167.6</v>
      </c>
      <c r="V198" s="12"/>
      <c r="W198" s="12"/>
    </row>
    <row r="199" spans="1:23" x14ac:dyDescent="0.3">
      <c r="A199" s="183">
        <v>62</v>
      </c>
      <c r="B199" s="46" t="s">
        <v>318</v>
      </c>
      <c r="C199" s="170"/>
      <c r="D199" s="194"/>
      <c r="E199" s="194"/>
      <c r="F199" s="170"/>
      <c r="G199" s="170"/>
      <c r="H199" s="194" t="s">
        <v>2026</v>
      </c>
      <c r="I199" s="170"/>
      <c r="J199" s="46" t="s">
        <v>919</v>
      </c>
      <c r="K199" s="170"/>
      <c r="L199" s="197">
        <v>41.9</v>
      </c>
      <c r="M199" s="197">
        <v>2</v>
      </c>
      <c r="N199" s="290">
        <v>500</v>
      </c>
      <c r="O199" s="46"/>
      <c r="P199" s="46" t="s">
        <v>39</v>
      </c>
      <c r="Q199" s="170"/>
      <c r="R199" s="192" t="str">
        <f>CONCATENATE(N199,P199)</f>
        <v>500grams</v>
      </c>
      <c r="S199" s="198">
        <f>M199*N199</f>
        <v>1000</v>
      </c>
      <c r="T199" s="199" t="str">
        <f>CONCATENATE(S199,Q199,P199)</f>
        <v>1000grams</v>
      </c>
      <c r="U199" s="200">
        <f>L199*M199</f>
        <v>83.8</v>
      </c>
      <c r="V199" s="12"/>
      <c r="W199" s="12"/>
    </row>
    <row r="200" spans="1:23" x14ac:dyDescent="0.3">
      <c r="A200" s="183">
        <v>62</v>
      </c>
      <c r="B200" s="46" t="s">
        <v>318</v>
      </c>
      <c r="C200" s="170"/>
      <c r="D200" s="194"/>
      <c r="E200" s="170"/>
      <c r="F200" s="170"/>
      <c r="G200" s="170"/>
      <c r="H200" s="194" t="s">
        <v>1368</v>
      </c>
      <c r="I200" s="170"/>
      <c r="J200" s="46" t="s">
        <v>920</v>
      </c>
      <c r="K200" s="170"/>
      <c r="L200" s="197">
        <v>78.5</v>
      </c>
      <c r="M200" s="197">
        <v>1</v>
      </c>
      <c r="N200" s="290">
        <v>907</v>
      </c>
      <c r="O200" s="46"/>
      <c r="P200" s="46" t="s">
        <v>39</v>
      </c>
      <c r="Q200" s="170"/>
      <c r="R200" s="192" t="str">
        <f>CONCATENATE(N200,P200)</f>
        <v>907grams</v>
      </c>
      <c r="S200" s="198">
        <f>M200*N200</f>
        <v>907</v>
      </c>
      <c r="T200" s="199" t="str">
        <f>CONCATENATE(S200,Q200,P200)</f>
        <v>907grams</v>
      </c>
      <c r="U200" s="200">
        <f>L200*M200</f>
        <v>78.5</v>
      </c>
      <c r="V200" s="12"/>
      <c r="W200" s="12"/>
    </row>
    <row r="201" spans="1:23" x14ac:dyDescent="0.3">
      <c r="A201" s="183">
        <v>62</v>
      </c>
      <c r="B201" s="46" t="s">
        <v>318</v>
      </c>
      <c r="C201" s="170"/>
      <c r="D201" s="194"/>
      <c r="E201" s="194"/>
      <c r="F201" s="194"/>
      <c r="G201" s="170"/>
      <c r="H201" s="194" t="s">
        <v>2023</v>
      </c>
      <c r="I201" s="170"/>
      <c r="J201" s="46" t="s">
        <v>919</v>
      </c>
      <c r="K201" s="170"/>
      <c r="L201" s="197">
        <v>41.9</v>
      </c>
      <c r="M201" s="197">
        <v>7</v>
      </c>
      <c r="N201" s="290">
        <v>500</v>
      </c>
      <c r="O201" s="46"/>
      <c r="P201" s="46" t="s">
        <v>39</v>
      </c>
      <c r="Q201" s="170"/>
      <c r="R201" s="192" t="str">
        <f>CONCATENATE(N201,P201)</f>
        <v>500grams</v>
      </c>
      <c r="S201" s="198">
        <f>M201*N201</f>
        <v>3500</v>
      </c>
      <c r="T201" s="199" t="str">
        <f>CONCATENATE(S201,Q201,P201)</f>
        <v>3500grams</v>
      </c>
      <c r="U201" s="200">
        <f>L201*M201</f>
        <v>293.3</v>
      </c>
      <c r="V201" s="12"/>
      <c r="W201" s="12"/>
    </row>
    <row r="202" spans="1:23" x14ac:dyDescent="0.3">
      <c r="A202" s="183">
        <v>62</v>
      </c>
      <c r="B202" s="46" t="s">
        <v>318</v>
      </c>
      <c r="C202" s="170"/>
      <c r="D202" s="194"/>
      <c r="E202" s="170"/>
      <c r="F202" s="170"/>
      <c r="G202" s="170"/>
      <c r="H202" s="194" t="s">
        <v>2022</v>
      </c>
      <c r="I202" s="170"/>
      <c r="J202" s="96" t="s">
        <v>912</v>
      </c>
      <c r="K202" s="170"/>
      <c r="L202" s="197">
        <v>45</v>
      </c>
      <c r="M202" s="388">
        <v>7</v>
      </c>
      <c r="N202" s="509">
        <v>500</v>
      </c>
      <c r="O202" s="46"/>
      <c r="P202" s="264" t="s">
        <v>39</v>
      </c>
      <c r="Q202" s="170"/>
      <c r="R202" s="192" t="str">
        <f>CONCATENATE(N202,P202)</f>
        <v>500grams</v>
      </c>
      <c r="S202" s="198">
        <f>M202*N202</f>
        <v>3500</v>
      </c>
      <c r="T202" s="199" t="str">
        <f>CONCATENATE(S202,Q202,P202)</f>
        <v>3500grams</v>
      </c>
      <c r="U202" s="200">
        <f>L202*M202</f>
        <v>315</v>
      </c>
      <c r="V202" s="12"/>
      <c r="W202" s="12"/>
    </row>
    <row r="203" spans="1:23" x14ac:dyDescent="0.3">
      <c r="A203" s="183">
        <v>62</v>
      </c>
      <c r="B203" s="46" t="s">
        <v>318</v>
      </c>
      <c r="C203" s="170"/>
      <c r="D203" s="194"/>
      <c r="E203" s="170"/>
      <c r="F203" s="170"/>
      <c r="G203" s="170"/>
      <c r="H203" s="194" t="s">
        <v>2021</v>
      </c>
      <c r="I203" s="170"/>
      <c r="J203" s="219" t="s">
        <v>919</v>
      </c>
      <c r="K203" s="170"/>
      <c r="L203" s="216">
        <v>42</v>
      </c>
      <c r="M203" s="216">
        <v>3</v>
      </c>
      <c r="N203" s="293">
        <v>500</v>
      </c>
      <c r="O203" s="219"/>
      <c r="P203" s="219" t="s">
        <v>39</v>
      </c>
      <c r="Q203" s="170"/>
      <c r="R203" s="192" t="str">
        <f>CONCATENATE(N203,P203)</f>
        <v>500grams</v>
      </c>
      <c r="S203" s="198">
        <f>M203*N203</f>
        <v>1500</v>
      </c>
      <c r="T203" s="199" t="str">
        <f>CONCATENATE(S203,Q203,P203)</f>
        <v>1500grams</v>
      </c>
      <c r="U203" s="200">
        <f>L203*M203</f>
        <v>126</v>
      </c>
      <c r="V203" s="12"/>
      <c r="W203" s="12"/>
    </row>
    <row r="204" spans="1:23" x14ac:dyDescent="0.3">
      <c r="A204" s="183">
        <v>62</v>
      </c>
      <c r="B204" s="46" t="s">
        <v>318</v>
      </c>
      <c r="C204" s="170"/>
      <c r="D204" s="194"/>
      <c r="E204" s="170"/>
      <c r="F204" s="170"/>
      <c r="G204" s="170"/>
      <c r="H204" s="194" t="s">
        <v>2020</v>
      </c>
      <c r="I204" s="170"/>
      <c r="J204" s="46" t="s">
        <v>919</v>
      </c>
      <c r="K204" s="170"/>
      <c r="L204" s="197">
        <v>41.9</v>
      </c>
      <c r="M204" s="197">
        <v>3</v>
      </c>
      <c r="N204" s="290">
        <v>500</v>
      </c>
      <c r="O204" s="46"/>
      <c r="P204" s="46" t="s">
        <v>39</v>
      </c>
      <c r="Q204" s="170"/>
      <c r="R204" s="192" t="str">
        <f>CONCATENATE(N204,P204)</f>
        <v>500grams</v>
      </c>
      <c r="S204" s="198">
        <f>M204*N204</f>
        <v>1500</v>
      </c>
      <c r="T204" s="199" t="str">
        <f>CONCATENATE(S204,Q204,P204)</f>
        <v>1500grams</v>
      </c>
      <c r="U204" s="200">
        <f>L204*M204</f>
        <v>125.69999999999999</v>
      </c>
      <c r="V204" s="12"/>
      <c r="W204" s="12"/>
    </row>
    <row r="205" spans="1:23" x14ac:dyDescent="0.3">
      <c r="A205" s="183">
        <v>62</v>
      </c>
      <c r="B205" s="46" t="s">
        <v>318</v>
      </c>
      <c r="C205" s="215"/>
      <c r="D205" s="194"/>
      <c r="E205" s="215"/>
      <c r="F205" s="215"/>
      <c r="G205" s="215"/>
      <c r="H205" s="400" t="s">
        <v>2027</v>
      </c>
      <c r="I205" s="170"/>
      <c r="J205" s="46" t="s">
        <v>919</v>
      </c>
      <c r="K205" s="170"/>
      <c r="L205" s="195">
        <v>83.6</v>
      </c>
      <c r="M205" s="197">
        <v>8</v>
      </c>
      <c r="N205" s="360">
        <v>1</v>
      </c>
      <c r="O205" s="61"/>
      <c r="P205" s="61" t="s">
        <v>213</v>
      </c>
      <c r="Q205" s="170"/>
      <c r="R205" s="192" t="str">
        <f>CONCATENATE(N205,P205)</f>
        <v>1kilos</v>
      </c>
      <c r="S205" s="198">
        <f>M205*N205</f>
        <v>8</v>
      </c>
      <c r="T205" s="199" t="str">
        <f>CONCATENATE(S205,Q205,P205)</f>
        <v>8kilos</v>
      </c>
      <c r="U205" s="200">
        <f>L205*M205</f>
        <v>668.8</v>
      </c>
      <c r="V205" s="12"/>
      <c r="W205" s="12"/>
    </row>
    <row r="206" spans="1:23" x14ac:dyDescent="0.3">
      <c r="A206" s="183">
        <v>63</v>
      </c>
      <c r="B206" s="194" t="s">
        <v>500</v>
      </c>
      <c r="C206" s="170"/>
      <c r="D206" s="194" t="str">
        <f ca="1">IFERROR(__xludf.DUMMYFUNCTION("IF(J50="""",""n/a"",IFERROR(SPLIT(J50,""/"")))"),"Monde(10pcsx28grams)")</f>
        <v>Monde(10pcsx28grams)</v>
      </c>
      <c r="E206" s="170"/>
      <c r="F206" s="170"/>
      <c r="G206" s="170"/>
      <c r="H206" s="183" t="s">
        <v>1897</v>
      </c>
      <c r="I206" s="170"/>
      <c r="J206" s="46" t="s">
        <v>369</v>
      </c>
      <c r="K206" s="170"/>
      <c r="L206" s="195">
        <v>5.82</v>
      </c>
      <c r="M206" s="202">
        <v>50</v>
      </c>
      <c r="N206" s="203">
        <v>1</v>
      </c>
      <c r="O206" s="170">
        <f>E206</f>
        <v>0</v>
      </c>
      <c r="P206" s="61" t="s">
        <v>92</v>
      </c>
      <c r="Q206" s="170"/>
      <c r="R206" s="192" t="str">
        <f>CONCATENATE(N206,P206)</f>
        <v>1pieces</v>
      </c>
      <c r="S206" s="198">
        <f>M206*N206</f>
        <v>50</v>
      </c>
      <c r="T206" s="199" t="str">
        <f>CONCATENATE(S206,Q206,P206)</f>
        <v>50pieces</v>
      </c>
      <c r="U206" s="200">
        <f>L206*M206</f>
        <v>291</v>
      </c>
      <c r="V206" s="12"/>
      <c r="W206" s="12"/>
    </row>
    <row r="207" spans="1:23" x14ac:dyDescent="0.3">
      <c r="A207" s="183">
        <v>64</v>
      </c>
      <c r="B207" s="194" t="s">
        <v>501</v>
      </c>
      <c r="C207" s="170"/>
      <c r="D207" s="194" t="str">
        <f ca="1">IFERROR(__xludf.DUMMYFUNCTION("IF(J51="""",""n/a"",IFERROR(SPLIT(J51,""/"")))"),"Mondepack (10pcsx28grams)")</f>
        <v>Mondepack (10pcsx28grams)</v>
      </c>
      <c r="E207" s="170"/>
      <c r="F207" s="170"/>
      <c r="G207" s="170"/>
      <c r="H207" s="183" t="s">
        <v>1897</v>
      </c>
      <c r="I207" s="170"/>
      <c r="J207" s="46" t="s">
        <v>502</v>
      </c>
      <c r="K207" s="170"/>
      <c r="L207" s="195">
        <v>5.85</v>
      </c>
      <c r="M207" s="202">
        <v>366</v>
      </c>
      <c r="N207" s="203">
        <v>1</v>
      </c>
      <c r="O207" s="170">
        <f>E207</f>
        <v>0</v>
      </c>
      <c r="P207" s="61" t="s">
        <v>92</v>
      </c>
      <c r="Q207" s="170"/>
      <c r="R207" s="192" t="str">
        <f>CONCATENATE(N207,P207)</f>
        <v>1pieces</v>
      </c>
      <c r="S207" s="198">
        <f>M207*N207</f>
        <v>366</v>
      </c>
      <c r="T207" s="199" t="str">
        <f>CONCATENATE(S207,Q207,P207)</f>
        <v>366pieces</v>
      </c>
      <c r="U207" s="200">
        <f>L207*M207</f>
        <v>2141.1</v>
      </c>
      <c r="V207" s="12"/>
      <c r="W207" s="12"/>
    </row>
    <row r="208" spans="1:23" x14ac:dyDescent="0.3">
      <c r="A208" s="183">
        <v>65</v>
      </c>
      <c r="B208" s="194" t="s">
        <v>368</v>
      </c>
      <c r="C208" s="170"/>
      <c r="D208" s="194" t="str">
        <f ca="1">IFERROR(__xludf.DUMMYFUNCTION("IF(J52="""",""n/a"",IFERROR(SPLIT(J52,""/"")))"),"Monde(10pcsx28grams)")</f>
        <v>Monde(10pcsx28grams)</v>
      </c>
      <c r="E208" s="170"/>
      <c r="F208" s="170"/>
      <c r="G208" s="170"/>
      <c r="H208" s="183" t="s">
        <v>1895</v>
      </c>
      <c r="I208" s="170"/>
      <c r="J208" s="46" t="s">
        <v>369</v>
      </c>
      <c r="K208" s="170"/>
      <c r="L208" s="195">
        <v>5.7</v>
      </c>
      <c r="M208" s="197">
        <v>370</v>
      </c>
      <c r="N208" s="61">
        <v>1</v>
      </c>
      <c r="O208" s="170">
        <f>E208</f>
        <v>0</v>
      </c>
      <c r="P208" s="61" t="s">
        <v>92</v>
      </c>
      <c r="Q208" s="170"/>
      <c r="R208" s="192" t="str">
        <f>CONCATENATE(N208,P208)</f>
        <v>1pieces</v>
      </c>
      <c r="S208" s="198">
        <f>M208*N208</f>
        <v>370</v>
      </c>
      <c r="T208" s="199" t="str">
        <f>CONCATENATE(S208,Q208,P208)</f>
        <v>370pieces</v>
      </c>
      <c r="U208" s="200">
        <f>L208*M208</f>
        <v>2109</v>
      </c>
      <c r="V208" s="12"/>
      <c r="W208" s="12"/>
    </row>
    <row r="209" spans="1:23" x14ac:dyDescent="0.3">
      <c r="A209" s="183">
        <v>65</v>
      </c>
      <c r="B209" s="194" t="s">
        <v>368</v>
      </c>
      <c r="C209" s="170"/>
      <c r="D209" s="194" t="str">
        <f ca="1">IFERROR(__xludf.DUMMYFUNCTION("IF(J53="""",""n/a"",IFERROR(SPLIT(J53,""/"")))"),"n/a")</f>
        <v>n/a</v>
      </c>
      <c r="E209" s="170"/>
      <c r="F209" s="170"/>
      <c r="G209" s="170"/>
      <c r="H209" s="206" t="s">
        <v>1898</v>
      </c>
      <c r="I209" s="170"/>
      <c r="J209" s="170"/>
      <c r="K209" s="170"/>
      <c r="L209" s="197">
        <v>6.17</v>
      </c>
      <c r="M209" s="385">
        <v>120</v>
      </c>
      <c r="N209" s="207">
        <v>10</v>
      </c>
      <c r="O209" s="170">
        <f>E209</f>
        <v>0</v>
      </c>
      <c r="P209" s="209" t="s">
        <v>92</v>
      </c>
      <c r="Q209" s="170"/>
      <c r="R209" s="192" t="str">
        <f>CONCATENATE(N209,P209)</f>
        <v>10pieces</v>
      </c>
      <c r="S209" s="198">
        <f>M209*N209</f>
        <v>1200</v>
      </c>
      <c r="T209" s="199" t="str">
        <f>CONCATENATE(S209,Q209,P209)</f>
        <v>1200pieces</v>
      </c>
      <c r="U209" s="200">
        <f>L209*M209</f>
        <v>740.4</v>
      </c>
      <c r="V209" s="12"/>
      <c r="W209" s="12"/>
    </row>
    <row r="210" spans="1:23" x14ac:dyDescent="0.3">
      <c r="A210" s="183">
        <v>66</v>
      </c>
      <c r="B210" s="194" t="s">
        <v>370</v>
      </c>
      <c r="C210" s="170"/>
      <c r="D210" s="194" t="str">
        <f ca="1">IFERROR(__xludf.DUMMYFUNCTION("IF(J54="""",""n/a"",IFERROR(SPLIT(J54,""/"")))"),"Monde (10pcsx28grams)")</f>
        <v>Monde (10pcsx28grams)</v>
      </c>
      <c r="E210" s="170"/>
      <c r="F210" s="170"/>
      <c r="G210" s="170"/>
      <c r="H210" s="183" t="s">
        <v>1897</v>
      </c>
      <c r="I210" s="170"/>
      <c r="J210" s="46" t="s">
        <v>371</v>
      </c>
      <c r="K210" s="170"/>
      <c r="L210" s="195">
        <v>5.82</v>
      </c>
      <c r="M210" s="202">
        <v>5</v>
      </c>
      <c r="N210" s="203">
        <v>1</v>
      </c>
      <c r="O210" s="170">
        <f>E210</f>
        <v>0</v>
      </c>
      <c r="P210" s="61" t="s">
        <v>92</v>
      </c>
      <c r="Q210" s="170"/>
      <c r="R210" s="192" t="str">
        <f>CONCATENATE(N210,P210)</f>
        <v>1pieces</v>
      </c>
      <c r="S210" s="198">
        <f>M210*N210</f>
        <v>5</v>
      </c>
      <c r="T210" s="199" t="str">
        <f>CONCATENATE(S210,Q210,P210)</f>
        <v>5pieces</v>
      </c>
      <c r="U210" s="200">
        <f>L210*M210</f>
        <v>29.1</v>
      </c>
      <c r="V210" s="12"/>
      <c r="W210" s="12"/>
    </row>
    <row r="211" spans="1:23" x14ac:dyDescent="0.3">
      <c r="A211" s="183">
        <v>66</v>
      </c>
      <c r="B211" s="194" t="s">
        <v>370</v>
      </c>
      <c r="C211" s="170"/>
      <c r="D211" s="194" t="str">
        <f ca="1">IFERROR(__xludf.DUMMYFUNCTION("IF(J55="""",""n/a"",IFERROR(SPLIT(J55,""/"")))"),"Monde (10pcsx28grams)")</f>
        <v>Monde (10pcsx28grams)</v>
      </c>
      <c r="E211" s="170"/>
      <c r="F211" s="170"/>
      <c r="G211" s="170"/>
      <c r="H211" s="183" t="s">
        <v>1895</v>
      </c>
      <c r="I211" s="170"/>
      <c r="J211" s="46" t="s">
        <v>371</v>
      </c>
      <c r="K211" s="170"/>
      <c r="L211" s="195">
        <v>5.7</v>
      </c>
      <c r="M211" s="197">
        <v>375</v>
      </c>
      <c r="N211" s="61">
        <v>1</v>
      </c>
      <c r="O211" s="170">
        <f>E211</f>
        <v>0</v>
      </c>
      <c r="P211" s="61" t="s">
        <v>92</v>
      </c>
      <c r="Q211" s="170"/>
      <c r="R211" s="192" t="str">
        <f>CONCATENATE(N211,P211)</f>
        <v>1pieces</v>
      </c>
      <c r="S211" s="198">
        <f>M211*N211</f>
        <v>375</v>
      </c>
      <c r="T211" s="199" t="str">
        <f>CONCATENATE(S211,Q211,P211)</f>
        <v>375pieces</v>
      </c>
      <c r="U211" s="200">
        <f>L211*M211</f>
        <v>2137.5</v>
      </c>
      <c r="V211" s="12"/>
      <c r="W211" s="12"/>
    </row>
    <row r="212" spans="1:23" x14ac:dyDescent="0.3">
      <c r="A212" s="183">
        <v>67</v>
      </c>
      <c r="B212" s="194" t="s">
        <v>125</v>
      </c>
      <c r="C212" s="170"/>
      <c r="D212" s="194" t="str">
        <f ca="1">IFERROR(__xludf.DUMMYFUNCTION("IF(J56="""",""n/a"",IFERROR(SPLIT(J56,""/"")))"),"Birch Tree")</f>
        <v>Birch Tree</v>
      </c>
      <c r="E212" s="194" t="str">
        <f ca="1">IFERROR(__xludf.DUMMYFUNCTION("""COMPUTED_VALUE"""),"pack (pcsx33grams)")</f>
        <v>pack (pcsx33grams)</v>
      </c>
      <c r="F212" s="170"/>
      <c r="G212" s="170"/>
      <c r="H212" s="183" t="s">
        <v>1897</v>
      </c>
      <c r="I212" s="170"/>
      <c r="J212" s="46" t="s">
        <v>126</v>
      </c>
      <c r="K212" s="170"/>
      <c r="L212" s="204">
        <v>8.57</v>
      </c>
      <c r="M212" s="202">
        <v>238</v>
      </c>
      <c r="N212" s="203">
        <v>1</v>
      </c>
      <c r="O212" s="61" t="str">
        <f ca="1">E212</f>
        <v>pack (pcsx33grams)</v>
      </c>
      <c r="P212" s="61" t="s">
        <v>92</v>
      </c>
      <c r="Q212" s="170"/>
      <c r="R212" s="192" t="str">
        <f>CONCATENATE(N212,P212)</f>
        <v>1pieces</v>
      </c>
      <c r="S212" s="198">
        <f>M212*N212</f>
        <v>238</v>
      </c>
      <c r="T212" s="199" t="str">
        <f>CONCATENATE(S212,Q212,P212)</f>
        <v>238pieces</v>
      </c>
      <c r="U212" s="200">
        <f>L212*M212</f>
        <v>2039.66</v>
      </c>
      <c r="V212" s="205"/>
      <c r="W212" s="62"/>
    </row>
    <row r="213" spans="1:23" x14ac:dyDescent="0.3">
      <c r="A213" s="183">
        <v>67</v>
      </c>
      <c r="B213" s="194" t="s">
        <v>125</v>
      </c>
      <c r="C213" s="170"/>
      <c r="D213" s="194" t="str">
        <f ca="1">IFERROR(__xludf.DUMMYFUNCTION("IF(J57="""",""n/a"",IFERROR(SPLIT(J57,""/"")))"),"Birch Tree")</f>
        <v>Birch Tree</v>
      </c>
      <c r="E213" s="194" t="str">
        <f ca="1">IFERROR(__xludf.DUMMYFUNCTION("""COMPUTED_VALUE"""),"pack (pcsx33grams)")</f>
        <v>pack (pcsx33grams)</v>
      </c>
      <c r="F213" s="170"/>
      <c r="G213" s="170"/>
      <c r="H213" s="183" t="s">
        <v>1895</v>
      </c>
      <c r="I213" s="170"/>
      <c r="J213" s="46" t="s">
        <v>126</v>
      </c>
      <c r="K213" s="170"/>
      <c r="L213" s="195">
        <v>8.92</v>
      </c>
      <c r="M213" s="197">
        <v>231</v>
      </c>
      <c r="N213" s="61">
        <v>1</v>
      </c>
      <c r="O213" s="61" t="str">
        <f ca="1">E213</f>
        <v>pack (pcsx33grams)</v>
      </c>
      <c r="P213" s="61" t="s">
        <v>92</v>
      </c>
      <c r="Q213" s="170"/>
      <c r="R213" s="192" t="str">
        <f>CONCATENATE(N213,P213)</f>
        <v>1pieces</v>
      </c>
      <c r="S213" s="198">
        <f>M213*N213</f>
        <v>231</v>
      </c>
      <c r="T213" s="199" t="str">
        <f>CONCATENATE(S213,Q213,P213)</f>
        <v>231pieces</v>
      </c>
      <c r="U213" s="200">
        <f>L213*M213</f>
        <v>2060.52</v>
      </c>
      <c r="V213" s="12"/>
      <c r="W213" s="12"/>
    </row>
    <row r="214" spans="1:23" x14ac:dyDescent="0.3">
      <c r="A214" s="183">
        <v>67</v>
      </c>
      <c r="B214" s="194" t="s">
        <v>125</v>
      </c>
      <c r="C214" s="170"/>
      <c r="D214" s="194" t="str">
        <f ca="1">IFERROR(__xludf.DUMMYFUNCTION("IF(J58="""",""n/a"",IFERROR(SPLIT(J58,""/"")))"),"n/a")</f>
        <v>n/a</v>
      </c>
      <c r="E214" s="170"/>
      <c r="F214" s="170"/>
      <c r="G214" s="170"/>
      <c r="H214" s="206" t="s">
        <v>1898</v>
      </c>
      <c r="I214" s="170"/>
      <c r="J214" s="170"/>
      <c r="K214" s="170"/>
      <c r="L214" s="197">
        <v>8.75</v>
      </c>
      <c r="M214" s="385">
        <v>206</v>
      </c>
      <c r="N214" s="207">
        <v>1</v>
      </c>
      <c r="O214" s="170">
        <f>E214</f>
        <v>0</v>
      </c>
      <c r="P214" s="209" t="s">
        <v>92</v>
      </c>
      <c r="Q214" s="170"/>
      <c r="R214" s="192" t="str">
        <f>CONCATENATE(N214,P214)</f>
        <v>1pieces</v>
      </c>
      <c r="S214" s="198">
        <f>M214*N214</f>
        <v>206</v>
      </c>
      <c r="T214" s="199" t="str">
        <f>CONCATENATE(S214,Q214,P214)</f>
        <v>206pieces</v>
      </c>
      <c r="U214" s="200">
        <f>L214*M214</f>
        <v>1802.5</v>
      </c>
      <c r="V214" s="12"/>
      <c r="W214" s="12"/>
    </row>
    <row r="215" spans="1:23" x14ac:dyDescent="0.3">
      <c r="A215" s="183">
        <v>68</v>
      </c>
      <c r="B215" s="219" t="s">
        <v>921</v>
      </c>
      <c r="C215" s="170"/>
      <c r="D215" s="194"/>
      <c r="E215" s="170"/>
      <c r="F215" s="170"/>
      <c r="G215" s="170"/>
      <c r="H215" s="194" t="s">
        <v>2021</v>
      </c>
      <c r="I215" s="170"/>
      <c r="J215" s="219" t="s">
        <v>922</v>
      </c>
      <c r="K215" s="170"/>
      <c r="L215" s="216">
        <v>12.1</v>
      </c>
      <c r="M215" s="216">
        <v>1</v>
      </c>
      <c r="N215" s="293">
        <v>1</v>
      </c>
      <c r="O215" s="219"/>
      <c r="P215" s="219" t="s">
        <v>92</v>
      </c>
      <c r="Q215" s="170"/>
      <c r="R215" s="192" t="str">
        <f>CONCATENATE(N215,P215)</f>
        <v>1pieces</v>
      </c>
      <c r="S215" s="198">
        <f>M215*N215</f>
        <v>1</v>
      </c>
      <c r="T215" s="199" t="str">
        <f>CONCATENATE(S215,Q215,P215)</f>
        <v>1pieces</v>
      </c>
      <c r="U215" s="200">
        <f>L215*M215</f>
        <v>12.1</v>
      </c>
      <c r="V215" s="12"/>
      <c r="W215" s="12"/>
    </row>
    <row r="216" spans="1:23" x14ac:dyDescent="0.3">
      <c r="A216" s="183">
        <v>68</v>
      </c>
      <c r="B216" s="219" t="s">
        <v>921</v>
      </c>
      <c r="C216" s="170"/>
      <c r="D216" s="194"/>
      <c r="E216" s="170"/>
      <c r="F216" s="170"/>
      <c r="G216" s="170"/>
      <c r="H216" s="194" t="s">
        <v>2021</v>
      </c>
      <c r="I216" s="170"/>
      <c r="J216" s="219" t="s">
        <v>724</v>
      </c>
      <c r="K216" s="170"/>
      <c r="L216" s="216">
        <v>25.52</v>
      </c>
      <c r="M216" s="216">
        <v>2</v>
      </c>
      <c r="N216" s="293">
        <v>20</v>
      </c>
      <c r="O216" s="219"/>
      <c r="P216" s="219" t="s">
        <v>39</v>
      </c>
      <c r="Q216" s="170"/>
      <c r="R216" s="192" t="str">
        <f>CONCATENATE(N216,P216)</f>
        <v>20grams</v>
      </c>
      <c r="S216" s="198">
        <f>M216*N216</f>
        <v>40</v>
      </c>
      <c r="T216" s="199" t="str">
        <f>CONCATENATE(S216,Q216,P216)</f>
        <v>40grams</v>
      </c>
      <c r="U216" s="200">
        <f>L216*M216</f>
        <v>51.04</v>
      </c>
      <c r="V216" s="12"/>
      <c r="W216" s="12"/>
    </row>
    <row r="217" spans="1:23" x14ac:dyDescent="0.3">
      <c r="A217" s="183">
        <v>69</v>
      </c>
      <c r="B217" s="219" t="s">
        <v>923</v>
      </c>
      <c r="C217" s="170"/>
      <c r="D217" s="194"/>
      <c r="E217" s="194"/>
      <c r="F217" s="170"/>
      <c r="G217" s="170"/>
      <c r="H217" s="194" t="s">
        <v>2021</v>
      </c>
      <c r="I217" s="170"/>
      <c r="J217" s="219" t="s">
        <v>724</v>
      </c>
      <c r="K217" s="170"/>
      <c r="L217" s="216">
        <v>25.52</v>
      </c>
      <c r="M217" s="216">
        <v>3</v>
      </c>
      <c r="N217" s="293">
        <v>19</v>
      </c>
      <c r="O217" s="219"/>
      <c r="P217" s="219" t="s">
        <v>39</v>
      </c>
      <c r="Q217" s="170"/>
      <c r="R217" s="192" t="str">
        <f>CONCATENATE(N217,P217)</f>
        <v>19grams</v>
      </c>
      <c r="S217" s="198">
        <f>M217*N217</f>
        <v>57</v>
      </c>
      <c r="T217" s="199" t="str">
        <f>CONCATENATE(S217,Q217,P217)</f>
        <v>57grams</v>
      </c>
      <c r="U217" s="200">
        <f>L217*M217</f>
        <v>76.56</v>
      </c>
      <c r="V217" s="12"/>
      <c r="W217" s="12"/>
    </row>
    <row r="218" spans="1:23" x14ac:dyDescent="0.3">
      <c r="A218" s="183">
        <v>70</v>
      </c>
      <c r="B218" s="46" t="s">
        <v>924</v>
      </c>
      <c r="C218" s="170"/>
      <c r="D218" s="194"/>
      <c r="E218" s="194"/>
      <c r="F218" s="194"/>
      <c r="G218" s="170"/>
      <c r="H218" s="194" t="s">
        <v>2023</v>
      </c>
      <c r="I218" s="170"/>
      <c r="J218" s="46" t="s">
        <v>925</v>
      </c>
      <c r="K218" s="170"/>
      <c r="L218" s="197">
        <v>6</v>
      </c>
      <c r="M218" s="197">
        <v>154</v>
      </c>
      <c r="N218" s="290">
        <v>10</v>
      </c>
      <c r="O218" s="46"/>
      <c r="P218" s="46" t="s">
        <v>92</v>
      </c>
      <c r="Q218" s="170"/>
      <c r="R218" s="192" t="str">
        <f>CONCATENATE(N218,P218)</f>
        <v>10pieces</v>
      </c>
      <c r="S218" s="198">
        <f>M218*N218</f>
        <v>1540</v>
      </c>
      <c r="T218" s="199" t="str">
        <f>CONCATENATE(S218,Q218,P218)</f>
        <v>1540pieces</v>
      </c>
      <c r="U218" s="200">
        <f>L218*M218</f>
        <v>924</v>
      </c>
      <c r="V218" s="12"/>
      <c r="W218" s="12"/>
    </row>
    <row r="219" spans="1:23" x14ac:dyDescent="0.3">
      <c r="A219" s="183">
        <v>70</v>
      </c>
      <c r="B219" s="46" t="s">
        <v>924</v>
      </c>
      <c r="C219" s="170"/>
      <c r="D219" s="194"/>
      <c r="E219" s="194"/>
      <c r="F219" s="170"/>
      <c r="G219" s="170"/>
      <c r="H219" s="194" t="s">
        <v>2023</v>
      </c>
      <c r="I219" s="170"/>
      <c r="J219" s="46" t="s">
        <v>926</v>
      </c>
      <c r="K219" s="170"/>
      <c r="L219" s="197">
        <v>6</v>
      </c>
      <c r="M219" s="197">
        <v>100</v>
      </c>
      <c r="N219" s="290">
        <v>10</v>
      </c>
      <c r="O219" s="46"/>
      <c r="P219" s="46" t="s">
        <v>92</v>
      </c>
      <c r="Q219" s="170"/>
      <c r="R219" s="192" t="str">
        <f>CONCATENATE(N219,P219)</f>
        <v>10pieces</v>
      </c>
      <c r="S219" s="198">
        <f>M219*N219</f>
        <v>1000</v>
      </c>
      <c r="T219" s="199" t="str">
        <f>CONCATENATE(S219,Q219,P219)</f>
        <v>1000pieces</v>
      </c>
      <c r="U219" s="200">
        <f>L219*M219</f>
        <v>600</v>
      </c>
      <c r="V219" s="12"/>
      <c r="W219" s="12"/>
    </row>
    <row r="220" spans="1:23" x14ac:dyDescent="0.3">
      <c r="A220" s="183">
        <v>70</v>
      </c>
      <c r="B220" s="219" t="s">
        <v>924</v>
      </c>
      <c r="C220" s="170"/>
      <c r="D220" s="194"/>
      <c r="E220" s="194"/>
      <c r="F220" s="170"/>
      <c r="G220" s="170"/>
      <c r="H220" s="194" t="s">
        <v>2025</v>
      </c>
      <c r="I220" s="170"/>
      <c r="J220" s="46" t="s">
        <v>927</v>
      </c>
      <c r="K220" s="170"/>
      <c r="L220" s="197">
        <v>6.8</v>
      </c>
      <c r="M220" s="197">
        <v>3</v>
      </c>
      <c r="N220" s="290">
        <v>28</v>
      </c>
      <c r="O220" s="46"/>
      <c r="P220" s="46" t="s">
        <v>39</v>
      </c>
      <c r="Q220" s="170"/>
      <c r="R220" s="192" t="str">
        <f>CONCATENATE(N220,P220)</f>
        <v>28grams</v>
      </c>
      <c r="S220" s="198">
        <f>M220*N220</f>
        <v>84</v>
      </c>
      <c r="T220" s="199" t="str">
        <f>CONCATENATE(S220,Q220,P220)</f>
        <v>84grams</v>
      </c>
      <c r="U220" s="200">
        <f>L220*M220</f>
        <v>20.399999999999999</v>
      </c>
      <c r="V220" s="12"/>
      <c r="W220" s="12"/>
    </row>
    <row r="221" spans="1:23" x14ac:dyDescent="0.3">
      <c r="A221" s="183">
        <v>70</v>
      </c>
      <c r="B221" s="46" t="s">
        <v>924</v>
      </c>
      <c r="C221" s="170"/>
      <c r="D221" s="194"/>
      <c r="E221" s="194"/>
      <c r="F221" s="170"/>
      <c r="G221" s="170"/>
      <c r="H221" s="194" t="s">
        <v>2026</v>
      </c>
      <c r="I221" s="170"/>
      <c r="J221" s="46" t="s">
        <v>928</v>
      </c>
      <c r="K221" s="170"/>
      <c r="L221" s="197">
        <v>6.05</v>
      </c>
      <c r="M221" s="197">
        <v>30</v>
      </c>
      <c r="N221" s="290">
        <v>28</v>
      </c>
      <c r="O221" s="46"/>
      <c r="P221" s="46" t="s">
        <v>39</v>
      </c>
      <c r="Q221" s="170"/>
      <c r="R221" s="192" t="str">
        <f>CONCATENATE(N221,P221)</f>
        <v>28grams</v>
      </c>
      <c r="S221" s="198">
        <f>M221*N221</f>
        <v>840</v>
      </c>
      <c r="T221" s="199" t="str">
        <f>CONCATENATE(S221,Q221,P221)</f>
        <v>840grams</v>
      </c>
      <c r="U221" s="200">
        <f>L221*M221</f>
        <v>181.5</v>
      </c>
      <c r="V221" s="12"/>
      <c r="W221" s="12"/>
    </row>
    <row r="222" spans="1:23" x14ac:dyDescent="0.3">
      <c r="A222" s="183">
        <v>70</v>
      </c>
      <c r="B222" s="46" t="s">
        <v>924</v>
      </c>
      <c r="C222" s="170"/>
      <c r="D222" s="194"/>
      <c r="E222" s="170"/>
      <c r="F222" s="170"/>
      <c r="G222" s="170"/>
      <c r="H222" s="194" t="s">
        <v>2026</v>
      </c>
      <c r="I222" s="170"/>
      <c r="J222" s="46" t="s">
        <v>925</v>
      </c>
      <c r="K222" s="170"/>
      <c r="L222" s="197">
        <v>6.05</v>
      </c>
      <c r="M222" s="197">
        <v>60</v>
      </c>
      <c r="N222" s="290">
        <v>28</v>
      </c>
      <c r="O222" s="46"/>
      <c r="P222" s="46" t="s">
        <v>39</v>
      </c>
      <c r="Q222" s="170"/>
      <c r="R222" s="192" t="str">
        <f>CONCATENATE(N222,P222)</f>
        <v>28grams</v>
      </c>
      <c r="S222" s="198">
        <f>M222*N222</f>
        <v>1680</v>
      </c>
      <c r="T222" s="199" t="str">
        <f>CONCATENATE(S222,Q222,P222)</f>
        <v>1680grams</v>
      </c>
      <c r="U222" s="200">
        <f>L222*M222</f>
        <v>363</v>
      </c>
      <c r="V222" s="12"/>
      <c r="W222" s="12"/>
    </row>
    <row r="223" spans="1:23" x14ac:dyDescent="0.3">
      <c r="A223" s="183">
        <v>70</v>
      </c>
      <c r="B223" s="46" t="s">
        <v>924</v>
      </c>
      <c r="C223" s="170"/>
      <c r="D223" s="194"/>
      <c r="E223" s="170"/>
      <c r="F223" s="170"/>
      <c r="G223" s="170"/>
      <c r="H223" s="194" t="s">
        <v>2026</v>
      </c>
      <c r="I223" s="170"/>
      <c r="J223" s="46" t="s">
        <v>929</v>
      </c>
      <c r="K223" s="170"/>
      <c r="L223" s="197">
        <v>24.6</v>
      </c>
      <c r="M223" s="197">
        <v>24</v>
      </c>
      <c r="N223" s="290">
        <v>60</v>
      </c>
      <c r="O223" s="46"/>
      <c r="P223" s="46" t="s">
        <v>39</v>
      </c>
      <c r="Q223" s="170"/>
      <c r="R223" s="192" t="str">
        <f>CONCATENATE(N223,P223)</f>
        <v>60grams</v>
      </c>
      <c r="S223" s="198">
        <f>M223*N223</f>
        <v>1440</v>
      </c>
      <c r="T223" s="199" t="str">
        <f>CONCATENATE(S223,Q223,P223)</f>
        <v>1440grams</v>
      </c>
      <c r="U223" s="200">
        <f>L223*M223</f>
        <v>590.40000000000009</v>
      </c>
      <c r="V223" s="12"/>
      <c r="W223" s="12"/>
    </row>
    <row r="224" spans="1:23" x14ac:dyDescent="0.3">
      <c r="A224" s="183">
        <v>70</v>
      </c>
      <c r="B224" s="46" t="s">
        <v>924</v>
      </c>
      <c r="C224" s="170"/>
      <c r="D224" s="194"/>
      <c r="E224" s="194"/>
      <c r="F224" s="194"/>
      <c r="G224" s="170"/>
      <c r="H224" s="194" t="s">
        <v>2026</v>
      </c>
      <c r="I224" s="170"/>
      <c r="J224" s="46" t="s">
        <v>930</v>
      </c>
      <c r="K224" s="170"/>
      <c r="L224" s="197">
        <v>36.9</v>
      </c>
      <c r="M224" s="197">
        <v>3</v>
      </c>
      <c r="N224" s="290">
        <v>100</v>
      </c>
      <c r="O224" s="46"/>
      <c r="P224" s="46" t="s">
        <v>39</v>
      </c>
      <c r="Q224" s="61" t="s">
        <v>33</v>
      </c>
      <c r="R224" s="192" t="str">
        <f>CONCATENATE(N224,P224)</f>
        <v>100grams</v>
      </c>
      <c r="S224" s="198">
        <f>M224*N224</f>
        <v>300</v>
      </c>
      <c r="T224" s="199" t="str">
        <f>CONCATENATE(S224,Q224,P224)</f>
        <v>300 grams</v>
      </c>
      <c r="U224" s="200">
        <f>L224*M224</f>
        <v>110.69999999999999</v>
      </c>
      <c r="V224" s="12"/>
      <c r="W224" s="12"/>
    </row>
    <row r="225" spans="1:23" x14ac:dyDescent="0.3">
      <c r="A225" s="183">
        <v>70</v>
      </c>
      <c r="B225" s="46" t="s">
        <v>924</v>
      </c>
      <c r="C225" s="170"/>
      <c r="D225" s="194"/>
      <c r="E225" s="194"/>
      <c r="F225" s="194"/>
      <c r="G225" s="170"/>
      <c r="H225" s="194" t="s">
        <v>2026</v>
      </c>
      <c r="I225" s="170"/>
      <c r="J225" s="46" t="s">
        <v>931</v>
      </c>
      <c r="K225" s="170"/>
      <c r="L225" s="197">
        <v>7.07</v>
      </c>
      <c r="M225" s="197">
        <v>80</v>
      </c>
      <c r="N225" s="290">
        <v>30</v>
      </c>
      <c r="O225" s="46"/>
      <c r="P225" s="46" t="s">
        <v>39</v>
      </c>
      <c r="Q225" s="170"/>
      <c r="R225" s="192" t="str">
        <f>CONCATENATE(N225,P225)</f>
        <v>30grams</v>
      </c>
      <c r="S225" s="198">
        <f>M225*N225</f>
        <v>2400</v>
      </c>
      <c r="T225" s="199" t="str">
        <f>CONCATENATE(S225,Q225,P225)</f>
        <v>2400grams</v>
      </c>
      <c r="U225" s="200">
        <f>L225*M225</f>
        <v>565.6</v>
      </c>
      <c r="V225" s="12"/>
      <c r="W225" s="12"/>
    </row>
    <row r="226" spans="1:23" x14ac:dyDescent="0.3">
      <c r="A226" s="183">
        <v>70</v>
      </c>
      <c r="B226" s="46" t="s">
        <v>924</v>
      </c>
      <c r="C226" s="170"/>
      <c r="D226" s="194"/>
      <c r="E226" s="194"/>
      <c r="F226" s="194"/>
      <c r="G226" s="170"/>
      <c r="H226" s="194" t="s">
        <v>2026</v>
      </c>
      <c r="I226" s="170"/>
      <c r="J226" s="46" t="s">
        <v>932</v>
      </c>
      <c r="K226" s="170"/>
      <c r="L226" s="197">
        <v>6.71</v>
      </c>
      <c r="M226" s="197">
        <v>80</v>
      </c>
      <c r="N226" s="290">
        <v>10</v>
      </c>
      <c r="O226" s="297"/>
      <c r="P226" s="297" t="s">
        <v>92</v>
      </c>
      <c r="Q226" s="170"/>
      <c r="R226" s="192" t="str">
        <f>CONCATENATE(N226,P226)</f>
        <v>10pieces</v>
      </c>
      <c r="S226" s="198">
        <f>M226*N226</f>
        <v>800</v>
      </c>
      <c r="T226" s="199" t="str">
        <f>CONCATENATE(S226,Q226,P226)</f>
        <v>800pieces</v>
      </c>
      <c r="U226" s="200">
        <f>L226*M226</f>
        <v>536.79999999999995</v>
      </c>
      <c r="V226" s="12"/>
      <c r="W226" s="12"/>
    </row>
    <row r="227" spans="1:23" x14ac:dyDescent="0.3">
      <c r="A227" s="183">
        <v>70</v>
      </c>
      <c r="B227" s="46" t="s">
        <v>924</v>
      </c>
      <c r="C227" s="170"/>
      <c r="D227" s="194"/>
      <c r="E227" s="194"/>
      <c r="F227" s="194"/>
      <c r="G227" s="170"/>
      <c r="H227" s="194" t="s">
        <v>2026</v>
      </c>
      <c r="I227" s="170"/>
      <c r="J227" s="46" t="s">
        <v>933</v>
      </c>
      <c r="K227" s="170"/>
      <c r="L227" s="197">
        <v>17.850000000000001</v>
      </c>
      <c r="M227" s="197">
        <v>56</v>
      </c>
      <c r="N227" s="290">
        <v>40</v>
      </c>
      <c r="O227" s="297"/>
      <c r="P227" s="297" t="s">
        <v>92</v>
      </c>
      <c r="Q227" s="170"/>
      <c r="R227" s="192" t="str">
        <f>CONCATENATE(N227,P227)</f>
        <v>40pieces</v>
      </c>
      <c r="S227" s="198">
        <f>M227*N227</f>
        <v>2240</v>
      </c>
      <c r="T227" s="199" t="str">
        <f>CONCATENATE(S227,Q227,P227)</f>
        <v>2240pieces</v>
      </c>
      <c r="U227" s="200">
        <f>L227*M227</f>
        <v>999.60000000000014</v>
      </c>
      <c r="V227" s="12"/>
      <c r="W227" s="12"/>
    </row>
    <row r="228" spans="1:23" x14ac:dyDescent="0.3">
      <c r="A228" s="183">
        <v>70</v>
      </c>
      <c r="B228" s="46" t="s">
        <v>924</v>
      </c>
      <c r="C228" s="170"/>
      <c r="D228" s="194"/>
      <c r="E228" s="194"/>
      <c r="F228" s="194"/>
      <c r="G228" s="170"/>
      <c r="H228" s="194" t="s">
        <v>2026</v>
      </c>
      <c r="I228" s="170"/>
      <c r="J228" s="46" t="s">
        <v>934</v>
      </c>
      <c r="K228" s="170"/>
      <c r="L228" s="197">
        <v>6.13</v>
      </c>
      <c r="M228" s="197">
        <v>30</v>
      </c>
      <c r="N228" s="290">
        <v>33</v>
      </c>
      <c r="O228" s="46"/>
      <c r="P228" s="46" t="s">
        <v>39</v>
      </c>
      <c r="Q228" s="61" t="s">
        <v>33</v>
      </c>
      <c r="R228" s="192" t="str">
        <f>CONCATENATE(N228,P228)</f>
        <v>33grams</v>
      </c>
      <c r="S228" s="198">
        <f>M228*N228</f>
        <v>990</v>
      </c>
      <c r="T228" s="199" t="str">
        <f>CONCATENATE(S228,Q228,P228)</f>
        <v>990 grams</v>
      </c>
      <c r="U228" s="200">
        <f>L228*M228</f>
        <v>183.9</v>
      </c>
      <c r="V228" s="12"/>
      <c r="W228" s="12"/>
    </row>
    <row r="229" spans="1:23" x14ac:dyDescent="0.3">
      <c r="A229" s="183">
        <v>70</v>
      </c>
      <c r="B229" s="46" t="s">
        <v>924</v>
      </c>
      <c r="C229" s="170"/>
      <c r="D229" s="194"/>
      <c r="E229" s="194"/>
      <c r="F229" s="194"/>
      <c r="G229" s="170"/>
      <c r="H229" s="194" t="s">
        <v>2026</v>
      </c>
      <c r="I229" s="170"/>
      <c r="J229" s="46" t="s">
        <v>935</v>
      </c>
      <c r="K229" s="170"/>
      <c r="L229" s="197">
        <v>6.29</v>
      </c>
      <c r="M229" s="197">
        <v>60</v>
      </c>
      <c r="N229" s="290">
        <v>30</v>
      </c>
      <c r="O229" s="46"/>
      <c r="P229" s="46" t="s">
        <v>39</v>
      </c>
      <c r="Q229" s="170"/>
      <c r="R229" s="192" t="str">
        <f>CONCATENATE(N229,P229)</f>
        <v>30grams</v>
      </c>
      <c r="S229" s="198">
        <f>M229*N229</f>
        <v>1800</v>
      </c>
      <c r="T229" s="199" t="str">
        <f>CONCATENATE(S229,Q229,P229)</f>
        <v>1800grams</v>
      </c>
      <c r="U229" s="200">
        <f>L229*M229</f>
        <v>377.4</v>
      </c>
      <c r="V229" s="12"/>
      <c r="W229" s="12"/>
    </row>
    <row r="230" spans="1:23" x14ac:dyDescent="0.3">
      <c r="A230" s="183">
        <v>70</v>
      </c>
      <c r="B230" s="46" t="s">
        <v>924</v>
      </c>
      <c r="C230" s="215"/>
      <c r="D230" s="194"/>
      <c r="E230" s="214"/>
      <c r="F230" s="214"/>
      <c r="G230" s="215"/>
      <c r="H230" s="194" t="s">
        <v>2026</v>
      </c>
      <c r="I230" s="170"/>
      <c r="J230" s="46" t="s">
        <v>936</v>
      </c>
      <c r="K230" s="170"/>
      <c r="L230" s="197">
        <v>6.17</v>
      </c>
      <c r="M230" s="197">
        <v>30</v>
      </c>
      <c r="N230" s="290">
        <v>30</v>
      </c>
      <c r="O230" s="46"/>
      <c r="P230" s="46" t="s">
        <v>39</v>
      </c>
      <c r="Q230" s="170"/>
      <c r="R230" s="192" t="str">
        <f>CONCATENATE(N230,P230)</f>
        <v>30grams</v>
      </c>
      <c r="S230" s="198">
        <f>M230*N230</f>
        <v>900</v>
      </c>
      <c r="T230" s="199" t="str">
        <f>CONCATENATE(S230,Q230,P230)</f>
        <v>900grams</v>
      </c>
      <c r="U230" s="200">
        <f>L230*M230</f>
        <v>185.1</v>
      </c>
      <c r="V230" s="12"/>
      <c r="W230" s="12"/>
    </row>
    <row r="231" spans="1:23" x14ac:dyDescent="0.3">
      <c r="A231" s="183">
        <v>70</v>
      </c>
      <c r="B231" s="46" t="s">
        <v>924</v>
      </c>
      <c r="C231" s="170"/>
      <c r="D231" s="194"/>
      <c r="E231" s="194"/>
      <c r="F231" s="194"/>
      <c r="G231" s="170"/>
      <c r="H231" s="194" t="s">
        <v>2026</v>
      </c>
      <c r="I231" s="170"/>
      <c r="J231" s="46" t="s">
        <v>937</v>
      </c>
      <c r="K231" s="170"/>
      <c r="L231" s="197">
        <v>17.899999999999999</v>
      </c>
      <c r="M231" s="197">
        <v>3</v>
      </c>
      <c r="N231" s="290">
        <v>80</v>
      </c>
      <c r="O231" s="46"/>
      <c r="P231" s="46" t="s">
        <v>39</v>
      </c>
      <c r="Q231" s="170"/>
      <c r="R231" s="192" t="str">
        <f>CONCATENATE(N231,P231)</f>
        <v>80grams</v>
      </c>
      <c r="S231" s="198">
        <f>M231*N231</f>
        <v>240</v>
      </c>
      <c r="T231" s="199" t="str">
        <f>CONCATENATE(S231,Q231,P231)</f>
        <v>240grams</v>
      </c>
      <c r="U231" s="200">
        <f>L231*M231</f>
        <v>53.699999999999996</v>
      </c>
      <c r="V231" s="12"/>
      <c r="W231" s="12"/>
    </row>
    <row r="232" spans="1:23" x14ac:dyDescent="0.3">
      <c r="A232" s="183">
        <v>70</v>
      </c>
      <c r="B232" s="46" t="s">
        <v>924</v>
      </c>
      <c r="C232" s="170"/>
      <c r="D232" s="194"/>
      <c r="E232" s="170"/>
      <c r="F232" s="170"/>
      <c r="G232" s="170"/>
      <c r="H232" s="194" t="s">
        <v>2023</v>
      </c>
      <c r="I232" s="170"/>
      <c r="J232" s="46" t="s">
        <v>933</v>
      </c>
      <c r="K232" s="170"/>
      <c r="L232" s="197">
        <v>6</v>
      </c>
      <c r="M232" s="197">
        <v>44</v>
      </c>
      <c r="N232" s="290">
        <v>10</v>
      </c>
      <c r="O232" s="297"/>
      <c r="P232" s="297" t="s">
        <v>92</v>
      </c>
      <c r="Q232" s="170"/>
      <c r="R232" s="192" t="str">
        <f>CONCATENATE(N232,P232)</f>
        <v>10pieces</v>
      </c>
      <c r="S232" s="198">
        <f>M232*N232</f>
        <v>440</v>
      </c>
      <c r="T232" s="199" t="str">
        <f>CONCATENATE(S232,Q232,P232)</f>
        <v>440pieces</v>
      </c>
      <c r="U232" s="200">
        <f>L232*M232</f>
        <v>264</v>
      </c>
      <c r="V232" s="12"/>
      <c r="W232" s="12"/>
    </row>
    <row r="233" spans="1:23" x14ac:dyDescent="0.3">
      <c r="A233" s="183">
        <v>70</v>
      </c>
      <c r="B233" s="46" t="s">
        <v>924</v>
      </c>
      <c r="C233" s="170"/>
      <c r="D233" s="194"/>
      <c r="E233" s="194"/>
      <c r="F233" s="194"/>
      <c r="G233" s="170"/>
      <c r="H233" s="194" t="s">
        <v>2022</v>
      </c>
      <c r="I233" s="170"/>
      <c r="J233" s="46" t="s">
        <v>933</v>
      </c>
      <c r="K233" s="170"/>
      <c r="L233" s="197">
        <v>5.8</v>
      </c>
      <c r="M233" s="197">
        <v>140</v>
      </c>
      <c r="N233" s="290">
        <v>30</v>
      </c>
      <c r="O233" s="297"/>
      <c r="P233" s="297" t="s">
        <v>39</v>
      </c>
      <c r="Q233" s="170"/>
      <c r="R233" s="192" t="str">
        <f>CONCATENATE(N233,P233)</f>
        <v>30grams</v>
      </c>
      <c r="S233" s="198">
        <f>M233*N233</f>
        <v>4200</v>
      </c>
      <c r="T233" s="199" t="str">
        <f>CONCATENATE(S233,Q233,P233)</f>
        <v>4200grams</v>
      </c>
      <c r="U233" s="200">
        <f>L233*M233</f>
        <v>812</v>
      </c>
      <c r="V233" s="12"/>
      <c r="W233" s="12"/>
    </row>
    <row r="234" spans="1:23" x14ac:dyDescent="0.3">
      <c r="A234" s="183">
        <v>70</v>
      </c>
      <c r="B234" s="46" t="s">
        <v>924</v>
      </c>
      <c r="C234" s="170"/>
      <c r="D234" s="194"/>
      <c r="E234" s="194"/>
      <c r="F234" s="170"/>
      <c r="G234" s="170"/>
      <c r="H234" s="194" t="s">
        <v>2026</v>
      </c>
      <c r="I234" s="170"/>
      <c r="J234" s="46" t="s">
        <v>938</v>
      </c>
      <c r="K234" s="170"/>
      <c r="L234" s="197">
        <v>5.92</v>
      </c>
      <c r="M234" s="197">
        <v>30</v>
      </c>
      <c r="N234" s="290">
        <v>10</v>
      </c>
      <c r="O234" s="46"/>
      <c r="P234" s="46" t="s">
        <v>92</v>
      </c>
      <c r="Q234" s="170"/>
      <c r="R234" s="192" t="str">
        <f>CONCATENATE(N234,P234)</f>
        <v>10pieces</v>
      </c>
      <c r="S234" s="198">
        <f>M234*N234</f>
        <v>300</v>
      </c>
      <c r="T234" s="199" t="str">
        <f>CONCATENATE(S234,Q234,P234)</f>
        <v>300pieces</v>
      </c>
      <c r="U234" s="200">
        <f>L234*M234</f>
        <v>177.6</v>
      </c>
      <c r="V234" s="12"/>
      <c r="W234" s="12"/>
    </row>
    <row r="235" spans="1:23" x14ac:dyDescent="0.3">
      <c r="A235" s="183">
        <v>70</v>
      </c>
      <c r="B235" s="46" t="s">
        <v>924</v>
      </c>
      <c r="C235" s="170"/>
      <c r="D235" s="194"/>
      <c r="E235" s="194"/>
      <c r="F235" s="194"/>
      <c r="G235" s="170"/>
      <c r="H235" s="194" t="s">
        <v>2023</v>
      </c>
      <c r="I235" s="170"/>
      <c r="J235" s="46" t="s">
        <v>938</v>
      </c>
      <c r="K235" s="170"/>
      <c r="L235" s="197">
        <v>6</v>
      </c>
      <c r="M235" s="197">
        <v>84</v>
      </c>
      <c r="N235" s="290">
        <v>10</v>
      </c>
      <c r="O235" s="46"/>
      <c r="P235" s="46" t="s">
        <v>92</v>
      </c>
      <c r="Q235" s="170"/>
      <c r="R235" s="192" t="str">
        <f>CONCATENATE(N235,P235)</f>
        <v>10pieces</v>
      </c>
      <c r="S235" s="198">
        <f>M235*N235</f>
        <v>840</v>
      </c>
      <c r="T235" s="199" t="str">
        <f>CONCATENATE(S235,Q235,P235)</f>
        <v>840pieces</v>
      </c>
      <c r="U235" s="200">
        <f>L235*M235</f>
        <v>504</v>
      </c>
      <c r="V235" s="12"/>
      <c r="W235" s="12"/>
    </row>
    <row r="236" spans="1:23" x14ac:dyDescent="0.3">
      <c r="A236" s="183">
        <v>70</v>
      </c>
      <c r="B236" s="46" t="s">
        <v>924</v>
      </c>
      <c r="C236" s="170"/>
      <c r="D236" s="194"/>
      <c r="E236" s="170"/>
      <c r="F236" s="170"/>
      <c r="G236" s="170"/>
      <c r="H236" s="194" t="s">
        <v>2023</v>
      </c>
      <c r="I236" s="170"/>
      <c r="J236" s="46" t="s">
        <v>939</v>
      </c>
      <c r="K236" s="170"/>
      <c r="L236" s="197">
        <v>5.72</v>
      </c>
      <c r="M236" s="197">
        <v>47</v>
      </c>
      <c r="N236" s="290">
        <v>28</v>
      </c>
      <c r="O236" s="46"/>
      <c r="P236" s="46" t="s">
        <v>39</v>
      </c>
      <c r="Q236" s="170"/>
      <c r="R236" s="192" t="str">
        <f>CONCATENATE(N236,P236)</f>
        <v>28grams</v>
      </c>
      <c r="S236" s="198">
        <f>M236*N236</f>
        <v>1316</v>
      </c>
      <c r="T236" s="199" t="str">
        <f>CONCATENATE(S236,Q236,P236)</f>
        <v>1316grams</v>
      </c>
      <c r="U236" s="200">
        <f>L236*M236</f>
        <v>268.83999999999997</v>
      </c>
      <c r="V236" s="12"/>
      <c r="W236" s="12"/>
    </row>
    <row r="237" spans="1:23" x14ac:dyDescent="0.3">
      <c r="A237" s="183">
        <v>70</v>
      </c>
      <c r="B237" s="46" t="s">
        <v>924</v>
      </c>
      <c r="C237" s="170"/>
      <c r="D237" s="194"/>
      <c r="E237" s="170"/>
      <c r="F237" s="170"/>
      <c r="G237" s="170"/>
      <c r="H237" s="194" t="s">
        <v>2026</v>
      </c>
      <c r="I237" s="170"/>
      <c r="J237" s="46" t="s">
        <v>939</v>
      </c>
      <c r="K237" s="170"/>
      <c r="L237" s="197">
        <v>22</v>
      </c>
      <c r="M237" s="197">
        <v>8</v>
      </c>
      <c r="N237" s="290">
        <v>90</v>
      </c>
      <c r="O237" s="46"/>
      <c r="P237" s="46" t="s">
        <v>39</v>
      </c>
      <c r="Q237" s="170"/>
      <c r="R237" s="192" t="str">
        <f>CONCATENATE(N237,P237)</f>
        <v>90grams</v>
      </c>
      <c r="S237" s="198">
        <f>M237*N237</f>
        <v>720</v>
      </c>
      <c r="T237" s="199" t="str">
        <f>CONCATENATE(S237,Q237,P237)</f>
        <v>720grams</v>
      </c>
      <c r="U237" s="200">
        <f>L237*M237</f>
        <v>176</v>
      </c>
      <c r="V237" s="12"/>
      <c r="W237" s="12"/>
    </row>
    <row r="238" spans="1:23" x14ac:dyDescent="0.3">
      <c r="A238" s="183">
        <v>70</v>
      </c>
      <c r="B238" s="46" t="s">
        <v>924</v>
      </c>
      <c r="C238" s="170"/>
      <c r="D238" s="194"/>
      <c r="E238" s="194"/>
      <c r="F238" s="194"/>
      <c r="G238" s="170"/>
      <c r="H238" s="194" t="s">
        <v>2026</v>
      </c>
      <c r="I238" s="170"/>
      <c r="J238" s="46" t="s">
        <v>940</v>
      </c>
      <c r="K238" s="170"/>
      <c r="L238" s="197">
        <v>7.39</v>
      </c>
      <c r="M238" s="197">
        <v>43</v>
      </c>
      <c r="N238" s="290">
        <v>33</v>
      </c>
      <c r="O238" s="46"/>
      <c r="P238" s="46" t="s">
        <v>39</v>
      </c>
      <c r="Q238" s="61" t="s">
        <v>33</v>
      </c>
      <c r="R238" s="192" t="str">
        <f>CONCATENATE(N238,P238)</f>
        <v>33grams</v>
      </c>
      <c r="S238" s="198">
        <f>M238*N238</f>
        <v>1419</v>
      </c>
      <c r="T238" s="199" t="str">
        <f>CONCATENATE(S238,Q238,P238)</f>
        <v>1419 grams</v>
      </c>
      <c r="U238" s="200">
        <f>L238*M238</f>
        <v>317.77</v>
      </c>
      <c r="V238" s="12"/>
      <c r="W238" s="12"/>
    </row>
    <row r="239" spans="1:23" x14ac:dyDescent="0.3">
      <c r="A239" s="183">
        <v>70</v>
      </c>
      <c r="B239" s="46" t="s">
        <v>924</v>
      </c>
      <c r="C239" s="170"/>
      <c r="D239" s="194"/>
      <c r="E239" s="194"/>
      <c r="F239" s="194"/>
      <c r="G239" s="170"/>
      <c r="H239" s="194" t="s">
        <v>2023</v>
      </c>
      <c r="I239" s="170"/>
      <c r="J239" s="46" t="s">
        <v>940</v>
      </c>
      <c r="K239" s="170"/>
      <c r="L239" s="197">
        <v>73.900000000000006</v>
      </c>
      <c r="M239" s="197">
        <v>10</v>
      </c>
      <c r="N239" s="290">
        <v>33</v>
      </c>
      <c r="O239" s="46"/>
      <c r="P239" s="46" t="s">
        <v>39</v>
      </c>
      <c r="Q239" s="170"/>
      <c r="R239" s="192" t="str">
        <f>CONCATENATE(N239,P239)</f>
        <v>33grams</v>
      </c>
      <c r="S239" s="198">
        <f>M239*N239</f>
        <v>330</v>
      </c>
      <c r="T239" s="199" t="str">
        <f>CONCATENATE(S239,Q239,P239)</f>
        <v>330grams</v>
      </c>
      <c r="U239" s="200">
        <f>L239*M239</f>
        <v>739</v>
      </c>
      <c r="V239" s="12"/>
      <c r="W239" s="12"/>
    </row>
    <row r="240" spans="1:23" x14ac:dyDescent="0.3">
      <c r="A240" s="183">
        <v>70</v>
      </c>
      <c r="B240" s="219" t="s">
        <v>924</v>
      </c>
      <c r="C240" s="170"/>
      <c r="D240" s="194"/>
      <c r="E240" s="194"/>
      <c r="F240" s="194"/>
      <c r="G240" s="170"/>
      <c r="H240" s="194" t="s">
        <v>2021</v>
      </c>
      <c r="I240" s="170"/>
      <c r="J240" s="219" t="s">
        <v>929</v>
      </c>
      <c r="K240" s="170"/>
      <c r="L240" s="216">
        <v>24.5</v>
      </c>
      <c r="M240" s="216">
        <v>3</v>
      </c>
      <c r="N240" s="293">
        <v>60</v>
      </c>
      <c r="O240" s="219"/>
      <c r="P240" s="219" t="s">
        <v>39</v>
      </c>
      <c r="Q240" s="170"/>
      <c r="R240" s="192" t="str">
        <f>CONCATENATE(N240,P240)</f>
        <v>60grams</v>
      </c>
      <c r="S240" s="198">
        <f>M240*N240</f>
        <v>180</v>
      </c>
      <c r="T240" s="199" t="str">
        <f>CONCATENATE(S240,Q240,P240)</f>
        <v>180grams</v>
      </c>
      <c r="U240" s="200">
        <f>L240*M240</f>
        <v>73.5</v>
      </c>
      <c r="V240" s="12"/>
      <c r="W240" s="12"/>
    </row>
    <row r="241" spans="1:23" x14ac:dyDescent="0.3">
      <c r="A241" s="183">
        <v>70</v>
      </c>
      <c r="B241" s="219" t="s">
        <v>924</v>
      </c>
      <c r="C241" s="170"/>
      <c r="D241" s="194"/>
      <c r="E241" s="194"/>
      <c r="F241" s="194"/>
      <c r="G241" s="170"/>
      <c r="H241" s="194" t="s">
        <v>2021</v>
      </c>
      <c r="I241" s="170"/>
      <c r="J241" s="46" t="s">
        <v>941</v>
      </c>
      <c r="K241" s="170"/>
      <c r="L241" s="216">
        <v>7.3</v>
      </c>
      <c r="M241" s="216">
        <v>8</v>
      </c>
      <c r="N241" s="293">
        <v>1</v>
      </c>
      <c r="O241" s="219"/>
      <c r="P241" s="219" t="s">
        <v>92</v>
      </c>
      <c r="Q241" s="170"/>
      <c r="R241" s="192" t="str">
        <f>CONCATENATE(N241,P241)</f>
        <v>1pieces</v>
      </c>
      <c r="S241" s="198">
        <f>M241*N241</f>
        <v>8</v>
      </c>
      <c r="T241" s="199" t="str">
        <f>CONCATENATE(S241,Q241,P241)</f>
        <v>8pieces</v>
      </c>
      <c r="U241" s="200">
        <f>L241*M241</f>
        <v>58.4</v>
      </c>
      <c r="V241" s="12"/>
      <c r="W241" s="12"/>
    </row>
    <row r="242" spans="1:23" x14ac:dyDescent="0.3">
      <c r="A242" s="183">
        <v>70</v>
      </c>
      <c r="B242" s="219" t="s">
        <v>924</v>
      </c>
      <c r="C242" s="170"/>
      <c r="D242" s="194"/>
      <c r="E242" s="194"/>
      <c r="F242" s="170"/>
      <c r="G242" s="170"/>
      <c r="H242" s="194" t="s">
        <v>2021</v>
      </c>
      <c r="I242" s="170"/>
      <c r="J242" s="219" t="s">
        <v>942</v>
      </c>
      <c r="K242" s="170"/>
      <c r="L242" s="216">
        <v>7.77</v>
      </c>
      <c r="M242" s="216">
        <v>5</v>
      </c>
      <c r="N242" s="293">
        <v>1</v>
      </c>
      <c r="O242" s="219"/>
      <c r="P242" s="219" t="s">
        <v>92</v>
      </c>
      <c r="Q242" s="170"/>
      <c r="R242" s="192" t="str">
        <f>CONCATENATE(N242,P242)</f>
        <v>1pieces</v>
      </c>
      <c r="S242" s="198">
        <f>M242*N242</f>
        <v>5</v>
      </c>
      <c r="T242" s="199" t="str">
        <f>CONCATENATE(S242,Q242,P242)</f>
        <v>5pieces</v>
      </c>
      <c r="U242" s="200">
        <f>L242*M242</f>
        <v>38.849999999999994</v>
      </c>
      <c r="V242" s="12"/>
      <c r="W242" s="12"/>
    </row>
    <row r="243" spans="1:23" x14ac:dyDescent="0.3">
      <c r="A243" s="183">
        <v>70</v>
      </c>
      <c r="B243" s="219" t="s">
        <v>924</v>
      </c>
      <c r="C243" s="170"/>
      <c r="D243" s="194"/>
      <c r="E243" s="170"/>
      <c r="F243" s="170"/>
      <c r="G243" s="170"/>
      <c r="H243" s="194" t="s">
        <v>2021</v>
      </c>
      <c r="I243" s="170"/>
      <c r="J243" s="219" t="s">
        <v>943</v>
      </c>
      <c r="K243" s="170"/>
      <c r="L243" s="216">
        <v>7.77</v>
      </c>
      <c r="M243" s="216">
        <v>1</v>
      </c>
      <c r="N243" s="293">
        <v>1</v>
      </c>
      <c r="O243" s="219"/>
      <c r="P243" s="219" t="s">
        <v>92</v>
      </c>
      <c r="Q243" s="170"/>
      <c r="R243" s="192" t="str">
        <f>CONCATENATE(N243,P243)</f>
        <v>1pieces</v>
      </c>
      <c r="S243" s="198">
        <f>M243*N243</f>
        <v>1</v>
      </c>
      <c r="T243" s="199" t="str">
        <f>CONCATENATE(S243,Q243,P243)</f>
        <v>1pieces</v>
      </c>
      <c r="U243" s="200">
        <f>L243*M243</f>
        <v>7.77</v>
      </c>
      <c r="V243" s="12"/>
      <c r="W243" s="12"/>
    </row>
    <row r="244" spans="1:23" x14ac:dyDescent="0.3">
      <c r="A244" s="183">
        <v>70</v>
      </c>
      <c r="B244" s="219" t="s">
        <v>924</v>
      </c>
      <c r="C244" s="215"/>
      <c r="D244" s="194"/>
      <c r="E244" s="215"/>
      <c r="F244" s="215"/>
      <c r="G244" s="215"/>
      <c r="H244" s="194" t="s">
        <v>2020</v>
      </c>
      <c r="I244" s="170"/>
      <c r="J244" s="46" t="s">
        <v>944</v>
      </c>
      <c r="K244" s="170"/>
      <c r="L244" s="197">
        <v>8.42</v>
      </c>
      <c r="M244" s="197">
        <v>7</v>
      </c>
      <c r="N244" s="290">
        <v>57</v>
      </c>
      <c r="O244" s="46"/>
      <c r="P244" s="46" t="s">
        <v>39</v>
      </c>
      <c r="Q244" s="170"/>
      <c r="R244" s="192" t="str">
        <f>CONCATENATE(N244,P244)</f>
        <v>57grams</v>
      </c>
      <c r="S244" s="198">
        <f>M244*N244</f>
        <v>399</v>
      </c>
      <c r="T244" s="199" t="str">
        <f>CONCATENATE(S244,Q244,P244)</f>
        <v>399grams</v>
      </c>
      <c r="U244" s="200">
        <f>L244*M244</f>
        <v>58.94</v>
      </c>
      <c r="V244" s="12"/>
      <c r="W244" s="12"/>
    </row>
    <row r="245" spans="1:23" x14ac:dyDescent="0.3">
      <c r="A245" s="183">
        <v>70</v>
      </c>
      <c r="B245" s="219" t="s">
        <v>924</v>
      </c>
      <c r="C245" s="215"/>
      <c r="D245" s="194"/>
      <c r="E245" s="215"/>
      <c r="F245" s="215"/>
      <c r="G245" s="215"/>
      <c r="H245" s="194" t="s">
        <v>2026</v>
      </c>
      <c r="I245" s="170"/>
      <c r="J245" s="46" t="s">
        <v>945</v>
      </c>
      <c r="K245" s="170"/>
      <c r="L245" s="197">
        <v>7.19</v>
      </c>
      <c r="M245" s="197">
        <v>30</v>
      </c>
      <c r="N245" s="290">
        <v>30</v>
      </c>
      <c r="O245" s="46"/>
      <c r="P245" s="46" t="s">
        <v>39</v>
      </c>
      <c r="Q245" s="170"/>
      <c r="R245" s="192" t="str">
        <f>CONCATENATE(N245,P245)</f>
        <v>30grams</v>
      </c>
      <c r="S245" s="198">
        <f>M245*N245</f>
        <v>900</v>
      </c>
      <c r="T245" s="199" t="str">
        <f>CONCATENATE(S245,Q245,P245)</f>
        <v>900grams</v>
      </c>
      <c r="U245" s="200">
        <f>L245*M245</f>
        <v>215.70000000000002</v>
      </c>
      <c r="V245" s="12"/>
      <c r="W245" s="12"/>
    </row>
    <row r="246" spans="1:23" x14ac:dyDescent="0.3">
      <c r="A246" s="183">
        <v>70</v>
      </c>
      <c r="B246" s="219" t="s">
        <v>924</v>
      </c>
      <c r="C246" s="170"/>
      <c r="D246" s="194"/>
      <c r="E246" s="194"/>
      <c r="F246" s="194"/>
      <c r="G246" s="170"/>
      <c r="H246" s="194" t="s">
        <v>2026</v>
      </c>
      <c r="I246" s="170"/>
      <c r="J246" s="46" t="s">
        <v>946</v>
      </c>
      <c r="K246" s="170"/>
      <c r="L246" s="197">
        <v>16.12</v>
      </c>
      <c r="M246" s="197">
        <v>36</v>
      </c>
      <c r="N246" s="290">
        <v>40</v>
      </c>
      <c r="O246" s="46"/>
      <c r="P246" s="46" t="s">
        <v>39</v>
      </c>
      <c r="Q246" s="170"/>
      <c r="R246" s="192" t="str">
        <f>CONCATENATE(N246,P246)</f>
        <v>40grams</v>
      </c>
      <c r="S246" s="198">
        <f>M246*N246</f>
        <v>1440</v>
      </c>
      <c r="T246" s="199" t="str">
        <f>CONCATENATE(S246,Q246,P246)</f>
        <v>1440grams</v>
      </c>
      <c r="U246" s="200">
        <f>L246*M246</f>
        <v>580.32000000000005</v>
      </c>
      <c r="V246" s="12"/>
      <c r="W246" s="12"/>
    </row>
    <row r="247" spans="1:23" x14ac:dyDescent="0.3">
      <c r="A247" s="183">
        <v>70</v>
      </c>
      <c r="B247" s="219" t="s">
        <v>924</v>
      </c>
      <c r="C247" s="170"/>
      <c r="D247" s="194"/>
      <c r="E247" s="194"/>
      <c r="F247" s="194"/>
      <c r="G247" s="170"/>
      <c r="H247" s="194" t="s">
        <v>2026</v>
      </c>
      <c r="I247" s="170"/>
      <c r="J247" s="46" t="s">
        <v>947</v>
      </c>
      <c r="K247" s="170"/>
      <c r="L247" s="197">
        <v>7.07</v>
      </c>
      <c r="M247" s="197">
        <v>30</v>
      </c>
      <c r="N247" s="290">
        <v>30</v>
      </c>
      <c r="O247" s="46"/>
      <c r="P247" s="46" t="s">
        <v>39</v>
      </c>
      <c r="Q247" s="170"/>
      <c r="R247" s="192" t="str">
        <f>CONCATENATE(N247,P247)</f>
        <v>30grams</v>
      </c>
      <c r="S247" s="198">
        <f>M247*N247</f>
        <v>900</v>
      </c>
      <c r="T247" s="199" t="str">
        <f>CONCATENATE(S247,Q247,P247)</f>
        <v>900grams</v>
      </c>
      <c r="U247" s="200">
        <f>L247*M247</f>
        <v>212.10000000000002</v>
      </c>
      <c r="V247" s="12"/>
      <c r="W247" s="12"/>
    </row>
    <row r="248" spans="1:23" x14ac:dyDescent="0.3">
      <c r="A248" s="183">
        <v>70</v>
      </c>
      <c r="B248" s="46" t="s">
        <v>924</v>
      </c>
      <c r="C248" s="170"/>
      <c r="D248" s="194"/>
      <c r="E248" s="170"/>
      <c r="F248" s="170"/>
      <c r="G248" s="170"/>
      <c r="H248" s="194" t="s">
        <v>2026</v>
      </c>
      <c r="I248" s="170"/>
      <c r="J248" s="46" t="s">
        <v>948</v>
      </c>
      <c r="K248" s="170"/>
      <c r="L248" s="197">
        <v>8.17</v>
      </c>
      <c r="M248" s="197">
        <v>30</v>
      </c>
      <c r="N248" s="290">
        <v>25</v>
      </c>
      <c r="O248" s="46"/>
      <c r="P248" s="46" t="s">
        <v>39</v>
      </c>
      <c r="Q248" s="170"/>
      <c r="R248" s="192" t="str">
        <f>CONCATENATE(N248,P248)</f>
        <v>25grams</v>
      </c>
      <c r="S248" s="198">
        <f>M248*N248</f>
        <v>750</v>
      </c>
      <c r="T248" s="199" t="str">
        <f>CONCATENATE(S248,Q248,P248)</f>
        <v>750grams</v>
      </c>
      <c r="U248" s="200">
        <f>L248*M248</f>
        <v>245.1</v>
      </c>
      <c r="V248" s="12"/>
      <c r="W248" s="12"/>
    </row>
    <row r="249" spans="1:23" x14ac:dyDescent="0.3">
      <c r="A249" s="183">
        <v>70</v>
      </c>
      <c r="B249" s="46" t="s">
        <v>924</v>
      </c>
      <c r="C249" s="170"/>
      <c r="D249" s="194"/>
      <c r="E249" s="194"/>
      <c r="F249" s="194"/>
      <c r="G249" s="170"/>
      <c r="H249" s="194" t="s">
        <v>2026</v>
      </c>
      <c r="I249" s="170"/>
      <c r="J249" s="46" t="s">
        <v>949</v>
      </c>
      <c r="K249" s="170"/>
      <c r="L249" s="197">
        <v>8.0500000000000007</v>
      </c>
      <c r="M249" s="197">
        <v>30</v>
      </c>
      <c r="N249" s="290">
        <v>25</v>
      </c>
      <c r="O249" s="46"/>
      <c r="P249" s="46" t="s">
        <v>39</v>
      </c>
      <c r="Q249" s="61" t="s">
        <v>33</v>
      </c>
      <c r="R249" s="192" t="str">
        <f>CONCATENATE(N249,P249)</f>
        <v>25grams</v>
      </c>
      <c r="S249" s="198">
        <f>M249*N249</f>
        <v>750</v>
      </c>
      <c r="T249" s="199" t="str">
        <f>CONCATENATE(S249,Q249,P249)</f>
        <v>750 grams</v>
      </c>
      <c r="U249" s="200">
        <f>L249*M249</f>
        <v>241.50000000000003</v>
      </c>
      <c r="V249" s="12"/>
      <c r="W249" s="12"/>
    </row>
    <row r="250" spans="1:23" x14ac:dyDescent="0.3">
      <c r="A250" s="183">
        <v>70</v>
      </c>
      <c r="B250" s="219" t="s">
        <v>924</v>
      </c>
      <c r="C250" s="170"/>
      <c r="D250" s="194"/>
      <c r="E250" s="194"/>
      <c r="F250" s="194"/>
      <c r="G250" s="170"/>
      <c r="H250" s="194" t="s">
        <v>2020</v>
      </c>
      <c r="I250" s="170"/>
      <c r="J250" s="46" t="s">
        <v>933</v>
      </c>
      <c r="K250" s="170"/>
      <c r="L250" s="197">
        <v>5.0999999999999996</v>
      </c>
      <c r="M250" s="197">
        <v>3</v>
      </c>
      <c r="N250" s="290">
        <v>30</v>
      </c>
      <c r="O250" s="46"/>
      <c r="P250" s="46" t="s">
        <v>39</v>
      </c>
      <c r="Q250" s="170"/>
      <c r="R250" s="192" t="str">
        <f>CONCATENATE(N250,P250)</f>
        <v>30grams</v>
      </c>
      <c r="S250" s="198">
        <f>M250*N250</f>
        <v>90</v>
      </c>
      <c r="T250" s="199" t="str">
        <f>CONCATENATE(S250,Q250,P250)</f>
        <v>90grams</v>
      </c>
      <c r="U250" s="200">
        <f>L250*M250</f>
        <v>15.299999999999999</v>
      </c>
      <c r="V250" s="12"/>
      <c r="W250" s="12"/>
    </row>
    <row r="251" spans="1:23" x14ac:dyDescent="0.3">
      <c r="A251" s="183">
        <v>70</v>
      </c>
      <c r="B251" s="170" t="s">
        <v>924</v>
      </c>
      <c r="C251" s="170"/>
      <c r="D251" s="194"/>
      <c r="E251" s="194"/>
      <c r="F251" s="170"/>
      <c r="G251" s="170"/>
      <c r="H251" s="194" t="s">
        <v>2026</v>
      </c>
      <c r="I251" s="170"/>
      <c r="J251" s="46" t="s">
        <v>950</v>
      </c>
      <c r="K251" s="170"/>
      <c r="L251" s="197">
        <v>6.03</v>
      </c>
      <c r="M251" s="197">
        <v>50</v>
      </c>
      <c r="N251" s="290">
        <v>31</v>
      </c>
      <c r="O251" s="46"/>
      <c r="P251" s="46" t="s">
        <v>39</v>
      </c>
      <c r="Q251" s="170"/>
      <c r="R251" s="192" t="str">
        <f>CONCATENATE(N251,P251)</f>
        <v>31grams</v>
      </c>
      <c r="S251" s="198">
        <f>M251*N251</f>
        <v>1550</v>
      </c>
      <c r="T251" s="199" t="str">
        <f>CONCATENATE(S251,Q251,P251)</f>
        <v>1550grams</v>
      </c>
      <c r="U251" s="200">
        <f>L251*M251</f>
        <v>301.5</v>
      </c>
      <c r="V251" s="12"/>
      <c r="W251" s="12"/>
    </row>
    <row r="252" spans="1:23" x14ac:dyDescent="0.3">
      <c r="A252" s="183">
        <v>70</v>
      </c>
      <c r="B252" s="170" t="s">
        <v>924</v>
      </c>
      <c r="C252" s="170"/>
      <c r="D252" s="194"/>
      <c r="E252" s="194"/>
      <c r="F252" s="170"/>
      <c r="G252" s="170"/>
      <c r="H252" s="194" t="s">
        <v>2026</v>
      </c>
      <c r="I252" s="170"/>
      <c r="J252" s="46" t="s">
        <v>951</v>
      </c>
      <c r="K252" s="170"/>
      <c r="L252" s="197">
        <v>5.92</v>
      </c>
      <c r="M252" s="197">
        <v>30</v>
      </c>
      <c r="N252" s="290">
        <v>32</v>
      </c>
      <c r="O252" s="46"/>
      <c r="P252" s="46" t="s">
        <v>39</v>
      </c>
      <c r="Q252" s="61" t="s">
        <v>33</v>
      </c>
      <c r="R252" s="192" t="str">
        <f>CONCATENATE(N252,P252)</f>
        <v>32grams</v>
      </c>
      <c r="S252" s="198">
        <f>M252*N252</f>
        <v>960</v>
      </c>
      <c r="T252" s="199" t="str">
        <f>CONCATENATE(S252,Q252,P252)</f>
        <v>960 grams</v>
      </c>
      <c r="U252" s="200">
        <f>L252*M252</f>
        <v>177.6</v>
      </c>
      <c r="V252" s="12"/>
      <c r="W252" s="12"/>
    </row>
    <row r="253" spans="1:23" x14ac:dyDescent="0.3">
      <c r="A253" s="183">
        <v>70</v>
      </c>
      <c r="B253" s="170" t="s">
        <v>924</v>
      </c>
      <c r="C253" s="170"/>
      <c r="D253" s="194"/>
      <c r="E253" s="194"/>
      <c r="F253" s="170"/>
      <c r="G253" s="170"/>
      <c r="H253" s="194" t="s">
        <v>2023</v>
      </c>
      <c r="I253" s="170"/>
      <c r="J253" s="46" t="s">
        <v>951</v>
      </c>
      <c r="K253" s="170"/>
      <c r="L253" s="197">
        <v>6.5</v>
      </c>
      <c r="M253" s="197">
        <v>180</v>
      </c>
      <c r="N253" s="290">
        <v>32</v>
      </c>
      <c r="O253" s="46"/>
      <c r="P253" s="46" t="s">
        <v>39</v>
      </c>
      <c r="Q253" s="170"/>
      <c r="R253" s="192" t="str">
        <f>CONCATENATE(N253,P253)</f>
        <v>32grams</v>
      </c>
      <c r="S253" s="198">
        <f>M253*N253</f>
        <v>5760</v>
      </c>
      <c r="T253" s="199" t="str">
        <f>CONCATENATE(S253,Q253,P253)</f>
        <v>5760grams</v>
      </c>
      <c r="U253" s="200">
        <f>L253*M253</f>
        <v>1170</v>
      </c>
      <c r="V253" s="12"/>
      <c r="W253" s="12"/>
    </row>
    <row r="254" spans="1:23" x14ac:dyDescent="0.3">
      <c r="A254" s="183">
        <v>70</v>
      </c>
      <c r="B254" s="219" t="s">
        <v>924</v>
      </c>
      <c r="C254" s="170"/>
      <c r="D254" s="194"/>
      <c r="E254" s="194"/>
      <c r="F254" s="170"/>
      <c r="G254" s="170"/>
      <c r="H254" s="194" t="s">
        <v>2020</v>
      </c>
      <c r="I254" s="170"/>
      <c r="J254" s="46" t="s">
        <v>952</v>
      </c>
      <c r="K254" s="170"/>
      <c r="L254" s="197">
        <v>6.13</v>
      </c>
      <c r="M254" s="197">
        <v>10</v>
      </c>
      <c r="N254" s="290">
        <v>33</v>
      </c>
      <c r="O254" s="46"/>
      <c r="P254" s="46" t="s">
        <v>39</v>
      </c>
      <c r="Q254" s="170"/>
      <c r="R254" s="192" t="str">
        <f>CONCATENATE(N254,P254)</f>
        <v>33grams</v>
      </c>
      <c r="S254" s="198">
        <f>M254*N254</f>
        <v>330</v>
      </c>
      <c r="T254" s="199" t="str">
        <f>CONCATENATE(S254,Q254,P254)</f>
        <v>330grams</v>
      </c>
      <c r="U254" s="200">
        <f>L254*M254</f>
        <v>61.3</v>
      </c>
      <c r="V254" s="12"/>
      <c r="W254" s="12"/>
    </row>
    <row r="255" spans="1:23" x14ac:dyDescent="0.3">
      <c r="A255" s="183">
        <v>70</v>
      </c>
      <c r="B255" s="170" t="s">
        <v>924</v>
      </c>
      <c r="C255" s="170"/>
      <c r="D255" s="194"/>
      <c r="E255" s="170"/>
      <c r="F255" s="170"/>
      <c r="G255" s="170"/>
      <c r="H255" s="194" t="s">
        <v>2023</v>
      </c>
      <c r="I255" s="170"/>
      <c r="J255" s="46" t="s">
        <v>953</v>
      </c>
      <c r="K255" s="170"/>
      <c r="L255" s="197">
        <v>6</v>
      </c>
      <c r="M255" s="197">
        <v>60</v>
      </c>
      <c r="N255" s="290">
        <v>36</v>
      </c>
      <c r="O255" s="46"/>
      <c r="P255" s="46" t="s">
        <v>39</v>
      </c>
      <c r="Q255" s="170"/>
      <c r="R255" s="192" t="str">
        <f>CONCATENATE(N255,P255)</f>
        <v>36grams</v>
      </c>
      <c r="S255" s="198">
        <f>M255*N255</f>
        <v>2160</v>
      </c>
      <c r="T255" s="199" t="str">
        <f>CONCATENATE(S255,Q255,P255)</f>
        <v>2160grams</v>
      </c>
      <c r="U255" s="200">
        <f>L255*M255</f>
        <v>360</v>
      </c>
      <c r="V255" s="12"/>
      <c r="W255" s="12"/>
    </row>
    <row r="256" spans="1:23" x14ac:dyDescent="0.3">
      <c r="A256" s="183">
        <v>70</v>
      </c>
      <c r="B256" s="46" t="s">
        <v>924</v>
      </c>
      <c r="C256" s="170"/>
      <c r="D256" s="194"/>
      <c r="E256" s="170"/>
      <c r="F256" s="170"/>
      <c r="G256" s="170"/>
      <c r="H256" s="194" t="s">
        <v>1368</v>
      </c>
      <c r="I256" s="170"/>
      <c r="J256" s="46" t="s">
        <v>954</v>
      </c>
      <c r="K256" s="170"/>
      <c r="L256" s="197">
        <v>63.75</v>
      </c>
      <c r="M256" s="197">
        <v>2</v>
      </c>
      <c r="N256" s="290">
        <v>1</v>
      </c>
      <c r="O256" s="46"/>
      <c r="P256" s="46" t="s">
        <v>304</v>
      </c>
      <c r="Q256" s="170"/>
      <c r="R256" s="192" t="str">
        <f>CONCATENATE(N256,P256)</f>
        <v>1packs</v>
      </c>
      <c r="S256" s="198">
        <f>M256*N256</f>
        <v>2</v>
      </c>
      <c r="T256" s="199" t="str">
        <f>CONCATENATE(S256,Q256,P256)</f>
        <v>2packs</v>
      </c>
      <c r="U256" s="200">
        <f>L256*M256</f>
        <v>127.5</v>
      </c>
      <c r="V256" s="12"/>
      <c r="W256" s="12"/>
    </row>
    <row r="257" spans="1:23" x14ac:dyDescent="0.3">
      <c r="A257" s="183">
        <v>70</v>
      </c>
      <c r="B257" s="46" t="s">
        <v>924</v>
      </c>
      <c r="C257" s="170"/>
      <c r="D257" s="194"/>
      <c r="E257" s="194"/>
      <c r="F257" s="170"/>
      <c r="G257" s="170"/>
      <c r="H257" s="194" t="s">
        <v>2023</v>
      </c>
      <c r="I257" s="170"/>
      <c r="J257" s="46" t="s">
        <v>955</v>
      </c>
      <c r="K257" s="170"/>
      <c r="L257" s="197">
        <v>6.88</v>
      </c>
      <c r="M257" s="197">
        <v>100</v>
      </c>
      <c r="N257" s="290">
        <v>30</v>
      </c>
      <c r="O257" s="46"/>
      <c r="P257" s="46" t="s">
        <v>39</v>
      </c>
      <c r="Q257" s="170"/>
      <c r="R257" s="192" t="str">
        <f>CONCATENATE(N257,P257)</f>
        <v>30grams</v>
      </c>
      <c r="S257" s="198">
        <f>M257*N257</f>
        <v>3000</v>
      </c>
      <c r="T257" s="199" t="str">
        <f>CONCATENATE(S257,Q257,P257)</f>
        <v>3000grams</v>
      </c>
      <c r="U257" s="200">
        <f>L257*M257</f>
        <v>688</v>
      </c>
      <c r="V257" s="12"/>
      <c r="W257" s="12"/>
    </row>
    <row r="258" spans="1:23" x14ac:dyDescent="0.3">
      <c r="A258" s="183">
        <v>70</v>
      </c>
      <c r="B258" s="46" t="s">
        <v>924</v>
      </c>
      <c r="C258" s="170"/>
      <c r="D258" s="194"/>
      <c r="E258" s="194"/>
      <c r="F258" s="170"/>
      <c r="G258" s="170"/>
      <c r="H258" s="194" t="s">
        <v>2023</v>
      </c>
      <c r="I258" s="170"/>
      <c r="J258" s="46" t="s">
        <v>935</v>
      </c>
      <c r="K258" s="170"/>
      <c r="L258" s="197">
        <v>6.9</v>
      </c>
      <c r="M258" s="197">
        <v>48</v>
      </c>
      <c r="N258" s="290">
        <v>30</v>
      </c>
      <c r="O258" s="46"/>
      <c r="P258" s="46" t="s">
        <v>39</v>
      </c>
      <c r="Q258" s="170"/>
      <c r="R258" s="192" t="str">
        <f>CONCATENATE(N258,P258)</f>
        <v>30grams</v>
      </c>
      <c r="S258" s="198">
        <f>M258*N258</f>
        <v>1440</v>
      </c>
      <c r="T258" s="199" t="str">
        <f>CONCATENATE(S258,Q258,P258)</f>
        <v>1440grams</v>
      </c>
      <c r="U258" s="200">
        <f>L258*M258</f>
        <v>331.20000000000005</v>
      </c>
      <c r="V258" s="12"/>
      <c r="W258" s="12"/>
    </row>
    <row r="259" spans="1:23" x14ac:dyDescent="0.3">
      <c r="A259" s="183">
        <v>70</v>
      </c>
      <c r="B259" s="46" t="s">
        <v>924</v>
      </c>
      <c r="C259" s="170"/>
      <c r="D259" s="194"/>
      <c r="E259" s="170"/>
      <c r="F259" s="170"/>
      <c r="G259" s="170"/>
      <c r="H259" s="194" t="s">
        <v>2026</v>
      </c>
      <c r="I259" s="170"/>
      <c r="J259" s="46" t="s">
        <v>956</v>
      </c>
      <c r="K259" s="170"/>
      <c r="L259" s="197">
        <v>6.14</v>
      </c>
      <c r="M259" s="197">
        <v>30</v>
      </c>
      <c r="N259" s="290">
        <v>30</v>
      </c>
      <c r="O259" s="46"/>
      <c r="P259" s="46" t="s">
        <v>39</v>
      </c>
      <c r="Q259" s="170"/>
      <c r="R259" s="192" t="str">
        <f>CONCATENATE(N259,P259)</f>
        <v>30grams</v>
      </c>
      <c r="S259" s="198">
        <f>M259*N259</f>
        <v>900</v>
      </c>
      <c r="T259" s="199" t="str">
        <f>CONCATENATE(S259,Q259,P259)</f>
        <v>900grams</v>
      </c>
      <c r="U259" s="200">
        <f>L259*M259</f>
        <v>184.2</v>
      </c>
      <c r="V259" s="12"/>
      <c r="W259" s="12"/>
    </row>
    <row r="260" spans="1:23" x14ac:dyDescent="0.3">
      <c r="A260" s="183">
        <v>70</v>
      </c>
      <c r="B260" s="299" t="s">
        <v>924</v>
      </c>
      <c r="C260" s="170"/>
      <c r="D260" s="194"/>
      <c r="E260" s="194"/>
      <c r="F260" s="170"/>
      <c r="G260" s="170"/>
      <c r="H260" s="392" t="s">
        <v>2022</v>
      </c>
      <c r="I260" s="170"/>
      <c r="J260" s="299" t="s">
        <v>387</v>
      </c>
      <c r="K260" s="170"/>
      <c r="L260" s="393">
        <v>7.87</v>
      </c>
      <c r="M260" s="393">
        <v>5</v>
      </c>
      <c r="N260" s="302">
        <v>30</v>
      </c>
      <c r="O260" s="299"/>
      <c r="P260" s="299" t="s">
        <v>39</v>
      </c>
      <c r="Q260" s="170"/>
      <c r="R260" s="192" t="str">
        <f>CONCATENATE(N260,P260)</f>
        <v>30grams</v>
      </c>
      <c r="S260" s="198">
        <f>M260*N260</f>
        <v>150</v>
      </c>
      <c r="T260" s="199" t="str">
        <f>CONCATENATE(S260,Q260,P260)</f>
        <v>150grams</v>
      </c>
      <c r="U260" s="200">
        <f>L260*M260</f>
        <v>39.35</v>
      </c>
      <c r="V260" s="12"/>
      <c r="W260" s="12"/>
    </row>
    <row r="261" spans="1:23" x14ac:dyDescent="0.3">
      <c r="A261" s="183">
        <v>70</v>
      </c>
      <c r="B261" s="46" t="s">
        <v>924</v>
      </c>
      <c r="C261" s="215"/>
      <c r="D261" s="194"/>
      <c r="E261" s="215"/>
      <c r="F261" s="215"/>
      <c r="G261" s="215"/>
      <c r="H261" s="400" t="s">
        <v>2027</v>
      </c>
      <c r="I261" s="170"/>
      <c r="J261" s="170" t="s">
        <v>1905</v>
      </c>
      <c r="K261" s="170"/>
      <c r="L261" s="195">
        <v>6.38</v>
      </c>
      <c r="M261" s="197">
        <v>28</v>
      </c>
      <c r="N261" s="360">
        <v>1</v>
      </c>
      <c r="O261" s="61"/>
      <c r="P261" s="61" t="s">
        <v>92</v>
      </c>
      <c r="Q261" s="170"/>
      <c r="R261" s="192" t="str">
        <f>CONCATENATE(N261,P261)</f>
        <v>1pieces</v>
      </c>
      <c r="S261" s="198">
        <f>M261*N261</f>
        <v>28</v>
      </c>
      <c r="T261" s="199" t="str">
        <f>CONCATENATE(S261,Q261,P261)</f>
        <v>28pieces</v>
      </c>
      <c r="U261" s="200">
        <f>L261*M261</f>
        <v>178.64</v>
      </c>
      <c r="V261" s="12"/>
      <c r="W261" s="12"/>
    </row>
    <row r="262" spans="1:23" x14ac:dyDescent="0.3">
      <c r="A262" s="183">
        <v>70</v>
      </c>
      <c r="B262" s="46" t="s">
        <v>924</v>
      </c>
      <c r="C262" s="215"/>
      <c r="D262" s="194"/>
      <c r="E262" s="215"/>
      <c r="F262" s="215"/>
      <c r="G262" s="215"/>
      <c r="H262" s="400" t="s">
        <v>2027</v>
      </c>
      <c r="I262" s="170"/>
      <c r="J262" s="170" t="s">
        <v>1910</v>
      </c>
      <c r="K262" s="170"/>
      <c r="L262" s="195">
        <v>5.92</v>
      </c>
      <c r="M262" s="197">
        <v>37</v>
      </c>
      <c r="N262" s="360">
        <v>1</v>
      </c>
      <c r="O262" s="61"/>
      <c r="P262" s="61" t="s">
        <v>92</v>
      </c>
      <c r="Q262" s="170"/>
      <c r="R262" s="192" t="str">
        <f>CONCATENATE(N262,P262)</f>
        <v>1pieces</v>
      </c>
      <c r="S262" s="198">
        <f>M262*N262</f>
        <v>37</v>
      </c>
      <c r="T262" s="199" t="str">
        <f>CONCATENATE(S262,Q262,P262)</f>
        <v>37pieces</v>
      </c>
      <c r="U262" s="200">
        <f>L262*M262</f>
        <v>219.04</v>
      </c>
      <c r="V262" s="12"/>
      <c r="W262" s="12"/>
    </row>
    <row r="263" spans="1:23" x14ac:dyDescent="0.3">
      <c r="A263" s="183">
        <v>70</v>
      </c>
      <c r="B263" s="46" t="s">
        <v>924</v>
      </c>
      <c r="C263" s="215"/>
      <c r="D263" s="194"/>
      <c r="E263" s="215"/>
      <c r="F263" s="215"/>
      <c r="G263" s="215"/>
      <c r="H263" s="400" t="s">
        <v>2027</v>
      </c>
      <c r="I263" s="170"/>
      <c r="J263" s="170" t="s">
        <v>939</v>
      </c>
      <c r="K263" s="170"/>
      <c r="L263" s="195">
        <v>5.45</v>
      </c>
      <c r="M263" s="197">
        <v>13</v>
      </c>
      <c r="N263" s="360">
        <v>1</v>
      </c>
      <c r="O263" s="61"/>
      <c r="P263" s="61" t="s">
        <v>92</v>
      </c>
      <c r="Q263" s="170"/>
      <c r="R263" s="192" t="str">
        <f>CONCATENATE(N263,P263)</f>
        <v>1pieces</v>
      </c>
      <c r="S263" s="198">
        <f>M263*N263</f>
        <v>13</v>
      </c>
      <c r="T263" s="199" t="str">
        <f>CONCATENATE(S263,Q263,P263)</f>
        <v>13pieces</v>
      </c>
      <c r="U263" s="200">
        <f>L263*M263</f>
        <v>70.850000000000009</v>
      </c>
      <c r="V263" s="12"/>
      <c r="W263" s="12"/>
    </row>
    <row r="264" spans="1:23" x14ac:dyDescent="0.3">
      <c r="A264" s="183">
        <v>70</v>
      </c>
      <c r="B264" s="46" t="s">
        <v>924</v>
      </c>
      <c r="C264" s="215"/>
      <c r="D264" s="194"/>
      <c r="E264" s="215"/>
      <c r="F264" s="215"/>
      <c r="G264" s="215"/>
      <c r="H264" s="400" t="s">
        <v>2027</v>
      </c>
      <c r="I264" s="170"/>
      <c r="J264" s="170" t="s">
        <v>1924</v>
      </c>
      <c r="K264" s="170"/>
      <c r="L264" s="195">
        <v>5.68</v>
      </c>
      <c r="M264" s="197">
        <v>6</v>
      </c>
      <c r="N264" s="360">
        <v>1</v>
      </c>
      <c r="O264" s="61"/>
      <c r="P264" s="61" t="s">
        <v>92</v>
      </c>
      <c r="Q264" s="170"/>
      <c r="R264" s="192" t="str">
        <f>CONCATENATE(N264,P264)</f>
        <v>1pieces</v>
      </c>
      <c r="S264" s="198">
        <f>M264*N264</f>
        <v>6</v>
      </c>
      <c r="T264" s="199" t="str">
        <f>CONCATENATE(S264,Q264,P264)</f>
        <v>6pieces</v>
      </c>
      <c r="U264" s="200">
        <f>L264*M264</f>
        <v>34.08</v>
      </c>
      <c r="V264" s="12"/>
      <c r="W264" s="12"/>
    </row>
    <row r="265" spans="1:23" x14ac:dyDescent="0.3">
      <c r="A265" s="183">
        <v>71</v>
      </c>
      <c r="B265" s="194" t="s">
        <v>503</v>
      </c>
      <c r="C265" s="170"/>
      <c r="D265" s="194" t="str">
        <f ca="1">IFERROR(__xludf.DUMMYFUNCTION("IF(J59="""",""n/a"",IFERROR(SPLIT(J59,""/"")))"),"Temple")</f>
        <v>Temple</v>
      </c>
      <c r="E265" s="194" t="str">
        <f ca="1">IFERROR(__xludf.DUMMYFUNCTION("""COMPUTED_VALUE"""),"can")</f>
        <v>can</v>
      </c>
      <c r="F265" s="194" t="str">
        <f ca="1">IFERROR(__xludf.DUMMYFUNCTION("""COMPUTED_VALUE"""),"180grams")</f>
        <v>180grams</v>
      </c>
      <c r="G265" s="170"/>
      <c r="H265" s="183" t="s">
        <v>1895</v>
      </c>
      <c r="I265" s="170"/>
      <c r="J265" s="46" t="s">
        <v>167</v>
      </c>
      <c r="K265" s="170"/>
      <c r="L265" s="195">
        <v>31.1</v>
      </c>
      <c r="M265" s="197">
        <v>1</v>
      </c>
      <c r="N265" s="61">
        <v>1</v>
      </c>
      <c r="O265" s="61" t="str">
        <f ca="1">E265</f>
        <v>can</v>
      </c>
      <c r="P265" s="61" t="s">
        <v>39</v>
      </c>
      <c r="Q265" s="170"/>
      <c r="R265" s="192" t="str">
        <f>CONCATENATE(N265,P265)</f>
        <v>1grams</v>
      </c>
      <c r="S265" s="198">
        <f>M265*N265</f>
        <v>1</v>
      </c>
      <c r="T265" s="199" t="str">
        <f>CONCATENATE(S265,Q265,P265)</f>
        <v>1grams</v>
      </c>
      <c r="U265" s="200">
        <f>L265*M265</f>
        <v>31.1</v>
      </c>
      <c r="V265" s="12"/>
      <c r="W265" s="12"/>
    </row>
    <row r="266" spans="1:23" x14ac:dyDescent="0.3">
      <c r="A266" s="183">
        <v>71</v>
      </c>
      <c r="B266" s="194" t="s">
        <v>503</v>
      </c>
      <c r="C266" s="170"/>
      <c r="D266" s="194" t="str">
        <f ca="1">IFERROR(__xludf.DUMMYFUNCTION("IF(J60="""",""n/a"",IFERROR(SPLIT(J60,""/"")))"),"n/a")</f>
        <v>n/a</v>
      </c>
      <c r="E266" s="170"/>
      <c r="F266" s="170"/>
      <c r="G266" s="170"/>
      <c r="H266" s="206" t="s">
        <v>1898</v>
      </c>
      <c r="I266" s="170"/>
      <c r="J266" s="170"/>
      <c r="K266" s="170"/>
      <c r="L266" s="197">
        <v>0.17</v>
      </c>
      <c r="M266" s="385">
        <v>5220</v>
      </c>
      <c r="N266" s="208">
        <v>180</v>
      </c>
      <c r="O266" s="170">
        <f>E266</f>
        <v>0</v>
      </c>
      <c r="P266" s="197" t="s">
        <v>39</v>
      </c>
      <c r="Q266" s="170"/>
      <c r="R266" s="192" t="str">
        <f>CONCATENATE(N266,P266)</f>
        <v>180grams</v>
      </c>
      <c r="S266" s="198">
        <f>M266*N266</f>
        <v>939600</v>
      </c>
      <c r="T266" s="199" t="str">
        <f>CONCATENATE(S266,Q266,P266)</f>
        <v>939600grams</v>
      </c>
      <c r="U266" s="200">
        <f>L266*M266</f>
        <v>887.40000000000009</v>
      </c>
      <c r="V266" s="12"/>
      <c r="W266" s="12"/>
    </row>
    <row r="267" spans="1:23" x14ac:dyDescent="0.3">
      <c r="A267" s="183">
        <v>71</v>
      </c>
      <c r="B267" s="46" t="s">
        <v>503</v>
      </c>
      <c r="C267" s="170"/>
      <c r="D267" s="194"/>
      <c r="E267" s="170"/>
      <c r="F267" s="170"/>
      <c r="G267" s="170"/>
      <c r="H267" s="194" t="s">
        <v>1368</v>
      </c>
      <c r="I267" s="170"/>
      <c r="J267" s="46" t="s">
        <v>865</v>
      </c>
      <c r="K267" s="170"/>
      <c r="L267" s="197">
        <v>17</v>
      </c>
      <c r="M267" s="197">
        <v>5</v>
      </c>
      <c r="N267" s="290">
        <v>100</v>
      </c>
      <c r="O267" s="46"/>
      <c r="P267" s="46" t="s">
        <v>39</v>
      </c>
      <c r="Q267" s="170"/>
      <c r="R267" s="192" t="str">
        <f>CONCATENATE(N267,P267)</f>
        <v>100grams</v>
      </c>
      <c r="S267" s="198">
        <f>M267*N267</f>
        <v>500</v>
      </c>
      <c r="T267" s="199" t="str">
        <f>CONCATENATE(S267,Q267,P267)</f>
        <v>500grams</v>
      </c>
      <c r="U267" s="200">
        <f>L267*M267</f>
        <v>85</v>
      </c>
      <c r="V267" s="12"/>
      <c r="W267" s="12"/>
    </row>
    <row r="268" spans="1:23" x14ac:dyDescent="0.3">
      <c r="A268" s="183">
        <v>71</v>
      </c>
      <c r="B268" s="46" t="s">
        <v>503</v>
      </c>
      <c r="C268" s="170"/>
      <c r="D268" s="194"/>
      <c r="E268" s="194"/>
      <c r="F268" s="194"/>
      <c r="G268" s="170"/>
      <c r="H268" s="194" t="s">
        <v>2021</v>
      </c>
      <c r="I268" s="170"/>
      <c r="J268" s="219" t="s">
        <v>957</v>
      </c>
      <c r="K268" s="170"/>
      <c r="L268" s="216">
        <v>28</v>
      </c>
      <c r="M268" s="394">
        <v>1</v>
      </c>
      <c r="N268" s="293">
        <v>180</v>
      </c>
      <c r="O268" s="219"/>
      <c r="P268" s="219" t="s">
        <v>39</v>
      </c>
      <c r="Q268" s="170"/>
      <c r="R268" s="192" t="str">
        <f>CONCATENATE(N268,P268)</f>
        <v>180grams</v>
      </c>
      <c r="S268" s="198">
        <f>M268*N268</f>
        <v>180</v>
      </c>
      <c r="T268" s="199" t="str">
        <f>CONCATENATE(S268,Q268,P268)</f>
        <v>180grams</v>
      </c>
      <c r="U268" s="200">
        <f>L268*M268</f>
        <v>28</v>
      </c>
      <c r="V268" s="12"/>
      <c r="W268" s="12"/>
    </row>
    <row r="269" spans="1:23" x14ac:dyDescent="0.3">
      <c r="A269" s="183">
        <v>71</v>
      </c>
      <c r="B269" s="46" t="s">
        <v>503</v>
      </c>
      <c r="C269" s="170"/>
      <c r="D269" s="194"/>
      <c r="E269" s="194"/>
      <c r="F269" s="194"/>
      <c r="G269" s="170"/>
      <c r="H269" s="194" t="s">
        <v>2022</v>
      </c>
      <c r="I269" s="170"/>
      <c r="J269" s="46" t="s">
        <v>958</v>
      </c>
      <c r="K269" s="170"/>
      <c r="L269" s="197">
        <v>28</v>
      </c>
      <c r="M269" s="197">
        <v>14</v>
      </c>
      <c r="N269" s="290">
        <v>180</v>
      </c>
      <c r="O269" s="46"/>
      <c r="P269" s="46" t="s">
        <v>39</v>
      </c>
      <c r="Q269" s="61" t="s">
        <v>33</v>
      </c>
      <c r="R269" s="192" t="str">
        <f>CONCATENATE(N269,P269)</f>
        <v>180grams</v>
      </c>
      <c r="S269" s="198">
        <f>M269*N269</f>
        <v>2520</v>
      </c>
      <c r="T269" s="199" t="str">
        <f>CONCATENATE(S269,Q269,P269)</f>
        <v>2520 grams</v>
      </c>
      <c r="U269" s="200">
        <f>L269*M269</f>
        <v>392</v>
      </c>
      <c r="V269" s="12"/>
      <c r="W269" s="12"/>
    </row>
    <row r="270" spans="1:23" x14ac:dyDescent="0.3">
      <c r="A270" s="183">
        <v>71</v>
      </c>
      <c r="B270" s="46" t="s">
        <v>503</v>
      </c>
      <c r="C270" s="170"/>
      <c r="D270" s="194"/>
      <c r="E270" s="194"/>
      <c r="F270" s="194"/>
      <c r="G270" s="170"/>
      <c r="H270" s="194" t="s">
        <v>2026</v>
      </c>
      <c r="I270" s="170"/>
      <c r="J270" s="46" t="s">
        <v>958</v>
      </c>
      <c r="K270" s="170"/>
      <c r="L270" s="197">
        <v>31.8</v>
      </c>
      <c r="M270" s="197">
        <v>4</v>
      </c>
      <c r="N270" s="290">
        <v>180</v>
      </c>
      <c r="O270" s="46"/>
      <c r="P270" s="46" t="s">
        <v>39</v>
      </c>
      <c r="Q270" s="170"/>
      <c r="R270" s="192" t="str">
        <f>CONCATENATE(N270,P270)</f>
        <v>180grams</v>
      </c>
      <c r="S270" s="198">
        <f>M270*N270</f>
        <v>720</v>
      </c>
      <c r="T270" s="199" t="str">
        <f>CONCATENATE(S270,Q270,P270)</f>
        <v>720grams</v>
      </c>
      <c r="U270" s="200">
        <f>L270*M270</f>
        <v>127.2</v>
      </c>
      <c r="V270" s="12"/>
      <c r="W270" s="12"/>
    </row>
    <row r="271" spans="1:23" x14ac:dyDescent="0.3">
      <c r="A271" s="183">
        <v>71</v>
      </c>
      <c r="B271" s="46" t="s">
        <v>503</v>
      </c>
      <c r="C271" s="170"/>
      <c r="D271" s="194"/>
      <c r="E271" s="170"/>
      <c r="F271" s="170"/>
      <c r="G271" s="170"/>
      <c r="H271" s="194" t="s">
        <v>2023</v>
      </c>
      <c r="I271" s="170"/>
      <c r="J271" s="46" t="s">
        <v>959</v>
      </c>
      <c r="K271" s="170"/>
      <c r="L271" s="197">
        <v>15.8</v>
      </c>
      <c r="M271" s="197">
        <v>2</v>
      </c>
      <c r="N271" s="290">
        <v>100</v>
      </c>
      <c r="O271" s="46"/>
      <c r="P271" s="46" t="s">
        <v>39</v>
      </c>
      <c r="Q271" s="170"/>
      <c r="R271" s="192" t="str">
        <f>CONCATENATE(N271,P271)</f>
        <v>100grams</v>
      </c>
      <c r="S271" s="198">
        <f>M271*N271</f>
        <v>200</v>
      </c>
      <c r="T271" s="199" t="str">
        <f>CONCATENATE(S271,Q271,P271)</f>
        <v>200grams</v>
      </c>
      <c r="U271" s="200">
        <f>L271*M271</f>
        <v>31.6</v>
      </c>
      <c r="V271" s="12"/>
      <c r="W271" s="12"/>
    </row>
    <row r="272" spans="1:23" x14ac:dyDescent="0.3">
      <c r="A272" s="183">
        <v>71</v>
      </c>
      <c r="B272" s="46" t="s">
        <v>503</v>
      </c>
      <c r="C272" s="170"/>
      <c r="D272" s="194"/>
      <c r="E272" s="170"/>
      <c r="F272" s="170"/>
      <c r="G272" s="170"/>
      <c r="H272" s="194" t="s">
        <v>2021</v>
      </c>
      <c r="I272" s="170"/>
      <c r="J272" s="219" t="s">
        <v>865</v>
      </c>
      <c r="K272" s="170"/>
      <c r="L272" s="216">
        <v>28</v>
      </c>
      <c r="M272" s="216">
        <v>3</v>
      </c>
      <c r="N272" s="293">
        <v>180</v>
      </c>
      <c r="O272" s="219"/>
      <c r="P272" s="219" t="s">
        <v>39</v>
      </c>
      <c r="Q272" s="170"/>
      <c r="R272" s="192" t="str">
        <f>CONCATENATE(N272,P272)</f>
        <v>180grams</v>
      </c>
      <c r="S272" s="198">
        <f>M272*N272</f>
        <v>540</v>
      </c>
      <c r="T272" s="199" t="str">
        <f>CONCATENATE(S272,Q272,P272)</f>
        <v>540grams</v>
      </c>
      <c r="U272" s="200">
        <f>L272*M272</f>
        <v>84</v>
      </c>
      <c r="V272" s="12"/>
      <c r="W272" s="12"/>
    </row>
    <row r="273" spans="1:23" x14ac:dyDescent="0.3">
      <c r="A273" s="183">
        <v>71</v>
      </c>
      <c r="B273" s="46" t="s">
        <v>503</v>
      </c>
      <c r="C273" s="170"/>
      <c r="D273" s="194"/>
      <c r="E273" s="194"/>
      <c r="F273" s="170"/>
      <c r="G273" s="170"/>
      <c r="H273" s="194" t="s">
        <v>2025</v>
      </c>
      <c r="I273" s="170"/>
      <c r="J273" s="46" t="s">
        <v>960</v>
      </c>
      <c r="K273" s="170"/>
      <c r="L273" s="197">
        <v>31.1</v>
      </c>
      <c r="M273" s="197">
        <v>10</v>
      </c>
      <c r="N273" s="290">
        <v>110</v>
      </c>
      <c r="O273" s="46"/>
      <c r="P273" s="46" t="s">
        <v>39</v>
      </c>
      <c r="Q273" s="170"/>
      <c r="R273" s="192" t="str">
        <f>CONCATENATE(N273,P273)</f>
        <v>110grams</v>
      </c>
      <c r="S273" s="198">
        <f>M273*N273</f>
        <v>1100</v>
      </c>
      <c r="T273" s="199" t="str">
        <f>CONCATENATE(S273,Q273,P273)</f>
        <v>1100grams</v>
      </c>
      <c r="U273" s="200">
        <f>L273*M273</f>
        <v>311</v>
      </c>
      <c r="V273" s="12"/>
      <c r="W273" s="12"/>
    </row>
    <row r="274" spans="1:23" x14ac:dyDescent="0.3">
      <c r="A274" s="183">
        <v>72</v>
      </c>
      <c r="B274" s="194" t="s">
        <v>504</v>
      </c>
      <c r="C274" s="170"/>
      <c r="D274" s="194" t="str">
        <f ca="1">IFERROR(__xludf.DUMMYFUNCTION("IF(J61="""",""n/a"",IFERROR(SPLIT(J61,""/"")))"),"Kopiko")</f>
        <v>Kopiko</v>
      </c>
      <c r="E274" s="194" t="str">
        <f ca="1">IFERROR(__xludf.DUMMYFUNCTION("""COMPUTED_VALUE"""),"pack (pcsx30grams)")</f>
        <v>pack (pcsx30grams)</v>
      </c>
      <c r="F274" s="170"/>
      <c r="G274" s="170"/>
      <c r="H274" s="183" t="s">
        <v>1897</v>
      </c>
      <c r="I274" s="170"/>
      <c r="J274" s="46" t="s">
        <v>505</v>
      </c>
      <c r="K274" s="170"/>
      <c r="L274" s="204">
        <v>7.37</v>
      </c>
      <c r="M274" s="202">
        <v>239</v>
      </c>
      <c r="N274" s="203">
        <v>1</v>
      </c>
      <c r="O274" s="61" t="str">
        <f ca="1">E274</f>
        <v>pack (pcsx30grams)</v>
      </c>
      <c r="P274" s="61" t="s">
        <v>92</v>
      </c>
      <c r="Q274" s="61" t="s">
        <v>33</v>
      </c>
      <c r="R274" s="192" t="str">
        <f>CONCATENATE(N274,P274)</f>
        <v>1pieces</v>
      </c>
      <c r="S274" s="198">
        <f>M274*N274</f>
        <v>239</v>
      </c>
      <c r="T274" s="199" t="str">
        <f>CONCATENATE(S274,Q274,P274)</f>
        <v>239 pieces</v>
      </c>
      <c r="U274" s="200">
        <f>L274*M274</f>
        <v>1761.43</v>
      </c>
      <c r="V274" s="205"/>
      <c r="W274" s="62"/>
    </row>
    <row r="275" spans="1:23" x14ac:dyDescent="0.3">
      <c r="A275" s="183">
        <v>73</v>
      </c>
      <c r="B275" s="46" t="s">
        <v>961</v>
      </c>
      <c r="C275" s="170"/>
      <c r="D275" s="194"/>
      <c r="E275" s="194"/>
      <c r="F275" s="170"/>
      <c r="G275" s="170"/>
      <c r="H275" s="194" t="s">
        <v>2025</v>
      </c>
      <c r="I275" s="170"/>
      <c r="J275" s="46" t="s">
        <v>962</v>
      </c>
      <c r="K275" s="170"/>
      <c r="L275" s="197">
        <v>118</v>
      </c>
      <c r="M275" s="197">
        <v>1</v>
      </c>
      <c r="N275" s="508">
        <v>250</v>
      </c>
      <c r="O275" s="46"/>
      <c r="P275" s="46" t="s">
        <v>39</v>
      </c>
      <c r="Q275" s="170"/>
      <c r="R275" s="192" t="str">
        <f>CONCATENATE(N275,P275)</f>
        <v>250grams</v>
      </c>
      <c r="S275" s="198">
        <f>M275*N275</f>
        <v>250</v>
      </c>
      <c r="T275" s="199" t="str">
        <f>CONCATENATE(S275,Q275,P275)</f>
        <v>250grams</v>
      </c>
      <c r="U275" s="200">
        <f>L275*M275</f>
        <v>118</v>
      </c>
      <c r="V275" s="12"/>
      <c r="W275" s="12"/>
    </row>
    <row r="276" spans="1:23" x14ac:dyDescent="0.3">
      <c r="A276" s="183">
        <v>74</v>
      </c>
      <c r="B276" s="194" t="s">
        <v>506</v>
      </c>
      <c r="C276" s="170"/>
      <c r="D276" s="194" t="str">
        <f ca="1">IFERROR(__xludf.DUMMYFUNCTION("IF(J62="""",""n/a"",IFERROR(SPLIT(J62,""/"")))"),"Dona Elena")</f>
        <v>Dona Elena</v>
      </c>
      <c r="E276" s="194" t="str">
        <f ca="1">IFERROR(__xludf.DUMMYFUNCTION("""COMPUTED_VALUE"""),"bottle")</f>
        <v>bottle</v>
      </c>
      <c r="F276" s="194" t="str">
        <f ca="1">IFERROR(__xludf.DUMMYFUNCTION("""COMPUTED_VALUE"""),"330grams")</f>
        <v>330grams</v>
      </c>
      <c r="G276" s="170"/>
      <c r="H276" s="183" t="s">
        <v>1897</v>
      </c>
      <c r="I276" s="170"/>
      <c r="J276" s="46" t="s">
        <v>507</v>
      </c>
      <c r="K276" s="170"/>
      <c r="L276" s="204">
        <v>0.5</v>
      </c>
      <c r="M276" s="202">
        <v>330</v>
      </c>
      <c r="N276" s="203">
        <v>330</v>
      </c>
      <c r="O276" s="61" t="str">
        <f ca="1">E276</f>
        <v>bottle</v>
      </c>
      <c r="P276" s="61" t="s">
        <v>39</v>
      </c>
      <c r="Q276" s="170"/>
      <c r="R276" s="192" t="str">
        <f>CONCATENATE(N276,P276)</f>
        <v>330grams</v>
      </c>
      <c r="S276" s="198">
        <f>M276*N276</f>
        <v>108900</v>
      </c>
      <c r="T276" s="199" t="str">
        <f>CONCATENATE(S276,Q276,P276)</f>
        <v>108900grams</v>
      </c>
      <c r="U276" s="200">
        <f>L276*M276</f>
        <v>165</v>
      </c>
      <c r="V276" s="205"/>
      <c r="W276" s="62"/>
    </row>
    <row r="277" spans="1:23" x14ac:dyDescent="0.3">
      <c r="A277" s="183">
        <v>74</v>
      </c>
      <c r="B277" s="46" t="s">
        <v>506</v>
      </c>
      <c r="C277" s="170"/>
      <c r="D277" s="194"/>
      <c r="E277" s="194"/>
      <c r="F277" s="170"/>
      <c r="G277" s="170"/>
      <c r="H277" s="194" t="s">
        <v>2026</v>
      </c>
      <c r="I277" s="170"/>
      <c r="J277" s="46" t="s">
        <v>963</v>
      </c>
      <c r="K277" s="170"/>
      <c r="L277" s="197">
        <v>219</v>
      </c>
      <c r="M277" s="197">
        <v>0</v>
      </c>
      <c r="N277" s="290">
        <v>165</v>
      </c>
      <c r="O277" s="46"/>
      <c r="P277" s="46" t="s">
        <v>519</v>
      </c>
      <c r="Q277" s="170"/>
      <c r="R277" s="192" t="str">
        <f>CONCATENATE(N277,P277)</f>
        <v>165drained weight grams</v>
      </c>
      <c r="S277" s="198">
        <f>M277*N277</f>
        <v>0</v>
      </c>
      <c r="T277" s="199" t="str">
        <f>CONCATENATE(S277,Q277,P277)</f>
        <v>0drained weight grams</v>
      </c>
      <c r="U277" s="200">
        <f>L277*M277</f>
        <v>0</v>
      </c>
      <c r="V277" s="12"/>
      <c r="W277" s="12"/>
    </row>
    <row r="278" spans="1:23" x14ac:dyDescent="0.3">
      <c r="A278" s="183">
        <v>74</v>
      </c>
      <c r="B278" s="46" t="s">
        <v>506</v>
      </c>
      <c r="C278" s="170"/>
      <c r="D278" s="194"/>
      <c r="E278" s="194"/>
      <c r="F278" s="194"/>
      <c r="G278" s="170"/>
      <c r="H278" s="194" t="s">
        <v>2023</v>
      </c>
      <c r="I278" s="170"/>
      <c r="J278" s="46" t="s">
        <v>963</v>
      </c>
      <c r="K278" s="170"/>
      <c r="L278" s="197">
        <v>161</v>
      </c>
      <c r="M278" s="197">
        <v>2</v>
      </c>
      <c r="N278" s="290">
        <v>165</v>
      </c>
      <c r="O278" s="46"/>
      <c r="P278" s="46" t="s">
        <v>519</v>
      </c>
      <c r="Q278" s="170"/>
      <c r="R278" s="192" t="str">
        <f>CONCATENATE(N278,P278)</f>
        <v>165drained weight grams</v>
      </c>
      <c r="S278" s="198">
        <f>M278*N278</f>
        <v>330</v>
      </c>
      <c r="T278" s="199" t="str">
        <f>CONCATENATE(S278,Q278,P278)</f>
        <v>330drained weight grams</v>
      </c>
      <c r="U278" s="200">
        <f>L278*M278</f>
        <v>322</v>
      </c>
      <c r="V278" s="12"/>
      <c r="W278" s="12"/>
    </row>
    <row r="279" spans="1:23" x14ac:dyDescent="0.3">
      <c r="A279" s="183">
        <v>74</v>
      </c>
      <c r="B279" s="46" t="s">
        <v>506</v>
      </c>
      <c r="C279" s="170"/>
      <c r="D279" s="194"/>
      <c r="E279" s="194"/>
      <c r="F279" s="194"/>
      <c r="G279" s="170"/>
      <c r="H279" s="194" t="s">
        <v>2022</v>
      </c>
      <c r="I279" s="170"/>
      <c r="J279" s="46" t="s">
        <v>963</v>
      </c>
      <c r="K279" s="170"/>
      <c r="L279" s="197">
        <v>78</v>
      </c>
      <c r="M279" s="197">
        <v>1</v>
      </c>
      <c r="N279" s="290">
        <v>70</v>
      </c>
      <c r="O279" s="46"/>
      <c r="P279" s="46" t="s">
        <v>39</v>
      </c>
      <c r="Q279" s="170"/>
      <c r="R279" s="192" t="str">
        <f>CONCATENATE(N279,P279)</f>
        <v>70grams</v>
      </c>
      <c r="S279" s="198">
        <f>M279*N279</f>
        <v>70</v>
      </c>
      <c r="T279" s="199" t="str">
        <f>CONCATENATE(S279,Q279,P279)</f>
        <v>70grams</v>
      </c>
      <c r="U279" s="200">
        <f>L279*M279</f>
        <v>78</v>
      </c>
      <c r="V279" s="12"/>
      <c r="W279" s="12"/>
    </row>
    <row r="280" spans="1:23" x14ac:dyDescent="0.3">
      <c r="A280" s="183">
        <v>75</v>
      </c>
      <c r="B280" s="46" t="s">
        <v>1906</v>
      </c>
      <c r="C280" s="215"/>
      <c r="D280" s="194"/>
      <c r="E280" s="215"/>
      <c r="F280" s="215"/>
      <c r="G280" s="215"/>
      <c r="H280" s="400" t="s">
        <v>2027</v>
      </c>
      <c r="I280" s="170"/>
      <c r="J280" s="46" t="s">
        <v>1907</v>
      </c>
      <c r="K280" s="170"/>
      <c r="L280" s="195">
        <v>25</v>
      </c>
      <c r="M280" s="197">
        <v>5</v>
      </c>
      <c r="N280" s="360">
        <v>250</v>
      </c>
      <c r="O280" s="61"/>
      <c r="P280" s="61" t="s">
        <v>39</v>
      </c>
      <c r="Q280" s="170"/>
      <c r="R280" s="192" t="str">
        <f>CONCATENATE(N280,P280)</f>
        <v>250grams</v>
      </c>
      <c r="S280" s="198">
        <f>M280*N280</f>
        <v>1250</v>
      </c>
      <c r="T280" s="199" t="str">
        <f>CONCATENATE(S280,Q280,P280)</f>
        <v>1250grams</v>
      </c>
      <c r="U280" s="200">
        <f>L280*M280</f>
        <v>125</v>
      </c>
      <c r="V280" s="12"/>
      <c r="W280" s="12"/>
    </row>
    <row r="281" spans="1:23" x14ac:dyDescent="0.3">
      <c r="A281" s="183">
        <v>76</v>
      </c>
      <c r="B281" s="46" t="s">
        <v>964</v>
      </c>
      <c r="C281" s="170"/>
      <c r="D281" s="194"/>
      <c r="E281" s="194"/>
      <c r="F281" s="194"/>
      <c r="G281" s="170"/>
      <c r="H281" s="194" t="s">
        <v>29</v>
      </c>
      <c r="I281" s="170"/>
      <c r="J281" s="46" t="s">
        <v>965</v>
      </c>
      <c r="K281" s="170"/>
      <c r="L281" s="197">
        <v>40.4</v>
      </c>
      <c r="M281" s="197">
        <v>3</v>
      </c>
      <c r="N281" s="290">
        <v>100</v>
      </c>
      <c r="O281" s="46"/>
      <c r="P281" s="46" t="s">
        <v>39</v>
      </c>
      <c r="Q281" s="170"/>
      <c r="R281" s="192" t="str">
        <f>CONCATENATE(N281,P281)</f>
        <v>100grams</v>
      </c>
      <c r="S281" s="198">
        <f>M281*N281</f>
        <v>300</v>
      </c>
      <c r="T281" s="199" t="str">
        <f>CONCATENATE(S281,Q281,P281)</f>
        <v>300grams</v>
      </c>
      <c r="U281" s="200">
        <f>L281*M281</f>
        <v>121.19999999999999</v>
      </c>
      <c r="V281" s="12"/>
      <c r="W281" s="12"/>
    </row>
    <row r="282" spans="1:23" x14ac:dyDescent="0.3">
      <c r="A282" s="183">
        <v>76</v>
      </c>
      <c r="B282" s="46" t="s">
        <v>964</v>
      </c>
      <c r="C282" s="170"/>
      <c r="D282" s="194"/>
      <c r="E282" s="170"/>
      <c r="F282" s="170"/>
      <c r="G282" s="170"/>
      <c r="H282" s="194" t="s">
        <v>2021</v>
      </c>
      <c r="I282" s="170"/>
      <c r="J282" s="215"/>
      <c r="K282" s="170"/>
      <c r="L282" s="216">
        <v>650</v>
      </c>
      <c r="M282" s="216">
        <v>3</v>
      </c>
      <c r="N282" s="293">
        <v>1000</v>
      </c>
      <c r="O282" s="219"/>
      <c r="P282" s="219" t="s">
        <v>39</v>
      </c>
      <c r="Q282" s="170"/>
      <c r="R282" s="192" t="str">
        <f>CONCATENATE(N282,P282)</f>
        <v>1000grams</v>
      </c>
      <c r="S282" s="198">
        <f>M282*N282</f>
        <v>3000</v>
      </c>
      <c r="T282" s="199" t="str">
        <f>CONCATENATE(S282,Q282,P282)</f>
        <v>3000grams</v>
      </c>
      <c r="U282" s="200">
        <f>L282*M282</f>
        <v>1950</v>
      </c>
      <c r="V282" s="12"/>
      <c r="W282" s="12"/>
    </row>
    <row r="283" spans="1:23" x14ac:dyDescent="0.3">
      <c r="A283" s="183">
        <v>76</v>
      </c>
      <c r="B283" s="46" t="s">
        <v>964</v>
      </c>
      <c r="C283" s="215"/>
      <c r="D283" s="194"/>
      <c r="E283" s="215"/>
      <c r="F283" s="215"/>
      <c r="G283" s="215"/>
      <c r="H283" s="400" t="s">
        <v>2027</v>
      </c>
      <c r="I283" s="170"/>
      <c r="J283" s="46" t="s">
        <v>1907</v>
      </c>
      <c r="K283" s="170"/>
      <c r="L283" s="195">
        <v>25</v>
      </c>
      <c r="M283" s="197">
        <v>8</v>
      </c>
      <c r="N283" s="360">
        <v>250</v>
      </c>
      <c r="O283" s="61"/>
      <c r="P283" s="61" t="s">
        <v>39</v>
      </c>
      <c r="Q283" s="170"/>
      <c r="R283" s="192" t="str">
        <f>CONCATENATE(N283,P283)</f>
        <v>250grams</v>
      </c>
      <c r="S283" s="198">
        <f>M283*N283</f>
        <v>2000</v>
      </c>
      <c r="T283" s="199" t="str">
        <f>CONCATENATE(S283,Q283,P283)</f>
        <v>2000grams</v>
      </c>
      <c r="U283" s="200">
        <f>L283*M283</f>
        <v>200</v>
      </c>
      <c r="V283" s="12"/>
      <c r="W283" s="12"/>
    </row>
    <row r="284" spans="1:23" x14ac:dyDescent="0.3">
      <c r="A284" s="183">
        <v>77</v>
      </c>
      <c r="B284" s="46" t="s">
        <v>966</v>
      </c>
      <c r="C284" s="170"/>
      <c r="D284" s="194"/>
      <c r="E284" s="170"/>
      <c r="F284" s="170"/>
      <c r="G284" s="170"/>
      <c r="H284" s="194" t="s">
        <v>29</v>
      </c>
      <c r="I284" s="170"/>
      <c r="J284" s="46" t="s">
        <v>967</v>
      </c>
      <c r="K284" s="170"/>
      <c r="L284" s="197">
        <v>590</v>
      </c>
      <c r="M284" s="197">
        <v>0</v>
      </c>
      <c r="N284" s="290">
        <v>1000</v>
      </c>
      <c r="O284" s="46"/>
      <c r="P284" s="46" t="s">
        <v>39</v>
      </c>
      <c r="Q284" s="170"/>
      <c r="R284" s="192" t="str">
        <f>CONCATENATE(N284,P284)</f>
        <v>1000grams</v>
      </c>
      <c r="S284" s="198">
        <f>M284*N284</f>
        <v>0</v>
      </c>
      <c r="T284" s="199" t="str">
        <f>CONCATENATE(S284,Q284,P284)</f>
        <v>0grams</v>
      </c>
      <c r="U284" s="200">
        <f>L284*M284</f>
        <v>0</v>
      </c>
      <c r="V284" s="12"/>
      <c r="W284" s="12"/>
    </row>
    <row r="285" spans="1:23" x14ac:dyDescent="0.3">
      <c r="A285" s="183">
        <v>77</v>
      </c>
      <c r="B285" s="46" t="s">
        <v>966</v>
      </c>
      <c r="C285" s="170"/>
      <c r="D285" s="194"/>
      <c r="E285" s="194"/>
      <c r="F285" s="170"/>
      <c r="G285" s="170"/>
      <c r="H285" s="194" t="s">
        <v>2024</v>
      </c>
      <c r="I285" s="170"/>
      <c r="J285" s="46" t="s">
        <v>967</v>
      </c>
      <c r="K285" s="170"/>
      <c r="L285" s="197">
        <v>590</v>
      </c>
      <c r="M285" s="197">
        <v>1</v>
      </c>
      <c r="N285" s="290">
        <v>1000</v>
      </c>
      <c r="O285" s="46"/>
      <c r="P285" s="46" t="s">
        <v>39</v>
      </c>
      <c r="Q285" s="170"/>
      <c r="R285" s="192" t="str">
        <f>CONCATENATE(N285,P285)</f>
        <v>1000grams</v>
      </c>
      <c r="S285" s="198">
        <f>M285*N285</f>
        <v>1000</v>
      </c>
      <c r="T285" s="199" t="str">
        <f>CONCATENATE(S285,Q285,P285)</f>
        <v>1000grams</v>
      </c>
      <c r="U285" s="200">
        <f>L285*M285</f>
        <v>590</v>
      </c>
      <c r="V285" s="12"/>
      <c r="W285" s="12"/>
    </row>
    <row r="286" spans="1:23" x14ac:dyDescent="0.3">
      <c r="A286" s="183">
        <v>77</v>
      </c>
      <c r="B286" s="46" t="s">
        <v>966</v>
      </c>
      <c r="C286" s="170"/>
      <c r="D286" s="194"/>
      <c r="E286" s="194"/>
      <c r="F286" s="194"/>
      <c r="G286" s="170"/>
      <c r="H286" s="194" t="s">
        <v>2023</v>
      </c>
      <c r="I286" s="170"/>
      <c r="J286" s="46" t="s">
        <v>967</v>
      </c>
      <c r="K286" s="170"/>
      <c r="L286" s="197">
        <v>590</v>
      </c>
      <c r="M286" s="197">
        <v>2</v>
      </c>
      <c r="N286" s="290">
        <v>1000</v>
      </c>
      <c r="O286" s="46"/>
      <c r="P286" s="46" t="s">
        <v>39</v>
      </c>
      <c r="Q286" s="170"/>
      <c r="R286" s="192" t="str">
        <f>CONCATENATE(N286,P286)</f>
        <v>1000grams</v>
      </c>
      <c r="S286" s="198">
        <f>M286*N286</f>
        <v>2000</v>
      </c>
      <c r="T286" s="199" t="str">
        <f>CONCATENATE(S286,Q286,P286)</f>
        <v>2000grams</v>
      </c>
      <c r="U286" s="200">
        <f>L286*M286</f>
        <v>1180</v>
      </c>
      <c r="V286" s="12"/>
      <c r="W286" s="12"/>
    </row>
    <row r="287" spans="1:23" x14ac:dyDescent="0.3">
      <c r="A287" s="183">
        <v>77</v>
      </c>
      <c r="B287" s="46" t="s">
        <v>966</v>
      </c>
      <c r="C287" s="170"/>
      <c r="D287" s="194"/>
      <c r="E287" s="194"/>
      <c r="F287" s="194"/>
      <c r="G287" s="170"/>
      <c r="H287" s="194" t="s">
        <v>2025</v>
      </c>
      <c r="I287" s="170"/>
      <c r="J287" s="46" t="s">
        <v>962</v>
      </c>
      <c r="K287" s="170"/>
      <c r="L287" s="197">
        <v>250</v>
      </c>
      <c r="M287" s="197">
        <v>6</v>
      </c>
      <c r="N287" s="290">
        <v>250</v>
      </c>
      <c r="O287" s="46"/>
      <c r="P287" s="46" t="s">
        <v>39</v>
      </c>
      <c r="Q287" s="170"/>
      <c r="R287" s="192" t="str">
        <f>CONCATENATE(N287,P287)</f>
        <v>250grams</v>
      </c>
      <c r="S287" s="198">
        <f>M287*N287</f>
        <v>1500</v>
      </c>
      <c r="T287" s="199" t="str">
        <f>CONCATENATE(S287,Q287,P287)</f>
        <v>1500grams</v>
      </c>
      <c r="U287" s="200">
        <f>L287*M287</f>
        <v>1500</v>
      </c>
      <c r="V287" s="12"/>
      <c r="W287" s="12"/>
    </row>
    <row r="288" spans="1:23" x14ac:dyDescent="0.3">
      <c r="A288" s="183">
        <v>78</v>
      </c>
      <c r="B288" s="194" t="s">
        <v>233</v>
      </c>
      <c r="C288" s="170"/>
      <c r="D288" s="194" t="str">
        <f ca="1">IFERROR(__xludf.DUMMYFUNCTION("IF(J63="""",""n/a"",IFERROR(SPLIT(J63,""/"")))"),"Edward")</f>
        <v>Edward</v>
      </c>
      <c r="E288" s="194" t="str">
        <f ca="1">IFERROR(__xludf.DUMMYFUNCTION("""COMPUTED_VALUE"""),"pack")</f>
        <v>pack</v>
      </c>
      <c r="F288" s="194" t="str">
        <f ca="1">IFERROR(__xludf.DUMMYFUNCTION("""COMPUTED_VALUE"""),"1000grams")</f>
        <v>1000grams</v>
      </c>
      <c r="G288" s="170"/>
      <c r="H288" s="183" t="s">
        <v>1895</v>
      </c>
      <c r="I288" s="170"/>
      <c r="J288" s="46" t="s">
        <v>234</v>
      </c>
      <c r="K288" s="170"/>
      <c r="L288" s="195">
        <v>590</v>
      </c>
      <c r="M288" s="197">
        <v>0.5</v>
      </c>
      <c r="N288" s="61">
        <v>1</v>
      </c>
      <c r="O288" s="61" t="str">
        <f ca="1">E288</f>
        <v>pack</v>
      </c>
      <c r="P288" s="61" t="s">
        <v>39</v>
      </c>
      <c r="Q288" s="170"/>
      <c r="R288" s="192" t="str">
        <f>CONCATENATE(N288,P288)</f>
        <v>1grams</v>
      </c>
      <c r="S288" s="198">
        <f>M288*N288</f>
        <v>0.5</v>
      </c>
      <c r="T288" s="199" t="str">
        <f>CONCATENATE(S288,Q288,P288)</f>
        <v>0.5grams</v>
      </c>
      <c r="U288" s="200">
        <f>L288*M288</f>
        <v>295</v>
      </c>
      <c r="V288" s="12"/>
      <c r="W288" s="12"/>
    </row>
    <row r="289" spans="1:23" x14ac:dyDescent="0.3">
      <c r="A289" s="183">
        <v>79</v>
      </c>
      <c r="B289" s="46" t="s">
        <v>968</v>
      </c>
      <c r="C289" s="215"/>
      <c r="D289" s="194"/>
      <c r="E289" s="215"/>
      <c r="F289" s="215"/>
      <c r="G289" s="215"/>
      <c r="H289" s="194" t="s">
        <v>2025</v>
      </c>
      <c r="I289" s="170"/>
      <c r="J289" s="46" t="s">
        <v>969</v>
      </c>
      <c r="K289" s="170"/>
      <c r="L289" s="197">
        <v>350</v>
      </c>
      <c r="M289" s="197">
        <v>1</v>
      </c>
      <c r="N289" s="290">
        <v>500</v>
      </c>
      <c r="O289" s="46"/>
      <c r="P289" s="46" t="s">
        <v>39</v>
      </c>
      <c r="Q289" s="170"/>
      <c r="R289" s="192" t="str">
        <f>CONCATENATE(N289,P289)</f>
        <v>500grams</v>
      </c>
      <c r="S289" s="198">
        <f>M289*N289</f>
        <v>500</v>
      </c>
      <c r="T289" s="199" t="str">
        <f>CONCATENATE(S289,Q289,P289)</f>
        <v>500grams</v>
      </c>
      <c r="U289" s="200">
        <f>L289*M289</f>
        <v>350</v>
      </c>
      <c r="V289" s="12"/>
      <c r="W289" s="12"/>
    </row>
    <row r="290" spans="1:23" x14ac:dyDescent="0.3">
      <c r="A290" s="183">
        <v>80</v>
      </c>
      <c r="B290" s="194" t="s">
        <v>508</v>
      </c>
      <c r="C290" s="170"/>
      <c r="D290" s="194" t="str">
        <f ca="1">IFERROR(__xludf.DUMMYFUNCTION("IF(J64="""",""n/a"",IFERROR(SPLIT(J64,""/"")))"),"Kopiko")</f>
        <v>Kopiko</v>
      </c>
      <c r="E290" s="194" t="str">
        <f ca="1">IFERROR(__xludf.DUMMYFUNCTION("""COMPUTED_VALUE"""),"pack (pcsx30grams)")</f>
        <v>pack (pcsx30grams)</v>
      </c>
      <c r="F290" s="170"/>
      <c r="G290" s="170"/>
      <c r="H290" s="183" t="s">
        <v>1897</v>
      </c>
      <c r="I290" s="170"/>
      <c r="J290" s="46" t="s">
        <v>505</v>
      </c>
      <c r="K290" s="170"/>
      <c r="L290" s="204">
        <v>8.1999999999999993</v>
      </c>
      <c r="M290" s="202">
        <v>180</v>
      </c>
      <c r="N290" s="203">
        <v>1</v>
      </c>
      <c r="O290" s="61" t="str">
        <f ca="1">E290</f>
        <v>pack (pcsx30grams)</v>
      </c>
      <c r="P290" s="61" t="s">
        <v>92</v>
      </c>
      <c r="Q290" s="170"/>
      <c r="R290" s="192" t="str">
        <f>CONCATENATE(N290,P290)</f>
        <v>1pieces</v>
      </c>
      <c r="S290" s="198">
        <f>M290*N290</f>
        <v>180</v>
      </c>
      <c r="T290" s="199" t="str">
        <f>CONCATENATE(S290,Q290,P290)</f>
        <v>180pieces</v>
      </c>
      <c r="U290" s="200">
        <f>L290*M290</f>
        <v>1475.9999999999998</v>
      </c>
      <c r="V290" s="205"/>
      <c r="W290" s="62"/>
    </row>
    <row r="291" spans="1:23" x14ac:dyDescent="0.3">
      <c r="A291" s="183">
        <v>81</v>
      </c>
      <c r="B291" s="194" t="s">
        <v>509</v>
      </c>
      <c r="C291" s="170"/>
      <c r="D291" s="194" t="str">
        <f ca="1">IFERROR(__xludf.DUMMYFUNCTION("IF(J65="""",""n/a"",IFERROR(SPLIT(J65,""/"")))"),"Quinriv")</f>
        <v>Quinriv</v>
      </c>
      <c r="E291" s="170"/>
      <c r="F291" s="170"/>
      <c r="G291" s="170"/>
      <c r="H291" s="183" t="s">
        <v>1897</v>
      </c>
      <c r="I291" s="170"/>
      <c r="J291" s="46" t="s">
        <v>199</v>
      </c>
      <c r="K291" s="170"/>
      <c r="L291" s="195">
        <v>127</v>
      </c>
      <c r="M291" s="202">
        <v>1</v>
      </c>
      <c r="N291" s="203">
        <v>1</v>
      </c>
      <c r="O291" s="170">
        <f>E291</f>
        <v>0</v>
      </c>
      <c r="P291" s="61" t="s">
        <v>200</v>
      </c>
      <c r="Q291" s="170"/>
      <c r="R291" s="192" t="str">
        <f>CONCATENATE(N291,P291)</f>
        <v>1gal</v>
      </c>
      <c r="S291" s="198">
        <f>M291*N291</f>
        <v>1</v>
      </c>
      <c r="T291" s="199" t="str">
        <f>CONCATENATE(S291,Q291,P291)</f>
        <v>1gal</v>
      </c>
      <c r="U291" s="200">
        <f>L291*M291</f>
        <v>127</v>
      </c>
      <c r="V291" s="205"/>
      <c r="W291" s="62"/>
    </row>
    <row r="292" spans="1:23" x14ac:dyDescent="0.3">
      <c r="A292" s="183">
        <v>81</v>
      </c>
      <c r="B292" s="219" t="s">
        <v>509</v>
      </c>
      <c r="C292" s="170"/>
      <c r="D292" s="194"/>
      <c r="E292" s="170"/>
      <c r="F292" s="170"/>
      <c r="G292" s="170"/>
      <c r="H292" s="194" t="s">
        <v>2021</v>
      </c>
      <c r="I292" s="170"/>
      <c r="J292" s="219" t="s">
        <v>199</v>
      </c>
      <c r="K292" s="170"/>
      <c r="L292" s="216">
        <v>127</v>
      </c>
      <c r="M292" s="216">
        <v>8</v>
      </c>
      <c r="N292" s="293">
        <v>1</v>
      </c>
      <c r="O292" s="219"/>
      <c r="P292" s="219" t="s">
        <v>200</v>
      </c>
      <c r="Q292" s="170"/>
      <c r="R292" s="192" t="str">
        <f>CONCATENATE(N292,P292)</f>
        <v>1gal</v>
      </c>
      <c r="S292" s="198">
        <f>M292*N292</f>
        <v>8</v>
      </c>
      <c r="T292" s="199" t="str">
        <f>CONCATENATE(S292,Q292,P292)</f>
        <v>8gal</v>
      </c>
      <c r="U292" s="200">
        <f>L292*M292</f>
        <v>1016</v>
      </c>
      <c r="V292" s="12"/>
      <c r="W292" s="12"/>
    </row>
    <row r="293" spans="1:23" x14ac:dyDescent="0.3">
      <c r="A293" s="183">
        <v>82</v>
      </c>
      <c r="B293" s="194" t="s">
        <v>510</v>
      </c>
      <c r="C293" s="170"/>
      <c r="D293" s="194" t="str">
        <f ca="1">IFERROR(__xludf.DUMMYFUNCTION("IF(J66="""",""n/a"",IFERROR(SPLIT(J66,""/"")))"),"URC")</f>
        <v>URC</v>
      </c>
      <c r="E293" s="194" t="str">
        <f ca="1">IFERROR(__xludf.DUMMYFUNCTION("""COMPUTED_VALUE"""),"pack (pcsx18grams)")</f>
        <v>pack (pcsx18grams)</v>
      </c>
      <c r="F293" s="170"/>
      <c r="G293" s="170"/>
      <c r="H293" s="183" t="s">
        <v>1897</v>
      </c>
      <c r="I293" s="170"/>
      <c r="J293" s="46" t="s">
        <v>511</v>
      </c>
      <c r="K293" s="170"/>
      <c r="L293" s="195">
        <v>4.0999999999999996</v>
      </c>
      <c r="M293" s="202">
        <v>100</v>
      </c>
      <c r="N293" s="203">
        <v>1</v>
      </c>
      <c r="O293" s="61" t="str">
        <f ca="1">E293</f>
        <v>pack (pcsx18grams)</v>
      </c>
      <c r="P293" s="61" t="s">
        <v>92</v>
      </c>
      <c r="Q293" s="170"/>
      <c r="R293" s="192" t="str">
        <f>CONCATENATE(N293,P293)</f>
        <v>1pieces</v>
      </c>
      <c r="S293" s="198">
        <f>M293*N293</f>
        <v>100</v>
      </c>
      <c r="T293" s="199" t="str">
        <f>CONCATENATE(S293,Q293,P293)</f>
        <v>100pieces</v>
      </c>
      <c r="U293" s="200">
        <f>L293*M293</f>
        <v>409.99999999999994</v>
      </c>
      <c r="V293" s="205"/>
      <c r="W293" s="62"/>
    </row>
    <row r="294" spans="1:23" x14ac:dyDescent="0.3">
      <c r="A294" s="183">
        <v>82</v>
      </c>
      <c r="B294" s="194" t="s">
        <v>510</v>
      </c>
      <c r="C294" s="170"/>
      <c r="D294" s="194" t="str">
        <f ca="1">IFERROR(__xludf.DUMMYFUNCTION("IF(J67="""",""n/a"",IFERROR(SPLIT(J67,""/"")))"),"n/a")</f>
        <v>n/a</v>
      </c>
      <c r="E294" s="170"/>
      <c r="F294" s="170"/>
      <c r="G294" s="170"/>
      <c r="H294" s="206" t="s">
        <v>1898</v>
      </c>
      <c r="I294" s="170"/>
      <c r="J294" s="170"/>
      <c r="K294" s="170"/>
      <c r="L294" s="197">
        <v>4.3</v>
      </c>
      <c r="M294" s="385">
        <v>196</v>
      </c>
      <c r="N294" s="207">
        <v>1</v>
      </c>
      <c r="O294" s="170">
        <f>E294</f>
        <v>0</v>
      </c>
      <c r="P294" s="209" t="s">
        <v>92</v>
      </c>
      <c r="Q294" s="170"/>
      <c r="R294" s="192" t="str">
        <f>CONCATENATE(N294,P294)</f>
        <v>1pieces</v>
      </c>
      <c r="S294" s="198">
        <f>M294*N294</f>
        <v>196</v>
      </c>
      <c r="T294" s="199" t="str">
        <f>CONCATENATE(S294,Q294,P294)</f>
        <v>196pieces</v>
      </c>
      <c r="U294" s="200">
        <f>L294*M294</f>
        <v>842.8</v>
      </c>
      <c r="V294" s="12"/>
      <c r="W294" s="12"/>
    </row>
    <row r="295" spans="1:23" x14ac:dyDescent="0.3">
      <c r="A295" s="183">
        <v>83</v>
      </c>
      <c r="B295" s="46" t="s">
        <v>970</v>
      </c>
      <c r="C295" s="170"/>
      <c r="D295" s="194"/>
      <c r="E295" s="194"/>
      <c r="F295" s="170"/>
      <c r="G295" s="170"/>
      <c r="H295" s="194" t="s">
        <v>2026</v>
      </c>
      <c r="I295" s="170"/>
      <c r="J295" s="46" t="s">
        <v>971</v>
      </c>
      <c r="K295" s="170"/>
      <c r="L295" s="197">
        <v>47</v>
      </c>
      <c r="M295" s="197">
        <v>3</v>
      </c>
      <c r="N295" s="290">
        <v>240</v>
      </c>
      <c r="O295" s="46"/>
      <c r="P295" s="46" t="s">
        <v>39</v>
      </c>
      <c r="Q295" s="170"/>
      <c r="R295" s="192" t="str">
        <f>CONCATENATE(N295,P295)</f>
        <v>240grams</v>
      </c>
      <c r="S295" s="198">
        <f>M295*N295</f>
        <v>720</v>
      </c>
      <c r="T295" s="199" t="str">
        <f>CONCATENATE(S295,Q295,P295)</f>
        <v>720grams</v>
      </c>
      <c r="U295" s="200">
        <f>L295*M295</f>
        <v>141</v>
      </c>
      <c r="V295" s="12"/>
      <c r="W295" s="12"/>
    </row>
    <row r="296" spans="1:23" x14ac:dyDescent="0.3">
      <c r="A296" s="183">
        <v>83</v>
      </c>
      <c r="B296" s="46" t="s">
        <v>970</v>
      </c>
      <c r="C296" s="170"/>
      <c r="D296" s="194"/>
      <c r="E296" s="170"/>
      <c r="F296" s="170"/>
      <c r="G296" s="170"/>
      <c r="H296" s="194" t="s">
        <v>2023</v>
      </c>
      <c r="I296" s="170"/>
      <c r="J296" s="46" t="s">
        <v>971</v>
      </c>
      <c r="K296" s="170"/>
      <c r="L296" s="197">
        <v>44.21</v>
      </c>
      <c r="M296" s="197">
        <v>5</v>
      </c>
      <c r="N296" s="290">
        <v>240</v>
      </c>
      <c r="O296" s="46"/>
      <c r="P296" s="46" t="s">
        <v>39</v>
      </c>
      <c r="Q296" s="170"/>
      <c r="R296" s="192" t="str">
        <f>CONCATENATE(N296,P296)</f>
        <v>240grams</v>
      </c>
      <c r="S296" s="198">
        <f>M296*N296</f>
        <v>1200</v>
      </c>
      <c r="T296" s="199" t="str">
        <f>CONCATENATE(S296,Q296,P296)</f>
        <v>1200grams</v>
      </c>
      <c r="U296" s="200">
        <f>L296*M296</f>
        <v>221.05</v>
      </c>
      <c r="V296" s="12"/>
      <c r="W296" s="12"/>
    </row>
    <row r="297" spans="1:23" x14ac:dyDescent="0.3">
      <c r="A297" s="183">
        <v>84</v>
      </c>
      <c r="B297" s="219" t="s">
        <v>972</v>
      </c>
      <c r="C297" s="170"/>
      <c r="D297" s="194"/>
      <c r="E297" s="170"/>
      <c r="F297" s="170"/>
      <c r="G297" s="170"/>
      <c r="H297" s="194" t="s">
        <v>2026</v>
      </c>
      <c r="I297" s="170"/>
      <c r="J297" s="46" t="s">
        <v>971</v>
      </c>
      <c r="K297" s="170"/>
      <c r="L297" s="197">
        <v>47</v>
      </c>
      <c r="M297" s="197">
        <v>2</v>
      </c>
      <c r="N297" s="290">
        <v>240</v>
      </c>
      <c r="O297" s="46"/>
      <c r="P297" s="46" t="s">
        <v>39</v>
      </c>
      <c r="Q297" s="170"/>
      <c r="R297" s="192" t="str">
        <f>CONCATENATE(N297,P297)</f>
        <v>240grams</v>
      </c>
      <c r="S297" s="198">
        <f>M297*N297</f>
        <v>480</v>
      </c>
      <c r="T297" s="199" t="str">
        <f>CONCATENATE(S297,Q297,P297)</f>
        <v>480grams</v>
      </c>
      <c r="U297" s="200">
        <f>L297*M297</f>
        <v>94</v>
      </c>
      <c r="V297" s="12"/>
      <c r="W297" s="12"/>
    </row>
    <row r="298" spans="1:23" x14ac:dyDescent="0.3">
      <c r="A298" s="183">
        <v>85</v>
      </c>
      <c r="B298" s="46" t="s">
        <v>973</v>
      </c>
      <c r="C298" s="215"/>
      <c r="D298" s="194"/>
      <c r="E298" s="215"/>
      <c r="F298" s="215"/>
      <c r="G298" s="215"/>
      <c r="H298" s="194" t="s">
        <v>2022</v>
      </c>
      <c r="I298" s="170"/>
      <c r="J298" s="46" t="s">
        <v>974</v>
      </c>
      <c r="K298" s="170"/>
      <c r="L298" s="197">
        <v>25.44</v>
      </c>
      <c r="M298" s="197">
        <v>39</v>
      </c>
      <c r="N298" s="290">
        <v>500</v>
      </c>
      <c r="O298" s="297"/>
      <c r="P298" s="297" t="s">
        <v>32</v>
      </c>
      <c r="Q298" s="170"/>
      <c r="R298" s="192" t="str">
        <f>CONCATENATE(N298,P298)</f>
        <v>500ml</v>
      </c>
      <c r="S298" s="198">
        <f>M298*N298</f>
        <v>19500</v>
      </c>
      <c r="T298" s="199" t="str">
        <f>CONCATENATE(S298,Q298,P298)</f>
        <v>19500ml</v>
      </c>
      <c r="U298" s="200">
        <f>L298*M298</f>
        <v>992.16000000000008</v>
      </c>
      <c r="V298" s="12"/>
      <c r="W298" s="12"/>
    </row>
    <row r="299" spans="1:23" x14ac:dyDescent="0.3">
      <c r="A299" s="183">
        <v>85</v>
      </c>
      <c r="B299" s="46" t="s">
        <v>973</v>
      </c>
      <c r="C299" s="215"/>
      <c r="D299" s="194"/>
      <c r="E299" s="215"/>
      <c r="F299" s="215"/>
      <c r="G299" s="215"/>
      <c r="H299" s="194" t="s">
        <v>2022</v>
      </c>
      <c r="I299" s="170"/>
      <c r="J299" s="46" t="s">
        <v>974</v>
      </c>
      <c r="K299" s="170"/>
      <c r="L299" s="197">
        <v>20.75</v>
      </c>
      <c r="M299" s="197">
        <v>221</v>
      </c>
      <c r="N299" s="290">
        <v>350</v>
      </c>
      <c r="O299" s="297"/>
      <c r="P299" s="297" t="s">
        <v>32</v>
      </c>
      <c r="Q299" s="170"/>
      <c r="R299" s="192" t="str">
        <f>CONCATENATE(N299,P299)</f>
        <v>350ml</v>
      </c>
      <c r="S299" s="198">
        <f>M299*N299</f>
        <v>77350</v>
      </c>
      <c r="T299" s="199" t="str">
        <f>CONCATENATE(S299,Q299,P299)</f>
        <v>77350ml</v>
      </c>
      <c r="U299" s="200">
        <f>L299*M299</f>
        <v>4585.75</v>
      </c>
      <c r="V299" s="12"/>
      <c r="W299" s="12"/>
    </row>
    <row r="300" spans="1:23" x14ac:dyDescent="0.3">
      <c r="A300" s="183">
        <v>85</v>
      </c>
      <c r="B300" s="46" t="s">
        <v>973</v>
      </c>
      <c r="C300" s="170"/>
      <c r="D300" s="194"/>
      <c r="E300" s="170"/>
      <c r="F300" s="170"/>
      <c r="G300" s="170"/>
      <c r="H300" s="194" t="s">
        <v>2021</v>
      </c>
      <c r="I300" s="170"/>
      <c r="J300" s="46" t="s">
        <v>974</v>
      </c>
      <c r="K300" s="170"/>
      <c r="L300" s="216">
        <v>25.22</v>
      </c>
      <c r="M300" s="216">
        <v>21</v>
      </c>
      <c r="N300" s="293">
        <v>500</v>
      </c>
      <c r="O300" s="304"/>
      <c r="P300" s="304" t="s">
        <v>32</v>
      </c>
      <c r="Q300" s="170"/>
      <c r="R300" s="192" t="str">
        <f>CONCATENATE(N300,P300)</f>
        <v>500ml</v>
      </c>
      <c r="S300" s="198">
        <f>M300*N300</f>
        <v>10500</v>
      </c>
      <c r="T300" s="199" t="str">
        <f>CONCATENATE(S300,Q300,P300)</f>
        <v>10500ml</v>
      </c>
      <c r="U300" s="200">
        <f>L300*M300</f>
        <v>529.62</v>
      </c>
      <c r="V300" s="12"/>
      <c r="W300" s="12"/>
    </row>
    <row r="301" spans="1:23" x14ac:dyDescent="0.3">
      <c r="A301" s="183">
        <v>86</v>
      </c>
      <c r="B301" s="46" t="s">
        <v>975</v>
      </c>
      <c r="C301" s="170"/>
      <c r="D301" s="194"/>
      <c r="E301" s="194"/>
      <c r="F301" s="194"/>
      <c r="G301" s="170"/>
      <c r="H301" s="194" t="s">
        <v>2025</v>
      </c>
      <c r="I301" s="170"/>
      <c r="J301" s="46" t="s">
        <v>976</v>
      </c>
      <c r="K301" s="170"/>
      <c r="L301" s="197">
        <v>4</v>
      </c>
      <c r="M301" s="197">
        <v>183</v>
      </c>
      <c r="N301" s="290">
        <v>1</v>
      </c>
      <c r="O301" s="60"/>
      <c r="P301" s="60" t="s">
        <v>92</v>
      </c>
      <c r="Q301" s="170"/>
      <c r="R301" s="192" t="str">
        <f>CONCATENATE(N301,P301)</f>
        <v>1pieces</v>
      </c>
      <c r="S301" s="198">
        <f>M301*N301</f>
        <v>183</v>
      </c>
      <c r="T301" s="199" t="str">
        <f>CONCATENATE(S301,Q301,P301)</f>
        <v>183pieces</v>
      </c>
      <c r="U301" s="200">
        <f>L301*M301</f>
        <v>732</v>
      </c>
      <c r="V301" s="12"/>
      <c r="W301" s="12"/>
    </row>
    <row r="302" spans="1:23" x14ac:dyDescent="0.3">
      <c r="A302" s="183">
        <v>86</v>
      </c>
      <c r="B302" s="46" t="s">
        <v>975</v>
      </c>
      <c r="C302" s="170"/>
      <c r="D302" s="194"/>
      <c r="E302" s="194"/>
      <c r="F302" s="170"/>
      <c r="G302" s="170"/>
      <c r="H302" s="194" t="s">
        <v>2025</v>
      </c>
      <c r="I302" s="170"/>
      <c r="J302" s="46" t="s">
        <v>977</v>
      </c>
      <c r="K302" s="170"/>
      <c r="L302" s="197">
        <v>6</v>
      </c>
      <c r="M302" s="197">
        <v>20</v>
      </c>
      <c r="N302" s="290">
        <v>1</v>
      </c>
      <c r="O302" s="46"/>
      <c r="P302" s="46" t="s">
        <v>92</v>
      </c>
      <c r="Q302" s="170"/>
      <c r="R302" s="192" t="str">
        <f>CONCATENATE(N302,P302)</f>
        <v>1pieces</v>
      </c>
      <c r="S302" s="198">
        <f>M302*N302</f>
        <v>20</v>
      </c>
      <c r="T302" s="199" t="str">
        <f>CONCATENATE(S302,Q302,P302)</f>
        <v>20pieces</v>
      </c>
      <c r="U302" s="200">
        <f>L302*M302</f>
        <v>120</v>
      </c>
      <c r="V302" s="12"/>
      <c r="W302" s="12"/>
    </row>
    <row r="303" spans="1:23" x14ac:dyDescent="0.3">
      <c r="A303" s="183">
        <v>86</v>
      </c>
      <c r="B303" s="46" t="s">
        <v>975</v>
      </c>
      <c r="C303" s="170"/>
      <c r="D303" s="194"/>
      <c r="E303" s="194"/>
      <c r="F303" s="170"/>
      <c r="G303" s="170"/>
      <c r="H303" s="194" t="s">
        <v>2025</v>
      </c>
      <c r="I303" s="170"/>
      <c r="J303" s="46" t="s">
        <v>978</v>
      </c>
      <c r="K303" s="170"/>
      <c r="L303" s="197">
        <v>5</v>
      </c>
      <c r="M303" s="197">
        <v>183</v>
      </c>
      <c r="N303" s="290">
        <v>1</v>
      </c>
      <c r="O303" s="46"/>
      <c r="P303" s="46" t="s">
        <v>92</v>
      </c>
      <c r="Q303" s="170"/>
      <c r="R303" s="192" t="str">
        <f>CONCATENATE(N303,P303)</f>
        <v>1pieces</v>
      </c>
      <c r="S303" s="198">
        <f>M303*N303</f>
        <v>183</v>
      </c>
      <c r="T303" s="199" t="str">
        <f>CONCATENATE(S303,Q303,P303)</f>
        <v>183pieces</v>
      </c>
      <c r="U303" s="200">
        <f>L303*M303</f>
        <v>915</v>
      </c>
      <c r="V303" s="12"/>
      <c r="W303" s="12"/>
    </row>
    <row r="304" spans="1:23" x14ac:dyDescent="0.3">
      <c r="A304" s="183">
        <v>87</v>
      </c>
      <c r="B304" s="194" t="s">
        <v>48</v>
      </c>
      <c r="C304" s="170"/>
      <c r="D304" s="194" t="str">
        <f ca="1">IFERROR(__xludf.DUMMYFUNCTION("IF(J68="""",""n/a"",IFERROR(SPLIT(J68,""/"")))"),"Goodlife")</f>
        <v>Goodlife</v>
      </c>
      <c r="E304" s="194" t="str">
        <f ca="1">IFERROR(__xludf.DUMMYFUNCTION("""COMPUTED_VALUE"""),"pack")</f>
        <v>pack</v>
      </c>
      <c r="F304" s="194" t="str">
        <f ca="1">IFERROR(__xludf.DUMMYFUNCTION("""COMPUTED_VALUE"""),"1000grams")</f>
        <v>1000grams</v>
      </c>
      <c r="G304" s="170"/>
      <c r="H304" s="183" t="s">
        <v>1895</v>
      </c>
      <c r="I304" s="170"/>
      <c r="J304" s="46" t="s">
        <v>49</v>
      </c>
      <c r="K304" s="170"/>
      <c r="L304" s="195">
        <v>143.19999999999999</v>
      </c>
      <c r="M304" s="197">
        <v>9</v>
      </c>
      <c r="N304" s="61">
        <v>1000</v>
      </c>
      <c r="O304" s="61" t="str">
        <f ca="1">E304</f>
        <v>pack</v>
      </c>
      <c r="P304" s="61" t="s">
        <v>39</v>
      </c>
      <c r="Q304" s="170"/>
      <c r="R304" s="192" t="str">
        <f>CONCATENATE(N304,P304)</f>
        <v>1000grams</v>
      </c>
      <c r="S304" s="198">
        <f>M304*N304</f>
        <v>9000</v>
      </c>
      <c r="T304" s="199" t="str">
        <f>CONCATENATE(S304,Q304,P304)</f>
        <v>9000grams</v>
      </c>
      <c r="U304" s="200">
        <f>L304*M304</f>
        <v>1288.8</v>
      </c>
      <c r="V304" s="12"/>
      <c r="W304" s="12"/>
    </row>
    <row r="305" spans="1:23" x14ac:dyDescent="0.3">
      <c r="A305" s="183">
        <v>87</v>
      </c>
      <c r="B305" s="194" t="s">
        <v>48</v>
      </c>
      <c r="C305" s="170"/>
      <c r="D305" s="194" t="str">
        <f ca="1">IFERROR(__xludf.DUMMYFUNCTION("IF(J69="""",""n/a"",IFERROR(SPLIT(J69,""/"")))"),"Krispers")</f>
        <v>Krispers</v>
      </c>
      <c r="E305" s="194" t="str">
        <f ca="1">IFERROR(__xludf.DUMMYFUNCTION("""COMPUTED_VALUE"""),"pack")</f>
        <v>pack</v>
      </c>
      <c r="F305" s="194" t="str">
        <f ca="1">IFERROR(__xludf.DUMMYFUNCTION("""COMPUTED_VALUE"""),"1000grams")</f>
        <v>1000grams</v>
      </c>
      <c r="G305" s="170"/>
      <c r="H305" s="206" t="s">
        <v>1898</v>
      </c>
      <c r="I305" s="170"/>
      <c r="J305" s="46" t="s">
        <v>512</v>
      </c>
      <c r="K305" s="170"/>
      <c r="L305" s="197">
        <v>0.17</v>
      </c>
      <c r="M305" s="386">
        <v>13400</v>
      </c>
      <c r="N305" s="208">
        <v>1000</v>
      </c>
      <c r="O305" s="61" t="str">
        <f ca="1">E305</f>
        <v>pack</v>
      </c>
      <c r="P305" s="61" t="s">
        <v>39</v>
      </c>
      <c r="Q305" s="170"/>
      <c r="R305" s="192" t="str">
        <f>CONCATENATE(N305,P305)</f>
        <v>1000grams</v>
      </c>
      <c r="S305" s="198">
        <f>M305*N305</f>
        <v>13400000</v>
      </c>
      <c r="T305" s="199" t="str">
        <f>CONCATENATE(S305,Q305,P305)</f>
        <v>13400000grams</v>
      </c>
      <c r="U305" s="200">
        <f>L305*M305</f>
        <v>2278</v>
      </c>
      <c r="V305" s="12"/>
      <c r="W305" s="12"/>
    </row>
    <row r="306" spans="1:23" x14ac:dyDescent="0.3">
      <c r="A306" s="183">
        <v>87</v>
      </c>
      <c r="B306" s="46" t="s">
        <v>48</v>
      </c>
      <c r="C306" s="170"/>
      <c r="D306" s="194"/>
      <c r="E306" s="170"/>
      <c r="F306" s="170"/>
      <c r="G306" s="170"/>
      <c r="H306" s="194" t="s">
        <v>2025</v>
      </c>
      <c r="I306" s="170"/>
      <c r="J306" s="46" t="s">
        <v>959</v>
      </c>
      <c r="K306" s="170"/>
      <c r="L306" s="197">
        <v>145</v>
      </c>
      <c r="M306" s="197">
        <v>2</v>
      </c>
      <c r="N306" s="290">
        <v>1</v>
      </c>
      <c r="O306" s="46"/>
      <c r="P306" s="46" t="s">
        <v>213</v>
      </c>
      <c r="Q306" s="170"/>
      <c r="R306" s="192" t="str">
        <f>CONCATENATE(N306,P306)</f>
        <v>1kilos</v>
      </c>
      <c r="S306" s="198">
        <f>M306*N306</f>
        <v>2</v>
      </c>
      <c r="T306" s="199" t="str">
        <f>CONCATENATE(S306,Q306,P306)</f>
        <v>2kilos</v>
      </c>
      <c r="U306" s="200">
        <f>L306*M306</f>
        <v>290</v>
      </c>
      <c r="V306" s="12"/>
      <c r="W306" s="12"/>
    </row>
    <row r="307" spans="1:23" x14ac:dyDescent="0.3">
      <c r="A307" s="183">
        <v>87</v>
      </c>
      <c r="B307" s="46" t="s">
        <v>48</v>
      </c>
      <c r="C307" s="170"/>
      <c r="D307" s="194"/>
      <c r="E307" s="170"/>
      <c r="F307" s="170"/>
      <c r="G307" s="170"/>
      <c r="H307" s="194" t="s">
        <v>2026</v>
      </c>
      <c r="I307" s="170"/>
      <c r="J307" s="46" t="s">
        <v>979</v>
      </c>
      <c r="K307" s="170"/>
      <c r="L307" s="197">
        <v>36.700000000000003</v>
      </c>
      <c r="M307" s="197">
        <v>2</v>
      </c>
      <c r="N307" s="290">
        <v>230</v>
      </c>
      <c r="O307" s="46"/>
      <c r="P307" s="46" t="s">
        <v>39</v>
      </c>
      <c r="Q307" s="170"/>
      <c r="R307" s="192" t="str">
        <f>CONCATENATE(N307,P307)</f>
        <v>230grams</v>
      </c>
      <c r="S307" s="198">
        <f>M307*N307</f>
        <v>460</v>
      </c>
      <c r="T307" s="199" t="str">
        <f>CONCATENATE(S307,Q307,P307)</f>
        <v>460grams</v>
      </c>
      <c r="U307" s="200">
        <f>L307*M307</f>
        <v>73.400000000000006</v>
      </c>
      <c r="V307" s="12"/>
      <c r="W307" s="12"/>
    </row>
    <row r="308" spans="1:23" x14ac:dyDescent="0.3">
      <c r="A308" s="183">
        <v>87</v>
      </c>
      <c r="B308" s="46" t="s">
        <v>48</v>
      </c>
      <c r="C308" s="170"/>
      <c r="D308" s="194"/>
      <c r="E308" s="194"/>
      <c r="F308" s="170"/>
      <c r="G308" s="170"/>
      <c r="H308" s="194" t="s">
        <v>1368</v>
      </c>
      <c r="I308" s="170"/>
      <c r="J308" s="46" t="s">
        <v>980</v>
      </c>
      <c r="K308" s="170"/>
      <c r="L308" s="197">
        <v>41</v>
      </c>
      <c r="M308" s="197">
        <v>5</v>
      </c>
      <c r="N308" s="290">
        <v>230</v>
      </c>
      <c r="O308" s="46"/>
      <c r="P308" s="46" t="s">
        <v>39</v>
      </c>
      <c r="Q308" s="170"/>
      <c r="R308" s="192" t="str">
        <f>CONCATENATE(N308,P308)</f>
        <v>230grams</v>
      </c>
      <c r="S308" s="198">
        <f>M308*N308</f>
        <v>1150</v>
      </c>
      <c r="T308" s="199" t="str">
        <f>CONCATENATE(S308,Q308,P308)</f>
        <v>1150grams</v>
      </c>
      <c r="U308" s="200">
        <f>L308*M308</f>
        <v>205</v>
      </c>
      <c r="V308" s="12"/>
      <c r="W308" s="12"/>
    </row>
    <row r="309" spans="1:23" x14ac:dyDescent="0.3">
      <c r="A309" s="183">
        <v>87</v>
      </c>
      <c r="B309" s="46" t="s">
        <v>48</v>
      </c>
      <c r="C309" s="170"/>
      <c r="D309" s="194"/>
      <c r="E309" s="170"/>
      <c r="F309" s="170"/>
      <c r="G309" s="170"/>
      <c r="H309" s="194" t="s">
        <v>2023</v>
      </c>
      <c r="I309" s="170"/>
      <c r="J309" s="46" t="s">
        <v>980</v>
      </c>
      <c r="K309" s="170"/>
      <c r="L309" s="197">
        <v>36.700000000000003</v>
      </c>
      <c r="M309" s="197">
        <v>5</v>
      </c>
      <c r="N309" s="290">
        <v>230</v>
      </c>
      <c r="O309" s="46"/>
      <c r="P309" s="46" t="s">
        <v>39</v>
      </c>
      <c r="Q309" s="170"/>
      <c r="R309" s="192" t="str">
        <f>CONCATENATE(N309,P309)</f>
        <v>230grams</v>
      </c>
      <c r="S309" s="198">
        <f>M309*N309</f>
        <v>1150</v>
      </c>
      <c r="T309" s="199" t="str">
        <f>CONCATENATE(S309,Q309,P309)</f>
        <v>1150grams</v>
      </c>
      <c r="U309" s="200">
        <f>L309*M309</f>
        <v>183.5</v>
      </c>
      <c r="V309" s="12"/>
      <c r="W309" s="12"/>
    </row>
    <row r="310" spans="1:23" x14ac:dyDescent="0.3">
      <c r="A310" s="183">
        <v>87</v>
      </c>
      <c r="B310" s="46" t="s">
        <v>48</v>
      </c>
      <c r="C310" s="170"/>
      <c r="D310" s="194"/>
      <c r="E310" s="170"/>
      <c r="F310" s="170"/>
      <c r="G310" s="170"/>
      <c r="H310" s="194" t="s">
        <v>2022</v>
      </c>
      <c r="I310" s="170"/>
      <c r="J310" s="305" t="s">
        <v>981</v>
      </c>
      <c r="K310" s="170"/>
      <c r="L310" s="197">
        <v>38</v>
      </c>
      <c r="M310" s="197">
        <v>16</v>
      </c>
      <c r="N310" s="290">
        <v>230</v>
      </c>
      <c r="O310" s="46"/>
      <c r="P310" s="46" t="s">
        <v>39</v>
      </c>
      <c r="Q310" s="170"/>
      <c r="R310" s="192" t="str">
        <f>CONCATENATE(N310,P310)</f>
        <v>230grams</v>
      </c>
      <c r="S310" s="198">
        <f>M310*N310</f>
        <v>3680</v>
      </c>
      <c r="T310" s="199" t="str">
        <f>CONCATENATE(S310,Q310,P310)</f>
        <v>3680grams</v>
      </c>
      <c r="U310" s="200">
        <f>L310*M310</f>
        <v>608</v>
      </c>
      <c r="V310" s="12"/>
      <c r="W310" s="12"/>
    </row>
    <row r="311" spans="1:23" x14ac:dyDescent="0.3">
      <c r="A311" s="183">
        <v>87</v>
      </c>
      <c r="B311" s="46" t="s">
        <v>48</v>
      </c>
      <c r="C311" s="170"/>
      <c r="D311" s="194"/>
      <c r="E311" s="194"/>
      <c r="F311" s="170"/>
      <c r="G311" s="170"/>
      <c r="H311" s="194" t="s">
        <v>2022</v>
      </c>
      <c r="I311" s="170"/>
      <c r="J311" s="305" t="s">
        <v>981</v>
      </c>
      <c r="K311" s="170"/>
      <c r="L311" s="197">
        <v>152</v>
      </c>
      <c r="M311" s="197">
        <v>1</v>
      </c>
      <c r="N311" s="290">
        <v>1</v>
      </c>
      <c r="O311" s="46"/>
      <c r="P311" s="46" t="s">
        <v>213</v>
      </c>
      <c r="Q311" s="170"/>
      <c r="R311" s="192" t="str">
        <f>CONCATENATE(N311,P311)</f>
        <v>1kilos</v>
      </c>
      <c r="S311" s="198">
        <f>M311*N311</f>
        <v>1</v>
      </c>
      <c r="T311" s="199" t="str">
        <f>CONCATENATE(S311,Q311,P311)</f>
        <v>1kilos</v>
      </c>
      <c r="U311" s="200">
        <f>L311*M311</f>
        <v>152</v>
      </c>
      <c r="V311" s="12"/>
      <c r="W311" s="12"/>
    </row>
    <row r="312" spans="1:23" x14ac:dyDescent="0.3">
      <c r="A312" s="183">
        <v>87</v>
      </c>
      <c r="B312" s="46" t="s">
        <v>48</v>
      </c>
      <c r="C312" s="170"/>
      <c r="D312" s="194"/>
      <c r="E312" s="194"/>
      <c r="F312" s="170"/>
      <c r="G312" s="170"/>
      <c r="H312" s="194" t="s">
        <v>2021</v>
      </c>
      <c r="I312" s="170"/>
      <c r="J312" s="219" t="s">
        <v>982</v>
      </c>
      <c r="K312" s="170"/>
      <c r="L312" s="216">
        <v>31.66</v>
      </c>
      <c r="M312" s="216">
        <v>7</v>
      </c>
      <c r="N312" s="293">
        <v>230</v>
      </c>
      <c r="O312" s="219"/>
      <c r="P312" s="219" t="s">
        <v>39</v>
      </c>
      <c r="Q312" s="170"/>
      <c r="R312" s="192" t="str">
        <f>CONCATENATE(N312,P312)</f>
        <v>230grams</v>
      </c>
      <c r="S312" s="198">
        <f>M312*N312</f>
        <v>1610</v>
      </c>
      <c r="T312" s="199" t="str">
        <f>CONCATENATE(S312,Q312,P312)</f>
        <v>1610grams</v>
      </c>
      <c r="U312" s="200">
        <f>L312*M312</f>
        <v>221.62</v>
      </c>
      <c r="V312" s="12"/>
      <c r="W312" s="12"/>
    </row>
    <row r="313" spans="1:23" x14ac:dyDescent="0.3">
      <c r="A313" s="183">
        <v>87</v>
      </c>
      <c r="B313" s="46" t="s">
        <v>48</v>
      </c>
      <c r="C313" s="170"/>
      <c r="D313" s="194"/>
      <c r="E313" s="170"/>
      <c r="F313" s="170"/>
      <c r="G313" s="170"/>
      <c r="H313" s="194" t="s">
        <v>2024</v>
      </c>
      <c r="I313" s="170"/>
      <c r="J313" s="46" t="s">
        <v>979</v>
      </c>
      <c r="K313" s="170"/>
      <c r="L313" s="197">
        <v>143.19999999999999</v>
      </c>
      <c r="M313" s="197">
        <v>2</v>
      </c>
      <c r="N313" s="290">
        <v>1000</v>
      </c>
      <c r="O313" s="46"/>
      <c r="P313" s="46" t="s">
        <v>39</v>
      </c>
      <c r="Q313" s="170"/>
      <c r="R313" s="192" t="str">
        <f>CONCATENATE(N313,P313)</f>
        <v>1000grams</v>
      </c>
      <c r="S313" s="198">
        <f>M313*N313</f>
        <v>2000</v>
      </c>
      <c r="T313" s="199" t="str">
        <f>CONCATENATE(S313,Q313,P313)</f>
        <v>2000grams</v>
      </c>
      <c r="U313" s="200">
        <f>L313*M313</f>
        <v>286.39999999999998</v>
      </c>
      <c r="V313" s="12"/>
      <c r="W313" s="12"/>
    </row>
    <row r="314" spans="1:23" x14ac:dyDescent="0.3">
      <c r="A314" s="183">
        <v>87</v>
      </c>
      <c r="B314" s="46" t="s">
        <v>48</v>
      </c>
      <c r="C314" s="170"/>
      <c r="D314" s="194"/>
      <c r="E314" s="194"/>
      <c r="F314" s="194"/>
      <c r="G314" s="170"/>
      <c r="H314" s="194" t="s">
        <v>2020</v>
      </c>
      <c r="I314" s="170"/>
      <c r="J314" s="46" t="s">
        <v>979</v>
      </c>
      <c r="K314" s="170"/>
      <c r="L314" s="197">
        <v>36.700000000000003</v>
      </c>
      <c r="M314" s="197">
        <v>1</v>
      </c>
      <c r="N314" s="290">
        <v>230</v>
      </c>
      <c r="O314" s="46"/>
      <c r="P314" s="46" t="s">
        <v>39</v>
      </c>
      <c r="Q314" s="170"/>
      <c r="R314" s="192" t="str">
        <f>CONCATENATE(N314,P314)</f>
        <v>230grams</v>
      </c>
      <c r="S314" s="198">
        <f>M314*N314</f>
        <v>230</v>
      </c>
      <c r="T314" s="199" t="str">
        <f>CONCATENATE(S314,Q314,P314)</f>
        <v>230grams</v>
      </c>
      <c r="U314" s="200">
        <f>L314*M314</f>
        <v>36.700000000000003</v>
      </c>
      <c r="V314" s="12"/>
      <c r="W314" s="12"/>
    </row>
    <row r="315" spans="1:23" x14ac:dyDescent="0.3">
      <c r="A315" s="183">
        <v>87</v>
      </c>
      <c r="B315" s="46" t="s">
        <v>48</v>
      </c>
      <c r="C315" s="170"/>
      <c r="D315" s="194"/>
      <c r="E315" s="194"/>
      <c r="F315" s="194"/>
      <c r="G315" s="170"/>
      <c r="H315" s="194" t="s">
        <v>2024</v>
      </c>
      <c r="I315" s="170"/>
      <c r="J315" s="46" t="s">
        <v>981</v>
      </c>
      <c r="K315" s="170"/>
      <c r="L315" s="197">
        <v>120</v>
      </c>
      <c r="M315" s="197">
        <v>1</v>
      </c>
      <c r="N315" s="290">
        <v>1000</v>
      </c>
      <c r="O315" s="46"/>
      <c r="P315" s="46" t="s">
        <v>39</v>
      </c>
      <c r="Q315" s="170"/>
      <c r="R315" s="192" t="str">
        <f>CONCATENATE(N315,P315)</f>
        <v>1000grams</v>
      </c>
      <c r="S315" s="198">
        <f>M315*N315</f>
        <v>1000</v>
      </c>
      <c r="T315" s="199" t="str">
        <f>CONCATENATE(S315,Q315,P315)</f>
        <v>1000grams</v>
      </c>
      <c r="U315" s="200">
        <f>L315*M315</f>
        <v>120</v>
      </c>
      <c r="V315" s="12"/>
      <c r="W315" s="12"/>
    </row>
    <row r="316" spans="1:23" x14ac:dyDescent="0.3">
      <c r="A316" s="183">
        <v>87</v>
      </c>
      <c r="B316" s="46" t="s">
        <v>48</v>
      </c>
      <c r="C316" s="170"/>
      <c r="D316" s="194"/>
      <c r="E316" s="194"/>
      <c r="F316" s="194"/>
      <c r="G316" s="170"/>
      <c r="H316" s="194" t="s">
        <v>2023</v>
      </c>
      <c r="I316" s="170"/>
      <c r="J316" s="46" t="s">
        <v>983</v>
      </c>
      <c r="K316" s="170"/>
      <c r="L316" s="197">
        <v>21</v>
      </c>
      <c r="M316" s="197">
        <v>1</v>
      </c>
      <c r="N316" s="290">
        <v>62</v>
      </c>
      <c r="O316" s="46"/>
      <c r="P316" s="46" t="s">
        <v>39</v>
      </c>
      <c r="Q316" s="170"/>
      <c r="R316" s="192" t="str">
        <f>CONCATENATE(N316,P316)</f>
        <v>62grams</v>
      </c>
      <c r="S316" s="198">
        <f>M316*N316</f>
        <v>62</v>
      </c>
      <c r="T316" s="199" t="str">
        <f>CONCATENATE(S316,Q316,P316)</f>
        <v>62grams</v>
      </c>
      <c r="U316" s="200">
        <f>L316*M316</f>
        <v>21</v>
      </c>
      <c r="V316" s="12"/>
      <c r="W316" s="12"/>
    </row>
    <row r="317" spans="1:23" x14ac:dyDescent="0.3">
      <c r="A317" s="183">
        <v>87</v>
      </c>
      <c r="B317" s="46" t="s">
        <v>48</v>
      </c>
      <c r="C317" s="215"/>
      <c r="D317" s="194"/>
      <c r="E317" s="215"/>
      <c r="F317" s="215"/>
      <c r="G317" s="215"/>
      <c r="H317" s="400" t="s">
        <v>2027</v>
      </c>
      <c r="I317" s="170"/>
      <c r="J317" s="46" t="s">
        <v>980</v>
      </c>
      <c r="K317" s="170"/>
      <c r="L317" s="195">
        <v>142</v>
      </c>
      <c r="M317" s="197">
        <v>1</v>
      </c>
      <c r="N317" s="360">
        <v>1</v>
      </c>
      <c r="O317" s="61"/>
      <c r="P317" s="61" t="s">
        <v>213</v>
      </c>
      <c r="Q317" s="170"/>
      <c r="R317" s="192" t="str">
        <f>CONCATENATE(N317,P317)</f>
        <v>1kilos</v>
      </c>
      <c r="S317" s="198">
        <f>M317*N317</f>
        <v>1</v>
      </c>
      <c r="T317" s="199" t="str">
        <f>CONCATENATE(S317,Q317,P317)</f>
        <v>1kilos</v>
      </c>
      <c r="U317" s="200">
        <f>L317*M317</f>
        <v>142</v>
      </c>
      <c r="V317" s="12"/>
      <c r="W317" s="12"/>
    </row>
    <row r="318" spans="1:23" x14ac:dyDescent="0.3">
      <c r="A318" s="183">
        <v>88</v>
      </c>
      <c r="B318" s="194" t="s">
        <v>513</v>
      </c>
      <c r="C318" s="170"/>
      <c r="D318" s="194" t="str">
        <f ca="1">IFERROR(__xludf.DUMMYFUNCTION("IF(J70="""",""n/a"",IFERROR(SPLIT(J70,""/"")))"),"n/a")</f>
        <v>n/a</v>
      </c>
      <c r="E318" s="170"/>
      <c r="F318" s="170"/>
      <c r="G318" s="170"/>
      <c r="H318" s="206" t="s">
        <v>1898</v>
      </c>
      <c r="I318" s="170"/>
      <c r="J318" s="170"/>
      <c r="K318" s="170"/>
      <c r="L318" s="197">
        <v>49</v>
      </c>
      <c r="M318" s="386">
        <v>2</v>
      </c>
      <c r="N318" s="208">
        <v>1</v>
      </c>
      <c r="O318" s="170">
        <f>E318</f>
        <v>0</v>
      </c>
      <c r="P318" s="61" t="s">
        <v>39</v>
      </c>
      <c r="Q318" s="170"/>
      <c r="R318" s="192" t="str">
        <f>CONCATENATE(N318,P318)</f>
        <v>1grams</v>
      </c>
      <c r="S318" s="198">
        <f>M318*N318</f>
        <v>2</v>
      </c>
      <c r="T318" s="199" t="str">
        <f>CONCATENATE(S318,Q318,P318)</f>
        <v>2grams</v>
      </c>
      <c r="U318" s="200">
        <f>L318*M318</f>
        <v>98</v>
      </c>
      <c r="V318" s="12"/>
      <c r="W318" s="12"/>
    </row>
    <row r="319" spans="1:23" x14ac:dyDescent="0.3">
      <c r="A319" s="183">
        <v>89</v>
      </c>
      <c r="B319" s="46" t="s">
        <v>984</v>
      </c>
      <c r="C319" s="170"/>
      <c r="D319" s="194"/>
      <c r="E319" s="194"/>
      <c r="F319" s="194"/>
      <c r="G319" s="170"/>
      <c r="H319" s="194" t="s">
        <v>2025</v>
      </c>
      <c r="I319" s="170"/>
      <c r="J319" s="46" t="s">
        <v>985</v>
      </c>
      <c r="K319" s="170"/>
      <c r="L319" s="197">
        <v>18.14</v>
      </c>
      <c r="M319" s="197">
        <v>0</v>
      </c>
      <c r="N319" s="290">
        <v>62</v>
      </c>
      <c r="O319" s="46"/>
      <c r="P319" s="46" t="s">
        <v>39</v>
      </c>
      <c r="Q319" s="170"/>
      <c r="R319" s="192" t="str">
        <f>CONCATENATE(N319,P319)</f>
        <v>62grams</v>
      </c>
      <c r="S319" s="198">
        <f>M319*N319</f>
        <v>0</v>
      </c>
      <c r="T319" s="199" t="str">
        <f>CONCATENATE(S319,Q319,P319)</f>
        <v>0grams</v>
      </c>
      <c r="U319" s="200">
        <f>L319*M319</f>
        <v>0</v>
      </c>
      <c r="V319" s="12"/>
      <c r="W319" s="12"/>
    </row>
    <row r="320" spans="1:23" x14ac:dyDescent="0.3">
      <c r="A320" s="183">
        <v>90</v>
      </c>
      <c r="B320" s="194" t="s">
        <v>127</v>
      </c>
      <c r="C320" s="170"/>
      <c r="D320" s="194" t="str">
        <f ca="1">IFERROR(__xludf.DUMMYFUNCTION("IF(J71="""",""n/a"",IFERROR(SPLIT(J71,""/"")))"),"Tropical Brewed")</f>
        <v>Tropical Brewed</v>
      </c>
      <c r="E320" s="194" t="str">
        <f ca="1">IFERROR(__xludf.DUMMYFUNCTION("""COMPUTED_VALUE"""),"pack")</f>
        <v>pack</v>
      </c>
      <c r="F320" s="194">
        <f ca="1">IFERROR(__xludf.DUMMYFUNCTION("""COMPUTED_VALUE"""),1000)</f>
        <v>1000</v>
      </c>
      <c r="G320" s="170"/>
      <c r="H320" s="183" t="s">
        <v>1897</v>
      </c>
      <c r="I320" s="170"/>
      <c r="J320" s="46" t="s">
        <v>514</v>
      </c>
      <c r="K320" s="170"/>
      <c r="L320" s="195">
        <v>0.7</v>
      </c>
      <c r="M320" s="202">
        <v>2000</v>
      </c>
      <c r="N320" s="203">
        <v>1000</v>
      </c>
      <c r="O320" s="61" t="str">
        <f ca="1">E320</f>
        <v>pack</v>
      </c>
      <c r="P320" s="61" t="s">
        <v>39</v>
      </c>
      <c r="Q320" s="170"/>
      <c r="R320" s="192" t="str">
        <f>CONCATENATE(N320,P320)</f>
        <v>1000grams</v>
      </c>
      <c r="S320" s="198">
        <f>M320*N320</f>
        <v>2000000</v>
      </c>
      <c r="T320" s="199" t="str">
        <f>CONCATENATE(S320,Q320,P320)</f>
        <v>2000000grams</v>
      </c>
      <c r="U320" s="200">
        <f>L320*M320</f>
        <v>1400</v>
      </c>
      <c r="V320" s="205"/>
      <c r="W320" s="62"/>
    </row>
    <row r="321" spans="1:23" x14ac:dyDescent="0.3">
      <c r="A321" s="183">
        <v>90</v>
      </c>
      <c r="B321" s="194" t="s">
        <v>127</v>
      </c>
      <c r="C321" s="170"/>
      <c r="D321" s="194" t="str">
        <f ca="1">IFERROR(__xludf.DUMMYFUNCTION("IF(J72="""",""n/a"",IFERROR(SPLIT(J72,""/"")))"),"Tropical Brewed")</f>
        <v>Tropical Brewed</v>
      </c>
      <c r="E321" s="194" t="str">
        <f ca="1">IFERROR(__xludf.DUMMYFUNCTION("""COMPUTED_VALUE"""),"pack")</f>
        <v>pack</v>
      </c>
      <c r="F321" s="194" t="str">
        <f ca="1">IFERROR(__xludf.DUMMYFUNCTION("""COMPUTED_VALUE"""),"500grams")</f>
        <v>500grams</v>
      </c>
      <c r="G321" s="170"/>
      <c r="H321" s="183" t="s">
        <v>1895</v>
      </c>
      <c r="I321" s="170"/>
      <c r="J321" s="46" t="s">
        <v>128</v>
      </c>
      <c r="K321" s="170"/>
      <c r="L321" s="195">
        <v>350</v>
      </c>
      <c r="M321" s="197">
        <v>3</v>
      </c>
      <c r="N321" s="224">
        <v>0.5</v>
      </c>
      <c r="O321" s="61" t="str">
        <f ca="1">E321</f>
        <v>pack</v>
      </c>
      <c r="P321" s="224" t="s">
        <v>39</v>
      </c>
      <c r="Q321" s="170"/>
      <c r="R321" s="192" t="str">
        <f>CONCATENATE(N321,P321)</f>
        <v>0.5grams</v>
      </c>
      <c r="S321" s="198">
        <f>M321*N321</f>
        <v>1.5</v>
      </c>
      <c r="T321" s="199" t="str">
        <f>CONCATENATE(S321,Q321,P321)</f>
        <v>1.5grams</v>
      </c>
      <c r="U321" s="200">
        <f>L321*M321</f>
        <v>1050</v>
      </c>
      <c r="V321" s="12"/>
      <c r="W321" s="12"/>
    </row>
    <row r="322" spans="1:23" x14ac:dyDescent="0.3">
      <c r="A322" s="183">
        <v>90</v>
      </c>
      <c r="B322" s="194" t="s">
        <v>127</v>
      </c>
      <c r="C322" s="170"/>
      <c r="D322" s="194" t="str">
        <f ca="1">IFERROR(__xludf.DUMMYFUNCTION("IF(J73="""",""n/a"",IFERROR(SPLIT(J73,""/"")))"),"n/a")</f>
        <v>n/a</v>
      </c>
      <c r="E322" s="170"/>
      <c r="F322" s="170"/>
      <c r="G322" s="170"/>
      <c r="H322" s="206" t="s">
        <v>1898</v>
      </c>
      <c r="I322" s="170"/>
      <c r="J322" s="170"/>
      <c r="K322" s="170"/>
      <c r="L322" s="197">
        <v>0.6</v>
      </c>
      <c r="M322" s="385">
        <v>2000</v>
      </c>
      <c r="N322" s="208">
        <v>1000</v>
      </c>
      <c r="O322" s="170">
        <f>E322</f>
        <v>0</v>
      </c>
      <c r="P322" s="209" t="s">
        <v>39</v>
      </c>
      <c r="Q322" s="170"/>
      <c r="R322" s="192" t="str">
        <f>CONCATENATE(N322,P322)</f>
        <v>1000grams</v>
      </c>
      <c r="S322" s="198">
        <f>M322*N322</f>
        <v>2000000</v>
      </c>
      <c r="T322" s="199" t="str">
        <f>CONCATENATE(S322,Q322,P322)</f>
        <v>2000000grams</v>
      </c>
      <c r="U322" s="200">
        <f>L322*M322</f>
        <v>1200</v>
      </c>
      <c r="V322" s="12"/>
      <c r="W322" s="12"/>
    </row>
    <row r="323" spans="1:23" x14ac:dyDescent="0.3">
      <c r="A323" s="183">
        <v>91</v>
      </c>
      <c r="B323" s="46" t="s">
        <v>986</v>
      </c>
      <c r="C323" s="170"/>
      <c r="D323" s="194"/>
      <c r="E323" s="194"/>
      <c r="F323" s="194"/>
      <c r="G323" s="170"/>
      <c r="H323" s="194" t="s">
        <v>2025</v>
      </c>
      <c r="I323" s="170"/>
      <c r="J323" s="170"/>
      <c r="K323" s="170"/>
      <c r="L323" s="197">
        <v>150</v>
      </c>
      <c r="M323" s="197">
        <v>2</v>
      </c>
      <c r="N323" s="290">
        <v>1</v>
      </c>
      <c r="O323" s="46"/>
      <c r="P323" s="46" t="s">
        <v>213</v>
      </c>
      <c r="Q323" s="170"/>
      <c r="R323" s="192" t="str">
        <f>CONCATENATE(N323,P323)</f>
        <v>1kilos</v>
      </c>
      <c r="S323" s="198">
        <f>M323*N323</f>
        <v>2</v>
      </c>
      <c r="T323" s="199" t="str">
        <f>CONCATENATE(S323,Q323,P323)</f>
        <v>2kilos</v>
      </c>
      <c r="U323" s="200">
        <f>L323*M323</f>
        <v>300</v>
      </c>
      <c r="V323" s="12"/>
      <c r="W323" s="12"/>
    </row>
    <row r="324" spans="1:23" x14ac:dyDescent="0.3">
      <c r="A324" s="183">
        <v>91</v>
      </c>
      <c r="B324" s="46" t="s">
        <v>986</v>
      </c>
      <c r="C324" s="215"/>
      <c r="D324" s="194"/>
      <c r="E324" s="214"/>
      <c r="F324" s="214"/>
      <c r="G324" s="215"/>
      <c r="H324" s="194" t="s">
        <v>2026</v>
      </c>
      <c r="I324" s="170"/>
      <c r="J324" s="170"/>
      <c r="K324" s="170"/>
      <c r="L324" s="197">
        <v>300</v>
      </c>
      <c r="M324" s="197">
        <v>3</v>
      </c>
      <c r="N324" s="290">
        <v>1</v>
      </c>
      <c r="O324" s="46"/>
      <c r="P324" s="46" t="s">
        <v>213</v>
      </c>
      <c r="Q324" s="170"/>
      <c r="R324" s="192" t="str">
        <f>CONCATENATE(N324,P324)</f>
        <v>1kilos</v>
      </c>
      <c r="S324" s="198">
        <f>M324*N324</f>
        <v>3</v>
      </c>
      <c r="T324" s="199" t="str">
        <f>CONCATENATE(S324,Q324,P324)</f>
        <v>3kilos</v>
      </c>
      <c r="U324" s="200">
        <f>L324*M324</f>
        <v>900</v>
      </c>
      <c r="V324" s="12"/>
      <c r="W324" s="12"/>
    </row>
    <row r="325" spans="1:23" x14ac:dyDescent="0.3">
      <c r="A325" s="183">
        <v>91</v>
      </c>
      <c r="B325" s="46" t="s">
        <v>986</v>
      </c>
      <c r="C325" s="170"/>
      <c r="D325" s="194"/>
      <c r="E325" s="194"/>
      <c r="F325" s="194"/>
      <c r="G325" s="170"/>
      <c r="H325" s="194" t="s">
        <v>1368</v>
      </c>
      <c r="I325" s="170"/>
      <c r="J325" s="170"/>
      <c r="K325" s="170"/>
      <c r="L325" s="197">
        <v>100</v>
      </c>
      <c r="M325" s="197">
        <v>1</v>
      </c>
      <c r="N325" s="290">
        <v>1</v>
      </c>
      <c r="O325" s="46"/>
      <c r="P325" s="46" t="s">
        <v>213</v>
      </c>
      <c r="Q325" s="170"/>
      <c r="R325" s="192" t="str">
        <f>CONCATENATE(N325,P325)</f>
        <v>1kilos</v>
      </c>
      <c r="S325" s="198">
        <f>M325*N325</f>
        <v>1</v>
      </c>
      <c r="T325" s="199" t="str">
        <f>CONCATENATE(S325,Q325,P325)</f>
        <v>1kilos</v>
      </c>
      <c r="U325" s="200">
        <f>L325*M325</f>
        <v>100</v>
      </c>
      <c r="V325" s="12"/>
      <c r="W325" s="12"/>
    </row>
    <row r="326" spans="1:23" x14ac:dyDescent="0.3">
      <c r="A326" s="183">
        <v>92</v>
      </c>
      <c r="B326" s="194" t="s">
        <v>235</v>
      </c>
      <c r="C326" s="170"/>
      <c r="D326" s="194" t="str">
        <f ca="1">IFERROR(__xludf.DUMMYFUNCTION("IF(J74="""",""n/a"",IFERROR(SPLIT(J74,""/"")))"),"Knorr")</f>
        <v>Knorr</v>
      </c>
      <c r="E326" s="194" t="str">
        <f ca="1">IFERROR(__xludf.DUMMYFUNCTION("""COMPUTED_VALUE"""),"box")</f>
        <v>box</v>
      </c>
      <c r="F326" s="194" t="str">
        <f ca="1">IFERROR(__xludf.DUMMYFUNCTION("""COMPUTED_VALUE"""),"grams")</f>
        <v>grams</v>
      </c>
      <c r="G326" s="194" t="str">
        <f ca="1">IFERROR(__xludf.DUMMYFUNCTION("""COMPUTED_VALUE"""),"12pcs")</f>
        <v>12pcs</v>
      </c>
      <c r="H326" s="183" t="s">
        <v>1897</v>
      </c>
      <c r="I326" s="170"/>
      <c r="J326" s="46" t="s">
        <v>515</v>
      </c>
      <c r="K326" s="170"/>
      <c r="L326" s="197">
        <v>0.56999999999999995</v>
      </c>
      <c r="M326" s="202">
        <v>240</v>
      </c>
      <c r="N326" s="203">
        <v>120</v>
      </c>
      <c r="O326" s="61" t="str">
        <f ca="1">E326</f>
        <v>box</v>
      </c>
      <c r="P326" s="61" t="s">
        <v>39</v>
      </c>
      <c r="Q326" s="170"/>
      <c r="R326" s="192" t="str">
        <f>CONCATENATE(N326,P326)</f>
        <v>120grams</v>
      </c>
      <c r="S326" s="198">
        <f>M326*N326</f>
        <v>28800</v>
      </c>
      <c r="T326" s="199" t="str">
        <f>CONCATENATE(S326,Q326,P326)</f>
        <v>28800grams</v>
      </c>
      <c r="U326" s="200">
        <f>L326*M326</f>
        <v>136.79999999999998</v>
      </c>
      <c r="V326" s="205"/>
      <c r="W326" s="62"/>
    </row>
    <row r="327" spans="1:23" x14ac:dyDescent="0.3">
      <c r="A327" s="183">
        <v>92</v>
      </c>
      <c r="B327" s="194" t="s">
        <v>235</v>
      </c>
      <c r="C327" s="170"/>
      <c r="D327" s="194" t="str">
        <f ca="1">IFERROR(__xludf.DUMMYFUNCTION("IF(J75="""",""n/a"",IFERROR(SPLIT(J75,""/"")))"),"Mc Cormick")</f>
        <v>Mc Cormick</v>
      </c>
      <c r="E327" s="194" t="str">
        <f ca="1">IFERROR(__xludf.DUMMYFUNCTION("""COMPUTED_VALUE"""),"bottle")</f>
        <v>bottle</v>
      </c>
      <c r="F327" s="194" t="str">
        <f ca="1">IFERROR(__xludf.DUMMYFUNCTION("""COMPUTED_VALUE"""),"30ml")</f>
        <v>30ml</v>
      </c>
      <c r="G327" s="170"/>
      <c r="H327" s="183" t="s">
        <v>1897</v>
      </c>
      <c r="I327" s="170"/>
      <c r="J327" s="46" t="s">
        <v>516</v>
      </c>
      <c r="K327" s="170"/>
      <c r="L327" s="195">
        <v>2.17</v>
      </c>
      <c r="M327" s="202">
        <v>30</v>
      </c>
      <c r="N327" s="202">
        <v>30</v>
      </c>
      <c r="O327" s="61" t="str">
        <f ca="1">E327</f>
        <v>bottle</v>
      </c>
      <c r="P327" s="197" t="s">
        <v>32</v>
      </c>
      <c r="Q327" s="61" t="s">
        <v>33</v>
      </c>
      <c r="R327" s="192" t="str">
        <f>CONCATENATE(N327,P327)</f>
        <v>30ml</v>
      </c>
      <c r="S327" s="198">
        <f>M327*N327</f>
        <v>900</v>
      </c>
      <c r="T327" s="199" t="str">
        <f>CONCATENATE(S327,Q327,P327)</f>
        <v>900 ml</v>
      </c>
      <c r="U327" s="200">
        <f>L327*M327</f>
        <v>65.099999999999994</v>
      </c>
      <c r="V327" s="205"/>
      <c r="W327" s="62"/>
    </row>
    <row r="328" spans="1:23" x14ac:dyDescent="0.3">
      <c r="A328" s="183">
        <v>92</v>
      </c>
      <c r="B328" s="194" t="s">
        <v>235</v>
      </c>
      <c r="C328" s="170"/>
      <c r="D328" s="194" t="str">
        <f ca="1">IFERROR(__xludf.DUMMYFUNCTION("IF(J76="""",""n/a"",IFERROR(SPLIT(J76,""/"")))"),"Knorr")</f>
        <v>Knorr</v>
      </c>
      <c r="E328" s="194" t="str">
        <f ca="1">IFERROR(__xludf.DUMMYFUNCTION("""COMPUTED_VALUE"""),"box")</f>
        <v>box</v>
      </c>
      <c r="F328" s="194" t="str">
        <f ca="1">IFERROR(__xludf.DUMMYFUNCTION("""COMPUTED_VALUE"""),"60grams")</f>
        <v>60grams</v>
      </c>
      <c r="G328" s="170"/>
      <c r="H328" s="183" t="s">
        <v>1895</v>
      </c>
      <c r="I328" s="170"/>
      <c r="J328" s="46" t="s">
        <v>236</v>
      </c>
      <c r="K328" s="170"/>
      <c r="L328" s="195">
        <v>35.200000000000003</v>
      </c>
      <c r="M328" s="197">
        <v>2</v>
      </c>
      <c r="N328" s="61">
        <v>1</v>
      </c>
      <c r="O328" s="61" t="str">
        <f ca="1">E328</f>
        <v>box</v>
      </c>
      <c r="P328" s="61" t="s">
        <v>39</v>
      </c>
      <c r="Q328" s="170"/>
      <c r="R328" s="192" t="str">
        <f>CONCATENATE(N328,P328)</f>
        <v>1grams</v>
      </c>
      <c r="S328" s="198">
        <f>M328*N328</f>
        <v>2</v>
      </c>
      <c r="T328" s="199" t="str">
        <f>CONCATENATE(S328,Q328,P328)</f>
        <v>2grams</v>
      </c>
      <c r="U328" s="200">
        <f>L328*M328</f>
        <v>70.400000000000006</v>
      </c>
      <c r="V328" s="12"/>
      <c r="W328" s="12"/>
    </row>
    <row r="329" spans="1:23" x14ac:dyDescent="0.3">
      <c r="A329" s="183">
        <v>92</v>
      </c>
      <c r="B329" s="46" t="s">
        <v>235</v>
      </c>
      <c r="C329" s="170"/>
      <c r="D329" s="194"/>
      <c r="E329" s="170"/>
      <c r="F329" s="170"/>
      <c r="G329" s="170"/>
      <c r="H329" s="194" t="s">
        <v>2025</v>
      </c>
      <c r="I329" s="170"/>
      <c r="J329" s="46" t="s">
        <v>987</v>
      </c>
      <c r="K329" s="170"/>
      <c r="L329" s="197">
        <v>68.3</v>
      </c>
      <c r="M329" s="197">
        <v>2</v>
      </c>
      <c r="N329" s="290">
        <v>120</v>
      </c>
      <c r="O329" s="46"/>
      <c r="P329" s="46" t="s">
        <v>39</v>
      </c>
      <c r="Q329" s="170"/>
      <c r="R329" s="192" t="str">
        <f>CONCATENATE(N329,P329)</f>
        <v>120grams</v>
      </c>
      <c r="S329" s="198">
        <f>M329*N329</f>
        <v>240</v>
      </c>
      <c r="T329" s="199" t="str">
        <f>CONCATENATE(S329,Q329,P329)</f>
        <v>240grams</v>
      </c>
      <c r="U329" s="200">
        <f>L329*M329</f>
        <v>136.6</v>
      </c>
      <c r="V329" s="12"/>
      <c r="W329" s="12"/>
    </row>
    <row r="330" spans="1:23" x14ac:dyDescent="0.3">
      <c r="A330" s="183">
        <v>92</v>
      </c>
      <c r="B330" s="46" t="s">
        <v>235</v>
      </c>
      <c r="C330" s="170"/>
      <c r="D330" s="194"/>
      <c r="E330" s="170"/>
      <c r="F330" s="170"/>
      <c r="G330" s="170"/>
      <c r="H330" s="194" t="s">
        <v>2023</v>
      </c>
      <c r="I330" s="170"/>
      <c r="J330" s="46" t="s">
        <v>987</v>
      </c>
      <c r="K330" s="170"/>
      <c r="L330" s="197">
        <v>35.200000000000003</v>
      </c>
      <c r="M330" s="197">
        <v>3</v>
      </c>
      <c r="N330" s="290">
        <v>60</v>
      </c>
      <c r="O330" s="46"/>
      <c r="P330" s="46" t="s">
        <v>39</v>
      </c>
      <c r="Q330" s="170"/>
      <c r="R330" s="192" t="str">
        <f>CONCATENATE(N330,P330)</f>
        <v>60grams</v>
      </c>
      <c r="S330" s="198">
        <f>M330*N330</f>
        <v>180</v>
      </c>
      <c r="T330" s="199" t="str">
        <f>CONCATENATE(S330,Q330,P330)</f>
        <v>180grams</v>
      </c>
      <c r="U330" s="200">
        <f>L330*M330</f>
        <v>105.60000000000001</v>
      </c>
      <c r="V330" s="12"/>
      <c r="W330" s="12"/>
    </row>
    <row r="331" spans="1:23" x14ac:dyDescent="0.3">
      <c r="A331" s="183">
        <v>92</v>
      </c>
      <c r="B331" s="46" t="s">
        <v>235</v>
      </c>
      <c r="C331" s="170"/>
      <c r="D331" s="194"/>
      <c r="E331" s="194"/>
      <c r="F331" s="170"/>
      <c r="G331" s="170"/>
      <c r="H331" s="194" t="s">
        <v>2022</v>
      </c>
      <c r="I331" s="170"/>
      <c r="J331" s="46" t="s">
        <v>987</v>
      </c>
      <c r="K331" s="170"/>
      <c r="L331" s="197">
        <v>68</v>
      </c>
      <c r="M331" s="197">
        <v>7</v>
      </c>
      <c r="N331" s="290">
        <v>120</v>
      </c>
      <c r="O331" s="46"/>
      <c r="P331" s="46" t="s">
        <v>39</v>
      </c>
      <c r="Q331" s="170"/>
      <c r="R331" s="192" t="str">
        <f>CONCATENATE(N331,P331)</f>
        <v>120grams</v>
      </c>
      <c r="S331" s="198">
        <f>M331*N331</f>
        <v>840</v>
      </c>
      <c r="T331" s="199" t="str">
        <f>CONCATENATE(S331,Q331,P331)</f>
        <v>840grams</v>
      </c>
      <c r="U331" s="200">
        <f>L331*M331</f>
        <v>476</v>
      </c>
      <c r="V331" s="12"/>
      <c r="W331" s="12"/>
    </row>
    <row r="332" spans="1:23" x14ac:dyDescent="0.3">
      <c r="A332" s="183">
        <v>92</v>
      </c>
      <c r="B332" s="46" t="s">
        <v>235</v>
      </c>
      <c r="C332" s="170"/>
      <c r="D332" s="194"/>
      <c r="E332" s="194"/>
      <c r="F332" s="170"/>
      <c r="G332" s="170"/>
      <c r="H332" s="194" t="s">
        <v>2022</v>
      </c>
      <c r="I332" s="170"/>
      <c r="J332" s="46" t="s">
        <v>987</v>
      </c>
      <c r="K332" s="170"/>
      <c r="L332" s="197">
        <v>35.200000000000003</v>
      </c>
      <c r="M332" s="197">
        <v>3</v>
      </c>
      <c r="N332" s="290">
        <v>60</v>
      </c>
      <c r="O332" s="46"/>
      <c r="P332" s="46" t="s">
        <v>39</v>
      </c>
      <c r="Q332" s="170"/>
      <c r="R332" s="192" t="str">
        <f>CONCATENATE(N332,P332)</f>
        <v>60grams</v>
      </c>
      <c r="S332" s="198">
        <f>M332*N332</f>
        <v>180</v>
      </c>
      <c r="T332" s="199" t="str">
        <f>CONCATENATE(S332,Q332,P332)</f>
        <v>180grams</v>
      </c>
      <c r="U332" s="200">
        <f>L332*M332</f>
        <v>105.60000000000001</v>
      </c>
      <c r="V332" s="12"/>
      <c r="W332" s="12"/>
    </row>
    <row r="333" spans="1:23" x14ac:dyDescent="0.3">
      <c r="A333" s="183">
        <v>92</v>
      </c>
      <c r="B333" s="46" t="s">
        <v>235</v>
      </c>
      <c r="C333" s="170"/>
      <c r="D333" s="194"/>
      <c r="E333" s="194"/>
      <c r="F333" s="194"/>
      <c r="G333" s="194"/>
      <c r="H333" s="194" t="s">
        <v>2021</v>
      </c>
      <c r="I333" s="170"/>
      <c r="J333" s="46" t="s">
        <v>987</v>
      </c>
      <c r="K333" s="170"/>
      <c r="L333" s="216">
        <v>5.67</v>
      </c>
      <c r="M333" s="216">
        <v>12</v>
      </c>
      <c r="N333" s="293">
        <v>10</v>
      </c>
      <c r="O333" s="219"/>
      <c r="P333" s="219" t="s">
        <v>39</v>
      </c>
      <c r="Q333" s="170"/>
      <c r="R333" s="192" t="str">
        <f>CONCATENATE(N333,P333)</f>
        <v>10grams</v>
      </c>
      <c r="S333" s="198">
        <f>M333*N333</f>
        <v>120</v>
      </c>
      <c r="T333" s="199" t="str">
        <f>CONCATENATE(S333,Q333,P333)</f>
        <v>120grams</v>
      </c>
      <c r="U333" s="200">
        <f>L333*M333</f>
        <v>68.039999999999992</v>
      </c>
      <c r="V333" s="12"/>
      <c r="W333" s="12"/>
    </row>
    <row r="334" spans="1:23" x14ac:dyDescent="0.3">
      <c r="A334" s="183">
        <v>92</v>
      </c>
      <c r="B334" s="46" t="s">
        <v>235</v>
      </c>
      <c r="C334" s="170"/>
      <c r="D334" s="194"/>
      <c r="E334" s="170"/>
      <c r="F334" s="170"/>
      <c r="G334" s="170"/>
      <c r="H334" s="194" t="s">
        <v>1368</v>
      </c>
      <c r="I334" s="170"/>
      <c r="J334" s="46" t="s">
        <v>987</v>
      </c>
      <c r="K334" s="170"/>
      <c r="L334" s="197">
        <v>5</v>
      </c>
      <c r="M334" s="197">
        <v>36</v>
      </c>
      <c r="N334" s="290">
        <v>10</v>
      </c>
      <c r="O334" s="46"/>
      <c r="P334" s="46" t="s">
        <v>39</v>
      </c>
      <c r="Q334" s="170"/>
      <c r="R334" s="192" t="str">
        <f>CONCATENATE(N334,P334)</f>
        <v>10grams</v>
      </c>
      <c r="S334" s="198">
        <f>M334*N334</f>
        <v>360</v>
      </c>
      <c r="T334" s="199" t="str">
        <f>CONCATENATE(S334,Q334,P334)</f>
        <v>360grams</v>
      </c>
      <c r="U334" s="200">
        <f>L334*M334</f>
        <v>180</v>
      </c>
      <c r="V334" s="12"/>
      <c r="W334" s="12"/>
    </row>
    <row r="335" spans="1:23" x14ac:dyDescent="0.3">
      <c r="A335" s="183">
        <v>93</v>
      </c>
      <c r="B335" s="194" t="s">
        <v>237</v>
      </c>
      <c r="C335" s="170"/>
      <c r="D335" s="194" t="str">
        <f ca="1">IFERROR(__xludf.DUMMYFUNCTION("IF(J77="""",""n/a"",IFERROR(SPLIT(J77,""/"")))"),"Knorr")</f>
        <v>Knorr</v>
      </c>
      <c r="E335" s="194" t="str">
        <f ca="1">IFERROR(__xludf.DUMMYFUNCTION("""COMPUTED_VALUE"""),"box")</f>
        <v>box</v>
      </c>
      <c r="F335" s="194" t="str">
        <f ca="1">IFERROR(__xludf.DUMMYFUNCTION("""COMPUTED_VALUE"""),"grams")</f>
        <v>grams</v>
      </c>
      <c r="G335" s="170"/>
      <c r="H335" s="183" t="s">
        <v>1897</v>
      </c>
      <c r="I335" s="170"/>
      <c r="J335" s="46" t="s">
        <v>517</v>
      </c>
      <c r="K335" s="170"/>
      <c r="L335" s="197">
        <v>0.56999999999999995</v>
      </c>
      <c r="M335" s="202">
        <v>240</v>
      </c>
      <c r="N335" s="203">
        <v>120</v>
      </c>
      <c r="O335" s="61" t="str">
        <f ca="1">E335</f>
        <v>box</v>
      </c>
      <c r="P335" s="61" t="s">
        <v>39</v>
      </c>
      <c r="Q335" s="170"/>
      <c r="R335" s="192" t="str">
        <f>CONCATENATE(N335,P335)</f>
        <v>120grams</v>
      </c>
      <c r="S335" s="198">
        <f>M335*N335</f>
        <v>28800</v>
      </c>
      <c r="T335" s="199" t="str">
        <f>CONCATENATE(S335,Q335,P335)</f>
        <v>28800grams</v>
      </c>
      <c r="U335" s="200">
        <f>L335*M335</f>
        <v>136.79999999999998</v>
      </c>
      <c r="V335" s="205"/>
      <c r="W335" s="62"/>
    </row>
    <row r="336" spans="1:23" x14ac:dyDescent="0.3">
      <c r="A336" s="183">
        <v>93</v>
      </c>
      <c r="B336" s="194" t="s">
        <v>237</v>
      </c>
      <c r="C336" s="170"/>
      <c r="D336" s="194" t="str">
        <f ca="1">IFERROR(__xludf.DUMMYFUNCTION("IF(J78="""",""n/a"",IFERROR(SPLIT(J78,""/"")))"),"Knorr")</f>
        <v>Knorr</v>
      </c>
      <c r="E336" s="194" t="str">
        <f ca="1">IFERROR(__xludf.DUMMYFUNCTION("""COMPUTED_VALUE"""),"box")</f>
        <v>box</v>
      </c>
      <c r="F336" s="194" t="str">
        <f ca="1">IFERROR(__xludf.DUMMYFUNCTION("""COMPUTED_VALUE"""),"60grams")</f>
        <v>60grams</v>
      </c>
      <c r="G336" s="170"/>
      <c r="H336" s="183" t="s">
        <v>1895</v>
      </c>
      <c r="I336" s="170"/>
      <c r="J336" s="46" t="s">
        <v>236</v>
      </c>
      <c r="K336" s="170"/>
      <c r="L336" s="195">
        <v>35.200000000000003</v>
      </c>
      <c r="M336" s="197">
        <v>3</v>
      </c>
      <c r="N336" s="61">
        <v>1</v>
      </c>
      <c r="O336" s="61" t="str">
        <f ca="1">E336</f>
        <v>box</v>
      </c>
      <c r="P336" s="61" t="s">
        <v>39</v>
      </c>
      <c r="Q336" s="170"/>
      <c r="R336" s="192" t="str">
        <f>CONCATENATE(N336,P336)</f>
        <v>1grams</v>
      </c>
      <c r="S336" s="198">
        <f>M336*N336</f>
        <v>3</v>
      </c>
      <c r="T336" s="199" t="str">
        <f>CONCATENATE(S336,Q336,P336)</f>
        <v>3grams</v>
      </c>
      <c r="U336" s="200">
        <f>L336*M336</f>
        <v>105.60000000000001</v>
      </c>
      <c r="V336" s="12"/>
      <c r="W336" s="12"/>
    </row>
    <row r="337" spans="1:23" x14ac:dyDescent="0.3">
      <c r="A337" s="183">
        <v>93</v>
      </c>
      <c r="B337" s="46" t="s">
        <v>237</v>
      </c>
      <c r="C337" s="170"/>
      <c r="D337" s="194"/>
      <c r="E337" s="194"/>
      <c r="F337" s="194"/>
      <c r="G337" s="170"/>
      <c r="H337" s="194" t="s">
        <v>29</v>
      </c>
      <c r="I337" s="170"/>
      <c r="J337" s="46" t="s">
        <v>987</v>
      </c>
      <c r="K337" s="170"/>
      <c r="L337" s="197">
        <v>5.86</v>
      </c>
      <c r="M337" s="197">
        <v>7</v>
      </c>
      <c r="N337" s="290">
        <v>10</v>
      </c>
      <c r="O337" s="46"/>
      <c r="P337" s="46" t="s">
        <v>39</v>
      </c>
      <c r="Q337" s="170"/>
      <c r="R337" s="192" t="str">
        <f>CONCATENATE(N337,P337)</f>
        <v>10grams</v>
      </c>
      <c r="S337" s="198">
        <f>M337*N337</f>
        <v>70</v>
      </c>
      <c r="T337" s="199" t="str">
        <f>CONCATENATE(S337,Q337,P337)</f>
        <v>70grams</v>
      </c>
      <c r="U337" s="200">
        <f>L337*M337</f>
        <v>41.02</v>
      </c>
      <c r="V337" s="12"/>
      <c r="W337" s="12"/>
    </row>
    <row r="338" spans="1:23" x14ac:dyDescent="0.3">
      <c r="A338" s="183">
        <v>93</v>
      </c>
      <c r="B338" s="46" t="s">
        <v>237</v>
      </c>
      <c r="C338" s="170"/>
      <c r="D338" s="194"/>
      <c r="E338" s="194"/>
      <c r="F338" s="194"/>
      <c r="G338" s="170"/>
      <c r="H338" s="194" t="s">
        <v>2026</v>
      </c>
      <c r="I338" s="170"/>
      <c r="J338" s="46" t="s">
        <v>987</v>
      </c>
      <c r="K338" s="170"/>
      <c r="L338" s="197">
        <v>35.200000000000003</v>
      </c>
      <c r="M338" s="197">
        <v>3</v>
      </c>
      <c r="N338" s="290">
        <v>60</v>
      </c>
      <c r="O338" s="46"/>
      <c r="P338" s="46" t="s">
        <v>39</v>
      </c>
      <c r="Q338" s="170"/>
      <c r="R338" s="192" t="str">
        <f>CONCATENATE(N338,P338)</f>
        <v>60grams</v>
      </c>
      <c r="S338" s="198">
        <f>M338*N338</f>
        <v>180</v>
      </c>
      <c r="T338" s="199" t="str">
        <f>CONCATENATE(S338,Q338,P338)</f>
        <v>180grams</v>
      </c>
      <c r="U338" s="200">
        <f>L338*M338</f>
        <v>105.60000000000001</v>
      </c>
      <c r="V338" s="12"/>
      <c r="W338" s="12"/>
    </row>
    <row r="339" spans="1:23" x14ac:dyDescent="0.3">
      <c r="A339" s="183">
        <v>93</v>
      </c>
      <c r="B339" s="46" t="s">
        <v>237</v>
      </c>
      <c r="C339" s="170"/>
      <c r="D339" s="194"/>
      <c r="E339" s="170"/>
      <c r="F339" s="170"/>
      <c r="G339" s="170"/>
      <c r="H339" s="194" t="s">
        <v>2023</v>
      </c>
      <c r="I339" s="170"/>
      <c r="J339" s="46" t="s">
        <v>987</v>
      </c>
      <c r="K339" s="170"/>
      <c r="L339" s="197">
        <v>35.200000000000003</v>
      </c>
      <c r="M339" s="197">
        <v>3</v>
      </c>
      <c r="N339" s="290">
        <v>60</v>
      </c>
      <c r="O339" s="46"/>
      <c r="P339" s="46" t="s">
        <v>39</v>
      </c>
      <c r="Q339" s="170"/>
      <c r="R339" s="192" t="str">
        <f>CONCATENATE(N339,P339)</f>
        <v>60grams</v>
      </c>
      <c r="S339" s="198">
        <f>M339*N339</f>
        <v>180</v>
      </c>
      <c r="T339" s="199" t="str">
        <f>CONCATENATE(S339,Q339,P339)</f>
        <v>180grams</v>
      </c>
      <c r="U339" s="200">
        <f>L339*M339</f>
        <v>105.60000000000001</v>
      </c>
      <c r="V339" s="12"/>
      <c r="W339" s="12"/>
    </row>
    <row r="340" spans="1:23" x14ac:dyDescent="0.3">
      <c r="A340" s="183">
        <v>93</v>
      </c>
      <c r="B340" s="46" t="s">
        <v>237</v>
      </c>
      <c r="C340" s="170"/>
      <c r="D340" s="194"/>
      <c r="E340" s="194"/>
      <c r="F340" s="194"/>
      <c r="G340" s="194"/>
      <c r="H340" s="194" t="s">
        <v>2022</v>
      </c>
      <c r="I340" s="170"/>
      <c r="J340" s="46" t="s">
        <v>987</v>
      </c>
      <c r="K340" s="170"/>
      <c r="L340" s="197">
        <v>68</v>
      </c>
      <c r="M340" s="197">
        <v>12</v>
      </c>
      <c r="N340" s="290">
        <v>120</v>
      </c>
      <c r="O340" s="46"/>
      <c r="P340" s="46" t="s">
        <v>39</v>
      </c>
      <c r="Q340" s="170"/>
      <c r="R340" s="192" t="str">
        <f>CONCATENATE(N340,P340)</f>
        <v>120grams</v>
      </c>
      <c r="S340" s="198">
        <f>M340*N340</f>
        <v>1440</v>
      </c>
      <c r="T340" s="199" t="str">
        <f>CONCATENATE(S340,Q340,P340)</f>
        <v>1440grams</v>
      </c>
      <c r="U340" s="200">
        <f>L340*M340</f>
        <v>816</v>
      </c>
      <c r="V340" s="12"/>
      <c r="W340" s="12"/>
    </row>
    <row r="341" spans="1:23" x14ac:dyDescent="0.3">
      <c r="A341" s="183">
        <v>93</v>
      </c>
      <c r="B341" s="46" t="s">
        <v>237</v>
      </c>
      <c r="C341" s="170"/>
      <c r="D341" s="194"/>
      <c r="E341" s="194"/>
      <c r="F341" s="194"/>
      <c r="G341" s="170"/>
      <c r="H341" s="194" t="s">
        <v>2021</v>
      </c>
      <c r="I341" s="170"/>
      <c r="J341" s="46" t="s">
        <v>987</v>
      </c>
      <c r="K341" s="170"/>
      <c r="L341" s="216">
        <v>5.78</v>
      </c>
      <c r="M341" s="216">
        <v>12</v>
      </c>
      <c r="N341" s="293">
        <v>30</v>
      </c>
      <c r="O341" s="219"/>
      <c r="P341" s="219" t="s">
        <v>39</v>
      </c>
      <c r="Q341" s="170"/>
      <c r="R341" s="192" t="str">
        <f>CONCATENATE(N341,P341)</f>
        <v>30grams</v>
      </c>
      <c r="S341" s="198">
        <f>M341*N341</f>
        <v>360</v>
      </c>
      <c r="T341" s="199" t="str">
        <f>CONCATENATE(S341,Q341,P341)</f>
        <v>360grams</v>
      </c>
      <c r="U341" s="200">
        <f>L341*M341</f>
        <v>69.36</v>
      </c>
      <c r="V341" s="12"/>
      <c r="W341" s="12"/>
    </row>
    <row r="342" spans="1:23" x14ac:dyDescent="0.3">
      <c r="A342" s="183">
        <v>93</v>
      </c>
      <c r="B342" s="46" t="s">
        <v>237</v>
      </c>
      <c r="C342" s="215"/>
      <c r="D342" s="194"/>
      <c r="E342" s="215"/>
      <c r="F342" s="215"/>
      <c r="G342" s="215"/>
      <c r="H342" s="400" t="s">
        <v>2027</v>
      </c>
      <c r="I342" s="170"/>
      <c r="J342" s="46" t="s">
        <v>987</v>
      </c>
      <c r="K342" s="170"/>
      <c r="L342" s="195">
        <v>6</v>
      </c>
      <c r="M342" s="197">
        <v>34</v>
      </c>
      <c r="N342" s="360">
        <v>1</v>
      </c>
      <c r="O342" s="61"/>
      <c r="P342" s="61" t="s">
        <v>92</v>
      </c>
      <c r="Q342" s="170"/>
      <c r="R342" s="192" t="str">
        <f>CONCATENATE(N342,P342)</f>
        <v>1pieces</v>
      </c>
      <c r="S342" s="198">
        <f>M342*N342</f>
        <v>34</v>
      </c>
      <c r="T342" s="199" t="str">
        <f>CONCATENATE(S342,Q342,P342)</f>
        <v>34pieces</v>
      </c>
      <c r="U342" s="200">
        <f>L342*M342</f>
        <v>204</v>
      </c>
      <c r="V342" s="12"/>
      <c r="W342" s="12"/>
    </row>
    <row r="343" spans="1:23" x14ac:dyDescent="0.3">
      <c r="A343" s="183">
        <v>94</v>
      </c>
      <c r="B343" s="194" t="s">
        <v>518</v>
      </c>
      <c r="C343" s="170"/>
      <c r="D343" s="194" t="str">
        <f ca="1">IFERROR(__xludf.DUMMYFUNCTION("IF(J79="""",""n/a"",IFERROR(SPLIT(J79,""/"")))"),"Knorr")</f>
        <v>Knorr</v>
      </c>
      <c r="E343" s="194" t="str">
        <f ca="1">IFERROR(__xludf.DUMMYFUNCTION("""COMPUTED_VALUE"""),"box")</f>
        <v>box</v>
      </c>
      <c r="F343" s="194" t="str">
        <f ca="1">IFERROR(__xludf.DUMMYFUNCTION("""COMPUTED_VALUE"""),"grams")</f>
        <v>grams</v>
      </c>
      <c r="G343" s="170"/>
      <c r="H343" s="183" t="s">
        <v>1897</v>
      </c>
      <c r="I343" s="170"/>
      <c r="J343" s="46" t="s">
        <v>517</v>
      </c>
      <c r="K343" s="170"/>
      <c r="L343" s="197">
        <v>0.56999999999999995</v>
      </c>
      <c r="M343" s="202">
        <v>120</v>
      </c>
      <c r="N343" s="203">
        <v>120</v>
      </c>
      <c r="O343" s="61" t="str">
        <f ca="1">E343</f>
        <v>box</v>
      </c>
      <c r="P343" s="61" t="s">
        <v>39</v>
      </c>
      <c r="Q343" s="61" t="s">
        <v>33</v>
      </c>
      <c r="R343" s="192" t="str">
        <f>CONCATENATE(N343,P343)</f>
        <v>120grams</v>
      </c>
      <c r="S343" s="198">
        <f>M343*N343</f>
        <v>14400</v>
      </c>
      <c r="T343" s="199" t="str">
        <f>CONCATENATE(S343,Q343,P343)</f>
        <v>14400 grams</v>
      </c>
      <c r="U343" s="200">
        <f>L343*M343</f>
        <v>68.399999999999991</v>
      </c>
      <c r="V343" s="205"/>
      <c r="W343" s="62"/>
    </row>
    <row r="344" spans="1:23" x14ac:dyDescent="0.3">
      <c r="A344" s="183">
        <v>94</v>
      </c>
      <c r="B344" s="46" t="s">
        <v>518</v>
      </c>
      <c r="C344" s="170"/>
      <c r="D344" s="194"/>
      <c r="E344" s="170"/>
      <c r="F344" s="170"/>
      <c r="G344" s="170"/>
      <c r="H344" s="194" t="s">
        <v>29</v>
      </c>
      <c r="I344" s="170"/>
      <c r="J344" s="46" t="s">
        <v>987</v>
      </c>
      <c r="K344" s="170"/>
      <c r="L344" s="197">
        <v>5.86</v>
      </c>
      <c r="M344" s="197">
        <v>8</v>
      </c>
      <c r="N344" s="290">
        <v>60</v>
      </c>
      <c r="O344" s="46"/>
      <c r="P344" s="46" t="s">
        <v>39</v>
      </c>
      <c r="Q344" s="170"/>
      <c r="R344" s="192" t="str">
        <f>CONCATENATE(N344,P344)</f>
        <v>60grams</v>
      </c>
      <c r="S344" s="198">
        <f>M344*N344</f>
        <v>480</v>
      </c>
      <c r="T344" s="199" t="str">
        <f>CONCATENATE(S344,Q344,P344)</f>
        <v>480grams</v>
      </c>
      <c r="U344" s="200">
        <f>L344*M344</f>
        <v>46.88</v>
      </c>
      <c r="V344" s="12"/>
      <c r="W344" s="12"/>
    </row>
    <row r="345" spans="1:23" x14ac:dyDescent="0.3">
      <c r="A345" s="183">
        <v>94</v>
      </c>
      <c r="B345" s="46" t="s">
        <v>518</v>
      </c>
      <c r="C345" s="170"/>
      <c r="D345" s="194"/>
      <c r="E345" s="170"/>
      <c r="F345" s="170"/>
      <c r="G345" s="170"/>
      <c r="H345" s="194" t="s">
        <v>2026</v>
      </c>
      <c r="I345" s="170"/>
      <c r="J345" s="46" t="s">
        <v>987</v>
      </c>
      <c r="K345" s="170"/>
      <c r="L345" s="197">
        <v>35.200000000000003</v>
      </c>
      <c r="M345" s="197">
        <v>3</v>
      </c>
      <c r="N345" s="290">
        <v>60</v>
      </c>
      <c r="O345" s="46"/>
      <c r="P345" s="46" t="s">
        <v>39</v>
      </c>
      <c r="Q345" s="170"/>
      <c r="R345" s="192" t="str">
        <f>CONCATENATE(N345,P345)</f>
        <v>60grams</v>
      </c>
      <c r="S345" s="198">
        <f>M345*N345</f>
        <v>180</v>
      </c>
      <c r="T345" s="199" t="str">
        <f>CONCATENATE(S345,Q345,P345)</f>
        <v>180grams</v>
      </c>
      <c r="U345" s="200">
        <f>L345*M345</f>
        <v>105.60000000000001</v>
      </c>
      <c r="V345" s="12"/>
      <c r="W345" s="12"/>
    </row>
    <row r="346" spans="1:23" x14ac:dyDescent="0.3">
      <c r="A346" s="183">
        <v>94</v>
      </c>
      <c r="B346" s="46" t="s">
        <v>518</v>
      </c>
      <c r="C346" s="170"/>
      <c r="D346" s="194"/>
      <c r="E346" s="170"/>
      <c r="F346" s="170"/>
      <c r="G346" s="170"/>
      <c r="H346" s="194" t="s">
        <v>2023</v>
      </c>
      <c r="I346" s="170"/>
      <c r="J346" s="46" t="s">
        <v>987</v>
      </c>
      <c r="K346" s="170"/>
      <c r="L346" s="197">
        <v>35.200000000000003</v>
      </c>
      <c r="M346" s="197">
        <v>3</v>
      </c>
      <c r="N346" s="290">
        <v>60</v>
      </c>
      <c r="O346" s="46"/>
      <c r="P346" s="46" t="s">
        <v>39</v>
      </c>
      <c r="Q346" s="170"/>
      <c r="R346" s="192" t="str">
        <f>CONCATENATE(N346,P346)</f>
        <v>60grams</v>
      </c>
      <c r="S346" s="198">
        <f>M346*N346</f>
        <v>180</v>
      </c>
      <c r="T346" s="199" t="str">
        <f>CONCATENATE(S346,Q346,P346)</f>
        <v>180grams</v>
      </c>
      <c r="U346" s="200">
        <f>L346*M346</f>
        <v>105.60000000000001</v>
      </c>
      <c r="V346" s="12"/>
      <c r="W346" s="12"/>
    </row>
    <row r="347" spans="1:23" x14ac:dyDescent="0.3">
      <c r="A347" s="183">
        <v>94</v>
      </c>
      <c r="B347" s="46" t="s">
        <v>518</v>
      </c>
      <c r="C347" s="170"/>
      <c r="D347" s="194"/>
      <c r="E347" s="170"/>
      <c r="F347" s="170"/>
      <c r="G347" s="170"/>
      <c r="H347" s="194" t="s">
        <v>2021</v>
      </c>
      <c r="I347" s="170"/>
      <c r="J347" s="46" t="s">
        <v>987</v>
      </c>
      <c r="K347" s="170"/>
      <c r="L347" s="216">
        <v>5.66</v>
      </c>
      <c r="M347" s="216">
        <v>7</v>
      </c>
      <c r="N347" s="293">
        <v>10</v>
      </c>
      <c r="O347" s="219"/>
      <c r="P347" s="219" t="s">
        <v>39</v>
      </c>
      <c r="Q347" s="170"/>
      <c r="R347" s="192" t="str">
        <f>CONCATENATE(N347,P347)</f>
        <v>10grams</v>
      </c>
      <c r="S347" s="198">
        <f>M347*N347</f>
        <v>70</v>
      </c>
      <c r="T347" s="199" t="str">
        <f>CONCATENATE(S347,Q347,P347)</f>
        <v>70grams</v>
      </c>
      <c r="U347" s="200">
        <f>L347*M347</f>
        <v>39.620000000000005</v>
      </c>
      <c r="V347" s="12"/>
      <c r="W347" s="12"/>
    </row>
    <row r="348" spans="1:23" x14ac:dyDescent="0.3">
      <c r="A348" s="183">
        <v>94</v>
      </c>
      <c r="B348" s="46" t="s">
        <v>518</v>
      </c>
      <c r="C348" s="170"/>
      <c r="D348" s="194"/>
      <c r="E348" s="170"/>
      <c r="F348" s="170"/>
      <c r="G348" s="170"/>
      <c r="H348" s="194" t="s">
        <v>1368</v>
      </c>
      <c r="I348" s="170"/>
      <c r="J348" s="46" t="s">
        <v>987</v>
      </c>
      <c r="K348" s="170"/>
      <c r="L348" s="197">
        <v>5</v>
      </c>
      <c r="M348" s="197">
        <v>44</v>
      </c>
      <c r="N348" s="290">
        <v>10</v>
      </c>
      <c r="O348" s="46"/>
      <c r="P348" s="46" t="s">
        <v>39</v>
      </c>
      <c r="Q348" s="170"/>
      <c r="R348" s="192" t="str">
        <f>CONCATENATE(N348,P348)</f>
        <v>10grams</v>
      </c>
      <c r="S348" s="198">
        <f>M348*N348</f>
        <v>440</v>
      </c>
      <c r="T348" s="199" t="str">
        <f>CONCATENATE(S348,Q348,P348)</f>
        <v>440grams</v>
      </c>
      <c r="U348" s="200">
        <f>L348*M348</f>
        <v>220</v>
      </c>
      <c r="V348" s="12"/>
      <c r="W348" s="12"/>
    </row>
    <row r="349" spans="1:23" x14ac:dyDescent="0.3">
      <c r="A349" s="183">
        <v>94</v>
      </c>
      <c r="B349" s="46" t="s">
        <v>518</v>
      </c>
      <c r="C349" s="170"/>
      <c r="D349" s="194"/>
      <c r="E349" s="194"/>
      <c r="F349" s="170"/>
      <c r="G349" s="170"/>
      <c r="H349" s="194" t="s">
        <v>2025</v>
      </c>
      <c r="I349" s="170"/>
      <c r="J349" s="46" t="s">
        <v>987</v>
      </c>
      <c r="K349" s="170"/>
      <c r="L349" s="197">
        <v>68.3</v>
      </c>
      <c r="M349" s="197">
        <v>2</v>
      </c>
      <c r="N349" s="290">
        <v>120</v>
      </c>
      <c r="O349" s="46"/>
      <c r="P349" s="46" t="s">
        <v>39</v>
      </c>
      <c r="Q349" s="170"/>
      <c r="R349" s="192" t="str">
        <f>CONCATENATE(N349,P349)</f>
        <v>120grams</v>
      </c>
      <c r="S349" s="198">
        <f>M349*N349</f>
        <v>240</v>
      </c>
      <c r="T349" s="199" t="str">
        <f>CONCATENATE(S349,Q349,P349)</f>
        <v>240grams</v>
      </c>
      <c r="U349" s="200">
        <f>L349*M349</f>
        <v>136.6</v>
      </c>
      <c r="V349" s="12"/>
      <c r="W349" s="12"/>
    </row>
    <row r="350" spans="1:23" x14ac:dyDescent="0.3">
      <c r="A350" s="183">
        <v>94</v>
      </c>
      <c r="B350" s="46" t="s">
        <v>518</v>
      </c>
      <c r="C350" s="215"/>
      <c r="D350" s="194"/>
      <c r="E350" s="215"/>
      <c r="F350" s="215"/>
      <c r="G350" s="215"/>
      <c r="H350" s="400" t="s">
        <v>2027</v>
      </c>
      <c r="I350" s="170"/>
      <c r="J350" s="46" t="s">
        <v>987</v>
      </c>
      <c r="K350" s="170"/>
      <c r="L350" s="195">
        <v>6</v>
      </c>
      <c r="M350" s="197">
        <v>41</v>
      </c>
      <c r="N350" s="360">
        <v>1</v>
      </c>
      <c r="O350" s="61"/>
      <c r="P350" s="61" t="s">
        <v>92</v>
      </c>
      <c r="Q350" s="170"/>
      <c r="R350" s="192" t="str">
        <f>CONCATENATE(N350,P350)</f>
        <v>1pieces</v>
      </c>
      <c r="S350" s="198">
        <f>M350*N350</f>
        <v>41</v>
      </c>
      <c r="T350" s="199" t="str">
        <f>CONCATENATE(S350,Q350,P350)</f>
        <v>41pieces</v>
      </c>
      <c r="U350" s="200">
        <f>L350*M350</f>
        <v>246</v>
      </c>
      <c r="V350" s="12"/>
      <c r="W350" s="12"/>
    </row>
    <row r="351" spans="1:23" x14ac:dyDescent="0.3">
      <c r="A351" s="183">
        <v>95</v>
      </c>
      <c r="B351" s="46" t="s">
        <v>1911</v>
      </c>
      <c r="C351" s="215"/>
      <c r="D351" s="194"/>
      <c r="E351" s="215"/>
      <c r="F351" s="215"/>
      <c r="G351" s="215"/>
      <c r="H351" s="400" t="s">
        <v>2027</v>
      </c>
      <c r="I351" s="170"/>
      <c r="J351" s="46" t="s">
        <v>987</v>
      </c>
      <c r="K351" s="170"/>
      <c r="L351" s="195">
        <v>6</v>
      </c>
      <c r="M351" s="197">
        <v>14</v>
      </c>
      <c r="N351" s="360">
        <v>1</v>
      </c>
      <c r="O351" s="61"/>
      <c r="P351" s="61" t="s">
        <v>92</v>
      </c>
      <c r="Q351" s="170"/>
      <c r="R351" s="192" t="str">
        <f>CONCATENATE(N351,P351)</f>
        <v>1pieces</v>
      </c>
      <c r="S351" s="198">
        <f>M351*N351</f>
        <v>14</v>
      </c>
      <c r="T351" s="199" t="str">
        <f>CONCATENATE(S351,Q351,P351)</f>
        <v>14pieces</v>
      </c>
      <c r="U351" s="200">
        <f>L351*M351</f>
        <v>84</v>
      </c>
      <c r="V351" s="12"/>
      <c r="W351" s="12"/>
    </row>
    <row r="352" spans="1:23" x14ac:dyDescent="0.3">
      <c r="A352" s="183">
        <v>96</v>
      </c>
      <c r="B352" s="219" t="s">
        <v>988</v>
      </c>
      <c r="C352" s="170"/>
      <c r="D352" s="194"/>
      <c r="E352" s="170"/>
      <c r="F352" s="170"/>
      <c r="G352" s="170"/>
      <c r="H352" s="194" t="s">
        <v>2021</v>
      </c>
      <c r="I352" s="170"/>
      <c r="J352" s="46" t="s">
        <v>989</v>
      </c>
      <c r="K352" s="170"/>
      <c r="L352" s="216">
        <v>0.35</v>
      </c>
      <c r="M352" s="216">
        <v>150</v>
      </c>
      <c r="N352" s="293">
        <v>1</v>
      </c>
      <c r="O352" s="46"/>
      <c r="P352" s="46" t="s">
        <v>990</v>
      </c>
      <c r="Q352" s="170"/>
      <c r="R352" s="192" t="str">
        <f>CONCATENATE(N352,P352)</f>
        <v>1ream</v>
      </c>
      <c r="S352" s="198">
        <f>M352*N352</f>
        <v>150</v>
      </c>
      <c r="T352" s="199" t="str">
        <f>CONCATENATE(S352,Q352,P352)</f>
        <v>150ream</v>
      </c>
      <c r="U352" s="200">
        <f>L352*M352</f>
        <v>52.5</v>
      </c>
      <c r="V352" s="12"/>
      <c r="W352" s="12"/>
    </row>
    <row r="353" spans="1:23" x14ac:dyDescent="0.3">
      <c r="A353" s="183">
        <v>96</v>
      </c>
      <c r="B353" s="46" t="s">
        <v>988</v>
      </c>
      <c r="C353" s="170"/>
      <c r="D353" s="194"/>
      <c r="E353" s="194"/>
      <c r="F353" s="194"/>
      <c r="G353" s="170"/>
      <c r="H353" s="194" t="s">
        <v>2022</v>
      </c>
      <c r="I353" s="170"/>
      <c r="J353" s="46" t="s">
        <v>991</v>
      </c>
      <c r="K353" s="170"/>
      <c r="L353" s="197">
        <v>25</v>
      </c>
      <c r="M353" s="197">
        <v>3</v>
      </c>
      <c r="N353" s="290">
        <v>1</v>
      </c>
      <c r="O353" s="46"/>
      <c r="P353" s="46" t="s">
        <v>990</v>
      </c>
      <c r="Q353" s="170"/>
      <c r="R353" s="192" t="str">
        <f>CONCATENATE(N353,P353)</f>
        <v>1ream</v>
      </c>
      <c r="S353" s="198">
        <f>M353*N353</f>
        <v>3</v>
      </c>
      <c r="T353" s="199" t="str">
        <f>CONCATENATE(S353,Q353,P353)</f>
        <v>3ream</v>
      </c>
      <c r="U353" s="200">
        <f>L353*M353</f>
        <v>75</v>
      </c>
      <c r="V353" s="12"/>
      <c r="W353" s="12"/>
    </row>
    <row r="354" spans="1:23" x14ac:dyDescent="0.3">
      <c r="A354" s="183">
        <v>97</v>
      </c>
      <c r="B354" s="46" t="s">
        <v>992</v>
      </c>
      <c r="C354" s="215"/>
      <c r="D354" s="194"/>
      <c r="E354" s="214"/>
      <c r="F354" s="214"/>
      <c r="G354" s="215"/>
      <c r="H354" s="194" t="s">
        <v>29</v>
      </c>
      <c r="I354" s="170"/>
      <c r="J354" s="170"/>
      <c r="K354" s="170"/>
      <c r="L354" s="197">
        <v>47</v>
      </c>
      <c r="M354" s="197">
        <v>15</v>
      </c>
      <c r="N354" s="290">
        <v>1</v>
      </c>
      <c r="O354" s="46"/>
      <c r="P354" s="46" t="s">
        <v>990</v>
      </c>
      <c r="Q354" s="170"/>
      <c r="R354" s="192" t="str">
        <f>CONCATENATE(N354,P354)</f>
        <v>1ream</v>
      </c>
      <c r="S354" s="198">
        <f>M354*N354</f>
        <v>15</v>
      </c>
      <c r="T354" s="199" t="str">
        <f>CONCATENATE(S354,Q354,P354)</f>
        <v>15ream</v>
      </c>
      <c r="U354" s="200">
        <f>L354*M354</f>
        <v>705</v>
      </c>
      <c r="V354" s="12"/>
      <c r="W354" s="12"/>
    </row>
    <row r="355" spans="1:23" x14ac:dyDescent="0.3">
      <c r="A355" s="183">
        <v>97</v>
      </c>
      <c r="B355" s="46" t="s">
        <v>992</v>
      </c>
      <c r="C355" s="170"/>
      <c r="D355" s="194"/>
      <c r="E355" s="170"/>
      <c r="F355" s="170"/>
      <c r="G355" s="170"/>
      <c r="H355" s="194" t="s">
        <v>2025</v>
      </c>
      <c r="I355" s="170"/>
      <c r="J355" s="170"/>
      <c r="K355" s="170"/>
      <c r="L355" s="197">
        <v>0.6</v>
      </c>
      <c r="M355" s="197">
        <v>50</v>
      </c>
      <c r="N355" s="290">
        <v>1</v>
      </c>
      <c r="O355" s="46"/>
      <c r="P355" s="46" t="s">
        <v>990</v>
      </c>
      <c r="Q355" s="170"/>
      <c r="R355" s="192" t="str">
        <f>CONCATENATE(N355,P355)</f>
        <v>1ream</v>
      </c>
      <c r="S355" s="198">
        <f>M355*N355</f>
        <v>50</v>
      </c>
      <c r="T355" s="199" t="str">
        <f>CONCATENATE(S355,Q355,P355)</f>
        <v>50ream</v>
      </c>
      <c r="U355" s="200">
        <f>L355*M355</f>
        <v>30</v>
      </c>
      <c r="V355" s="12"/>
      <c r="W355" s="12"/>
    </row>
    <row r="356" spans="1:23" x14ac:dyDescent="0.3">
      <c r="A356" s="183">
        <v>98</v>
      </c>
      <c r="B356" s="219" t="s">
        <v>993</v>
      </c>
      <c r="C356" s="170"/>
      <c r="D356" s="194"/>
      <c r="E356" s="170"/>
      <c r="F356" s="170"/>
      <c r="G356" s="170"/>
      <c r="H356" s="194" t="s">
        <v>2021</v>
      </c>
      <c r="I356" s="170"/>
      <c r="J356" s="46" t="s">
        <v>989</v>
      </c>
      <c r="K356" s="170"/>
      <c r="L356" s="216">
        <v>1.2</v>
      </c>
      <c r="M356" s="216">
        <v>66</v>
      </c>
      <c r="N356" s="293">
        <v>1</v>
      </c>
      <c r="O356" s="46"/>
      <c r="P356" s="46" t="s">
        <v>990</v>
      </c>
      <c r="Q356" s="170"/>
      <c r="R356" s="192" t="str">
        <f>CONCATENATE(N356,P356)</f>
        <v>1ream</v>
      </c>
      <c r="S356" s="198">
        <f>M356*N356</f>
        <v>66</v>
      </c>
      <c r="T356" s="199" t="str">
        <f>CONCATENATE(S356,Q356,P356)</f>
        <v>66ream</v>
      </c>
      <c r="U356" s="200">
        <f>L356*M356</f>
        <v>79.2</v>
      </c>
      <c r="V356" s="12"/>
      <c r="W356" s="12"/>
    </row>
    <row r="357" spans="1:23" x14ac:dyDescent="0.3">
      <c r="A357" s="183">
        <v>99</v>
      </c>
      <c r="B357" s="219" t="s">
        <v>994</v>
      </c>
      <c r="C357" s="170"/>
      <c r="D357" s="194"/>
      <c r="E357" s="194"/>
      <c r="F357" s="170"/>
      <c r="G357" s="170"/>
      <c r="H357" s="194" t="s">
        <v>2021</v>
      </c>
      <c r="I357" s="170"/>
      <c r="J357" s="46" t="s">
        <v>989</v>
      </c>
      <c r="K357" s="170"/>
      <c r="L357" s="216">
        <v>0.4</v>
      </c>
      <c r="M357" s="216">
        <v>165</v>
      </c>
      <c r="N357" s="293">
        <v>1</v>
      </c>
      <c r="O357" s="46"/>
      <c r="P357" s="46" t="s">
        <v>990</v>
      </c>
      <c r="Q357" s="170"/>
      <c r="R357" s="192" t="str">
        <f>CONCATENATE(N357,P357)</f>
        <v>1ream</v>
      </c>
      <c r="S357" s="198">
        <f>M357*N357</f>
        <v>165</v>
      </c>
      <c r="T357" s="199" t="str">
        <f>CONCATENATE(S357,Q357,P357)</f>
        <v>165ream</v>
      </c>
      <c r="U357" s="200">
        <f>L357*M357</f>
        <v>66</v>
      </c>
      <c r="V357" s="12"/>
      <c r="W357" s="12"/>
    </row>
    <row r="358" spans="1:23" x14ac:dyDescent="0.3">
      <c r="A358" s="183">
        <v>100</v>
      </c>
      <c r="B358" s="46" t="s">
        <v>995</v>
      </c>
      <c r="C358" s="170"/>
      <c r="D358" s="194"/>
      <c r="E358" s="194"/>
      <c r="F358" s="194"/>
      <c r="G358" s="170"/>
      <c r="H358" s="194" t="s">
        <v>1368</v>
      </c>
      <c r="I358" s="170"/>
      <c r="J358" s="46" t="s">
        <v>989</v>
      </c>
      <c r="K358" s="170"/>
      <c r="L358" s="197">
        <v>55</v>
      </c>
      <c r="M358" s="197">
        <v>5</v>
      </c>
      <c r="N358" s="290">
        <v>1</v>
      </c>
      <c r="O358" s="46"/>
      <c r="P358" s="46" t="s">
        <v>990</v>
      </c>
      <c r="Q358" s="170"/>
      <c r="R358" s="192" t="str">
        <f>CONCATENATE(N358,P358)</f>
        <v>1ream</v>
      </c>
      <c r="S358" s="198">
        <f>M358*N358</f>
        <v>5</v>
      </c>
      <c r="T358" s="199" t="str">
        <f>CONCATENATE(S358,Q358,P358)</f>
        <v>5ream</v>
      </c>
      <c r="U358" s="200">
        <f>L358*M358</f>
        <v>275</v>
      </c>
      <c r="V358" s="12"/>
      <c r="W358" s="12"/>
    </row>
    <row r="359" spans="1:23" x14ac:dyDescent="0.3">
      <c r="A359" s="183">
        <v>101</v>
      </c>
      <c r="B359" s="46" t="s">
        <v>996</v>
      </c>
      <c r="C359" s="170"/>
      <c r="D359" s="194"/>
      <c r="E359" s="194"/>
      <c r="F359" s="170"/>
      <c r="G359" s="170"/>
      <c r="H359" s="194" t="s">
        <v>2023</v>
      </c>
      <c r="I359" s="170"/>
      <c r="J359" s="46" t="s">
        <v>989</v>
      </c>
      <c r="K359" s="170"/>
      <c r="L359" s="197">
        <v>0.5</v>
      </c>
      <c r="M359" s="197">
        <v>100</v>
      </c>
      <c r="N359" s="290">
        <v>1</v>
      </c>
      <c r="O359" s="46"/>
      <c r="P359" s="46" t="s">
        <v>990</v>
      </c>
      <c r="Q359" s="170"/>
      <c r="R359" s="192" t="str">
        <f>CONCATENATE(N359,P359)</f>
        <v>1ream</v>
      </c>
      <c r="S359" s="198">
        <f>M359*N359</f>
        <v>100</v>
      </c>
      <c r="T359" s="199" t="str">
        <f>CONCATENATE(S359,Q359,P359)</f>
        <v>100ream</v>
      </c>
      <c r="U359" s="200">
        <f>L359*M359</f>
        <v>50</v>
      </c>
      <c r="V359" s="12"/>
      <c r="W359" s="12"/>
    </row>
    <row r="360" spans="1:23" x14ac:dyDescent="0.3">
      <c r="A360" s="183">
        <v>101</v>
      </c>
      <c r="B360" s="46" t="s">
        <v>996</v>
      </c>
      <c r="C360" s="170"/>
      <c r="D360" s="194"/>
      <c r="E360" s="170"/>
      <c r="F360" s="170"/>
      <c r="G360" s="170"/>
      <c r="H360" s="194" t="s">
        <v>2022</v>
      </c>
      <c r="I360" s="170"/>
      <c r="J360" s="46" t="s">
        <v>991</v>
      </c>
      <c r="K360" s="170"/>
      <c r="L360" s="197">
        <v>44.6</v>
      </c>
      <c r="M360" s="197">
        <v>6</v>
      </c>
      <c r="N360" s="290">
        <v>1</v>
      </c>
      <c r="O360" s="46"/>
      <c r="P360" s="46" t="s">
        <v>990</v>
      </c>
      <c r="Q360" s="170"/>
      <c r="R360" s="192" t="str">
        <f>CONCATENATE(N360,P360)</f>
        <v>1ream</v>
      </c>
      <c r="S360" s="198">
        <f>M360*N360</f>
        <v>6</v>
      </c>
      <c r="T360" s="199" t="str">
        <f>CONCATENATE(S360,Q360,P360)</f>
        <v>6ream</v>
      </c>
      <c r="U360" s="200">
        <f>L360*M360</f>
        <v>267.60000000000002</v>
      </c>
      <c r="V360" s="12"/>
      <c r="W360" s="12"/>
    </row>
    <row r="361" spans="1:23" x14ac:dyDescent="0.3">
      <c r="A361" s="183">
        <v>102</v>
      </c>
      <c r="B361" s="46" t="s">
        <v>997</v>
      </c>
      <c r="C361" s="170"/>
      <c r="D361" s="194"/>
      <c r="E361" s="170"/>
      <c r="F361" s="170"/>
      <c r="G361" s="170"/>
      <c r="H361" s="194" t="s">
        <v>1368</v>
      </c>
      <c r="I361" s="170"/>
      <c r="J361" s="46" t="s">
        <v>989</v>
      </c>
      <c r="K361" s="170"/>
      <c r="L361" s="197">
        <v>75</v>
      </c>
      <c r="M361" s="197">
        <v>3</v>
      </c>
      <c r="N361" s="290">
        <v>1</v>
      </c>
      <c r="O361" s="46"/>
      <c r="P361" s="46" t="s">
        <v>990</v>
      </c>
      <c r="Q361" s="170"/>
      <c r="R361" s="192" t="str">
        <f>CONCATENATE(N361,P361)</f>
        <v>1ream</v>
      </c>
      <c r="S361" s="198">
        <f>M361*N361</f>
        <v>3</v>
      </c>
      <c r="T361" s="199" t="str">
        <f>CONCATENATE(S361,Q361,P361)</f>
        <v>3ream</v>
      </c>
      <c r="U361" s="200">
        <f>L361*M361</f>
        <v>225</v>
      </c>
      <c r="V361" s="12"/>
      <c r="W361" s="12"/>
    </row>
    <row r="362" spans="1:23" x14ac:dyDescent="0.3">
      <c r="A362" s="183">
        <v>103</v>
      </c>
      <c r="B362" s="46" t="s">
        <v>998</v>
      </c>
      <c r="C362" s="170"/>
      <c r="D362" s="194"/>
      <c r="E362" s="170"/>
      <c r="F362" s="170"/>
      <c r="G362" s="170"/>
      <c r="H362" s="194" t="s">
        <v>2022</v>
      </c>
      <c r="I362" s="170"/>
      <c r="J362" s="46" t="s">
        <v>999</v>
      </c>
      <c r="K362" s="170"/>
      <c r="L362" s="197">
        <v>115</v>
      </c>
      <c r="M362" s="197">
        <v>1</v>
      </c>
      <c r="N362" s="290">
        <v>1</v>
      </c>
      <c r="O362" s="46"/>
      <c r="P362" s="46" t="s">
        <v>213</v>
      </c>
      <c r="Q362" s="170"/>
      <c r="R362" s="192" t="str">
        <f>CONCATENATE(N362,P362)</f>
        <v>1kilos</v>
      </c>
      <c r="S362" s="198">
        <f>M362*N362</f>
        <v>1</v>
      </c>
      <c r="T362" s="199" t="str">
        <f>CONCATENATE(S362,Q362,P362)</f>
        <v>1kilos</v>
      </c>
      <c r="U362" s="200">
        <f>L362*M362</f>
        <v>115</v>
      </c>
      <c r="V362" s="12"/>
      <c r="W362" s="12"/>
    </row>
    <row r="363" spans="1:23" x14ac:dyDescent="0.3">
      <c r="A363" s="183">
        <v>103</v>
      </c>
      <c r="B363" s="219" t="s">
        <v>998</v>
      </c>
      <c r="C363" s="170"/>
      <c r="D363" s="194"/>
      <c r="E363" s="194"/>
      <c r="F363" s="194"/>
      <c r="G363" s="170"/>
      <c r="H363" s="194" t="s">
        <v>2021</v>
      </c>
      <c r="I363" s="170"/>
      <c r="J363" s="219" t="s">
        <v>1000</v>
      </c>
      <c r="K363" s="170"/>
      <c r="L363" s="216">
        <v>160</v>
      </c>
      <c r="M363" s="216">
        <v>2</v>
      </c>
      <c r="N363" s="293">
        <v>2</v>
      </c>
      <c r="O363" s="219"/>
      <c r="P363" s="219" t="s">
        <v>213</v>
      </c>
      <c r="Q363" s="61" t="s">
        <v>33</v>
      </c>
      <c r="R363" s="192" t="str">
        <f>CONCATENATE(N363,P363)</f>
        <v>2kilos</v>
      </c>
      <c r="S363" s="198">
        <f>M363*N363</f>
        <v>4</v>
      </c>
      <c r="T363" s="199" t="str">
        <f>CONCATENATE(S363,Q363,P363)</f>
        <v>4 kilos</v>
      </c>
      <c r="U363" s="200">
        <f>L363*M363</f>
        <v>320</v>
      </c>
      <c r="V363" s="12"/>
      <c r="W363" s="12"/>
    </row>
    <row r="364" spans="1:23" x14ac:dyDescent="0.3">
      <c r="A364" s="183">
        <v>103</v>
      </c>
      <c r="B364" s="219" t="s">
        <v>998</v>
      </c>
      <c r="C364" s="170"/>
      <c r="D364" s="194"/>
      <c r="E364" s="194"/>
      <c r="F364" s="194"/>
      <c r="G364" s="170"/>
      <c r="H364" s="194" t="s">
        <v>2021</v>
      </c>
      <c r="I364" s="170"/>
      <c r="J364" s="219" t="s">
        <v>904</v>
      </c>
      <c r="K364" s="170"/>
      <c r="L364" s="216">
        <v>126</v>
      </c>
      <c r="M364" s="216">
        <v>1</v>
      </c>
      <c r="N364" s="293">
        <v>800</v>
      </c>
      <c r="O364" s="219"/>
      <c r="P364" s="219" t="s">
        <v>39</v>
      </c>
      <c r="Q364" s="61" t="s">
        <v>33</v>
      </c>
      <c r="R364" s="192" t="str">
        <f>CONCATENATE(N364,P364)</f>
        <v>800grams</v>
      </c>
      <c r="S364" s="198">
        <f>M364*N364</f>
        <v>800</v>
      </c>
      <c r="T364" s="199" t="str">
        <f>CONCATENATE(S364,Q364,P364)</f>
        <v>800 grams</v>
      </c>
      <c r="U364" s="200">
        <f>L364*M364</f>
        <v>126</v>
      </c>
      <c r="V364" s="12"/>
      <c r="W364" s="12"/>
    </row>
    <row r="365" spans="1:23" x14ac:dyDescent="0.3">
      <c r="A365" s="183">
        <v>103</v>
      </c>
      <c r="B365" s="46" t="s">
        <v>998</v>
      </c>
      <c r="C365" s="215"/>
      <c r="D365" s="194"/>
      <c r="E365" s="215"/>
      <c r="F365" s="215"/>
      <c r="G365" s="215"/>
      <c r="H365" s="400" t="s">
        <v>2027</v>
      </c>
      <c r="I365" s="170"/>
      <c r="J365" s="46" t="s">
        <v>1912</v>
      </c>
      <c r="K365" s="170"/>
      <c r="L365" s="195">
        <v>60</v>
      </c>
      <c r="M365" s="197">
        <v>2</v>
      </c>
      <c r="N365" s="360">
        <v>1</v>
      </c>
      <c r="O365" s="61"/>
      <c r="P365" s="61" t="s">
        <v>213</v>
      </c>
      <c r="Q365" s="170"/>
      <c r="R365" s="192" t="str">
        <f>CONCATENATE(N365,P365)</f>
        <v>1kilos</v>
      </c>
      <c r="S365" s="198">
        <f>M365*N365</f>
        <v>2</v>
      </c>
      <c r="T365" s="199" t="str">
        <f>CONCATENATE(S365,Q365,P365)</f>
        <v>2kilos</v>
      </c>
      <c r="U365" s="200">
        <f>L365*M365</f>
        <v>120</v>
      </c>
      <c r="V365" s="12"/>
      <c r="W365" s="12"/>
    </row>
    <row r="366" spans="1:23" x14ac:dyDescent="0.3">
      <c r="A366" s="183">
        <v>104</v>
      </c>
      <c r="B366" s="194" t="s">
        <v>343</v>
      </c>
      <c r="C366" s="170"/>
      <c r="D366" s="194" t="str">
        <f ca="1">IFERROR(__xludf.DUMMYFUNCTION("IF(J80="""",""n/a"",IFERROR(SPLIT(J80,""/"")))"),"n/a")</f>
        <v>n/a</v>
      </c>
      <c r="E366" s="170"/>
      <c r="F366" s="170"/>
      <c r="G366" s="170"/>
      <c r="H366" s="183" t="s">
        <v>1895</v>
      </c>
      <c r="I366" s="170"/>
      <c r="J366" s="170"/>
      <c r="K366" s="170"/>
      <c r="L366" s="195">
        <v>47</v>
      </c>
      <c r="M366" s="197">
        <v>4</v>
      </c>
      <c r="N366" s="61">
        <v>1</v>
      </c>
      <c r="O366" s="170">
        <f>E366</f>
        <v>0</v>
      </c>
      <c r="P366" s="61" t="s">
        <v>304</v>
      </c>
      <c r="Q366" s="170"/>
      <c r="R366" s="192" t="str">
        <f>CONCATENATE(N366,P366)</f>
        <v>1packs</v>
      </c>
      <c r="S366" s="198">
        <f>M366*N366</f>
        <v>4</v>
      </c>
      <c r="T366" s="199" t="str">
        <f>CONCATENATE(S366,Q366,P366)</f>
        <v>4packs</v>
      </c>
      <c r="U366" s="200">
        <f>L366*M366</f>
        <v>188</v>
      </c>
      <c r="V366" s="12"/>
      <c r="W366" s="12"/>
    </row>
    <row r="367" spans="1:23" x14ac:dyDescent="0.3">
      <c r="A367" s="183">
        <v>105</v>
      </c>
      <c r="B367" s="194" t="s">
        <v>344</v>
      </c>
      <c r="C367" s="170"/>
      <c r="D367" s="194" t="str">
        <f ca="1">IFERROR(__xludf.DUMMYFUNCTION("IF(J81="""",""n/a"",IFERROR(SPLIT(J81,""/"")))"),"n/a")</f>
        <v>n/a</v>
      </c>
      <c r="E367" s="170"/>
      <c r="F367" s="170"/>
      <c r="G367" s="170"/>
      <c r="H367" s="183" t="s">
        <v>1895</v>
      </c>
      <c r="I367" s="170"/>
      <c r="J367" s="170"/>
      <c r="K367" s="170"/>
      <c r="L367" s="195">
        <v>45</v>
      </c>
      <c r="M367" s="197">
        <v>3</v>
      </c>
      <c r="N367" s="61">
        <v>1</v>
      </c>
      <c r="O367" s="170">
        <f>E367</f>
        <v>0</v>
      </c>
      <c r="P367" s="61" t="s">
        <v>304</v>
      </c>
      <c r="Q367" s="170"/>
      <c r="R367" s="192" t="str">
        <f>CONCATENATE(N367,P367)</f>
        <v>1packs</v>
      </c>
      <c r="S367" s="198">
        <f>M367*N367</f>
        <v>3</v>
      </c>
      <c r="T367" s="199" t="str">
        <f>CONCATENATE(S367,Q367,P367)</f>
        <v>3packs</v>
      </c>
      <c r="U367" s="200">
        <f>L367*M367</f>
        <v>135</v>
      </c>
      <c r="V367" s="12"/>
      <c r="W367" s="12"/>
    </row>
    <row r="368" spans="1:23" x14ac:dyDescent="0.3">
      <c r="A368" s="183">
        <v>106</v>
      </c>
      <c r="B368" s="46" t="s">
        <v>1001</v>
      </c>
      <c r="C368" s="170"/>
      <c r="D368" s="194"/>
      <c r="E368" s="194"/>
      <c r="F368" s="194"/>
      <c r="G368" s="170"/>
      <c r="H368" s="194" t="s">
        <v>2023</v>
      </c>
      <c r="I368" s="170"/>
      <c r="J368" s="170"/>
      <c r="K368" s="170"/>
      <c r="L368" s="197">
        <v>46</v>
      </c>
      <c r="M368" s="197">
        <v>1</v>
      </c>
      <c r="N368" s="290">
        <v>1</v>
      </c>
      <c r="O368" s="46"/>
      <c r="P368" s="46" t="s">
        <v>92</v>
      </c>
      <c r="Q368" s="170"/>
      <c r="R368" s="192" t="str">
        <f>CONCATENATE(N368,P368)</f>
        <v>1pieces</v>
      </c>
      <c r="S368" s="198">
        <f>M368*N368</f>
        <v>1</v>
      </c>
      <c r="T368" s="199" t="str">
        <f>CONCATENATE(S368,Q368,P368)</f>
        <v>1pieces</v>
      </c>
      <c r="U368" s="200">
        <f>L368*M368</f>
        <v>46</v>
      </c>
      <c r="V368" s="12"/>
      <c r="W368" s="12"/>
    </row>
    <row r="369" spans="1:23" x14ac:dyDescent="0.3">
      <c r="A369" s="183">
        <v>107</v>
      </c>
      <c r="B369" s="46" t="s">
        <v>1002</v>
      </c>
      <c r="C369" s="170"/>
      <c r="D369" s="194"/>
      <c r="E369" s="170"/>
      <c r="F369" s="170"/>
      <c r="G369" s="170"/>
      <c r="H369" s="194" t="s">
        <v>2024</v>
      </c>
      <c r="I369" s="170"/>
      <c r="J369" s="170"/>
      <c r="K369" s="170"/>
      <c r="L369" s="197">
        <v>260</v>
      </c>
      <c r="M369" s="197">
        <v>1</v>
      </c>
      <c r="N369" s="290">
        <v>1</v>
      </c>
      <c r="O369" s="46"/>
      <c r="P369" s="46" t="s">
        <v>213</v>
      </c>
      <c r="Q369" s="170"/>
      <c r="R369" s="192" t="str">
        <f>CONCATENATE(N369,P369)</f>
        <v>1kilos</v>
      </c>
      <c r="S369" s="198">
        <f>M369*N369</f>
        <v>1</v>
      </c>
      <c r="T369" s="199" t="str">
        <f>CONCATENATE(S369,Q369,P369)</f>
        <v>1kilos</v>
      </c>
      <c r="U369" s="200">
        <f>L369*M369</f>
        <v>260</v>
      </c>
      <c r="V369" s="12"/>
      <c r="W369" s="12"/>
    </row>
    <row r="370" spans="1:23" x14ac:dyDescent="0.3">
      <c r="A370" s="183">
        <v>108</v>
      </c>
      <c r="B370" s="46" t="s">
        <v>1003</v>
      </c>
      <c r="C370" s="170"/>
      <c r="D370" s="194"/>
      <c r="E370" s="170"/>
      <c r="F370" s="170"/>
      <c r="G370" s="170"/>
      <c r="H370" s="194" t="s">
        <v>2020</v>
      </c>
      <c r="I370" s="170"/>
      <c r="J370" s="46" t="s">
        <v>1004</v>
      </c>
      <c r="K370" s="170"/>
      <c r="L370" s="197">
        <v>5</v>
      </c>
      <c r="M370" s="197">
        <v>120</v>
      </c>
      <c r="N370" s="290">
        <v>1</v>
      </c>
      <c r="O370" s="46"/>
      <c r="P370" s="46" t="s">
        <v>92</v>
      </c>
      <c r="Q370" s="170"/>
      <c r="R370" s="192" t="str">
        <f>CONCATENATE(N370,P370)</f>
        <v>1pieces</v>
      </c>
      <c r="S370" s="198">
        <f>M370*N370</f>
        <v>120</v>
      </c>
      <c r="T370" s="199" t="str">
        <f>CONCATENATE(S370,Q370,P370)</f>
        <v>120pieces</v>
      </c>
      <c r="U370" s="200">
        <f>L370*M370</f>
        <v>600</v>
      </c>
      <c r="V370" s="12"/>
      <c r="W370" s="12"/>
    </row>
    <row r="371" spans="1:23" x14ac:dyDescent="0.3">
      <c r="A371" s="183">
        <v>109</v>
      </c>
      <c r="B371" s="482" t="s">
        <v>1005</v>
      </c>
      <c r="C371" s="191"/>
      <c r="D371" s="194"/>
      <c r="E371" s="191"/>
      <c r="F371" s="191"/>
      <c r="G371" s="191"/>
      <c r="H371" s="194" t="s">
        <v>2026</v>
      </c>
      <c r="I371" s="170"/>
      <c r="J371" s="46" t="s">
        <v>1006</v>
      </c>
      <c r="K371" s="170"/>
      <c r="L371" s="197">
        <v>195</v>
      </c>
      <c r="M371" s="387">
        <v>2</v>
      </c>
      <c r="N371" s="504">
        <v>912</v>
      </c>
      <c r="O371" s="46"/>
      <c r="P371" s="519" t="s">
        <v>39</v>
      </c>
      <c r="Q371" s="170"/>
      <c r="R371" s="192" t="str">
        <f>CONCATENATE(N371,P371)</f>
        <v>912grams</v>
      </c>
      <c r="S371" s="198">
        <f>M371*N371</f>
        <v>1824</v>
      </c>
      <c r="T371" s="199" t="str">
        <f>CONCATENATE(S371,Q371,P371)</f>
        <v>1824grams</v>
      </c>
      <c r="U371" s="200">
        <f>L371*M371</f>
        <v>390</v>
      </c>
      <c r="V371" s="12"/>
      <c r="W371" s="12"/>
    </row>
    <row r="372" spans="1:23" x14ac:dyDescent="0.3">
      <c r="A372" s="183">
        <v>109</v>
      </c>
      <c r="B372" s="46" t="s">
        <v>1005</v>
      </c>
      <c r="C372" s="170"/>
      <c r="D372" s="194"/>
      <c r="E372" s="194"/>
      <c r="F372" s="170"/>
      <c r="G372" s="170"/>
      <c r="H372" s="194" t="s">
        <v>1368</v>
      </c>
      <c r="I372" s="170"/>
      <c r="J372" s="46" t="s">
        <v>1006</v>
      </c>
      <c r="K372" s="170"/>
      <c r="L372" s="197">
        <v>268.5</v>
      </c>
      <c r="M372" s="388">
        <v>2</v>
      </c>
      <c r="N372" s="290">
        <v>912</v>
      </c>
      <c r="O372" s="46"/>
      <c r="P372" s="264" t="s">
        <v>39</v>
      </c>
      <c r="Q372" s="170"/>
      <c r="R372" s="192" t="str">
        <f>CONCATENATE(N372,P372)</f>
        <v>912grams</v>
      </c>
      <c r="S372" s="198">
        <f>M372*N372</f>
        <v>1824</v>
      </c>
      <c r="T372" s="199" t="str">
        <f>CONCATENATE(S372,Q372,P372)</f>
        <v>1824grams</v>
      </c>
      <c r="U372" s="200">
        <f>L372*M372</f>
        <v>537</v>
      </c>
      <c r="V372" s="12"/>
      <c r="W372" s="12"/>
    </row>
    <row r="373" spans="1:23" x14ac:dyDescent="0.3">
      <c r="A373" s="183">
        <v>109</v>
      </c>
      <c r="B373" s="219" t="s">
        <v>1005</v>
      </c>
      <c r="C373" s="170"/>
      <c r="D373" s="194"/>
      <c r="E373" s="170"/>
      <c r="F373" s="170"/>
      <c r="G373" s="170"/>
      <c r="H373" s="194" t="s">
        <v>2026</v>
      </c>
      <c r="I373" s="170"/>
      <c r="J373" s="46" t="s">
        <v>1006</v>
      </c>
      <c r="K373" s="170"/>
      <c r="L373" s="197">
        <v>58</v>
      </c>
      <c r="M373" s="388">
        <v>5</v>
      </c>
      <c r="N373" s="290">
        <v>228</v>
      </c>
      <c r="O373" s="46"/>
      <c r="P373" s="264" t="s">
        <v>39</v>
      </c>
      <c r="Q373" s="170"/>
      <c r="R373" s="192" t="str">
        <f>CONCATENATE(N373,P373)</f>
        <v>228grams</v>
      </c>
      <c r="S373" s="198">
        <f>M373*N373</f>
        <v>1140</v>
      </c>
      <c r="T373" s="199" t="str">
        <f>CONCATENATE(S373,Q373,P373)</f>
        <v>1140grams</v>
      </c>
      <c r="U373" s="200">
        <f>L373*M373</f>
        <v>290</v>
      </c>
      <c r="V373" s="12"/>
      <c r="W373" s="12"/>
    </row>
    <row r="374" spans="1:23" x14ac:dyDescent="0.3">
      <c r="A374" s="183">
        <v>110</v>
      </c>
      <c r="B374" s="219" t="s">
        <v>1007</v>
      </c>
      <c r="C374" s="170"/>
      <c r="D374" s="194"/>
      <c r="E374" s="194"/>
      <c r="F374" s="170"/>
      <c r="G374" s="170"/>
      <c r="H374" s="194" t="s">
        <v>2021</v>
      </c>
      <c r="I374" s="170"/>
      <c r="J374" s="219" t="s">
        <v>1008</v>
      </c>
      <c r="K374" s="170"/>
      <c r="L374" s="216">
        <v>54</v>
      </c>
      <c r="M374" s="216">
        <v>4</v>
      </c>
      <c r="N374" s="293">
        <v>200</v>
      </c>
      <c r="O374" s="219"/>
      <c r="P374" s="219" t="s">
        <v>39</v>
      </c>
      <c r="Q374" s="170"/>
      <c r="R374" s="192" t="str">
        <f>CONCATENATE(N374,P374)</f>
        <v>200grams</v>
      </c>
      <c r="S374" s="198">
        <f>M374*N374</f>
        <v>800</v>
      </c>
      <c r="T374" s="199" t="str">
        <f>CONCATENATE(S374,Q374,P374)</f>
        <v>800grams</v>
      </c>
      <c r="U374" s="200">
        <f>L374*M374</f>
        <v>216</v>
      </c>
      <c r="V374" s="12"/>
      <c r="W374" s="12"/>
    </row>
    <row r="375" spans="1:23" x14ac:dyDescent="0.3">
      <c r="A375" s="183">
        <v>110</v>
      </c>
      <c r="B375" s="46" t="s">
        <v>1007</v>
      </c>
      <c r="C375" s="170"/>
      <c r="D375" s="194"/>
      <c r="E375" s="194"/>
      <c r="F375" s="170"/>
      <c r="G375" s="170"/>
      <c r="H375" s="194" t="s">
        <v>1368</v>
      </c>
      <c r="I375" s="170"/>
      <c r="J375" s="46" t="s">
        <v>1009</v>
      </c>
      <c r="K375" s="170"/>
      <c r="L375" s="197">
        <v>52</v>
      </c>
      <c r="M375" s="197">
        <v>4</v>
      </c>
      <c r="N375" s="290">
        <v>200</v>
      </c>
      <c r="O375" s="46"/>
      <c r="P375" s="46" t="s">
        <v>39</v>
      </c>
      <c r="Q375" s="170"/>
      <c r="R375" s="192" t="str">
        <f>CONCATENATE(N375,P375)</f>
        <v>200grams</v>
      </c>
      <c r="S375" s="198">
        <f>M375*N375</f>
        <v>800</v>
      </c>
      <c r="T375" s="199" t="str">
        <f>CONCATENATE(S375,Q375,P375)</f>
        <v>800grams</v>
      </c>
      <c r="U375" s="200">
        <f>L375*M375</f>
        <v>208</v>
      </c>
      <c r="V375" s="12"/>
      <c r="W375" s="12"/>
    </row>
    <row r="376" spans="1:23" x14ac:dyDescent="0.3">
      <c r="A376" s="183">
        <v>111</v>
      </c>
      <c r="B376" s="194" t="s">
        <v>372</v>
      </c>
      <c r="C376" s="170"/>
      <c r="D376" s="194" t="str">
        <f ca="1">IFERROR(__xludf.DUMMYFUNCTION("IF(J82="""",""n/a"",IFERROR(SPLIT(J82,""/"")))"),"Nissin")</f>
        <v>Nissin</v>
      </c>
      <c r="E376" s="194" t="str">
        <f ca="1">IFERROR(__xludf.DUMMYFUNCTION("""COMPUTED_VALUE"""),"pack (10pcsx28grams)")</f>
        <v>pack (10pcsx28grams)</v>
      </c>
      <c r="F376" s="170"/>
      <c r="G376" s="170"/>
      <c r="H376" s="183" t="s">
        <v>1895</v>
      </c>
      <c r="I376" s="170"/>
      <c r="J376" s="46" t="s">
        <v>373</v>
      </c>
      <c r="K376" s="170"/>
      <c r="L376" s="195">
        <v>21.26</v>
      </c>
      <c r="M376" s="197">
        <v>60</v>
      </c>
      <c r="N376" s="61">
        <v>1</v>
      </c>
      <c r="O376" s="61" t="str">
        <f ca="1">E376</f>
        <v>pack (10pcsx28grams)</v>
      </c>
      <c r="P376" s="61" t="s">
        <v>92</v>
      </c>
      <c r="Q376" s="170"/>
      <c r="R376" s="192" t="str">
        <f>CONCATENATE(N376,P376)</f>
        <v>1pieces</v>
      </c>
      <c r="S376" s="198">
        <f>M376*N376</f>
        <v>60</v>
      </c>
      <c r="T376" s="199" t="str">
        <f>CONCATENATE(S376,Q376,P376)</f>
        <v>60pieces</v>
      </c>
      <c r="U376" s="200">
        <f>L376*M376</f>
        <v>1275.6000000000001</v>
      </c>
      <c r="V376" s="12"/>
      <c r="W376" s="12"/>
    </row>
    <row r="377" spans="1:23" x14ac:dyDescent="0.3">
      <c r="A377" s="183">
        <v>112</v>
      </c>
      <c r="B377" s="46" t="s">
        <v>1010</v>
      </c>
      <c r="C377" s="170"/>
      <c r="D377" s="194"/>
      <c r="E377" s="194"/>
      <c r="F377" s="194"/>
      <c r="G377" s="170"/>
      <c r="H377" s="194" t="s">
        <v>1368</v>
      </c>
      <c r="I377" s="170"/>
      <c r="J377" s="46" t="s">
        <v>1011</v>
      </c>
      <c r="K377" s="170"/>
      <c r="L377" s="197">
        <v>62.5</v>
      </c>
      <c r="M377" s="197">
        <v>1</v>
      </c>
      <c r="N377" s="290">
        <v>400</v>
      </c>
      <c r="O377" s="46"/>
      <c r="P377" s="46" t="s">
        <v>39</v>
      </c>
      <c r="Q377" s="170"/>
      <c r="R377" s="192" t="str">
        <f>CONCATENATE(N377,P377)</f>
        <v>400grams</v>
      </c>
      <c r="S377" s="198">
        <f>M377*N377</f>
        <v>400</v>
      </c>
      <c r="T377" s="199" t="str">
        <f>CONCATENATE(S377,Q377,P377)</f>
        <v>400grams</v>
      </c>
      <c r="U377" s="200">
        <f>L377*M377</f>
        <v>62.5</v>
      </c>
      <c r="V377" s="12"/>
      <c r="W377" s="12"/>
    </row>
    <row r="378" spans="1:23" x14ac:dyDescent="0.3">
      <c r="A378" s="183">
        <v>113</v>
      </c>
      <c r="B378" s="214" t="s">
        <v>168</v>
      </c>
      <c r="C378" s="215"/>
      <c r="D378" s="194" t="str">
        <f ca="1">IFERROR(__xludf.DUMMYFUNCTION("IF(J83="""",""n/a"",IFERROR(SPLIT(J83,""/"")))"),"Jolly")</f>
        <v>Jolly</v>
      </c>
      <c r="E378" s="214" t="str">
        <f ca="1">IFERROR(__xludf.DUMMYFUNCTION("""COMPUTED_VALUE"""),"can")</f>
        <v>can</v>
      </c>
      <c r="F378" s="214" t="str">
        <f ca="1">IFERROR(__xludf.DUMMYFUNCTION("""COMPUTED_VALUE"""),"400grams.200grams drained weight")</f>
        <v>400grams.200grams drained weight</v>
      </c>
      <c r="G378" s="215"/>
      <c r="H378" s="183" t="s">
        <v>1895</v>
      </c>
      <c r="I378" s="170"/>
      <c r="J378" s="46" t="s">
        <v>169</v>
      </c>
      <c r="K378" s="170"/>
      <c r="L378" s="195">
        <v>57.61</v>
      </c>
      <c r="M378" s="197">
        <v>23.21</v>
      </c>
      <c r="N378" s="170"/>
      <c r="O378" s="61" t="str">
        <f ca="1">E378</f>
        <v>can</v>
      </c>
      <c r="P378" s="61" t="s">
        <v>519</v>
      </c>
      <c r="Q378" s="170"/>
      <c r="R378" s="192" t="str">
        <f>CONCATENATE(N378,P378)</f>
        <v>drained weight grams</v>
      </c>
      <c r="S378" s="198">
        <f>M378*N378</f>
        <v>0</v>
      </c>
      <c r="T378" s="199" t="str">
        <f>CONCATENATE(S378,Q378,P378)</f>
        <v>0drained weight grams</v>
      </c>
      <c r="U378" s="200">
        <f>L378*M378</f>
        <v>1337.1281000000001</v>
      </c>
      <c r="V378" s="12"/>
      <c r="W378" s="12"/>
    </row>
    <row r="379" spans="1:23" x14ac:dyDescent="0.3">
      <c r="A379" s="183">
        <v>113</v>
      </c>
      <c r="B379" s="46" t="s">
        <v>168</v>
      </c>
      <c r="C379" s="170"/>
      <c r="D379" s="194"/>
      <c r="E379" s="170"/>
      <c r="F379" s="170"/>
      <c r="G379" s="170"/>
      <c r="H379" s="194" t="s">
        <v>2026</v>
      </c>
      <c r="I379" s="170"/>
      <c r="J379" s="46" t="s">
        <v>865</v>
      </c>
      <c r="K379" s="170"/>
      <c r="L379" s="197">
        <v>56.9</v>
      </c>
      <c r="M379" s="197">
        <v>6</v>
      </c>
      <c r="N379" s="290">
        <v>156</v>
      </c>
      <c r="O379" s="46"/>
      <c r="P379" s="46" t="s">
        <v>519</v>
      </c>
      <c r="Q379" s="170"/>
      <c r="R379" s="192" t="str">
        <f>CONCATENATE(N379,P379)</f>
        <v>156drained weight grams</v>
      </c>
      <c r="S379" s="198">
        <f>M379*N379</f>
        <v>936</v>
      </c>
      <c r="T379" s="199" t="str">
        <f>CONCATENATE(S379,Q379,P379)</f>
        <v>936drained weight grams</v>
      </c>
      <c r="U379" s="200">
        <f>L379*M379</f>
        <v>341.4</v>
      </c>
      <c r="V379" s="12"/>
      <c r="W379" s="12"/>
    </row>
    <row r="380" spans="1:23" x14ac:dyDescent="0.3">
      <c r="A380" s="183">
        <v>113</v>
      </c>
      <c r="B380" s="46" t="s">
        <v>168</v>
      </c>
      <c r="C380" s="170"/>
      <c r="D380" s="194"/>
      <c r="E380" s="194"/>
      <c r="F380" s="170"/>
      <c r="G380" s="170"/>
      <c r="H380" s="194" t="s">
        <v>2023</v>
      </c>
      <c r="I380" s="170"/>
      <c r="J380" s="46" t="s">
        <v>982</v>
      </c>
      <c r="K380" s="170"/>
      <c r="L380" s="197">
        <v>50</v>
      </c>
      <c r="M380" s="197">
        <v>8</v>
      </c>
      <c r="N380" s="290">
        <v>180</v>
      </c>
      <c r="O380" s="46"/>
      <c r="P380" s="46" t="s">
        <v>519</v>
      </c>
      <c r="Q380" s="170"/>
      <c r="R380" s="192" t="str">
        <f>CONCATENATE(N380,P380)</f>
        <v>180drained weight grams</v>
      </c>
      <c r="S380" s="198">
        <f>M380*N380</f>
        <v>1440</v>
      </c>
      <c r="T380" s="199" t="str">
        <f>CONCATENATE(S380,Q380,P380)</f>
        <v>1440drained weight grams</v>
      </c>
      <c r="U380" s="200">
        <f>L380*M380</f>
        <v>400</v>
      </c>
      <c r="V380" s="12"/>
      <c r="W380" s="12"/>
    </row>
    <row r="381" spans="1:23" x14ac:dyDescent="0.3">
      <c r="A381" s="183">
        <v>113</v>
      </c>
      <c r="B381" s="46" t="s">
        <v>168</v>
      </c>
      <c r="C381" s="170"/>
      <c r="D381" s="194"/>
      <c r="E381" s="170"/>
      <c r="F381" s="170"/>
      <c r="G381" s="170"/>
      <c r="H381" s="194" t="s">
        <v>2022</v>
      </c>
      <c r="I381" s="170"/>
      <c r="J381" s="46" t="s">
        <v>982</v>
      </c>
      <c r="K381" s="170"/>
      <c r="L381" s="197">
        <v>50</v>
      </c>
      <c r="M381" s="197">
        <v>22</v>
      </c>
      <c r="N381" s="290">
        <v>180</v>
      </c>
      <c r="O381" s="46"/>
      <c r="P381" s="46" t="s">
        <v>39</v>
      </c>
      <c r="Q381" s="170"/>
      <c r="R381" s="192" t="str">
        <f>CONCATENATE(N381,P381)</f>
        <v>180grams</v>
      </c>
      <c r="S381" s="198">
        <f>M381*N381</f>
        <v>3960</v>
      </c>
      <c r="T381" s="199" t="str">
        <f>CONCATENATE(S381,Q381,P381)</f>
        <v>3960grams</v>
      </c>
      <c r="U381" s="200">
        <f>L381*M381</f>
        <v>1100</v>
      </c>
      <c r="V381" s="12"/>
      <c r="W381" s="12"/>
    </row>
    <row r="382" spans="1:23" x14ac:dyDescent="0.3">
      <c r="A382" s="183">
        <v>113</v>
      </c>
      <c r="B382" s="219" t="s">
        <v>168</v>
      </c>
      <c r="C382" s="215"/>
      <c r="D382" s="194"/>
      <c r="E382" s="214"/>
      <c r="F382" s="215"/>
      <c r="G382" s="215"/>
      <c r="H382" s="194" t="s">
        <v>2021</v>
      </c>
      <c r="I382" s="170"/>
      <c r="J382" s="219" t="s">
        <v>982</v>
      </c>
      <c r="K382" s="170"/>
      <c r="L382" s="216">
        <v>50</v>
      </c>
      <c r="M382" s="216">
        <v>7</v>
      </c>
      <c r="N382" s="293">
        <v>180</v>
      </c>
      <c r="O382" s="219"/>
      <c r="P382" s="219" t="s">
        <v>39</v>
      </c>
      <c r="Q382" s="170"/>
      <c r="R382" s="192" t="str">
        <f>CONCATENATE(N382,P382)</f>
        <v>180grams</v>
      </c>
      <c r="S382" s="198">
        <f>M382*N382</f>
        <v>1260</v>
      </c>
      <c r="T382" s="199" t="str">
        <f>CONCATENATE(S382,Q382,P382)</f>
        <v>1260grams</v>
      </c>
      <c r="U382" s="200">
        <f>L382*M382</f>
        <v>350</v>
      </c>
      <c r="V382" s="12"/>
      <c r="W382" s="12"/>
    </row>
    <row r="383" spans="1:23" x14ac:dyDescent="0.3">
      <c r="A383" s="183">
        <v>114</v>
      </c>
      <c r="B383" s="194" t="s">
        <v>520</v>
      </c>
      <c r="C383" s="170"/>
      <c r="D383" s="194" t="str">
        <f ca="1">IFERROR(__xludf.DUMMYFUNCTION("IF(J84="""",""n/a"",IFERROR(SPLIT(J84,""/"")))"),"Pepsi")</f>
        <v>Pepsi</v>
      </c>
      <c r="E383" s="194" t="str">
        <f ca="1">IFERROR(__xludf.DUMMYFUNCTION("""COMPUTED_VALUE"""),"box (24x230ml)")</f>
        <v>box (24x230ml)</v>
      </c>
      <c r="F383" s="170"/>
      <c r="G383" s="170"/>
      <c r="H383" s="183" t="s">
        <v>1895</v>
      </c>
      <c r="I383" s="170"/>
      <c r="J383" s="46" t="s">
        <v>94</v>
      </c>
      <c r="K383" s="170"/>
      <c r="L383" s="195">
        <v>12.49</v>
      </c>
      <c r="M383" s="197">
        <v>317</v>
      </c>
      <c r="N383" s="61">
        <v>24</v>
      </c>
      <c r="O383" s="61" t="str">
        <f ca="1">E383</f>
        <v>box (24x230ml)</v>
      </c>
      <c r="P383" s="61" t="s">
        <v>92</v>
      </c>
      <c r="Q383" s="170"/>
      <c r="R383" s="192" t="str">
        <f>CONCATENATE(N383,P383)</f>
        <v>24pieces</v>
      </c>
      <c r="S383" s="198">
        <f>M383*N383</f>
        <v>7608</v>
      </c>
      <c r="T383" s="199" t="str">
        <f>CONCATENATE(S383,Q383,P383)</f>
        <v>7608pieces</v>
      </c>
      <c r="U383" s="200">
        <f>L383*M383</f>
        <v>3959.33</v>
      </c>
      <c r="V383" s="12"/>
      <c r="W383" s="12"/>
    </row>
    <row r="384" spans="1:23" x14ac:dyDescent="0.3">
      <c r="A384" s="183">
        <v>115</v>
      </c>
      <c r="B384" s="194" t="s">
        <v>450</v>
      </c>
      <c r="C384" s="170"/>
      <c r="D384" s="194" t="str">
        <f ca="1">IFERROR(__xludf.DUMMYFUNCTION("IF(J85="""",""n/a"",IFERROR(SPLIT(J85,""/"")))"),"Fresh")</f>
        <v>Fresh</v>
      </c>
      <c r="E384" s="170"/>
      <c r="F384" s="170"/>
      <c r="G384" s="170"/>
      <c r="H384" s="183" t="s">
        <v>1897</v>
      </c>
      <c r="I384" s="170"/>
      <c r="J384" s="46" t="s">
        <v>216</v>
      </c>
      <c r="K384" s="170"/>
      <c r="L384" s="216">
        <v>0.06</v>
      </c>
      <c r="M384" s="202">
        <v>5000</v>
      </c>
      <c r="N384" s="203">
        <v>1000</v>
      </c>
      <c r="O384" s="170">
        <f>E384</f>
        <v>0</v>
      </c>
      <c r="P384" s="61" t="s">
        <v>39</v>
      </c>
      <c r="Q384" s="170"/>
      <c r="R384" s="192" t="str">
        <f>CONCATENATE(N384,P384)</f>
        <v>1000grams</v>
      </c>
      <c r="S384" s="198">
        <f>M384*N384</f>
        <v>5000000</v>
      </c>
      <c r="T384" s="199" t="str">
        <f>CONCATENATE(S384,Q384,P384)</f>
        <v>5000000grams</v>
      </c>
      <c r="U384" s="200">
        <f>L384*M384</f>
        <v>300</v>
      </c>
      <c r="V384" s="12"/>
      <c r="W384" s="12"/>
    </row>
    <row r="385" spans="1:23" x14ac:dyDescent="0.3">
      <c r="A385" s="183">
        <v>115</v>
      </c>
      <c r="B385" s="194" t="s">
        <v>450</v>
      </c>
      <c r="C385" s="170"/>
      <c r="D385" s="194" t="str">
        <f ca="1">IFERROR(__xludf.DUMMYFUNCTION("IF(J86="""",""n/a"",IFERROR(SPLIT(J86,""/"")))"),"Fresh")</f>
        <v>Fresh</v>
      </c>
      <c r="E385" s="170"/>
      <c r="F385" s="170"/>
      <c r="G385" s="170"/>
      <c r="H385" s="183" t="s">
        <v>1895</v>
      </c>
      <c r="I385" s="170"/>
      <c r="J385" s="46" t="s">
        <v>216</v>
      </c>
      <c r="K385" s="170"/>
      <c r="L385" s="195">
        <v>110</v>
      </c>
      <c r="M385" s="197">
        <v>2</v>
      </c>
      <c r="N385" s="61">
        <v>1</v>
      </c>
      <c r="O385" s="170">
        <f>E385</f>
        <v>0</v>
      </c>
      <c r="P385" s="61" t="s">
        <v>39</v>
      </c>
      <c r="Q385" s="170"/>
      <c r="R385" s="192" t="str">
        <f>CONCATENATE(N385,P385)</f>
        <v>1grams</v>
      </c>
      <c r="S385" s="198">
        <f>M385*N385</f>
        <v>2</v>
      </c>
      <c r="T385" s="199" t="str">
        <f>CONCATENATE(S385,Q385,P385)</f>
        <v>2grams</v>
      </c>
      <c r="U385" s="200">
        <f>L385*M385</f>
        <v>220</v>
      </c>
      <c r="V385" s="12"/>
      <c r="W385" s="12"/>
    </row>
    <row r="386" spans="1:23" x14ac:dyDescent="0.3">
      <c r="A386" s="183">
        <v>115</v>
      </c>
      <c r="B386" s="46" t="s">
        <v>450</v>
      </c>
      <c r="C386" s="170"/>
      <c r="D386" s="194"/>
      <c r="E386" s="170"/>
      <c r="F386" s="170"/>
      <c r="G386" s="170"/>
      <c r="H386" s="194" t="s">
        <v>2025</v>
      </c>
      <c r="I386" s="170"/>
      <c r="J386" s="170"/>
      <c r="K386" s="170"/>
      <c r="L386" s="197">
        <v>75</v>
      </c>
      <c r="M386" s="197">
        <v>4</v>
      </c>
      <c r="N386" s="290">
        <v>1</v>
      </c>
      <c r="O386" s="290"/>
      <c r="P386" s="290" t="s">
        <v>213</v>
      </c>
      <c r="Q386" s="170"/>
      <c r="R386" s="192" t="str">
        <f>CONCATENATE(N386,P386)</f>
        <v>1kilos</v>
      </c>
      <c r="S386" s="198">
        <f>M386*N386</f>
        <v>4</v>
      </c>
      <c r="T386" s="199" t="str">
        <f>CONCATENATE(S386,Q386,P386)</f>
        <v>4kilos</v>
      </c>
      <c r="U386" s="200">
        <f>L386*M386</f>
        <v>300</v>
      </c>
      <c r="V386" s="12"/>
      <c r="W386" s="12"/>
    </row>
    <row r="387" spans="1:23" x14ac:dyDescent="0.3">
      <c r="A387" s="183">
        <v>115</v>
      </c>
      <c r="B387" s="46" t="s">
        <v>450</v>
      </c>
      <c r="C387" s="170"/>
      <c r="D387" s="194"/>
      <c r="E387" s="170"/>
      <c r="F387" s="170"/>
      <c r="G387" s="170"/>
      <c r="H387" s="194" t="s">
        <v>2026</v>
      </c>
      <c r="I387" s="170"/>
      <c r="J387" s="170"/>
      <c r="K387" s="170"/>
      <c r="L387" s="197">
        <v>80</v>
      </c>
      <c r="M387" s="197">
        <v>5</v>
      </c>
      <c r="N387" s="290">
        <v>1</v>
      </c>
      <c r="O387" s="290"/>
      <c r="P387" s="290" t="s">
        <v>213</v>
      </c>
      <c r="Q387" s="170"/>
      <c r="R387" s="192" t="str">
        <f>CONCATENATE(N387,P387)</f>
        <v>1kilos</v>
      </c>
      <c r="S387" s="198">
        <f>M387*N387</f>
        <v>5</v>
      </c>
      <c r="T387" s="199" t="str">
        <f>CONCATENATE(S387,Q387,P387)</f>
        <v>5kilos</v>
      </c>
      <c r="U387" s="200">
        <f>L387*M387</f>
        <v>400</v>
      </c>
      <c r="V387" s="12"/>
      <c r="W387" s="12"/>
    </row>
    <row r="388" spans="1:23" x14ac:dyDescent="0.3">
      <c r="A388" s="183">
        <v>115</v>
      </c>
      <c r="B388" s="46" t="s">
        <v>450</v>
      </c>
      <c r="C388" s="170"/>
      <c r="D388" s="194"/>
      <c r="E388" s="194"/>
      <c r="F388" s="194"/>
      <c r="G388" s="170"/>
      <c r="H388" s="194" t="s">
        <v>1368</v>
      </c>
      <c r="I388" s="170"/>
      <c r="J388" s="170"/>
      <c r="K388" s="170"/>
      <c r="L388" s="197">
        <v>75</v>
      </c>
      <c r="M388" s="197">
        <v>1</v>
      </c>
      <c r="N388" s="290">
        <v>1</v>
      </c>
      <c r="O388" s="290"/>
      <c r="P388" s="290" t="s">
        <v>213</v>
      </c>
      <c r="Q388" s="170"/>
      <c r="R388" s="192" t="str">
        <f>CONCATENATE(N388,P388)</f>
        <v>1kilos</v>
      </c>
      <c r="S388" s="198">
        <f>M388*N388</f>
        <v>1</v>
      </c>
      <c r="T388" s="199" t="str">
        <f>CONCATENATE(S388,Q388,P388)</f>
        <v>1kilos</v>
      </c>
      <c r="U388" s="200">
        <f>L388*M388</f>
        <v>75</v>
      </c>
      <c r="V388" s="12"/>
      <c r="W388" s="12"/>
    </row>
    <row r="389" spans="1:23" x14ac:dyDescent="0.3">
      <c r="A389" s="183">
        <v>115</v>
      </c>
      <c r="B389" s="46" t="s">
        <v>450</v>
      </c>
      <c r="C389" s="170"/>
      <c r="D389" s="194"/>
      <c r="E389" s="194"/>
      <c r="F389" s="194"/>
      <c r="G389" s="170"/>
      <c r="H389" s="194" t="s">
        <v>2023</v>
      </c>
      <c r="I389" s="170"/>
      <c r="J389" s="170"/>
      <c r="K389" s="170"/>
      <c r="L389" s="197">
        <v>62</v>
      </c>
      <c r="M389" s="197">
        <v>2</v>
      </c>
      <c r="N389" s="290">
        <v>1</v>
      </c>
      <c r="O389" s="290"/>
      <c r="P389" s="290" t="s">
        <v>213</v>
      </c>
      <c r="Q389" s="61" t="s">
        <v>33</v>
      </c>
      <c r="R389" s="192" t="str">
        <f>CONCATENATE(N389,P389)</f>
        <v>1kilos</v>
      </c>
      <c r="S389" s="198">
        <f>M389*N389</f>
        <v>2</v>
      </c>
      <c r="T389" s="199" t="str">
        <f>CONCATENATE(S389,Q389,P389)</f>
        <v>2 kilos</v>
      </c>
      <c r="U389" s="200">
        <f>L389*M389</f>
        <v>124</v>
      </c>
      <c r="V389" s="12"/>
      <c r="W389" s="12"/>
    </row>
    <row r="390" spans="1:23" x14ac:dyDescent="0.3">
      <c r="A390" s="183">
        <v>115</v>
      </c>
      <c r="B390" s="46" t="s">
        <v>450</v>
      </c>
      <c r="C390" s="215"/>
      <c r="D390" s="194"/>
      <c r="E390" s="215"/>
      <c r="F390" s="215"/>
      <c r="G390" s="215"/>
      <c r="H390" s="400" t="s">
        <v>2027</v>
      </c>
      <c r="I390" s="170"/>
      <c r="J390" s="170"/>
      <c r="K390" s="170"/>
      <c r="L390" s="195">
        <v>145</v>
      </c>
      <c r="M390" s="197">
        <v>2</v>
      </c>
      <c r="N390" s="360">
        <v>1</v>
      </c>
      <c r="O390" s="61"/>
      <c r="P390" s="61" t="s">
        <v>213</v>
      </c>
      <c r="Q390" s="170"/>
      <c r="R390" s="192" t="str">
        <f>CONCATENATE(N390,P390)</f>
        <v>1kilos</v>
      </c>
      <c r="S390" s="198">
        <f>M390*N390</f>
        <v>2</v>
      </c>
      <c r="T390" s="199" t="str">
        <f>CONCATENATE(S390,Q390,P390)</f>
        <v>2kilos</v>
      </c>
      <c r="U390" s="200">
        <f>L390*M390</f>
        <v>290</v>
      </c>
      <c r="V390" s="12"/>
      <c r="W390" s="12"/>
    </row>
    <row r="391" spans="1:23" x14ac:dyDescent="0.3">
      <c r="A391" s="183">
        <v>116</v>
      </c>
      <c r="B391" s="46" t="s">
        <v>1012</v>
      </c>
      <c r="C391" s="170"/>
      <c r="D391" s="194"/>
      <c r="E391" s="194"/>
      <c r="F391" s="194"/>
      <c r="G391" s="170"/>
      <c r="H391" s="194" t="s">
        <v>1368</v>
      </c>
      <c r="I391" s="170"/>
      <c r="J391" s="46" t="s">
        <v>1013</v>
      </c>
      <c r="K391" s="170"/>
      <c r="L391" s="197">
        <v>152.25</v>
      </c>
      <c r="M391" s="197">
        <v>1</v>
      </c>
      <c r="N391" s="290">
        <v>236</v>
      </c>
      <c r="O391" s="297"/>
      <c r="P391" s="297" t="s">
        <v>32</v>
      </c>
      <c r="Q391" s="170"/>
      <c r="R391" s="192" t="str">
        <f>CONCATENATE(N391,P391)</f>
        <v>236ml</v>
      </c>
      <c r="S391" s="198">
        <f>M391*N391</f>
        <v>236</v>
      </c>
      <c r="T391" s="199" t="str">
        <f>CONCATENATE(S391,Q391,P391)</f>
        <v>236ml</v>
      </c>
      <c r="U391" s="200">
        <f>L391*M391</f>
        <v>152.25</v>
      </c>
      <c r="V391" s="12"/>
      <c r="W391" s="12"/>
    </row>
    <row r="392" spans="1:23" x14ac:dyDescent="0.3">
      <c r="A392" s="183">
        <v>117</v>
      </c>
      <c r="B392" s="219" t="s">
        <v>1014</v>
      </c>
      <c r="C392" s="170"/>
      <c r="D392" s="194"/>
      <c r="E392" s="194"/>
      <c r="F392" s="194"/>
      <c r="G392" s="170"/>
      <c r="H392" s="194" t="s">
        <v>2021</v>
      </c>
      <c r="I392" s="170"/>
      <c r="J392" s="46" t="s">
        <v>854</v>
      </c>
      <c r="K392" s="170"/>
      <c r="L392" s="216">
        <v>37.25</v>
      </c>
      <c r="M392" s="216">
        <v>1</v>
      </c>
      <c r="N392" s="293">
        <v>45</v>
      </c>
      <c r="O392" s="219"/>
      <c r="P392" s="219" t="s">
        <v>39</v>
      </c>
      <c r="Q392" s="170"/>
      <c r="R392" s="192" t="str">
        <f>CONCATENATE(N392,P392)</f>
        <v>45grams</v>
      </c>
      <c r="S392" s="198">
        <f>M392*N392</f>
        <v>45</v>
      </c>
      <c r="T392" s="199" t="str">
        <f>CONCATENATE(S392,Q392,P392)</f>
        <v>45grams</v>
      </c>
      <c r="U392" s="200">
        <f>L392*M392</f>
        <v>37.25</v>
      </c>
      <c r="V392" s="12"/>
      <c r="W392" s="12"/>
    </row>
    <row r="393" spans="1:23" x14ac:dyDescent="0.3">
      <c r="A393" s="183">
        <v>117</v>
      </c>
      <c r="B393" s="219" t="s">
        <v>1014</v>
      </c>
      <c r="C393" s="170"/>
      <c r="D393" s="194"/>
      <c r="E393" s="194"/>
      <c r="F393" s="194"/>
      <c r="G393" s="170"/>
      <c r="H393" s="194" t="s">
        <v>2025</v>
      </c>
      <c r="I393" s="170"/>
      <c r="J393" s="46" t="s">
        <v>854</v>
      </c>
      <c r="K393" s="170"/>
      <c r="L393" s="197">
        <v>65</v>
      </c>
      <c r="M393" s="197">
        <v>1</v>
      </c>
      <c r="N393" s="290">
        <v>40</v>
      </c>
      <c r="O393" s="46"/>
      <c r="P393" s="46" t="s">
        <v>39</v>
      </c>
      <c r="Q393" s="170"/>
      <c r="R393" s="192" t="str">
        <f>CONCATENATE(N393,P393)</f>
        <v>40grams</v>
      </c>
      <c r="S393" s="198">
        <f>M393*N393</f>
        <v>40</v>
      </c>
      <c r="T393" s="199" t="str">
        <f>CONCATENATE(S393,Q393,P393)</f>
        <v>40grams</v>
      </c>
      <c r="U393" s="200">
        <f>L393*M393</f>
        <v>65</v>
      </c>
      <c r="V393" s="12"/>
      <c r="W393" s="12"/>
    </row>
    <row r="394" spans="1:23" x14ac:dyDescent="0.3">
      <c r="A394" s="183">
        <v>118</v>
      </c>
      <c r="B394" s="46" t="s">
        <v>1015</v>
      </c>
      <c r="C394" s="170"/>
      <c r="D394" s="194"/>
      <c r="E394" s="194"/>
      <c r="F394" s="194"/>
      <c r="G394" s="170"/>
      <c r="H394" s="194" t="s">
        <v>2026</v>
      </c>
      <c r="I394" s="170"/>
      <c r="J394" s="46" t="s">
        <v>1016</v>
      </c>
      <c r="K394" s="170"/>
      <c r="L394" s="197">
        <v>7.43</v>
      </c>
      <c r="M394" s="197">
        <v>30</v>
      </c>
      <c r="N394" s="290">
        <v>38</v>
      </c>
      <c r="O394" s="46"/>
      <c r="P394" s="46" t="s">
        <v>39</v>
      </c>
      <c r="Q394" s="170"/>
      <c r="R394" s="192" t="str">
        <f>CONCATENATE(N394,P394)</f>
        <v>38grams</v>
      </c>
      <c r="S394" s="198">
        <f>M394*N394</f>
        <v>1140</v>
      </c>
      <c r="T394" s="199" t="str">
        <f>CONCATENATE(S394,Q394,P394)</f>
        <v>1140grams</v>
      </c>
      <c r="U394" s="200">
        <f>L394*M394</f>
        <v>222.89999999999998</v>
      </c>
      <c r="V394" s="12"/>
      <c r="W394" s="12"/>
    </row>
    <row r="395" spans="1:23" x14ac:dyDescent="0.3">
      <c r="A395" s="183">
        <v>118</v>
      </c>
      <c r="B395" s="46" t="s">
        <v>1015</v>
      </c>
      <c r="C395" s="170"/>
      <c r="D395" s="194"/>
      <c r="E395" s="194"/>
      <c r="F395" s="194"/>
      <c r="G395" s="170"/>
      <c r="H395" s="194" t="s">
        <v>2023</v>
      </c>
      <c r="I395" s="170"/>
      <c r="J395" s="46" t="s">
        <v>1017</v>
      </c>
      <c r="K395" s="170"/>
      <c r="L395" s="197">
        <v>7</v>
      </c>
      <c r="M395" s="197">
        <v>50</v>
      </c>
      <c r="N395" s="290">
        <v>33</v>
      </c>
      <c r="O395" s="46"/>
      <c r="P395" s="46" t="s">
        <v>39</v>
      </c>
      <c r="Q395" s="170"/>
      <c r="R395" s="192" t="str">
        <f>CONCATENATE(N395,P395)</f>
        <v>33grams</v>
      </c>
      <c r="S395" s="198">
        <f>M395*N395</f>
        <v>1650</v>
      </c>
      <c r="T395" s="199" t="str">
        <f>CONCATENATE(S395,Q395,P395)</f>
        <v>1650grams</v>
      </c>
      <c r="U395" s="200">
        <f>L395*M395</f>
        <v>350</v>
      </c>
      <c r="V395" s="12"/>
      <c r="W395" s="12"/>
    </row>
    <row r="396" spans="1:23" x14ac:dyDescent="0.3">
      <c r="A396" s="183">
        <v>118</v>
      </c>
      <c r="B396" s="219" t="s">
        <v>1015</v>
      </c>
      <c r="C396" s="170"/>
      <c r="D396" s="194"/>
      <c r="E396" s="194"/>
      <c r="F396" s="194"/>
      <c r="G396" s="170"/>
      <c r="H396" s="194" t="s">
        <v>2026</v>
      </c>
      <c r="I396" s="170"/>
      <c r="J396" s="46" t="s">
        <v>1018</v>
      </c>
      <c r="K396" s="170"/>
      <c r="L396" s="197">
        <v>8.42</v>
      </c>
      <c r="M396" s="197">
        <v>30</v>
      </c>
      <c r="N396" s="290">
        <v>37</v>
      </c>
      <c r="O396" s="46"/>
      <c r="P396" s="46" t="s">
        <v>39</v>
      </c>
      <c r="Q396" s="170"/>
      <c r="R396" s="192" t="str">
        <f>CONCATENATE(N396,P396)</f>
        <v>37grams</v>
      </c>
      <c r="S396" s="198">
        <f>M396*N396</f>
        <v>1110</v>
      </c>
      <c r="T396" s="199" t="str">
        <f>CONCATENATE(S396,Q396,P396)</f>
        <v>1110grams</v>
      </c>
      <c r="U396" s="200">
        <f>L396*M396</f>
        <v>252.6</v>
      </c>
      <c r="V396" s="12"/>
      <c r="W396" s="12"/>
    </row>
    <row r="397" spans="1:23" x14ac:dyDescent="0.3">
      <c r="A397" s="183">
        <v>118</v>
      </c>
      <c r="B397" s="46" t="s">
        <v>1015</v>
      </c>
      <c r="C397" s="170"/>
      <c r="D397" s="194"/>
      <c r="E397" s="194"/>
      <c r="F397" s="194"/>
      <c r="G397" s="170"/>
      <c r="H397" s="194" t="s">
        <v>2023</v>
      </c>
      <c r="I397" s="170"/>
      <c r="J397" s="46" t="s">
        <v>1019</v>
      </c>
      <c r="K397" s="170"/>
      <c r="L397" s="197">
        <v>7</v>
      </c>
      <c r="M397" s="197">
        <v>83</v>
      </c>
      <c r="N397" s="290">
        <v>42</v>
      </c>
      <c r="O397" s="46"/>
      <c r="P397" s="46" t="s">
        <v>39</v>
      </c>
      <c r="Q397" s="170"/>
      <c r="R397" s="192" t="str">
        <f>CONCATENATE(N397,P397)</f>
        <v>42grams</v>
      </c>
      <c r="S397" s="198">
        <f>M397*N397</f>
        <v>3486</v>
      </c>
      <c r="T397" s="199" t="str">
        <f>CONCATENATE(S397,Q397,P397)</f>
        <v>3486grams</v>
      </c>
      <c r="U397" s="200">
        <f>L397*M397</f>
        <v>581</v>
      </c>
      <c r="V397" s="12"/>
      <c r="W397" s="12"/>
    </row>
    <row r="398" spans="1:23" x14ac:dyDescent="0.3">
      <c r="A398" s="183">
        <v>118</v>
      </c>
      <c r="B398" s="46" t="s">
        <v>1015</v>
      </c>
      <c r="C398" s="170"/>
      <c r="D398" s="194"/>
      <c r="E398" s="194"/>
      <c r="F398" s="194"/>
      <c r="G398" s="170"/>
      <c r="H398" s="194" t="s">
        <v>2026</v>
      </c>
      <c r="I398" s="170"/>
      <c r="J398" s="46" t="s">
        <v>1020</v>
      </c>
      <c r="K398" s="170"/>
      <c r="L398" s="197">
        <v>7.43</v>
      </c>
      <c r="M398" s="197">
        <v>20</v>
      </c>
      <c r="N398" s="290">
        <v>38</v>
      </c>
      <c r="O398" s="46"/>
      <c r="P398" s="46" t="s">
        <v>39</v>
      </c>
      <c r="Q398" s="170"/>
      <c r="R398" s="192" t="str">
        <f>CONCATENATE(N398,P398)</f>
        <v>38grams</v>
      </c>
      <c r="S398" s="198">
        <f>M398*N398</f>
        <v>760</v>
      </c>
      <c r="T398" s="199" t="str">
        <f>CONCATENATE(S398,Q398,P398)</f>
        <v>760grams</v>
      </c>
      <c r="U398" s="200">
        <f>L398*M398</f>
        <v>148.6</v>
      </c>
      <c r="V398" s="12"/>
      <c r="W398" s="12"/>
    </row>
    <row r="399" spans="1:23" x14ac:dyDescent="0.3">
      <c r="A399" s="183">
        <v>119</v>
      </c>
      <c r="B399" s="194" t="s">
        <v>521</v>
      </c>
      <c r="C399" s="170"/>
      <c r="D399" s="194" t="str">
        <f ca="1">IFERROR(__xludf.DUMMYFUNCTION("IF(J87="""",""n/a"",IFERROR(SPLIT(J87,""/"")))"),"Alaska")</f>
        <v>Alaska</v>
      </c>
      <c r="E399" s="194" t="str">
        <f ca="1">IFERROR(__xludf.DUMMYFUNCTION("""COMPUTED_VALUE"""),"box (48x80ml)")</f>
        <v>box (48x80ml)</v>
      </c>
      <c r="F399" s="170"/>
      <c r="G399" s="170"/>
      <c r="H399" s="183" t="s">
        <v>1897</v>
      </c>
      <c r="I399" s="170"/>
      <c r="J399" s="46" t="s">
        <v>522</v>
      </c>
      <c r="K399" s="170"/>
      <c r="L399" s="195">
        <v>7.68</v>
      </c>
      <c r="M399" s="202">
        <v>6</v>
      </c>
      <c r="N399" s="203">
        <v>1</v>
      </c>
      <c r="O399" s="61" t="str">
        <f ca="1">E399</f>
        <v>box (48x80ml)</v>
      </c>
      <c r="P399" s="61" t="s">
        <v>92</v>
      </c>
      <c r="Q399" s="170"/>
      <c r="R399" s="192" t="str">
        <f>CONCATENATE(N399,P399)</f>
        <v>1pieces</v>
      </c>
      <c r="S399" s="198">
        <f>M399*N399</f>
        <v>6</v>
      </c>
      <c r="T399" s="199" t="str">
        <f>CONCATENATE(S399,Q399,P399)</f>
        <v>6pieces</v>
      </c>
      <c r="U399" s="200">
        <f>L399*M399</f>
        <v>46.08</v>
      </c>
      <c r="V399" s="205"/>
      <c r="W399" s="62"/>
    </row>
    <row r="400" spans="1:23" x14ac:dyDescent="0.3">
      <c r="A400" s="183">
        <v>119</v>
      </c>
      <c r="B400" s="194" t="s">
        <v>521</v>
      </c>
      <c r="C400" s="170"/>
      <c r="D400" s="194" t="str">
        <f ca="1">IFERROR(__xludf.DUMMYFUNCTION("IF(J88="""",""n/a"",IFERROR(SPLIT(J88,""/"")))"),"Fudgee bar")</f>
        <v>Fudgee bar</v>
      </c>
      <c r="E400" s="194" t="str">
        <f ca="1">IFERROR(__xludf.DUMMYFUNCTION("""COMPUTED_VALUE"""),"pack (10pcsx40grams)")</f>
        <v>pack (10pcsx40grams)</v>
      </c>
      <c r="F400" s="170"/>
      <c r="G400" s="170"/>
      <c r="H400" s="183" t="s">
        <v>1897</v>
      </c>
      <c r="I400" s="170"/>
      <c r="J400" s="46" t="s">
        <v>523</v>
      </c>
      <c r="K400" s="170"/>
      <c r="L400" s="195">
        <v>7.67</v>
      </c>
      <c r="M400" s="202">
        <v>14</v>
      </c>
      <c r="N400" s="203">
        <v>1</v>
      </c>
      <c r="O400" s="61" t="str">
        <f ca="1">E400</f>
        <v>pack (10pcsx40grams)</v>
      </c>
      <c r="P400" s="61" t="s">
        <v>92</v>
      </c>
      <c r="Q400" s="170"/>
      <c r="R400" s="192" t="str">
        <f>CONCATENATE(N400,P400)</f>
        <v>1pieces</v>
      </c>
      <c r="S400" s="198">
        <f>M400*N400</f>
        <v>14</v>
      </c>
      <c r="T400" s="199" t="str">
        <f>CONCATENATE(S400,Q400,P400)</f>
        <v>14pieces</v>
      </c>
      <c r="U400" s="200">
        <f>L400*M400</f>
        <v>107.38</v>
      </c>
      <c r="V400" s="12"/>
      <c r="W400" s="12"/>
    </row>
    <row r="401" spans="1:23" x14ac:dyDescent="0.3">
      <c r="A401" s="183">
        <v>120</v>
      </c>
      <c r="B401" s="194" t="s">
        <v>50</v>
      </c>
      <c r="C401" s="170"/>
      <c r="D401" s="194" t="str">
        <f ca="1">IFERROR(__xludf.DUMMYFUNCTION("IF(J89="""",""n/a"",IFERROR(SPLIT(J89,""/"")))"),"pack")</f>
        <v>pack</v>
      </c>
      <c r="E401" s="194" t="str">
        <f ca="1">IFERROR(__xludf.DUMMYFUNCTION("""COMPUTED_VALUE"""),"1000grams")</f>
        <v>1000grams</v>
      </c>
      <c r="F401" s="170"/>
      <c r="G401" s="170"/>
      <c r="H401" s="183" t="s">
        <v>1895</v>
      </c>
      <c r="I401" s="170"/>
      <c r="J401" s="46" t="s">
        <v>51</v>
      </c>
      <c r="K401" s="170"/>
      <c r="L401" s="195">
        <v>75</v>
      </c>
      <c r="M401" s="197">
        <v>2</v>
      </c>
      <c r="N401" s="61">
        <v>1000</v>
      </c>
      <c r="O401" s="61" t="str">
        <f ca="1">E401</f>
        <v>1000grams</v>
      </c>
      <c r="P401" s="61" t="s">
        <v>39</v>
      </c>
      <c r="Q401" s="170"/>
      <c r="R401" s="192" t="str">
        <f>CONCATENATE(N401,P401)</f>
        <v>1000grams</v>
      </c>
      <c r="S401" s="198">
        <f>M401*N401</f>
        <v>2000</v>
      </c>
      <c r="T401" s="199" t="str">
        <f>CONCATENATE(S401,Q401,P401)</f>
        <v>2000grams</v>
      </c>
      <c r="U401" s="200">
        <f>L401*M401</f>
        <v>150</v>
      </c>
      <c r="V401" s="12"/>
      <c r="W401" s="12"/>
    </row>
    <row r="402" spans="1:23" x14ac:dyDescent="0.3">
      <c r="A402" s="183">
        <v>120</v>
      </c>
      <c r="B402" s="46" t="s">
        <v>50</v>
      </c>
      <c r="C402" s="170"/>
      <c r="D402" s="194"/>
      <c r="E402" s="194"/>
      <c r="F402" s="170"/>
      <c r="G402" s="170"/>
      <c r="H402" s="194" t="s">
        <v>2022</v>
      </c>
      <c r="I402" s="170"/>
      <c r="J402" s="46" t="s">
        <v>991</v>
      </c>
      <c r="K402" s="170"/>
      <c r="L402" s="197">
        <v>50</v>
      </c>
      <c r="M402" s="197">
        <v>5</v>
      </c>
      <c r="N402" s="290">
        <v>1000</v>
      </c>
      <c r="O402" s="46"/>
      <c r="P402" s="46" t="s">
        <v>213</v>
      </c>
      <c r="Q402" s="170"/>
      <c r="R402" s="192" t="str">
        <f>CONCATENATE(N402,P402)</f>
        <v>1000kilos</v>
      </c>
      <c r="S402" s="198">
        <f>M402*N402</f>
        <v>5000</v>
      </c>
      <c r="T402" s="199" t="str">
        <f>CONCATENATE(S402,Q402,P402)</f>
        <v>5000kilos</v>
      </c>
      <c r="U402" s="200">
        <f>L402*M402</f>
        <v>250</v>
      </c>
      <c r="V402" s="12"/>
      <c r="W402" s="12"/>
    </row>
    <row r="403" spans="1:23" x14ac:dyDescent="0.3">
      <c r="A403" s="183">
        <v>121</v>
      </c>
      <c r="B403" s="194" t="s">
        <v>524</v>
      </c>
      <c r="C403" s="170"/>
      <c r="D403" s="194" t="str">
        <f ca="1">IFERROR(__xludf.DUMMYFUNCTION("IF(J90="""",""n/a"",IFERROR(SPLIT(J90,""/"")))"),"Fresh")</f>
        <v>Fresh</v>
      </c>
      <c r="E403" s="170"/>
      <c r="F403" s="170"/>
      <c r="G403" s="170"/>
      <c r="H403" s="183" t="s">
        <v>1897</v>
      </c>
      <c r="I403" s="170"/>
      <c r="J403" s="46" t="s">
        <v>216</v>
      </c>
      <c r="K403" s="170"/>
      <c r="L403" s="217">
        <v>145</v>
      </c>
      <c r="M403" s="202">
        <v>4</v>
      </c>
      <c r="N403" s="203">
        <v>1</v>
      </c>
      <c r="O403" s="170">
        <f>E403</f>
        <v>0</v>
      </c>
      <c r="P403" s="61" t="s">
        <v>39</v>
      </c>
      <c r="Q403" s="170"/>
      <c r="R403" s="192" t="str">
        <f>CONCATENATE(N403,P403)</f>
        <v>1grams</v>
      </c>
      <c r="S403" s="198">
        <f>M403*N403</f>
        <v>4</v>
      </c>
      <c r="T403" s="199" t="str">
        <f>CONCATENATE(S403,Q403,P403)</f>
        <v>4grams</v>
      </c>
      <c r="U403" s="200">
        <f>L403*M403</f>
        <v>580</v>
      </c>
      <c r="V403" s="12"/>
      <c r="W403" s="12"/>
    </row>
    <row r="404" spans="1:23" x14ac:dyDescent="0.3">
      <c r="A404" s="183">
        <v>122</v>
      </c>
      <c r="B404" s="46" t="s">
        <v>1021</v>
      </c>
      <c r="C404" s="170"/>
      <c r="D404" s="194"/>
      <c r="E404" s="170"/>
      <c r="F404" s="170"/>
      <c r="G404" s="170"/>
      <c r="H404" s="194" t="s">
        <v>2025</v>
      </c>
      <c r="I404" s="170"/>
      <c r="J404" s="170"/>
      <c r="K404" s="170"/>
      <c r="L404" s="197">
        <v>90</v>
      </c>
      <c r="M404" s="197">
        <v>1</v>
      </c>
      <c r="N404" s="290">
        <v>1</v>
      </c>
      <c r="O404" s="46"/>
      <c r="P404" s="46" t="s">
        <v>213</v>
      </c>
      <c r="Q404" s="170"/>
      <c r="R404" s="192" t="str">
        <f>CONCATENATE(N404,P404)</f>
        <v>1kilos</v>
      </c>
      <c r="S404" s="198">
        <f>M404*N404</f>
        <v>1</v>
      </c>
      <c r="T404" s="199" t="str">
        <f>CONCATENATE(S404,Q404,P404)</f>
        <v>1kilos</v>
      </c>
      <c r="U404" s="200">
        <f>L404*M404</f>
        <v>90</v>
      </c>
      <c r="V404" s="12"/>
      <c r="W404" s="12"/>
    </row>
    <row r="405" spans="1:23" x14ac:dyDescent="0.3">
      <c r="A405" s="183">
        <v>122</v>
      </c>
      <c r="B405" s="46" t="s">
        <v>1021</v>
      </c>
      <c r="C405" s="170"/>
      <c r="D405" s="194"/>
      <c r="E405" s="170"/>
      <c r="F405" s="170"/>
      <c r="G405" s="170"/>
      <c r="H405" s="194" t="s">
        <v>2026</v>
      </c>
      <c r="I405" s="170"/>
      <c r="J405" s="46" t="s">
        <v>216</v>
      </c>
      <c r="K405" s="170"/>
      <c r="L405" s="197">
        <v>180</v>
      </c>
      <c r="M405" s="197">
        <v>3</v>
      </c>
      <c r="N405" s="290">
        <v>1000</v>
      </c>
      <c r="O405" s="46"/>
      <c r="P405" s="46" t="s">
        <v>39</v>
      </c>
      <c r="Q405" s="170"/>
      <c r="R405" s="192" t="str">
        <f>CONCATENATE(N405,P405)</f>
        <v>1000grams</v>
      </c>
      <c r="S405" s="198">
        <f>M405*N405</f>
        <v>3000</v>
      </c>
      <c r="T405" s="199" t="str">
        <f>CONCATENATE(S405,Q405,P405)</f>
        <v>3000grams</v>
      </c>
      <c r="U405" s="200">
        <f>L405*M405</f>
        <v>540</v>
      </c>
      <c r="V405" s="12"/>
      <c r="W405" s="12"/>
    </row>
    <row r="406" spans="1:23" x14ac:dyDescent="0.3">
      <c r="A406" s="193">
        <v>122</v>
      </c>
      <c r="B406" s="46" t="s">
        <v>1021</v>
      </c>
      <c r="C406" s="170"/>
      <c r="D406" s="194"/>
      <c r="E406" s="194"/>
      <c r="F406" s="170"/>
      <c r="G406" s="170"/>
      <c r="H406" s="194" t="s">
        <v>1368</v>
      </c>
      <c r="I406" s="170"/>
      <c r="J406" s="170"/>
      <c r="K406" s="170"/>
      <c r="L406" s="197">
        <v>45</v>
      </c>
      <c r="M406" s="197">
        <v>4</v>
      </c>
      <c r="N406" s="290">
        <v>1000</v>
      </c>
      <c r="O406" s="46"/>
      <c r="P406" s="46" t="s">
        <v>39</v>
      </c>
      <c r="Q406" s="170"/>
      <c r="R406" s="192" t="str">
        <f>CONCATENATE(N406,P406)</f>
        <v>1000grams</v>
      </c>
      <c r="S406" s="198">
        <f>M406*N406</f>
        <v>4000</v>
      </c>
      <c r="T406" s="199" t="str">
        <f>CONCATENATE(S406,Q406,P406)</f>
        <v>4000grams</v>
      </c>
      <c r="U406" s="200">
        <f>L406*M406</f>
        <v>180</v>
      </c>
      <c r="V406" s="12"/>
      <c r="W406" s="12"/>
    </row>
    <row r="407" spans="1:23" x14ac:dyDescent="0.3">
      <c r="A407" s="183">
        <v>122</v>
      </c>
      <c r="B407" s="46" t="s">
        <v>1021</v>
      </c>
      <c r="C407" s="215"/>
      <c r="D407" s="194"/>
      <c r="E407" s="215"/>
      <c r="F407" s="215"/>
      <c r="G407" s="215"/>
      <c r="H407" s="400" t="s">
        <v>2027</v>
      </c>
      <c r="I407" s="170"/>
      <c r="J407" s="170"/>
      <c r="K407" s="170"/>
      <c r="L407" s="195">
        <v>120</v>
      </c>
      <c r="M407" s="197">
        <v>1</v>
      </c>
      <c r="N407" s="360">
        <v>1</v>
      </c>
      <c r="O407" s="61"/>
      <c r="P407" s="61" t="s">
        <v>213</v>
      </c>
      <c r="Q407" s="170"/>
      <c r="R407" s="192" t="str">
        <f>CONCATENATE(N407,P407)</f>
        <v>1kilos</v>
      </c>
      <c r="S407" s="198">
        <f>M407*N407</f>
        <v>1</v>
      </c>
      <c r="T407" s="199" t="str">
        <f>CONCATENATE(S407,Q407,P407)</f>
        <v>1kilos</v>
      </c>
      <c r="U407" s="200">
        <f>L407*M407</f>
        <v>120</v>
      </c>
      <c r="V407" s="12"/>
      <c r="W407" s="12"/>
    </row>
    <row r="408" spans="1:23" x14ac:dyDescent="0.3">
      <c r="A408" s="183">
        <v>123</v>
      </c>
      <c r="B408" s="194" t="s">
        <v>525</v>
      </c>
      <c r="C408" s="170"/>
      <c r="D408" s="194" t="str">
        <f ca="1">IFERROR(__xludf.DUMMYFUNCTION("IF(J91="""",""n/a"",IFERROR(SPLIT(J91,""/"")))"),"n/a")</f>
        <v>n/a</v>
      </c>
      <c r="E408" s="170"/>
      <c r="F408" s="170"/>
      <c r="G408" s="170"/>
      <c r="H408" s="206" t="s">
        <v>1898</v>
      </c>
      <c r="I408" s="170"/>
      <c r="J408" s="170"/>
      <c r="K408" s="170"/>
      <c r="L408" s="197">
        <v>124.35</v>
      </c>
      <c r="M408" s="386">
        <v>1</v>
      </c>
      <c r="N408" s="208">
        <v>1</v>
      </c>
      <c r="O408" s="170">
        <f>E408</f>
        <v>0</v>
      </c>
      <c r="P408" s="61" t="s">
        <v>92</v>
      </c>
      <c r="Q408" s="170"/>
      <c r="R408" s="192" t="str">
        <f>CONCATENATE(N408,P408)</f>
        <v>1pieces</v>
      </c>
      <c r="S408" s="198">
        <f>M408*N408</f>
        <v>1</v>
      </c>
      <c r="T408" s="199" t="str">
        <f>CONCATENATE(S408,Q408,P408)</f>
        <v>1pieces</v>
      </c>
      <c r="U408" s="200">
        <f>L408*M408</f>
        <v>124.35</v>
      </c>
      <c r="V408" s="12"/>
      <c r="W408" s="12"/>
    </row>
    <row r="409" spans="1:23" x14ac:dyDescent="0.3">
      <c r="A409" s="183">
        <v>124</v>
      </c>
      <c r="B409" s="219" t="s">
        <v>1022</v>
      </c>
      <c r="C409" s="170"/>
      <c r="D409" s="194"/>
      <c r="E409" s="194"/>
      <c r="F409" s="170"/>
      <c r="G409" s="170"/>
      <c r="H409" s="194" t="s">
        <v>2021</v>
      </c>
      <c r="I409" s="170"/>
      <c r="J409" s="219" t="s">
        <v>1023</v>
      </c>
      <c r="K409" s="170"/>
      <c r="L409" s="216">
        <v>0.71</v>
      </c>
      <c r="M409" s="216">
        <v>343</v>
      </c>
      <c r="N409" s="293">
        <v>1</v>
      </c>
      <c r="O409" s="219"/>
      <c r="P409" s="219" t="s">
        <v>92</v>
      </c>
      <c r="Q409" s="170"/>
      <c r="R409" s="192" t="str">
        <f>CONCATENATE(N409,P409)</f>
        <v>1pieces</v>
      </c>
      <c r="S409" s="198">
        <f>M409*N409</f>
        <v>343</v>
      </c>
      <c r="T409" s="199" t="str">
        <f>CONCATENATE(S409,Q409,P409)</f>
        <v>343pieces</v>
      </c>
      <c r="U409" s="200">
        <f>L409*M409</f>
        <v>243.53</v>
      </c>
      <c r="V409" s="12"/>
      <c r="W409" s="12"/>
    </row>
    <row r="410" spans="1:23" x14ac:dyDescent="0.3">
      <c r="A410" s="183">
        <v>125</v>
      </c>
      <c r="B410" s="219" t="s">
        <v>1024</v>
      </c>
      <c r="C410" s="170"/>
      <c r="D410" s="194"/>
      <c r="E410" s="194"/>
      <c r="F410" s="170"/>
      <c r="G410" s="170"/>
      <c r="H410" s="194" t="s">
        <v>2021</v>
      </c>
      <c r="I410" s="170"/>
      <c r="J410" s="219" t="s">
        <v>1025</v>
      </c>
      <c r="K410" s="170"/>
      <c r="L410" s="216">
        <v>0.78</v>
      </c>
      <c r="M410" s="216">
        <v>50</v>
      </c>
      <c r="N410" s="293">
        <v>1</v>
      </c>
      <c r="O410" s="219"/>
      <c r="P410" s="219" t="s">
        <v>92</v>
      </c>
      <c r="Q410" s="170"/>
      <c r="R410" s="192" t="str">
        <f>CONCATENATE(N410,P410)</f>
        <v>1pieces</v>
      </c>
      <c r="S410" s="198">
        <f>M410*N410</f>
        <v>50</v>
      </c>
      <c r="T410" s="199" t="str">
        <f>CONCATENATE(S410,Q410,P410)</f>
        <v>50pieces</v>
      </c>
      <c r="U410" s="200">
        <f>L410*M410</f>
        <v>39</v>
      </c>
      <c r="V410" s="12"/>
      <c r="W410" s="12"/>
    </row>
    <row r="411" spans="1:23" x14ac:dyDescent="0.3">
      <c r="A411" s="183">
        <v>126</v>
      </c>
      <c r="B411" s="219" t="s">
        <v>1026</v>
      </c>
      <c r="C411" s="170"/>
      <c r="D411" s="194"/>
      <c r="E411" s="170"/>
      <c r="F411" s="170"/>
      <c r="G411" s="170"/>
      <c r="H411" s="194" t="s">
        <v>2021</v>
      </c>
      <c r="I411" s="170"/>
      <c r="J411" s="219" t="s">
        <v>1027</v>
      </c>
      <c r="K411" s="170"/>
      <c r="L411" s="216">
        <v>0.79</v>
      </c>
      <c r="M411" s="216">
        <v>45</v>
      </c>
      <c r="N411" s="293">
        <v>1</v>
      </c>
      <c r="O411" s="219"/>
      <c r="P411" s="219" t="s">
        <v>92</v>
      </c>
      <c r="Q411" s="170"/>
      <c r="R411" s="192" t="str">
        <f>CONCATENATE(N411,P411)</f>
        <v>1pieces</v>
      </c>
      <c r="S411" s="198">
        <f>M411*N411</f>
        <v>45</v>
      </c>
      <c r="T411" s="199" t="str">
        <f>CONCATENATE(S411,Q411,P411)</f>
        <v>45pieces</v>
      </c>
      <c r="U411" s="200">
        <f>L411*M411</f>
        <v>35.550000000000004</v>
      </c>
      <c r="V411" s="12"/>
      <c r="W411" s="12"/>
    </row>
    <row r="412" spans="1:23" x14ac:dyDescent="0.3">
      <c r="A412" s="183">
        <v>127</v>
      </c>
      <c r="B412" s="219" t="s">
        <v>1028</v>
      </c>
      <c r="C412" s="170"/>
      <c r="D412" s="194"/>
      <c r="E412" s="170"/>
      <c r="F412" s="170"/>
      <c r="G412" s="170"/>
      <c r="H412" s="194" t="s">
        <v>2023</v>
      </c>
      <c r="I412" s="170"/>
      <c r="J412" s="219" t="s">
        <v>1029</v>
      </c>
      <c r="K412" s="170"/>
      <c r="L412" s="216">
        <v>36</v>
      </c>
      <c r="M412" s="216">
        <v>28</v>
      </c>
      <c r="N412" s="293">
        <v>24</v>
      </c>
      <c r="O412" s="219"/>
      <c r="P412" s="219" t="s">
        <v>92</v>
      </c>
      <c r="Q412" s="170"/>
      <c r="R412" s="192" t="str">
        <f>CONCATENATE(N412,P412)</f>
        <v>24pieces</v>
      </c>
      <c r="S412" s="198">
        <f>M412*N412</f>
        <v>672</v>
      </c>
      <c r="T412" s="199" t="str">
        <f>CONCATENATE(S412,Q412,P412)</f>
        <v>672pieces</v>
      </c>
      <c r="U412" s="200">
        <f>L412*M412</f>
        <v>1008</v>
      </c>
      <c r="V412" s="12"/>
      <c r="W412" s="12"/>
    </row>
    <row r="413" spans="1:23" x14ac:dyDescent="0.3">
      <c r="A413" s="183">
        <v>128</v>
      </c>
      <c r="B413" s="219" t="s">
        <v>1030</v>
      </c>
      <c r="C413" s="170"/>
      <c r="D413" s="194"/>
      <c r="E413" s="194"/>
      <c r="F413" s="170"/>
      <c r="G413" s="170"/>
      <c r="H413" s="194" t="s">
        <v>2021</v>
      </c>
      <c r="I413" s="170"/>
      <c r="J413" s="219" t="s">
        <v>1031</v>
      </c>
      <c r="K413" s="170"/>
      <c r="L413" s="216">
        <v>0.83</v>
      </c>
      <c r="M413" s="216">
        <v>74</v>
      </c>
      <c r="N413" s="293">
        <v>1</v>
      </c>
      <c r="O413" s="219"/>
      <c r="P413" s="219" t="s">
        <v>92</v>
      </c>
      <c r="Q413" s="170"/>
      <c r="R413" s="192" t="str">
        <f>CONCATENATE(N413,P413)</f>
        <v>1pieces</v>
      </c>
      <c r="S413" s="198">
        <f>M413*N413</f>
        <v>74</v>
      </c>
      <c r="T413" s="199" t="str">
        <f>CONCATENATE(S413,Q413,P413)</f>
        <v>74pieces</v>
      </c>
      <c r="U413" s="200">
        <f>L413*M413</f>
        <v>61.419999999999995</v>
      </c>
      <c r="V413" s="12"/>
      <c r="W413" s="12"/>
    </row>
    <row r="414" spans="1:23" x14ac:dyDescent="0.3">
      <c r="A414" s="183">
        <v>129</v>
      </c>
      <c r="B414" s="219" t="s">
        <v>1032</v>
      </c>
      <c r="C414" s="170"/>
      <c r="D414" s="194"/>
      <c r="E414" s="170"/>
      <c r="F414" s="170"/>
      <c r="G414" s="170"/>
      <c r="H414" s="194" t="s">
        <v>2021</v>
      </c>
      <c r="I414" s="170"/>
      <c r="J414" s="219" t="s">
        <v>1033</v>
      </c>
      <c r="K414" s="170"/>
      <c r="L414" s="216">
        <v>0.8</v>
      </c>
      <c r="M414" s="216">
        <v>62</v>
      </c>
      <c r="N414" s="293">
        <v>1</v>
      </c>
      <c r="O414" s="219"/>
      <c r="P414" s="219" t="s">
        <v>92</v>
      </c>
      <c r="Q414" s="170"/>
      <c r="R414" s="192" t="str">
        <f>CONCATENATE(N414,P414)</f>
        <v>1pieces</v>
      </c>
      <c r="S414" s="198">
        <f>M414*N414</f>
        <v>62</v>
      </c>
      <c r="T414" s="199" t="str">
        <f>CONCATENATE(S414,Q414,P414)</f>
        <v>62pieces</v>
      </c>
      <c r="U414" s="200">
        <f>L414*M414</f>
        <v>49.6</v>
      </c>
      <c r="V414" s="12"/>
      <c r="W414" s="12"/>
    </row>
    <row r="415" spans="1:23" x14ac:dyDescent="0.3">
      <c r="A415" s="183">
        <v>130</v>
      </c>
      <c r="B415" s="219" t="s">
        <v>1034</v>
      </c>
      <c r="C415" s="170"/>
      <c r="D415" s="194"/>
      <c r="E415" s="170"/>
      <c r="F415" s="170"/>
      <c r="G415" s="170"/>
      <c r="H415" s="194" t="s">
        <v>2021</v>
      </c>
      <c r="I415" s="170"/>
      <c r="J415" s="219" t="s">
        <v>1035</v>
      </c>
      <c r="K415" s="170"/>
      <c r="L415" s="216">
        <v>1.19</v>
      </c>
      <c r="M415" s="216">
        <v>28</v>
      </c>
      <c r="N415" s="293">
        <v>1</v>
      </c>
      <c r="O415" s="219"/>
      <c r="P415" s="219" t="s">
        <v>92</v>
      </c>
      <c r="Q415" s="170"/>
      <c r="R415" s="192" t="str">
        <f>CONCATENATE(N415,P415)</f>
        <v>1pieces</v>
      </c>
      <c r="S415" s="198">
        <f>M415*N415</f>
        <v>28</v>
      </c>
      <c r="T415" s="199" t="str">
        <f>CONCATENATE(S415,Q415,P415)</f>
        <v>28pieces</v>
      </c>
      <c r="U415" s="200">
        <f>L415*M415</f>
        <v>33.32</v>
      </c>
      <c r="V415" s="12"/>
      <c r="W415" s="12"/>
    </row>
    <row r="416" spans="1:23" x14ac:dyDescent="0.3">
      <c r="A416" s="183">
        <v>131</v>
      </c>
      <c r="B416" s="46" t="s">
        <v>1036</v>
      </c>
      <c r="C416" s="170"/>
      <c r="D416" s="194"/>
      <c r="E416" s="194"/>
      <c r="F416" s="170"/>
      <c r="G416" s="170"/>
      <c r="H416" s="194" t="s">
        <v>2025</v>
      </c>
      <c r="I416" s="170"/>
      <c r="J416" s="46" t="s">
        <v>1037</v>
      </c>
      <c r="K416" s="170"/>
      <c r="L416" s="197">
        <v>60.3</v>
      </c>
      <c r="M416" s="197">
        <v>8</v>
      </c>
      <c r="N416" s="290">
        <v>425</v>
      </c>
      <c r="O416" s="46"/>
      <c r="P416" s="46" t="s">
        <v>39</v>
      </c>
      <c r="Q416" s="170"/>
      <c r="R416" s="192" t="str">
        <f>CONCATENATE(N416,P416)</f>
        <v>425grams</v>
      </c>
      <c r="S416" s="198">
        <f>M416*N416</f>
        <v>3400</v>
      </c>
      <c r="T416" s="199" t="str">
        <f>CONCATENATE(S416,Q416,P416)</f>
        <v>3400grams</v>
      </c>
      <c r="U416" s="200">
        <f>L416*M416</f>
        <v>482.4</v>
      </c>
      <c r="V416" s="12"/>
      <c r="W416" s="12"/>
    </row>
    <row r="417" spans="1:23" x14ac:dyDescent="0.3">
      <c r="A417" s="183">
        <v>131</v>
      </c>
      <c r="B417" s="46" t="s">
        <v>1036</v>
      </c>
      <c r="C417" s="170"/>
      <c r="D417" s="194"/>
      <c r="E417" s="194"/>
      <c r="F417" s="170"/>
      <c r="G417" s="170"/>
      <c r="H417" s="194" t="s">
        <v>1368</v>
      </c>
      <c r="I417" s="170"/>
      <c r="J417" s="306">
        <v>555</v>
      </c>
      <c r="K417" s="170"/>
      <c r="L417" s="197">
        <v>63.1</v>
      </c>
      <c r="M417" s="197">
        <v>9</v>
      </c>
      <c r="N417" s="290">
        <v>425</v>
      </c>
      <c r="O417" s="46"/>
      <c r="P417" s="46" t="s">
        <v>39</v>
      </c>
      <c r="Q417" s="170"/>
      <c r="R417" s="192" t="str">
        <f>CONCATENATE(N417,P417)</f>
        <v>425grams</v>
      </c>
      <c r="S417" s="198">
        <f>M417*N417</f>
        <v>3825</v>
      </c>
      <c r="T417" s="199" t="str">
        <f>CONCATENATE(S417,Q417,P417)</f>
        <v>3825grams</v>
      </c>
      <c r="U417" s="200">
        <f>L417*M417</f>
        <v>567.9</v>
      </c>
      <c r="V417" s="12"/>
      <c r="W417" s="12"/>
    </row>
    <row r="418" spans="1:23" x14ac:dyDescent="0.3">
      <c r="A418" s="183">
        <v>131</v>
      </c>
      <c r="B418" s="46" t="s">
        <v>1036</v>
      </c>
      <c r="C418" s="170"/>
      <c r="D418" s="194"/>
      <c r="E418" s="170"/>
      <c r="F418" s="170"/>
      <c r="G418" s="170"/>
      <c r="H418" s="194" t="s">
        <v>2025</v>
      </c>
      <c r="I418" s="170"/>
      <c r="J418" s="306">
        <v>555</v>
      </c>
      <c r="K418" s="170"/>
      <c r="L418" s="197">
        <v>24.3</v>
      </c>
      <c r="M418" s="197">
        <v>3</v>
      </c>
      <c r="N418" s="290">
        <v>155</v>
      </c>
      <c r="O418" s="46"/>
      <c r="P418" s="46" t="s">
        <v>39</v>
      </c>
      <c r="Q418" s="170"/>
      <c r="R418" s="192" t="str">
        <f>CONCATENATE(N418,P418)</f>
        <v>155grams</v>
      </c>
      <c r="S418" s="198">
        <f>M418*N418</f>
        <v>465</v>
      </c>
      <c r="T418" s="199" t="str">
        <f>CONCATENATE(S418,Q418,P418)</f>
        <v>465grams</v>
      </c>
      <c r="U418" s="200">
        <f>L418*M418</f>
        <v>72.900000000000006</v>
      </c>
      <c r="V418" s="12"/>
      <c r="W418" s="12"/>
    </row>
    <row r="419" spans="1:23" x14ac:dyDescent="0.3">
      <c r="A419" s="183">
        <v>131</v>
      </c>
      <c r="B419" s="46" t="s">
        <v>1036</v>
      </c>
      <c r="C419" s="170"/>
      <c r="D419" s="194"/>
      <c r="E419" s="194"/>
      <c r="F419" s="170"/>
      <c r="G419" s="170"/>
      <c r="H419" s="194" t="s">
        <v>2020</v>
      </c>
      <c r="I419" s="170"/>
      <c r="J419" s="46" t="s">
        <v>1038</v>
      </c>
      <c r="K419" s="170"/>
      <c r="L419" s="197">
        <v>64.400000000000006</v>
      </c>
      <c r="M419" s="197">
        <v>5</v>
      </c>
      <c r="N419" s="290">
        <v>425</v>
      </c>
      <c r="O419" s="46"/>
      <c r="P419" s="46" t="s">
        <v>39</v>
      </c>
      <c r="Q419" s="170"/>
      <c r="R419" s="192" t="str">
        <f>CONCATENATE(N419,P419)</f>
        <v>425grams</v>
      </c>
      <c r="S419" s="198">
        <f>M419*N419</f>
        <v>2125</v>
      </c>
      <c r="T419" s="199" t="str">
        <f>CONCATENATE(S419,Q419,P419)</f>
        <v>2125grams</v>
      </c>
      <c r="U419" s="200">
        <f>L419*M419</f>
        <v>322</v>
      </c>
      <c r="V419" s="12"/>
      <c r="W419" s="12"/>
    </row>
    <row r="420" spans="1:23" x14ac:dyDescent="0.3">
      <c r="A420" s="183">
        <v>132</v>
      </c>
      <c r="B420" s="46" t="s">
        <v>1039</v>
      </c>
      <c r="C420" s="170"/>
      <c r="D420" s="194"/>
      <c r="E420" s="194"/>
      <c r="F420" s="194"/>
      <c r="G420" s="170"/>
      <c r="H420" s="194" t="s">
        <v>2024</v>
      </c>
      <c r="I420" s="170"/>
      <c r="J420" s="46">
        <v>555</v>
      </c>
      <c r="K420" s="170"/>
      <c r="L420" s="197">
        <v>60.3</v>
      </c>
      <c r="M420" s="197">
        <v>12</v>
      </c>
      <c r="N420" s="290">
        <v>425</v>
      </c>
      <c r="O420" s="46"/>
      <c r="P420" s="46" t="s">
        <v>39</v>
      </c>
      <c r="Q420" s="170"/>
      <c r="R420" s="192" t="str">
        <f>CONCATENATE(N420,P420)</f>
        <v>425grams</v>
      </c>
      <c r="S420" s="198">
        <f>M420*N420</f>
        <v>5100</v>
      </c>
      <c r="T420" s="199" t="str">
        <f>CONCATENATE(S420,Q420,P420)</f>
        <v>5100grams</v>
      </c>
      <c r="U420" s="200">
        <f>L420*M420</f>
        <v>723.59999999999991</v>
      </c>
      <c r="V420" s="12"/>
      <c r="W420" s="12"/>
    </row>
    <row r="421" spans="1:23" x14ac:dyDescent="0.3">
      <c r="A421" s="183">
        <v>132</v>
      </c>
      <c r="B421" s="46" t="s">
        <v>1039</v>
      </c>
      <c r="C421" s="215"/>
      <c r="D421" s="194"/>
      <c r="E421" s="214"/>
      <c r="F421" s="214"/>
      <c r="G421" s="215"/>
      <c r="H421" s="194" t="s">
        <v>2026</v>
      </c>
      <c r="I421" s="170"/>
      <c r="J421" s="46" t="s">
        <v>1040</v>
      </c>
      <c r="K421" s="170"/>
      <c r="L421" s="197">
        <v>59.9</v>
      </c>
      <c r="M421" s="197">
        <v>10</v>
      </c>
      <c r="N421" s="290">
        <v>425</v>
      </c>
      <c r="O421" s="46"/>
      <c r="P421" s="46" t="s">
        <v>39</v>
      </c>
      <c r="Q421" s="170"/>
      <c r="R421" s="192" t="str">
        <f>CONCATENATE(N421,P421)</f>
        <v>425grams</v>
      </c>
      <c r="S421" s="198">
        <f>M421*N421</f>
        <v>4250</v>
      </c>
      <c r="T421" s="199" t="str">
        <f>CONCATENATE(S421,Q421,P421)</f>
        <v>4250grams</v>
      </c>
      <c r="U421" s="200">
        <f>L421*M421</f>
        <v>599</v>
      </c>
      <c r="V421" s="12"/>
      <c r="W421" s="12"/>
    </row>
    <row r="422" spans="1:23" x14ac:dyDescent="0.3">
      <c r="A422" s="183">
        <v>132</v>
      </c>
      <c r="B422" s="46" t="s">
        <v>1039</v>
      </c>
      <c r="C422" s="170"/>
      <c r="D422" s="194"/>
      <c r="E422" s="194"/>
      <c r="F422" s="194"/>
      <c r="G422" s="170"/>
      <c r="H422" s="194" t="s">
        <v>2023</v>
      </c>
      <c r="I422" s="170"/>
      <c r="J422" s="297" t="s">
        <v>1902</v>
      </c>
      <c r="K422" s="170"/>
      <c r="L422" s="197">
        <v>60.3</v>
      </c>
      <c r="M422" s="197">
        <v>21</v>
      </c>
      <c r="N422" s="290">
        <v>425</v>
      </c>
      <c r="O422" s="297"/>
      <c r="P422" s="297" t="s">
        <v>39</v>
      </c>
      <c r="Q422" s="170"/>
      <c r="R422" s="192" t="str">
        <f>CONCATENATE(N422,P422)</f>
        <v>425grams</v>
      </c>
      <c r="S422" s="198">
        <f>M422*N422</f>
        <v>8925</v>
      </c>
      <c r="T422" s="199" t="str">
        <f>CONCATENATE(S422,Q422,P422)</f>
        <v>8925grams</v>
      </c>
      <c r="U422" s="200">
        <f>L422*M422</f>
        <v>1266.3</v>
      </c>
      <c r="V422" s="12"/>
      <c r="W422" s="12"/>
    </row>
    <row r="423" spans="1:23" x14ac:dyDescent="0.3">
      <c r="A423" s="183">
        <v>132</v>
      </c>
      <c r="B423" s="46" t="s">
        <v>1039</v>
      </c>
      <c r="C423" s="170"/>
      <c r="D423" s="194"/>
      <c r="E423" s="194"/>
      <c r="F423" s="194"/>
      <c r="G423" s="170"/>
      <c r="H423" s="194" t="s">
        <v>2022</v>
      </c>
      <c r="I423" s="170"/>
      <c r="J423" s="297" t="s">
        <v>1902</v>
      </c>
      <c r="K423" s="170"/>
      <c r="L423" s="197">
        <v>60</v>
      </c>
      <c r="M423" s="197">
        <v>19</v>
      </c>
      <c r="N423" s="290">
        <v>425</v>
      </c>
      <c r="O423" s="297"/>
      <c r="P423" s="297" t="s">
        <v>39</v>
      </c>
      <c r="Q423" s="170"/>
      <c r="R423" s="192" t="str">
        <f>CONCATENATE(N423,P423)</f>
        <v>425grams</v>
      </c>
      <c r="S423" s="198">
        <f>M423*N423</f>
        <v>8075</v>
      </c>
      <c r="T423" s="199" t="str">
        <f>CONCATENATE(S423,Q423,P423)</f>
        <v>8075grams</v>
      </c>
      <c r="U423" s="200">
        <f>L423*M423</f>
        <v>1140</v>
      </c>
      <c r="V423" s="12"/>
      <c r="W423" s="12"/>
    </row>
    <row r="424" spans="1:23" x14ac:dyDescent="0.3">
      <c r="A424" s="183">
        <v>133</v>
      </c>
      <c r="B424" s="219" t="s">
        <v>1041</v>
      </c>
      <c r="C424" s="170"/>
      <c r="D424" s="194"/>
      <c r="E424" s="194"/>
      <c r="F424" s="194"/>
      <c r="G424" s="170"/>
      <c r="H424" s="194" t="s">
        <v>2021</v>
      </c>
      <c r="I424" s="170"/>
      <c r="J424" s="219" t="s">
        <v>1042</v>
      </c>
      <c r="K424" s="170"/>
      <c r="L424" s="216">
        <v>258</v>
      </c>
      <c r="M424" s="216">
        <v>1</v>
      </c>
      <c r="N424" s="293">
        <v>595</v>
      </c>
      <c r="O424" s="219"/>
      <c r="P424" s="219" t="s">
        <v>39</v>
      </c>
      <c r="Q424" s="170"/>
      <c r="R424" s="192" t="str">
        <f>CONCATENATE(N424,P424)</f>
        <v>595grams</v>
      </c>
      <c r="S424" s="198">
        <f>M424*N424</f>
        <v>595</v>
      </c>
      <c r="T424" s="199" t="str">
        <f>CONCATENATE(S424,Q424,P424)</f>
        <v>595grams</v>
      </c>
      <c r="U424" s="200">
        <f>L424*M424</f>
        <v>258</v>
      </c>
      <c r="V424" s="12"/>
      <c r="W424" s="12"/>
    </row>
    <row r="425" spans="1:23" x14ac:dyDescent="0.3">
      <c r="A425" s="183">
        <v>134</v>
      </c>
      <c r="B425" s="46" t="s">
        <v>1043</v>
      </c>
      <c r="C425" s="170"/>
      <c r="D425" s="194"/>
      <c r="E425" s="194"/>
      <c r="F425" s="194"/>
      <c r="G425" s="170"/>
      <c r="H425" s="194" t="s">
        <v>1368</v>
      </c>
      <c r="I425" s="170"/>
      <c r="J425" s="46" t="s">
        <v>1044</v>
      </c>
      <c r="K425" s="170"/>
      <c r="L425" s="197">
        <v>102.5</v>
      </c>
      <c r="M425" s="197">
        <v>1</v>
      </c>
      <c r="N425" s="290">
        <v>425</v>
      </c>
      <c r="O425" s="46"/>
      <c r="P425" s="46" t="s">
        <v>39</v>
      </c>
      <c r="Q425" s="170"/>
      <c r="R425" s="192" t="str">
        <f>CONCATENATE(N425,P425)</f>
        <v>425grams</v>
      </c>
      <c r="S425" s="198">
        <f>M425*N425</f>
        <v>425</v>
      </c>
      <c r="T425" s="199" t="str">
        <f>CONCATENATE(S425,Q425,P425)</f>
        <v>425grams</v>
      </c>
      <c r="U425" s="200">
        <f>L425*M425</f>
        <v>102.5</v>
      </c>
      <c r="V425" s="12"/>
      <c r="W425" s="12"/>
    </row>
    <row r="426" spans="1:23" x14ac:dyDescent="0.3">
      <c r="A426" s="183">
        <v>135</v>
      </c>
      <c r="B426" s="46" t="s">
        <v>1045</v>
      </c>
      <c r="C426" s="215"/>
      <c r="D426" s="194"/>
      <c r="E426" s="214"/>
      <c r="F426" s="214"/>
      <c r="G426" s="215"/>
      <c r="H426" s="194" t="s">
        <v>2025</v>
      </c>
      <c r="I426" s="170"/>
      <c r="J426" s="46">
        <v>555</v>
      </c>
      <c r="K426" s="170"/>
      <c r="L426" s="197">
        <v>28.95</v>
      </c>
      <c r="M426" s="197">
        <v>4</v>
      </c>
      <c r="N426" s="290">
        <v>155</v>
      </c>
      <c r="O426" s="46"/>
      <c r="P426" s="46" t="s">
        <v>39</v>
      </c>
      <c r="Q426" s="170"/>
      <c r="R426" s="192" t="str">
        <f>CONCATENATE(N426,P426)</f>
        <v>155grams</v>
      </c>
      <c r="S426" s="198">
        <f>M426*N426</f>
        <v>620</v>
      </c>
      <c r="T426" s="199" t="str">
        <f>CONCATENATE(S426,Q426,P426)</f>
        <v>620grams</v>
      </c>
      <c r="U426" s="200">
        <f>L426*M426</f>
        <v>115.8</v>
      </c>
      <c r="V426" s="12"/>
      <c r="W426" s="12"/>
    </row>
    <row r="427" spans="1:23" x14ac:dyDescent="0.3">
      <c r="A427" s="183">
        <v>136</v>
      </c>
      <c r="B427" s="46" t="s">
        <v>1046</v>
      </c>
      <c r="C427" s="170"/>
      <c r="D427" s="194"/>
      <c r="E427" s="170"/>
      <c r="F427" s="170"/>
      <c r="G427" s="170"/>
      <c r="H427" s="194" t="s">
        <v>2025</v>
      </c>
      <c r="I427" s="170"/>
      <c r="J427" s="46">
        <v>555</v>
      </c>
      <c r="K427" s="170"/>
      <c r="L427" s="197">
        <v>28.95</v>
      </c>
      <c r="M427" s="197">
        <v>20</v>
      </c>
      <c r="N427" s="290">
        <v>155</v>
      </c>
      <c r="O427" s="46"/>
      <c r="P427" s="46" t="s">
        <v>39</v>
      </c>
      <c r="Q427" s="170"/>
      <c r="R427" s="192" t="str">
        <f>CONCATENATE(N427,P427)</f>
        <v>155grams</v>
      </c>
      <c r="S427" s="198">
        <f>M427*N427</f>
        <v>3100</v>
      </c>
      <c r="T427" s="199" t="str">
        <f>CONCATENATE(S427,Q427,P427)</f>
        <v>3100grams</v>
      </c>
      <c r="U427" s="200">
        <f>L427*M427</f>
        <v>579</v>
      </c>
      <c r="V427" s="12"/>
      <c r="W427" s="12"/>
    </row>
    <row r="428" spans="1:23" x14ac:dyDescent="0.3">
      <c r="A428" s="183">
        <v>136</v>
      </c>
      <c r="B428" s="46" t="s">
        <v>1046</v>
      </c>
      <c r="C428" s="170"/>
      <c r="D428" s="194"/>
      <c r="E428" s="194"/>
      <c r="F428" s="170"/>
      <c r="G428" s="170"/>
      <c r="H428" s="194" t="s">
        <v>2023</v>
      </c>
      <c r="I428" s="170"/>
      <c r="J428" s="46">
        <v>555</v>
      </c>
      <c r="K428" s="170"/>
      <c r="L428" s="197">
        <v>22</v>
      </c>
      <c r="M428" s="197">
        <v>7</v>
      </c>
      <c r="N428" s="290">
        <v>155</v>
      </c>
      <c r="O428" s="46"/>
      <c r="P428" s="46" t="s">
        <v>39</v>
      </c>
      <c r="Q428" s="170"/>
      <c r="R428" s="192" t="str">
        <f>CONCATENATE(N428,P428)</f>
        <v>155grams</v>
      </c>
      <c r="S428" s="198">
        <f>M428*N428</f>
        <v>1085</v>
      </c>
      <c r="T428" s="199" t="str">
        <f>CONCATENATE(S428,Q428,P428)</f>
        <v>1085grams</v>
      </c>
      <c r="U428" s="200">
        <f>L428*M428</f>
        <v>154</v>
      </c>
      <c r="V428" s="12"/>
      <c r="W428" s="12"/>
    </row>
    <row r="429" spans="1:23" x14ac:dyDescent="0.3">
      <c r="A429" s="183">
        <v>137</v>
      </c>
      <c r="B429" s="46" t="s">
        <v>1047</v>
      </c>
      <c r="C429" s="170"/>
      <c r="D429" s="194"/>
      <c r="E429" s="170"/>
      <c r="F429" s="170"/>
      <c r="G429" s="170"/>
      <c r="H429" s="194" t="s">
        <v>2025</v>
      </c>
      <c r="I429" s="170"/>
      <c r="J429" s="46">
        <v>555</v>
      </c>
      <c r="K429" s="170"/>
      <c r="L429" s="197">
        <v>28.95</v>
      </c>
      <c r="M429" s="197">
        <v>5</v>
      </c>
      <c r="N429" s="290">
        <v>155</v>
      </c>
      <c r="O429" s="46"/>
      <c r="P429" s="46" t="s">
        <v>39</v>
      </c>
      <c r="Q429" s="170"/>
      <c r="R429" s="192" t="str">
        <f>CONCATENATE(N429,P429)</f>
        <v>155grams</v>
      </c>
      <c r="S429" s="198">
        <f>M429*N429</f>
        <v>775</v>
      </c>
      <c r="T429" s="199" t="str">
        <f>CONCATENATE(S429,Q429,P429)</f>
        <v>775grams</v>
      </c>
      <c r="U429" s="200">
        <f>L429*M429</f>
        <v>144.75</v>
      </c>
      <c r="V429" s="12"/>
      <c r="W429" s="12"/>
    </row>
    <row r="430" spans="1:23" x14ac:dyDescent="0.3">
      <c r="A430" s="183">
        <v>138</v>
      </c>
      <c r="B430" s="46" t="s">
        <v>1048</v>
      </c>
      <c r="C430" s="170"/>
      <c r="D430" s="194"/>
      <c r="E430" s="170"/>
      <c r="F430" s="170"/>
      <c r="G430" s="170"/>
      <c r="H430" s="194" t="s">
        <v>2025</v>
      </c>
      <c r="I430" s="170"/>
      <c r="J430" s="46" t="s">
        <v>1049</v>
      </c>
      <c r="K430" s="170"/>
      <c r="L430" s="197">
        <v>37.5</v>
      </c>
      <c r="M430" s="197">
        <v>7</v>
      </c>
      <c r="N430" s="290">
        <v>150</v>
      </c>
      <c r="O430" s="46"/>
      <c r="P430" s="46" t="s">
        <v>39</v>
      </c>
      <c r="Q430" s="170"/>
      <c r="R430" s="192" t="str">
        <f>CONCATENATE(N430,P430)</f>
        <v>150grams</v>
      </c>
      <c r="S430" s="198">
        <f>M430*N430</f>
        <v>1050</v>
      </c>
      <c r="T430" s="199" t="str">
        <f>CONCATENATE(S430,Q430,P430)</f>
        <v>1050grams</v>
      </c>
      <c r="U430" s="200">
        <f>L430*M430</f>
        <v>262.5</v>
      </c>
      <c r="V430" s="12"/>
      <c r="W430" s="12"/>
    </row>
    <row r="431" spans="1:23" x14ac:dyDescent="0.3">
      <c r="A431" s="183">
        <v>139</v>
      </c>
      <c r="B431" s="46" t="s">
        <v>1050</v>
      </c>
      <c r="C431" s="170"/>
      <c r="D431" s="194"/>
      <c r="E431" s="194"/>
      <c r="F431" s="194"/>
      <c r="G431" s="170"/>
      <c r="H431" s="194" t="s">
        <v>2026</v>
      </c>
      <c r="I431" s="170"/>
      <c r="J431" s="46" t="s">
        <v>1049</v>
      </c>
      <c r="K431" s="170"/>
      <c r="L431" s="197">
        <v>45.2</v>
      </c>
      <c r="M431" s="197">
        <v>8</v>
      </c>
      <c r="N431" s="290">
        <v>180</v>
      </c>
      <c r="O431" s="46"/>
      <c r="P431" s="46" t="s">
        <v>39</v>
      </c>
      <c r="Q431" s="170"/>
      <c r="R431" s="192" t="str">
        <f>CONCATENATE(N431,P431)</f>
        <v>180grams</v>
      </c>
      <c r="S431" s="198">
        <f>M431*N431</f>
        <v>1440</v>
      </c>
      <c r="T431" s="199" t="str">
        <f>CONCATENATE(S431,Q431,P431)</f>
        <v>1440grams</v>
      </c>
      <c r="U431" s="200">
        <f>L431*M431</f>
        <v>361.6</v>
      </c>
      <c r="V431" s="12"/>
      <c r="W431" s="12"/>
    </row>
    <row r="432" spans="1:23" x14ac:dyDescent="0.3">
      <c r="A432" s="183">
        <v>139</v>
      </c>
      <c r="B432" s="170" t="s">
        <v>1050</v>
      </c>
      <c r="C432" s="170"/>
      <c r="D432" s="194"/>
      <c r="E432" s="194"/>
      <c r="F432" s="170"/>
      <c r="G432" s="170"/>
      <c r="H432" s="194" t="s">
        <v>2020</v>
      </c>
      <c r="I432" s="170"/>
      <c r="J432" s="46" t="s">
        <v>1051</v>
      </c>
      <c r="K432" s="170"/>
      <c r="L432" s="197">
        <v>28.5</v>
      </c>
      <c r="M432" s="197">
        <v>33</v>
      </c>
      <c r="N432" s="290">
        <v>85</v>
      </c>
      <c r="O432" s="46"/>
      <c r="P432" s="46" t="s">
        <v>39</v>
      </c>
      <c r="Q432" s="170"/>
      <c r="R432" s="192" t="str">
        <f>CONCATENATE(N432,P432)</f>
        <v>85grams</v>
      </c>
      <c r="S432" s="198">
        <f>M432*N432</f>
        <v>2805</v>
      </c>
      <c r="T432" s="199" t="str">
        <f>CONCATENATE(S432,Q432,P432)</f>
        <v>2805grams</v>
      </c>
      <c r="U432" s="200">
        <f>L432*M432</f>
        <v>940.5</v>
      </c>
      <c r="V432" s="12"/>
      <c r="W432" s="12"/>
    </row>
    <row r="433" spans="1:23" x14ac:dyDescent="0.3">
      <c r="A433" s="183">
        <v>139</v>
      </c>
      <c r="B433" s="170" t="s">
        <v>1050</v>
      </c>
      <c r="C433" s="170"/>
      <c r="D433" s="194"/>
      <c r="E433" s="170"/>
      <c r="F433" s="170"/>
      <c r="G433" s="170"/>
      <c r="H433" s="194" t="s">
        <v>2020</v>
      </c>
      <c r="I433" s="170"/>
      <c r="J433" s="219" t="s">
        <v>1052</v>
      </c>
      <c r="K433" s="170"/>
      <c r="L433" s="197">
        <v>28.5</v>
      </c>
      <c r="M433" s="197">
        <v>18</v>
      </c>
      <c r="N433" s="290">
        <v>85</v>
      </c>
      <c r="O433" s="46"/>
      <c r="P433" s="46" t="s">
        <v>39</v>
      </c>
      <c r="Q433" s="170"/>
      <c r="R433" s="192" t="str">
        <f>CONCATENATE(N433,P433)</f>
        <v>85grams</v>
      </c>
      <c r="S433" s="198">
        <f>M433*N433</f>
        <v>1530</v>
      </c>
      <c r="T433" s="199" t="str">
        <f>CONCATENATE(S433,Q433,P433)</f>
        <v>1530grams</v>
      </c>
      <c r="U433" s="200">
        <f>L433*M433</f>
        <v>513</v>
      </c>
      <c r="V433" s="12"/>
      <c r="W433" s="12"/>
    </row>
    <row r="434" spans="1:23" x14ac:dyDescent="0.3">
      <c r="A434" s="183">
        <v>140</v>
      </c>
      <c r="B434" s="46" t="s">
        <v>1053</v>
      </c>
      <c r="C434" s="170"/>
      <c r="D434" s="194"/>
      <c r="E434" s="194"/>
      <c r="F434" s="194"/>
      <c r="G434" s="170"/>
      <c r="H434" s="194" t="s">
        <v>2025</v>
      </c>
      <c r="I434" s="170"/>
      <c r="J434" s="46" t="s">
        <v>1044</v>
      </c>
      <c r="K434" s="170"/>
      <c r="L434" s="197">
        <v>36.200000000000003</v>
      </c>
      <c r="M434" s="197">
        <v>5</v>
      </c>
      <c r="N434" s="290">
        <v>155</v>
      </c>
      <c r="O434" s="46"/>
      <c r="P434" s="46" t="s">
        <v>39</v>
      </c>
      <c r="Q434" s="170"/>
      <c r="R434" s="192" t="str">
        <f>CONCATENATE(N434,P434)</f>
        <v>155grams</v>
      </c>
      <c r="S434" s="198">
        <f>M434*N434</f>
        <v>775</v>
      </c>
      <c r="T434" s="199" t="str">
        <f>CONCATENATE(S434,Q434,P434)</f>
        <v>775grams</v>
      </c>
      <c r="U434" s="200">
        <f>L434*M434</f>
        <v>181</v>
      </c>
      <c r="V434" s="12"/>
      <c r="W434" s="12"/>
    </row>
    <row r="435" spans="1:23" x14ac:dyDescent="0.3">
      <c r="A435" s="183">
        <v>140</v>
      </c>
      <c r="B435" s="46" t="s">
        <v>1053</v>
      </c>
      <c r="C435" s="170"/>
      <c r="D435" s="194"/>
      <c r="E435" s="170"/>
      <c r="F435" s="170"/>
      <c r="G435" s="170"/>
      <c r="H435" s="194" t="s">
        <v>2026</v>
      </c>
      <c r="I435" s="170"/>
      <c r="J435" s="46" t="s">
        <v>1044</v>
      </c>
      <c r="K435" s="170"/>
      <c r="L435" s="197">
        <v>98.4</v>
      </c>
      <c r="M435" s="197">
        <v>19</v>
      </c>
      <c r="N435" s="503">
        <v>420</v>
      </c>
      <c r="O435" s="46"/>
      <c r="P435" s="46" t="s">
        <v>39</v>
      </c>
      <c r="Q435" s="170"/>
      <c r="R435" s="192" t="str">
        <f>CONCATENATE(N435,P435)</f>
        <v>420grams</v>
      </c>
      <c r="S435" s="198">
        <f>M435*N435</f>
        <v>7980</v>
      </c>
      <c r="T435" s="199" t="str">
        <f>CONCATENATE(S435,Q435,P435)</f>
        <v>7980grams</v>
      </c>
      <c r="U435" s="200">
        <f>L435*M435</f>
        <v>1869.6000000000001</v>
      </c>
      <c r="V435" s="12"/>
      <c r="W435" s="12"/>
    </row>
    <row r="436" spans="1:23" x14ac:dyDescent="0.3">
      <c r="A436" s="183">
        <v>140</v>
      </c>
      <c r="B436" s="46" t="s">
        <v>1053</v>
      </c>
      <c r="C436" s="170"/>
      <c r="D436" s="194"/>
      <c r="E436" s="194"/>
      <c r="F436" s="170"/>
      <c r="G436" s="170"/>
      <c r="H436" s="194" t="s">
        <v>2023</v>
      </c>
      <c r="I436" s="170"/>
      <c r="J436" s="46" t="s">
        <v>1044</v>
      </c>
      <c r="K436" s="170"/>
      <c r="L436" s="197">
        <v>98.4</v>
      </c>
      <c r="M436" s="197">
        <v>16</v>
      </c>
      <c r="N436" s="290">
        <v>420</v>
      </c>
      <c r="O436" s="307"/>
      <c r="P436" s="307" t="s">
        <v>39</v>
      </c>
      <c r="Q436" s="170"/>
      <c r="R436" s="192" t="str">
        <f>CONCATENATE(N436,P436)</f>
        <v>420grams</v>
      </c>
      <c r="S436" s="198">
        <f>M436*N436</f>
        <v>6720</v>
      </c>
      <c r="T436" s="199" t="str">
        <f>CONCATENATE(S436,Q436,P436)</f>
        <v>6720grams</v>
      </c>
      <c r="U436" s="200">
        <f>L436*M436</f>
        <v>1574.4</v>
      </c>
      <c r="V436" s="12"/>
      <c r="W436" s="12"/>
    </row>
    <row r="437" spans="1:23" x14ac:dyDescent="0.3">
      <c r="A437" s="183">
        <v>140</v>
      </c>
      <c r="B437" s="46" t="s">
        <v>1053</v>
      </c>
      <c r="C437" s="170"/>
      <c r="D437" s="194"/>
      <c r="E437" s="194"/>
      <c r="F437" s="194"/>
      <c r="G437" s="170"/>
      <c r="H437" s="194" t="s">
        <v>2021</v>
      </c>
      <c r="I437" s="170"/>
      <c r="J437" s="219" t="s">
        <v>1044</v>
      </c>
      <c r="K437" s="170"/>
      <c r="L437" s="197">
        <v>98.8</v>
      </c>
      <c r="M437" s="395">
        <v>2</v>
      </c>
      <c r="N437" s="290">
        <v>420</v>
      </c>
      <c r="O437" s="46"/>
      <c r="P437" s="46" t="s">
        <v>39</v>
      </c>
      <c r="Q437" s="170"/>
      <c r="R437" s="192" t="str">
        <f>CONCATENATE(N437,P437)</f>
        <v>420grams</v>
      </c>
      <c r="S437" s="198">
        <f>M437*N437</f>
        <v>840</v>
      </c>
      <c r="T437" s="199" t="str">
        <f>CONCATENATE(S437,Q437,P437)</f>
        <v>840grams</v>
      </c>
      <c r="U437" s="200">
        <f>L437*M437</f>
        <v>197.6</v>
      </c>
      <c r="V437" s="12"/>
      <c r="W437" s="12"/>
    </row>
    <row r="438" spans="1:23" x14ac:dyDescent="0.3">
      <c r="A438" s="183">
        <v>140</v>
      </c>
      <c r="B438" s="46" t="s">
        <v>1053</v>
      </c>
      <c r="C438" s="170"/>
      <c r="D438" s="194"/>
      <c r="E438" s="170"/>
      <c r="F438" s="170"/>
      <c r="G438" s="170"/>
      <c r="H438" s="194" t="s">
        <v>2020</v>
      </c>
      <c r="I438" s="170"/>
      <c r="J438" s="46" t="s">
        <v>1044</v>
      </c>
      <c r="K438" s="170"/>
      <c r="L438" s="197">
        <v>98.4</v>
      </c>
      <c r="M438" s="197">
        <v>2</v>
      </c>
      <c r="N438" s="290">
        <v>425</v>
      </c>
      <c r="O438" s="46"/>
      <c r="P438" s="46" t="s">
        <v>39</v>
      </c>
      <c r="Q438" s="170"/>
      <c r="R438" s="192" t="str">
        <f>CONCATENATE(N438,P438)</f>
        <v>425grams</v>
      </c>
      <c r="S438" s="198">
        <f>M438*N438</f>
        <v>850</v>
      </c>
      <c r="T438" s="199" t="str">
        <f>CONCATENATE(S438,Q438,P438)</f>
        <v>850grams</v>
      </c>
      <c r="U438" s="200">
        <f>L438*M438</f>
        <v>196.8</v>
      </c>
      <c r="V438" s="12"/>
      <c r="W438" s="12"/>
    </row>
    <row r="439" spans="1:23" x14ac:dyDescent="0.3">
      <c r="A439" s="183">
        <v>141</v>
      </c>
      <c r="B439" s="46" t="s">
        <v>1054</v>
      </c>
      <c r="C439" s="170"/>
      <c r="D439" s="194"/>
      <c r="E439" s="170"/>
      <c r="F439" s="170"/>
      <c r="G439" s="170"/>
      <c r="H439" s="194" t="s">
        <v>2025</v>
      </c>
      <c r="I439" s="237"/>
      <c r="J439" s="46" t="s">
        <v>1044</v>
      </c>
      <c r="K439" s="170"/>
      <c r="L439" s="197">
        <v>36.200000000000003</v>
      </c>
      <c r="M439" s="197">
        <v>4</v>
      </c>
      <c r="N439" s="290">
        <v>155</v>
      </c>
      <c r="O439" s="46"/>
      <c r="P439" s="47" t="s">
        <v>39</v>
      </c>
      <c r="Q439" s="170"/>
      <c r="R439" s="192" t="str">
        <f>CONCATENATE(N439,P439)</f>
        <v>155grams</v>
      </c>
      <c r="S439" s="198">
        <f>M439*N439</f>
        <v>620</v>
      </c>
      <c r="T439" s="199" t="str">
        <f>CONCATENATE(S439,Q439,P439)</f>
        <v>620grams</v>
      </c>
      <c r="U439" s="200">
        <f>L439*M439</f>
        <v>144.80000000000001</v>
      </c>
      <c r="V439" s="12"/>
      <c r="W439" s="12"/>
    </row>
    <row r="440" spans="1:23" x14ac:dyDescent="0.3">
      <c r="A440" s="183">
        <v>142</v>
      </c>
      <c r="B440" s="219" t="s">
        <v>1055</v>
      </c>
      <c r="C440" s="170"/>
      <c r="D440" s="194"/>
      <c r="E440" s="194"/>
      <c r="F440" s="194"/>
      <c r="G440" s="170"/>
      <c r="H440" s="194" t="s">
        <v>2020</v>
      </c>
      <c r="I440" s="253"/>
      <c r="J440" s="297" t="s">
        <v>1902</v>
      </c>
      <c r="K440" s="170"/>
      <c r="L440" s="197">
        <v>27.4</v>
      </c>
      <c r="M440" s="197">
        <v>2</v>
      </c>
      <c r="N440" s="290">
        <v>155</v>
      </c>
      <c r="O440" s="297"/>
      <c r="P440" s="516" t="s">
        <v>39</v>
      </c>
      <c r="Q440" s="170"/>
      <c r="R440" s="192" t="str">
        <f>CONCATENATE(N440,P440)</f>
        <v>155grams</v>
      </c>
      <c r="S440" s="198">
        <f>M440*N440</f>
        <v>310</v>
      </c>
      <c r="T440" s="199" t="str">
        <f>CONCATENATE(S440,Q440,P440)</f>
        <v>310grams</v>
      </c>
      <c r="U440" s="200">
        <f>L440*M440</f>
        <v>54.8</v>
      </c>
      <c r="V440" s="12"/>
      <c r="W440" s="12"/>
    </row>
    <row r="441" spans="1:23" x14ac:dyDescent="0.3">
      <c r="A441" s="183">
        <v>143</v>
      </c>
      <c r="B441" s="194" t="s">
        <v>526</v>
      </c>
      <c r="C441" s="170"/>
      <c r="D441" s="194" t="str">
        <f ca="1">IFERROR(__xludf.DUMMYFUNCTION("IF(J92="""",""n/a"",IFERROR(SPLIT(J92,""/"")))"),"n/a")</f>
        <v>n/a</v>
      </c>
      <c r="E441" s="170"/>
      <c r="F441" s="170"/>
      <c r="G441" s="170"/>
      <c r="H441" s="206" t="s">
        <v>1898</v>
      </c>
      <c r="I441" s="239"/>
      <c r="J441" s="170"/>
      <c r="K441" s="170"/>
      <c r="L441" s="197">
        <v>0.14000000000000001</v>
      </c>
      <c r="M441" s="385">
        <v>1200</v>
      </c>
      <c r="N441" s="208">
        <v>2000</v>
      </c>
      <c r="O441" s="170">
        <f>E441</f>
        <v>0</v>
      </c>
      <c r="P441" s="240" t="s">
        <v>32</v>
      </c>
      <c r="Q441" s="170"/>
      <c r="R441" s="192" t="str">
        <f>CONCATENATE(N441,P441)</f>
        <v>2000ml</v>
      </c>
      <c r="S441" s="198">
        <f>M441*N441</f>
        <v>2400000</v>
      </c>
      <c r="T441" s="199" t="str">
        <f>CONCATENATE(S441,Q441,P441)</f>
        <v>2400000ml</v>
      </c>
      <c r="U441" s="200">
        <f>L441*M441</f>
        <v>168.00000000000003</v>
      </c>
      <c r="V441" s="12"/>
      <c r="W441" s="12"/>
    </row>
    <row r="442" spans="1:23" x14ac:dyDescent="0.3">
      <c r="A442" s="183">
        <v>144</v>
      </c>
      <c r="B442" s="194" t="s">
        <v>320</v>
      </c>
      <c r="C442" s="170"/>
      <c r="D442" s="194" t="str">
        <f ca="1">IFERROR(__xludf.DUMMYFUNCTION("IF(J93="""",""n/a"",IFERROR(SPLIT(J93,""/"")))"),"Excellent")</f>
        <v>Excellent</v>
      </c>
      <c r="E442" s="194" t="str">
        <f ca="1">IFERROR(__xludf.DUMMYFUNCTION("""COMPUTED_VALUE"""),"pack")</f>
        <v>pack</v>
      </c>
      <c r="F442" s="194" t="str">
        <f ca="1">IFERROR(__xludf.DUMMYFUNCTION("""COMPUTED_VALUE"""),"400grams")</f>
        <v>400grams</v>
      </c>
      <c r="G442" s="170"/>
      <c r="H442" s="183" t="s">
        <v>1897</v>
      </c>
      <c r="I442" s="170"/>
      <c r="J442" s="46" t="s">
        <v>321</v>
      </c>
      <c r="K442" s="170"/>
      <c r="L442" s="246">
        <v>0.27</v>
      </c>
      <c r="M442" s="246">
        <v>3000</v>
      </c>
      <c r="N442" s="242">
        <v>500</v>
      </c>
      <c r="O442" s="61" t="str">
        <f ca="1">E442</f>
        <v>pack</v>
      </c>
      <c r="P442" s="240" t="s">
        <v>39</v>
      </c>
      <c r="Q442" s="170"/>
      <c r="R442" s="192" t="str">
        <f>CONCATENATE(N442,P442)</f>
        <v>500grams</v>
      </c>
      <c r="S442" s="198">
        <f>M442*N442</f>
        <v>1500000</v>
      </c>
      <c r="T442" s="199" t="str">
        <f>CONCATENATE(S442,Q442,P442)</f>
        <v>1500000grams</v>
      </c>
      <c r="U442" s="200">
        <f>L442*M442</f>
        <v>810</v>
      </c>
      <c r="V442" s="12"/>
      <c r="W442" s="12"/>
    </row>
    <row r="443" spans="1:23" x14ac:dyDescent="0.3">
      <c r="A443" s="183">
        <v>144</v>
      </c>
      <c r="B443" s="194" t="s">
        <v>320</v>
      </c>
      <c r="C443" s="170"/>
      <c r="D443" s="194" t="str">
        <f ca="1">IFERROR(__xludf.DUMMYFUNCTION("IF(J94="""",""n/a"",IFERROR(SPLIT(J94,""/"")))"),"Excellent")</f>
        <v>Excellent</v>
      </c>
      <c r="E443" s="194" t="str">
        <f ca="1">IFERROR(__xludf.DUMMYFUNCTION("""COMPUTED_VALUE"""),"pack")</f>
        <v>pack</v>
      </c>
      <c r="F443" s="194" t="str">
        <f ca="1">IFERROR(__xludf.DUMMYFUNCTION("""COMPUTED_VALUE"""),"400grams")</f>
        <v>400grams</v>
      </c>
      <c r="G443" s="170"/>
      <c r="H443" s="183" t="s">
        <v>1895</v>
      </c>
      <c r="I443" s="170"/>
      <c r="J443" s="46" t="s">
        <v>321</v>
      </c>
      <c r="K443" s="170"/>
      <c r="L443" s="195">
        <v>129.88999999999999</v>
      </c>
      <c r="M443" s="197">
        <v>22</v>
      </c>
      <c r="N443" s="61">
        <v>1</v>
      </c>
      <c r="O443" s="61" t="str">
        <f ca="1">E443</f>
        <v>pack</v>
      </c>
      <c r="P443" s="240" t="s">
        <v>39</v>
      </c>
      <c r="Q443" s="170"/>
      <c r="R443" s="192" t="str">
        <f>CONCATENATE(N443,P443)</f>
        <v>1grams</v>
      </c>
      <c r="S443" s="198">
        <f>M443*N443</f>
        <v>22</v>
      </c>
      <c r="T443" s="199" t="str">
        <f>CONCATENATE(S443,Q443,P443)</f>
        <v>22grams</v>
      </c>
      <c r="U443" s="200">
        <f>L443*M443</f>
        <v>2857.58</v>
      </c>
      <c r="V443" s="12"/>
      <c r="W443" s="12"/>
    </row>
    <row r="444" spans="1:23" x14ac:dyDescent="0.3">
      <c r="A444" s="183">
        <v>144</v>
      </c>
      <c r="B444" s="194" t="s">
        <v>320</v>
      </c>
      <c r="C444" s="170"/>
      <c r="D444" s="194" t="str">
        <f ca="1">IFERROR(__xludf.DUMMYFUNCTION("IF(J95="""",""n/a"",IFERROR(SPLIT(J95,""/"")))"),"n/a")</f>
        <v>n/a</v>
      </c>
      <c r="E444" s="170"/>
      <c r="F444" s="170"/>
      <c r="G444" s="170"/>
      <c r="H444" s="206" t="s">
        <v>1898</v>
      </c>
      <c r="I444" s="170"/>
      <c r="J444" s="170"/>
      <c r="K444" s="170"/>
      <c r="L444" s="197">
        <v>0.18</v>
      </c>
      <c r="M444" s="386">
        <v>10000</v>
      </c>
      <c r="N444" s="208">
        <v>500</v>
      </c>
      <c r="O444" s="170">
        <f>E444</f>
        <v>0</v>
      </c>
      <c r="P444" s="240" t="s">
        <v>39</v>
      </c>
      <c r="Q444" s="170"/>
      <c r="R444" s="192" t="str">
        <f>CONCATENATE(N444,P444)</f>
        <v>500grams</v>
      </c>
      <c r="S444" s="198">
        <f>M444*N444</f>
        <v>5000000</v>
      </c>
      <c r="T444" s="199" t="str">
        <f>CONCATENATE(S444,Q444,P444)</f>
        <v>5000000grams</v>
      </c>
      <c r="U444" s="200">
        <f>L444*M444</f>
        <v>1800</v>
      </c>
      <c r="V444" s="12"/>
      <c r="W444" s="12"/>
    </row>
    <row r="445" spans="1:23" x14ac:dyDescent="0.3">
      <c r="A445" s="183">
        <v>144</v>
      </c>
      <c r="B445" s="46" t="s">
        <v>320</v>
      </c>
      <c r="C445" s="170"/>
      <c r="D445" s="194"/>
      <c r="E445" s="170"/>
      <c r="F445" s="170"/>
      <c r="G445" s="170"/>
      <c r="H445" s="194" t="s">
        <v>29</v>
      </c>
      <c r="I445" s="170"/>
      <c r="J445" s="46" t="s">
        <v>1056</v>
      </c>
      <c r="K445" s="170"/>
      <c r="L445" s="197">
        <v>132.5</v>
      </c>
      <c r="M445" s="197">
        <v>3</v>
      </c>
      <c r="N445" s="290">
        <v>500</v>
      </c>
      <c r="O445" s="46"/>
      <c r="P445" s="47" t="s">
        <v>39</v>
      </c>
      <c r="Q445" s="170"/>
      <c r="R445" s="192" t="str">
        <f>CONCATENATE(N445,P445)</f>
        <v>500grams</v>
      </c>
      <c r="S445" s="198">
        <f>M445*N445</f>
        <v>1500</v>
      </c>
      <c r="T445" s="199" t="str">
        <f>CONCATENATE(S445,Q445,P445)</f>
        <v>1500grams</v>
      </c>
      <c r="U445" s="200">
        <f>L445*M445</f>
        <v>397.5</v>
      </c>
      <c r="V445" s="12"/>
      <c r="W445" s="12"/>
    </row>
    <row r="446" spans="1:23" x14ac:dyDescent="0.3">
      <c r="A446" s="183">
        <v>144</v>
      </c>
      <c r="B446" s="46" t="s">
        <v>320</v>
      </c>
      <c r="C446" s="170"/>
      <c r="D446" s="194"/>
      <c r="E446" s="194"/>
      <c r="F446" s="194"/>
      <c r="G446" s="170"/>
      <c r="H446" s="194" t="s">
        <v>2026</v>
      </c>
      <c r="I446" s="170"/>
      <c r="J446" s="46" t="s">
        <v>1056</v>
      </c>
      <c r="K446" s="170"/>
      <c r="L446" s="197">
        <v>132.5</v>
      </c>
      <c r="M446" s="197">
        <v>3</v>
      </c>
      <c r="N446" s="290">
        <v>500</v>
      </c>
      <c r="O446" s="46"/>
      <c r="P446" s="47" t="s">
        <v>39</v>
      </c>
      <c r="Q446" s="170"/>
      <c r="R446" s="192" t="str">
        <f>CONCATENATE(N446,P446)</f>
        <v>500grams</v>
      </c>
      <c r="S446" s="198">
        <f>M446*N446</f>
        <v>1500</v>
      </c>
      <c r="T446" s="199" t="str">
        <f>CONCATENATE(S446,Q446,P446)</f>
        <v>1500grams</v>
      </c>
      <c r="U446" s="200">
        <f>L446*M446</f>
        <v>397.5</v>
      </c>
      <c r="V446" s="12"/>
      <c r="W446" s="12"/>
    </row>
    <row r="447" spans="1:23" x14ac:dyDescent="0.3">
      <c r="A447" s="183">
        <v>144</v>
      </c>
      <c r="B447" s="46" t="s">
        <v>320</v>
      </c>
      <c r="C447" s="170"/>
      <c r="D447" s="194"/>
      <c r="E447" s="194"/>
      <c r="F447" s="170"/>
      <c r="G447" s="170"/>
      <c r="H447" s="194" t="s">
        <v>1368</v>
      </c>
      <c r="I447" s="170"/>
      <c r="J447" s="46" t="s">
        <v>1057</v>
      </c>
      <c r="K447" s="170"/>
      <c r="L447" s="197">
        <v>118.75</v>
      </c>
      <c r="M447" s="197">
        <v>2</v>
      </c>
      <c r="N447" s="290">
        <v>400</v>
      </c>
      <c r="O447" s="46"/>
      <c r="P447" s="47" t="s">
        <v>39</v>
      </c>
      <c r="Q447" s="170"/>
      <c r="R447" s="192" t="str">
        <f>CONCATENATE(N447,P447)</f>
        <v>400grams</v>
      </c>
      <c r="S447" s="198">
        <f>M447*N447</f>
        <v>800</v>
      </c>
      <c r="T447" s="199" t="str">
        <f>CONCATENATE(S447,Q447,P447)</f>
        <v>800grams</v>
      </c>
      <c r="U447" s="200">
        <f>L447*M447</f>
        <v>237.5</v>
      </c>
      <c r="V447" s="12"/>
      <c r="W447" s="12"/>
    </row>
    <row r="448" spans="1:23" x14ac:dyDescent="0.3">
      <c r="A448" s="183">
        <v>144</v>
      </c>
      <c r="B448" s="68" t="s">
        <v>320</v>
      </c>
      <c r="C448" s="173"/>
      <c r="D448" s="194"/>
      <c r="E448" s="243"/>
      <c r="F448" s="173"/>
      <c r="G448" s="173"/>
      <c r="H448" s="194" t="s">
        <v>1368</v>
      </c>
      <c r="I448" s="170"/>
      <c r="J448" s="46" t="s">
        <v>1056</v>
      </c>
      <c r="K448" s="170"/>
      <c r="L448" s="197">
        <v>143</v>
      </c>
      <c r="M448" s="197">
        <v>1</v>
      </c>
      <c r="N448" s="290">
        <v>500</v>
      </c>
      <c r="O448" s="46"/>
      <c r="P448" s="47" t="s">
        <v>39</v>
      </c>
      <c r="Q448" s="170"/>
      <c r="R448" s="192" t="str">
        <f>CONCATENATE(N448,P448)</f>
        <v>500grams</v>
      </c>
      <c r="S448" s="198">
        <f>M448*N448</f>
        <v>500</v>
      </c>
      <c r="T448" s="199" t="str">
        <f>CONCATENATE(S448,Q448,P448)</f>
        <v>500grams</v>
      </c>
      <c r="U448" s="200">
        <f>L448*M448</f>
        <v>143</v>
      </c>
      <c r="V448" s="12"/>
      <c r="W448" s="12"/>
    </row>
    <row r="449" spans="1:23" x14ac:dyDescent="0.3">
      <c r="A449" s="183">
        <v>144</v>
      </c>
      <c r="B449" s="96" t="s">
        <v>320</v>
      </c>
      <c r="C449" s="239"/>
      <c r="D449" s="194"/>
      <c r="E449" s="239"/>
      <c r="F449" s="239"/>
      <c r="G449" s="239"/>
      <c r="H449" s="194" t="s">
        <v>2022</v>
      </c>
      <c r="I449" s="239"/>
      <c r="J449" s="46" t="s">
        <v>912</v>
      </c>
      <c r="K449" s="170"/>
      <c r="L449" s="496">
        <v>150</v>
      </c>
      <c r="M449" s="255">
        <v>1</v>
      </c>
      <c r="N449" s="333">
        <v>1000</v>
      </c>
      <c r="O449" s="46"/>
      <c r="P449" s="47" t="s">
        <v>213</v>
      </c>
      <c r="Q449" s="170"/>
      <c r="R449" s="192" t="str">
        <f>CONCATENATE(N449,P449)</f>
        <v>1000kilos</v>
      </c>
      <c r="S449" s="198">
        <f>M449*N449</f>
        <v>1000</v>
      </c>
      <c r="T449" s="199" t="str">
        <f>CONCATENATE(S449,Q449,P449)</f>
        <v>1000kilos</v>
      </c>
      <c r="U449" s="200">
        <f>L449*M449</f>
        <v>150</v>
      </c>
      <c r="V449" s="12"/>
      <c r="W449" s="12"/>
    </row>
    <row r="450" spans="1:23" x14ac:dyDescent="0.3">
      <c r="A450" s="183">
        <v>144</v>
      </c>
      <c r="B450" s="96" t="s">
        <v>320</v>
      </c>
      <c r="C450" s="239"/>
      <c r="D450" s="194"/>
      <c r="E450" s="244"/>
      <c r="F450" s="239"/>
      <c r="G450" s="239"/>
      <c r="H450" s="194" t="s">
        <v>2021</v>
      </c>
      <c r="I450" s="239"/>
      <c r="J450" s="219" t="s">
        <v>1058</v>
      </c>
      <c r="K450" s="170"/>
      <c r="L450" s="500">
        <v>125</v>
      </c>
      <c r="M450" s="285">
        <v>1</v>
      </c>
      <c r="N450" s="336">
        <v>1000</v>
      </c>
      <c r="O450" s="219"/>
      <c r="P450" s="327" t="s">
        <v>39</v>
      </c>
      <c r="Q450" s="170"/>
      <c r="R450" s="192" t="str">
        <f>CONCATENATE(N450,P450)</f>
        <v>1000grams</v>
      </c>
      <c r="S450" s="198">
        <f>M450*N450</f>
        <v>1000</v>
      </c>
      <c r="T450" s="199" t="str">
        <f>CONCATENATE(S450,Q450,P450)</f>
        <v>1000grams</v>
      </c>
      <c r="U450" s="200">
        <f>L450*M450</f>
        <v>125</v>
      </c>
      <c r="V450" s="12"/>
      <c r="W450" s="12"/>
    </row>
    <row r="451" spans="1:23" x14ac:dyDescent="0.3">
      <c r="A451" s="183">
        <v>144</v>
      </c>
      <c r="B451" s="96" t="s">
        <v>320</v>
      </c>
      <c r="C451" s="239"/>
      <c r="D451" s="194"/>
      <c r="E451" s="239"/>
      <c r="F451" s="239"/>
      <c r="G451" s="239"/>
      <c r="H451" s="194" t="s">
        <v>2020</v>
      </c>
      <c r="I451" s="239"/>
      <c r="J451" s="68" t="s">
        <v>1059</v>
      </c>
      <c r="K451" s="170"/>
      <c r="L451" s="241">
        <v>90.73</v>
      </c>
      <c r="M451" s="255">
        <v>3</v>
      </c>
      <c r="N451" s="338">
        <v>500</v>
      </c>
      <c r="O451" s="46"/>
      <c r="P451" s="339" t="s">
        <v>39</v>
      </c>
      <c r="Q451" s="170"/>
      <c r="R451" s="192" t="str">
        <f>CONCATENATE(N451,P451)</f>
        <v>500grams</v>
      </c>
      <c r="S451" s="198">
        <f>M451*N451</f>
        <v>1500</v>
      </c>
      <c r="T451" s="199" t="str">
        <f>CONCATENATE(S451,Q451,P451)</f>
        <v>1500grams</v>
      </c>
      <c r="U451" s="200">
        <f>L451*M451</f>
        <v>272.19</v>
      </c>
      <c r="V451" s="12"/>
      <c r="W451" s="12"/>
    </row>
    <row r="452" spans="1:23" x14ac:dyDescent="0.3">
      <c r="A452" s="183">
        <v>144</v>
      </c>
      <c r="B452" s="96" t="s">
        <v>320</v>
      </c>
      <c r="C452" s="239"/>
      <c r="D452" s="194"/>
      <c r="E452" s="244"/>
      <c r="F452" s="239"/>
      <c r="G452" s="239"/>
      <c r="H452" s="194" t="s">
        <v>2025</v>
      </c>
      <c r="I452" s="239"/>
      <c r="J452" s="68" t="s">
        <v>1059</v>
      </c>
      <c r="K452" s="170"/>
      <c r="L452" s="197">
        <v>90.73</v>
      </c>
      <c r="M452" s="255">
        <v>30</v>
      </c>
      <c r="N452" s="290">
        <v>500</v>
      </c>
      <c r="O452" s="46"/>
      <c r="P452" s="339" t="s">
        <v>39</v>
      </c>
      <c r="Q452" s="170"/>
      <c r="R452" s="192" t="str">
        <f>CONCATENATE(N452,P452)</f>
        <v>500grams</v>
      </c>
      <c r="S452" s="198">
        <f>M452*N452</f>
        <v>15000</v>
      </c>
      <c r="T452" s="199" t="str">
        <f>CONCATENATE(S452,Q452,P452)</f>
        <v>15000grams</v>
      </c>
      <c r="U452" s="200">
        <f>L452*M452</f>
        <v>2721.9</v>
      </c>
      <c r="V452" s="12"/>
      <c r="W452" s="12"/>
    </row>
    <row r="453" spans="1:23" x14ac:dyDescent="0.3">
      <c r="A453" s="183">
        <v>144</v>
      </c>
      <c r="B453" s="96" t="s">
        <v>320</v>
      </c>
      <c r="C453" s="253"/>
      <c r="D453" s="194"/>
      <c r="E453" s="253"/>
      <c r="F453" s="253"/>
      <c r="G453" s="253"/>
      <c r="H453" s="400" t="s">
        <v>2027</v>
      </c>
      <c r="I453" s="239"/>
      <c r="J453" s="96" t="s">
        <v>1589</v>
      </c>
      <c r="K453" s="170"/>
      <c r="L453" s="254">
        <v>70</v>
      </c>
      <c r="M453" s="255">
        <v>2</v>
      </c>
      <c r="N453" s="366">
        <v>1</v>
      </c>
      <c r="O453" s="61"/>
      <c r="P453" s="240" t="s">
        <v>213</v>
      </c>
      <c r="Q453" s="170"/>
      <c r="R453" s="192" t="str">
        <f>CONCATENATE(N453,P453)</f>
        <v>1kilos</v>
      </c>
      <c r="S453" s="198">
        <f>M453*N453</f>
        <v>2</v>
      </c>
      <c r="T453" s="199" t="str">
        <f>CONCATENATE(S453,Q453,P453)</f>
        <v>2kilos</v>
      </c>
      <c r="U453" s="200">
        <f>L453*M453</f>
        <v>140</v>
      </c>
      <c r="V453" s="12"/>
      <c r="W453" s="12"/>
    </row>
    <row r="454" spans="1:23" x14ac:dyDescent="0.3">
      <c r="A454" s="183">
        <v>145</v>
      </c>
      <c r="B454" s="244" t="s">
        <v>527</v>
      </c>
      <c r="C454" s="239"/>
      <c r="D454" s="194" t="str">
        <f ca="1">IFERROR(__xludf.DUMMYFUNCTION("IF(J96="""",""n/a"",IFERROR(SPLIT(J96,""/"")))"),"Oishi")</f>
        <v>Oishi</v>
      </c>
      <c r="E454" s="244" t="str">
        <f ca="1">IFERROR(__xludf.DUMMYFUNCTION("""COMPUTED_VALUE"""),"box (pcsx60grams)")</f>
        <v>box (pcsx60grams)</v>
      </c>
      <c r="F454" s="239"/>
      <c r="G454" s="239"/>
      <c r="H454" s="183" t="s">
        <v>1897</v>
      </c>
      <c r="I454" s="239"/>
      <c r="J454" s="96" t="s">
        <v>528</v>
      </c>
      <c r="K454" s="170"/>
      <c r="L454" s="254">
        <v>15.19</v>
      </c>
      <c r="M454" s="271">
        <v>12</v>
      </c>
      <c r="N454" s="247">
        <v>1</v>
      </c>
      <c r="O454" s="61" t="str">
        <f ca="1">E454</f>
        <v>box (pcsx60grams)</v>
      </c>
      <c r="P454" s="100" t="s">
        <v>92</v>
      </c>
      <c r="Q454" s="170"/>
      <c r="R454" s="192" t="str">
        <f>CONCATENATE(N454,P454)</f>
        <v>1pieces</v>
      </c>
      <c r="S454" s="198">
        <f>M454*N454</f>
        <v>12</v>
      </c>
      <c r="T454" s="199" t="str">
        <f>CONCATENATE(S454,Q454,P454)</f>
        <v>12pieces</v>
      </c>
      <c r="U454" s="200">
        <f>L454*M454</f>
        <v>182.28</v>
      </c>
      <c r="V454" s="12"/>
      <c r="W454" s="12"/>
    </row>
    <row r="455" spans="1:23" x14ac:dyDescent="0.3">
      <c r="A455" s="183">
        <v>146</v>
      </c>
      <c r="B455" s="244" t="s">
        <v>529</v>
      </c>
      <c r="C455" s="239"/>
      <c r="D455" s="194" t="str">
        <f ca="1">IFERROR(__xludf.DUMMYFUNCTION("IF(J97="""",""n/a"",IFERROR(SPLIT(J97,""/"")))"),"n/a")</f>
        <v>n/a</v>
      </c>
      <c r="E455" s="239"/>
      <c r="F455" s="239"/>
      <c r="G455" s="239"/>
      <c r="H455" s="206" t="s">
        <v>1898</v>
      </c>
      <c r="I455" s="239"/>
      <c r="J455" s="239"/>
      <c r="K455" s="170"/>
      <c r="L455" s="255">
        <v>0.18</v>
      </c>
      <c r="M455" s="390">
        <v>1040</v>
      </c>
      <c r="N455" s="250">
        <v>260</v>
      </c>
      <c r="O455" s="170">
        <f>E455</f>
        <v>0</v>
      </c>
      <c r="P455" s="255" t="s">
        <v>39</v>
      </c>
      <c r="Q455" s="170"/>
      <c r="R455" s="192" t="str">
        <f>CONCATENATE(N455,P455)</f>
        <v>260grams</v>
      </c>
      <c r="S455" s="198">
        <f>M455*N455</f>
        <v>270400</v>
      </c>
      <c r="T455" s="199" t="str">
        <f>CONCATENATE(S455,Q455,P455)</f>
        <v>270400grams</v>
      </c>
      <c r="U455" s="200">
        <f>L455*M455</f>
        <v>187.2</v>
      </c>
      <c r="V455" s="12"/>
      <c r="W455" s="12"/>
    </row>
    <row r="456" spans="1:23" x14ac:dyDescent="0.3">
      <c r="A456" s="183">
        <v>147</v>
      </c>
      <c r="B456" s="244" t="s">
        <v>451</v>
      </c>
      <c r="C456" s="239"/>
      <c r="D456" s="194" t="str">
        <f ca="1">IFERROR(__xludf.DUMMYFUNCTION("IF(J98="""",""n/a"",IFERROR(SPLIT(J98,""/"")))"),"Fresh")</f>
        <v>Fresh</v>
      </c>
      <c r="E456" s="239"/>
      <c r="F456" s="239"/>
      <c r="G456" s="239"/>
      <c r="H456" s="183" t="s">
        <v>1895</v>
      </c>
      <c r="I456" s="239"/>
      <c r="J456" s="96" t="s">
        <v>216</v>
      </c>
      <c r="K456" s="170"/>
      <c r="L456" s="254">
        <v>120</v>
      </c>
      <c r="M456" s="255">
        <v>3</v>
      </c>
      <c r="N456" s="100">
        <v>1</v>
      </c>
      <c r="O456" s="170">
        <f>E456</f>
        <v>0</v>
      </c>
      <c r="P456" s="100" t="s">
        <v>39</v>
      </c>
      <c r="Q456" s="170"/>
      <c r="R456" s="192" t="str">
        <f>CONCATENATE(N456,P456)</f>
        <v>1grams</v>
      </c>
      <c r="S456" s="198">
        <f>M456*N456</f>
        <v>3</v>
      </c>
      <c r="T456" s="199" t="str">
        <f>CONCATENATE(S456,Q456,P456)</f>
        <v>3grams</v>
      </c>
      <c r="U456" s="200">
        <f>L456*M456</f>
        <v>360</v>
      </c>
      <c r="V456" s="12"/>
      <c r="W456" s="12"/>
    </row>
    <row r="457" spans="1:23" x14ac:dyDescent="0.3">
      <c r="A457" s="183">
        <v>147</v>
      </c>
      <c r="B457" s="96" t="s">
        <v>451</v>
      </c>
      <c r="C457" s="239"/>
      <c r="D457" s="194"/>
      <c r="E457" s="239"/>
      <c r="F457" s="239"/>
      <c r="G457" s="239"/>
      <c r="H457" s="194" t="s">
        <v>29</v>
      </c>
      <c r="I457" s="239"/>
      <c r="J457" s="239"/>
      <c r="K457" s="170"/>
      <c r="L457" s="255">
        <v>225</v>
      </c>
      <c r="M457" s="255">
        <v>0</v>
      </c>
      <c r="N457" s="333">
        <v>1</v>
      </c>
      <c r="O457" s="46"/>
      <c r="P457" s="96" t="s">
        <v>213</v>
      </c>
      <c r="Q457" s="170"/>
      <c r="R457" s="192" t="str">
        <f>CONCATENATE(N457,P457)</f>
        <v>1kilos</v>
      </c>
      <c r="S457" s="198">
        <f>M457*N457</f>
        <v>0</v>
      </c>
      <c r="T457" s="199" t="str">
        <f>CONCATENATE(S457,Q457,P457)</f>
        <v>0kilos</v>
      </c>
      <c r="U457" s="200">
        <f>L457*M457</f>
        <v>0</v>
      </c>
      <c r="V457" s="12"/>
      <c r="W457" s="12"/>
    </row>
    <row r="458" spans="1:23" x14ac:dyDescent="0.3">
      <c r="A458" s="183">
        <v>147</v>
      </c>
      <c r="B458" s="96" t="s">
        <v>451</v>
      </c>
      <c r="C458" s="239"/>
      <c r="D458" s="194"/>
      <c r="E458" s="244"/>
      <c r="F458" s="239"/>
      <c r="G458" s="239"/>
      <c r="H458" s="194" t="s">
        <v>2025</v>
      </c>
      <c r="I458" s="256"/>
      <c r="J458" s="239"/>
      <c r="K458" s="170"/>
      <c r="L458" s="255">
        <v>70</v>
      </c>
      <c r="M458" s="255">
        <v>3</v>
      </c>
      <c r="N458" s="333">
        <v>1</v>
      </c>
      <c r="O458" s="46"/>
      <c r="P458" s="96" t="s">
        <v>213</v>
      </c>
      <c r="Q458" s="170"/>
      <c r="R458" s="192" t="str">
        <f>CONCATENATE(N458,P458)</f>
        <v>1kilos</v>
      </c>
      <c r="S458" s="198">
        <f>M458*N458</f>
        <v>3</v>
      </c>
      <c r="T458" s="199" t="str">
        <f>CONCATENATE(S458,Q458,P458)</f>
        <v>3kilos</v>
      </c>
      <c r="U458" s="200">
        <f>L458*M458</f>
        <v>210</v>
      </c>
      <c r="V458" s="12"/>
      <c r="W458" s="12"/>
    </row>
    <row r="459" spans="1:23" x14ac:dyDescent="0.3">
      <c r="A459" s="183">
        <v>147</v>
      </c>
      <c r="B459" s="96" t="s">
        <v>451</v>
      </c>
      <c r="C459" s="253"/>
      <c r="D459" s="194"/>
      <c r="E459" s="252"/>
      <c r="F459" s="253"/>
      <c r="G459" s="253"/>
      <c r="H459" s="194" t="s">
        <v>2026</v>
      </c>
      <c r="I459" s="170"/>
      <c r="J459" s="239"/>
      <c r="K459" s="170"/>
      <c r="L459" s="255">
        <v>120</v>
      </c>
      <c r="M459" s="255">
        <v>2</v>
      </c>
      <c r="N459" s="333">
        <v>1000</v>
      </c>
      <c r="O459" s="46"/>
      <c r="P459" s="96" t="s">
        <v>39</v>
      </c>
      <c r="Q459" s="170"/>
      <c r="R459" s="192" t="str">
        <f>CONCATENATE(N459,P459)</f>
        <v>1000grams</v>
      </c>
      <c r="S459" s="198">
        <f>M459*N459</f>
        <v>2000</v>
      </c>
      <c r="T459" s="199" t="str">
        <f>CONCATENATE(S459,Q459,P459)</f>
        <v>2000grams</v>
      </c>
      <c r="U459" s="200">
        <f>L459*M459</f>
        <v>240</v>
      </c>
      <c r="V459" s="12"/>
      <c r="W459" s="12"/>
    </row>
    <row r="460" spans="1:23" x14ac:dyDescent="0.3">
      <c r="A460" s="183">
        <v>147</v>
      </c>
      <c r="B460" s="96" t="s">
        <v>451</v>
      </c>
      <c r="C460" s="239"/>
      <c r="D460" s="194"/>
      <c r="E460" s="239"/>
      <c r="F460" s="239"/>
      <c r="G460" s="239"/>
      <c r="H460" s="194" t="s">
        <v>1368</v>
      </c>
      <c r="I460" s="239"/>
      <c r="J460" s="239"/>
      <c r="K460" s="170"/>
      <c r="L460" s="255">
        <v>35</v>
      </c>
      <c r="M460" s="255">
        <v>3</v>
      </c>
      <c r="N460" s="333">
        <v>1000</v>
      </c>
      <c r="O460" s="46"/>
      <c r="P460" s="96" t="s">
        <v>39</v>
      </c>
      <c r="Q460" s="170"/>
      <c r="R460" s="192" t="str">
        <f>CONCATENATE(N460,P460)</f>
        <v>1000grams</v>
      </c>
      <c r="S460" s="198">
        <f>M460*N460</f>
        <v>3000</v>
      </c>
      <c r="T460" s="199" t="str">
        <f>CONCATENATE(S460,Q460,P460)</f>
        <v>3000grams</v>
      </c>
      <c r="U460" s="200">
        <f>L460*M460</f>
        <v>105</v>
      </c>
      <c r="V460" s="12"/>
      <c r="W460" s="12"/>
    </row>
    <row r="461" spans="1:23" x14ac:dyDescent="0.3">
      <c r="A461" s="183">
        <v>147</v>
      </c>
      <c r="B461" s="96" t="s">
        <v>451</v>
      </c>
      <c r="C461" s="239"/>
      <c r="D461" s="194"/>
      <c r="E461" s="244"/>
      <c r="F461" s="244"/>
      <c r="G461" s="239"/>
      <c r="H461" s="194" t="s">
        <v>2023</v>
      </c>
      <c r="I461" s="239"/>
      <c r="J461" s="239"/>
      <c r="K461" s="170"/>
      <c r="L461" s="255">
        <v>160</v>
      </c>
      <c r="M461" s="255">
        <v>2</v>
      </c>
      <c r="N461" s="333">
        <v>1000</v>
      </c>
      <c r="O461" s="46"/>
      <c r="P461" s="96" t="s">
        <v>39</v>
      </c>
      <c r="Q461" s="170"/>
      <c r="R461" s="192" t="str">
        <f>CONCATENATE(N461,P461)</f>
        <v>1000grams</v>
      </c>
      <c r="S461" s="198">
        <f>M461*N461</f>
        <v>2000</v>
      </c>
      <c r="T461" s="199" t="str">
        <f>CONCATENATE(S461,Q461,P461)</f>
        <v>2000grams</v>
      </c>
      <c r="U461" s="200">
        <f>L461*M461</f>
        <v>320</v>
      </c>
      <c r="V461" s="12"/>
      <c r="W461" s="12"/>
    </row>
    <row r="462" spans="1:23" x14ac:dyDescent="0.3">
      <c r="A462" s="183">
        <v>147</v>
      </c>
      <c r="B462" s="96" t="s">
        <v>451</v>
      </c>
      <c r="C462" s="239"/>
      <c r="D462" s="194"/>
      <c r="E462" s="244"/>
      <c r="F462" s="244"/>
      <c r="G462" s="239"/>
      <c r="H462" s="194" t="s">
        <v>2020</v>
      </c>
      <c r="I462" s="239"/>
      <c r="J462" s="96" t="s">
        <v>1060</v>
      </c>
      <c r="K462" s="170"/>
      <c r="L462" s="255">
        <v>190</v>
      </c>
      <c r="M462" s="255">
        <v>4</v>
      </c>
      <c r="N462" s="333">
        <v>1000</v>
      </c>
      <c r="O462" s="46"/>
      <c r="P462" s="96" t="s">
        <v>213</v>
      </c>
      <c r="Q462" s="170"/>
      <c r="R462" s="192" t="str">
        <f>CONCATENATE(N462,P462)</f>
        <v>1000kilos</v>
      </c>
      <c r="S462" s="198">
        <f>M462*N462</f>
        <v>4000</v>
      </c>
      <c r="T462" s="199" t="str">
        <f>CONCATENATE(S462,Q462,P462)</f>
        <v>4000kilos</v>
      </c>
      <c r="U462" s="200">
        <f>L462*M462</f>
        <v>760</v>
      </c>
      <c r="V462" s="12"/>
      <c r="W462" s="12"/>
    </row>
    <row r="463" spans="1:23" x14ac:dyDescent="0.3">
      <c r="A463" s="183">
        <v>147</v>
      </c>
      <c r="B463" s="344" t="s">
        <v>451</v>
      </c>
      <c r="C463" s="490"/>
      <c r="D463" s="194"/>
      <c r="E463" s="490"/>
      <c r="F463" s="490"/>
      <c r="G463" s="490"/>
      <c r="H463" s="400" t="s">
        <v>2027</v>
      </c>
      <c r="I463" s="239"/>
      <c r="J463" s="256"/>
      <c r="K463" s="170"/>
      <c r="L463" s="401">
        <v>208.8</v>
      </c>
      <c r="M463" s="259">
        <v>1</v>
      </c>
      <c r="N463" s="367">
        <v>1</v>
      </c>
      <c r="O463" s="61"/>
      <c r="P463" s="100" t="s">
        <v>213</v>
      </c>
      <c r="Q463" s="170"/>
      <c r="R463" s="192" t="str">
        <f>CONCATENATE(N463,P463)</f>
        <v>1kilos</v>
      </c>
      <c r="S463" s="198">
        <f>M463*N463</f>
        <v>1</v>
      </c>
      <c r="T463" s="199" t="str">
        <f>CONCATENATE(S463,Q463,P463)</f>
        <v>1kilos</v>
      </c>
      <c r="U463" s="200">
        <f>L463*M463</f>
        <v>208.8</v>
      </c>
      <c r="V463" s="12"/>
      <c r="W463" s="12"/>
    </row>
    <row r="464" spans="1:23" x14ac:dyDescent="0.3">
      <c r="A464" s="183">
        <v>148</v>
      </c>
      <c r="B464" s="219" t="s">
        <v>1061</v>
      </c>
      <c r="C464" s="170"/>
      <c r="D464" s="194"/>
      <c r="E464" s="170"/>
      <c r="F464" s="170"/>
      <c r="G464" s="170"/>
      <c r="H464" s="194" t="s">
        <v>2021</v>
      </c>
      <c r="I464" s="239"/>
      <c r="J464" s="219" t="s">
        <v>1062</v>
      </c>
      <c r="K464" s="170"/>
      <c r="L464" s="216">
        <v>90</v>
      </c>
      <c r="M464" s="216">
        <v>4</v>
      </c>
      <c r="N464" s="293">
        <v>1</v>
      </c>
      <c r="O464" s="219"/>
      <c r="P464" s="340" t="s">
        <v>1063</v>
      </c>
      <c r="Q464" s="170"/>
      <c r="R464" s="192" t="str">
        <f>CONCATENATE(N464,P464)</f>
        <v>1pouch</v>
      </c>
      <c r="S464" s="198">
        <f>M464*N464</f>
        <v>4</v>
      </c>
      <c r="T464" s="199" t="str">
        <f>CONCATENATE(S464,Q464,P464)</f>
        <v>4pouch</v>
      </c>
      <c r="U464" s="200">
        <f>L464*M464</f>
        <v>360</v>
      </c>
      <c r="V464" s="12"/>
      <c r="W464" s="12"/>
    </row>
    <row r="465" spans="1:23" x14ac:dyDescent="0.3">
      <c r="A465" s="183">
        <v>148</v>
      </c>
      <c r="B465" s="219" t="s">
        <v>1061</v>
      </c>
      <c r="C465" s="170"/>
      <c r="D465" s="194"/>
      <c r="E465" s="194"/>
      <c r="F465" s="194"/>
      <c r="G465" s="170"/>
      <c r="H465" s="194" t="s">
        <v>2021</v>
      </c>
      <c r="I465" s="239"/>
      <c r="J465" s="219" t="s">
        <v>1062</v>
      </c>
      <c r="K465" s="170"/>
      <c r="L465" s="216">
        <v>245</v>
      </c>
      <c r="M465" s="216">
        <v>4</v>
      </c>
      <c r="N465" s="293">
        <v>1</v>
      </c>
      <c r="O465" s="219"/>
      <c r="P465" s="340" t="s">
        <v>1064</v>
      </c>
      <c r="Q465" s="170"/>
      <c r="R465" s="192" t="str">
        <f>CONCATENATE(N465,P465)</f>
        <v>1jar</v>
      </c>
      <c r="S465" s="198">
        <f>M465*N465</f>
        <v>4</v>
      </c>
      <c r="T465" s="199" t="str">
        <f>CONCATENATE(S465,Q465,P465)</f>
        <v>4jar</v>
      </c>
      <c r="U465" s="200">
        <f>L465*M465</f>
        <v>980</v>
      </c>
      <c r="V465" s="12"/>
      <c r="W465" s="12"/>
    </row>
    <row r="466" spans="1:23" x14ac:dyDescent="0.3">
      <c r="A466" s="183">
        <v>149</v>
      </c>
      <c r="B466" s="46" t="s">
        <v>1065</v>
      </c>
      <c r="C466" s="170"/>
      <c r="D466" s="194"/>
      <c r="E466" s="194"/>
      <c r="F466" s="194"/>
      <c r="G466" s="170"/>
      <c r="H466" s="194" t="s">
        <v>2022</v>
      </c>
      <c r="I466" s="239"/>
      <c r="J466" s="46" t="s">
        <v>1066</v>
      </c>
      <c r="K466" s="170"/>
      <c r="L466" s="197">
        <v>98</v>
      </c>
      <c r="M466" s="197">
        <v>5</v>
      </c>
      <c r="N466" s="290">
        <v>80</v>
      </c>
      <c r="O466" s="46"/>
      <c r="P466" s="96" t="s">
        <v>39</v>
      </c>
      <c r="Q466" s="170"/>
      <c r="R466" s="192" t="str">
        <f>CONCATENATE(N466,P466)</f>
        <v>80grams</v>
      </c>
      <c r="S466" s="198">
        <f>M466*N466</f>
        <v>400</v>
      </c>
      <c r="T466" s="199" t="str">
        <f>CONCATENATE(S466,Q466,P466)</f>
        <v>400grams</v>
      </c>
      <c r="U466" s="200">
        <f>L466*M466</f>
        <v>490</v>
      </c>
      <c r="V466" s="12"/>
      <c r="W466" s="12"/>
    </row>
    <row r="467" spans="1:23" x14ac:dyDescent="0.3">
      <c r="A467" s="183">
        <v>150</v>
      </c>
      <c r="B467" s="46" t="s">
        <v>1067</v>
      </c>
      <c r="C467" s="170"/>
      <c r="D467" s="194"/>
      <c r="E467" s="194"/>
      <c r="F467" s="194"/>
      <c r="G467" s="170"/>
      <c r="H467" s="194" t="s">
        <v>2020</v>
      </c>
      <c r="I467" s="239"/>
      <c r="J467" s="46" t="s">
        <v>47</v>
      </c>
      <c r="K467" s="170"/>
      <c r="L467" s="197">
        <v>65</v>
      </c>
      <c r="M467" s="197">
        <v>2</v>
      </c>
      <c r="N467" s="290">
        <v>1000</v>
      </c>
      <c r="O467" s="46"/>
      <c r="P467" s="96" t="s">
        <v>213</v>
      </c>
      <c r="Q467" s="170"/>
      <c r="R467" s="192" t="str">
        <f>CONCATENATE(N467,P467)</f>
        <v>1000kilos</v>
      </c>
      <c r="S467" s="198">
        <f>M467*N467</f>
        <v>2000</v>
      </c>
      <c r="T467" s="199" t="str">
        <f>CONCATENATE(S467,Q467,P467)</f>
        <v>2000kilos</v>
      </c>
      <c r="U467" s="200">
        <f>L467*M467</f>
        <v>130</v>
      </c>
      <c r="V467" s="12"/>
      <c r="W467" s="12"/>
    </row>
    <row r="468" spans="1:23" x14ac:dyDescent="0.3">
      <c r="A468" s="183">
        <v>150</v>
      </c>
      <c r="B468" s="46" t="s">
        <v>1067</v>
      </c>
      <c r="C468" s="170"/>
      <c r="D468" s="194"/>
      <c r="E468" s="194"/>
      <c r="F468" s="194"/>
      <c r="G468" s="170"/>
      <c r="H468" s="194" t="s">
        <v>2025</v>
      </c>
      <c r="I468" s="239"/>
      <c r="J468" s="46" t="s">
        <v>1068</v>
      </c>
      <c r="K468" s="170"/>
      <c r="L468" s="197">
        <v>65</v>
      </c>
      <c r="M468" s="197">
        <v>5</v>
      </c>
      <c r="N468" s="333">
        <v>1</v>
      </c>
      <c r="O468" s="46"/>
      <c r="P468" s="46" t="s">
        <v>213</v>
      </c>
      <c r="Q468" s="170"/>
      <c r="R468" s="192" t="str">
        <f>CONCATENATE(N468,P468)</f>
        <v>1kilos</v>
      </c>
      <c r="S468" s="198">
        <f>M468*N468</f>
        <v>5</v>
      </c>
      <c r="T468" s="199" t="str">
        <f>CONCATENATE(S468,Q468,P468)</f>
        <v>5kilos</v>
      </c>
      <c r="U468" s="200">
        <f>L468*M468</f>
        <v>325</v>
      </c>
      <c r="V468" s="12"/>
      <c r="W468" s="12"/>
    </row>
    <row r="469" spans="1:23" x14ac:dyDescent="0.3">
      <c r="A469" s="183">
        <v>151</v>
      </c>
      <c r="B469" s="194" t="s">
        <v>52</v>
      </c>
      <c r="C469" s="170"/>
      <c r="D469" s="194" t="str">
        <f ca="1">IFERROR(__xludf.DUMMYFUNCTION("IF(J99="""",""n/a"",IFERROR(SPLIT(J99,""/"")))"),"pack")</f>
        <v>pack</v>
      </c>
      <c r="E469" s="194" t="str">
        <f ca="1">IFERROR(__xludf.DUMMYFUNCTION("""COMPUTED_VALUE"""),"1000grams")</f>
        <v>1000grams</v>
      </c>
      <c r="F469" s="170"/>
      <c r="G469" s="170"/>
      <c r="H469" s="183" t="s">
        <v>1897</v>
      </c>
      <c r="I469" s="239"/>
      <c r="J469" s="46" t="s">
        <v>51</v>
      </c>
      <c r="K469" s="170"/>
      <c r="L469" s="254">
        <v>0.11</v>
      </c>
      <c r="M469" s="271">
        <v>1000</v>
      </c>
      <c r="N469" s="247">
        <v>1000</v>
      </c>
      <c r="O469" s="61" t="str">
        <f ca="1">E469</f>
        <v>1000grams</v>
      </c>
      <c r="P469" s="240" t="s">
        <v>39</v>
      </c>
      <c r="Q469" s="61" t="s">
        <v>33</v>
      </c>
      <c r="R469" s="192" t="str">
        <f>CONCATENATE(N469,P469)</f>
        <v>1000grams</v>
      </c>
      <c r="S469" s="198">
        <f>M469*N469</f>
        <v>1000000</v>
      </c>
      <c r="T469" s="199" t="str">
        <f>CONCATENATE(S469,Q469,P469)</f>
        <v>1000000 grams</v>
      </c>
      <c r="U469" s="200">
        <f>L469*M469</f>
        <v>110</v>
      </c>
      <c r="V469" s="205"/>
      <c r="W469" s="62"/>
    </row>
    <row r="470" spans="1:23" x14ac:dyDescent="0.3">
      <c r="A470" s="183">
        <v>151</v>
      </c>
      <c r="B470" s="194" t="s">
        <v>52</v>
      </c>
      <c r="C470" s="170"/>
      <c r="D470" s="194" t="str">
        <f ca="1">IFERROR(__xludf.DUMMYFUNCTION("IF(J100="""",""n/a"",IFERROR(SPLIT(J100,""/"")))"),"pack")</f>
        <v>pack</v>
      </c>
      <c r="E470" s="194" t="str">
        <f ca="1">IFERROR(__xludf.DUMMYFUNCTION("""COMPUTED_VALUE"""),"1000grams")</f>
        <v>1000grams</v>
      </c>
      <c r="F470" s="170"/>
      <c r="G470" s="170"/>
      <c r="H470" s="183" t="s">
        <v>1895</v>
      </c>
      <c r="I470" s="239"/>
      <c r="J470" s="46" t="s">
        <v>51</v>
      </c>
      <c r="K470" s="170"/>
      <c r="L470" s="254">
        <v>70</v>
      </c>
      <c r="M470" s="255">
        <v>10</v>
      </c>
      <c r="N470" s="100">
        <v>1000</v>
      </c>
      <c r="O470" s="61" t="str">
        <f ca="1">E470</f>
        <v>1000grams</v>
      </c>
      <c r="P470" s="240" t="s">
        <v>39</v>
      </c>
      <c r="Q470" s="170"/>
      <c r="R470" s="192" t="str">
        <f>CONCATENATE(N470,P470)</f>
        <v>1000grams</v>
      </c>
      <c r="S470" s="198">
        <f>M470*N470</f>
        <v>10000</v>
      </c>
      <c r="T470" s="199" t="str">
        <f>CONCATENATE(S470,Q470,P470)</f>
        <v>10000grams</v>
      </c>
      <c r="U470" s="200">
        <f>L470*M470</f>
        <v>700</v>
      </c>
      <c r="V470" s="12"/>
      <c r="W470" s="12"/>
    </row>
    <row r="471" spans="1:23" x14ac:dyDescent="0.3">
      <c r="A471" s="183">
        <v>151</v>
      </c>
      <c r="B471" s="46" t="s">
        <v>52</v>
      </c>
      <c r="C471" s="170"/>
      <c r="D471" s="194"/>
      <c r="E471" s="170"/>
      <c r="F471" s="170"/>
      <c r="G471" s="170"/>
      <c r="H471" s="194" t="s">
        <v>1368</v>
      </c>
      <c r="I471" s="170"/>
      <c r="J471" s="170"/>
      <c r="K471" s="170"/>
      <c r="L471" s="255">
        <v>44</v>
      </c>
      <c r="M471" s="255">
        <v>4</v>
      </c>
      <c r="N471" s="333">
        <v>1</v>
      </c>
      <c r="O471" s="46"/>
      <c r="P471" s="47" t="s">
        <v>213</v>
      </c>
      <c r="Q471" s="170"/>
      <c r="R471" s="192" t="str">
        <f>CONCATENATE(N471,P471)</f>
        <v>1kilos</v>
      </c>
      <c r="S471" s="198">
        <f>M471*N471</f>
        <v>4</v>
      </c>
      <c r="T471" s="199" t="str">
        <f>CONCATENATE(S471,Q471,P471)</f>
        <v>4kilos</v>
      </c>
      <c r="U471" s="200">
        <f>L471*M471</f>
        <v>176</v>
      </c>
      <c r="V471" s="12"/>
      <c r="W471" s="12"/>
    </row>
    <row r="472" spans="1:23" x14ac:dyDescent="0.3">
      <c r="A472" s="183">
        <v>151</v>
      </c>
      <c r="B472" s="46" t="s">
        <v>52</v>
      </c>
      <c r="C472" s="170"/>
      <c r="D472" s="194"/>
      <c r="E472" s="194"/>
      <c r="F472" s="194"/>
      <c r="G472" s="170"/>
      <c r="H472" s="194" t="s">
        <v>2023</v>
      </c>
      <c r="I472" s="170"/>
      <c r="J472" s="170"/>
      <c r="K472" s="170"/>
      <c r="L472" s="255">
        <v>65</v>
      </c>
      <c r="M472" s="255">
        <v>5</v>
      </c>
      <c r="N472" s="333">
        <v>1000</v>
      </c>
      <c r="O472" s="46"/>
      <c r="P472" s="47" t="s">
        <v>39</v>
      </c>
      <c r="Q472" s="170"/>
      <c r="R472" s="192" t="str">
        <f>CONCATENATE(N472,P472)</f>
        <v>1000grams</v>
      </c>
      <c r="S472" s="198">
        <f>M472*N472</f>
        <v>5000</v>
      </c>
      <c r="T472" s="199" t="str">
        <f>CONCATENATE(S472,Q472,P472)</f>
        <v>5000grams</v>
      </c>
      <c r="U472" s="200">
        <f>L472*M472</f>
        <v>325</v>
      </c>
      <c r="V472" s="12"/>
      <c r="W472" s="12"/>
    </row>
    <row r="473" spans="1:23" x14ac:dyDescent="0.3">
      <c r="A473" s="183">
        <v>152</v>
      </c>
      <c r="B473" s="194" t="s">
        <v>238</v>
      </c>
      <c r="C473" s="170"/>
      <c r="D473" s="194" t="str">
        <f ca="1">IFERROR(__xludf.DUMMYFUNCTION("IF(J101="""",""n/a"",IFERROR(SPLIT(J101,""/"")))"),"Ticman")</f>
        <v>Ticman</v>
      </c>
      <c r="E473" s="194" t="str">
        <f ca="1">IFERROR(__xludf.DUMMYFUNCTION("""COMPUTED_VALUE"""),"gallon")</f>
        <v>gallon</v>
      </c>
      <c r="F473" s="194" t="str">
        <f ca="1">IFERROR(__xludf.DUMMYFUNCTION("""COMPUTED_VALUE"""),"3500ml")</f>
        <v>3500ml</v>
      </c>
      <c r="G473" s="170"/>
      <c r="H473" s="183" t="s">
        <v>1897</v>
      </c>
      <c r="I473" s="170"/>
      <c r="J473" s="46" t="s">
        <v>239</v>
      </c>
      <c r="K473" s="170"/>
      <c r="L473" s="255">
        <v>88</v>
      </c>
      <c r="M473" s="271">
        <v>16</v>
      </c>
      <c r="N473" s="247">
        <v>1</v>
      </c>
      <c r="O473" s="61" t="str">
        <f ca="1">E473</f>
        <v>gallon</v>
      </c>
      <c r="P473" s="240" t="s">
        <v>200</v>
      </c>
      <c r="Q473" s="170"/>
      <c r="R473" s="192" t="str">
        <f>CONCATENATE(N473,P473)</f>
        <v>1gal</v>
      </c>
      <c r="S473" s="198">
        <f>M473*N473</f>
        <v>16</v>
      </c>
      <c r="T473" s="199" t="str">
        <f>CONCATENATE(S473,Q473,P473)</f>
        <v>16gal</v>
      </c>
      <c r="U473" s="200">
        <f>L473*M473</f>
        <v>1408</v>
      </c>
      <c r="V473" s="205"/>
      <c r="W473" s="62"/>
    </row>
    <row r="474" spans="1:23" x14ac:dyDescent="0.3">
      <c r="A474" s="183">
        <v>152</v>
      </c>
      <c r="B474" s="194" t="s">
        <v>238</v>
      </c>
      <c r="C474" s="170"/>
      <c r="D474" s="194" t="str">
        <f ca="1">IFERROR(__xludf.DUMMYFUNCTION("IF(J102="""",""n/a"",IFERROR(SPLIT(J102,""/"")))"),"Ticman")</f>
        <v>Ticman</v>
      </c>
      <c r="E474" s="194" t="str">
        <f ca="1">IFERROR(__xludf.DUMMYFUNCTION("""COMPUTED_VALUE"""),"gallon")</f>
        <v>gallon</v>
      </c>
      <c r="F474" s="194" t="str">
        <f ca="1">IFERROR(__xludf.DUMMYFUNCTION("""COMPUTED_VALUE"""),"3500ml")</f>
        <v>3500ml</v>
      </c>
      <c r="G474" s="170"/>
      <c r="H474" s="183" t="s">
        <v>1895</v>
      </c>
      <c r="I474" s="170"/>
      <c r="J474" s="46" t="s">
        <v>239</v>
      </c>
      <c r="K474" s="170"/>
      <c r="L474" s="254">
        <v>88</v>
      </c>
      <c r="M474" s="255">
        <v>25</v>
      </c>
      <c r="N474" s="100">
        <v>1</v>
      </c>
      <c r="O474" s="61" t="str">
        <f ca="1">E474</f>
        <v>gallon</v>
      </c>
      <c r="P474" s="240" t="s">
        <v>200</v>
      </c>
      <c r="Q474" s="170"/>
      <c r="R474" s="192" t="str">
        <f>CONCATENATE(N474,P474)</f>
        <v>1gal</v>
      </c>
      <c r="S474" s="198">
        <f>M474*N474</f>
        <v>25</v>
      </c>
      <c r="T474" s="199" t="str">
        <f>CONCATENATE(S474,Q474,P474)</f>
        <v>25gal</v>
      </c>
      <c r="U474" s="200">
        <f>L474*M474</f>
        <v>2200</v>
      </c>
      <c r="V474" s="12"/>
      <c r="W474" s="12"/>
    </row>
    <row r="475" spans="1:23" x14ac:dyDescent="0.3">
      <c r="A475" s="183">
        <v>152</v>
      </c>
      <c r="B475" s="46" t="s">
        <v>238</v>
      </c>
      <c r="C475" s="170"/>
      <c r="D475" s="194"/>
      <c r="E475" s="194"/>
      <c r="F475" s="194"/>
      <c r="G475" s="170"/>
      <c r="H475" s="194" t="s">
        <v>29</v>
      </c>
      <c r="I475" s="170"/>
      <c r="J475" s="46" t="s">
        <v>1069</v>
      </c>
      <c r="K475" s="170"/>
      <c r="L475" s="255">
        <v>88</v>
      </c>
      <c r="M475" s="255">
        <v>2</v>
      </c>
      <c r="N475" s="333">
        <v>3500</v>
      </c>
      <c r="O475" s="46"/>
      <c r="P475" s="47" t="s">
        <v>32</v>
      </c>
      <c r="Q475" s="170"/>
      <c r="R475" s="192" t="str">
        <f>CONCATENATE(N475,P475)</f>
        <v>3500ml</v>
      </c>
      <c r="S475" s="198">
        <f>M475*N475</f>
        <v>7000</v>
      </c>
      <c r="T475" s="199" t="str">
        <f>CONCATENATE(S475,Q475,P475)</f>
        <v>7000ml</v>
      </c>
      <c r="U475" s="200">
        <f>L475*M475</f>
        <v>176</v>
      </c>
      <c r="V475" s="12"/>
      <c r="W475" s="12"/>
    </row>
    <row r="476" spans="1:23" x14ac:dyDescent="0.3">
      <c r="A476" s="183">
        <v>152</v>
      </c>
      <c r="B476" s="46" t="s">
        <v>238</v>
      </c>
      <c r="C476" s="215"/>
      <c r="D476" s="194"/>
      <c r="E476" s="214"/>
      <c r="F476" s="214"/>
      <c r="G476" s="215"/>
      <c r="H476" s="194" t="s">
        <v>2024</v>
      </c>
      <c r="I476" s="215"/>
      <c r="J476" s="46" t="s">
        <v>1069</v>
      </c>
      <c r="K476" s="170"/>
      <c r="L476" s="255">
        <v>88</v>
      </c>
      <c r="M476" s="255">
        <v>11</v>
      </c>
      <c r="N476" s="333">
        <v>3500</v>
      </c>
      <c r="O476" s="46"/>
      <c r="P476" s="47" t="s">
        <v>32</v>
      </c>
      <c r="Q476" s="170"/>
      <c r="R476" s="192" t="str">
        <f>CONCATENATE(N476,P476)</f>
        <v>3500ml</v>
      </c>
      <c r="S476" s="198">
        <f>M476*N476</f>
        <v>38500</v>
      </c>
      <c r="T476" s="199" t="str">
        <f>CONCATENATE(S476,Q476,P476)</f>
        <v>38500ml</v>
      </c>
      <c r="U476" s="200">
        <f>L476*M476</f>
        <v>968</v>
      </c>
      <c r="V476" s="12"/>
      <c r="W476" s="12"/>
    </row>
    <row r="477" spans="1:23" x14ac:dyDescent="0.3">
      <c r="A477" s="183">
        <v>152</v>
      </c>
      <c r="B477" s="46" t="s">
        <v>238</v>
      </c>
      <c r="C477" s="170"/>
      <c r="D477" s="194"/>
      <c r="E477" s="170"/>
      <c r="F477" s="170"/>
      <c r="G477" s="170"/>
      <c r="H477" s="194" t="s">
        <v>2025</v>
      </c>
      <c r="I477" s="170"/>
      <c r="J477" s="46" t="s">
        <v>1070</v>
      </c>
      <c r="K477" s="170"/>
      <c r="L477" s="255">
        <v>228.7</v>
      </c>
      <c r="M477" s="255">
        <v>3</v>
      </c>
      <c r="N477" s="333">
        <v>4</v>
      </c>
      <c r="O477" s="46"/>
      <c r="P477" s="47" t="s">
        <v>773</v>
      </c>
      <c r="Q477" s="170"/>
      <c r="R477" s="192" t="str">
        <f>CONCATENATE(N477,P477)</f>
        <v>4liters</v>
      </c>
      <c r="S477" s="198">
        <f>M477*N477</f>
        <v>12</v>
      </c>
      <c r="T477" s="199" t="str">
        <f>CONCATENATE(S477,Q477,P477)</f>
        <v>12liters</v>
      </c>
      <c r="U477" s="200">
        <f>L477*M477</f>
        <v>686.09999999999991</v>
      </c>
      <c r="V477" s="12"/>
      <c r="W477" s="12"/>
    </row>
    <row r="478" spans="1:23" x14ac:dyDescent="0.3">
      <c r="A478" s="183">
        <v>152</v>
      </c>
      <c r="B478" s="219" t="s">
        <v>238</v>
      </c>
      <c r="C478" s="170"/>
      <c r="D478" s="194"/>
      <c r="E478" s="194"/>
      <c r="F478" s="194"/>
      <c r="G478" s="170"/>
      <c r="H478" s="194" t="s">
        <v>2026</v>
      </c>
      <c r="I478" s="215"/>
      <c r="J478" s="96" t="s">
        <v>1069</v>
      </c>
      <c r="K478" s="170"/>
      <c r="L478" s="255">
        <v>88</v>
      </c>
      <c r="M478" s="255">
        <v>1</v>
      </c>
      <c r="N478" s="333">
        <v>3500</v>
      </c>
      <c r="O478" s="46"/>
      <c r="P478" s="47" t="s">
        <v>200</v>
      </c>
      <c r="Q478" s="170"/>
      <c r="R478" s="192" t="str">
        <f>CONCATENATE(N478,P478)</f>
        <v>3500gal</v>
      </c>
      <c r="S478" s="198">
        <f>M478*N478</f>
        <v>3500</v>
      </c>
      <c r="T478" s="199" t="str">
        <f>CONCATENATE(S478,Q478,P478)</f>
        <v>3500gal</v>
      </c>
      <c r="U478" s="200">
        <f>L478*M478</f>
        <v>88</v>
      </c>
      <c r="V478" s="12"/>
      <c r="W478" s="12"/>
    </row>
    <row r="479" spans="1:23" x14ac:dyDescent="0.3">
      <c r="A479" s="183">
        <v>152</v>
      </c>
      <c r="B479" s="264" t="s">
        <v>238</v>
      </c>
      <c r="C479" s="191"/>
      <c r="D479" s="194"/>
      <c r="E479" s="191"/>
      <c r="F479" s="191"/>
      <c r="G479" s="191"/>
      <c r="H479" s="194" t="s">
        <v>2023</v>
      </c>
      <c r="I479" s="170"/>
      <c r="J479" s="264" t="s">
        <v>1069</v>
      </c>
      <c r="K479" s="170"/>
      <c r="L479" s="255">
        <v>80</v>
      </c>
      <c r="M479" s="255">
        <v>13</v>
      </c>
      <c r="N479" s="333">
        <v>3500</v>
      </c>
      <c r="O479" s="46"/>
      <c r="P479" s="96" t="s">
        <v>200</v>
      </c>
      <c r="Q479" s="170"/>
      <c r="R479" s="192" t="str">
        <f>CONCATENATE(N479,P479)</f>
        <v>3500gal</v>
      </c>
      <c r="S479" s="198">
        <f>M479*N479</f>
        <v>45500</v>
      </c>
      <c r="T479" s="199" t="str">
        <f>CONCATENATE(S479,Q479,P479)</f>
        <v>45500gal</v>
      </c>
      <c r="U479" s="200">
        <f>L479*M479</f>
        <v>1040</v>
      </c>
      <c r="V479" s="12"/>
      <c r="W479" s="12"/>
    </row>
    <row r="480" spans="1:23" x14ac:dyDescent="0.3">
      <c r="A480" s="183">
        <v>152</v>
      </c>
      <c r="B480" s="46" t="s">
        <v>238</v>
      </c>
      <c r="C480" s="170"/>
      <c r="D480" s="194"/>
      <c r="E480" s="194"/>
      <c r="F480" s="194"/>
      <c r="G480" s="170"/>
      <c r="H480" s="194" t="s">
        <v>2022</v>
      </c>
      <c r="I480" s="170"/>
      <c r="J480" s="46" t="s">
        <v>1071</v>
      </c>
      <c r="K480" s="170"/>
      <c r="L480" s="255">
        <v>85</v>
      </c>
      <c r="M480" s="255">
        <v>8</v>
      </c>
      <c r="N480" s="333">
        <v>1</v>
      </c>
      <c r="O480" s="46"/>
      <c r="P480" s="96" t="s">
        <v>200</v>
      </c>
      <c r="Q480" s="61" t="s">
        <v>33</v>
      </c>
      <c r="R480" s="192" t="str">
        <f>CONCATENATE(N480,P480)</f>
        <v>1gal</v>
      </c>
      <c r="S480" s="198">
        <f>M480*N480</f>
        <v>8</v>
      </c>
      <c r="T480" s="199" t="str">
        <f>CONCATENATE(S480,Q480,P480)</f>
        <v>8 gal</v>
      </c>
      <c r="U480" s="200">
        <f>L480*M480</f>
        <v>680</v>
      </c>
      <c r="V480" s="12"/>
      <c r="W480" s="12"/>
    </row>
    <row r="481" spans="1:23" x14ac:dyDescent="0.3">
      <c r="A481" s="183">
        <v>152</v>
      </c>
      <c r="B481" s="219" t="s">
        <v>238</v>
      </c>
      <c r="C481" s="170"/>
      <c r="D481" s="194"/>
      <c r="E481" s="170"/>
      <c r="F481" s="170"/>
      <c r="G481" s="170"/>
      <c r="H481" s="194" t="s">
        <v>2021</v>
      </c>
      <c r="I481" s="170"/>
      <c r="J481" s="46" t="s">
        <v>1069</v>
      </c>
      <c r="K481" s="170"/>
      <c r="L481" s="285">
        <v>76</v>
      </c>
      <c r="M481" s="285">
        <v>7</v>
      </c>
      <c r="N481" s="333">
        <v>3500</v>
      </c>
      <c r="O481" s="219"/>
      <c r="P481" s="340" t="s">
        <v>200</v>
      </c>
      <c r="Q481" s="170"/>
      <c r="R481" s="192" t="str">
        <f>CONCATENATE(N481,P481)</f>
        <v>3500gal</v>
      </c>
      <c r="S481" s="198">
        <f>M481*N481</f>
        <v>24500</v>
      </c>
      <c r="T481" s="199" t="str">
        <f>CONCATENATE(S481,Q481,P481)</f>
        <v>24500gal</v>
      </c>
      <c r="U481" s="200">
        <f>L481*M481</f>
        <v>532</v>
      </c>
      <c r="V481" s="12"/>
      <c r="W481" s="12"/>
    </row>
    <row r="482" spans="1:23" x14ac:dyDescent="0.3">
      <c r="A482" s="183">
        <v>153</v>
      </c>
      <c r="B482" s="46" t="s">
        <v>1072</v>
      </c>
      <c r="C482" s="170"/>
      <c r="D482" s="194"/>
      <c r="E482" s="170"/>
      <c r="F482" s="170"/>
      <c r="G482" s="170"/>
      <c r="H482" s="194" t="s">
        <v>1368</v>
      </c>
      <c r="I482" s="170"/>
      <c r="J482" s="170"/>
      <c r="K482" s="170"/>
      <c r="L482" s="255">
        <v>100</v>
      </c>
      <c r="M482" s="255">
        <v>1</v>
      </c>
      <c r="N482" s="333">
        <v>1000</v>
      </c>
      <c r="O482" s="46"/>
      <c r="P482" s="96" t="s">
        <v>39</v>
      </c>
      <c r="Q482" s="170"/>
      <c r="R482" s="192" t="str">
        <f>CONCATENATE(N482,P482)</f>
        <v>1000grams</v>
      </c>
      <c r="S482" s="198">
        <f>M482*N482</f>
        <v>1000</v>
      </c>
      <c r="T482" s="199" t="str">
        <f>CONCATENATE(S482,Q482,P482)</f>
        <v>1000grams</v>
      </c>
      <c r="U482" s="200">
        <f>L482*M482</f>
        <v>100</v>
      </c>
      <c r="V482" s="12"/>
      <c r="W482" s="12"/>
    </row>
    <row r="483" spans="1:23" x14ac:dyDescent="0.3">
      <c r="A483" s="183">
        <v>153</v>
      </c>
      <c r="B483" s="46" t="s">
        <v>1072</v>
      </c>
      <c r="C483" s="170"/>
      <c r="D483" s="194"/>
      <c r="E483" s="194"/>
      <c r="F483" s="194"/>
      <c r="G483" s="170"/>
      <c r="H483" s="194" t="s">
        <v>2026</v>
      </c>
      <c r="I483" s="267"/>
      <c r="J483" s="170"/>
      <c r="K483" s="170"/>
      <c r="L483" s="255">
        <v>160</v>
      </c>
      <c r="M483" s="255">
        <v>1</v>
      </c>
      <c r="N483" s="333">
        <v>1000</v>
      </c>
      <c r="O483" s="46"/>
      <c r="P483" s="96" t="s">
        <v>39</v>
      </c>
      <c r="Q483" s="170"/>
      <c r="R483" s="192" t="str">
        <f>CONCATENATE(N483,P483)</f>
        <v>1000grams</v>
      </c>
      <c r="S483" s="198">
        <f>M483*N483</f>
        <v>1000</v>
      </c>
      <c r="T483" s="199" t="str">
        <f>CONCATENATE(S483,Q483,P483)</f>
        <v>1000grams</v>
      </c>
      <c r="U483" s="200">
        <f>L483*M483</f>
        <v>160</v>
      </c>
      <c r="V483" s="12"/>
      <c r="W483" s="12"/>
    </row>
    <row r="484" spans="1:23" x14ac:dyDescent="0.3">
      <c r="A484" s="183">
        <v>153</v>
      </c>
      <c r="B484" s="46" t="s">
        <v>1072</v>
      </c>
      <c r="C484" s="170"/>
      <c r="D484" s="194"/>
      <c r="E484" s="170"/>
      <c r="F484" s="170"/>
      <c r="G484" s="170"/>
      <c r="H484" s="194" t="s">
        <v>2023</v>
      </c>
      <c r="I484" s="267"/>
      <c r="J484" s="170"/>
      <c r="K484" s="170"/>
      <c r="L484" s="255">
        <v>235</v>
      </c>
      <c r="M484" s="255">
        <v>1</v>
      </c>
      <c r="N484" s="333">
        <v>1000</v>
      </c>
      <c r="O484" s="46"/>
      <c r="P484" s="96" t="s">
        <v>39</v>
      </c>
      <c r="Q484" s="170"/>
      <c r="R484" s="192" t="str">
        <f>CONCATENATE(N484,P484)</f>
        <v>1000grams</v>
      </c>
      <c r="S484" s="198">
        <f>M484*N484</f>
        <v>1000</v>
      </c>
      <c r="T484" s="199" t="str">
        <f>CONCATENATE(S484,Q484,P484)</f>
        <v>1000grams</v>
      </c>
      <c r="U484" s="200">
        <f>L484*M484</f>
        <v>235</v>
      </c>
      <c r="V484" s="12"/>
      <c r="W484" s="12"/>
    </row>
    <row r="485" spans="1:23" x14ac:dyDescent="0.3">
      <c r="A485" s="183">
        <v>154</v>
      </c>
      <c r="B485" s="219" t="s">
        <v>1073</v>
      </c>
      <c r="C485" s="170"/>
      <c r="D485" s="194"/>
      <c r="E485" s="194"/>
      <c r="F485" s="194"/>
      <c r="G485" s="170"/>
      <c r="H485" s="194" t="s">
        <v>2021</v>
      </c>
      <c r="I485" s="267"/>
      <c r="J485" s="219" t="s">
        <v>1074</v>
      </c>
      <c r="K485" s="170"/>
      <c r="L485" s="285">
        <v>18.5</v>
      </c>
      <c r="M485" s="285">
        <v>4</v>
      </c>
      <c r="N485" s="336">
        <v>30</v>
      </c>
      <c r="O485" s="219"/>
      <c r="P485" s="340" t="s">
        <v>39</v>
      </c>
      <c r="Q485" s="170"/>
      <c r="R485" s="192" t="str">
        <f>CONCATENATE(N485,P485)</f>
        <v>30grams</v>
      </c>
      <c r="S485" s="198">
        <f>M485*N485</f>
        <v>120</v>
      </c>
      <c r="T485" s="199" t="str">
        <f>CONCATENATE(S485,Q485,P485)</f>
        <v>120grams</v>
      </c>
      <c r="U485" s="200">
        <f>L485*M485</f>
        <v>74</v>
      </c>
      <c r="V485" s="12"/>
      <c r="W485" s="12"/>
    </row>
    <row r="486" spans="1:23" x14ac:dyDescent="0.3">
      <c r="A486" s="183">
        <v>155</v>
      </c>
      <c r="B486" s="194" t="s">
        <v>530</v>
      </c>
      <c r="C486" s="170"/>
      <c r="D486" s="194" t="str">
        <f ca="1">IFERROR(__xludf.DUMMYFUNCTION("IF(J103="""",""n/a"",IFERROR(SPLIT(J103,""/"")))"),"n/a")</f>
        <v>n/a</v>
      </c>
      <c r="E486" s="170"/>
      <c r="F486" s="170"/>
      <c r="G486" s="170"/>
      <c r="H486" s="206" t="s">
        <v>1898</v>
      </c>
      <c r="I486" s="267"/>
      <c r="J486" s="170"/>
      <c r="K486" s="170"/>
      <c r="L486" s="255">
        <v>1.1299999999999999</v>
      </c>
      <c r="M486" s="390">
        <v>30</v>
      </c>
      <c r="N486" s="250">
        <v>30</v>
      </c>
      <c r="O486" s="170">
        <f>E486</f>
        <v>0</v>
      </c>
      <c r="P486" s="100" t="s">
        <v>39</v>
      </c>
      <c r="Q486" s="170"/>
      <c r="R486" s="192" t="str">
        <f>CONCATENATE(N486,P486)</f>
        <v>30grams</v>
      </c>
      <c r="S486" s="198">
        <f>M486*N486</f>
        <v>900</v>
      </c>
      <c r="T486" s="199" t="str">
        <f>CONCATENATE(S486,Q486,P486)</f>
        <v>900grams</v>
      </c>
      <c r="U486" s="200">
        <f>L486*M486</f>
        <v>33.9</v>
      </c>
      <c r="V486" s="12"/>
      <c r="W486" s="12"/>
    </row>
    <row r="487" spans="1:23" x14ac:dyDescent="0.3">
      <c r="A487" s="183">
        <v>155</v>
      </c>
      <c r="B487" s="46" t="s">
        <v>530</v>
      </c>
      <c r="C487" s="170"/>
      <c r="D487" s="194"/>
      <c r="E487" s="194"/>
      <c r="F487" s="194"/>
      <c r="G487" s="170"/>
      <c r="H487" s="194" t="s">
        <v>2026</v>
      </c>
      <c r="I487" s="267"/>
      <c r="J487" s="219" t="s">
        <v>854</v>
      </c>
      <c r="K487" s="170"/>
      <c r="L487" s="255">
        <v>69</v>
      </c>
      <c r="M487" s="255">
        <v>1</v>
      </c>
      <c r="N487" s="333">
        <v>26</v>
      </c>
      <c r="O487" s="46"/>
      <c r="P487" s="96" t="s">
        <v>39</v>
      </c>
      <c r="Q487" s="61" t="s">
        <v>33</v>
      </c>
      <c r="R487" s="192" t="str">
        <f>CONCATENATE(N487,P487)</f>
        <v>26grams</v>
      </c>
      <c r="S487" s="198">
        <f>M487*N487</f>
        <v>26</v>
      </c>
      <c r="T487" s="199" t="str">
        <f>CONCATENATE(S487,Q487,P487)</f>
        <v>26 grams</v>
      </c>
      <c r="U487" s="200">
        <f>L487*M487</f>
        <v>69</v>
      </c>
      <c r="V487" s="12"/>
      <c r="W487" s="12"/>
    </row>
    <row r="488" spans="1:23" x14ac:dyDescent="0.3">
      <c r="A488" s="183">
        <v>155</v>
      </c>
      <c r="B488" s="219" t="s">
        <v>530</v>
      </c>
      <c r="C488" s="170"/>
      <c r="D488" s="194"/>
      <c r="E488" s="194"/>
      <c r="F488" s="194"/>
      <c r="G488" s="170"/>
      <c r="H488" s="194" t="s">
        <v>2021</v>
      </c>
      <c r="I488" s="494"/>
      <c r="J488" s="219" t="s">
        <v>854</v>
      </c>
      <c r="K488" s="170"/>
      <c r="L488" s="285">
        <v>65.5</v>
      </c>
      <c r="M488" s="501">
        <v>2</v>
      </c>
      <c r="N488" s="336">
        <v>26</v>
      </c>
      <c r="O488" s="219"/>
      <c r="P488" s="340" t="s">
        <v>39</v>
      </c>
      <c r="Q488" s="170"/>
      <c r="R488" s="192" t="str">
        <f>CONCATENATE(N488,P488)</f>
        <v>26grams</v>
      </c>
      <c r="S488" s="198">
        <f>M488*N488</f>
        <v>52</v>
      </c>
      <c r="T488" s="199" t="str">
        <f>CONCATENATE(S488,Q488,P488)</f>
        <v>52grams</v>
      </c>
      <c r="U488" s="200">
        <f>L488*M488</f>
        <v>131</v>
      </c>
      <c r="V488" s="12"/>
      <c r="W488" s="12"/>
    </row>
    <row r="489" spans="1:23" x14ac:dyDescent="0.3">
      <c r="A489" s="183">
        <v>156</v>
      </c>
      <c r="B489" s="46" t="s">
        <v>1913</v>
      </c>
      <c r="C489" s="215"/>
      <c r="D489" s="194"/>
      <c r="E489" s="215"/>
      <c r="F489" s="215"/>
      <c r="G489" s="215"/>
      <c r="H489" s="400" t="s">
        <v>2027</v>
      </c>
      <c r="I489" s="267"/>
      <c r="J489" s="487"/>
      <c r="K489" s="170"/>
      <c r="L489" s="254">
        <v>130</v>
      </c>
      <c r="M489" s="255">
        <v>0</v>
      </c>
      <c r="N489" s="366">
        <v>1</v>
      </c>
      <c r="O489" s="61"/>
      <c r="P489" s="100" t="s">
        <v>213</v>
      </c>
      <c r="Q489" s="170"/>
      <c r="R489" s="192" t="str">
        <f>CONCATENATE(N489,P489)</f>
        <v>1kilos</v>
      </c>
      <c r="S489" s="198">
        <f>M489*N489</f>
        <v>0</v>
      </c>
      <c r="T489" s="199" t="str">
        <f>CONCATENATE(S489,Q489,P489)</f>
        <v>0kilos</v>
      </c>
      <c r="U489" s="200">
        <f>L489*M489</f>
        <v>0</v>
      </c>
      <c r="V489" s="12"/>
      <c r="W489" s="12"/>
    </row>
    <row r="490" spans="1:23" x14ac:dyDescent="0.3">
      <c r="A490" s="183">
        <v>157</v>
      </c>
      <c r="B490" s="194" t="s">
        <v>531</v>
      </c>
      <c r="C490" s="170"/>
      <c r="D490" s="194" t="str">
        <f ca="1">IFERROR(__xludf.DUMMYFUNCTION("IF(J104="""",""n/a"",IFERROR(SPLIT(J104,""/"")))"),"n/a")</f>
        <v>n/a</v>
      </c>
      <c r="E490" s="170"/>
      <c r="F490" s="170"/>
      <c r="G490" s="170"/>
      <c r="H490" s="206" t="s">
        <v>1898</v>
      </c>
      <c r="I490" s="267"/>
      <c r="J490" s="170"/>
      <c r="K490" s="170"/>
      <c r="L490" s="255">
        <v>0.23</v>
      </c>
      <c r="M490" s="390">
        <v>2520</v>
      </c>
      <c r="N490" s="250">
        <v>420</v>
      </c>
      <c r="O490" s="170">
        <f>E490</f>
        <v>0</v>
      </c>
      <c r="P490" s="255" t="s">
        <v>39</v>
      </c>
      <c r="Q490" s="170"/>
      <c r="R490" s="192" t="str">
        <f>CONCATENATE(N490,P490)</f>
        <v>420grams</v>
      </c>
      <c r="S490" s="198">
        <f>M490*N490</f>
        <v>1058400</v>
      </c>
      <c r="T490" s="199" t="str">
        <f>CONCATENATE(S490,Q490,P490)</f>
        <v>1058400grams</v>
      </c>
      <c r="U490" s="200">
        <f>L490*M490</f>
        <v>579.6</v>
      </c>
      <c r="V490" s="12"/>
      <c r="W490" s="12"/>
    </row>
    <row r="491" spans="1:23" x14ac:dyDescent="0.3">
      <c r="A491" s="183">
        <v>158</v>
      </c>
      <c r="B491" s="46" t="s">
        <v>1075</v>
      </c>
      <c r="C491" s="170"/>
      <c r="D491" s="194"/>
      <c r="E491" s="194"/>
      <c r="F491" s="170"/>
      <c r="G491" s="170"/>
      <c r="H491" s="194" t="s">
        <v>2020</v>
      </c>
      <c r="I491" s="267"/>
      <c r="J491" s="46" t="s">
        <v>1076</v>
      </c>
      <c r="K491" s="170"/>
      <c r="L491" s="255">
        <v>8.6999999999999993</v>
      </c>
      <c r="M491" s="255">
        <v>31</v>
      </c>
      <c r="N491" s="333">
        <v>40</v>
      </c>
      <c r="O491" s="46"/>
      <c r="P491" s="96" t="s">
        <v>39</v>
      </c>
      <c r="Q491" s="170"/>
      <c r="R491" s="192" t="str">
        <f>CONCATENATE(N491,P491)</f>
        <v>40grams</v>
      </c>
      <c r="S491" s="198">
        <f>M491*N491</f>
        <v>1240</v>
      </c>
      <c r="T491" s="199" t="str">
        <f>CONCATENATE(S491,Q491,P491)</f>
        <v>1240grams</v>
      </c>
      <c r="U491" s="200">
        <f>L491*M491</f>
        <v>269.7</v>
      </c>
      <c r="V491" s="12"/>
      <c r="W491" s="12"/>
    </row>
    <row r="492" spans="1:23" x14ac:dyDescent="0.3">
      <c r="A492" s="183">
        <v>159</v>
      </c>
      <c r="B492" s="46" t="s">
        <v>1077</v>
      </c>
      <c r="C492" s="170"/>
      <c r="D492" s="194"/>
      <c r="E492" s="170"/>
      <c r="F492" s="170"/>
      <c r="G492" s="170"/>
      <c r="H492" s="194" t="s">
        <v>2022</v>
      </c>
      <c r="I492" s="267"/>
      <c r="J492" s="340" t="s">
        <v>1078</v>
      </c>
      <c r="K492" s="170"/>
      <c r="L492" s="255">
        <v>8.6999999999999993</v>
      </c>
      <c r="M492" s="255">
        <v>2</v>
      </c>
      <c r="N492" s="333">
        <v>40</v>
      </c>
      <c r="O492" s="46"/>
      <c r="P492" s="96" t="s">
        <v>39</v>
      </c>
      <c r="Q492" s="170"/>
      <c r="R492" s="192" t="str">
        <f>CONCATENATE(N492,P492)</f>
        <v>40grams</v>
      </c>
      <c r="S492" s="198">
        <f>M492*N492</f>
        <v>80</v>
      </c>
      <c r="T492" s="199" t="str">
        <f>CONCATENATE(S492,Q492,P492)</f>
        <v>80grams</v>
      </c>
      <c r="U492" s="200">
        <f>L492*M492</f>
        <v>17.399999999999999</v>
      </c>
      <c r="V492" s="12"/>
      <c r="W492" s="12"/>
    </row>
    <row r="493" spans="1:23" x14ac:dyDescent="0.3">
      <c r="A493" s="183">
        <v>160</v>
      </c>
      <c r="B493" s="46" t="s">
        <v>1079</v>
      </c>
      <c r="C493" s="170"/>
      <c r="D493" s="194"/>
      <c r="E493" s="194"/>
      <c r="F493" s="170"/>
      <c r="G493" s="170"/>
      <c r="H493" s="194" t="s">
        <v>2022</v>
      </c>
      <c r="I493" s="267"/>
      <c r="J493" s="340" t="s">
        <v>1080</v>
      </c>
      <c r="K493" s="170"/>
      <c r="L493" s="255">
        <v>8.6999999999999993</v>
      </c>
      <c r="M493" s="255">
        <v>45</v>
      </c>
      <c r="N493" s="333">
        <v>40</v>
      </c>
      <c r="O493" s="46"/>
      <c r="P493" s="96" t="s">
        <v>39</v>
      </c>
      <c r="Q493" s="170"/>
      <c r="R493" s="192" t="str">
        <f>CONCATENATE(N493,P493)</f>
        <v>40grams</v>
      </c>
      <c r="S493" s="198">
        <f>M493*N493</f>
        <v>1800</v>
      </c>
      <c r="T493" s="199" t="str">
        <f>CONCATENATE(S493,Q493,P493)</f>
        <v>1800grams</v>
      </c>
      <c r="U493" s="200">
        <f>L493*M493</f>
        <v>391.49999999999994</v>
      </c>
      <c r="V493" s="12"/>
      <c r="W493" s="12"/>
    </row>
    <row r="494" spans="1:23" x14ac:dyDescent="0.3">
      <c r="A494" s="183">
        <v>160</v>
      </c>
      <c r="B494" s="96" t="s">
        <v>1079</v>
      </c>
      <c r="C494" s="239"/>
      <c r="D494" s="194"/>
      <c r="E494" s="244"/>
      <c r="F494" s="244"/>
      <c r="G494" s="239"/>
      <c r="H494" s="194" t="s">
        <v>2021</v>
      </c>
      <c r="I494" s="267"/>
      <c r="J494" s="340" t="s">
        <v>1080</v>
      </c>
      <c r="K494" s="170"/>
      <c r="L494" s="285">
        <v>8.6999999999999993</v>
      </c>
      <c r="M494" s="285">
        <v>6</v>
      </c>
      <c r="N494" s="336">
        <v>40</v>
      </c>
      <c r="O494" s="219"/>
      <c r="P494" s="340" t="s">
        <v>39</v>
      </c>
      <c r="Q494" s="61" t="s">
        <v>33</v>
      </c>
      <c r="R494" s="192" t="str">
        <f>CONCATENATE(N494,P494)</f>
        <v>40grams</v>
      </c>
      <c r="S494" s="198">
        <f>M494*N494</f>
        <v>240</v>
      </c>
      <c r="T494" s="199" t="str">
        <f>CONCATENATE(S494,Q494,P494)</f>
        <v>240 grams</v>
      </c>
      <c r="U494" s="200">
        <f>L494*M494</f>
        <v>52.199999999999996</v>
      </c>
      <c r="V494" s="12"/>
      <c r="W494" s="12"/>
    </row>
    <row r="495" spans="1:23" x14ac:dyDescent="0.3">
      <c r="A495" s="183">
        <v>160</v>
      </c>
      <c r="B495" s="347" t="s">
        <v>1079</v>
      </c>
      <c r="C495" s="239"/>
      <c r="D495" s="194"/>
      <c r="E495" s="244"/>
      <c r="F495" s="244"/>
      <c r="G495" s="239"/>
      <c r="H495" s="194" t="s">
        <v>2020</v>
      </c>
      <c r="I495" s="267"/>
      <c r="J495" s="340" t="s">
        <v>1080</v>
      </c>
      <c r="K495" s="170"/>
      <c r="L495" s="255">
        <v>8.6999999999999993</v>
      </c>
      <c r="M495" s="255">
        <v>52</v>
      </c>
      <c r="N495" s="333">
        <v>40</v>
      </c>
      <c r="O495" s="46"/>
      <c r="P495" s="96" t="s">
        <v>39</v>
      </c>
      <c r="Q495" s="170"/>
      <c r="R495" s="192" t="str">
        <f>CONCATENATE(N495,P495)</f>
        <v>40grams</v>
      </c>
      <c r="S495" s="198">
        <f>M495*N495</f>
        <v>2080</v>
      </c>
      <c r="T495" s="199" t="str">
        <f>CONCATENATE(S495,Q495,P495)</f>
        <v>2080grams</v>
      </c>
      <c r="U495" s="200">
        <f>L495*M495</f>
        <v>452.4</v>
      </c>
      <c r="V495" s="12"/>
      <c r="W495" s="12"/>
    </row>
    <row r="496" spans="1:23" x14ac:dyDescent="0.3">
      <c r="A496" s="183">
        <v>161</v>
      </c>
      <c r="B496" s="96" t="s">
        <v>1081</v>
      </c>
      <c r="C496" s="239"/>
      <c r="D496" s="194"/>
      <c r="E496" s="239"/>
      <c r="F496" s="239"/>
      <c r="G496" s="239"/>
      <c r="H496" s="194" t="s">
        <v>2023</v>
      </c>
      <c r="I496" s="267"/>
      <c r="J496" s="96" t="s">
        <v>1082</v>
      </c>
      <c r="K496" s="170"/>
      <c r="L496" s="255">
        <v>95</v>
      </c>
      <c r="M496" s="255">
        <v>2</v>
      </c>
      <c r="N496" s="333">
        <v>200</v>
      </c>
      <c r="O496" s="46"/>
      <c r="P496" s="96" t="s">
        <v>39</v>
      </c>
      <c r="Q496" s="170"/>
      <c r="R496" s="192" t="str">
        <f>CONCATENATE(N496,P496)</f>
        <v>200grams</v>
      </c>
      <c r="S496" s="198">
        <f>M496*N496</f>
        <v>400</v>
      </c>
      <c r="T496" s="199" t="str">
        <f>CONCATENATE(S496,Q496,P496)</f>
        <v>400grams</v>
      </c>
      <c r="U496" s="200">
        <f>L496*M496</f>
        <v>190</v>
      </c>
      <c r="V496" s="12"/>
      <c r="W496" s="12"/>
    </row>
    <row r="497" spans="1:23" x14ac:dyDescent="0.3">
      <c r="A497" s="183">
        <v>162</v>
      </c>
      <c r="B497" s="244" t="s">
        <v>129</v>
      </c>
      <c r="C497" s="239"/>
      <c r="D497" s="194" t="str">
        <f ca="1">IFERROR(__xludf.DUMMYFUNCTION("IF(J105="""",""n/a"",IFERROR(SPLIT(J105,""/"")))"),"Energen")</f>
        <v>Energen</v>
      </c>
      <c r="E497" s="244" t="str">
        <f ca="1">IFERROR(__xludf.DUMMYFUNCTION("""COMPUTED_VALUE"""),"pack (pcsx30grams)")</f>
        <v>pack (pcsx30grams)</v>
      </c>
      <c r="F497" s="239"/>
      <c r="G497" s="239"/>
      <c r="H497" s="183" t="s">
        <v>1897</v>
      </c>
      <c r="I497" s="267"/>
      <c r="J497" s="96" t="s">
        <v>130</v>
      </c>
      <c r="K497" s="170"/>
      <c r="L497" s="251">
        <v>8.4</v>
      </c>
      <c r="M497" s="271">
        <v>234</v>
      </c>
      <c r="N497" s="247">
        <v>1</v>
      </c>
      <c r="O497" s="61" t="str">
        <f ca="1">E497</f>
        <v>pack (pcsx30grams)</v>
      </c>
      <c r="P497" s="100" t="s">
        <v>92</v>
      </c>
      <c r="Q497" s="170"/>
      <c r="R497" s="192" t="str">
        <f>CONCATENATE(N497,P497)</f>
        <v>1pieces</v>
      </c>
      <c r="S497" s="198">
        <f>M497*N497</f>
        <v>234</v>
      </c>
      <c r="T497" s="199" t="str">
        <f>CONCATENATE(S497,Q497,P497)</f>
        <v>234pieces</v>
      </c>
      <c r="U497" s="200">
        <f>L497*M497</f>
        <v>1965.6000000000001</v>
      </c>
      <c r="V497" s="205"/>
      <c r="W497" s="62"/>
    </row>
    <row r="498" spans="1:23" x14ac:dyDescent="0.3">
      <c r="A498" s="183">
        <v>162</v>
      </c>
      <c r="B498" s="268" t="s">
        <v>129</v>
      </c>
      <c r="C498" s="239"/>
      <c r="D498" s="194" t="str">
        <f ca="1">IFERROR(__xludf.DUMMYFUNCTION("IF(J106="""",""n/a"",IFERROR(SPLIT(J106,""/"")))"),"Energen")</f>
        <v>Energen</v>
      </c>
      <c r="E498" s="244" t="str">
        <f ca="1">IFERROR(__xludf.DUMMYFUNCTION("""COMPUTED_VALUE"""),"pack (pcsx30grams)")</f>
        <v>pack (pcsx30grams)</v>
      </c>
      <c r="F498" s="239"/>
      <c r="G498" s="239"/>
      <c r="H498" s="183" t="s">
        <v>1895</v>
      </c>
      <c r="I498" s="267"/>
      <c r="J498" s="96" t="s">
        <v>130</v>
      </c>
      <c r="K498" s="170"/>
      <c r="L498" s="254">
        <v>8.9700000000000006</v>
      </c>
      <c r="M498" s="255">
        <v>788</v>
      </c>
      <c r="N498" s="100">
        <v>1</v>
      </c>
      <c r="O498" s="61" t="str">
        <f ca="1">E498</f>
        <v>pack (pcsx30grams)</v>
      </c>
      <c r="P498" s="100" t="s">
        <v>92</v>
      </c>
      <c r="Q498" s="170"/>
      <c r="R498" s="192" t="str">
        <f>CONCATENATE(N498,P498)</f>
        <v>1pieces</v>
      </c>
      <c r="S498" s="198">
        <f>M498*N498</f>
        <v>788</v>
      </c>
      <c r="T498" s="199" t="str">
        <f>CONCATENATE(S498,Q498,P498)</f>
        <v>788pieces</v>
      </c>
      <c r="U498" s="200">
        <f>L498*M498</f>
        <v>7068.3600000000006</v>
      </c>
      <c r="V498" s="12"/>
      <c r="W498" s="12"/>
    </row>
    <row r="499" spans="1:23" x14ac:dyDescent="0.3">
      <c r="A499" s="183">
        <v>163</v>
      </c>
      <c r="B499" s="252" t="s">
        <v>532</v>
      </c>
      <c r="C499" s="253"/>
      <c r="D499" s="194" t="str">
        <f ca="1">IFERROR(__xludf.DUMMYFUNCTION("IF(J107="""",""n/a"",IFERROR(SPLIT(J107,""/"")))"),"n/a")</f>
        <v>n/a</v>
      </c>
      <c r="E499" s="253"/>
      <c r="F499" s="253"/>
      <c r="G499" s="253"/>
      <c r="H499" s="206" t="s">
        <v>1898</v>
      </c>
      <c r="I499" s="267"/>
      <c r="J499" s="239"/>
      <c r="K499" s="170"/>
      <c r="L499" s="255">
        <v>26</v>
      </c>
      <c r="M499" s="390">
        <v>24</v>
      </c>
      <c r="N499" s="266">
        <v>1</v>
      </c>
      <c r="O499" s="170">
        <f>E499</f>
        <v>0</v>
      </c>
      <c r="P499" s="269" t="s">
        <v>92</v>
      </c>
      <c r="Q499" s="170"/>
      <c r="R499" s="192" t="str">
        <f>CONCATENATE(N499,P499)</f>
        <v>1pieces</v>
      </c>
      <c r="S499" s="198">
        <f>M499*N499</f>
        <v>24</v>
      </c>
      <c r="T499" s="199" t="str">
        <f>CONCATENATE(S499,Q499,P499)</f>
        <v>24pieces</v>
      </c>
      <c r="U499" s="200">
        <f>L499*M499</f>
        <v>624</v>
      </c>
      <c r="V499" s="12"/>
      <c r="W499" s="12"/>
    </row>
    <row r="500" spans="1:23" x14ac:dyDescent="0.3">
      <c r="A500" s="183">
        <v>164</v>
      </c>
      <c r="B500" s="244" t="s">
        <v>53</v>
      </c>
      <c r="C500" s="239"/>
      <c r="D500" s="194" t="str">
        <f ca="1">IFERROR(__xludf.DUMMYFUNCTION("IF(J108="""",""n/a"",IFERROR(SPLIT(J108,""/"")))"),"Daily Quezo")</f>
        <v>Daily Quezo</v>
      </c>
      <c r="E500" s="244" t="str">
        <f ca="1">IFERROR(__xludf.DUMMYFUNCTION("""COMPUTED_VALUE"""),"box")</f>
        <v>box</v>
      </c>
      <c r="F500" s="244" t="str">
        <f ca="1">IFERROR(__xludf.DUMMYFUNCTION("""COMPUTED_VALUE"""),"160grams")</f>
        <v>160grams</v>
      </c>
      <c r="G500" s="239"/>
      <c r="H500" s="183" t="s">
        <v>1897</v>
      </c>
      <c r="I500" s="237"/>
      <c r="J500" s="96" t="s">
        <v>54</v>
      </c>
      <c r="K500" s="237"/>
      <c r="L500" s="254">
        <v>0.22</v>
      </c>
      <c r="M500" s="271">
        <v>7520</v>
      </c>
      <c r="N500" s="247">
        <v>160</v>
      </c>
      <c r="O500" s="61" t="str">
        <f ca="1">E500</f>
        <v>box</v>
      </c>
      <c r="P500" s="100" t="s">
        <v>39</v>
      </c>
      <c r="Q500" s="61" t="s">
        <v>33</v>
      </c>
      <c r="R500" s="192" t="str">
        <f>CONCATENATE(N500,P500)</f>
        <v>160grams</v>
      </c>
      <c r="S500" s="198">
        <f>M500*N500</f>
        <v>1203200</v>
      </c>
      <c r="T500" s="199" t="str">
        <f>CONCATENATE(S500,Q500,P500)</f>
        <v>1203200 grams</v>
      </c>
      <c r="U500" s="200">
        <f>L500*M500</f>
        <v>1654.4</v>
      </c>
      <c r="V500" s="205"/>
      <c r="W500" s="62"/>
    </row>
    <row r="501" spans="1:23" x14ac:dyDescent="0.3">
      <c r="A501" s="183">
        <v>164</v>
      </c>
      <c r="B501" s="268" t="s">
        <v>53</v>
      </c>
      <c r="C501" s="239"/>
      <c r="D501" s="194" t="str">
        <f ca="1">IFERROR(__xludf.DUMMYFUNCTION("IF(J109="""",""n/a"",IFERROR(SPLIT(J109,""/"")))"),"Daily Quezo")</f>
        <v>Daily Quezo</v>
      </c>
      <c r="E501" s="244" t="str">
        <f ca="1">IFERROR(__xludf.DUMMYFUNCTION("""COMPUTED_VALUE"""),"box")</f>
        <v>box</v>
      </c>
      <c r="F501" s="244" t="str">
        <f ca="1">IFERROR(__xludf.DUMMYFUNCTION("""COMPUTED_VALUE"""),"160grams")</f>
        <v>160grams</v>
      </c>
      <c r="G501" s="239"/>
      <c r="H501" s="183" t="s">
        <v>1895</v>
      </c>
      <c r="I501" s="237"/>
      <c r="J501" s="96" t="s">
        <v>54</v>
      </c>
      <c r="K501" s="237"/>
      <c r="L501" s="254">
        <v>34.42</v>
      </c>
      <c r="M501" s="255">
        <v>32</v>
      </c>
      <c r="N501" s="100">
        <v>160</v>
      </c>
      <c r="O501" s="61" t="str">
        <f ca="1">E501</f>
        <v>box</v>
      </c>
      <c r="P501" s="100" t="s">
        <v>39</v>
      </c>
      <c r="Q501" s="170"/>
      <c r="R501" s="192" t="str">
        <f>CONCATENATE(N501,P501)</f>
        <v>160grams</v>
      </c>
      <c r="S501" s="198">
        <f>M501*N501</f>
        <v>5120</v>
      </c>
      <c r="T501" s="199" t="str">
        <f>CONCATENATE(S501,Q501,P501)</f>
        <v>5120grams</v>
      </c>
      <c r="U501" s="200">
        <f>L501*M501</f>
        <v>1101.44</v>
      </c>
      <c r="V501" s="12"/>
      <c r="W501" s="12"/>
    </row>
    <row r="502" spans="1:23" x14ac:dyDescent="0.3">
      <c r="A502" s="183">
        <v>164</v>
      </c>
      <c r="B502" s="244" t="s">
        <v>53</v>
      </c>
      <c r="C502" s="239"/>
      <c r="D502" s="194" t="str">
        <f ca="1">IFERROR(__xludf.DUMMYFUNCTION("IF(J110="""",""n/a"",IFERROR(SPLIT(J110,""/"")))"),"Bigtime")</f>
        <v>Bigtime</v>
      </c>
      <c r="E502" s="244" t="str">
        <f ca="1">IFERROR(__xludf.DUMMYFUNCTION("""COMPUTED_VALUE"""),"pack")</f>
        <v>pack</v>
      </c>
      <c r="F502" s="244" t="str">
        <f ca="1">IFERROR(__xludf.DUMMYFUNCTION("""COMPUTED_VALUE"""),"160grams")</f>
        <v>160grams</v>
      </c>
      <c r="G502" s="239"/>
      <c r="H502" s="183" t="s">
        <v>1895</v>
      </c>
      <c r="I502" s="237"/>
      <c r="J502" s="96" t="s">
        <v>55</v>
      </c>
      <c r="K502" s="237"/>
      <c r="L502" s="254">
        <v>35.82</v>
      </c>
      <c r="M502" s="255">
        <v>24</v>
      </c>
      <c r="N502" s="100">
        <v>160</v>
      </c>
      <c r="O502" s="61" t="str">
        <f ca="1">E502</f>
        <v>pack</v>
      </c>
      <c r="P502" s="100" t="s">
        <v>39</v>
      </c>
      <c r="Q502" s="170"/>
      <c r="R502" s="192" t="str">
        <f>CONCATENATE(N502,P502)</f>
        <v>160grams</v>
      </c>
      <c r="S502" s="198">
        <f>M502*N502</f>
        <v>3840</v>
      </c>
      <c r="T502" s="199" t="str">
        <f>CONCATENATE(S502,Q502,P502)</f>
        <v>3840grams</v>
      </c>
      <c r="U502" s="200">
        <f>L502*M502</f>
        <v>859.68000000000006</v>
      </c>
      <c r="V502" s="12"/>
      <c r="W502" s="12"/>
    </row>
    <row r="503" spans="1:23" x14ac:dyDescent="0.3">
      <c r="A503" s="183">
        <v>164</v>
      </c>
      <c r="B503" s="268" t="s">
        <v>53</v>
      </c>
      <c r="C503" s="239"/>
      <c r="D503" s="194" t="str">
        <f ca="1">IFERROR(__xludf.DUMMYFUNCTION("IF(J111="""",""n/a"",IFERROR(SPLIT(J111,""/"")))"),"Daily Quezo")</f>
        <v>Daily Quezo</v>
      </c>
      <c r="E503" s="244" t="str">
        <f ca="1">IFERROR(__xludf.DUMMYFUNCTION("""COMPUTED_VALUE"""),"box")</f>
        <v>box</v>
      </c>
      <c r="F503" s="244" t="str">
        <f ca="1">IFERROR(__xludf.DUMMYFUNCTION("""COMPUTED_VALUE"""),"160grams")</f>
        <v>160grams</v>
      </c>
      <c r="G503" s="239"/>
      <c r="H503" s="206" t="s">
        <v>1898</v>
      </c>
      <c r="I503" s="237"/>
      <c r="J503" s="96" t="s">
        <v>54</v>
      </c>
      <c r="K503" s="237"/>
      <c r="L503" s="255">
        <v>0.22</v>
      </c>
      <c r="M503" s="390">
        <v>5280</v>
      </c>
      <c r="N503" s="250">
        <v>160</v>
      </c>
      <c r="O503" s="61" t="str">
        <f ca="1">E503</f>
        <v>box</v>
      </c>
      <c r="P503" s="100" t="s">
        <v>39</v>
      </c>
      <c r="Q503" s="170"/>
      <c r="R503" s="192" t="str">
        <f>CONCATENATE(N503,P503)</f>
        <v>160grams</v>
      </c>
      <c r="S503" s="198">
        <f>M503*N503</f>
        <v>844800</v>
      </c>
      <c r="T503" s="199" t="str">
        <f>CONCATENATE(S503,Q503,P503)</f>
        <v>844800grams</v>
      </c>
      <c r="U503" s="200">
        <f>L503*M503</f>
        <v>1161.5999999999999</v>
      </c>
      <c r="V503" s="12"/>
      <c r="W503" s="12"/>
    </row>
    <row r="504" spans="1:23" x14ac:dyDescent="0.3">
      <c r="A504" s="183">
        <v>164</v>
      </c>
      <c r="B504" s="347" t="s">
        <v>53</v>
      </c>
      <c r="C504" s="239"/>
      <c r="D504" s="194"/>
      <c r="E504" s="244"/>
      <c r="F504" s="244"/>
      <c r="G504" s="239"/>
      <c r="H504" s="194" t="s">
        <v>29</v>
      </c>
      <c r="I504" s="237"/>
      <c r="J504" s="96" t="s">
        <v>1083</v>
      </c>
      <c r="K504" s="237"/>
      <c r="L504" s="255">
        <v>36.4</v>
      </c>
      <c r="M504" s="255">
        <v>5</v>
      </c>
      <c r="N504" s="333">
        <v>160</v>
      </c>
      <c r="O504" s="46"/>
      <c r="P504" s="96" t="s">
        <v>39</v>
      </c>
      <c r="Q504" s="170"/>
      <c r="R504" s="192" t="str">
        <f>CONCATENATE(N504,P504)</f>
        <v>160grams</v>
      </c>
      <c r="S504" s="198">
        <f>M504*N504</f>
        <v>800</v>
      </c>
      <c r="T504" s="199" t="str">
        <f>CONCATENATE(S504,Q504,P504)</f>
        <v>800grams</v>
      </c>
      <c r="U504" s="200">
        <f>L504*M504</f>
        <v>182</v>
      </c>
      <c r="V504" s="12"/>
      <c r="W504" s="12"/>
    </row>
    <row r="505" spans="1:23" x14ac:dyDescent="0.3">
      <c r="A505" s="183">
        <v>164</v>
      </c>
      <c r="B505" s="96" t="s">
        <v>53</v>
      </c>
      <c r="C505" s="239"/>
      <c r="D505" s="194"/>
      <c r="E505" s="244"/>
      <c r="F505" s="244"/>
      <c r="G505" s="239"/>
      <c r="H505" s="194" t="s">
        <v>2024</v>
      </c>
      <c r="I505" s="239"/>
      <c r="J505" s="96" t="s">
        <v>1083</v>
      </c>
      <c r="K505" s="237"/>
      <c r="L505" s="255">
        <v>35.5</v>
      </c>
      <c r="M505" s="255">
        <v>3</v>
      </c>
      <c r="N505" s="333">
        <v>160</v>
      </c>
      <c r="O505" s="46"/>
      <c r="P505" s="96" t="s">
        <v>39</v>
      </c>
      <c r="Q505" s="170"/>
      <c r="R505" s="192" t="str">
        <f>CONCATENATE(N505,P505)</f>
        <v>160grams</v>
      </c>
      <c r="S505" s="198">
        <f>M505*N505</f>
        <v>480</v>
      </c>
      <c r="T505" s="199" t="str">
        <f>CONCATENATE(S505,Q505,P505)</f>
        <v>480grams</v>
      </c>
      <c r="U505" s="200">
        <f>L505*M505</f>
        <v>106.5</v>
      </c>
      <c r="V505" s="12"/>
      <c r="W505" s="12"/>
    </row>
    <row r="506" spans="1:23" x14ac:dyDescent="0.3">
      <c r="A506" s="183">
        <v>164</v>
      </c>
      <c r="B506" s="46" t="s">
        <v>53</v>
      </c>
      <c r="C506" s="170"/>
      <c r="D506" s="194"/>
      <c r="E506" s="170"/>
      <c r="F506" s="170"/>
      <c r="G506" s="170"/>
      <c r="H506" s="194" t="s">
        <v>2025</v>
      </c>
      <c r="I506" s="170"/>
      <c r="J506" s="46" t="s">
        <v>1083</v>
      </c>
      <c r="K506" s="237"/>
      <c r="L506" s="276">
        <v>35.5</v>
      </c>
      <c r="M506" s="255">
        <v>0</v>
      </c>
      <c r="N506" s="333">
        <v>160</v>
      </c>
      <c r="O506" s="46"/>
      <c r="P506" s="46" t="s">
        <v>39</v>
      </c>
      <c r="Q506" s="170"/>
      <c r="R506" s="192" t="str">
        <f>CONCATENATE(N506,P506)</f>
        <v>160grams</v>
      </c>
      <c r="S506" s="198">
        <f>M506*N506</f>
        <v>0</v>
      </c>
      <c r="T506" s="199" t="str">
        <f>CONCATENATE(S506,Q506,P506)</f>
        <v>0grams</v>
      </c>
      <c r="U506" s="200">
        <f>L506*M506</f>
        <v>0</v>
      </c>
      <c r="V506" s="12"/>
      <c r="W506" s="12"/>
    </row>
    <row r="507" spans="1:23" x14ac:dyDescent="0.3">
      <c r="A507" s="183">
        <v>164</v>
      </c>
      <c r="B507" s="46" t="s">
        <v>53</v>
      </c>
      <c r="C507" s="170"/>
      <c r="D507" s="194"/>
      <c r="E507" s="170"/>
      <c r="F507" s="170"/>
      <c r="G507" s="170"/>
      <c r="H507" s="194" t="s">
        <v>2026</v>
      </c>
      <c r="I507" s="239"/>
      <c r="J507" s="46" t="s">
        <v>1083</v>
      </c>
      <c r="K507" s="239"/>
      <c r="L507" s="255">
        <v>35.5</v>
      </c>
      <c r="M507" s="255">
        <v>17</v>
      </c>
      <c r="N507" s="333">
        <v>160</v>
      </c>
      <c r="O507" s="46"/>
      <c r="P507" s="46" t="s">
        <v>39</v>
      </c>
      <c r="Q507" s="170"/>
      <c r="R507" s="192" t="str">
        <f>CONCATENATE(N507,P507)</f>
        <v>160grams</v>
      </c>
      <c r="S507" s="198">
        <f>M507*N507</f>
        <v>2720</v>
      </c>
      <c r="T507" s="199" t="str">
        <f>CONCATENATE(S507,Q507,P507)</f>
        <v>2720grams</v>
      </c>
      <c r="U507" s="200">
        <f>L507*M507</f>
        <v>603.5</v>
      </c>
      <c r="V507" s="12"/>
      <c r="W507" s="12"/>
    </row>
    <row r="508" spans="1:23" x14ac:dyDescent="0.3">
      <c r="A508" s="183">
        <v>164</v>
      </c>
      <c r="B508" s="46" t="s">
        <v>53</v>
      </c>
      <c r="C508" s="170"/>
      <c r="D508" s="194"/>
      <c r="E508" s="194"/>
      <c r="F508" s="170"/>
      <c r="G508" s="170"/>
      <c r="H508" s="194" t="s">
        <v>1368</v>
      </c>
      <c r="I508" s="239"/>
      <c r="J508" s="46" t="s">
        <v>1084</v>
      </c>
      <c r="K508" s="239"/>
      <c r="L508" s="255">
        <v>56.5</v>
      </c>
      <c r="M508" s="255">
        <v>3</v>
      </c>
      <c r="N508" s="333">
        <v>165</v>
      </c>
      <c r="O508" s="46"/>
      <c r="P508" s="46" t="s">
        <v>39</v>
      </c>
      <c r="Q508" s="170"/>
      <c r="R508" s="192" t="str">
        <f>CONCATENATE(N508,P508)</f>
        <v>165grams</v>
      </c>
      <c r="S508" s="198">
        <f>M508*N508</f>
        <v>495</v>
      </c>
      <c r="T508" s="199" t="str">
        <f>CONCATENATE(S508,Q508,P508)</f>
        <v>495grams</v>
      </c>
      <c r="U508" s="200">
        <f>L508*M508</f>
        <v>169.5</v>
      </c>
      <c r="V508" s="12"/>
      <c r="W508" s="12"/>
    </row>
    <row r="509" spans="1:23" x14ac:dyDescent="0.3">
      <c r="A509" s="183">
        <v>164</v>
      </c>
      <c r="B509" s="46" t="s">
        <v>53</v>
      </c>
      <c r="C509" s="170"/>
      <c r="D509" s="194"/>
      <c r="E509" s="170"/>
      <c r="F509" s="170"/>
      <c r="G509" s="170"/>
      <c r="H509" s="194" t="s">
        <v>2021</v>
      </c>
      <c r="I509" s="239"/>
      <c r="J509" s="46" t="s">
        <v>1084</v>
      </c>
      <c r="K509" s="239"/>
      <c r="L509" s="285">
        <v>135</v>
      </c>
      <c r="M509" s="285">
        <v>4</v>
      </c>
      <c r="N509" s="336">
        <v>430</v>
      </c>
      <c r="O509" s="219"/>
      <c r="P509" s="219" t="s">
        <v>39</v>
      </c>
      <c r="Q509" s="170"/>
      <c r="R509" s="192" t="str">
        <f>CONCATENATE(N509,P509)</f>
        <v>430grams</v>
      </c>
      <c r="S509" s="198">
        <f>M509*N509</f>
        <v>1720</v>
      </c>
      <c r="T509" s="199" t="str">
        <f>CONCATENATE(S509,Q509,P509)</f>
        <v>1720grams</v>
      </c>
      <c r="U509" s="200">
        <f>L509*M509</f>
        <v>540</v>
      </c>
      <c r="V509" s="12"/>
      <c r="W509" s="12"/>
    </row>
    <row r="510" spans="1:23" x14ac:dyDescent="0.3">
      <c r="A510" s="183">
        <v>164</v>
      </c>
      <c r="B510" s="46" t="s">
        <v>53</v>
      </c>
      <c r="C510" s="170"/>
      <c r="D510" s="194"/>
      <c r="E510" s="194"/>
      <c r="F510" s="194"/>
      <c r="G510" s="170"/>
      <c r="H510" s="194" t="s">
        <v>2020</v>
      </c>
      <c r="I510" s="239"/>
      <c r="J510" s="46" t="s">
        <v>1085</v>
      </c>
      <c r="K510" s="239"/>
      <c r="L510" s="197">
        <v>36.700000000000003</v>
      </c>
      <c r="M510" s="197">
        <v>1</v>
      </c>
      <c r="N510" s="290">
        <v>160</v>
      </c>
      <c r="O510" s="46"/>
      <c r="P510" s="320" t="s">
        <v>39</v>
      </c>
      <c r="Q510" s="170"/>
      <c r="R510" s="192" t="str">
        <f>CONCATENATE(N510,P510)</f>
        <v>160grams</v>
      </c>
      <c r="S510" s="198">
        <f>M510*N510</f>
        <v>160</v>
      </c>
      <c r="T510" s="199" t="str">
        <f>CONCATENATE(S510,Q510,P510)</f>
        <v>160grams</v>
      </c>
      <c r="U510" s="200">
        <f>L510*M510</f>
        <v>36.700000000000003</v>
      </c>
      <c r="V510" s="12"/>
      <c r="W510" s="12"/>
    </row>
    <row r="511" spans="1:23" x14ac:dyDescent="0.3">
      <c r="A511" s="183">
        <v>164</v>
      </c>
      <c r="B511" s="46" t="s">
        <v>53</v>
      </c>
      <c r="C511" s="170"/>
      <c r="D511" s="194"/>
      <c r="E511" s="194"/>
      <c r="F511" s="170"/>
      <c r="G511" s="170"/>
      <c r="H511" s="194" t="s">
        <v>1368</v>
      </c>
      <c r="I511" s="239"/>
      <c r="J511" s="46" t="s">
        <v>1083</v>
      </c>
      <c r="K511" s="239"/>
      <c r="L511" s="197">
        <v>105</v>
      </c>
      <c r="M511" s="197">
        <v>2</v>
      </c>
      <c r="N511" s="290">
        <v>430</v>
      </c>
      <c r="O511" s="46"/>
      <c r="P511" s="320" t="s">
        <v>39</v>
      </c>
      <c r="Q511" s="170"/>
      <c r="R511" s="192" t="str">
        <f>CONCATENATE(N511,P511)</f>
        <v>430grams</v>
      </c>
      <c r="S511" s="198">
        <f>M511*N511</f>
        <v>860</v>
      </c>
      <c r="T511" s="199" t="str">
        <f>CONCATENATE(S511,Q511,P511)</f>
        <v>860grams</v>
      </c>
      <c r="U511" s="200">
        <f>L511*M511</f>
        <v>210</v>
      </c>
      <c r="V511" s="12"/>
      <c r="W511" s="12"/>
    </row>
    <row r="512" spans="1:23" x14ac:dyDescent="0.3">
      <c r="A512" s="183">
        <v>164</v>
      </c>
      <c r="B512" s="46" t="s">
        <v>53</v>
      </c>
      <c r="C512" s="170"/>
      <c r="D512" s="194"/>
      <c r="E512" s="194"/>
      <c r="F512" s="194"/>
      <c r="G512" s="170"/>
      <c r="H512" s="194" t="s">
        <v>1368</v>
      </c>
      <c r="I512" s="239"/>
      <c r="J512" s="46" t="s">
        <v>1083</v>
      </c>
      <c r="K512" s="239"/>
      <c r="L512" s="197">
        <v>40</v>
      </c>
      <c r="M512" s="197">
        <v>1</v>
      </c>
      <c r="N512" s="290">
        <v>165</v>
      </c>
      <c r="O512" s="46"/>
      <c r="P512" s="320" t="s">
        <v>39</v>
      </c>
      <c r="Q512" s="61" t="s">
        <v>33</v>
      </c>
      <c r="R512" s="192" t="str">
        <f>CONCATENATE(N512,P512)</f>
        <v>165grams</v>
      </c>
      <c r="S512" s="198">
        <f>M512*N512</f>
        <v>165</v>
      </c>
      <c r="T512" s="199" t="str">
        <f>CONCATENATE(S512,Q512,P512)</f>
        <v>165 grams</v>
      </c>
      <c r="U512" s="200">
        <f>L512*M512</f>
        <v>40</v>
      </c>
      <c r="V512" s="12"/>
      <c r="W512" s="12"/>
    </row>
    <row r="513" spans="1:23" x14ac:dyDescent="0.3">
      <c r="A513" s="183">
        <v>164</v>
      </c>
      <c r="B513" s="46" t="s">
        <v>53</v>
      </c>
      <c r="C513" s="215"/>
      <c r="D513" s="194"/>
      <c r="E513" s="215"/>
      <c r="F513" s="215"/>
      <c r="G513" s="215"/>
      <c r="H513" s="400" t="s">
        <v>2027</v>
      </c>
      <c r="I513" s="239"/>
      <c r="J513" s="46" t="s">
        <v>1085</v>
      </c>
      <c r="K513" s="239"/>
      <c r="L513" s="195">
        <v>35.5</v>
      </c>
      <c r="M513" s="197">
        <v>4</v>
      </c>
      <c r="N513" s="360">
        <v>1</v>
      </c>
      <c r="O513" s="61"/>
      <c r="P513" s="273" t="s">
        <v>1638</v>
      </c>
      <c r="Q513" s="170"/>
      <c r="R513" s="192" t="str">
        <f>CONCATENATE(N513,P513)</f>
        <v>1box</v>
      </c>
      <c r="S513" s="198">
        <f>M513*N513</f>
        <v>4</v>
      </c>
      <c r="T513" s="199" t="str">
        <f>CONCATENATE(S513,Q513,P513)</f>
        <v>4box</v>
      </c>
      <c r="U513" s="200">
        <f>L513*M513</f>
        <v>142</v>
      </c>
      <c r="V513" s="12"/>
      <c r="W513" s="12"/>
    </row>
    <row r="514" spans="1:23" x14ac:dyDescent="0.3">
      <c r="A514" s="183">
        <v>165</v>
      </c>
      <c r="B514" s="46" t="s">
        <v>1086</v>
      </c>
      <c r="C514" s="170"/>
      <c r="D514" s="194"/>
      <c r="E514" s="194"/>
      <c r="F514" s="194"/>
      <c r="G514" s="170"/>
      <c r="H514" s="194" t="s">
        <v>1368</v>
      </c>
      <c r="I514" s="239"/>
      <c r="J514" s="46" t="s">
        <v>1084</v>
      </c>
      <c r="K514" s="239"/>
      <c r="L514" s="274">
        <v>120</v>
      </c>
      <c r="M514" s="197">
        <v>6</v>
      </c>
      <c r="N514" s="333">
        <v>200</v>
      </c>
      <c r="O514" s="46"/>
      <c r="P514" s="47" t="s">
        <v>39</v>
      </c>
      <c r="Q514" s="170"/>
      <c r="R514" s="192" t="str">
        <f>CONCATENATE(N514,P514)</f>
        <v>200grams</v>
      </c>
      <c r="S514" s="198">
        <f>M514*N514</f>
        <v>1200</v>
      </c>
      <c r="T514" s="199" t="str">
        <f>CONCATENATE(S514,Q514,P514)</f>
        <v>1200grams</v>
      </c>
      <c r="U514" s="200">
        <f>L514*M514</f>
        <v>720</v>
      </c>
      <c r="V514" s="12"/>
      <c r="W514" s="12"/>
    </row>
    <row r="515" spans="1:23" x14ac:dyDescent="0.3">
      <c r="A515" s="183">
        <v>165</v>
      </c>
      <c r="B515" s="46" t="s">
        <v>1086</v>
      </c>
      <c r="C515" s="170"/>
      <c r="D515" s="194"/>
      <c r="E515" s="194"/>
      <c r="F515" s="194"/>
      <c r="G515" s="170"/>
      <c r="H515" s="194" t="s">
        <v>1368</v>
      </c>
      <c r="I515" s="170"/>
      <c r="J515" s="46" t="s">
        <v>1087</v>
      </c>
      <c r="K515" s="239"/>
      <c r="L515" s="274">
        <v>79</v>
      </c>
      <c r="M515" s="197">
        <v>5</v>
      </c>
      <c r="N515" s="333">
        <v>250</v>
      </c>
      <c r="O515" s="46"/>
      <c r="P515" s="47" t="s">
        <v>39</v>
      </c>
      <c r="Q515" s="170"/>
      <c r="R515" s="192" t="str">
        <f>CONCATENATE(N515,P515)</f>
        <v>250grams</v>
      </c>
      <c r="S515" s="198">
        <f>M515*N515</f>
        <v>1250</v>
      </c>
      <c r="T515" s="199" t="str">
        <f>CONCATENATE(S515,Q515,P515)</f>
        <v>1250grams</v>
      </c>
      <c r="U515" s="200">
        <f>L515*M515</f>
        <v>395</v>
      </c>
      <c r="V515" s="12"/>
      <c r="W515" s="12"/>
    </row>
    <row r="516" spans="1:23" x14ac:dyDescent="0.3">
      <c r="A516" s="183">
        <v>166</v>
      </c>
      <c r="B516" s="194" t="s">
        <v>533</v>
      </c>
      <c r="C516" s="170"/>
      <c r="D516" s="194" t="str">
        <f ca="1">IFERROR(__xludf.DUMMYFUNCTION("IF(J112="""",""n/a"",IFERROR(SPLIT(J112,""/"")))"),"n/a")</f>
        <v>n/a</v>
      </c>
      <c r="E516" s="170"/>
      <c r="F516" s="170"/>
      <c r="G516" s="170"/>
      <c r="H516" s="206" t="s">
        <v>1898</v>
      </c>
      <c r="I516" s="170"/>
      <c r="J516" s="170"/>
      <c r="K516" s="239"/>
      <c r="L516" s="255">
        <v>15.72</v>
      </c>
      <c r="M516" s="390">
        <v>25</v>
      </c>
      <c r="N516" s="250">
        <v>25</v>
      </c>
      <c r="O516" s="170">
        <f>E516</f>
        <v>0</v>
      </c>
      <c r="P516" s="240" t="s">
        <v>92</v>
      </c>
      <c r="Q516" s="170"/>
      <c r="R516" s="192" t="str">
        <f>CONCATENATE(N516,P516)</f>
        <v>25pieces</v>
      </c>
      <c r="S516" s="198">
        <f>M516*N516</f>
        <v>625</v>
      </c>
      <c r="T516" s="199" t="str">
        <f>CONCATENATE(S516,Q516,P516)</f>
        <v>625pieces</v>
      </c>
      <c r="U516" s="200">
        <f>L516*M516</f>
        <v>393</v>
      </c>
      <c r="V516" s="12"/>
      <c r="W516" s="12"/>
    </row>
    <row r="517" spans="1:23" x14ac:dyDescent="0.3">
      <c r="A517" s="183">
        <v>167</v>
      </c>
      <c r="B517" s="244" t="s">
        <v>534</v>
      </c>
      <c r="C517" s="239"/>
      <c r="D517" s="194" t="str">
        <f ca="1">IFERROR(__xludf.DUMMYFUNCTION("IF(J113="""",""n/a"",IFERROR(SPLIT(J113,""/"")))"),"n/a")</f>
        <v>n/a</v>
      </c>
      <c r="E517" s="239"/>
      <c r="F517" s="239"/>
      <c r="G517" s="239"/>
      <c r="H517" s="206" t="s">
        <v>1898</v>
      </c>
      <c r="I517" s="170"/>
      <c r="J517" s="239"/>
      <c r="K517" s="239"/>
      <c r="L517" s="255">
        <v>18.97</v>
      </c>
      <c r="M517" s="390">
        <v>23</v>
      </c>
      <c r="N517" s="250">
        <v>1</v>
      </c>
      <c r="O517" s="170">
        <f>E517</f>
        <v>0</v>
      </c>
      <c r="P517" s="238" t="s">
        <v>92</v>
      </c>
      <c r="Q517" s="170"/>
      <c r="R517" s="192" t="str">
        <f>CONCATENATE(N517,P517)</f>
        <v>1pieces</v>
      </c>
      <c r="S517" s="198">
        <f>M517*N517</f>
        <v>23</v>
      </c>
      <c r="T517" s="199" t="str">
        <f>CONCATENATE(S517,Q517,P517)</f>
        <v>23pieces</v>
      </c>
      <c r="U517" s="200">
        <f>L517*M517</f>
        <v>436.30999999999995</v>
      </c>
      <c r="V517" s="12"/>
      <c r="W517" s="12"/>
    </row>
    <row r="518" spans="1:23" x14ac:dyDescent="0.3">
      <c r="A518" s="183">
        <v>168</v>
      </c>
      <c r="B518" s="244" t="s">
        <v>240</v>
      </c>
      <c r="C518" s="239"/>
      <c r="D518" s="194" t="str">
        <f ca="1">IFERROR(__xludf.DUMMYFUNCTION("IF(J114="""",""n/a"",IFERROR(SPLIT(J114,""/"")))"),"SM Bonus")</f>
        <v>SM Bonus</v>
      </c>
      <c r="E518" s="244" t="str">
        <f ca="1">IFERROR(__xludf.DUMMYFUNCTION("""COMPUTED_VALUE"""),"pack")</f>
        <v>pack</v>
      </c>
      <c r="F518" s="244" t="str">
        <f ca="1">IFERROR(__xludf.DUMMYFUNCTION("""COMPUTED_VALUE"""),"50grams")</f>
        <v>50grams</v>
      </c>
      <c r="G518" s="239"/>
      <c r="H518" s="183" t="s">
        <v>1895</v>
      </c>
      <c r="I518" s="170"/>
      <c r="J518" s="96" t="s">
        <v>241</v>
      </c>
      <c r="K518" s="239"/>
      <c r="L518" s="254">
        <v>18.5</v>
      </c>
      <c r="M518" s="255">
        <v>6</v>
      </c>
      <c r="N518" s="100">
        <v>1</v>
      </c>
      <c r="O518" s="61" t="str">
        <f ca="1">E518</f>
        <v>pack</v>
      </c>
      <c r="P518" s="240" t="s">
        <v>39</v>
      </c>
      <c r="Q518" s="170"/>
      <c r="R518" s="192" t="str">
        <f>CONCATENATE(N518,P518)</f>
        <v>1grams</v>
      </c>
      <c r="S518" s="198">
        <f>M518*N518</f>
        <v>6</v>
      </c>
      <c r="T518" s="199" t="str">
        <f>CONCATENATE(S518,Q518,P518)</f>
        <v>6grams</v>
      </c>
      <c r="U518" s="200">
        <f>L518*M518</f>
        <v>111</v>
      </c>
      <c r="V518" s="12"/>
      <c r="W518" s="12"/>
    </row>
    <row r="519" spans="1:23" x14ac:dyDescent="0.3">
      <c r="A519" s="183">
        <v>168</v>
      </c>
      <c r="B519" s="96" t="s">
        <v>240</v>
      </c>
      <c r="C519" s="239"/>
      <c r="D519" s="194"/>
      <c r="E519" s="244"/>
      <c r="F519" s="244"/>
      <c r="G519" s="239"/>
      <c r="H519" s="194" t="s">
        <v>29</v>
      </c>
      <c r="I519" s="170"/>
      <c r="J519" s="96" t="s">
        <v>1088</v>
      </c>
      <c r="K519" s="239"/>
      <c r="L519" s="255">
        <v>88</v>
      </c>
      <c r="M519" s="255">
        <v>1</v>
      </c>
      <c r="N519" s="333">
        <v>250</v>
      </c>
      <c r="O519" s="297"/>
      <c r="P519" s="516" t="s">
        <v>39</v>
      </c>
      <c r="Q519" s="170"/>
      <c r="R519" s="192" t="str">
        <f>CONCATENATE(N519,P519)</f>
        <v>250grams</v>
      </c>
      <c r="S519" s="198">
        <f>M519*N519</f>
        <v>250</v>
      </c>
      <c r="T519" s="199" t="str">
        <f>CONCATENATE(S519,Q519,P519)</f>
        <v>250grams</v>
      </c>
      <c r="U519" s="200">
        <f>L519*M519</f>
        <v>88</v>
      </c>
      <c r="V519" s="12"/>
      <c r="W519" s="12"/>
    </row>
    <row r="520" spans="1:23" x14ac:dyDescent="0.3">
      <c r="A520" s="183">
        <v>168</v>
      </c>
      <c r="B520" s="347" t="s">
        <v>240</v>
      </c>
      <c r="C520" s="239"/>
      <c r="D520" s="194"/>
      <c r="E520" s="239"/>
      <c r="F520" s="239"/>
      <c r="G520" s="239"/>
      <c r="H520" s="194" t="s">
        <v>2025</v>
      </c>
      <c r="I520" s="170"/>
      <c r="J520" s="96" t="s">
        <v>1089</v>
      </c>
      <c r="K520" s="239"/>
      <c r="L520" s="255">
        <v>40</v>
      </c>
      <c r="M520" s="255">
        <v>1</v>
      </c>
      <c r="N520" s="333">
        <v>200</v>
      </c>
      <c r="O520" s="46"/>
      <c r="P520" s="47" t="s">
        <v>39</v>
      </c>
      <c r="Q520" s="170"/>
      <c r="R520" s="192" t="str">
        <f>CONCATENATE(N520,P520)</f>
        <v>200grams</v>
      </c>
      <c r="S520" s="198">
        <f>M520*N520</f>
        <v>200</v>
      </c>
      <c r="T520" s="199" t="str">
        <f>CONCATENATE(S520,Q520,P520)</f>
        <v>200grams</v>
      </c>
      <c r="U520" s="200">
        <f>L520*M520</f>
        <v>40</v>
      </c>
      <c r="V520" s="12"/>
      <c r="W520" s="12"/>
    </row>
    <row r="521" spans="1:23" x14ac:dyDescent="0.3">
      <c r="A521" s="183">
        <v>168</v>
      </c>
      <c r="B521" s="348" t="s">
        <v>240</v>
      </c>
      <c r="C521" s="239"/>
      <c r="D521" s="194"/>
      <c r="E521" s="239"/>
      <c r="F521" s="239"/>
      <c r="G521" s="239"/>
      <c r="H521" s="194" t="s">
        <v>2021</v>
      </c>
      <c r="I521" s="170"/>
      <c r="J521" s="340" t="s">
        <v>1088</v>
      </c>
      <c r="K521" s="239"/>
      <c r="L521" s="216">
        <v>88</v>
      </c>
      <c r="M521" s="216">
        <v>1</v>
      </c>
      <c r="N521" s="336">
        <v>250</v>
      </c>
      <c r="O521" s="304"/>
      <c r="P521" s="304" t="s">
        <v>39</v>
      </c>
      <c r="Q521" s="170"/>
      <c r="R521" s="192" t="str">
        <f>CONCATENATE(N521,P521)</f>
        <v>250grams</v>
      </c>
      <c r="S521" s="198">
        <f>M521*N521</f>
        <v>250</v>
      </c>
      <c r="T521" s="199" t="str">
        <f>CONCATENATE(S521,Q521,P521)</f>
        <v>250grams</v>
      </c>
      <c r="U521" s="200">
        <f>L521*M521</f>
        <v>88</v>
      </c>
      <c r="V521" s="12"/>
      <c r="W521" s="12"/>
    </row>
    <row r="522" spans="1:23" x14ac:dyDescent="0.3">
      <c r="A522" s="183">
        <v>169</v>
      </c>
      <c r="B522" s="268" t="s">
        <v>535</v>
      </c>
      <c r="C522" s="239"/>
      <c r="D522" s="194" t="str">
        <f ca="1">IFERROR(__xludf.DUMMYFUNCTION("IF(J115="""",""n/a"",IFERROR(SPLIT(J115,""/"")))"),"n/a")</f>
        <v>n/a</v>
      </c>
      <c r="E522" s="239"/>
      <c r="F522" s="239"/>
      <c r="G522" s="239"/>
      <c r="H522" s="206" t="s">
        <v>1898</v>
      </c>
      <c r="I522" s="237"/>
      <c r="J522" s="239"/>
      <c r="K522" s="239"/>
      <c r="L522" s="255">
        <v>15.47</v>
      </c>
      <c r="M522" s="390">
        <v>25</v>
      </c>
      <c r="N522" s="250">
        <v>25</v>
      </c>
      <c r="O522" s="170">
        <f>E522</f>
        <v>0</v>
      </c>
      <c r="P522" s="240" t="s">
        <v>92</v>
      </c>
      <c r="Q522" s="170"/>
      <c r="R522" s="192" t="str">
        <f>CONCATENATE(N522,P522)</f>
        <v>25pieces</v>
      </c>
      <c r="S522" s="198">
        <f>M522*N522</f>
        <v>625</v>
      </c>
      <c r="T522" s="199" t="str">
        <f>CONCATENATE(S522,Q522,P522)</f>
        <v>625pieces</v>
      </c>
      <c r="U522" s="200">
        <f>L522*M522</f>
        <v>386.75</v>
      </c>
      <c r="V522" s="12"/>
      <c r="W522" s="12"/>
    </row>
    <row r="523" spans="1:23" x14ac:dyDescent="0.3">
      <c r="A523" s="183">
        <v>170</v>
      </c>
      <c r="B523" s="268" t="s">
        <v>374</v>
      </c>
      <c r="C523" s="239"/>
      <c r="D523" s="194" t="str">
        <f ca="1">IFERROR(__xludf.DUMMYFUNCTION("IF(J116="""",""n/a"",IFERROR(SPLIT(J116,""/"")))"),"Regent")</f>
        <v>Regent</v>
      </c>
      <c r="E523" s="244" t="str">
        <f ca="1">IFERROR(__xludf.DUMMYFUNCTION("""COMPUTED_VALUE"""),"bundle (25x60 grams)")</f>
        <v>bundle (25x60 grams)</v>
      </c>
      <c r="F523" s="239"/>
      <c r="G523" s="239"/>
      <c r="H523" s="183" t="s">
        <v>1897</v>
      </c>
      <c r="I523" s="170"/>
      <c r="J523" s="96" t="s">
        <v>375</v>
      </c>
      <c r="K523" s="239"/>
      <c r="L523" s="254">
        <v>15.47</v>
      </c>
      <c r="M523" s="271">
        <v>10</v>
      </c>
      <c r="N523" s="247">
        <v>1</v>
      </c>
      <c r="O523" s="61" t="str">
        <f ca="1">E523</f>
        <v>bundle (25x60 grams)</v>
      </c>
      <c r="P523" s="240" t="s">
        <v>92</v>
      </c>
      <c r="Q523" s="170"/>
      <c r="R523" s="192" t="str">
        <f>CONCATENATE(N523,P523)</f>
        <v>1pieces</v>
      </c>
      <c r="S523" s="198">
        <f>M523*N523</f>
        <v>10</v>
      </c>
      <c r="T523" s="199" t="str">
        <f>CONCATENATE(S523,Q523,P523)</f>
        <v>10pieces</v>
      </c>
      <c r="U523" s="200">
        <f>L523*M523</f>
        <v>154.70000000000002</v>
      </c>
      <c r="V523" s="12"/>
      <c r="W523" s="12"/>
    </row>
    <row r="524" spans="1:23" x14ac:dyDescent="0.3">
      <c r="A524" s="183">
        <v>170</v>
      </c>
      <c r="B524" s="244" t="s">
        <v>374</v>
      </c>
      <c r="C524" s="239"/>
      <c r="D524" s="194" t="str">
        <f ca="1">IFERROR(__xludf.DUMMYFUNCTION("IF(J117="""",""n/a"",IFERROR(SPLIT(J117,""/"")))"),"Regent")</f>
        <v>Regent</v>
      </c>
      <c r="E524" s="244" t="str">
        <f ca="1">IFERROR(__xludf.DUMMYFUNCTION("""COMPUTED_VALUE"""),"bundle (25x60 grams)")</f>
        <v>bundle (25x60 grams)</v>
      </c>
      <c r="F524" s="239"/>
      <c r="G524" s="239"/>
      <c r="H524" s="183" t="s">
        <v>1895</v>
      </c>
      <c r="I524" s="170"/>
      <c r="J524" s="96" t="s">
        <v>375</v>
      </c>
      <c r="K524" s="239"/>
      <c r="L524" s="254">
        <v>15.47</v>
      </c>
      <c r="M524" s="255">
        <v>50</v>
      </c>
      <c r="N524" s="100">
        <v>1</v>
      </c>
      <c r="O524" s="61" t="str">
        <f ca="1">E524</f>
        <v>bundle (25x60 grams)</v>
      </c>
      <c r="P524" s="240" t="s">
        <v>92</v>
      </c>
      <c r="Q524" s="170"/>
      <c r="R524" s="192" t="str">
        <f>CONCATENATE(N524,P524)</f>
        <v>1pieces</v>
      </c>
      <c r="S524" s="198">
        <f>M524*N524</f>
        <v>50</v>
      </c>
      <c r="T524" s="199" t="str">
        <f>CONCATENATE(S524,Q524,P524)</f>
        <v>50pieces</v>
      </c>
      <c r="U524" s="200">
        <f>L524*M524</f>
        <v>773.5</v>
      </c>
      <c r="V524" s="12"/>
      <c r="W524" s="12"/>
    </row>
    <row r="525" spans="1:23" x14ac:dyDescent="0.3">
      <c r="A525" s="183">
        <v>171</v>
      </c>
      <c r="B525" s="244" t="s">
        <v>376</v>
      </c>
      <c r="C525" s="239"/>
      <c r="D525" s="194" t="str">
        <f ca="1">IFERROR(__xludf.DUMMYFUNCTION("IF(J118="""",""n/a"",IFERROR(SPLIT(J118,""/"")))"),"Pepsi")</f>
        <v>Pepsi</v>
      </c>
      <c r="E525" s="244" t="str">
        <f ca="1">IFERROR(__xludf.DUMMYFUNCTION("""COMPUTED_VALUE"""),"case (24x500ml)")</f>
        <v>case (24x500ml)</v>
      </c>
      <c r="F525" s="239"/>
      <c r="G525" s="239"/>
      <c r="H525" s="183" t="s">
        <v>1897</v>
      </c>
      <c r="I525" s="170"/>
      <c r="J525" s="96" t="s">
        <v>100</v>
      </c>
      <c r="K525" s="239"/>
      <c r="L525" s="254">
        <v>43.4</v>
      </c>
      <c r="M525" s="271">
        <v>24</v>
      </c>
      <c r="N525" s="247">
        <v>1</v>
      </c>
      <c r="O525" s="61" t="str">
        <f ca="1">E525</f>
        <v>case (24x500ml)</v>
      </c>
      <c r="P525" s="240" t="s">
        <v>92</v>
      </c>
      <c r="Q525" s="170"/>
      <c r="R525" s="192" t="str">
        <f>CONCATENATE(N525,P525)</f>
        <v>1pieces</v>
      </c>
      <c r="S525" s="198">
        <f>M525*N525</f>
        <v>24</v>
      </c>
      <c r="T525" s="199" t="str">
        <f>CONCATENATE(S525,Q525,P525)</f>
        <v>24pieces</v>
      </c>
      <c r="U525" s="200">
        <f>L525*M525</f>
        <v>1041.5999999999999</v>
      </c>
      <c r="V525" s="205"/>
      <c r="W525" s="62"/>
    </row>
    <row r="526" spans="1:23" x14ac:dyDescent="0.3">
      <c r="A526" s="183">
        <v>171</v>
      </c>
      <c r="B526" s="244" t="s">
        <v>376</v>
      </c>
      <c r="C526" s="239"/>
      <c r="D526" s="194" t="str">
        <f ca="1">IFERROR(__xludf.DUMMYFUNCTION("IF(J119="""",""n/a"",IFERROR(SPLIT(J119,""/"")))"),"Nutri-Snackbundle (50x60grams)")</f>
        <v>Nutri-Snackbundle (50x60grams)</v>
      </c>
      <c r="E526" s="239"/>
      <c r="F526" s="239"/>
      <c r="G526" s="239"/>
      <c r="H526" s="183" t="s">
        <v>1897</v>
      </c>
      <c r="I526" s="170"/>
      <c r="J526" s="96" t="s">
        <v>377</v>
      </c>
      <c r="K526" s="239"/>
      <c r="L526" s="254">
        <v>15.39</v>
      </c>
      <c r="M526" s="271">
        <v>12</v>
      </c>
      <c r="N526" s="247">
        <v>1</v>
      </c>
      <c r="O526" s="170">
        <f>E526</f>
        <v>0</v>
      </c>
      <c r="P526" s="240" t="s">
        <v>92</v>
      </c>
      <c r="Q526" s="170"/>
      <c r="R526" s="192" t="str">
        <f>CONCATENATE(N526,P526)</f>
        <v>1pieces</v>
      </c>
      <c r="S526" s="198">
        <f>M526*N526</f>
        <v>12</v>
      </c>
      <c r="T526" s="199" t="str">
        <f>CONCATENATE(S526,Q526,P526)</f>
        <v>12pieces</v>
      </c>
      <c r="U526" s="200">
        <f>L526*M526</f>
        <v>184.68</v>
      </c>
      <c r="V526" s="12"/>
      <c r="W526" s="12"/>
    </row>
    <row r="527" spans="1:23" x14ac:dyDescent="0.3">
      <c r="A527" s="183">
        <v>171</v>
      </c>
      <c r="B527" s="194" t="s">
        <v>376</v>
      </c>
      <c r="C527" s="170"/>
      <c r="D527" s="194" t="str">
        <f ca="1">IFERROR(__xludf.DUMMYFUNCTION("IF(J120="""",""n/a"",IFERROR(SPLIT(J120,""/"")))"),"Nutri-Snackbundle (50x60grams)")</f>
        <v>Nutri-Snackbundle (50x60grams)</v>
      </c>
      <c r="E527" s="170"/>
      <c r="F527" s="170"/>
      <c r="G527" s="170"/>
      <c r="H527" s="183" t="s">
        <v>1895</v>
      </c>
      <c r="I527" s="170"/>
      <c r="J527" s="46" t="s">
        <v>377</v>
      </c>
      <c r="K527" s="239"/>
      <c r="L527" s="270">
        <v>16.329999999999998</v>
      </c>
      <c r="M527" s="255">
        <v>50</v>
      </c>
      <c r="N527" s="100">
        <v>1</v>
      </c>
      <c r="O527" s="170">
        <f>E527</f>
        <v>0</v>
      </c>
      <c r="P527" s="240" t="s">
        <v>92</v>
      </c>
      <c r="Q527" s="170"/>
      <c r="R527" s="192" t="str">
        <f>CONCATENATE(N527,P527)</f>
        <v>1pieces</v>
      </c>
      <c r="S527" s="198">
        <f>M527*N527</f>
        <v>50</v>
      </c>
      <c r="T527" s="199" t="str">
        <f>CONCATENATE(S527,Q527,P527)</f>
        <v>50pieces</v>
      </c>
      <c r="U527" s="200">
        <f>L527*M527</f>
        <v>816.49999999999989</v>
      </c>
      <c r="V527" s="12"/>
      <c r="W527" s="12"/>
    </row>
    <row r="528" spans="1:23" x14ac:dyDescent="0.3">
      <c r="A528" s="183">
        <v>171</v>
      </c>
      <c r="B528" s="194" t="s">
        <v>376</v>
      </c>
      <c r="C528" s="170"/>
      <c r="D528" s="194" t="str">
        <f ca="1">IFERROR(__xludf.DUMMYFUNCTION("IF(J121="""",""n/a"",IFERROR(SPLIT(J121,""/"")))"),"n/a")</f>
        <v>n/a</v>
      </c>
      <c r="E528" s="170"/>
      <c r="F528" s="170"/>
      <c r="G528" s="170"/>
      <c r="H528" s="206" t="s">
        <v>1898</v>
      </c>
      <c r="I528" s="239"/>
      <c r="J528" s="170"/>
      <c r="K528" s="239"/>
      <c r="L528" s="255">
        <v>15.39</v>
      </c>
      <c r="M528" s="390">
        <v>3</v>
      </c>
      <c r="N528" s="250">
        <v>50</v>
      </c>
      <c r="O528" s="170">
        <f>E528</f>
        <v>0</v>
      </c>
      <c r="P528" s="269" t="s">
        <v>92</v>
      </c>
      <c r="Q528" s="170"/>
      <c r="R528" s="192" t="str">
        <f>CONCATENATE(N528,P528)</f>
        <v>50pieces</v>
      </c>
      <c r="S528" s="198">
        <f>M528*N528</f>
        <v>150</v>
      </c>
      <c r="T528" s="199" t="str">
        <f>CONCATENATE(S528,Q528,P528)</f>
        <v>150pieces</v>
      </c>
      <c r="U528" s="200">
        <f>L528*M528</f>
        <v>46.17</v>
      </c>
      <c r="V528" s="12"/>
      <c r="W528" s="12"/>
    </row>
    <row r="529" spans="1:23" x14ac:dyDescent="0.3">
      <c r="A529" s="183">
        <v>172</v>
      </c>
      <c r="B529" s="194" t="s">
        <v>536</v>
      </c>
      <c r="C529" s="170"/>
      <c r="D529" s="194" t="str">
        <f ca="1">IFERROR(__xludf.DUMMYFUNCTION("IF(J122="""",""n/a"",IFERROR(SPLIT(J122,""/"")))"),"n/a")</f>
        <v>n/a</v>
      </c>
      <c r="E529" s="170"/>
      <c r="F529" s="170"/>
      <c r="G529" s="170"/>
      <c r="H529" s="206" t="s">
        <v>1898</v>
      </c>
      <c r="I529" s="239"/>
      <c r="J529" s="170"/>
      <c r="K529" s="239"/>
      <c r="L529" s="255">
        <v>26.35</v>
      </c>
      <c r="M529" s="390">
        <v>4</v>
      </c>
      <c r="N529" s="250">
        <v>1</v>
      </c>
      <c r="O529" s="170">
        <f>E529</f>
        <v>0</v>
      </c>
      <c r="P529" s="238" t="s">
        <v>92</v>
      </c>
      <c r="Q529" s="170"/>
      <c r="R529" s="192" t="str">
        <f>CONCATENATE(N529,P529)</f>
        <v>1pieces</v>
      </c>
      <c r="S529" s="198">
        <f>M529*N529</f>
        <v>4</v>
      </c>
      <c r="T529" s="199" t="str">
        <f>CONCATENATE(S529,Q529,P529)</f>
        <v>4pieces</v>
      </c>
      <c r="U529" s="200">
        <f>L529*M529</f>
        <v>105.4</v>
      </c>
      <c r="V529" s="12"/>
      <c r="W529" s="12"/>
    </row>
    <row r="530" spans="1:23" x14ac:dyDescent="0.3">
      <c r="A530" s="183">
        <v>173</v>
      </c>
      <c r="B530" s="46" t="s">
        <v>1090</v>
      </c>
      <c r="C530" s="170"/>
      <c r="D530" s="194"/>
      <c r="E530" s="194"/>
      <c r="F530" s="194"/>
      <c r="G530" s="170"/>
      <c r="H530" s="194" t="s">
        <v>2025</v>
      </c>
      <c r="I530" s="239"/>
      <c r="J530" s="46" t="s">
        <v>1068</v>
      </c>
      <c r="K530" s="239"/>
      <c r="L530" s="255">
        <v>15</v>
      </c>
      <c r="M530" s="255">
        <v>3</v>
      </c>
      <c r="N530" s="333">
        <v>30</v>
      </c>
      <c r="O530" s="46"/>
      <c r="P530" s="47" t="s">
        <v>39</v>
      </c>
      <c r="Q530" s="170"/>
      <c r="R530" s="192" t="str">
        <f>CONCATENATE(N530,P530)</f>
        <v>30grams</v>
      </c>
      <c r="S530" s="198">
        <f>M530*N530</f>
        <v>90</v>
      </c>
      <c r="T530" s="199" t="str">
        <f>CONCATENATE(S530,Q530,P530)</f>
        <v>90grams</v>
      </c>
      <c r="U530" s="200">
        <f>L530*M530</f>
        <v>45</v>
      </c>
      <c r="V530" s="12"/>
      <c r="W530" s="12"/>
    </row>
    <row r="531" spans="1:23" x14ac:dyDescent="0.3">
      <c r="A531" s="183">
        <v>173</v>
      </c>
      <c r="B531" s="46" t="s">
        <v>1090</v>
      </c>
      <c r="C531" s="170"/>
      <c r="D531" s="194"/>
      <c r="E531" s="194"/>
      <c r="F531" s="194"/>
      <c r="G531" s="170"/>
      <c r="H531" s="194" t="s">
        <v>2020</v>
      </c>
      <c r="I531" s="239"/>
      <c r="J531" s="68" t="s">
        <v>1004</v>
      </c>
      <c r="K531" s="239"/>
      <c r="L531" s="255">
        <v>55</v>
      </c>
      <c r="M531" s="255">
        <v>22</v>
      </c>
      <c r="N531" s="338">
        <v>1</v>
      </c>
      <c r="O531" s="46"/>
      <c r="P531" s="96" t="s">
        <v>304</v>
      </c>
      <c r="Q531" s="170"/>
      <c r="R531" s="192" t="str">
        <f>CONCATENATE(N531,P531)</f>
        <v>1packs</v>
      </c>
      <c r="S531" s="198">
        <f>M531*N531</f>
        <v>22</v>
      </c>
      <c r="T531" s="199" t="str">
        <f>CONCATENATE(S531,Q531,P531)</f>
        <v>22packs</v>
      </c>
      <c r="U531" s="200">
        <f>L531*M531</f>
        <v>1210</v>
      </c>
      <c r="V531" s="12"/>
      <c r="W531" s="12"/>
    </row>
    <row r="532" spans="1:23" x14ac:dyDescent="0.3">
      <c r="A532" s="183">
        <v>174</v>
      </c>
      <c r="B532" s="356" t="s">
        <v>1091</v>
      </c>
      <c r="C532" s="173"/>
      <c r="D532" s="194"/>
      <c r="E532" s="173"/>
      <c r="F532" s="173"/>
      <c r="G532" s="173"/>
      <c r="H532" s="194" t="s">
        <v>2025</v>
      </c>
      <c r="I532" s="239"/>
      <c r="J532" s="46" t="s">
        <v>1068</v>
      </c>
      <c r="K532" s="239"/>
      <c r="L532" s="255">
        <v>60</v>
      </c>
      <c r="M532" s="255">
        <v>1</v>
      </c>
      <c r="N532" s="333">
        <v>1</v>
      </c>
      <c r="O532" s="46"/>
      <c r="P532" s="47" t="s">
        <v>213</v>
      </c>
      <c r="Q532" s="170"/>
      <c r="R532" s="192" t="str">
        <f>CONCATENATE(N532,P532)</f>
        <v>1kilos</v>
      </c>
      <c r="S532" s="198">
        <f>M532*N532</f>
        <v>1</v>
      </c>
      <c r="T532" s="199" t="str">
        <f>CONCATENATE(S532,Q532,P532)</f>
        <v>1kilos</v>
      </c>
      <c r="U532" s="200">
        <f>L532*M532</f>
        <v>60</v>
      </c>
      <c r="V532" s="12"/>
      <c r="W532" s="12"/>
    </row>
    <row r="533" spans="1:23" x14ac:dyDescent="0.3">
      <c r="A533" s="183">
        <v>175</v>
      </c>
      <c r="B533" s="356" t="s">
        <v>1092</v>
      </c>
      <c r="C533" s="173"/>
      <c r="D533" s="194"/>
      <c r="E533" s="243"/>
      <c r="F533" s="243"/>
      <c r="G533" s="173"/>
      <c r="H533" s="194" t="s">
        <v>2024</v>
      </c>
      <c r="I533" s="239"/>
      <c r="J533" s="170"/>
      <c r="K533" s="239"/>
      <c r="L533" s="255">
        <v>220</v>
      </c>
      <c r="M533" s="255">
        <v>2</v>
      </c>
      <c r="N533" s="333">
        <v>1000</v>
      </c>
      <c r="O533" s="46"/>
      <c r="P533" s="47" t="s">
        <v>39</v>
      </c>
      <c r="Q533" s="170"/>
      <c r="R533" s="192" t="str">
        <f>CONCATENATE(N533,P533)</f>
        <v>1000grams</v>
      </c>
      <c r="S533" s="198">
        <f>M533*N533</f>
        <v>2000</v>
      </c>
      <c r="T533" s="199" t="str">
        <f>CONCATENATE(S533,Q533,P533)</f>
        <v>2000grams</v>
      </c>
      <c r="U533" s="200">
        <f>L533*M533</f>
        <v>440</v>
      </c>
      <c r="V533" s="12"/>
      <c r="W533" s="12"/>
    </row>
    <row r="534" spans="1:23" x14ac:dyDescent="0.3">
      <c r="A534" s="183">
        <v>176</v>
      </c>
      <c r="B534" s="356" t="s">
        <v>1915</v>
      </c>
      <c r="C534" s="488"/>
      <c r="D534" s="194"/>
      <c r="E534" s="488"/>
      <c r="F534" s="488"/>
      <c r="G534" s="488"/>
      <c r="H534" s="400" t="s">
        <v>2027</v>
      </c>
      <c r="I534" s="239"/>
      <c r="J534" s="170"/>
      <c r="K534" s="239"/>
      <c r="L534" s="254">
        <v>175</v>
      </c>
      <c r="M534" s="255">
        <v>49</v>
      </c>
      <c r="N534" s="366">
        <v>1</v>
      </c>
      <c r="O534" s="61"/>
      <c r="P534" s="240" t="s">
        <v>213</v>
      </c>
      <c r="Q534" s="170"/>
      <c r="R534" s="192" t="str">
        <f>CONCATENATE(N534,P534)</f>
        <v>1kilos</v>
      </c>
      <c r="S534" s="198">
        <f>M534*N534</f>
        <v>49</v>
      </c>
      <c r="T534" s="199" t="str">
        <f>CONCATENATE(S534,Q534,P534)</f>
        <v>49kilos</v>
      </c>
      <c r="U534" s="200">
        <f>L534*M534</f>
        <v>8575</v>
      </c>
      <c r="V534" s="12"/>
      <c r="W534" s="12"/>
    </row>
    <row r="535" spans="1:23" x14ac:dyDescent="0.3">
      <c r="A535" s="183">
        <v>177</v>
      </c>
      <c r="B535" s="46" t="s">
        <v>1093</v>
      </c>
      <c r="C535" s="170"/>
      <c r="D535" s="194"/>
      <c r="E535" s="194"/>
      <c r="F535" s="194"/>
      <c r="G535" s="170"/>
      <c r="H535" s="194" t="s">
        <v>29</v>
      </c>
      <c r="I535" s="239"/>
      <c r="J535" s="170"/>
      <c r="K535" s="239"/>
      <c r="L535" s="276">
        <v>290</v>
      </c>
      <c r="M535" s="255">
        <v>3</v>
      </c>
      <c r="N535" s="333">
        <v>1</v>
      </c>
      <c r="O535" s="46"/>
      <c r="P535" s="47" t="s">
        <v>213</v>
      </c>
      <c r="Q535" s="170"/>
      <c r="R535" s="192" t="str">
        <f>CONCATENATE(N535,P535)</f>
        <v>1kilos</v>
      </c>
      <c r="S535" s="198">
        <f>M535*N535</f>
        <v>3</v>
      </c>
      <c r="T535" s="199" t="str">
        <f>CONCATENATE(S535,Q535,P535)</f>
        <v>3kilos</v>
      </c>
      <c r="U535" s="200">
        <f>L535*M535</f>
        <v>870</v>
      </c>
      <c r="V535" s="12"/>
      <c r="W535" s="12"/>
    </row>
    <row r="536" spans="1:23" x14ac:dyDescent="0.3">
      <c r="A536" s="183">
        <v>177</v>
      </c>
      <c r="B536" s="46" t="s">
        <v>1093</v>
      </c>
      <c r="C536" s="170"/>
      <c r="D536" s="194"/>
      <c r="E536" s="194"/>
      <c r="F536" s="170"/>
      <c r="G536" s="170"/>
      <c r="H536" s="194" t="s">
        <v>2021</v>
      </c>
      <c r="I536" s="170"/>
      <c r="J536" s="215"/>
      <c r="K536" s="239"/>
      <c r="L536" s="285">
        <v>265</v>
      </c>
      <c r="M536" s="285">
        <v>2</v>
      </c>
      <c r="N536" s="336">
        <v>1</v>
      </c>
      <c r="O536" s="219"/>
      <c r="P536" s="327" t="s">
        <v>213</v>
      </c>
      <c r="Q536" s="170"/>
      <c r="R536" s="192" t="str">
        <f>CONCATENATE(N536,P536)</f>
        <v>1kilos</v>
      </c>
      <c r="S536" s="198">
        <f>M536*N536</f>
        <v>2</v>
      </c>
      <c r="T536" s="199" t="str">
        <f>CONCATENATE(S536,Q536,P536)</f>
        <v>2kilos</v>
      </c>
      <c r="U536" s="200">
        <f>L536*M536</f>
        <v>530</v>
      </c>
      <c r="V536" s="12"/>
      <c r="W536" s="12"/>
    </row>
    <row r="537" spans="1:23" x14ac:dyDescent="0.3">
      <c r="A537" s="183">
        <v>178</v>
      </c>
      <c r="B537" s="46" t="s">
        <v>1095</v>
      </c>
      <c r="C537" s="170"/>
      <c r="D537" s="194"/>
      <c r="E537" s="194"/>
      <c r="F537" s="194"/>
      <c r="G537" s="170"/>
      <c r="H537" s="194" t="s">
        <v>2022</v>
      </c>
      <c r="I537" s="170"/>
      <c r="J537" s="46" t="s">
        <v>850</v>
      </c>
      <c r="K537" s="239"/>
      <c r="L537" s="255">
        <v>265</v>
      </c>
      <c r="M537" s="255">
        <v>7</v>
      </c>
      <c r="N537" s="333">
        <v>1000</v>
      </c>
      <c r="O537" s="46"/>
      <c r="P537" s="47" t="s">
        <v>39</v>
      </c>
      <c r="Q537" s="170"/>
      <c r="R537" s="192" t="str">
        <f>CONCATENATE(N537,P537)</f>
        <v>1000grams</v>
      </c>
      <c r="S537" s="198">
        <f>M537*N537</f>
        <v>7000</v>
      </c>
      <c r="T537" s="199" t="str">
        <f>CONCATENATE(S537,Q537,P537)</f>
        <v>7000grams</v>
      </c>
      <c r="U537" s="200">
        <f>L537*M537</f>
        <v>1855</v>
      </c>
      <c r="V537" s="12"/>
      <c r="W537" s="12"/>
    </row>
    <row r="538" spans="1:23" x14ac:dyDescent="0.3">
      <c r="A538" s="183">
        <v>179</v>
      </c>
      <c r="B538" s="46" t="s">
        <v>1096</v>
      </c>
      <c r="C538" s="170"/>
      <c r="D538" s="194"/>
      <c r="E538" s="170"/>
      <c r="F538" s="170"/>
      <c r="G538" s="170"/>
      <c r="H538" s="194" t="s">
        <v>2025</v>
      </c>
      <c r="I538" s="170"/>
      <c r="J538" s="170"/>
      <c r="K538" s="239"/>
      <c r="L538" s="255">
        <v>150</v>
      </c>
      <c r="M538" s="255">
        <v>56</v>
      </c>
      <c r="N538" s="357">
        <v>1</v>
      </c>
      <c r="O538" s="46"/>
      <c r="P538" s="47" t="s">
        <v>213</v>
      </c>
      <c r="Q538" s="170"/>
      <c r="R538" s="192" t="str">
        <f>CONCATENATE(N538,P538)</f>
        <v>1kilos</v>
      </c>
      <c r="S538" s="198">
        <f>M538*N538</f>
        <v>56</v>
      </c>
      <c r="T538" s="199" t="str">
        <f>CONCATENATE(S538,Q538,P538)</f>
        <v>56kilos</v>
      </c>
      <c r="U538" s="200">
        <f>L538*M538</f>
        <v>8400</v>
      </c>
      <c r="V538" s="12"/>
      <c r="W538" s="12"/>
    </row>
    <row r="539" spans="1:23" x14ac:dyDescent="0.3">
      <c r="A539" s="183">
        <v>180</v>
      </c>
      <c r="B539" s="96" t="s">
        <v>1097</v>
      </c>
      <c r="C539" s="239"/>
      <c r="D539" s="194"/>
      <c r="E539" s="244"/>
      <c r="F539" s="239"/>
      <c r="G539" s="239"/>
      <c r="H539" s="194" t="s">
        <v>29</v>
      </c>
      <c r="I539" s="170"/>
      <c r="J539" s="239"/>
      <c r="K539" s="239"/>
      <c r="L539" s="255">
        <v>134</v>
      </c>
      <c r="M539" s="255">
        <v>4</v>
      </c>
      <c r="N539" s="358">
        <v>1</v>
      </c>
      <c r="O539" s="46"/>
      <c r="P539" s="47" t="s">
        <v>213</v>
      </c>
      <c r="Q539" s="170"/>
      <c r="R539" s="192" t="str">
        <f>CONCATENATE(N539,P539)</f>
        <v>1kilos</v>
      </c>
      <c r="S539" s="198">
        <f>M539*N539</f>
        <v>4</v>
      </c>
      <c r="T539" s="199" t="str">
        <f>CONCATENATE(S539,Q539,P539)</f>
        <v>4kilos</v>
      </c>
      <c r="U539" s="200">
        <f>L539*M539</f>
        <v>536</v>
      </c>
      <c r="V539" s="12"/>
      <c r="W539" s="12"/>
    </row>
    <row r="540" spans="1:23" x14ac:dyDescent="0.3">
      <c r="A540" s="183">
        <v>180</v>
      </c>
      <c r="B540" s="46" t="s">
        <v>1097</v>
      </c>
      <c r="C540" s="170"/>
      <c r="D540" s="194"/>
      <c r="E540" s="194"/>
      <c r="F540" s="170"/>
      <c r="G540" s="170"/>
      <c r="H540" s="194" t="s">
        <v>2024</v>
      </c>
      <c r="I540" s="170"/>
      <c r="J540" s="170"/>
      <c r="K540" s="239"/>
      <c r="L540" s="276">
        <v>134</v>
      </c>
      <c r="M540" s="255">
        <v>38</v>
      </c>
      <c r="N540" s="333">
        <v>1</v>
      </c>
      <c r="O540" s="46"/>
      <c r="P540" s="47" t="s">
        <v>213</v>
      </c>
      <c r="Q540" s="170"/>
      <c r="R540" s="192" t="str">
        <f>CONCATENATE(N540,P540)</f>
        <v>1kilos</v>
      </c>
      <c r="S540" s="198">
        <f>M540*N540</f>
        <v>38</v>
      </c>
      <c r="T540" s="199" t="str">
        <f>CONCATENATE(S540,Q540,P540)</f>
        <v>38kilos</v>
      </c>
      <c r="U540" s="200">
        <f>L540*M540</f>
        <v>5092</v>
      </c>
      <c r="V540" s="12"/>
      <c r="W540" s="12"/>
    </row>
    <row r="541" spans="1:23" x14ac:dyDescent="0.3">
      <c r="A541" s="183">
        <v>180</v>
      </c>
      <c r="B541" s="46" t="s">
        <v>1097</v>
      </c>
      <c r="C541" s="170"/>
      <c r="D541" s="194"/>
      <c r="E541" s="170"/>
      <c r="F541" s="170"/>
      <c r="G541" s="170"/>
      <c r="H541" s="194" t="s">
        <v>2026</v>
      </c>
      <c r="I541" s="170"/>
      <c r="J541" s="170"/>
      <c r="K541" s="239"/>
      <c r="L541" s="255">
        <v>134</v>
      </c>
      <c r="M541" s="255">
        <v>115</v>
      </c>
      <c r="N541" s="333">
        <v>1</v>
      </c>
      <c r="O541" s="46"/>
      <c r="P541" s="47" t="s">
        <v>213</v>
      </c>
      <c r="Q541" s="170"/>
      <c r="R541" s="192" t="str">
        <f>CONCATENATE(N541,P541)</f>
        <v>1kilos</v>
      </c>
      <c r="S541" s="198">
        <f>M541*N541</f>
        <v>115</v>
      </c>
      <c r="T541" s="199" t="str">
        <f>CONCATENATE(S541,Q541,P541)</f>
        <v>115kilos</v>
      </c>
      <c r="U541" s="200">
        <f>L541*M541</f>
        <v>15410</v>
      </c>
      <c r="V541" s="12"/>
      <c r="W541" s="12"/>
    </row>
    <row r="542" spans="1:23" x14ac:dyDescent="0.3">
      <c r="A542" s="183">
        <v>180</v>
      </c>
      <c r="B542" s="46" t="s">
        <v>1097</v>
      </c>
      <c r="C542" s="170"/>
      <c r="D542" s="194"/>
      <c r="E542" s="194"/>
      <c r="F542" s="170"/>
      <c r="G542" s="170"/>
      <c r="H542" s="194" t="s">
        <v>2023</v>
      </c>
      <c r="I542" s="170"/>
      <c r="J542" s="170"/>
      <c r="K542" s="237"/>
      <c r="L542" s="255">
        <v>134</v>
      </c>
      <c r="M542" s="255">
        <v>64</v>
      </c>
      <c r="N542" s="333">
        <v>1</v>
      </c>
      <c r="O542" s="46"/>
      <c r="P542" s="47" t="s">
        <v>213</v>
      </c>
      <c r="Q542" s="170"/>
      <c r="R542" s="192" t="str">
        <f>CONCATENATE(N542,P542)</f>
        <v>1kilos</v>
      </c>
      <c r="S542" s="198">
        <f>M542*N542</f>
        <v>64</v>
      </c>
      <c r="T542" s="199" t="str">
        <f>CONCATENATE(S542,Q542,P542)</f>
        <v>64kilos</v>
      </c>
      <c r="U542" s="200">
        <f>L542*M542</f>
        <v>8576</v>
      </c>
      <c r="V542" s="12"/>
      <c r="W542" s="12"/>
    </row>
    <row r="543" spans="1:23" x14ac:dyDescent="0.3">
      <c r="A543" s="183">
        <v>180</v>
      </c>
      <c r="B543" s="96" t="s">
        <v>1097</v>
      </c>
      <c r="C543" s="239"/>
      <c r="D543" s="194"/>
      <c r="E543" s="239"/>
      <c r="F543" s="239"/>
      <c r="G543" s="239"/>
      <c r="H543" s="194" t="s">
        <v>2020</v>
      </c>
      <c r="I543" s="170"/>
      <c r="J543" s="96" t="s">
        <v>1098</v>
      </c>
      <c r="K543" s="237"/>
      <c r="L543" s="255">
        <v>145</v>
      </c>
      <c r="M543" s="255">
        <v>11</v>
      </c>
      <c r="N543" s="333">
        <v>1000</v>
      </c>
      <c r="O543" s="46"/>
      <c r="P543" s="96" t="s">
        <v>213</v>
      </c>
      <c r="Q543" s="170"/>
      <c r="R543" s="192" t="str">
        <f>CONCATENATE(N543,P543)</f>
        <v>1000kilos</v>
      </c>
      <c r="S543" s="198">
        <f>M543*N543</f>
        <v>11000</v>
      </c>
      <c r="T543" s="199" t="str">
        <f>CONCATENATE(S543,Q543,P543)</f>
        <v>11000kilos</v>
      </c>
      <c r="U543" s="200">
        <f>L543*M543</f>
        <v>1595</v>
      </c>
      <c r="V543" s="12"/>
      <c r="W543" s="12"/>
    </row>
    <row r="544" spans="1:23" x14ac:dyDescent="0.3">
      <c r="A544" s="183">
        <v>181</v>
      </c>
      <c r="B544" s="96" t="s">
        <v>1099</v>
      </c>
      <c r="C544" s="239"/>
      <c r="D544" s="194"/>
      <c r="E544" s="239"/>
      <c r="F544" s="239"/>
      <c r="G544" s="239"/>
      <c r="H544" s="194" t="s">
        <v>2022</v>
      </c>
      <c r="I544" s="170"/>
      <c r="J544" s="96" t="s">
        <v>850</v>
      </c>
      <c r="K544" s="237"/>
      <c r="L544" s="255">
        <v>190</v>
      </c>
      <c r="M544" s="255">
        <v>12</v>
      </c>
      <c r="N544" s="333">
        <v>1000</v>
      </c>
      <c r="O544" s="46"/>
      <c r="P544" s="96" t="s">
        <v>39</v>
      </c>
      <c r="Q544" s="170"/>
      <c r="R544" s="192" t="str">
        <f>CONCATENATE(N544,P544)</f>
        <v>1000grams</v>
      </c>
      <c r="S544" s="198">
        <f>M544*N544</f>
        <v>12000</v>
      </c>
      <c r="T544" s="199" t="str">
        <f>CONCATENATE(S544,Q544,P544)</f>
        <v>12000grams</v>
      </c>
      <c r="U544" s="200">
        <f>L544*M544</f>
        <v>2280</v>
      </c>
      <c r="V544" s="12"/>
      <c r="W544" s="12"/>
    </row>
    <row r="545" spans="1:23" x14ac:dyDescent="0.3">
      <c r="A545" s="183">
        <v>182</v>
      </c>
      <c r="B545" s="47" t="s">
        <v>1094</v>
      </c>
      <c r="C545" s="237"/>
      <c r="D545" s="194"/>
      <c r="E545" s="237"/>
      <c r="F545" s="237"/>
      <c r="G545" s="237"/>
      <c r="H545" s="194" t="s">
        <v>29</v>
      </c>
      <c r="I545" s="170"/>
      <c r="J545" s="237"/>
      <c r="K545" s="237"/>
      <c r="L545" s="276">
        <v>190</v>
      </c>
      <c r="M545" s="255">
        <v>6</v>
      </c>
      <c r="N545" s="357">
        <v>1</v>
      </c>
      <c r="O545" s="46"/>
      <c r="P545" s="47" t="s">
        <v>213</v>
      </c>
      <c r="Q545" s="170"/>
      <c r="R545" s="192" t="str">
        <f>CONCATENATE(N545,P545)</f>
        <v>1kilos</v>
      </c>
      <c r="S545" s="198">
        <f>M545*N545</f>
        <v>6</v>
      </c>
      <c r="T545" s="199" t="str">
        <f>CONCATENATE(S545,Q545,P545)</f>
        <v>6kilos</v>
      </c>
      <c r="U545" s="200">
        <f>L545*M545</f>
        <v>1140</v>
      </c>
      <c r="V545" s="12"/>
      <c r="W545" s="12"/>
    </row>
    <row r="546" spans="1:23" x14ac:dyDescent="0.3">
      <c r="A546" s="183">
        <v>182</v>
      </c>
      <c r="B546" s="46" t="s">
        <v>1094</v>
      </c>
      <c r="C546" s="170"/>
      <c r="D546" s="194"/>
      <c r="E546" s="194"/>
      <c r="F546" s="170"/>
      <c r="G546" s="170"/>
      <c r="H546" s="194" t="s">
        <v>2026</v>
      </c>
      <c r="I546" s="170"/>
      <c r="J546" s="170"/>
      <c r="K546" s="237"/>
      <c r="L546" s="197">
        <v>170</v>
      </c>
      <c r="M546" s="255">
        <v>7</v>
      </c>
      <c r="N546" s="333">
        <v>1</v>
      </c>
      <c r="O546" s="46"/>
      <c r="P546" s="46" t="s">
        <v>213</v>
      </c>
      <c r="Q546" s="170"/>
      <c r="R546" s="192" t="str">
        <f>CONCATENATE(N546,P546)</f>
        <v>1kilos</v>
      </c>
      <c r="S546" s="198">
        <f>M546*N546</f>
        <v>7</v>
      </c>
      <c r="T546" s="199" t="str">
        <f>CONCATENATE(S546,Q546,P546)</f>
        <v>7kilos</v>
      </c>
      <c r="U546" s="200">
        <f>L546*M546</f>
        <v>1190</v>
      </c>
      <c r="V546" s="12"/>
      <c r="W546" s="12"/>
    </row>
    <row r="547" spans="1:23" x14ac:dyDescent="0.3">
      <c r="A547" s="183">
        <v>182</v>
      </c>
      <c r="B547" s="46" t="s">
        <v>1094</v>
      </c>
      <c r="C547" s="170"/>
      <c r="D547" s="194"/>
      <c r="E547" s="194"/>
      <c r="F547" s="170"/>
      <c r="G547" s="170"/>
      <c r="H547" s="194" t="s">
        <v>2021</v>
      </c>
      <c r="I547" s="170"/>
      <c r="J547" s="215"/>
      <c r="K547" s="237"/>
      <c r="L547" s="216">
        <v>190</v>
      </c>
      <c r="M547" s="285">
        <v>11</v>
      </c>
      <c r="N547" s="502">
        <v>1</v>
      </c>
      <c r="O547" s="219"/>
      <c r="P547" s="327" t="s">
        <v>213</v>
      </c>
      <c r="Q547" s="170"/>
      <c r="R547" s="192" t="str">
        <f>CONCATENATE(N547,P547)</f>
        <v>1kilos</v>
      </c>
      <c r="S547" s="198">
        <f>M547*N547</f>
        <v>11</v>
      </c>
      <c r="T547" s="199" t="str">
        <f>CONCATENATE(S547,Q547,P547)</f>
        <v>11kilos</v>
      </c>
      <c r="U547" s="200">
        <f>L547*M547</f>
        <v>2090</v>
      </c>
      <c r="V547" s="12"/>
      <c r="W547" s="12"/>
    </row>
    <row r="548" spans="1:23" x14ac:dyDescent="0.3">
      <c r="A548" s="183">
        <v>182</v>
      </c>
      <c r="B548" s="46" t="s">
        <v>1094</v>
      </c>
      <c r="C548" s="170"/>
      <c r="D548" s="194"/>
      <c r="E548" s="170"/>
      <c r="F548" s="170"/>
      <c r="G548" s="170"/>
      <c r="H548" s="194" t="s">
        <v>2025</v>
      </c>
      <c r="I548" s="170"/>
      <c r="J548" s="170"/>
      <c r="K548" s="237"/>
      <c r="L548" s="197">
        <v>185</v>
      </c>
      <c r="M548" s="255">
        <v>50</v>
      </c>
      <c r="N548" s="333">
        <v>1</v>
      </c>
      <c r="O548" s="46"/>
      <c r="P548" s="46" t="s">
        <v>213</v>
      </c>
      <c r="Q548" s="170"/>
      <c r="R548" s="192" t="str">
        <f>CONCATENATE(N548,P548)</f>
        <v>1kilos</v>
      </c>
      <c r="S548" s="198">
        <f>M548*N548</f>
        <v>50</v>
      </c>
      <c r="T548" s="199" t="str">
        <f>CONCATENATE(S548,Q548,P548)</f>
        <v>50kilos</v>
      </c>
      <c r="U548" s="200">
        <f>L548*M548</f>
        <v>9250</v>
      </c>
      <c r="V548" s="12"/>
      <c r="W548" s="12"/>
    </row>
    <row r="549" spans="1:23" x14ac:dyDescent="0.3">
      <c r="A549" s="183">
        <v>182</v>
      </c>
      <c r="B549" s="46" t="s">
        <v>1094</v>
      </c>
      <c r="C549" s="170"/>
      <c r="D549" s="194"/>
      <c r="E549" s="170"/>
      <c r="F549" s="170"/>
      <c r="G549" s="170"/>
      <c r="H549" s="194" t="s">
        <v>1368</v>
      </c>
      <c r="I549" s="237"/>
      <c r="J549" s="170"/>
      <c r="K549" s="237"/>
      <c r="L549" s="197">
        <v>195</v>
      </c>
      <c r="M549" s="255">
        <v>78</v>
      </c>
      <c r="N549" s="333">
        <v>1000</v>
      </c>
      <c r="O549" s="46"/>
      <c r="P549" s="46" t="s">
        <v>39</v>
      </c>
      <c r="Q549" s="170"/>
      <c r="R549" s="192" t="str">
        <f>CONCATENATE(N549,P549)</f>
        <v>1000grams</v>
      </c>
      <c r="S549" s="198">
        <f>M549*N549</f>
        <v>78000</v>
      </c>
      <c r="T549" s="199" t="str">
        <f>CONCATENATE(S549,Q549,P549)</f>
        <v>78000grams</v>
      </c>
      <c r="U549" s="200">
        <f>L549*M549</f>
        <v>15210</v>
      </c>
      <c r="V549" s="12"/>
      <c r="W549" s="12"/>
    </row>
    <row r="550" spans="1:23" x14ac:dyDescent="0.3">
      <c r="A550" s="183">
        <v>183</v>
      </c>
      <c r="B550" s="194" t="s">
        <v>242</v>
      </c>
      <c r="C550" s="170"/>
      <c r="D550" s="194" t="str">
        <f ca="1">IFERROR(__xludf.DUMMYFUNCTION("IF(J123="""",""n/a"",IFERROR(SPLIT(J123,""/"")))"),"Knorr")</f>
        <v>Knorr</v>
      </c>
      <c r="E550" s="194" t="str">
        <f ca="1">IFERROR(__xludf.DUMMYFUNCTION("""COMPUTED_VALUE"""),"sachet")</f>
        <v>sachet</v>
      </c>
      <c r="F550" s="194" t="str">
        <f ca="1">IFERROR(__xludf.DUMMYFUNCTION("""COMPUTED_VALUE"""),"60grams")</f>
        <v>60grams</v>
      </c>
      <c r="G550" s="170"/>
      <c r="H550" s="183" t="s">
        <v>1895</v>
      </c>
      <c r="I550" s="237"/>
      <c r="J550" s="46" t="s">
        <v>243</v>
      </c>
      <c r="K550" s="237"/>
      <c r="L550" s="195">
        <v>58</v>
      </c>
      <c r="M550" s="255">
        <v>12</v>
      </c>
      <c r="N550" s="100">
        <v>1</v>
      </c>
      <c r="O550" s="61" t="str">
        <f ca="1">E550</f>
        <v>sachet</v>
      </c>
      <c r="P550" s="61" t="s">
        <v>39</v>
      </c>
      <c r="Q550" s="170"/>
      <c r="R550" s="192" t="str">
        <f>CONCATENATE(N550,P550)</f>
        <v>1grams</v>
      </c>
      <c r="S550" s="198">
        <f>M550*N550</f>
        <v>12</v>
      </c>
      <c r="T550" s="199" t="str">
        <f>CONCATENATE(S550,Q550,P550)</f>
        <v>12grams</v>
      </c>
      <c r="U550" s="200">
        <f>L550*M550</f>
        <v>696</v>
      </c>
      <c r="V550" s="12"/>
      <c r="W550" s="12"/>
    </row>
    <row r="551" spans="1:23" x14ac:dyDescent="0.3">
      <c r="A551" s="183">
        <v>183</v>
      </c>
      <c r="B551" s="219" t="s">
        <v>242</v>
      </c>
      <c r="C551" s="170"/>
      <c r="D551" s="194"/>
      <c r="E551" s="170"/>
      <c r="F551" s="170"/>
      <c r="G551" s="170"/>
      <c r="H551" s="194" t="s">
        <v>2021</v>
      </c>
      <c r="I551" s="170"/>
      <c r="J551" s="219" t="s">
        <v>987</v>
      </c>
      <c r="K551" s="237"/>
      <c r="L551" s="216">
        <v>55</v>
      </c>
      <c r="M551" s="285">
        <v>4</v>
      </c>
      <c r="N551" s="336">
        <v>60</v>
      </c>
      <c r="O551" s="219"/>
      <c r="P551" s="219" t="s">
        <v>39</v>
      </c>
      <c r="Q551" s="170"/>
      <c r="R551" s="192" t="str">
        <f>CONCATENATE(N551,P551)</f>
        <v>60grams</v>
      </c>
      <c r="S551" s="198">
        <f>M551*N551</f>
        <v>240</v>
      </c>
      <c r="T551" s="199" t="str">
        <f>CONCATENATE(S551,Q551,P551)</f>
        <v>240grams</v>
      </c>
      <c r="U551" s="200">
        <f>L551*M551</f>
        <v>220</v>
      </c>
      <c r="V551" s="12"/>
      <c r="W551" s="12"/>
    </row>
    <row r="552" spans="1:23" x14ac:dyDescent="0.3">
      <c r="A552" s="183">
        <v>184</v>
      </c>
      <c r="B552" s="194" t="s">
        <v>537</v>
      </c>
      <c r="C552" s="170"/>
      <c r="D552" s="194" t="str">
        <f ca="1">IFERROR(__xludf.DUMMYFUNCTION("IF(J124="""",""n/a"",IFERROR(SPLIT(J124,""/"")))"),"Star")</f>
        <v>Star</v>
      </c>
      <c r="E552" s="194" t="str">
        <f ca="1">IFERROR(__xludf.DUMMYFUNCTION("""COMPUTED_VALUE"""),"pail")</f>
        <v>pail</v>
      </c>
      <c r="F552" s="194" t="str">
        <f ca="1">IFERROR(__xludf.DUMMYFUNCTION("""COMPUTED_VALUE"""),"1000grams")</f>
        <v>1000grams</v>
      </c>
      <c r="G552" s="170"/>
      <c r="H552" s="183" t="s">
        <v>1897</v>
      </c>
      <c r="I552" s="170"/>
      <c r="J552" s="46" t="s">
        <v>538</v>
      </c>
      <c r="K552" s="237"/>
      <c r="L552" s="195">
        <v>0.12</v>
      </c>
      <c r="M552" s="271">
        <v>7000</v>
      </c>
      <c r="N552" s="247">
        <v>1000</v>
      </c>
      <c r="O552" s="61" t="str">
        <f ca="1">E552</f>
        <v>pail</v>
      </c>
      <c r="P552" s="61" t="s">
        <v>39</v>
      </c>
      <c r="Q552" s="170"/>
      <c r="R552" s="192" t="str">
        <f>CONCATENATE(N552,P552)</f>
        <v>1000grams</v>
      </c>
      <c r="S552" s="198">
        <f>M552*N552</f>
        <v>7000000</v>
      </c>
      <c r="T552" s="199" t="str">
        <f>CONCATENATE(S552,Q552,P552)</f>
        <v>7000000grams</v>
      </c>
      <c r="U552" s="200">
        <f>L552*M552</f>
        <v>840</v>
      </c>
      <c r="V552" s="205"/>
      <c r="W552" s="62"/>
    </row>
    <row r="553" spans="1:23" x14ac:dyDescent="0.3">
      <c r="A553" s="183">
        <v>184</v>
      </c>
      <c r="B553" s="244" t="s">
        <v>537</v>
      </c>
      <c r="C553" s="239"/>
      <c r="D553" s="194" t="str">
        <f ca="1">IFERROR(__xludf.DUMMYFUNCTION("IF(J125="""",""n/a"",IFERROR(SPLIT(J125,""/"")))"),"Frozen with bone")</f>
        <v>Frozen with bone</v>
      </c>
      <c r="E553" s="239"/>
      <c r="F553" s="239"/>
      <c r="G553" s="239"/>
      <c r="H553" s="183" t="s">
        <v>1897</v>
      </c>
      <c r="I553" s="170"/>
      <c r="J553" s="96" t="s">
        <v>539</v>
      </c>
      <c r="K553" s="237"/>
      <c r="L553" s="254">
        <v>285</v>
      </c>
      <c r="M553" s="271">
        <v>5</v>
      </c>
      <c r="N553" s="247">
        <v>1</v>
      </c>
      <c r="O553" s="170">
        <f>E553</f>
        <v>0</v>
      </c>
      <c r="P553" s="100" t="s">
        <v>213</v>
      </c>
      <c r="Q553" s="170"/>
      <c r="R553" s="192" t="str">
        <f>CONCATENATE(N553,P553)</f>
        <v>1kilos</v>
      </c>
      <c r="S553" s="198">
        <f>M553*N553</f>
        <v>5</v>
      </c>
      <c r="T553" s="199" t="str">
        <f>CONCATENATE(S553,Q553,P553)</f>
        <v>5kilos</v>
      </c>
      <c r="U553" s="200">
        <f>L553*M553</f>
        <v>1425</v>
      </c>
      <c r="V553" s="205"/>
      <c r="W553" s="62"/>
    </row>
    <row r="554" spans="1:23" x14ac:dyDescent="0.3">
      <c r="A554" s="183">
        <v>185</v>
      </c>
      <c r="B554" s="194" t="s">
        <v>211</v>
      </c>
      <c r="C554" s="170"/>
      <c r="D554" s="194" t="str">
        <f ca="1">IFERROR(__xludf.DUMMYFUNCTION("IF(J126="""",""n/a"",IFERROR(SPLIT(J126,""/"")))"),"Frozen")</f>
        <v>Frozen</v>
      </c>
      <c r="E554" s="194" t="str">
        <f ca="1">IFERROR(__xludf.DUMMYFUNCTION("""COMPUTED_VALUE"""),"box(kilos)")</f>
        <v>box(kilos)</v>
      </c>
      <c r="F554" s="170"/>
      <c r="G554" s="170"/>
      <c r="H554" s="183" t="s">
        <v>1897</v>
      </c>
      <c r="I554" s="170"/>
      <c r="J554" s="46" t="s">
        <v>212</v>
      </c>
      <c r="K554" s="237"/>
      <c r="L554" s="195">
        <v>138</v>
      </c>
      <c r="M554" s="202">
        <v>50</v>
      </c>
      <c r="N554" s="203">
        <v>1</v>
      </c>
      <c r="O554" s="61" t="str">
        <f ca="1">E554</f>
        <v>box(kilos)</v>
      </c>
      <c r="P554" s="61" t="s">
        <v>213</v>
      </c>
      <c r="Q554" s="170"/>
      <c r="R554" s="192" t="str">
        <f>CONCATENATE(N554,P554)</f>
        <v>1kilos</v>
      </c>
      <c r="S554" s="198">
        <f>M554*N554</f>
        <v>50</v>
      </c>
      <c r="T554" s="199" t="str">
        <f>CONCATENATE(S554,Q554,P554)</f>
        <v>50kilos</v>
      </c>
      <c r="U554" s="200">
        <f>L554*M554</f>
        <v>6900</v>
      </c>
      <c r="V554" s="205"/>
      <c r="W554" s="62"/>
    </row>
    <row r="555" spans="1:23" x14ac:dyDescent="0.3">
      <c r="A555" s="183">
        <v>185</v>
      </c>
      <c r="B555" s="214" t="s">
        <v>211</v>
      </c>
      <c r="C555" s="215"/>
      <c r="D555" s="194" t="str">
        <f ca="1">IFERROR(__xludf.DUMMYFUNCTION("IF(J127="""",""n/a"",IFERROR(SPLIT(J127,""/"")))"),"Frozen")</f>
        <v>Frozen</v>
      </c>
      <c r="E555" s="214" t="str">
        <f ca="1">IFERROR(__xludf.DUMMYFUNCTION("""COMPUTED_VALUE"""),"box(kilos)")</f>
        <v>box(kilos)</v>
      </c>
      <c r="F555" s="215"/>
      <c r="G555" s="215"/>
      <c r="H555" s="183" t="s">
        <v>1895</v>
      </c>
      <c r="I555" s="170"/>
      <c r="J555" s="46" t="s">
        <v>212</v>
      </c>
      <c r="K555" s="237"/>
      <c r="L555" s="195">
        <v>138</v>
      </c>
      <c r="M555" s="197">
        <v>123</v>
      </c>
      <c r="N555" s="61">
        <v>1</v>
      </c>
      <c r="O555" s="61" t="str">
        <f ca="1">E555</f>
        <v>box(kilos)</v>
      </c>
      <c r="P555" s="61" t="s">
        <v>213</v>
      </c>
      <c r="Q555" s="170"/>
      <c r="R555" s="192" t="str">
        <f>CONCATENATE(N555,P555)</f>
        <v>1kilos</v>
      </c>
      <c r="S555" s="198">
        <f>M555*N555</f>
        <v>123</v>
      </c>
      <c r="T555" s="199" t="str">
        <f>CONCATENATE(S555,Q555,P555)</f>
        <v>123kilos</v>
      </c>
      <c r="U555" s="200">
        <f>L555*M555</f>
        <v>16974</v>
      </c>
      <c r="V555" s="12"/>
      <c r="W555" s="12"/>
    </row>
    <row r="556" spans="1:23" x14ac:dyDescent="0.3">
      <c r="A556" s="183">
        <v>185</v>
      </c>
      <c r="B556" s="194" t="s">
        <v>211</v>
      </c>
      <c r="C556" s="170"/>
      <c r="D556" s="194" t="str">
        <f ca="1">IFERROR(__xludf.DUMMYFUNCTION("IF(J128="""",""n/a"",IFERROR(SPLIT(J128,""/"")))"),"n/a")</f>
        <v>n/a</v>
      </c>
      <c r="E556" s="170"/>
      <c r="F556" s="170"/>
      <c r="G556" s="170"/>
      <c r="H556" s="206" t="s">
        <v>1898</v>
      </c>
      <c r="I556" s="239"/>
      <c r="J556" s="170"/>
      <c r="K556" s="237"/>
      <c r="L556" s="197">
        <v>139</v>
      </c>
      <c r="M556" s="385">
        <v>40</v>
      </c>
      <c r="N556" s="208">
        <v>1</v>
      </c>
      <c r="O556" s="170">
        <f>E556</f>
        <v>0</v>
      </c>
      <c r="P556" s="61" t="s">
        <v>213</v>
      </c>
      <c r="Q556" s="170"/>
      <c r="R556" s="192" t="str">
        <f>CONCATENATE(N556,P556)</f>
        <v>1kilos</v>
      </c>
      <c r="S556" s="198">
        <f>M556*N556</f>
        <v>40</v>
      </c>
      <c r="T556" s="199" t="str">
        <f>CONCATENATE(S556,Q556,P556)</f>
        <v>40kilos</v>
      </c>
      <c r="U556" s="200">
        <f>L556*M556</f>
        <v>5560</v>
      </c>
      <c r="V556" s="12"/>
      <c r="W556" s="12"/>
    </row>
    <row r="557" spans="1:23" x14ac:dyDescent="0.3">
      <c r="A557" s="183">
        <v>186</v>
      </c>
      <c r="B557" s="46" t="s">
        <v>1100</v>
      </c>
      <c r="C557" s="170"/>
      <c r="D557" s="194"/>
      <c r="E557" s="194"/>
      <c r="F557" s="194"/>
      <c r="G557" s="170"/>
      <c r="H557" s="194" t="s">
        <v>2022</v>
      </c>
      <c r="I557" s="239"/>
      <c r="J557" s="46" t="s">
        <v>1101</v>
      </c>
      <c r="K557" s="237"/>
      <c r="L557" s="197">
        <v>300</v>
      </c>
      <c r="M557" s="197">
        <v>0</v>
      </c>
      <c r="N557" s="290">
        <v>1000</v>
      </c>
      <c r="O557" s="46"/>
      <c r="P557" s="46" t="s">
        <v>39</v>
      </c>
      <c r="Q557" s="170"/>
      <c r="R557" s="192" t="str">
        <f>CONCATENATE(N557,P557)</f>
        <v>1000grams</v>
      </c>
      <c r="S557" s="198">
        <f>M557*N557</f>
        <v>0</v>
      </c>
      <c r="T557" s="199" t="str">
        <f>CONCATENATE(S557,Q557,P557)</f>
        <v>0grams</v>
      </c>
      <c r="U557" s="200">
        <f>L557*M557</f>
        <v>0</v>
      </c>
      <c r="V557" s="12"/>
      <c r="W557" s="12"/>
    </row>
    <row r="558" spans="1:23" x14ac:dyDescent="0.3">
      <c r="A558" s="183">
        <v>187</v>
      </c>
      <c r="B558" s="214" t="s">
        <v>214</v>
      </c>
      <c r="C558" s="215"/>
      <c r="D558" s="194" t="str">
        <f ca="1">IFERROR(__xludf.DUMMYFUNCTION("IF(J129="""",""n/a"",IFERROR(SPLIT(J129,""/"")))"),"Frozen")</f>
        <v>Frozen</v>
      </c>
      <c r="E558" s="214" t="str">
        <f ca="1">IFERROR(__xludf.DUMMYFUNCTION("""COMPUTED_VALUE"""),"box(kilos)")</f>
        <v>box(kilos)</v>
      </c>
      <c r="F558" s="215"/>
      <c r="G558" s="215"/>
      <c r="H558" s="183" t="s">
        <v>1895</v>
      </c>
      <c r="I558" s="170"/>
      <c r="J558" s="46" t="s">
        <v>212</v>
      </c>
      <c r="K558" s="237"/>
      <c r="L558" s="195">
        <v>169</v>
      </c>
      <c r="M558" s="197">
        <v>58</v>
      </c>
      <c r="N558" s="61">
        <v>1</v>
      </c>
      <c r="O558" s="61" t="str">
        <f ca="1">E558</f>
        <v>box(kilos)</v>
      </c>
      <c r="P558" s="61" t="s">
        <v>213</v>
      </c>
      <c r="Q558" s="170"/>
      <c r="R558" s="192" t="str">
        <f>CONCATENATE(N558,P558)</f>
        <v>1kilos</v>
      </c>
      <c r="S558" s="198">
        <f>M558*N558</f>
        <v>58</v>
      </c>
      <c r="T558" s="199" t="str">
        <f>CONCATENATE(S558,Q558,P558)</f>
        <v>58kilos</v>
      </c>
      <c r="U558" s="200">
        <f>L558*M558</f>
        <v>9802</v>
      </c>
      <c r="V558" s="12"/>
      <c r="W558" s="12"/>
    </row>
    <row r="559" spans="1:23" x14ac:dyDescent="0.3">
      <c r="A559" s="183">
        <v>187</v>
      </c>
      <c r="B559" s="244" t="s">
        <v>214</v>
      </c>
      <c r="C559" s="239"/>
      <c r="D559" s="194" t="str">
        <f ca="1">IFERROR(__xludf.DUMMYFUNCTION("IF(J130="""",""n/a"",IFERROR(SPLIT(J130,""/"")))"),"n/a")</f>
        <v>n/a</v>
      </c>
      <c r="E559" s="239"/>
      <c r="F559" s="239"/>
      <c r="G559" s="239"/>
      <c r="H559" s="206" t="s">
        <v>1898</v>
      </c>
      <c r="I559" s="170"/>
      <c r="J559" s="239"/>
      <c r="K559" s="237"/>
      <c r="L559" s="255">
        <v>168</v>
      </c>
      <c r="M559" s="390">
        <v>19</v>
      </c>
      <c r="N559" s="208">
        <v>1</v>
      </c>
      <c r="O559" s="170">
        <f>E559</f>
        <v>0</v>
      </c>
      <c r="P559" s="61" t="s">
        <v>213</v>
      </c>
      <c r="Q559" s="170"/>
      <c r="R559" s="192" t="str">
        <f>CONCATENATE(N559,P559)</f>
        <v>1kilos</v>
      </c>
      <c r="S559" s="198">
        <f>M559*N559</f>
        <v>19</v>
      </c>
      <c r="T559" s="199" t="str">
        <f>CONCATENATE(S559,Q559,P559)</f>
        <v>19kilos</v>
      </c>
      <c r="U559" s="200">
        <f>L559*M559</f>
        <v>3192</v>
      </c>
      <c r="V559" s="12"/>
      <c r="W559" s="12"/>
    </row>
    <row r="560" spans="1:23" x14ac:dyDescent="0.3">
      <c r="A560" s="183">
        <v>188</v>
      </c>
      <c r="B560" s="252" t="s">
        <v>215</v>
      </c>
      <c r="C560" s="253"/>
      <c r="D560" s="194" t="str">
        <f ca="1">IFERROR(__xludf.DUMMYFUNCTION("IF(J131="""",""n/a"",IFERROR(SPLIT(J131,""/"")))"),"Fresh")</f>
        <v>Fresh</v>
      </c>
      <c r="E560" s="253"/>
      <c r="F560" s="253"/>
      <c r="G560" s="253"/>
      <c r="H560" s="183" t="s">
        <v>1895</v>
      </c>
      <c r="I560" s="170"/>
      <c r="J560" s="96" t="s">
        <v>216</v>
      </c>
      <c r="K560" s="237"/>
      <c r="L560" s="254">
        <v>168</v>
      </c>
      <c r="M560" s="255">
        <v>30</v>
      </c>
      <c r="N560" s="61">
        <v>1</v>
      </c>
      <c r="O560" s="170">
        <f>E560</f>
        <v>0</v>
      </c>
      <c r="P560" s="61" t="s">
        <v>213</v>
      </c>
      <c r="Q560" s="170"/>
      <c r="R560" s="192" t="str">
        <f>CONCATENATE(N560,P560)</f>
        <v>1kilos</v>
      </c>
      <c r="S560" s="198">
        <f>M560*N560</f>
        <v>30</v>
      </c>
      <c r="T560" s="199" t="str">
        <f>CONCATENATE(S560,Q560,P560)</f>
        <v>30kilos</v>
      </c>
      <c r="U560" s="200">
        <f>L560*M560</f>
        <v>5040</v>
      </c>
      <c r="V560" s="12"/>
      <c r="W560" s="12"/>
    </row>
    <row r="561" spans="1:23" x14ac:dyDescent="0.3">
      <c r="A561" s="183">
        <v>189</v>
      </c>
      <c r="B561" s="244" t="s">
        <v>244</v>
      </c>
      <c r="C561" s="239"/>
      <c r="D561" s="194" t="str">
        <f ca="1">IFERROR(__xludf.DUMMYFUNCTION("IF(J132="""",""n/a"",IFERROR(SPLIT(J132,""/"")))"),"Lee Kum Kee")</f>
        <v>Lee Kum Kee</v>
      </c>
      <c r="E561" s="244" t="str">
        <f ca="1">IFERROR(__xludf.DUMMYFUNCTION("""COMPUTED_VALUE"""),"bottle")</f>
        <v>bottle</v>
      </c>
      <c r="F561" s="244" t="str">
        <f ca="1">IFERROR(__xludf.DUMMYFUNCTION("""COMPUTED_VALUE"""),"226grams")</f>
        <v>226grams</v>
      </c>
      <c r="G561" s="239"/>
      <c r="H561" s="183" t="s">
        <v>1895</v>
      </c>
      <c r="I561" s="170"/>
      <c r="J561" s="96" t="s">
        <v>245</v>
      </c>
      <c r="K561" s="237"/>
      <c r="L561" s="254">
        <v>240</v>
      </c>
      <c r="M561" s="255">
        <v>1</v>
      </c>
      <c r="N561" s="61">
        <v>1</v>
      </c>
      <c r="O561" s="61" t="str">
        <f ca="1">E561</f>
        <v>bottle</v>
      </c>
      <c r="P561" s="61" t="s">
        <v>39</v>
      </c>
      <c r="Q561" s="170"/>
      <c r="R561" s="192" t="str">
        <f>CONCATENATE(N561,P561)</f>
        <v>1grams</v>
      </c>
      <c r="S561" s="198">
        <f>M561*N561</f>
        <v>1</v>
      </c>
      <c r="T561" s="199" t="str">
        <f>CONCATENATE(S561,Q561,P561)</f>
        <v>1grams</v>
      </c>
      <c r="U561" s="200">
        <f>L561*M561</f>
        <v>240</v>
      </c>
      <c r="V561" s="12"/>
      <c r="W561" s="12"/>
    </row>
    <row r="562" spans="1:23" x14ac:dyDescent="0.3">
      <c r="A562" s="183">
        <v>189</v>
      </c>
      <c r="B562" s="96" t="s">
        <v>244</v>
      </c>
      <c r="C562" s="239"/>
      <c r="D562" s="194"/>
      <c r="E562" s="239"/>
      <c r="F562" s="239"/>
      <c r="G562" s="239"/>
      <c r="H562" s="194" t="s">
        <v>2025</v>
      </c>
      <c r="I562" s="170"/>
      <c r="J562" s="96" t="s">
        <v>1102</v>
      </c>
      <c r="K562" s="237"/>
      <c r="L562" s="255">
        <v>157.5</v>
      </c>
      <c r="M562" s="255">
        <v>2</v>
      </c>
      <c r="N562" s="290">
        <v>226</v>
      </c>
      <c r="O562" s="46"/>
      <c r="P562" s="46" t="s">
        <v>39</v>
      </c>
      <c r="Q562" s="170"/>
      <c r="R562" s="192" t="str">
        <f>CONCATENATE(N562,P562)</f>
        <v>226grams</v>
      </c>
      <c r="S562" s="198">
        <f>M562*N562</f>
        <v>452</v>
      </c>
      <c r="T562" s="199" t="str">
        <f>CONCATENATE(S562,Q562,P562)</f>
        <v>452grams</v>
      </c>
      <c r="U562" s="200">
        <f>L562*M562</f>
        <v>315</v>
      </c>
      <c r="V562" s="12"/>
      <c r="W562" s="12"/>
    </row>
    <row r="563" spans="1:23" x14ac:dyDescent="0.3">
      <c r="A563" s="183">
        <v>190</v>
      </c>
      <c r="B563" s="219" t="s">
        <v>1103</v>
      </c>
      <c r="C563" s="170"/>
      <c r="D563" s="194"/>
      <c r="E563" s="194"/>
      <c r="F563" s="194"/>
      <c r="G563" s="170"/>
      <c r="H563" s="194" t="s">
        <v>2021</v>
      </c>
      <c r="I563" s="239"/>
      <c r="J563" s="215"/>
      <c r="K563" s="237"/>
      <c r="L563" s="216">
        <v>22</v>
      </c>
      <c r="M563" s="216">
        <v>1</v>
      </c>
      <c r="N563" s="293">
        <v>30</v>
      </c>
      <c r="O563" s="219"/>
      <c r="P563" s="219" t="s">
        <v>39</v>
      </c>
      <c r="Q563" s="170"/>
      <c r="R563" s="192" t="str">
        <f>CONCATENATE(N563,P563)</f>
        <v>30grams</v>
      </c>
      <c r="S563" s="198">
        <f>M563*N563</f>
        <v>30</v>
      </c>
      <c r="T563" s="199" t="str">
        <f>CONCATENATE(S563,Q563,P563)</f>
        <v>30grams</v>
      </c>
      <c r="U563" s="200">
        <f>L563*M563</f>
        <v>22</v>
      </c>
      <c r="V563" s="12"/>
      <c r="W563" s="12"/>
    </row>
    <row r="564" spans="1:23" x14ac:dyDescent="0.3">
      <c r="A564" s="183">
        <v>190</v>
      </c>
      <c r="B564" s="219" t="s">
        <v>1103</v>
      </c>
      <c r="C564" s="170"/>
      <c r="D564" s="194"/>
      <c r="E564" s="194"/>
      <c r="F564" s="194"/>
      <c r="G564" s="194"/>
      <c r="H564" s="194" t="s">
        <v>29</v>
      </c>
      <c r="I564" s="239"/>
      <c r="J564" s="219" t="s">
        <v>854</v>
      </c>
      <c r="K564" s="237"/>
      <c r="L564" s="197">
        <v>87.5</v>
      </c>
      <c r="M564" s="197">
        <v>2</v>
      </c>
      <c r="N564" s="290">
        <v>35</v>
      </c>
      <c r="O564" s="46"/>
      <c r="P564" s="46" t="s">
        <v>39</v>
      </c>
      <c r="Q564" s="170"/>
      <c r="R564" s="192" t="str">
        <f>CONCATENATE(N564,P564)</f>
        <v>35grams</v>
      </c>
      <c r="S564" s="198">
        <f>M564*N564</f>
        <v>70</v>
      </c>
      <c r="T564" s="199" t="str">
        <f>CONCATENATE(S564,Q564,P564)</f>
        <v>70grams</v>
      </c>
      <c r="U564" s="200">
        <f>L564*M564</f>
        <v>175</v>
      </c>
      <c r="V564" s="12"/>
      <c r="W564" s="12"/>
    </row>
    <row r="565" spans="1:23" x14ac:dyDescent="0.3">
      <c r="A565" s="183">
        <v>190</v>
      </c>
      <c r="B565" s="219" t="s">
        <v>1103</v>
      </c>
      <c r="C565" s="170"/>
      <c r="D565" s="194"/>
      <c r="E565" s="170"/>
      <c r="F565" s="170"/>
      <c r="G565" s="170"/>
      <c r="H565" s="194" t="s">
        <v>2021</v>
      </c>
      <c r="I565" s="239"/>
      <c r="J565" s="219" t="s">
        <v>854</v>
      </c>
      <c r="K565" s="237"/>
      <c r="L565" s="216">
        <v>87.5</v>
      </c>
      <c r="M565" s="216">
        <v>2</v>
      </c>
      <c r="N565" s="293">
        <v>35</v>
      </c>
      <c r="O565" s="219"/>
      <c r="P565" s="219" t="s">
        <v>39</v>
      </c>
      <c r="Q565" s="170"/>
      <c r="R565" s="192" t="str">
        <f>CONCATENATE(N565,P565)</f>
        <v>35grams</v>
      </c>
      <c r="S565" s="198">
        <f>M565*N565</f>
        <v>70</v>
      </c>
      <c r="T565" s="199" t="str">
        <f>CONCATENATE(S565,Q565,P565)</f>
        <v>70grams</v>
      </c>
      <c r="U565" s="200">
        <f>L565*M565</f>
        <v>175</v>
      </c>
      <c r="V565" s="12"/>
      <c r="W565" s="12"/>
    </row>
    <row r="566" spans="1:23" x14ac:dyDescent="0.3">
      <c r="A566" s="193">
        <v>191</v>
      </c>
      <c r="B566" s="46" t="s">
        <v>1104</v>
      </c>
      <c r="C566" s="170"/>
      <c r="D566" s="194"/>
      <c r="E566" s="170"/>
      <c r="F566" s="170"/>
      <c r="G566" s="170"/>
      <c r="H566" s="194" t="s">
        <v>2026</v>
      </c>
      <c r="I566" s="239"/>
      <c r="J566" s="219" t="s">
        <v>854</v>
      </c>
      <c r="K566" s="237"/>
      <c r="L566" s="197">
        <v>87.5</v>
      </c>
      <c r="M566" s="197">
        <v>0</v>
      </c>
      <c r="N566" s="290">
        <v>35</v>
      </c>
      <c r="O566" s="46"/>
      <c r="P566" s="46" t="s">
        <v>39</v>
      </c>
      <c r="Q566" s="487"/>
      <c r="R566" s="192" t="str">
        <f>CONCATENATE(N566,P566)</f>
        <v>35grams</v>
      </c>
      <c r="S566" s="198">
        <f>M566*N566</f>
        <v>0</v>
      </c>
      <c r="T566" s="199" t="str">
        <f>CONCATENATE(S566,Q566,P566)</f>
        <v>0grams</v>
      </c>
      <c r="U566" s="200">
        <f>L566*M566</f>
        <v>0</v>
      </c>
      <c r="V566" s="12"/>
      <c r="W566" s="12"/>
    </row>
    <row r="567" spans="1:23" x14ac:dyDescent="0.3">
      <c r="A567" s="479">
        <v>192</v>
      </c>
      <c r="B567" s="194" t="s">
        <v>540</v>
      </c>
      <c r="C567" s="170"/>
      <c r="D567" s="194" t="str">
        <f ca="1">IFERROR(__xludf.DUMMYFUNCTION("IF(J133="""",""n/a"",IFERROR(SPLIT(J133,""/"")))"),"UFC")</f>
        <v>UFC</v>
      </c>
      <c r="E567" s="194" t="str">
        <f ca="1">IFERROR(__xludf.DUMMYFUNCTION("""COMPUTED_VALUE"""),"pack")</f>
        <v>pack</v>
      </c>
      <c r="F567" s="194" t="str">
        <f ca="1">IFERROR(__xludf.DUMMYFUNCTION("""COMPUTED_VALUE"""),"30grams")</f>
        <v>30grams</v>
      </c>
      <c r="G567" s="170"/>
      <c r="H567" s="183" t="s">
        <v>1897</v>
      </c>
      <c r="I567" s="239"/>
      <c r="J567" s="96" t="s">
        <v>541</v>
      </c>
      <c r="K567" s="237"/>
      <c r="L567" s="255">
        <v>1.46</v>
      </c>
      <c r="M567" s="271">
        <v>60</v>
      </c>
      <c r="N567" s="203">
        <v>30</v>
      </c>
      <c r="O567" s="61" t="str">
        <f ca="1">E567</f>
        <v>pack</v>
      </c>
      <c r="P567" s="100" t="s">
        <v>39</v>
      </c>
      <c r="Q567" s="487"/>
      <c r="R567" s="192" t="str">
        <f>CONCATENATE(N567,P567)</f>
        <v>30grams</v>
      </c>
      <c r="S567" s="198">
        <f>M567*N567</f>
        <v>1800</v>
      </c>
      <c r="T567" s="199" t="str">
        <f>CONCATENATE(S567,Q567,P567)</f>
        <v>1800grams</v>
      </c>
      <c r="U567" s="200">
        <f>L567*M567</f>
        <v>87.6</v>
      </c>
      <c r="V567" s="205"/>
      <c r="W567" s="62"/>
    </row>
    <row r="568" spans="1:23" x14ac:dyDescent="0.3">
      <c r="A568" s="193">
        <v>193</v>
      </c>
      <c r="B568" s="46" t="s">
        <v>1916</v>
      </c>
      <c r="C568" s="215"/>
      <c r="D568" s="194"/>
      <c r="E568" s="215"/>
      <c r="F568" s="215"/>
      <c r="G568" s="215"/>
      <c r="H568" s="400" t="s">
        <v>2027</v>
      </c>
      <c r="I568" s="239"/>
      <c r="J568" s="239" t="s">
        <v>1723</v>
      </c>
      <c r="K568" s="237"/>
      <c r="L568" s="254">
        <v>24</v>
      </c>
      <c r="M568" s="255">
        <v>6</v>
      </c>
      <c r="N568" s="360">
        <v>1</v>
      </c>
      <c r="O568" s="61"/>
      <c r="P568" s="100" t="s">
        <v>92</v>
      </c>
      <c r="Q568" s="12"/>
      <c r="R568" s="192" t="str">
        <f>CONCATENATE(N568,P568)</f>
        <v>1pieces</v>
      </c>
      <c r="S568" s="198">
        <f>M568*N568</f>
        <v>6</v>
      </c>
      <c r="T568" s="199" t="str">
        <f>CONCATENATE(S568,Q568,P568)</f>
        <v>6pieces</v>
      </c>
      <c r="U568" s="200">
        <f>L568*M568</f>
        <v>144</v>
      </c>
      <c r="V568" s="12"/>
      <c r="W568" s="12"/>
    </row>
    <row r="569" spans="1:23" x14ac:dyDescent="0.3">
      <c r="A569" s="479">
        <v>194</v>
      </c>
      <c r="B569" s="194" t="s">
        <v>542</v>
      </c>
      <c r="C569" s="170"/>
      <c r="D569" s="194" t="str">
        <f ca="1">IFERROR(__xludf.DUMMYFUNCTION("IF(J134="""",""n/a"",IFERROR(SPLIT(J134,""/"")))"),"Jack n Jill")</f>
        <v>Jack n Jill</v>
      </c>
      <c r="E569" s="194" t="str">
        <f ca="1">IFERROR(__xludf.DUMMYFUNCTION("""COMPUTED_VALUE"""),"box (100")</f>
        <v>box (100</v>
      </c>
      <c r="F569" s="194" t="str">
        <f ca="1">IFERROR(__xludf.DUMMYFUNCTION("""COMPUTED_VALUE"""),"25grams)")</f>
        <v>25grams)</v>
      </c>
      <c r="G569" s="170"/>
      <c r="H569" s="183" t="s">
        <v>1897</v>
      </c>
      <c r="I569" s="239"/>
      <c r="J569" s="96" t="s">
        <v>543</v>
      </c>
      <c r="K569" s="237"/>
      <c r="L569" s="254">
        <v>6.79</v>
      </c>
      <c r="M569" s="271">
        <v>13</v>
      </c>
      <c r="N569" s="202">
        <v>1</v>
      </c>
      <c r="O569" s="61" t="str">
        <f ca="1">E569</f>
        <v>box (100</v>
      </c>
      <c r="P569" s="100" t="s">
        <v>92</v>
      </c>
      <c r="Q569" s="487"/>
      <c r="R569" s="192" t="str">
        <f>CONCATENATE(N569,P569)</f>
        <v>1pieces</v>
      </c>
      <c r="S569" s="198">
        <f>M569*N569</f>
        <v>13</v>
      </c>
      <c r="T569" s="199" t="str">
        <f>CONCATENATE(S569,Q569,P569)</f>
        <v>13pieces</v>
      </c>
      <c r="U569" s="200">
        <f>L569*M569</f>
        <v>88.27</v>
      </c>
      <c r="V569" s="12"/>
      <c r="W569" s="12"/>
    </row>
    <row r="570" spans="1:23" x14ac:dyDescent="0.3">
      <c r="A570" s="479">
        <v>194</v>
      </c>
      <c r="B570" s="194" t="s">
        <v>542</v>
      </c>
      <c r="C570" s="170"/>
      <c r="D570" s="194" t="str">
        <f ca="1">IFERROR(__xludf.DUMMYFUNCTION("IF(J135="""",""n/a"",IFERROR(SPLIT(J135,""/"")))"),"n/a")</f>
        <v>n/a</v>
      </c>
      <c r="E570" s="170"/>
      <c r="F570" s="170"/>
      <c r="G570" s="170"/>
      <c r="H570" s="206" t="s">
        <v>1898</v>
      </c>
      <c r="I570" s="239"/>
      <c r="J570" s="170"/>
      <c r="K570" s="237"/>
      <c r="L570" s="255">
        <v>23.31</v>
      </c>
      <c r="M570" s="385">
        <v>50</v>
      </c>
      <c r="N570" s="208">
        <v>50</v>
      </c>
      <c r="O570" s="170">
        <f>E570</f>
        <v>0</v>
      </c>
      <c r="P570" s="61" t="s">
        <v>92</v>
      </c>
      <c r="Q570" s="487"/>
      <c r="R570" s="192" t="str">
        <f>CONCATENATE(N570,P570)</f>
        <v>50pieces</v>
      </c>
      <c r="S570" s="198">
        <f>M570*N570</f>
        <v>2500</v>
      </c>
      <c r="T570" s="199" t="str">
        <f>CONCATENATE(S570,Q570,P570)</f>
        <v>2500pieces</v>
      </c>
      <c r="U570" s="200">
        <f>L570*M570</f>
        <v>1165.5</v>
      </c>
      <c r="V570" s="12"/>
      <c r="W570" s="12"/>
    </row>
    <row r="571" spans="1:23" x14ac:dyDescent="0.3">
      <c r="A571" s="479">
        <v>195</v>
      </c>
      <c r="B571" s="194" t="s">
        <v>544</v>
      </c>
      <c r="C571" s="170"/>
      <c r="D571" s="194" t="str">
        <f ca="1">IFERROR(__xludf.DUMMYFUNCTION("IF(J136="""",""n/a"",IFERROR(SPLIT(J136,""/"")))"),"Jack n Jill")</f>
        <v>Jack n Jill</v>
      </c>
      <c r="E571" s="194" t="str">
        <f ca="1">IFERROR(__xludf.DUMMYFUNCTION("""COMPUTED_VALUE"""),"box (pcsx55grams)")</f>
        <v>box (pcsx55grams)</v>
      </c>
      <c r="F571" s="170"/>
      <c r="G571" s="170"/>
      <c r="H571" s="183" t="s">
        <v>1897</v>
      </c>
      <c r="I571" s="239"/>
      <c r="J571" s="46" t="s">
        <v>545</v>
      </c>
      <c r="K571" s="237"/>
      <c r="L571" s="271">
        <v>19.25</v>
      </c>
      <c r="M571" s="202">
        <v>139</v>
      </c>
      <c r="N571" s="203">
        <v>1</v>
      </c>
      <c r="O571" s="61" t="str">
        <f ca="1">E571</f>
        <v>box (pcsx55grams)</v>
      </c>
      <c r="P571" s="61" t="s">
        <v>92</v>
      </c>
      <c r="Q571" s="487"/>
      <c r="R571" s="192" t="str">
        <f>CONCATENATE(N571,P571)</f>
        <v>1pieces</v>
      </c>
      <c r="S571" s="198">
        <f>M571*N571</f>
        <v>139</v>
      </c>
      <c r="T571" s="199" t="str">
        <f>CONCATENATE(S571,Q571,P571)</f>
        <v>139pieces</v>
      </c>
      <c r="U571" s="200">
        <f>L571*M571</f>
        <v>2675.75</v>
      </c>
      <c r="V571" s="12"/>
      <c r="W571" s="12"/>
    </row>
    <row r="572" spans="1:23" x14ac:dyDescent="0.3">
      <c r="A572" s="479">
        <v>196</v>
      </c>
      <c r="B572" s="194" t="s">
        <v>546</v>
      </c>
      <c r="C572" s="170"/>
      <c r="D572" s="194" t="str">
        <f ca="1">IFERROR(__xludf.DUMMYFUNCTION("IF(J137="""",""n/a"",IFERROR(SPLIT(J137,""/"")))"),"King")</f>
        <v>King</v>
      </c>
      <c r="E572" s="194" t="str">
        <f ca="1">IFERROR(__xludf.DUMMYFUNCTION("""COMPUTED_VALUE"""),"pack (24pcsxgrams)")</f>
        <v>pack (24pcsxgrams)</v>
      </c>
      <c r="F572" s="170"/>
      <c r="G572" s="170"/>
      <c r="H572" s="183" t="s">
        <v>1897</v>
      </c>
      <c r="I572" s="239"/>
      <c r="J572" s="46" t="s">
        <v>547</v>
      </c>
      <c r="K572" s="237"/>
      <c r="L572" s="195">
        <v>1.8</v>
      </c>
      <c r="M572" s="202">
        <v>379</v>
      </c>
      <c r="N572" s="280">
        <v>1</v>
      </c>
      <c r="O572" s="61" t="str">
        <f ca="1">E572</f>
        <v>pack (24pcsxgrams)</v>
      </c>
      <c r="P572" s="61" t="s">
        <v>92</v>
      </c>
      <c r="Q572" s="487"/>
      <c r="R572" s="192" t="str">
        <f>CONCATENATE(N572,P572)</f>
        <v>1pieces</v>
      </c>
      <c r="S572" s="198">
        <f>M572*N572</f>
        <v>379</v>
      </c>
      <c r="T572" s="199" t="str">
        <f>CONCATENATE(S572,Q572,P572)</f>
        <v>379pieces</v>
      </c>
      <c r="U572" s="200">
        <f>L572*M572</f>
        <v>682.2</v>
      </c>
      <c r="V572" s="12"/>
      <c r="W572" s="12"/>
    </row>
    <row r="573" spans="1:23" x14ac:dyDescent="0.3">
      <c r="A573" s="479">
        <v>197</v>
      </c>
      <c r="B573" s="194" t="s">
        <v>548</v>
      </c>
      <c r="C573" s="170"/>
      <c r="D573" s="194" t="str">
        <f ca="1">IFERROR(__xludf.DUMMYFUNCTION("IF(J138="""",""n/a"",IFERROR(SPLIT(J138,""/"")))"),"n/a")</f>
        <v>n/a</v>
      </c>
      <c r="E573" s="170"/>
      <c r="F573" s="170"/>
      <c r="G573" s="170"/>
      <c r="H573" s="206" t="s">
        <v>1898</v>
      </c>
      <c r="I573" s="239"/>
      <c r="J573" s="170"/>
      <c r="K573" s="237"/>
      <c r="L573" s="197">
        <v>1.47</v>
      </c>
      <c r="M573" s="386">
        <v>2</v>
      </c>
      <c r="N573" s="282">
        <v>48</v>
      </c>
      <c r="O573" s="170">
        <f>E573</f>
        <v>0</v>
      </c>
      <c r="P573" s="61" t="s">
        <v>92</v>
      </c>
      <c r="Q573" s="487"/>
      <c r="R573" s="192" t="str">
        <f>CONCATENATE(N573,P573)</f>
        <v>48pieces</v>
      </c>
      <c r="S573" s="198">
        <f>M573*N573</f>
        <v>96</v>
      </c>
      <c r="T573" s="199" t="str">
        <f>CONCATENATE(S573,Q573,P573)</f>
        <v>96pieces</v>
      </c>
      <c r="U573" s="200">
        <f>L573*M573</f>
        <v>2.94</v>
      </c>
      <c r="V573" s="12"/>
      <c r="W573" s="12"/>
    </row>
    <row r="574" spans="1:23" x14ac:dyDescent="0.3">
      <c r="A574" s="479">
        <v>197</v>
      </c>
      <c r="B574" s="194" t="s">
        <v>548</v>
      </c>
      <c r="C574" s="170"/>
      <c r="D574" s="194" t="str">
        <f ca="1">IFERROR(__xludf.DUMMYFUNCTION("IF(J139="""",""n/a"",IFERROR(SPLIT(J139,""/"")))"),"n/a")</f>
        <v>n/a</v>
      </c>
      <c r="E574" s="170"/>
      <c r="F574" s="170"/>
      <c r="G574" s="170"/>
      <c r="H574" s="206" t="s">
        <v>1898</v>
      </c>
      <c r="I574" s="239"/>
      <c r="J574" s="170"/>
      <c r="K574" s="237"/>
      <c r="L574" s="197">
        <v>3.69</v>
      </c>
      <c r="M574" s="386">
        <v>2</v>
      </c>
      <c r="N574" s="282">
        <v>1</v>
      </c>
      <c r="O574" s="170">
        <f>E574</f>
        <v>0</v>
      </c>
      <c r="P574" s="61" t="s">
        <v>92</v>
      </c>
      <c r="Q574" s="487"/>
      <c r="R574" s="192" t="str">
        <f>CONCATENATE(N574,P574)</f>
        <v>1pieces</v>
      </c>
      <c r="S574" s="198">
        <f>M574*N574</f>
        <v>2</v>
      </c>
      <c r="T574" s="199" t="str">
        <f>CONCATENATE(S574,Q574,P574)</f>
        <v>2pieces</v>
      </c>
      <c r="U574" s="200">
        <f>L574*M574</f>
        <v>7.38</v>
      </c>
      <c r="V574" s="12"/>
      <c r="W574" s="12"/>
    </row>
    <row r="575" spans="1:23" x14ac:dyDescent="0.3">
      <c r="A575" s="193">
        <v>198</v>
      </c>
      <c r="B575" s="219" t="s">
        <v>1105</v>
      </c>
      <c r="C575" s="170"/>
      <c r="D575" s="194"/>
      <c r="E575" s="170"/>
      <c r="F575" s="170"/>
      <c r="G575" s="170"/>
      <c r="H575" s="194" t="s">
        <v>2021</v>
      </c>
      <c r="I575" s="170"/>
      <c r="J575" s="219" t="s">
        <v>1106</v>
      </c>
      <c r="K575" s="237"/>
      <c r="L575" s="216">
        <v>125</v>
      </c>
      <c r="M575" s="216">
        <v>1</v>
      </c>
      <c r="N575" s="502">
        <v>350</v>
      </c>
      <c r="O575" s="219"/>
      <c r="P575" s="219" t="s">
        <v>39</v>
      </c>
      <c r="Q575" s="487"/>
      <c r="R575" s="192" t="str">
        <f>CONCATENATE(N575,P575)</f>
        <v>350grams</v>
      </c>
      <c r="S575" s="198">
        <f>M575*N575</f>
        <v>350</v>
      </c>
      <c r="T575" s="199" t="str">
        <f>CONCATENATE(S575,Q575,P575)</f>
        <v>350grams</v>
      </c>
      <c r="U575" s="200">
        <f>L575*M575</f>
        <v>125</v>
      </c>
      <c r="V575" s="12"/>
      <c r="W575" s="12"/>
    </row>
    <row r="576" spans="1:23" x14ac:dyDescent="0.3">
      <c r="A576" s="193">
        <v>199</v>
      </c>
      <c r="B576" s="170" t="s">
        <v>1107</v>
      </c>
      <c r="C576" s="170"/>
      <c r="D576" s="194"/>
      <c r="E576" s="170"/>
      <c r="F576" s="170"/>
      <c r="G576" s="170"/>
      <c r="H576" s="194" t="s">
        <v>2023</v>
      </c>
      <c r="I576" s="170"/>
      <c r="J576" s="46" t="s">
        <v>1108</v>
      </c>
      <c r="K576" s="237"/>
      <c r="L576" s="197">
        <v>8.9</v>
      </c>
      <c r="M576" s="197">
        <v>576</v>
      </c>
      <c r="N576" s="357">
        <v>24</v>
      </c>
      <c r="O576" s="46"/>
      <c r="P576" s="46" t="s">
        <v>39</v>
      </c>
      <c r="Q576" s="487"/>
      <c r="R576" s="192" t="str">
        <f>CONCATENATE(N576,P576)</f>
        <v>24grams</v>
      </c>
      <c r="S576" s="198">
        <f>M576*N576</f>
        <v>13824</v>
      </c>
      <c r="T576" s="199" t="str">
        <f>CONCATENATE(S576,Q576,P576)</f>
        <v>13824grams</v>
      </c>
      <c r="U576" s="200">
        <f>L576*M576</f>
        <v>5126.4000000000005</v>
      </c>
      <c r="V576" s="12"/>
      <c r="W576" s="12"/>
    </row>
    <row r="577" spans="1:23" x14ac:dyDescent="0.3">
      <c r="A577" s="193">
        <v>199</v>
      </c>
      <c r="B577" s="170" t="s">
        <v>1107</v>
      </c>
      <c r="C577" s="170"/>
      <c r="D577" s="194"/>
      <c r="E577" s="194"/>
      <c r="F577" s="194"/>
      <c r="G577" s="170"/>
      <c r="H577" s="194" t="s">
        <v>2022</v>
      </c>
      <c r="I577" s="170"/>
      <c r="J577" s="46" t="s">
        <v>1108</v>
      </c>
      <c r="K577" s="237"/>
      <c r="L577" s="197">
        <v>8.16</v>
      </c>
      <c r="M577" s="197">
        <v>35</v>
      </c>
      <c r="N577" s="357">
        <v>24</v>
      </c>
      <c r="O577" s="46"/>
      <c r="P577" s="46" t="s">
        <v>39</v>
      </c>
      <c r="Q577" s="487"/>
      <c r="R577" s="192" t="str">
        <f>CONCATENATE(N577,P577)</f>
        <v>24grams</v>
      </c>
      <c r="S577" s="198">
        <f>M577*N577</f>
        <v>840</v>
      </c>
      <c r="T577" s="199" t="str">
        <f>CONCATENATE(S577,Q577,P577)</f>
        <v>840grams</v>
      </c>
      <c r="U577" s="200">
        <f>L577*M577</f>
        <v>285.60000000000002</v>
      </c>
      <c r="V577" s="12"/>
      <c r="W577" s="12"/>
    </row>
    <row r="578" spans="1:23" x14ac:dyDescent="0.3">
      <c r="A578" s="193">
        <v>199</v>
      </c>
      <c r="B578" s="170" t="s">
        <v>1107</v>
      </c>
      <c r="C578" s="170"/>
      <c r="D578" s="194"/>
      <c r="E578" s="194"/>
      <c r="F578" s="194"/>
      <c r="G578" s="170"/>
      <c r="H578" s="194" t="s">
        <v>2021</v>
      </c>
      <c r="I578" s="170"/>
      <c r="J578" s="47" t="s">
        <v>1108</v>
      </c>
      <c r="K578" s="237"/>
      <c r="L578" s="399">
        <v>8.9</v>
      </c>
      <c r="M578" s="285">
        <v>5</v>
      </c>
      <c r="N578" s="357">
        <v>24</v>
      </c>
      <c r="O578" s="219"/>
      <c r="P578" s="327" t="s">
        <v>39</v>
      </c>
      <c r="Q578" s="487"/>
      <c r="R578" s="192" t="str">
        <f>CONCATENATE(N578,P578)</f>
        <v>24grams</v>
      </c>
      <c r="S578" s="198">
        <f>M578*N578</f>
        <v>120</v>
      </c>
      <c r="T578" s="199" t="str">
        <f>CONCATENATE(S578,Q578,P578)</f>
        <v>120grams</v>
      </c>
      <c r="U578" s="200">
        <f>L578*M578</f>
        <v>44.5</v>
      </c>
      <c r="V578" s="12"/>
      <c r="W578" s="12"/>
    </row>
    <row r="579" spans="1:23" x14ac:dyDescent="0.3">
      <c r="A579" s="193">
        <v>199</v>
      </c>
      <c r="B579" s="170" t="s">
        <v>1107</v>
      </c>
      <c r="C579" s="170"/>
      <c r="D579" s="194"/>
      <c r="E579" s="170"/>
      <c r="F579" s="170"/>
      <c r="G579" s="170"/>
      <c r="H579" s="194" t="s">
        <v>2020</v>
      </c>
      <c r="I579" s="170"/>
      <c r="J579" s="96" t="s">
        <v>1108</v>
      </c>
      <c r="K579" s="237"/>
      <c r="L579" s="255">
        <v>8.9</v>
      </c>
      <c r="M579" s="255">
        <v>292</v>
      </c>
      <c r="N579" s="357">
        <v>24</v>
      </c>
      <c r="O579" s="46"/>
      <c r="P579" s="47" t="s">
        <v>39</v>
      </c>
      <c r="Q579" s="487"/>
      <c r="R579" s="192" t="str">
        <f>CONCATENATE(N579,P579)</f>
        <v>24grams</v>
      </c>
      <c r="S579" s="198">
        <f>M579*N579</f>
        <v>7008</v>
      </c>
      <c r="T579" s="199" t="str">
        <f>CONCATENATE(S579,Q579,P579)</f>
        <v>7008grams</v>
      </c>
      <c r="U579" s="200">
        <f>L579*M579</f>
        <v>2598.8000000000002</v>
      </c>
      <c r="V579" s="12"/>
      <c r="W579" s="12"/>
    </row>
    <row r="580" spans="1:23" x14ac:dyDescent="0.3">
      <c r="A580" s="479">
        <v>200</v>
      </c>
      <c r="B580" s="194" t="s">
        <v>549</v>
      </c>
      <c r="C580" s="170"/>
      <c r="D580" s="194" t="str">
        <f ca="1">IFERROR(__xludf.DUMMYFUNCTION("IF(J140="""",""n/a"",IFERROR(SPLIT(J140,""/"")))"),"Injoy bottle")</f>
        <v>Injoy bottle</v>
      </c>
      <c r="E580" s="194" t="str">
        <f ca="1">IFERROR(__xludf.DUMMYFUNCTION("""COMPUTED_VALUE"""),"750ml")</f>
        <v>750ml</v>
      </c>
      <c r="F580" s="170"/>
      <c r="G580" s="170"/>
      <c r="H580" s="183" t="s">
        <v>1897</v>
      </c>
      <c r="I580" s="170"/>
      <c r="J580" s="96" t="s">
        <v>550</v>
      </c>
      <c r="K580" s="237"/>
      <c r="L580" s="254">
        <v>0.17</v>
      </c>
      <c r="M580" s="271">
        <v>750</v>
      </c>
      <c r="N580" s="280">
        <v>750</v>
      </c>
      <c r="O580" s="61" t="str">
        <f ca="1">E580</f>
        <v>750ml</v>
      </c>
      <c r="P580" s="240" t="s">
        <v>32</v>
      </c>
      <c r="Q580" s="515" t="s">
        <v>33</v>
      </c>
      <c r="R580" s="192" t="str">
        <f>CONCATENATE(N580,P580)</f>
        <v>750ml</v>
      </c>
      <c r="S580" s="198">
        <f>M580*N580</f>
        <v>562500</v>
      </c>
      <c r="T580" s="199" t="str">
        <f>CONCATENATE(S580,Q580,P580)</f>
        <v>562500 ml</v>
      </c>
      <c r="U580" s="200">
        <f>L580*M580</f>
        <v>127.50000000000001</v>
      </c>
      <c r="V580" s="205"/>
      <c r="W580" s="62"/>
    </row>
    <row r="581" spans="1:23" x14ac:dyDescent="0.3">
      <c r="A581" s="193">
        <v>200</v>
      </c>
      <c r="B581" s="46" t="s">
        <v>549</v>
      </c>
      <c r="C581" s="170"/>
      <c r="D581" s="194"/>
      <c r="E581" s="194"/>
      <c r="F581" s="170"/>
      <c r="G581" s="170"/>
      <c r="H581" s="194" t="s">
        <v>2023</v>
      </c>
      <c r="I581" s="170"/>
      <c r="J581" s="96" t="s">
        <v>1109</v>
      </c>
      <c r="K581" s="237"/>
      <c r="L581" s="255">
        <v>274.5</v>
      </c>
      <c r="M581" s="255">
        <v>1</v>
      </c>
      <c r="N581" s="357">
        <v>623</v>
      </c>
      <c r="O581" s="46"/>
      <c r="P581" s="47" t="s">
        <v>39</v>
      </c>
      <c r="Q581" s="487"/>
      <c r="R581" s="192" t="str">
        <f>CONCATENATE(N581,P581)</f>
        <v>623grams</v>
      </c>
      <c r="S581" s="198">
        <f>M581*N581</f>
        <v>623</v>
      </c>
      <c r="T581" s="199" t="str">
        <f>CONCATENATE(S581,Q581,P581)</f>
        <v>623grams</v>
      </c>
      <c r="U581" s="200">
        <f>L581*M581</f>
        <v>274.5</v>
      </c>
      <c r="V581" s="12"/>
      <c r="W581" s="12"/>
    </row>
    <row r="582" spans="1:23" x14ac:dyDescent="0.3">
      <c r="A582" s="479">
        <v>201</v>
      </c>
      <c r="B582" s="194" t="s">
        <v>551</v>
      </c>
      <c r="C582" s="170"/>
      <c r="D582" s="194" t="str">
        <f ca="1">IFERROR(__xludf.DUMMYFUNCTION("IF(J141="""",""n/a"",IFERROR(SPLIT(J141,""/"")))"),"n/a")</f>
        <v>n/a</v>
      </c>
      <c r="E582" s="170"/>
      <c r="F582" s="170"/>
      <c r="G582" s="170"/>
      <c r="H582" s="206" t="s">
        <v>1898</v>
      </c>
      <c r="I582" s="170"/>
      <c r="J582" s="239"/>
      <c r="K582" s="237"/>
      <c r="L582" s="255">
        <v>8.2799999999999994</v>
      </c>
      <c r="M582" s="389">
        <v>36</v>
      </c>
      <c r="N582" s="282">
        <v>1</v>
      </c>
      <c r="O582" s="170">
        <f>E582</f>
        <v>0</v>
      </c>
      <c r="P582" s="240" t="s">
        <v>92</v>
      </c>
      <c r="Q582" s="487"/>
      <c r="R582" s="192" t="str">
        <f>CONCATENATE(N582,P582)</f>
        <v>1pieces</v>
      </c>
      <c r="S582" s="198">
        <f>M582*N582</f>
        <v>36</v>
      </c>
      <c r="T582" s="199" t="str">
        <f>CONCATENATE(S582,Q582,P582)</f>
        <v>36pieces</v>
      </c>
      <c r="U582" s="200">
        <f>L582*M582</f>
        <v>298.08</v>
      </c>
      <c r="V582" s="12"/>
      <c r="W582" s="12"/>
    </row>
    <row r="583" spans="1:23" x14ac:dyDescent="0.3">
      <c r="A583" s="479">
        <v>202</v>
      </c>
      <c r="B583" s="194" t="s">
        <v>552</v>
      </c>
      <c r="C583" s="170"/>
      <c r="D583" s="194" t="str">
        <f ca="1">IFERROR(__xludf.DUMMYFUNCTION("IF(J142="""",""n/a"",IFERROR(SPLIT(J142,""/"")))"),"n/a")</f>
        <v>n/a</v>
      </c>
      <c r="E583" s="170"/>
      <c r="F583" s="170"/>
      <c r="G583" s="170"/>
      <c r="H583" s="206" t="s">
        <v>1898</v>
      </c>
      <c r="I583" s="170"/>
      <c r="J583" s="239"/>
      <c r="K583" s="237"/>
      <c r="L583" s="255">
        <v>16.899999999999999</v>
      </c>
      <c r="M583" s="389">
        <v>28</v>
      </c>
      <c r="N583" s="282">
        <v>1</v>
      </c>
      <c r="O583" s="170">
        <f>E583</f>
        <v>0</v>
      </c>
      <c r="P583" s="240" t="s">
        <v>92</v>
      </c>
      <c r="Q583" s="487"/>
      <c r="R583" s="192" t="str">
        <f>CONCATENATE(N583,P583)</f>
        <v>1pieces</v>
      </c>
      <c r="S583" s="198">
        <f>M583*N583</f>
        <v>28</v>
      </c>
      <c r="T583" s="199" t="str">
        <f>CONCATENATE(S583,Q583,P583)</f>
        <v>28pieces</v>
      </c>
      <c r="U583" s="200">
        <f>L583*M583</f>
        <v>473.19999999999993</v>
      </c>
      <c r="V583" s="12"/>
      <c r="W583" s="12"/>
    </row>
    <row r="584" spans="1:23" x14ac:dyDescent="0.3">
      <c r="A584" s="479">
        <v>203</v>
      </c>
      <c r="B584" s="194" t="s">
        <v>302</v>
      </c>
      <c r="C584" s="170"/>
      <c r="D584" s="194" t="str">
        <f ca="1">IFERROR(__xludf.DUMMYFUNCTION("IF(J143="""",""n/a"",IFERROR(SPLIT(J143,""/"")))"),"Welcome")</f>
        <v>Welcome</v>
      </c>
      <c r="E584" s="194" t="str">
        <f ca="1">IFERROR(__xludf.DUMMYFUNCTION("""COMPUTED_VALUE"""),"pack 100s'")</f>
        <v>pack 100s'</v>
      </c>
      <c r="F584" s="170"/>
      <c r="G584" s="170"/>
      <c r="H584" s="183" t="s">
        <v>1895</v>
      </c>
      <c r="I584" s="170"/>
      <c r="J584" s="96" t="s">
        <v>303</v>
      </c>
      <c r="K584" s="237"/>
      <c r="L584" s="254">
        <v>100</v>
      </c>
      <c r="M584" s="255">
        <v>4</v>
      </c>
      <c r="N584" s="240">
        <v>1</v>
      </c>
      <c r="O584" s="61" t="str">
        <f ca="1">E584</f>
        <v>pack 100s'</v>
      </c>
      <c r="P584" s="240" t="s">
        <v>304</v>
      </c>
      <c r="Q584" s="487"/>
      <c r="R584" s="192" t="str">
        <f>CONCATENATE(N584,P584)</f>
        <v>1packs</v>
      </c>
      <c r="S584" s="198">
        <f>M584*N584</f>
        <v>4</v>
      </c>
      <c r="T584" s="199" t="str">
        <f>CONCATENATE(S584,Q584,P584)</f>
        <v>4packs</v>
      </c>
      <c r="U584" s="200">
        <f>L584*M584</f>
        <v>400</v>
      </c>
      <c r="V584" s="12"/>
      <c r="W584" s="12"/>
    </row>
    <row r="585" spans="1:23" x14ac:dyDescent="0.3">
      <c r="A585" s="193">
        <v>204</v>
      </c>
      <c r="B585" s="219" t="s">
        <v>1110</v>
      </c>
      <c r="C585" s="170"/>
      <c r="D585" s="194"/>
      <c r="E585" s="170"/>
      <c r="F585" s="170"/>
      <c r="G585" s="170"/>
      <c r="H585" s="194" t="s">
        <v>2021</v>
      </c>
      <c r="I585" s="170"/>
      <c r="J585" s="340" t="s">
        <v>870</v>
      </c>
      <c r="K585" s="237"/>
      <c r="L585" s="285">
        <v>163.5</v>
      </c>
      <c r="M585" s="285">
        <v>1</v>
      </c>
      <c r="N585" s="502">
        <v>210</v>
      </c>
      <c r="O585" s="219"/>
      <c r="P585" s="327" t="s">
        <v>39</v>
      </c>
      <c r="Q585" s="487"/>
      <c r="R585" s="192" t="str">
        <f>CONCATENATE(N585,P585)</f>
        <v>210grams</v>
      </c>
      <c r="S585" s="198">
        <f>M585*N585</f>
        <v>210</v>
      </c>
      <c r="T585" s="199" t="str">
        <f>CONCATENATE(S585,Q585,P585)</f>
        <v>210grams</v>
      </c>
      <c r="U585" s="200">
        <f>L585*M585</f>
        <v>163.5</v>
      </c>
      <c r="V585" s="12"/>
      <c r="W585" s="12"/>
    </row>
    <row r="586" spans="1:23" x14ac:dyDescent="0.3">
      <c r="A586" s="193">
        <v>205</v>
      </c>
      <c r="B586" s="46" t="s">
        <v>1111</v>
      </c>
      <c r="C586" s="170"/>
      <c r="D586" s="194"/>
      <c r="E586" s="194"/>
      <c r="F586" s="170"/>
      <c r="G586" s="170"/>
      <c r="H586" s="194" t="s">
        <v>2022</v>
      </c>
      <c r="I586" s="170"/>
      <c r="J586" s="96" t="s">
        <v>912</v>
      </c>
      <c r="K586" s="237"/>
      <c r="L586" s="255">
        <v>185</v>
      </c>
      <c r="M586" s="255">
        <v>2</v>
      </c>
      <c r="N586" s="357">
        <v>500</v>
      </c>
      <c r="O586" s="46"/>
      <c r="P586" s="47" t="s">
        <v>39</v>
      </c>
      <c r="Q586" s="487"/>
      <c r="R586" s="192" t="str">
        <f>CONCATENATE(N586,P586)</f>
        <v>500grams</v>
      </c>
      <c r="S586" s="198">
        <f>M586*N586</f>
        <v>1000</v>
      </c>
      <c r="T586" s="199" t="str">
        <f>CONCATENATE(S586,Q586,P586)</f>
        <v>1000grams</v>
      </c>
      <c r="U586" s="200">
        <f>L586*M586</f>
        <v>370</v>
      </c>
      <c r="V586" s="12"/>
      <c r="W586" s="12"/>
    </row>
    <row r="587" spans="1:23" x14ac:dyDescent="0.3">
      <c r="A587" s="193">
        <v>206</v>
      </c>
      <c r="B587" s="219" t="s">
        <v>1112</v>
      </c>
      <c r="C587" s="170"/>
      <c r="D587" s="194"/>
      <c r="E587" s="170"/>
      <c r="F587" s="170"/>
      <c r="G587" s="170"/>
      <c r="H587" s="194" t="s">
        <v>2021</v>
      </c>
      <c r="I587" s="170"/>
      <c r="J587" s="340" t="s">
        <v>854</v>
      </c>
      <c r="K587" s="237"/>
      <c r="L587" s="285">
        <v>59</v>
      </c>
      <c r="M587" s="285">
        <v>3</v>
      </c>
      <c r="N587" s="502">
        <v>30</v>
      </c>
      <c r="O587" s="219"/>
      <c r="P587" s="327" t="s">
        <v>39</v>
      </c>
      <c r="Q587" s="487"/>
      <c r="R587" s="192" t="str">
        <f>CONCATENATE(N587,P587)</f>
        <v>30grams</v>
      </c>
      <c r="S587" s="198">
        <f>M587*N587</f>
        <v>90</v>
      </c>
      <c r="T587" s="199" t="str">
        <f>CONCATENATE(S587,Q587,P587)</f>
        <v>90grams</v>
      </c>
      <c r="U587" s="200">
        <f>L587*M587</f>
        <v>177</v>
      </c>
      <c r="V587" s="12"/>
      <c r="W587" s="12"/>
    </row>
    <row r="588" spans="1:23" x14ac:dyDescent="0.3">
      <c r="A588" s="193">
        <v>207</v>
      </c>
      <c r="B588" s="46" t="s">
        <v>1113</v>
      </c>
      <c r="C588" s="170"/>
      <c r="D588" s="194"/>
      <c r="E588" s="194"/>
      <c r="F588" s="170"/>
      <c r="G588" s="170"/>
      <c r="H588" s="194" t="s">
        <v>2022</v>
      </c>
      <c r="I588" s="170"/>
      <c r="J588" s="96" t="s">
        <v>1114</v>
      </c>
      <c r="K588" s="237"/>
      <c r="L588" s="255">
        <v>300</v>
      </c>
      <c r="M588" s="255">
        <v>1</v>
      </c>
      <c r="N588" s="357">
        <v>1</v>
      </c>
      <c r="O588" s="46"/>
      <c r="P588" s="47" t="s">
        <v>210</v>
      </c>
      <c r="Q588" s="515" t="s">
        <v>33</v>
      </c>
      <c r="R588" s="192" t="str">
        <f>CONCATENATE(N588,P588)</f>
        <v>1roll</v>
      </c>
      <c r="S588" s="198">
        <f>M588*N588</f>
        <v>1</v>
      </c>
      <c r="T588" s="199" t="str">
        <f>CONCATENATE(S588,Q588,P588)</f>
        <v>1 roll</v>
      </c>
      <c r="U588" s="200">
        <f>L588*M588</f>
        <v>300</v>
      </c>
      <c r="V588" s="12"/>
      <c r="W588" s="12"/>
    </row>
    <row r="589" spans="1:23" x14ac:dyDescent="0.3">
      <c r="A589" s="193">
        <v>207</v>
      </c>
      <c r="B589" s="219" t="s">
        <v>1113</v>
      </c>
      <c r="C589" s="170"/>
      <c r="D589" s="194"/>
      <c r="E589" s="194"/>
      <c r="F589" s="194"/>
      <c r="G589" s="170"/>
      <c r="H589" s="194" t="s">
        <v>2025</v>
      </c>
      <c r="I589" s="170"/>
      <c r="J589" s="96" t="s">
        <v>1114</v>
      </c>
      <c r="K589" s="237"/>
      <c r="L589" s="255">
        <v>275</v>
      </c>
      <c r="M589" s="255">
        <v>2</v>
      </c>
      <c r="N589" s="357">
        <v>1</v>
      </c>
      <c r="O589" s="46"/>
      <c r="P589" s="47" t="s">
        <v>92</v>
      </c>
      <c r="Q589" s="487"/>
      <c r="R589" s="192" t="str">
        <f>CONCATENATE(N589,P589)</f>
        <v>1pieces</v>
      </c>
      <c r="S589" s="198">
        <f>M589*N589</f>
        <v>2</v>
      </c>
      <c r="T589" s="199" t="str">
        <f>CONCATENATE(S589,Q589,P589)</f>
        <v>2pieces</v>
      </c>
      <c r="U589" s="200">
        <f>L589*M589</f>
        <v>550</v>
      </c>
      <c r="V589" s="12"/>
      <c r="W589" s="12"/>
    </row>
    <row r="590" spans="1:23" x14ac:dyDescent="0.3">
      <c r="A590" s="193">
        <v>207</v>
      </c>
      <c r="B590" s="219" t="s">
        <v>1113</v>
      </c>
      <c r="C590" s="170"/>
      <c r="D590" s="194"/>
      <c r="E590" s="170"/>
      <c r="F590" s="170"/>
      <c r="G590" s="170"/>
      <c r="H590" s="194" t="s">
        <v>1368</v>
      </c>
      <c r="I590" s="170"/>
      <c r="J590" s="96" t="s">
        <v>1115</v>
      </c>
      <c r="K590" s="237"/>
      <c r="L590" s="255">
        <v>595</v>
      </c>
      <c r="M590" s="255">
        <v>2</v>
      </c>
      <c r="N590" s="357">
        <v>1</v>
      </c>
      <c r="O590" s="46"/>
      <c r="P590" s="47" t="s">
        <v>210</v>
      </c>
      <c r="Q590" s="487"/>
      <c r="R590" s="192" t="str">
        <f>CONCATENATE(N590,P590)</f>
        <v>1roll</v>
      </c>
      <c r="S590" s="198">
        <f>M590*N590</f>
        <v>2</v>
      </c>
      <c r="T590" s="199" t="str">
        <f>CONCATENATE(S590,Q590,P590)</f>
        <v>2roll</v>
      </c>
      <c r="U590" s="200">
        <f>L590*M590</f>
        <v>1190</v>
      </c>
      <c r="V590" s="12"/>
      <c r="W590" s="12"/>
    </row>
    <row r="591" spans="1:23" x14ac:dyDescent="0.3">
      <c r="A591" s="193">
        <v>207</v>
      </c>
      <c r="B591" s="219" t="s">
        <v>1113</v>
      </c>
      <c r="C591" s="170"/>
      <c r="D591" s="194"/>
      <c r="E591" s="194"/>
      <c r="F591" s="194"/>
      <c r="G591" s="194"/>
      <c r="H591" s="194" t="s">
        <v>29</v>
      </c>
      <c r="I591" s="170"/>
      <c r="J591" s="96" t="s">
        <v>1114</v>
      </c>
      <c r="K591" s="237"/>
      <c r="L591" s="255">
        <v>238</v>
      </c>
      <c r="M591" s="255">
        <v>1</v>
      </c>
      <c r="N591" s="357">
        <v>1</v>
      </c>
      <c r="O591" s="46"/>
      <c r="P591" s="47" t="s">
        <v>92</v>
      </c>
      <c r="Q591" s="487"/>
      <c r="R591" s="192" t="str">
        <f>CONCATENATE(N591,P591)</f>
        <v>1pieces</v>
      </c>
      <c r="S591" s="198">
        <f>M591*N591</f>
        <v>1</v>
      </c>
      <c r="T591" s="199" t="str">
        <f>CONCATENATE(S591,Q591,P591)</f>
        <v>1pieces</v>
      </c>
      <c r="U591" s="200">
        <f>L591*M591</f>
        <v>238</v>
      </c>
      <c r="V591" s="12"/>
      <c r="W591" s="12"/>
    </row>
    <row r="592" spans="1:23" x14ac:dyDescent="0.3">
      <c r="A592" s="193">
        <v>207</v>
      </c>
      <c r="B592" s="219" t="s">
        <v>1113</v>
      </c>
      <c r="C592" s="170"/>
      <c r="D592" s="194"/>
      <c r="E592" s="170"/>
      <c r="F592" s="170"/>
      <c r="G592" s="170"/>
      <c r="H592" s="194" t="s">
        <v>2026</v>
      </c>
      <c r="I592" s="170"/>
      <c r="J592" s="96" t="s">
        <v>1114</v>
      </c>
      <c r="K592" s="237"/>
      <c r="L592" s="255">
        <v>192.5</v>
      </c>
      <c r="M592" s="255">
        <v>1</v>
      </c>
      <c r="N592" s="357">
        <v>1</v>
      </c>
      <c r="O592" s="46"/>
      <c r="P592" s="47" t="s">
        <v>210</v>
      </c>
      <c r="Q592" s="487"/>
      <c r="R592" s="192" t="str">
        <f>CONCATENATE(N592,P592)</f>
        <v>1roll</v>
      </c>
      <c r="S592" s="198">
        <f>M592*N592</f>
        <v>1</v>
      </c>
      <c r="T592" s="199" t="str">
        <f>CONCATENATE(S592,Q592,P592)</f>
        <v>1roll</v>
      </c>
      <c r="U592" s="200">
        <f>L592*M592</f>
        <v>192.5</v>
      </c>
      <c r="V592" s="12"/>
      <c r="W592" s="12"/>
    </row>
    <row r="593" spans="1:23" x14ac:dyDescent="0.3">
      <c r="A593" s="193">
        <v>207</v>
      </c>
      <c r="B593" s="219" t="s">
        <v>1113</v>
      </c>
      <c r="C593" s="170"/>
      <c r="D593" s="194"/>
      <c r="E593" s="170"/>
      <c r="F593" s="170"/>
      <c r="G593" s="170"/>
      <c r="H593" s="194" t="s">
        <v>2023</v>
      </c>
      <c r="I593" s="170"/>
      <c r="J593" s="96" t="s">
        <v>1114</v>
      </c>
      <c r="K593" s="237"/>
      <c r="L593" s="255">
        <v>340</v>
      </c>
      <c r="M593" s="255">
        <v>2</v>
      </c>
      <c r="N593" s="357">
        <v>1</v>
      </c>
      <c r="O593" s="46"/>
      <c r="P593" s="47" t="s">
        <v>210</v>
      </c>
      <c r="Q593" s="487"/>
      <c r="R593" s="192" t="str">
        <f>CONCATENATE(N593,P593)</f>
        <v>1roll</v>
      </c>
      <c r="S593" s="198">
        <f>M593*N593</f>
        <v>2</v>
      </c>
      <c r="T593" s="199" t="str">
        <f>CONCATENATE(S593,Q593,P593)</f>
        <v>2roll</v>
      </c>
      <c r="U593" s="200">
        <f>L593*M593</f>
        <v>680</v>
      </c>
      <c r="V593" s="12"/>
      <c r="W593" s="12"/>
    </row>
    <row r="594" spans="1:23" x14ac:dyDescent="0.3">
      <c r="A594" s="193">
        <v>207</v>
      </c>
      <c r="B594" s="219" t="s">
        <v>1113</v>
      </c>
      <c r="C594" s="170"/>
      <c r="D594" s="194"/>
      <c r="E594" s="194"/>
      <c r="F594" s="170"/>
      <c r="G594" s="170"/>
      <c r="H594" s="194" t="s">
        <v>2021</v>
      </c>
      <c r="I594" s="170"/>
      <c r="J594" s="340" t="s">
        <v>1115</v>
      </c>
      <c r="K594" s="237"/>
      <c r="L594" s="285">
        <v>300</v>
      </c>
      <c r="M594" s="285">
        <v>5</v>
      </c>
      <c r="N594" s="502">
        <v>1</v>
      </c>
      <c r="O594" s="219"/>
      <c r="P594" s="327" t="s">
        <v>210</v>
      </c>
      <c r="Q594" s="487"/>
      <c r="R594" s="192" t="str">
        <f>CONCATENATE(N594,P594)</f>
        <v>1roll</v>
      </c>
      <c r="S594" s="198">
        <f>M594*N594</f>
        <v>5</v>
      </c>
      <c r="T594" s="199" t="str">
        <f>CONCATENATE(S594,Q594,P594)</f>
        <v>5roll</v>
      </c>
      <c r="U594" s="200">
        <f>L594*M594</f>
        <v>1500</v>
      </c>
      <c r="V594" s="12"/>
      <c r="W594" s="12"/>
    </row>
    <row r="595" spans="1:23" x14ac:dyDescent="0.3">
      <c r="A595" s="479">
        <v>208</v>
      </c>
      <c r="B595" s="194" t="s">
        <v>378</v>
      </c>
      <c r="C595" s="170"/>
      <c r="D595" s="194" t="str">
        <f ca="1">IFERROR(__xludf.DUMMYFUNCTION("IF(J144="""",""n/a"",IFERROR(SPLIT(J144,""/"")))"),"Jack n Jill")</f>
        <v>Jack n Jill</v>
      </c>
      <c r="E595" s="194" t="str">
        <f ca="1">IFERROR(__xludf.DUMMYFUNCTION("""COMPUTED_VALUE"""),"box (12pcsx")</f>
        <v>box (12pcsx</v>
      </c>
      <c r="F595" s="194" t="str">
        <f ca="1">IFERROR(__xludf.DUMMYFUNCTION("""COMPUTED_VALUE"""),"28grams)")</f>
        <v>28grams)</v>
      </c>
      <c r="G595" s="170"/>
      <c r="H595" s="183" t="s">
        <v>1895</v>
      </c>
      <c r="I595" s="170"/>
      <c r="J595" s="96" t="s">
        <v>379</v>
      </c>
      <c r="K595" s="237"/>
      <c r="L595" s="254">
        <v>7.78</v>
      </c>
      <c r="M595" s="255">
        <v>144</v>
      </c>
      <c r="N595" s="240">
        <v>1</v>
      </c>
      <c r="O595" s="61" t="str">
        <f ca="1">E595</f>
        <v>box (12pcsx</v>
      </c>
      <c r="P595" s="240" t="s">
        <v>92</v>
      </c>
      <c r="Q595" s="487"/>
      <c r="R595" s="192" t="str">
        <f>CONCATENATE(N595,P595)</f>
        <v>1pieces</v>
      </c>
      <c r="S595" s="198">
        <f>M595*N595</f>
        <v>144</v>
      </c>
      <c r="T595" s="199" t="str">
        <f>CONCATENATE(S595,Q595,P595)</f>
        <v>144pieces</v>
      </c>
      <c r="U595" s="200">
        <f>L595*M595</f>
        <v>1120.32</v>
      </c>
      <c r="V595" s="12"/>
      <c r="W595" s="12"/>
    </row>
    <row r="596" spans="1:23" x14ac:dyDescent="0.3">
      <c r="A596" s="479">
        <v>209</v>
      </c>
      <c r="B596" s="194" t="s">
        <v>553</v>
      </c>
      <c r="C596" s="170"/>
      <c r="D596" s="194" t="str">
        <f ca="1">IFERROR(__xludf.DUMMYFUNCTION("IF(J145="""",""n/a"",IFERROR(SPLIT(J145,""/"")))"),"n/a")</f>
        <v>n/a</v>
      </c>
      <c r="E596" s="170"/>
      <c r="F596" s="170"/>
      <c r="G596" s="170"/>
      <c r="H596" s="206" t="s">
        <v>1898</v>
      </c>
      <c r="I596" s="170"/>
      <c r="J596" s="239"/>
      <c r="K596" s="237"/>
      <c r="L596" s="255">
        <v>2.11</v>
      </c>
      <c r="M596" s="390">
        <v>419</v>
      </c>
      <c r="N596" s="282">
        <v>36</v>
      </c>
      <c r="O596" s="170">
        <f>E596</f>
        <v>0</v>
      </c>
      <c r="P596" s="238" t="s">
        <v>92</v>
      </c>
      <c r="Q596" s="487"/>
      <c r="R596" s="192" t="str">
        <f>CONCATENATE(N596,P596)</f>
        <v>36pieces</v>
      </c>
      <c r="S596" s="198">
        <f>M596*N596</f>
        <v>15084</v>
      </c>
      <c r="T596" s="199" t="str">
        <f>CONCATENATE(S596,Q596,P596)</f>
        <v>15084pieces</v>
      </c>
      <c r="U596" s="200">
        <f>L596*M596</f>
        <v>884.08999999999992</v>
      </c>
      <c r="V596" s="12"/>
      <c r="W596" s="12"/>
    </row>
    <row r="597" spans="1:23" x14ac:dyDescent="0.3">
      <c r="A597" s="479">
        <v>210</v>
      </c>
      <c r="B597" s="194" t="s">
        <v>554</v>
      </c>
      <c r="C597" s="170"/>
      <c r="D597" s="194" t="str">
        <f ca="1">IFERROR(__xludf.DUMMYFUNCTION("IF(J146="""",""n/a"",IFERROR(SPLIT(J146,""/"")))"),"n/a")</f>
        <v>n/a</v>
      </c>
      <c r="E597" s="170"/>
      <c r="F597" s="170"/>
      <c r="G597" s="170"/>
      <c r="H597" s="206" t="s">
        <v>1898</v>
      </c>
      <c r="I597" s="170"/>
      <c r="J597" s="239"/>
      <c r="K597" s="237"/>
      <c r="L597" s="255">
        <v>31.8</v>
      </c>
      <c r="M597" s="390">
        <v>36</v>
      </c>
      <c r="N597" s="282">
        <v>36</v>
      </c>
      <c r="O597" s="170">
        <f>E597</f>
        <v>0</v>
      </c>
      <c r="P597" s="238" t="s">
        <v>92</v>
      </c>
      <c r="Q597" s="487"/>
      <c r="R597" s="192" t="str">
        <f>CONCATENATE(N597,P597)</f>
        <v>36pieces</v>
      </c>
      <c r="S597" s="198">
        <f>M597*N597</f>
        <v>1296</v>
      </c>
      <c r="T597" s="199" t="str">
        <f>CONCATENATE(S597,Q597,P597)</f>
        <v>1296pieces</v>
      </c>
      <c r="U597" s="200">
        <f>L597*M597</f>
        <v>1144.8</v>
      </c>
      <c r="V597" s="12"/>
      <c r="W597" s="12"/>
    </row>
    <row r="598" spans="1:23" x14ac:dyDescent="0.3">
      <c r="A598" s="479">
        <v>210</v>
      </c>
      <c r="B598" s="194" t="s">
        <v>554</v>
      </c>
      <c r="C598" s="170"/>
      <c r="D598" s="194" t="str">
        <f ca="1">IFERROR(__xludf.DUMMYFUNCTION("IF(J147="""",""n/a"",IFERROR(SPLIT(J147,""/"")))"),"n/a")</f>
        <v>n/a</v>
      </c>
      <c r="E598" s="170"/>
      <c r="F598" s="170"/>
      <c r="G598" s="170"/>
      <c r="H598" s="206" t="s">
        <v>1898</v>
      </c>
      <c r="I598" s="170"/>
      <c r="J598" s="239"/>
      <c r="K598" s="237"/>
      <c r="L598" s="255">
        <v>52.76</v>
      </c>
      <c r="M598" s="390">
        <v>1</v>
      </c>
      <c r="N598" s="282">
        <v>30</v>
      </c>
      <c r="O598" s="170">
        <f>E598</f>
        <v>0</v>
      </c>
      <c r="P598" s="238" t="s">
        <v>92</v>
      </c>
      <c r="Q598" s="487"/>
      <c r="R598" s="192" t="str">
        <f>CONCATENATE(N598,P598)</f>
        <v>30pieces</v>
      </c>
      <c r="S598" s="198">
        <f>M598*N598</f>
        <v>30</v>
      </c>
      <c r="T598" s="199" t="str">
        <f>CONCATENATE(S598,Q598,P598)</f>
        <v>30pieces</v>
      </c>
      <c r="U598" s="200">
        <f>L598*M598</f>
        <v>52.76</v>
      </c>
      <c r="V598" s="12"/>
      <c r="W598" s="12"/>
    </row>
    <row r="599" spans="1:23" x14ac:dyDescent="0.3">
      <c r="A599" s="193">
        <v>211</v>
      </c>
      <c r="B599" s="219" t="s">
        <v>1116</v>
      </c>
      <c r="C599" s="170"/>
      <c r="D599" s="194"/>
      <c r="E599" s="194"/>
      <c r="F599" s="170"/>
      <c r="G599" s="170"/>
      <c r="H599" s="194" t="s">
        <v>2021</v>
      </c>
      <c r="I599" s="170"/>
      <c r="J599" s="340" t="s">
        <v>1074</v>
      </c>
      <c r="K599" s="237"/>
      <c r="L599" s="285">
        <v>43.6</v>
      </c>
      <c r="M599" s="285">
        <v>4</v>
      </c>
      <c r="N599" s="502">
        <v>20</v>
      </c>
      <c r="O599" s="219"/>
      <c r="P599" s="327" t="s">
        <v>39</v>
      </c>
      <c r="Q599" s="487"/>
      <c r="R599" s="192" t="str">
        <f>CONCATENATE(N599,P599)</f>
        <v>20grams</v>
      </c>
      <c r="S599" s="198">
        <f>M599*N599</f>
        <v>80</v>
      </c>
      <c r="T599" s="199" t="str">
        <f>CONCATENATE(S599,Q599,P599)</f>
        <v>80grams</v>
      </c>
      <c r="U599" s="200">
        <f>L599*M599</f>
        <v>174.4</v>
      </c>
      <c r="V599" s="12"/>
      <c r="W599" s="12"/>
    </row>
    <row r="600" spans="1:23" x14ac:dyDescent="0.3">
      <c r="A600" s="193">
        <v>212</v>
      </c>
      <c r="B600" s="46" t="s">
        <v>1117</v>
      </c>
      <c r="C600" s="170"/>
      <c r="D600" s="194"/>
      <c r="E600" s="170"/>
      <c r="F600" s="170"/>
      <c r="G600" s="170"/>
      <c r="H600" s="194" t="s">
        <v>2025</v>
      </c>
      <c r="I600" s="170"/>
      <c r="J600" s="239"/>
      <c r="K600" s="237"/>
      <c r="L600" s="255">
        <v>50</v>
      </c>
      <c r="M600" s="255">
        <v>9</v>
      </c>
      <c r="N600" s="357">
        <v>100</v>
      </c>
      <c r="O600" s="46"/>
      <c r="P600" s="47" t="s">
        <v>92</v>
      </c>
      <c r="Q600" s="487"/>
      <c r="R600" s="192" t="str">
        <f>CONCATENATE(N600,P600)</f>
        <v>100pieces</v>
      </c>
      <c r="S600" s="198">
        <f>M600*N600</f>
        <v>900</v>
      </c>
      <c r="T600" s="199" t="str">
        <f>CONCATENATE(S600,Q600,P600)</f>
        <v>900pieces</v>
      </c>
      <c r="U600" s="200">
        <f>L600*M600</f>
        <v>450</v>
      </c>
      <c r="V600" s="12"/>
      <c r="W600" s="12"/>
    </row>
    <row r="601" spans="1:23" x14ac:dyDescent="0.3">
      <c r="A601" s="193">
        <v>212</v>
      </c>
      <c r="B601" s="46" t="s">
        <v>1117</v>
      </c>
      <c r="C601" s="170"/>
      <c r="D601" s="194"/>
      <c r="E601" s="170"/>
      <c r="F601" s="170"/>
      <c r="G601" s="170"/>
      <c r="H601" s="194" t="s">
        <v>2021</v>
      </c>
      <c r="I601" s="170"/>
      <c r="J601" s="340" t="s">
        <v>1118</v>
      </c>
      <c r="K601" s="237"/>
      <c r="L601" s="285">
        <v>25</v>
      </c>
      <c r="M601" s="285">
        <v>13</v>
      </c>
      <c r="N601" s="502">
        <v>1</v>
      </c>
      <c r="O601" s="219"/>
      <c r="P601" s="327" t="s">
        <v>304</v>
      </c>
      <c r="Q601" s="487"/>
      <c r="R601" s="192" t="str">
        <f>CONCATENATE(N601,P601)</f>
        <v>1packs</v>
      </c>
      <c r="S601" s="198">
        <f>M601*N601</f>
        <v>13</v>
      </c>
      <c r="T601" s="199" t="str">
        <f>CONCATENATE(S601,Q601,P601)</f>
        <v>13packs</v>
      </c>
      <c r="U601" s="200">
        <f>L601*M601</f>
        <v>325</v>
      </c>
      <c r="V601" s="12"/>
      <c r="W601" s="12"/>
    </row>
    <row r="602" spans="1:23" x14ac:dyDescent="0.3">
      <c r="A602" s="193">
        <v>213</v>
      </c>
      <c r="B602" s="46" t="s">
        <v>1119</v>
      </c>
      <c r="C602" s="170"/>
      <c r="D602" s="194"/>
      <c r="E602" s="194"/>
      <c r="F602" s="170"/>
      <c r="G602" s="170"/>
      <c r="H602" s="194" t="s">
        <v>29</v>
      </c>
      <c r="I602" s="170"/>
      <c r="J602" s="96" t="s">
        <v>1120</v>
      </c>
      <c r="K602" s="237"/>
      <c r="L602" s="255">
        <v>60.2</v>
      </c>
      <c r="M602" s="255">
        <v>4</v>
      </c>
      <c r="N602" s="357">
        <v>70</v>
      </c>
      <c r="O602" s="46"/>
      <c r="P602" s="47" t="s">
        <v>39</v>
      </c>
      <c r="Q602" s="487"/>
      <c r="R602" s="192" t="str">
        <f>CONCATENATE(N602,P602)</f>
        <v>70grams</v>
      </c>
      <c r="S602" s="198">
        <f>M602*N602</f>
        <v>280</v>
      </c>
      <c r="T602" s="199" t="str">
        <f>CONCATENATE(S602,Q602,P602)</f>
        <v>280grams</v>
      </c>
      <c r="U602" s="200">
        <f>L602*M602</f>
        <v>240.8</v>
      </c>
      <c r="V602" s="12"/>
      <c r="W602" s="12"/>
    </row>
    <row r="603" spans="1:23" x14ac:dyDescent="0.3">
      <c r="A603" s="193">
        <v>213</v>
      </c>
      <c r="B603" s="46" t="s">
        <v>1119</v>
      </c>
      <c r="C603" s="215"/>
      <c r="D603" s="194"/>
      <c r="E603" s="214"/>
      <c r="F603" s="214"/>
      <c r="G603" s="215"/>
      <c r="H603" s="194" t="s">
        <v>2022</v>
      </c>
      <c r="I603" s="170"/>
      <c r="J603" s="96" t="s">
        <v>1120</v>
      </c>
      <c r="K603" s="237"/>
      <c r="L603" s="255">
        <v>60.2</v>
      </c>
      <c r="M603" s="255">
        <v>1</v>
      </c>
      <c r="N603" s="357">
        <v>70</v>
      </c>
      <c r="O603" s="46"/>
      <c r="P603" s="47" t="s">
        <v>39</v>
      </c>
      <c r="Q603" s="487"/>
      <c r="R603" s="192" t="str">
        <f>CONCATENATE(N603,P603)</f>
        <v>70grams</v>
      </c>
      <c r="S603" s="198">
        <f>M603*N603</f>
        <v>70</v>
      </c>
      <c r="T603" s="199" t="str">
        <f>CONCATENATE(S603,Q603,P603)</f>
        <v>70grams</v>
      </c>
      <c r="U603" s="200">
        <f>L603*M603</f>
        <v>60.2</v>
      </c>
      <c r="V603" s="12"/>
      <c r="W603" s="12"/>
    </row>
    <row r="604" spans="1:23" x14ac:dyDescent="0.3">
      <c r="A604" s="193">
        <v>213</v>
      </c>
      <c r="B604" s="219" t="s">
        <v>1119</v>
      </c>
      <c r="C604" s="170"/>
      <c r="D604" s="194"/>
      <c r="E604" s="170"/>
      <c r="F604" s="170"/>
      <c r="G604" s="170"/>
      <c r="H604" s="194" t="s">
        <v>2021</v>
      </c>
      <c r="I604" s="170"/>
      <c r="J604" s="340" t="s">
        <v>1121</v>
      </c>
      <c r="K604" s="237"/>
      <c r="L604" s="285">
        <v>340</v>
      </c>
      <c r="M604" s="285">
        <v>1</v>
      </c>
      <c r="N604" s="502">
        <v>500</v>
      </c>
      <c r="O604" s="219"/>
      <c r="P604" s="327" t="s">
        <v>39</v>
      </c>
      <c r="Q604" s="487"/>
      <c r="R604" s="192" t="str">
        <f>CONCATENATE(N604,P604)</f>
        <v>500grams</v>
      </c>
      <c r="S604" s="198">
        <f>M604*N604</f>
        <v>500</v>
      </c>
      <c r="T604" s="199" t="str">
        <f>CONCATENATE(S604,Q604,P604)</f>
        <v>500grams</v>
      </c>
      <c r="U604" s="200">
        <f>L604*M604</f>
        <v>340</v>
      </c>
      <c r="V604" s="12"/>
      <c r="W604" s="12"/>
    </row>
    <row r="605" spans="1:23" x14ac:dyDescent="0.3">
      <c r="A605" s="193">
        <v>213</v>
      </c>
      <c r="B605" s="219" t="s">
        <v>1119</v>
      </c>
      <c r="C605" s="170"/>
      <c r="D605" s="194"/>
      <c r="E605" s="194"/>
      <c r="F605" s="194"/>
      <c r="G605" s="170"/>
      <c r="H605" s="194" t="s">
        <v>2021</v>
      </c>
      <c r="I605" s="170"/>
      <c r="J605" s="340" t="s">
        <v>1106</v>
      </c>
      <c r="K605" s="237"/>
      <c r="L605" s="285">
        <v>262</v>
      </c>
      <c r="M605" s="285">
        <v>1</v>
      </c>
      <c r="N605" s="502">
        <v>1000</v>
      </c>
      <c r="O605" s="219"/>
      <c r="P605" s="327" t="s">
        <v>39</v>
      </c>
      <c r="Q605" s="487"/>
      <c r="R605" s="192" t="str">
        <f>CONCATENATE(N605,P605)</f>
        <v>1000grams</v>
      </c>
      <c r="S605" s="198">
        <f>M605*N605</f>
        <v>1000</v>
      </c>
      <c r="T605" s="199" t="str">
        <f>CONCATENATE(S605,Q605,P605)</f>
        <v>1000grams</v>
      </c>
      <c r="U605" s="200">
        <f>L605*M605</f>
        <v>262</v>
      </c>
      <c r="V605" s="12"/>
      <c r="W605" s="12"/>
    </row>
    <row r="606" spans="1:23" x14ac:dyDescent="0.3">
      <c r="A606" s="193">
        <v>214</v>
      </c>
      <c r="B606" s="46" t="s">
        <v>1122</v>
      </c>
      <c r="C606" s="170"/>
      <c r="D606" s="194"/>
      <c r="E606" s="194"/>
      <c r="F606" s="194"/>
      <c r="G606" s="170"/>
      <c r="H606" s="194" t="s">
        <v>2022</v>
      </c>
      <c r="I606" s="170"/>
      <c r="J606" s="96" t="s">
        <v>1123</v>
      </c>
      <c r="K606" s="237"/>
      <c r="L606" s="255">
        <v>46</v>
      </c>
      <c r="M606" s="255">
        <v>1</v>
      </c>
      <c r="N606" s="357">
        <v>200</v>
      </c>
      <c r="O606" s="46"/>
      <c r="P606" s="47" t="s">
        <v>39</v>
      </c>
      <c r="Q606" s="487"/>
      <c r="R606" s="192" t="str">
        <f>CONCATENATE(N606,P606)</f>
        <v>200grams</v>
      </c>
      <c r="S606" s="198">
        <f>M606*N606</f>
        <v>200</v>
      </c>
      <c r="T606" s="199" t="str">
        <f>CONCATENATE(S606,Q606,P606)</f>
        <v>200grams</v>
      </c>
      <c r="U606" s="200">
        <f>L606*M606</f>
        <v>46</v>
      </c>
      <c r="V606" s="12"/>
      <c r="W606" s="12"/>
    </row>
    <row r="607" spans="1:23" x14ac:dyDescent="0.3">
      <c r="A607" s="479">
        <v>215</v>
      </c>
      <c r="B607" s="194" t="s">
        <v>555</v>
      </c>
      <c r="C607" s="170"/>
      <c r="D607" s="194" t="str">
        <f ca="1">IFERROR(__xludf.DUMMYFUNCTION("IF(J148="""",""n/a"",IFERROR(SPLIT(J148,""/"")))"),"n/a")</f>
        <v>n/a</v>
      </c>
      <c r="E607" s="170"/>
      <c r="F607" s="170"/>
      <c r="G607" s="170"/>
      <c r="H607" s="206" t="s">
        <v>1898</v>
      </c>
      <c r="I607" s="170"/>
      <c r="J607" s="239"/>
      <c r="K607" s="237"/>
      <c r="L607" s="255">
        <v>0.56999999999999995</v>
      </c>
      <c r="M607" s="389">
        <v>50</v>
      </c>
      <c r="N607" s="282">
        <v>50</v>
      </c>
      <c r="O607" s="170">
        <f>E607</f>
        <v>0</v>
      </c>
      <c r="P607" s="240" t="s">
        <v>39</v>
      </c>
      <c r="Q607" s="487"/>
      <c r="R607" s="192" t="str">
        <f>CONCATENATE(N607,P607)</f>
        <v>50grams</v>
      </c>
      <c r="S607" s="198">
        <f>M607*N607</f>
        <v>2500</v>
      </c>
      <c r="T607" s="199" t="str">
        <f>CONCATENATE(S607,Q607,P607)</f>
        <v>2500grams</v>
      </c>
      <c r="U607" s="200">
        <f>L607*M607</f>
        <v>28.499999999999996</v>
      </c>
      <c r="V607" s="12"/>
      <c r="W607" s="12"/>
    </row>
    <row r="608" spans="1:23" x14ac:dyDescent="0.3">
      <c r="A608" s="193">
        <v>215</v>
      </c>
      <c r="B608" s="46" t="s">
        <v>555</v>
      </c>
      <c r="C608" s="170"/>
      <c r="D608" s="194"/>
      <c r="E608" s="170"/>
      <c r="F608" s="170"/>
      <c r="G608" s="170"/>
      <c r="H608" s="194" t="s">
        <v>29</v>
      </c>
      <c r="I608" s="170"/>
      <c r="J608" s="96" t="s">
        <v>1124</v>
      </c>
      <c r="K608" s="237"/>
      <c r="L608" s="255">
        <v>28.55</v>
      </c>
      <c r="M608" s="255">
        <v>9</v>
      </c>
      <c r="N608" s="357">
        <v>50</v>
      </c>
      <c r="O608" s="46"/>
      <c r="P608" s="47" t="s">
        <v>39</v>
      </c>
      <c r="Q608" s="487"/>
      <c r="R608" s="192" t="str">
        <f>CONCATENATE(N608,P608)</f>
        <v>50grams</v>
      </c>
      <c r="S608" s="198">
        <f>M608*N608</f>
        <v>450</v>
      </c>
      <c r="T608" s="199" t="str">
        <f>CONCATENATE(S608,Q608,P608)</f>
        <v>450grams</v>
      </c>
      <c r="U608" s="200">
        <f>L608*M608</f>
        <v>256.95</v>
      </c>
      <c r="V608" s="12"/>
      <c r="W608" s="12"/>
    </row>
    <row r="609" spans="1:23" x14ac:dyDescent="0.3">
      <c r="A609" s="193">
        <v>215</v>
      </c>
      <c r="B609" s="46" t="s">
        <v>555</v>
      </c>
      <c r="C609" s="170"/>
      <c r="D609" s="194"/>
      <c r="E609" s="194"/>
      <c r="F609" s="170"/>
      <c r="G609" s="170"/>
      <c r="H609" s="194" t="s">
        <v>2024</v>
      </c>
      <c r="I609" s="170"/>
      <c r="J609" s="96" t="s">
        <v>1124</v>
      </c>
      <c r="K609" s="237"/>
      <c r="L609" s="255">
        <v>685</v>
      </c>
      <c r="M609" s="255">
        <v>2</v>
      </c>
      <c r="N609" s="357">
        <v>50</v>
      </c>
      <c r="O609" s="46"/>
      <c r="P609" s="47" t="s">
        <v>39</v>
      </c>
      <c r="Q609" s="487"/>
      <c r="R609" s="192" t="str">
        <f>CONCATENATE(N609,P609)</f>
        <v>50grams</v>
      </c>
      <c r="S609" s="198">
        <f>M609*N609</f>
        <v>100</v>
      </c>
      <c r="T609" s="199" t="str">
        <f>CONCATENATE(S609,Q609,P609)</f>
        <v>100grams</v>
      </c>
      <c r="U609" s="200">
        <f>L609*M609</f>
        <v>1370</v>
      </c>
      <c r="V609" s="12"/>
      <c r="W609" s="12"/>
    </row>
    <row r="610" spans="1:23" x14ac:dyDescent="0.3">
      <c r="A610" s="193">
        <v>215</v>
      </c>
      <c r="B610" s="46" t="s">
        <v>555</v>
      </c>
      <c r="C610" s="170"/>
      <c r="D610" s="194"/>
      <c r="E610" s="170"/>
      <c r="F610" s="170"/>
      <c r="G610" s="170"/>
      <c r="H610" s="194" t="s">
        <v>2026</v>
      </c>
      <c r="I610" s="170"/>
      <c r="J610" s="96" t="s">
        <v>1124</v>
      </c>
      <c r="K610" s="237"/>
      <c r="L610" s="255">
        <v>31.55</v>
      </c>
      <c r="M610" s="255">
        <v>13</v>
      </c>
      <c r="N610" s="357">
        <v>50</v>
      </c>
      <c r="O610" s="46"/>
      <c r="P610" s="47" t="s">
        <v>39</v>
      </c>
      <c r="Q610" s="487"/>
      <c r="R610" s="192" t="str">
        <f>CONCATENATE(N610,P610)</f>
        <v>50grams</v>
      </c>
      <c r="S610" s="198">
        <f>M610*N610</f>
        <v>650</v>
      </c>
      <c r="T610" s="199" t="str">
        <f>CONCATENATE(S610,Q610,P610)</f>
        <v>650grams</v>
      </c>
      <c r="U610" s="200">
        <f>L610*M610</f>
        <v>410.15000000000003</v>
      </c>
      <c r="V610" s="12"/>
      <c r="W610" s="12"/>
    </row>
    <row r="611" spans="1:23" x14ac:dyDescent="0.3">
      <c r="A611" s="193">
        <v>215</v>
      </c>
      <c r="B611" s="46" t="s">
        <v>555</v>
      </c>
      <c r="C611" s="170"/>
      <c r="D611" s="194"/>
      <c r="E611" s="194"/>
      <c r="F611" s="194"/>
      <c r="G611" s="170"/>
      <c r="H611" s="194" t="s">
        <v>2023</v>
      </c>
      <c r="I611" s="170"/>
      <c r="J611" s="96" t="s">
        <v>1124</v>
      </c>
      <c r="K611" s="237"/>
      <c r="L611" s="255">
        <v>685.1</v>
      </c>
      <c r="M611" s="255">
        <v>72</v>
      </c>
      <c r="N611" s="357">
        <v>50</v>
      </c>
      <c r="O611" s="46"/>
      <c r="P611" s="47" t="s">
        <v>39</v>
      </c>
      <c r="Q611" s="487"/>
      <c r="R611" s="192" t="str">
        <f>CONCATENATE(N611,P611)</f>
        <v>50grams</v>
      </c>
      <c r="S611" s="198">
        <f>M611*N611</f>
        <v>3600</v>
      </c>
      <c r="T611" s="199" t="str">
        <f>CONCATENATE(S611,Q611,P611)</f>
        <v>3600grams</v>
      </c>
      <c r="U611" s="200">
        <f>L611*M611</f>
        <v>49327.200000000004</v>
      </c>
      <c r="V611" s="12"/>
      <c r="W611" s="12"/>
    </row>
    <row r="612" spans="1:23" x14ac:dyDescent="0.3">
      <c r="A612" s="479">
        <v>216</v>
      </c>
      <c r="B612" s="194" t="s">
        <v>556</v>
      </c>
      <c r="C612" s="170"/>
      <c r="D612" s="194" t="str">
        <f ca="1">IFERROR(__xludf.DUMMYFUNCTION("IF(J149="""",""n/a"",IFERROR(SPLIT(J149,""/"")))"),"Vista")</f>
        <v>Vista</v>
      </c>
      <c r="E612" s="194" t="str">
        <f ca="1">IFERROR(__xludf.DUMMYFUNCTION("""COMPUTED_VALUE"""),"pack (24pcsx50grams)")</f>
        <v>pack (24pcsx50grams)</v>
      </c>
      <c r="F612" s="170"/>
      <c r="G612" s="170"/>
      <c r="H612" s="183" t="s">
        <v>1897</v>
      </c>
      <c r="I612" s="170"/>
      <c r="J612" s="96" t="s">
        <v>557</v>
      </c>
      <c r="K612" s="237"/>
      <c r="L612" s="255">
        <v>0.63</v>
      </c>
      <c r="M612" s="271">
        <v>2350</v>
      </c>
      <c r="N612" s="280">
        <v>50</v>
      </c>
      <c r="O612" s="61" t="str">
        <f ca="1">E612</f>
        <v>pack (24pcsx50grams)</v>
      </c>
      <c r="P612" s="240" t="s">
        <v>39</v>
      </c>
      <c r="Q612" s="487"/>
      <c r="R612" s="192" t="str">
        <f>CONCATENATE(N612,P612)</f>
        <v>50grams</v>
      </c>
      <c r="S612" s="198">
        <f>M612*N612</f>
        <v>117500</v>
      </c>
      <c r="T612" s="199" t="str">
        <f>CONCATENATE(S612,Q612,P612)</f>
        <v>117500grams</v>
      </c>
      <c r="U612" s="200">
        <f>L612*M612</f>
        <v>1480.5</v>
      </c>
      <c r="V612" s="205"/>
      <c r="W612" s="62"/>
    </row>
    <row r="613" spans="1:23" x14ac:dyDescent="0.3">
      <c r="A613" s="193">
        <v>216</v>
      </c>
      <c r="B613" s="46" t="s">
        <v>556</v>
      </c>
      <c r="C613" s="170"/>
      <c r="D613" s="194"/>
      <c r="E613" s="170"/>
      <c r="F613" s="170"/>
      <c r="G613" s="170"/>
      <c r="H613" s="194" t="s">
        <v>2025</v>
      </c>
      <c r="I613" s="170"/>
      <c r="J613" s="96" t="s">
        <v>1124</v>
      </c>
      <c r="K613" s="237"/>
      <c r="L613" s="255">
        <v>26.15</v>
      </c>
      <c r="M613" s="255">
        <v>47</v>
      </c>
      <c r="N613" s="357">
        <v>50</v>
      </c>
      <c r="O613" s="46"/>
      <c r="P613" s="47" t="s">
        <v>39</v>
      </c>
      <c r="Q613" s="487"/>
      <c r="R613" s="192" t="str">
        <f>CONCATENATE(N613,P613)</f>
        <v>50grams</v>
      </c>
      <c r="S613" s="198">
        <f>M613*N613</f>
        <v>2350</v>
      </c>
      <c r="T613" s="199" t="str">
        <f>CONCATENATE(S613,Q613,P613)</f>
        <v>2350grams</v>
      </c>
      <c r="U613" s="200">
        <f>L613*M613</f>
        <v>1229.05</v>
      </c>
      <c r="V613" s="12"/>
      <c r="W613" s="12"/>
    </row>
    <row r="614" spans="1:23" x14ac:dyDescent="0.3">
      <c r="A614" s="193">
        <v>217</v>
      </c>
      <c r="B614" s="46" t="s">
        <v>1125</v>
      </c>
      <c r="C614" s="170"/>
      <c r="D614" s="194"/>
      <c r="E614" s="170"/>
      <c r="F614" s="170"/>
      <c r="G614" s="170"/>
      <c r="H614" s="194" t="s">
        <v>2022</v>
      </c>
      <c r="I614" s="170"/>
      <c r="J614" s="96" t="s">
        <v>1126</v>
      </c>
      <c r="K614" s="237"/>
      <c r="L614" s="255">
        <v>840</v>
      </c>
      <c r="M614" s="255">
        <v>4</v>
      </c>
      <c r="N614" s="357">
        <v>1000</v>
      </c>
      <c r="O614" s="46"/>
      <c r="P614" s="47" t="s">
        <v>213</v>
      </c>
      <c r="Q614" s="487"/>
      <c r="R614" s="192" t="str">
        <f>CONCATENATE(N614,P614)</f>
        <v>1000kilos</v>
      </c>
      <c r="S614" s="198">
        <f>M614*N614</f>
        <v>4000</v>
      </c>
      <c r="T614" s="199" t="str">
        <f>CONCATENATE(S614,Q614,P614)</f>
        <v>4000kilos</v>
      </c>
      <c r="U614" s="200">
        <f>L614*M614</f>
        <v>3360</v>
      </c>
      <c r="V614" s="12"/>
      <c r="W614" s="12"/>
    </row>
    <row r="615" spans="1:23" x14ac:dyDescent="0.3">
      <c r="A615" s="479">
        <v>218</v>
      </c>
      <c r="B615" s="194" t="s">
        <v>558</v>
      </c>
      <c r="C615" s="170"/>
      <c r="D615" s="194" t="str">
        <f ca="1">IFERROR(__xludf.DUMMYFUNCTION("IF(J150="""",""n/a"",IFERROR(SPLIT(J150,""/"")))"),"n/a")</f>
        <v>n/a</v>
      </c>
      <c r="E615" s="170"/>
      <c r="F615" s="170"/>
      <c r="G615" s="170"/>
      <c r="H615" s="206" t="s">
        <v>1898</v>
      </c>
      <c r="I615" s="170"/>
      <c r="J615" s="239"/>
      <c r="K615" s="237"/>
      <c r="L615" s="255">
        <v>14.25</v>
      </c>
      <c r="M615" s="390">
        <v>20</v>
      </c>
      <c r="N615" s="282">
        <v>1</v>
      </c>
      <c r="O615" s="170">
        <f>E615</f>
        <v>0</v>
      </c>
      <c r="P615" s="238" t="s">
        <v>92</v>
      </c>
      <c r="Q615" s="487"/>
      <c r="R615" s="192" t="str">
        <f>CONCATENATE(N615,P615)</f>
        <v>1pieces</v>
      </c>
      <c r="S615" s="198">
        <f>M615*N615</f>
        <v>20</v>
      </c>
      <c r="T615" s="199" t="str">
        <f>CONCATENATE(S615,Q615,P615)</f>
        <v>20pieces</v>
      </c>
      <c r="U615" s="200">
        <f>L615*M615</f>
        <v>285</v>
      </c>
      <c r="V615" s="12"/>
      <c r="W615" s="12"/>
    </row>
    <row r="616" spans="1:23" x14ac:dyDescent="0.3">
      <c r="A616" s="193">
        <v>219</v>
      </c>
      <c r="B616" s="46" t="s">
        <v>1127</v>
      </c>
      <c r="C616" s="170"/>
      <c r="D616" s="194"/>
      <c r="E616" s="170"/>
      <c r="F616" s="170"/>
      <c r="G616" s="170"/>
      <c r="H616" s="194" t="s">
        <v>2022</v>
      </c>
      <c r="I616" s="170"/>
      <c r="J616" s="96" t="s">
        <v>1128</v>
      </c>
      <c r="K616" s="237"/>
      <c r="L616" s="255">
        <v>1.96</v>
      </c>
      <c r="M616" s="255">
        <v>528</v>
      </c>
      <c r="N616" s="357">
        <v>5</v>
      </c>
      <c r="O616" s="46"/>
      <c r="P616" s="47" t="s">
        <v>39</v>
      </c>
      <c r="Q616" s="487"/>
      <c r="R616" s="192" t="str">
        <f>CONCATENATE(N616,P616)</f>
        <v>5grams</v>
      </c>
      <c r="S616" s="198">
        <f>M616*N616</f>
        <v>2640</v>
      </c>
      <c r="T616" s="199" t="str">
        <f>CONCATENATE(S616,Q616,P616)</f>
        <v>2640grams</v>
      </c>
      <c r="U616" s="200">
        <f>L616*M616</f>
        <v>1034.8799999999999</v>
      </c>
      <c r="V616" s="12"/>
      <c r="W616" s="12"/>
    </row>
    <row r="617" spans="1:23" x14ac:dyDescent="0.3">
      <c r="A617" s="193">
        <v>219</v>
      </c>
      <c r="B617" s="46" t="s">
        <v>1127</v>
      </c>
      <c r="C617" s="170"/>
      <c r="D617" s="194"/>
      <c r="E617" s="194"/>
      <c r="F617" s="194"/>
      <c r="G617" s="170"/>
      <c r="H617" s="194" t="s">
        <v>2020</v>
      </c>
      <c r="I617" s="170"/>
      <c r="J617" s="96" t="s">
        <v>1128</v>
      </c>
      <c r="K617" s="237"/>
      <c r="L617" s="255">
        <v>1.95</v>
      </c>
      <c r="M617" s="255">
        <v>187</v>
      </c>
      <c r="N617" s="357">
        <v>5</v>
      </c>
      <c r="O617" s="46"/>
      <c r="P617" s="47" t="s">
        <v>39</v>
      </c>
      <c r="Q617" s="487"/>
      <c r="R617" s="192" t="str">
        <f>CONCATENATE(N617,P617)</f>
        <v>5grams</v>
      </c>
      <c r="S617" s="198">
        <f>M617*N617</f>
        <v>935</v>
      </c>
      <c r="T617" s="199" t="str">
        <f>CONCATENATE(S617,Q617,P617)</f>
        <v>935grams</v>
      </c>
      <c r="U617" s="200">
        <f>L617*M617</f>
        <v>364.65</v>
      </c>
      <c r="V617" s="12"/>
      <c r="W617" s="12"/>
    </row>
    <row r="618" spans="1:23" x14ac:dyDescent="0.3">
      <c r="A618" s="193">
        <v>219</v>
      </c>
      <c r="B618" s="219" t="s">
        <v>1127</v>
      </c>
      <c r="C618" s="170"/>
      <c r="D618" s="194"/>
      <c r="E618" s="194"/>
      <c r="F618" s="170"/>
      <c r="G618" s="170"/>
      <c r="H618" s="194" t="s">
        <v>2021</v>
      </c>
      <c r="I618" s="170"/>
      <c r="J618" s="340" t="s">
        <v>1129</v>
      </c>
      <c r="K618" s="237"/>
      <c r="L618" s="285">
        <v>60.5</v>
      </c>
      <c r="M618" s="285">
        <v>1</v>
      </c>
      <c r="N618" s="502">
        <v>250</v>
      </c>
      <c r="O618" s="219"/>
      <c r="P618" s="327" t="s">
        <v>39</v>
      </c>
      <c r="Q618" s="487"/>
      <c r="R618" s="192" t="str">
        <f>CONCATENATE(N618,P618)</f>
        <v>250grams</v>
      </c>
      <c r="S618" s="198">
        <f>M618*N618</f>
        <v>250</v>
      </c>
      <c r="T618" s="199" t="str">
        <f>CONCATENATE(S618,Q618,P618)</f>
        <v>250grams</v>
      </c>
      <c r="U618" s="200">
        <f>L618*M618</f>
        <v>60.5</v>
      </c>
      <c r="V618" s="12"/>
      <c r="W618" s="12"/>
    </row>
    <row r="619" spans="1:23" x14ac:dyDescent="0.3">
      <c r="A619" s="193">
        <v>219</v>
      </c>
      <c r="B619" s="219" t="s">
        <v>1127</v>
      </c>
      <c r="C619" s="170"/>
      <c r="D619" s="194"/>
      <c r="E619" s="170"/>
      <c r="F619" s="170"/>
      <c r="G619" s="170"/>
      <c r="H619" s="194" t="s">
        <v>2021</v>
      </c>
      <c r="I619" s="170"/>
      <c r="J619" s="340" t="s">
        <v>1129</v>
      </c>
      <c r="K619" s="237"/>
      <c r="L619" s="285">
        <v>57</v>
      </c>
      <c r="M619" s="285">
        <v>1</v>
      </c>
      <c r="N619" s="502">
        <v>220</v>
      </c>
      <c r="O619" s="219"/>
      <c r="P619" s="327" t="s">
        <v>39</v>
      </c>
      <c r="Q619" s="487"/>
      <c r="R619" s="192" t="str">
        <f>CONCATENATE(N619,P619)</f>
        <v>220grams</v>
      </c>
      <c r="S619" s="198">
        <f>M619*N619</f>
        <v>220</v>
      </c>
      <c r="T619" s="199" t="str">
        <f>CONCATENATE(S619,Q619,P619)</f>
        <v>220grams</v>
      </c>
      <c r="U619" s="200">
        <f>L619*M619</f>
        <v>57</v>
      </c>
      <c r="V619" s="12"/>
      <c r="W619" s="12"/>
    </row>
    <row r="620" spans="1:23" x14ac:dyDescent="0.3">
      <c r="A620" s="193">
        <v>219</v>
      </c>
      <c r="B620" s="46" t="s">
        <v>1127</v>
      </c>
      <c r="C620" s="215"/>
      <c r="D620" s="194"/>
      <c r="E620" s="215"/>
      <c r="F620" s="215"/>
      <c r="G620" s="215"/>
      <c r="H620" s="400" t="s">
        <v>2027</v>
      </c>
      <c r="I620" s="170"/>
      <c r="J620" s="96" t="s">
        <v>1918</v>
      </c>
      <c r="K620" s="237"/>
      <c r="L620" s="254">
        <v>2.08</v>
      </c>
      <c r="M620" s="255">
        <v>144</v>
      </c>
      <c r="N620" s="374">
        <v>1</v>
      </c>
      <c r="O620" s="61"/>
      <c r="P620" s="240" t="s">
        <v>92</v>
      </c>
      <c r="Q620" s="12"/>
      <c r="R620" s="192" t="str">
        <f>CONCATENATE(N620,P620)</f>
        <v>1pieces</v>
      </c>
      <c r="S620" s="198">
        <f>M620*N620</f>
        <v>144</v>
      </c>
      <c r="T620" s="199" t="str">
        <f>CONCATENATE(S620,Q620,P620)</f>
        <v>144pieces</v>
      </c>
      <c r="U620" s="200">
        <f>L620*M620</f>
        <v>299.52</v>
      </c>
      <c r="V620" s="12"/>
      <c r="W620" s="12"/>
    </row>
    <row r="621" spans="1:23" x14ac:dyDescent="0.3">
      <c r="A621" s="193">
        <v>220</v>
      </c>
      <c r="B621" s="46" t="s">
        <v>1130</v>
      </c>
      <c r="C621" s="170"/>
      <c r="D621" s="194"/>
      <c r="E621" s="194"/>
      <c r="F621" s="194"/>
      <c r="G621" s="170"/>
      <c r="H621" s="194" t="s">
        <v>2022</v>
      </c>
      <c r="I621" s="170"/>
      <c r="J621" s="96" t="s">
        <v>1131</v>
      </c>
      <c r="K621" s="237"/>
      <c r="L621" s="255">
        <v>486</v>
      </c>
      <c r="M621" s="255">
        <v>1</v>
      </c>
      <c r="N621" s="357">
        <v>100</v>
      </c>
      <c r="O621" s="46"/>
      <c r="P621" s="47" t="s">
        <v>92</v>
      </c>
      <c r="Q621" s="487"/>
      <c r="R621" s="192" t="str">
        <f>CONCATENATE(N621,P621)</f>
        <v>100pieces</v>
      </c>
      <c r="S621" s="198">
        <f>M621*N621</f>
        <v>100</v>
      </c>
      <c r="T621" s="199" t="str">
        <f>CONCATENATE(S621,Q621,P621)</f>
        <v>100pieces</v>
      </c>
      <c r="U621" s="200">
        <f>L621*M621</f>
        <v>486</v>
      </c>
      <c r="V621" s="12"/>
      <c r="W621" s="12"/>
    </row>
    <row r="622" spans="1:23" x14ac:dyDescent="0.3">
      <c r="A622" s="193">
        <v>220</v>
      </c>
      <c r="B622" s="219" t="s">
        <v>1130</v>
      </c>
      <c r="C622" s="170"/>
      <c r="D622" s="194"/>
      <c r="E622" s="194"/>
      <c r="F622" s="194"/>
      <c r="G622" s="170"/>
      <c r="H622" s="194" t="s">
        <v>2021</v>
      </c>
      <c r="I622" s="170"/>
      <c r="J622" s="340" t="s">
        <v>1132</v>
      </c>
      <c r="K622" s="237"/>
      <c r="L622" s="285">
        <v>5.6</v>
      </c>
      <c r="M622" s="285">
        <v>300</v>
      </c>
      <c r="N622" s="502">
        <v>1</v>
      </c>
      <c r="O622" s="219"/>
      <c r="P622" s="327" t="s">
        <v>92</v>
      </c>
      <c r="Q622" s="487"/>
      <c r="R622" s="192" t="str">
        <f>CONCATENATE(N622,P622)</f>
        <v>1pieces</v>
      </c>
      <c r="S622" s="198">
        <f>M622*N622</f>
        <v>300</v>
      </c>
      <c r="T622" s="199" t="str">
        <f>CONCATENATE(S622,Q622,P622)</f>
        <v>300pieces</v>
      </c>
      <c r="U622" s="200">
        <f>L622*M622</f>
        <v>1680</v>
      </c>
      <c r="V622" s="12"/>
      <c r="W622" s="12"/>
    </row>
    <row r="623" spans="1:23" x14ac:dyDescent="0.3">
      <c r="A623" s="479">
        <v>221</v>
      </c>
      <c r="B623" s="194" t="s">
        <v>139</v>
      </c>
      <c r="C623" s="170"/>
      <c r="D623" s="194" t="str">
        <f ca="1">IFERROR(__xludf.DUMMYFUNCTION("IF(J151="""",""n/a"",IFERROR(SPLIT(J151,""/"")))"),"Great Taste")</f>
        <v>Great Taste</v>
      </c>
      <c r="E623" s="194">
        <f ca="1">IFERROR(__xludf.DUMMYFUNCTION("""COMPUTED_VALUE"""),1.8)</f>
        <v>1.8</v>
      </c>
      <c r="F623" s="194" t="str">
        <f ca="1">IFERROR(__xludf.DUMMYFUNCTION("""COMPUTED_VALUE"""),"Sachet")</f>
        <v>Sachet</v>
      </c>
      <c r="G623" s="170"/>
      <c r="H623" s="183" t="s">
        <v>1895</v>
      </c>
      <c r="I623" s="170"/>
      <c r="J623" s="96" t="s">
        <v>140</v>
      </c>
      <c r="K623" s="237"/>
      <c r="L623" s="254">
        <v>2.04</v>
      </c>
      <c r="M623" s="255">
        <v>1492</v>
      </c>
      <c r="N623" s="237"/>
      <c r="O623" s="61">
        <f ca="1">E623</f>
        <v>1.8</v>
      </c>
      <c r="P623" s="240" t="s">
        <v>92</v>
      </c>
      <c r="Q623" s="487"/>
      <c r="R623" s="192" t="str">
        <f>CONCATENATE(N623,P623)</f>
        <v>pieces</v>
      </c>
      <c r="S623" s="198">
        <f>M623*N623</f>
        <v>0</v>
      </c>
      <c r="T623" s="199" t="str">
        <f>CONCATENATE(S623,Q623,P623)</f>
        <v>0pieces</v>
      </c>
      <c r="U623" s="200">
        <f>L623*M623</f>
        <v>3043.68</v>
      </c>
      <c r="V623" s="12"/>
      <c r="W623" s="12"/>
    </row>
    <row r="624" spans="1:23" x14ac:dyDescent="0.3">
      <c r="A624" s="479">
        <v>221</v>
      </c>
      <c r="B624" s="194" t="s">
        <v>139</v>
      </c>
      <c r="C624" s="170"/>
      <c r="D624" s="194" t="str">
        <f ca="1">IFERROR(__xludf.DUMMYFUNCTION("IF(J152="""",""n/a"",IFERROR(SPLIT(J152,""/"")))"),"n/a")</f>
        <v>n/a</v>
      </c>
      <c r="E624" s="170"/>
      <c r="F624" s="170"/>
      <c r="G624" s="170"/>
      <c r="H624" s="206" t="s">
        <v>1898</v>
      </c>
      <c r="I624" s="170"/>
      <c r="J624" s="239"/>
      <c r="K624" s="237"/>
      <c r="L624" s="255">
        <v>2.04</v>
      </c>
      <c r="M624" s="390">
        <v>720</v>
      </c>
      <c r="N624" s="282">
        <v>1</v>
      </c>
      <c r="O624" s="170">
        <f>E624</f>
        <v>0</v>
      </c>
      <c r="P624" s="238" t="s">
        <v>92</v>
      </c>
      <c r="Q624" s="487"/>
      <c r="R624" s="192" t="str">
        <f>CONCATENATE(N624,P624)</f>
        <v>1pieces</v>
      </c>
      <c r="S624" s="198">
        <f>M624*N624</f>
        <v>720</v>
      </c>
      <c r="T624" s="199" t="str">
        <f>CONCATENATE(S624,Q624,P624)</f>
        <v>720pieces</v>
      </c>
      <c r="U624" s="200">
        <f>L624*M624</f>
        <v>1468.8</v>
      </c>
      <c r="V624" s="12"/>
      <c r="W624" s="12"/>
    </row>
    <row r="625" spans="1:23" x14ac:dyDescent="0.3">
      <c r="A625" s="479">
        <v>222</v>
      </c>
      <c r="B625" s="194" t="s">
        <v>559</v>
      </c>
      <c r="C625" s="170"/>
      <c r="D625" s="194" t="str">
        <f ca="1">IFERROR(__xludf.DUMMYFUNCTION("IF(J153="""",""n/a"",IFERROR(SPLIT(J153,""/"")))"),"n/a")</f>
        <v>n/a</v>
      </c>
      <c r="E625" s="170"/>
      <c r="F625" s="170"/>
      <c r="G625" s="170"/>
      <c r="H625" s="206" t="s">
        <v>1898</v>
      </c>
      <c r="I625" s="170"/>
      <c r="J625" s="239"/>
      <c r="K625" s="237"/>
      <c r="L625" s="255">
        <v>1.97</v>
      </c>
      <c r="M625" s="390">
        <v>684</v>
      </c>
      <c r="N625" s="282">
        <v>1</v>
      </c>
      <c r="O625" s="170">
        <f>E625</f>
        <v>0</v>
      </c>
      <c r="P625" s="238" t="s">
        <v>92</v>
      </c>
      <c r="Q625" s="487"/>
      <c r="R625" s="192" t="str">
        <f>CONCATENATE(N625,P625)</f>
        <v>1pieces</v>
      </c>
      <c r="S625" s="198">
        <f>M625*N625</f>
        <v>684</v>
      </c>
      <c r="T625" s="199" t="str">
        <f>CONCATENATE(S625,Q625,P625)</f>
        <v>684pieces</v>
      </c>
      <c r="U625" s="200">
        <f>L625*M625</f>
        <v>1347.48</v>
      </c>
      <c r="V625" s="12"/>
      <c r="W625" s="12"/>
    </row>
    <row r="626" spans="1:23" x14ac:dyDescent="0.3">
      <c r="A626" s="479">
        <v>223</v>
      </c>
      <c r="B626" s="194" t="s">
        <v>560</v>
      </c>
      <c r="C626" s="170"/>
      <c r="D626" s="194" t="str">
        <f ca="1">IFERROR(__xludf.DUMMYFUNCTION("IF(J154="""",""n/a"",IFERROR(SPLIT(J154,""/"")))"),"n/a")</f>
        <v>n/a</v>
      </c>
      <c r="E626" s="170"/>
      <c r="F626" s="170"/>
      <c r="G626" s="170"/>
      <c r="H626" s="206" t="s">
        <v>1898</v>
      </c>
      <c r="I626" s="170"/>
      <c r="J626" s="239"/>
      <c r="K626" s="237"/>
      <c r="L626" s="255">
        <v>2.65</v>
      </c>
      <c r="M626" s="390">
        <v>828</v>
      </c>
      <c r="N626" s="282">
        <v>1</v>
      </c>
      <c r="O626" s="170">
        <f>E626</f>
        <v>0</v>
      </c>
      <c r="P626" s="238" t="s">
        <v>92</v>
      </c>
      <c r="Q626" s="487"/>
      <c r="R626" s="192" t="str">
        <f>CONCATENATE(N626,P626)</f>
        <v>1pieces</v>
      </c>
      <c r="S626" s="198">
        <f>M626*N626</f>
        <v>828</v>
      </c>
      <c r="T626" s="199" t="str">
        <f>CONCATENATE(S626,Q626,P626)</f>
        <v>828pieces</v>
      </c>
      <c r="U626" s="200">
        <f>L626*M626</f>
        <v>2194.1999999999998</v>
      </c>
      <c r="V626" s="12"/>
      <c r="W626" s="12"/>
    </row>
    <row r="627" spans="1:23" x14ac:dyDescent="0.3">
      <c r="A627" s="479">
        <v>224</v>
      </c>
      <c r="B627" s="194" t="s">
        <v>131</v>
      </c>
      <c r="C627" s="170"/>
      <c r="D627" s="194" t="str">
        <f ca="1">IFERROR(__xludf.DUMMYFUNCTION("IF(J155="""",""n/a"",IFERROR(SPLIT(J155,""/"")))"),"Great Tastepack (pcsx1.8grams)")</f>
        <v>Great Tastepack (pcsx1.8grams)</v>
      </c>
      <c r="E627" s="170"/>
      <c r="F627" s="170"/>
      <c r="G627" s="170"/>
      <c r="H627" s="183" t="s">
        <v>1897</v>
      </c>
      <c r="I627" s="170"/>
      <c r="J627" s="96" t="s">
        <v>132</v>
      </c>
      <c r="K627" s="237"/>
      <c r="L627" s="251">
        <v>2.79</v>
      </c>
      <c r="M627" s="271">
        <v>2312</v>
      </c>
      <c r="N627" s="280">
        <v>1</v>
      </c>
      <c r="O627" s="170">
        <f>E627</f>
        <v>0</v>
      </c>
      <c r="P627" s="240" t="s">
        <v>92</v>
      </c>
      <c r="Q627" s="487"/>
      <c r="R627" s="192" t="str">
        <f>CONCATENATE(N627,P627)</f>
        <v>1pieces</v>
      </c>
      <c r="S627" s="198">
        <f>M627*N627</f>
        <v>2312</v>
      </c>
      <c r="T627" s="199" t="str">
        <f>CONCATENATE(S627,Q627,P627)</f>
        <v>2312pieces</v>
      </c>
      <c r="U627" s="200">
        <f>L627*M627</f>
        <v>6450.4800000000005</v>
      </c>
      <c r="V627" s="205"/>
      <c r="W627" s="62"/>
    </row>
    <row r="628" spans="1:23" x14ac:dyDescent="0.3">
      <c r="A628" s="479">
        <v>224</v>
      </c>
      <c r="B628" s="194" t="s">
        <v>131</v>
      </c>
      <c r="C628" s="170"/>
      <c r="D628" s="194" t="str">
        <f ca="1">IFERROR(__xludf.DUMMYFUNCTION("IF(J156="""",""n/a"",IFERROR(SPLIT(J156,""/"")))"),"Great Tastepack (pcsx1.8grams)")</f>
        <v>Great Tastepack (pcsx1.8grams)</v>
      </c>
      <c r="E628" s="170"/>
      <c r="F628" s="170"/>
      <c r="G628" s="170"/>
      <c r="H628" s="183" t="s">
        <v>1895</v>
      </c>
      <c r="I628" s="170"/>
      <c r="J628" s="96" t="s">
        <v>132</v>
      </c>
      <c r="K628" s="237"/>
      <c r="L628" s="254">
        <v>2.89</v>
      </c>
      <c r="M628" s="255">
        <v>3576</v>
      </c>
      <c r="N628" s="240">
        <v>1</v>
      </c>
      <c r="O628" s="170">
        <f>E628</f>
        <v>0</v>
      </c>
      <c r="P628" s="240" t="s">
        <v>92</v>
      </c>
      <c r="Q628" s="487"/>
      <c r="R628" s="192" t="str">
        <f>CONCATENATE(N628,P628)</f>
        <v>1pieces</v>
      </c>
      <c r="S628" s="198">
        <f>M628*N628</f>
        <v>3576</v>
      </c>
      <c r="T628" s="199" t="str">
        <f>CONCATENATE(S628,Q628,P628)</f>
        <v>3576pieces</v>
      </c>
      <c r="U628" s="200">
        <f>L628*M628</f>
        <v>10334.640000000001</v>
      </c>
      <c r="V628" s="12"/>
      <c r="W628" s="12"/>
    </row>
    <row r="629" spans="1:23" x14ac:dyDescent="0.3">
      <c r="A629" s="193">
        <v>224</v>
      </c>
      <c r="B629" s="46" t="s">
        <v>131</v>
      </c>
      <c r="C629" s="170"/>
      <c r="D629" s="194"/>
      <c r="E629" s="194"/>
      <c r="F629" s="194"/>
      <c r="G629" s="170"/>
      <c r="H629" s="194" t="s">
        <v>29</v>
      </c>
      <c r="I629" s="170"/>
      <c r="J629" s="96" t="s">
        <v>1133</v>
      </c>
      <c r="K629" s="237"/>
      <c r="L629" s="255">
        <v>2.75</v>
      </c>
      <c r="M629" s="255">
        <v>32</v>
      </c>
      <c r="N629" s="357">
        <v>1</v>
      </c>
      <c r="O629" s="46"/>
      <c r="P629" s="47" t="s">
        <v>92</v>
      </c>
      <c r="Q629" s="487"/>
      <c r="R629" s="192" t="str">
        <f>CONCATENATE(N629,P629)</f>
        <v>1pieces</v>
      </c>
      <c r="S629" s="198">
        <f>M629*N629</f>
        <v>32</v>
      </c>
      <c r="T629" s="199" t="str">
        <f>CONCATENATE(S629,Q629,P629)</f>
        <v>32pieces</v>
      </c>
      <c r="U629" s="200">
        <f>L629*M629</f>
        <v>88</v>
      </c>
      <c r="V629" s="12"/>
      <c r="W629" s="12"/>
    </row>
    <row r="630" spans="1:23" x14ac:dyDescent="0.3">
      <c r="A630" s="193">
        <v>224</v>
      </c>
      <c r="B630" s="46" t="s">
        <v>131</v>
      </c>
      <c r="C630" s="170"/>
      <c r="D630" s="194"/>
      <c r="E630" s="170"/>
      <c r="F630" s="170"/>
      <c r="G630" s="170"/>
      <c r="H630" s="194" t="s">
        <v>2023</v>
      </c>
      <c r="I630" s="170"/>
      <c r="J630" s="96" t="s">
        <v>1134</v>
      </c>
      <c r="K630" s="237"/>
      <c r="L630" s="255">
        <v>132</v>
      </c>
      <c r="M630" s="255">
        <v>1</v>
      </c>
      <c r="N630" s="357">
        <v>48</v>
      </c>
      <c r="O630" s="46"/>
      <c r="P630" s="47" t="s">
        <v>92</v>
      </c>
      <c r="Q630" s="487"/>
      <c r="R630" s="192" t="str">
        <f>CONCATENATE(N630,P630)</f>
        <v>48pieces</v>
      </c>
      <c r="S630" s="198">
        <f>M630*N630</f>
        <v>48</v>
      </c>
      <c r="T630" s="199" t="str">
        <f>CONCATENATE(S630,Q630,P630)</f>
        <v>48pieces</v>
      </c>
      <c r="U630" s="200">
        <f>L630*M630</f>
        <v>132</v>
      </c>
      <c r="V630" s="12"/>
      <c r="W630" s="12"/>
    </row>
    <row r="631" spans="1:23" x14ac:dyDescent="0.3">
      <c r="A631" s="193">
        <v>224</v>
      </c>
      <c r="B631" s="46" t="s">
        <v>131</v>
      </c>
      <c r="C631" s="170"/>
      <c r="D631" s="194"/>
      <c r="E631" s="194"/>
      <c r="F631" s="170"/>
      <c r="G631" s="170"/>
      <c r="H631" s="194" t="s">
        <v>2022</v>
      </c>
      <c r="I631" s="170"/>
      <c r="J631" s="96" t="s">
        <v>1133</v>
      </c>
      <c r="K631" s="237"/>
      <c r="L631" s="255">
        <v>2.75</v>
      </c>
      <c r="M631" s="255">
        <v>40</v>
      </c>
      <c r="N631" s="357">
        <v>2</v>
      </c>
      <c r="O631" s="46"/>
      <c r="P631" s="47" t="s">
        <v>39</v>
      </c>
      <c r="Q631" s="487"/>
      <c r="R631" s="192" t="str">
        <f>CONCATENATE(N631,P631)</f>
        <v>2grams</v>
      </c>
      <c r="S631" s="198">
        <f>M631*N631</f>
        <v>80</v>
      </c>
      <c r="T631" s="199" t="str">
        <f>CONCATENATE(S631,Q631,P631)</f>
        <v>80grams</v>
      </c>
      <c r="U631" s="200">
        <f>L631*M631</f>
        <v>110</v>
      </c>
      <c r="V631" s="12"/>
      <c r="W631" s="12"/>
    </row>
    <row r="632" spans="1:23" x14ac:dyDescent="0.3">
      <c r="A632" s="193">
        <v>224</v>
      </c>
      <c r="B632" s="219" t="s">
        <v>131</v>
      </c>
      <c r="C632" s="215"/>
      <c r="D632" s="194"/>
      <c r="E632" s="214"/>
      <c r="F632" s="215"/>
      <c r="G632" s="215"/>
      <c r="H632" s="194" t="s">
        <v>2021</v>
      </c>
      <c r="I632" s="170"/>
      <c r="J632" s="340" t="s">
        <v>1135</v>
      </c>
      <c r="K632" s="237"/>
      <c r="L632" s="285">
        <v>3.2</v>
      </c>
      <c r="M632" s="285">
        <v>31</v>
      </c>
      <c r="N632" s="502">
        <v>1</v>
      </c>
      <c r="O632" s="219"/>
      <c r="P632" s="327" t="s">
        <v>39</v>
      </c>
      <c r="Q632" s="487"/>
      <c r="R632" s="192" t="str">
        <f>CONCATENATE(N632,P632)</f>
        <v>1grams</v>
      </c>
      <c r="S632" s="198">
        <f>M632*N632</f>
        <v>31</v>
      </c>
      <c r="T632" s="199" t="str">
        <f>CONCATENATE(S632,Q632,P632)</f>
        <v>31grams</v>
      </c>
      <c r="U632" s="200">
        <f>L632*M632</f>
        <v>99.2</v>
      </c>
      <c r="V632" s="12"/>
      <c r="W632" s="12"/>
    </row>
    <row r="633" spans="1:23" x14ac:dyDescent="0.3">
      <c r="A633" s="193">
        <v>224</v>
      </c>
      <c r="B633" s="46" t="s">
        <v>131</v>
      </c>
      <c r="C633" s="170"/>
      <c r="D633" s="194"/>
      <c r="E633" s="170"/>
      <c r="F633" s="170"/>
      <c r="G633" s="170"/>
      <c r="H633" s="194" t="s">
        <v>2020</v>
      </c>
      <c r="I633" s="170"/>
      <c r="J633" s="340" t="s">
        <v>1133</v>
      </c>
      <c r="K633" s="237"/>
      <c r="L633" s="255">
        <v>3.1</v>
      </c>
      <c r="M633" s="255">
        <v>1770</v>
      </c>
      <c r="N633" s="357">
        <v>2</v>
      </c>
      <c r="O633" s="46"/>
      <c r="P633" s="47" t="s">
        <v>39</v>
      </c>
      <c r="Q633" s="487"/>
      <c r="R633" s="192" t="str">
        <f>CONCATENATE(N633,P633)</f>
        <v>2grams</v>
      </c>
      <c r="S633" s="198">
        <f>M633*N633</f>
        <v>3540</v>
      </c>
      <c r="T633" s="199" t="str">
        <f>CONCATENATE(S633,Q633,P633)</f>
        <v>3540grams</v>
      </c>
      <c r="U633" s="200">
        <f>L633*M633</f>
        <v>5487</v>
      </c>
      <c r="V633" s="12"/>
      <c r="W633" s="12"/>
    </row>
    <row r="634" spans="1:23" x14ac:dyDescent="0.3">
      <c r="A634" s="479">
        <v>225</v>
      </c>
      <c r="B634" s="194" t="s">
        <v>331</v>
      </c>
      <c r="C634" s="170"/>
      <c r="D634" s="194" t="str">
        <f ca="1">IFERROR(__xludf.DUMMYFUNCTION("IF(J157="""",""n/a"",IFERROR(SPLIT(J157,""/"")))"),"My Everyday")</f>
        <v>My Everyday</v>
      </c>
      <c r="E634" s="194" t="str">
        <f ca="1">IFERROR(__xludf.DUMMYFUNCTION("""COMPUTED_VALUE"""),"50's")</f>
        <v>50's</v>
      </c>
      <c r="F634" s="170"/>
      <c r="G634" s="170"/>
      <c r="H634" s="183" t="s">
        <v>1895</v>
      </c>
      <c r="I634" s="170"/>
      <c r="J634" s="96" t="s">
        <v>332</v>
      </c>
      <c r="K634" s="237"/>
      <c r="L634" s="254">
        <v>13.3</v>
      </c>
      <c r="M634" s="255">
        <v>20</v>
      </c>
      <c r="N634" s="240">
        <v>1</v>
      </c>
      <c r="O634" s="61" t="str">
        <f ca="1">E634</f>
        <v>50's</v>
      </c>
      <c r="P634" s="240" t="s">
        <v>304</v>
      </c>
      <c r="Q634" s="487"/>
      <c r="R634" s="192" t="str">
        <f>CONCATENATE(N634,P634)</f>
        <v>1packs</v>
      </c>
      <c r="S634" s="198">
        <f>M634*N634</f>
        <v>20</v>
      </c>
      <c r="T634" s="199" t="str">
        <f>CONCATENATE(S634,Q634,P634)</f>
        <v>20packs</v>
      </c>
      <c r="U634" s="200">
        <f>L634*M634</f>
        <v>266</v>
      </c>
      <c r="V634" s="12"/>
      <c r="W634" s="12"/>
    </row>
    <row r="635" spans="1:23" x14ac:dyDescent="0.3">
      <c r="A635" s="479">
        <v>226</v>
      </c>
      <c r="B635" s="194" t="s">
        <v>133</v>
      </c>
      <c r="C635" s="170"/>
      <c r="D635" s="194" t="str">
        <f ca="1">IFERROR(__xludf.DUMMYFUNCTION("IF(J158="""",""n/a"",IFERROR(SPLIT(J158,""/"")))"),"Nestle")</f>
        <v>Nestle</v>
      </c>
      <c r="E635" s="194" t="str">
        <f ca="1">IFERROR(__xludf.DUMMYFUNCTION("""COMPUTED_VALUE"""),"pack")</f>
        <v>pack</v>
      </c>
      <c r="F635" s="194" t="str">
        <f ca="1">IFERROR(__xludf.DUMMYFUNCTION("""COMPUTED_VALUE"""),"400grams")</f>
        <v>400grams</v>
      </c>
      <c r="G635" s="170"/>
      <c r="H635" s="183" t="s">
        <v>1897</v>
      </c>
      <c r="I635" s="170"/>
      <c r="J635" s="96" t="s">
        <v>561</v>
      </c>
      <c r="K635" s="237"/>
      <c r="L635" s="254">
        <v>0.26</v>
      </c>
      <c r="M635" s="271">
        <v>800</v>
      </c>
      <c r="N635" s="280">
        <v>400</v>
      </c>
      <c r="O635" s="61" t="str">
        <f ca="1">E635</f>
        <v>pack</v>
      </c>
      <c r="P635" s="240" t="s">
        <v>39</v>
      </c>
      <c r="Q635" s="487"/>
      <c r="R635" s="192" t="str">
        <f>CONCATENATE(N635,P635)</f>
        <v>400grams</v>
      </c>
      <c r="S635" s="198">
        <f>M635*N635</f>
        <v>320000</v>
      </c>
      <c r="T635" s="199" t="str">
        <f>CONCATENATE(S635,Q635,P635)</f>
        <v>320000grams</v>
      </c>
      <c r="U635" s="200">
        <f>L635*M635</f>
        <v>208</v>
      </c>
      <c r="V635" s="205"/>
      <c r="W635" s="62"/>
    </row>
    <row r="636" spans="1:23" x14ac:dyDescent="0.3">
      <c r="A636" s="479">
        <v>226</v>
      </c>
      <c r="B636" s="194" t="s">
        <v>133</v>
      </c>
      <c r="C636" s="170"/>
      <c r="D636" s="194" t="str">
        <f ca="1">IFERROR(__xludf.DUMMYFUNCTION("IF(J159="""",""n/a"",IFERROR(SPLIT(J159,""/"")))"),"Nestle")</f>
        <v>Nestle</v>
      </c>
      <c r="E636" s="194" t="str">
        <f ca="1">IFERROR(__xludf.DUMMYFUNCTION("""COMPUTED_VALUE"""),"pack (pcsx5grams)")</f>
        <v>pack (pcsx5grams)</v>
      </c>
      <c r="F636" s="170"/>
      <c r="G636" s="170"/>
      <c r="H636" s="183" t="s">
        <v>1897</v>
      </c>
      <c r="I636" s="170"/>
      <c r="J636" s="96" t="s">
        <v>134</v>
      </c>
      <c r="K636" s="237"/>
      <c r="L636" s="251">
        <v>1.97</v>
      </c>
      <c r="M636" s="271">
        <v>479</v>
      </c>
      <c r="N636" s="280">
        <v>1</v>
      </c>
      <c r="O636" s="61" t="str">
        <f ca="1">E636</f>
        <v>pack (pcsx5grams)</v>
      </c>
      <c r="P636" s="240" t="s">
        <v>92</v>
      </c>
      <c r="Q636" s="487"/>
      <c r="R636" s="192" t="str">
        <f>CONCATENATE(N636,P636)</f>
        <v>1pieces</v>
      </c>
      <c r="S636" s="198">
        <f>M636*N636</f>
        <v>479</v>
      </c>
      <c r="T636" s="199" t="str">
        <f>CONCATENATE(S636,Q636,P636)</f>
        <v>479pieces</v>
      </c>
      <c r="U636" s="200">
        <f>L636*M636</f>
        <v>943.63</v>
      </c>
      <c r="V636" s="205"/>
      <c r="W636" s="62"/>
    </row>
    <row r="637" spans="1:23" x14ac:dyDescent="0.3">
      <c r="A637" s="479">
        <v>226</v>
      </c>
      <c r="B637" s="194" t="s">
        <v>133</v>
      </c>
      <c r="C637" s="170"/>
      <c r="D637" s="194" t="str">
        <f ca="1">IFERROR(__xludf.DUMMYFUNCTION("IF(J160="""",""n/a"",IFERROR(SPLIT(J160,""/"")))"),"Nestle")</f>
        <v>Nestle</v>
      </c>
      <c r="E637" s="194" t="str">
        <f ca="1">IFERROR(__xludf.DUMMYFUNCTION("""COMPUTED_VALUE"""),"pack (pcsx5grams)")</f>
        <v>pack (pcsx5grams)</v>
      </c>
      <c r="F637" s="170"/>
      <c r="G637" s="170"/>
      <c r="H637" s="183" t="s">
        <v>1895</v>
      </c>
      <c r="I637" s="170"/>
      <c r="J637" s="96" t="s">
        <v>134</v>
      </c>
      <c r="K637" s="237"/>
      <c r="L637" s="254">
        <v>1.93</v>
      </c>
      <c r="M637" s="255">
        <v>1074</v>
      </c>
      <c r="N637" s="240">
        <v>1</v>
      </c>
      <c r="O637" s="61" t="str">
        <f ca="1">E637</f>
        <v>pack (pcsx5grams)</v>
      </c>
      <c r="P637" s="240" t="s">
        <v>92</v>
      </c>
      <c r="Q637" s="487"/>
      <c r="R637" s="192" t="str">
        <f>CONCATENATE(N637,P637)</f>
        <v>1pieces</v>
      </c>
      <c r="S637" s="198">
        <f>M637*N637</f>
        <v>1074</v>
      </c>
      <c r="T637" s="199" t="str">
        <f>CONCATENATE(S637,Q637,P637)</f>
        <v>1074pieces</v>
      </c>
      <c r="U637" s="200">
        <f>L637*M637</f>
        <v>2072.8199999999997</v>
      </c>
      <c r="V637" s="12"/>
      <c r="W637" s="12"/>
    </row>
    <row r="638" spans="1:23" x14ac:dyDescent="0.3">
      <c r="A638" s="479">
        <v>227</v>
      </c>
      <c r="B638" s="194" t="s">
        <v>562</v>
      </c>
      <c r="C638" s="170"/>
      <c r="D638" s="194" t="str">
        <f ca="1">IFERROR(__xludf.DUMMYFUNCTION("IF(J161="""",""n/a"",IFERROR(SPLIT(J161,""/"")))"),"Coca-Cola")</f>
        <v>Coca-Cola</v>
      </c>
      <c r="E638" s="194" t="str">
        <f ca="1">IFERROR(__xludf.DUMMYFUNCTION("""COMPUTED_VALUE"""),"case (12x290ml)")</f>
        <v>case (12x290ml)</v>
      </c>
      <c r="F638" s="170"/>
      <c r="G638" s="170"/>
      <c r="H638" s="183" t="s">
        <v>1895</v>
      </c>
      <c r="I638" s="170"/>
      <c r="J638" s="96" t="s">
        <v>96</v>
      </c>
      <c r="K638" s="237"/>
      <c r="L638" s="254">
        <v>16.66</v>
      </c>
      <c r="M638" s="255">
        <v>135</v>
      </c>
      <c r="N638" s="240">
        <v>12</v>
      </c>
      <c r="O638" s="61" t="str">
        <f ca="1">E638</f>
        <v>case (12x290ml)</v>
      </c>
      <c r="P638" s="240" t="s">
        <v>92</v>
      </c>
      <c r="Q638" s="487"/>
      <c r="R638" s="192" t="str">
        <f>CONCATENATE(N638,P638)</f>
        <v>12pieces</v>
      </c>
      <c r="S638" s="198">
        <f>M638*N638</f>
        <v>1620</v>
      </c>
      <c r="T638" s="199" t="str">
        <f>CONCATENATE(S638,Q638,P638)</f>
        <v>1620pieces</v>
      </c>
      <c r="U638" s="200">
        <f>L638*M638</f>
        <v>2249.1</v>
      </c>
      <c r="V638" s="12"/>
      <c r="W638" s="12"/>
    </row>
    <row r="639" spans="1:23" x14ac:dyDescent="0.3">
      <c r="A639" s="479">
        <v>228</v>
      </c>
      <c r="B639" s="194" t="s">
        <v>563</v>
      </c>
      <c r="C639" s="170"/>
      <c r="D639" s="194" t="str">
        <f ca="1">IFERROR(__xludf.DUMMYFUNCTION("IF(J162="""",""n/a"",IFERROR(SPLIT(J162,""/"")))"),"Alaska (48x370ml)")</f>
        <v>Alaska (48x370ml)</v>
      </c>
      <c r="E639" s="170"/>
      <c r="F639" s="170"/>
      <c r="G639" s="170"/>
      <c r="H639" s="206" t="s">
        <v>1898</v>
      </c>
      <c r="I639" s="170"/>
      <c r="J639" s="96" t="s">
        <v>564</v>
      </c>
      <c r="K639" s="237"/>
      <c r="L639" s="255">
        <v>0.14000000000000001</v>
      </c>
      <c r="M639" s="390">
        <v>9620</v>
      </c>
      <c r="N639" s="282">
        <v>370</v>
      </c>
      <c r="O639" s="170">
        <f>E639</f>
        <v>0</v>
      </c>
      <c r="P639" s="240" t="s">
        <v>39</v>
      </c>
      <c r="Q639" s="487"/>
      <c r="R639" s="192" t="str">
        <f>CONCATENATE(N639,P639)</f>
        <v>370grams</v>
      </c>
      <c r="S639" s="198">
        <f>M639*N639</f>
        <v>3559400</v>
      </c>
      <c r="T639" s="199" t="str">
        <f>CONCATENATE(S639,Q639,P639)</f>
        <v>3559400grams</v>
      </c>
      <c r="U639" s="200">
        <f>L639*M639</f>
        <v>1346.8000000000002</v>
      </c>
      <c r="V639" s="12"/>
      <c r="W639" s="12"/>
    </row>
    <row r="640" spans="1:23" x14ac:dyDescent="0.3">
      <c r="A640" s="479">
        <v>228</v>
      </c>
      <c r="B640" s="194" t="s">
        <v>563</v>
      </c>
      <c r="C640" s="170"/>
      <c r="D640" s="194" t="str">
        <f ca="1">IFERROR(__xludf.DUMMYFUNCTION("IF(J163="""",""n/a"",IFERROR(SPLIT(J163,""/"")))"),"Alaska 206ml")</f>
        <v>Alaska 206ml</v>
      </c>
      <c r="E640" s="170"/>
      <c r="F640" s="170"/>
      <c r="G640" s="170"/>
      <c r="H640" s="206" t="s">
        <v>1898</v>
      </c>
      <c r="I640" s="170"/>
      <c r="J640" s="96" t="s">
        <v>565</v>
      </c>
      <c r="K640" s="237"/>
      <c r="L640" s="255">
        <v>0.17</v>
      </c>
      <c r="M640" s="390">
        <v>3502</v>
      </c>
      <c r="N640" s="282">
        <v>206</v>
      </c>
      <c r="O640" s="170">
        <f>E640</f>
        <v>0</v>
      </c>
      <c r="P640" s="240" t="s">
        <v>39</v>
      </c>
      <c r="Q640" s="487"/>
      <c r="R640" s="192" t="str">
        <f>CONCATENATE(N640,P640)</f>
        <v>206grams</v>
      </c>
      <c r="S640" s="198">
        <f>M640*N640</f>
        <v>721412</v>
      </c>
      <c r="T640" s="199" t="str">
        <f>CONCATENATE(S640,Q640,P640)</f>
        <v>721412grams</v>
      </c>
      <c r="U640" s="200">
        <f>L640*M640</f>
        <v>595.34</v>
      </c>
      <c r="V640" s="12"/>
      <c r="W640" s="12"/>
    </row>
    <row r="641" spans="1:23" x14ac:dyDescent="0.3">
      <c r="A641" s="479">
        <v>229</v>
      </c>
      <c r="B641" s="194" t="s">
        <v>56</v>
      </c>
      <c r="C641" s="170"/>
      <c r="D641" s="194" t="str">
        <f ca="1">IFERROR(__xludf.DUMMYFUNCTION("IF(J164="""",""n/a"",IFERROR(SPLIT(J164,""/"")))"),"Cowbell")</f>
        <v>Cowbell</v>
      </c>
      <c r="E641" s="194" t="str">
        <f ca="1">IFERROR(__xludf.DUMMYFUNCTION("""COMPUTED_VALUE"""),"can")</f>
        <v>can</v>
      </c>
      <c r="F641" s="194" t="str">
        <f ca="1">IFERROR(__xludf.DUMMYFUNCTION("""COMPUTED_VALUE"""),"375ml")</f>
        <v>375ml</v>
      </c>
      <c r="G641" s="170"/>
      <c r="H641" s="183" t="s">
        <v>1897</v>
      </c>
      <c r="I641" s="170"/>
      <c r="J641" s="96" t="s">
        <v>566</v>
      </c>
      <c r="K641" s="237"/>
      <c r="L641" s="254">
        <v>0.11</v>
      </c>
      <c r="M641" s="271">
        <v>28875</v>
      </c>
      <c r="N641" s="280">
        <v>375</v>
      </c>
      <c r="O641" s="61" t="str">
        <f ca="1">E641</f>
        <v>can</v>
      </c>
      <c r="P641" s="240" t="s">
        <v>32</v>
      </c>
      <c r="Q641" s="515" t="s">
        <v>33</v>
      </c>
      <c r="R641" s="192" t="str">
        <f>CONCATENATE(N641,P641)</f>
        <v>375ml</v>
      </c>
      <c r="S641" s="198">
        <f>M641*N641</f>
        <v>10828125</v>
      </c>
      <c r="T641" s="199" t="str">
        <f>CONCATENATE(S641,Q641,P641)</f>
        <v>10828125 ml</v>
      </c>
      <c r="U641" s="200">
        <f>L641*M641</f>
        <v>3176.25</v>
      </c>
      <c r="V641" s="205"/>
      <c r="W641" s="62"/>
    </row>
    <row r="642" spans="1:23" x14ac:dyDescent="0.3">
      <c r="A642" s="479">
        <v>229</v>
      </c>
      <c r="B642" s="194" t="s">
        <v>56</v>
      </c>
      <c r="C642" s="170"/>
      <c r="D642" s="194" t="str">
        <f ca="1">IFERROR(__xludf.DUMMYFUNCTION("IF(J165="""",""n/a"",IFERROR(SPLIT(J165,""/"")))"),"Cowbell")</f>
        <v>Cowbell</v>
      </c>
      <c r="E642" s="194" t="str">
        <f ca="1">IFERROR(__xludf.DUMMYFUNCTION("""COMPUTED_VALUE"""),"can")</f>
        <v>can</v>
      </c>
      <c r="F642" s="194" t="str">
        <f ca="1">IFERROR(__xludf.DUMMYFUNCTION("""COMPUTED_VALUE"""),"374ml")</f>
        <v>374ml</v>
      </c>
      <c r="G642" s="170"/>
      <c r="H642" s="183" t="s">
        <v>1895</v>
      </c>
      <c r="I642" s="170"/>
      <c r="J642" s="96" t="s">
        <v>57</v>
      </c>
      <c r="K642" s="237"/>
      <c r="L642" s="254">
        <v>40.72</v>
      </c>
      <c r="M642" s="255">
        <v>163.63999999999999</v>
      </c>
      <c r="N642" s="240">
        <v>374</v>
      </c>
      <c r="O642" s="61" t="str">
        <f ca="1">E642</f>
        <v>can</v>
      </c>
      <c r="P642" s="240" t="s">
        <v>32</v>
      </c>
      <c r="Q642" s="487"/>
      <c r="R642" s="192" t="str">
        <f>CONCATENATE(N642,P642)</f>
        <v>374ml</v>
      </c>
      <c r="S642" s="198">
        <f>M642*N642</f>
        <v>61201.359999999993</v>
      </c>
      <c r="T642" s="199" t="str">
        <f>CONCATENATE(S642,Q642,P642)</f>
        <v>61201.36ml</v>
      </c>
      <c r="U642" s="200">
        <f>L642*M642</f>
        <v>6663.420799999999</v>
      </c>
      <c r="V642" s="12"/>
      <c r="W642" s="12"/>
    </row>
    <row r="643" spans="1:23" x14ac:dyDescent="0.3">
      <c r="A643" s="193">
        <v>229</v>
      </c>
      <c r="B643" s="46" t="s">
        <v>56</v>
      </c>
      <c r="C643" s="170"/>
      <c r="D643" s="194"/>
      <c r="E643" s="194"/>
      <c r="F643" s="194"/>
      <c r="G643" s="170"/>
      <c r="H643" s="194" t="s">
        <v>29</v>
      </c>
      <c r="I643" s="170"/>
      <c r="J643" s="96" t="s">
        <v>35</v>
      </c>
      <c r="K643" s="237"/>
      <c r="L643" s="255">
        <v>70.7</v>
      </c>
      <c r="M643" s="255">
        <v>7</v>
      </c>
      <c r="N643" s="357">
        <v>370</v>
      </c>
      <c r="O643" s="46"/>
      <c r="P643" s="47" t="s">
        <v>32</v>
      </c>
      <c r="Q643" s="487"/>
      <c r="R643" s="192" t="str">
        <f>CONCATENATE(N643,P643)</f>
        <v>370ml</v>
      </c>
      <c r="S643" s="198">
        <f>M643*N643</f>
        <v>2590</v>
      </c>
      <c r="T643" s="199" t="str">
        <f>CONCATENATE(S643,Q643,P643)</f>
        <v>2590ml</v>
      </c>
      <c r="U643" s="200">
        <f>L643*M643</f>
        <v>494.90000000000003</v>
      </c>
      <c r="V643" s="12"/>
      <c r="W643" s="12"/>
    </row>
    <row r="644" spans="1:23" x14ac:dyDescent="0.3">
      <c r="A644" s="193">
        <v>229</v>
      </c>
      <c r="B644" s="46" t="s">
        <v>56</v>
      </c>
      <c r="C644" s="170"/>
      <c r="D644" s="194"/>
      <c r="E644" s="170"/>
      <c r="F644" s="170"/>
      <c r="G644" s="170"/>
      <c r="H644" s="194" t="s">
        <v>2022</v>
      </c>
      <c r="I644" s="170"/>
      <c r="J644" s="96" t="s">
        <v>35</v>
      </c>
      <c r="K644" s="237"/>
      <c r="L644" s="255">
        <v>56</v>
      </c>
      <c r="M644" s="255">
        <v>14</v>
      </c>
      <c r="N644" s="357">
        <v>370</v>
      </c>
      <c r="O644" s="46"/>
      <c r="P644" s="47" t="s">
        <v>32</v>
      </c>
      <c r="Q644" s="487"/>
      <c r="R644" s="192" t="str">
        <f>CONCATENATE(N644,P644)</f>
        <v>370ml</v>
      </c>
      <c r="S644" s="198">
        <f>M644*N644</f>
        <v>5180</v>
      </c>
      <c r="T644" s="199" t="str">
        <f>CONCATENATE(S644,Q644,P644)</f>
        <v>5180ml</v>
      </c>
      <c r="U644" s="200">
        <f>L644*M644</f>
        <v>784</v>
      </c>
      <c r="V644" s="12"/>
      <c r="W644" s="12"/>
    </row>
    <row r="645" spans="1:23" x14ac:dyDescent="0.3">
      <c r="A645" s="193">
        <v>229</v>
      </c>
      <c r="B645" s="46" t="s">
        <v>56</v>
      </c>
      <c r="C645" s="170"/>
      <c r="D645" s="194"/>
      <c r="E645" s="170"/>
      <c r="F645" s="170"/>
      <c r="G645" s="170"/>
      <c r="H645" s="194" t="s">
        <v>2021</v>
      </c>
      <c r="I645" s="170"/>
      <c r="J645" s="340" t="s">
        <v>1136</v>
      </c>
      <c r="K645" s="237"/>
      <c r="L645" s="285">
        <v>52.5</v>
      </c>
      <c r="M645" s="285">
        <v>4</v>
      </c>
      <c r="N645" s="502">
        <v>370</v>
      </c>
      <c r="O645" s="46"/>
      <c r="P645" s="47" t="s">
        <v>32</v>
      </c>
      <c r="Q645" s="487"/>
      <c r="R645" s="192" t="str">
        <f>CONCATENATE(N645,P645)</f>
        <v>370ml</v>
      </c>
      <c r="S645" s="198">
        <f>M645*N645</f>
        <v>1480</v>
      </c>
      <c r="T645" s="199" t="str">
        <f>CONCATENATE(S645,Q645,P645)</f>
        <v>1480ml</v>
      </c>
      <c r="U645" s="200">
        <f>L645*M645</f>
        <v>210</v>
      </c>
      <c r="V645" s="12"/>
      <c r="W645" s="12"/>
    </row>
    <row r="646" spans="1:23" x14ac:dyDescent="0.3">
      <c r="A646" s="193">
        <v>229</v>
      </c>
      <c r="B646" s="46" t="s">
        <v>56</v>
      </c>
      <c r="C646" s="170"/>
      <c r="D646" s="194"/>
      <c r="E646" s="194"/>
      <c r="F646" s="194"/>
      <c r="G646" s="170"/>
      <c r="H646" s="194" t="s">
        <v>2020</v>
      </c>
      <c r="I646" s="170"/>
      <c r="J646" s="96" t="s">
        <v>1137</v>
      </c>
      <c r="K646" s="237"/>
      <c r="L646" s="255">
        <v>41.6</v>
      </c>
      <c r="M646" s="255">
        <v>6</v>
      </c>
      <c r="N646" s="357">
        <v>374</v>
      </c>
      <c r="O646" s="46"/>
      <c r="P646" s="47" t="s">
        <v>32</v>
      </c>
      <c r="Q646" s="487"/>
      <c r="R646" s="192" t="str">
        <f>CONCATENATE(N646,P646)</f>
        <v>374ml</v>
      </c>
      <c r="S646" s="198">
        <f>M646*N646</f>
        <v>2244</v>
      </c>
      <c r="T646" s="199" t="str">
        <f>CONCATENATE(S646,Q646,P646)</f>
        <v>2244ml</v>
      </c>
      <c r="U646" s="200">
        <f>L646*M646</f>
        <v>249.60000000000002</v>
      </c>
      <c r="V646" s="12"/>
      <c r="W646" s="12"/>
    </row>
    <row r="647" spans="1:23" x14ac:dyDescent="0.3">
      <c r="A647" s="193">
        <v>229</v>
      </c>
      <c r="B647" s="46" t="s">
        <v>56</v>
      </c>
      <c r="C647" s="170"/>
      <c r="D647" s="194"/>
      <c r="E647" s="194"/>
      <c r="F647" s="194"/>
      <c r="G647" s="170"/>
      <c r="H647" s="194" t="s">
        <v>29</v>
      </c>
      <c r="I647" s="170"/>
      <c r="J647" s="96" t="s">
        <v>1137</v>
      </c>
      <c r="K647" s="237"/>
      <c r="L647" s="255">
        <v>41.6</v>
      </c>
      <c r="M647" s="255">
        <v>3</v>
      </c>
      <c r="N647" s="357">
        <v>374</v>
      </c>
      <c r="O647" s="46"/>
      <c r="P647" s="47" t="s">
        <v>32</v>
      </c>
      <c r="Q647" s="487"/>
      <c r="R647" s="192" t="str">
        <f>CONCATENATE(N647,P647)</f>
        <v>374ml</v>
      </c>
      <c r="S647" s="198">
        <f>M647*N647</f>
        <v>1122</v>
      </c>
      <c r="T647" s="199" t="str">
        <f>CONCATENATE(S647,Q647,P647)</f>
        <v>1122ml</v>
      </c>
      <c r="U647" s="200">
        <f>L647*M647</f>
        <v>124.80000000000001</v>
      </c>
      <c r="V647" s="12"/>
      <c r="W647" s="12"/>
    </row>
    <row r="648" spans="1:23" x14ac:dyDescent="0.3">
      <c r="A648" s="193">
        <v>229</v>
      </c>
      <c r="B648" s="46" t="s">
        <v>56</v>
      </c>
      <c r="C648" s="170"/>
      <c r="D648" s="194"/>
      <c r="E648" s="194"/>
      <c r="F648" s="170"/>
      <c r="G648" s="170"/>
      <c r="H648" s="194" t="s">
        <v>2025</v>
      </c>
      <c r="I648" s="170"/>
      <c r="J648" s="96" t="s">
        <v>1137</v>
      </c>
      <c r="K648" s="237"/>
      <c r="L648" s="255">
        <v>41.6</v>
      </c>
      <c r="M648" s="255">
        <v>0</v>
      </c>
      <c r="N648" s="357">
        <v>374</v>
      </c>
      <c r="O648" s="46"/>
      <c r="P648" s="47" t="s">
        <v>32</v>
      </c>
      <c r="Q648" s="487"/>
      <c r="R648" s="192" t="str">
        <f>CONCATENATE(N648,P648)</f>
        <v>374ml</v>
      </c>
      <c r="S648" s="198">
        <f>M648*N648</f>
        <v>0</v>
      </c>
      <c r="T648" s="199" t="str">
        <f>CONCATENATE(S648,Q648,P648)</f>
        <v>0ml</v>
      </c>
      <c r="U648" s="200">
        <f>L648*M648</f>
        <v>0</v>
      </c>
      <c r="V648" s="12"/>
      <c r="W648" s="12"/>
    </row>
    <row r="649" spans="1:23" x14ac:dyDescent="0.3">
      <c r="A649" s="193">
        <v>229</v>
      </c>
      <c r="B649" s="46" t="s">
        <v>56</v>
      </c>
      <c r="C649" s="170"/>
      <c r="D649" s="194"/>
      <c r="E649" s="194"/>
      <c r="F649" s="170"/>
      <c r="G649" s="170"/>
      <c r="H649" s="194" t="s">
        <v>2026</v>
      </c>
      <c r="I649" s="170"/>
      <c r="J649" s="96" t="s">
        <v>1137</v>
      </c>
      <c r="K649" s="237"/>
      <c r="L649" s="255">
        <v>41.6</v>
      </c>
      <c r="M649" s="255">
        <v>16</v>
      </c>
      <c r="N649" s="357">
        <v>374</v>
      </c>
      <c r="O649" s="46"/>
      <c r="P649" s="47" t="s">
        <v>32</v>
      </c>
      <c r="Q649" s="487"/>
      <c r="R649" s="192" t="str">
        <f>CONCATENATE(N649,P649)</f>
        <v>374ml</v>
      </c>
      <c r="S649" s="198">
        <f>M649*N649</f>
        <v>5984</v>
      </c>
      <c r="T649" s="199" t="str">
        <f>CONCATENATE(S649,Q649,P649)</f>
        <v>5984ml</v>
      </c>
      <c r="U649" s="200">
        <f>L649*M649</f>
        <v>665.6</v>
      </c>
      <c r="V649" s="12"/>
      <c r="W649" s="12"/>
    </row>
    <row r="650" spans="1:23" x14ac:dyDescent="0.3">
      <c r="A650" s="193">
        <v>229</v>
      </c>
      <c r="B650" s="46" t="s">
        <v>56</v>
      </c>
      <c r="C650" s="170"/>
      <c r="D650" s="194"/>
      <c r="E650" s="170"/>
      <c r="F650" s="170"/>
      <c r="G650" s="170"/>
      <c r="H650" s="194" t="s">
        <v>1368</v>
      </c>
      <c r="I650" s="170"/>
      <c r="J650" s="96" t="s">
        <v>1137</v>
      </c>
      <c r="K650" s="237"/>
      <c r="L650" s="255">
        <v>42.5</v>
      </c>
      <c r="M650" s="255">
        <v>7</v>
      </c>
      <c r="N650" s="357">
        <v>390</v>
      </c>
      <c r="O650" s="46"/>
      <c r="P650" s="47" t="s">
        <v>32</v>
      </c>
      <c r="Q650" s="487"/>
      <c r="R650" s="192" t="str">
        <f>CONCATENATE(N650,P650)</f>
        <v>390ml</v>
      </c>
      <c r="S650" s="198">
        <f>M650*N650</f>
        <v>2730</v>
      </c>
      <c r="T650" s="199" t="str">
        <f>CONCATENATE(S650,Q650,P650)</f>
        <v>2730ml</v>
      </c>
      <c r="U650" s="200">
        <f>L650*M650</f>
        <v>297.5</v>
      </c>
      <c r="V650" s="12"/>
      <c r="W650" s="12"/>
    </row>
    <row r="651" spans="1:23" x14ac:dyDescent="0.3">
      <c r="A651" s="193">
        <v>229</v>
      </c>
      <c r="B651" s="46" t="s">
        <v>56</v>
      </c>
      <c r="C651" s="170"/>
      <c r="D651" s="194"/>
      <c r="E651" s="194"/>
      <c r="F651" s="170"/>
      <c r="G651" s="170"/>
      <c r="H651" s="194" t="s">
        <v>2023</v>
      </c>
      <c r="I651" s="170"/>
      <c r="J651" s="96" t="s">
        <v>36</v>
      </c>
      <c r="K651" s="237"/>
      <c r="L651" s="255">
        <v>52.7</v>
      </c>
      <c r="M651" s="255">
        <v>26</v>
      </c>
      <c r="N651" s="357">
        <v>380</v>
      </c>
      <c r="O651" s="46"/>
      <c r="P651" s="47" t="s">
        <v>32</v>
      </c>
      <c r="Q651" s="487"/>
      <c r="R651" s="192" t="str">
        <f>CONCATENATE(N651,P651)</f>
        <v>380ml</v>
      </c>
      <c r="S651" s="198">
        <f>M651*N651</f>
        <v>9880</v>
      </c>
      <c r="T651" s="199" t="str">
        <f>CONCATENATE(S651,Q651,P651)</f>
        <v>9880ml</v>
      </c>
      <c r="U651" s="200">
        <f>L651*M651</f>
        <v>1370.2</v>
      </c>
      <c r="V651" s="12"/>
      <c r="W651" s="12"/>
    </row>
    <row r="652" spans="1:23" x14ac:dyDescent="0.3">
      <c r="A652" s="193">
        <v>229</v>
      </c>
      <c r="B652" s="219" t="s">
        <v>56</v>
      </c>
      <c r="C652" s="170"/>
      <c r="D652" s="194"/>
      <c r="E652" s="194"/>
      <c r="F652" s="194"/>
      <c r="G652" s="170"/>
      <c r="H652" s="194" t="s">
        <v>2021</v>
      </c>
      <c r="I652" s="170"/>
      <c r="J652" s="340" t="s">
        <v>1138</v>
      </c>
      <c r="K652" s="237"/>
      <c r="L652" s="285">
        <v>41.66</v>
      </c>
      <c r="M652" s="285">
        <v>28</v>
      </c>
      <c r="N652" s="502">
        <v>380</v>
      </c>
      <c r="O652" s="219"/>
      <c r="P652" s="327" t="s">
        <v>32</v>
      </c>
      <c r="Q652" s="487"/>
      <c r="R652" s="192" t="str">
        <f>CONCATENATE(N652,P652)</f>
        <v>380ml</v>
      </c>
      <c r="S652" s="198">
        <f>M652*N652</f>
        <v>10640</v>
      </c>
      <c r="T652" s="199" t="str">
        <f>CONCATENATE(S652,Q652,P652)</f>
        <v>10640ml</v>
      </c>
      <c r="U652" s="200">
        <f>L652*M652</f>
        <v>1166.48</v>
      </c>
      <c r="V652" s="12"/>
      <c r="W652" s="12"/>
    </row>
    <row r="653" spans="1:23" x14ac:dyDescent="0.3">
      <c r="A653" s="193">
        <v>229</v>
      </c>
      <c r="B653" s="46" t="s">
        <v>56</v>
      </c>
      <c r="C653" s="170"/>
      <c r="D653" s="194"/>
      <c r="E653" s="194"/>
      <c r="F653" s="194"/>
      <c r="G653" s="170"/>
      <c r="H653" s="194" t="s">
        <v>2022</v>
      </c>
      <c r="I653" s="170"/>
      <c r="J653" s="96" t="s">
        <v>1139</v>
      </c>
      <c r="K653" s="237"/>
      <c r="L653" s="255">
        <v>54</v>
      </c>
      <c r="M653" s="255">
        <v>1</v>
      </c>
      <c r="N653" s="357">
        <v>390</v>
      </c>
      <c r="O653" s="46"/>
      <c r="P653" s="47" t="s">
        <v>32</v>
      </c>
      <c r="Q653" s="487"/>
      <c r="R653" s="192" t="str">
        <f>CONCATENATE(N653,P653)</f>
        <v>390ml</v>
      </c>
      <c r="S653" s="198">
        <f>M653*N653</f>
        <v>390</v>
      </c>
      <c r="T653" s="199" t="str">
        <f>CONCATENATE(S653,Q653,P653)</f>
        <v>390ml</v>
      </c>
      <c r="U653" s="200">
        <f>L653*M653</f>
        <v>54</v>
      </c>
      <c r="V653" s="12"/>
      <c r="W653" s="12"/>
    </row>
    <row r="654" spans="1:23" x14ac:dyDescent="0.3">
      <c r="A654" s="193">
        <v>229</v>
      </c>
      <c r="B654" s="46" t="s">
        <v>56</v>
      </c>
      <c r="C654" s="170"/>
      <c r="D654" s="194"/>
      <c r="E654" s="194"/>
      <c r="F654" s="170"/>
      <c r="G654" s="170"/>
      <c r="H654" s="194" t="s">
        <v>2025</v>
      </c>
      <c r="I654" s="215"/>
      <c r="J654" s="96" t="s">
        <v>1140</v>
      </c>
      <c r="K654" s="237"/>
      <c r="L654" s="255">
        <v>59</v>
      </c>
      <c r="M654" s="255">
        <v>0</v>
      </c>
      <c r="N654" s="357">
        <v>374</v>
      </c>
      <c r="O654" s="46"/>
      <c r="P654" s="47" t="s">
        <v>32</v>
      </c>
      <c r="Q654" s="487"/>
      <c r="R654" s="192" t="str">
        <f>CONCATENATE(N654,P654)</f>
        <v>374ml</v>
      </c>
      <c r="S654" s="198">
        <f>M654*N654</f>
        <v>0</v>
      </c>
      <c r="T654" s="199" t="str">
        <f>CONCATENATE(S654,Q654,P654)</f>
        <v>0ml</v>
      </c>
      <c r="U654" s="200">
        <f>L654*M654</f>
        <v>0</v>
      </c>
      <c r="V654" s="12"/>
      <c r="W654" s="12"/>
    </row>
    <row r="655" spans="1:23" x14ac:dyDescent="0.3">
      <c r="A655" s="193">
        <v>229</v>
      </c>
      <c r="B655" s="46" t="s">
        <v>56</v>
      </c>
      <c r="C655" s="170"/>
      <c r="D655" s="194"/>
      <c r="E655" s="194"/>
      <c r="F655" s="170"/>
      <c r="G655" s="170"/>
      <c r="H655" s="194" t="s">
        <v>2022</v>
      </c>
      <c r="I655" s="170"/>
      <c r="J655" s="96" t="s">
        <v>1140</v>
      </c>
      <c r="K655" s="237"/>
      <c r="L655" s="255">
        <v>57.75</v>
      </c>
      <c r="M655" s="255">
        <v>1</v>
      </c>
      <c r="N655" s="357">
        <v>390</v>
      </c>
      <c r="O655" s="46"/>
      <c r="P655" s="47" t="s">
        <v>32</v>
      </c>
      <c r="Q655" s="487"/>
      <c r="R655" s="192" t="str">
        <f>CONCATENATE(N655,P655)</f>
        <v>390ml</v>
      </c>
      <c r="S655" s="198">
        <f>M655*N655</f>
        <v>390</v>
      </c>
      <c r="T655" s="199" t="str">
        <f>CONCATENATE(S655,Q655,P655)</f>
        <v>390ml</v>
      </c>
      <c r="U655" s="200">
        <f>L655*M655</f>
        <v>57.75</v>
      </c>
      <c r="V655" s="12"/>
      <c r="W655" s="12"/>
    </row>
    <row r="656" spans="1:23" x14ac:dyDescent="0.3">
      <c r="A656" s="193">
        <v>229</v>
      </c>
      <c r="B656" s="46" t="s">
        <v>56</v>
      </c>
      <c r="C656" s="215"/>
      <c r="D656" s="194"/>
      <c r="E656" s="215"/>
      <c r="F656" s="215"/>
      <c r="G656" s="215"/>
      <c r="H656" s="400" t="s">
        <v>2027</v>
      </c>
      <c r="I656" s="170"/>
      <c r="J656" s="96" t="s">
        <v>1137</v>
      </c>
      <c r="K656" s="237"/>
      <c r="L656" s="254">
        <v>42.6</v>
      </c>
      <c r="M656" s="255">
        <v>7</v>
      </c>
      <c r="N656" s="374">
        <v>300</v>
      </c>
      <c r="O656" s="61"/>
      <c r="P656" s="240" t="s">
        <v>32</v>
      </c>
      <c r="Q656" s="12"/>
      <c r="R656" s="192" t="str">
        <f>CONCATENATE(N656,P656)</f>
        <v>300ml</v>
      </c>
      <c r="S656" s="198">
        <f>M656*N656</f>
        <v>2100</v>
      </c>
      <c r="T656" s="199" t="str">
        <f>CONCATENATE(S656,Q656,P656)</f>
        <v>2100ml</v>
      </c>
      <c r="U656" s="200">
        <f>L656*M656</f>
        <v>298.2</v>
      </c>
      <c r="V656" s="12"/>
      <c r="W656" s="12"/>
    </row>
    <row r="657" spans="1:23" x14ac:dyDescent="0.3">
      <c r="A657" s="479">
        <v>230</v>
      </c>
      <c r="B657" s="194" t="s">
        <v>567</v>
      </c>
      <c r="C657" s="170"/>
      <c r="D657" s="194" t="str">
        <f ca="1">IFERROR(__xludf.DUMMYFUNCTION("IF(J166="""",""n/a"",IFERROR(SPLIT(J166,""/"")))"),"Jersey")</f>
        <v>Jersey</v>
      </c>
      <c r="E657" s="194" t="str">
        <f ca="1">IFERROR(__xludf.DUMMYFUNCTION("""COMPUTED_VALUE"""),"can")</f>
        <v>can</v>
      </c>
      <c r="F657" s="194" t="str">
        <f ca="1">IFERROR(__xludf.DUMMYFUNCTION("""COMPUTED_VALUE"""),"390ml")</f>
        <v>390ml</v>
      </c>
      <c r="G657" s="170"/>
      <c r="H657" s="206" t="s">
        <v>1898</v>
      </c>
      <c r="I657" s="170"/>
      <c r="J657" s="96" t="s">
        <v>59</v>
      </c>
      <c r="K657" s="237"/>
      <c r="L657" s="255">
        <v>0.14000000000000001</v>
      </c>
      <c r="M657" s="390">
        <v>780</v>
      </c>
      <c r="N657" s="282">
        <v>390</v>
      </c>
      <c r="O657" s="61" t="str">
        <f ca="1">E657</f>
        <v>can</v>
      </c>
      <c r="P657" s="240" t="s">
        <v>32</v>
      </c>
      <c r="Q657" s="487"/>
      <c r="R657" s="192" t="str">
        <f>CONCATENATE(N657,P657)</f>
        <v>390ml</v>
      </c>
      <c r="S657" s="198">
        <f>M657*N657</f>
        <v>304200</v>
      </c>
      <c r="T657" s="199" t="str">
        <f>CONCATENATE(S657,Q657,P657)</f>
        <v>304200ml</v>
      </c>
      <c r="U657" s="200">
        <f>L657*M657</f>
        <v>109.20000000000002</v>
      </c>
      <c r="V657" s="12"/>
      <c r="W657" s="12"/>
    </row>
    <row r="658" spans="1:23" x14ac:dyDescent="0.3">
      <c r="A658" s="479">
        <v>231</v>
      </c>
      <c r="B658" s="194" t="s">
        <v>58</v>
      </c>
      <c r="C658" s="170"/>
      <c r="D658" s="194" t="str">
        <f ca="1">IFERROR(__xludf.DUMMYFUNCTION("IF(J167="""",""n/a"",IFERROR(SPLIT(J167,""/"")))"),"Jersey")</f>
        <v>Jersey</v>
      </c>
      <c r="E658" s="194" t="str">
        <f ca="1">IFERROR(__xludf.DUMMYFUNCTION("""COMPUTED_VALUE"""),"can")</f>
        <v>can</v>
      </c>
      <c r="F658" s="194" t="str">
        <f ca="1">IFERROR(__xludf.DUMMYFUNCTION("""COMPUTED_VALUE"""),"390ml")</f>
        <v>390ml</v>
      </c>
      <c r="G658" s="170"/>
      <c r="H658" s="183" t="s">
        <v>1895</v>
      </c>
      <c r="I658" s="170"/>
      <c r="J658" s="96" t="s">
        <v>59</v>
      </c>
      <c r="K658" s="237"/>
      <c r="L658" s="254">
        <v>62.7</v>
      </c>
      <c r="M658" s="255">
        <v>1</v>
      </c>
      <c r="N658" s="240">
        <v>390</v>
      </c>
      <c r="O658" s="61" t="str">
        <f ca="1">E658</f>
        <v>can</v>
      </c>
      <c r="P658" s="240" t="s">
        <v>32</v>
      </c>
      <c r="Q658" s="487"/>
      <c r="R658" s="192" t="str">
        <f>CONCATENATE(N658,P658)</f>
        <v>390ml</v>
      </c>
      <c r="S658" s="198">
        <f>M658*N658</f>
        <v>390</v>
      </c>
      <c r="T658" s="199" t="str">
        <f>CONCATENATE(S658,Q658,P658)</f>
        <v>390ml</v>
      </c>
      <c r="U658" s="200">
        <f>L658*M658</f>
        <v>62.7</v>
      </c>
      <c r="V658" s="12"/>
      <c r="W658" s="12"/>
    </row>
    <row r="659" spans="1:23" x14ac:dyDescent="0.3">
      <c r="A659" s="479">
        <v>232</v>
      </c>
      <c r="B659" s="194" t="s">
        <v>568</v>
      </c>
      <c r="C659" s="170"/>
      <c r="D659" s="194" t="str">
        <f ca="1">IFERROR(__xludf.DUMMYFUNCTION("IF(J168="""",""n/a"",IFERROR(SPLIT(J168,""/"")))"),"Jersey")</f>
        <v>Jersey</v>
      </c>
      <c r="E659" s="194" t="str">
        <f ca="1">IFERROR(__xludf.DUMMYFUNCTION("""COMPUTED_VALUE"""),"can")</f>
        <v>can</v>
      </c>
      <c r="F659" s="194" t="str">
        <f ca="1">IFERROR(__xludf.DUMMYFUNCTION("""COMPUTED_VALUE"""),"390ml")</f>
        <v>390ml</v>
      </c>
      <c r="G659" s="170"/>
      <c r="H659" s="183" t="s">
        <v>1897</v>
      </c>
      <c r="I659" s="170"/>
      <c r="J659" s="96" t="s">
        <v>59</v>
      </c>
      <c r="K659" s="237"/>
      <c r="L659" s="254">
        <v>0.14000000000000001</v>
      </c>
      <c r="M659" s="271">
        <v>390</v>
      </c>
      <c r="N659" s="280">
        <v>390</v>
      </c>
      <c r="O659" s="61" t="str">
        <f ca="1">E659</f>
        <v>can</v>
      </c>
      <c r="P659" s="240" t="s">
        <v>32</v>
      </c>
      <c r="Q659" s="515" t="s">
        <v>33</v>
      </c>
      <c r="R659" s="192" t="str">
        <f>CONCATENATE(N659,P659)</f>
        <v>390ml</v>
      </c>
      <c r="S659" s="198">
        <f>M659*N659</f>
        <v>152100</v>
      </c>
      <c r="T659" s="199" t="str">
        <f>CONCATENATE(S659,Q659,P659)</f>
        <v>152100 ml</v>
      </c>
      <c r="U659" s="200">
        <f>L659*M659</f>
        <v>54.600000000000009</v>
      </c>
      <c r="V659" s="205"/>
      <c r="W659" s="62"/>
    </row>
    <row r="660" spans="1:23" x14ac:dyDescent="0.3">
      <c r="A660" s="193">
        <v>233</v>
      </c>
      <c r="B660" s="46" t="s">
        <v>1141</v>
      </c>
      <c r="C660" s="170"/>
      <c r="D660" s="194"/>
      <c r="E660" s="194"/>
      <c r="F660" s="194"/>
      <c r="G660" s="170"/>
      <c r="H660" s="194" t="s">
        <v>2024</v>
      </c>
      <c r="I660" s="170"/>
      <c r="J660" s="96" t="s">
        <v>1142</v>
      </c>
      <c r="K660" s="237"/>
      <c r="L660" s="255">
        <v>6.1</v>
      </c>
      <c r="M660" s="255">
        <v>11</v>
      </c>
      <c r="N660" s="357">
        <v>13</v>
      </c>
      <c r="O660" s="46"/>
      <c r="P660" s="47" t="s">
        <v>32</v>
      </c>
      <c r="Q660" s="487"/>
      <c r="R660" s="192" t="str">
        <f>CONCATENATE(N660,P660)</f>
        <v>13ml</v>
      </c>
      <c r="S660" s="198">
        <f>M660*N660</f>
        <v>143</v>
      </c>
      <c r="T660" s="199" t="str">
        <f>CONCATENATE(S660,Q660,P660)</f>
        <v>143ml</v>
      </c>
      <c r="U660" s="200">
        <f>L660*M660</f>
        <v>67.099999999999994</v>
      </c>
      <c r="V660" s="12"/>
      <c r="W660" s="12"/>
    </row>
    <row r="661" spans="1:23" x14ac:dyDescent="0.3">
      <c r="A661" s="479">
        <v>234</v>
      </c>
      <c r="B661" s="194" t="s">
        <v>60</v>
      </c>
      <c r="C661" s="170"/>
      <c r="D661" s="194" t="str">
        <f ca="1">IFERROR(__xludf.DUMMYFUNCTION("IF(J169="""",""n/a"",IFERROR(SPLIT(J169,""/"")))"),"Peotraco")</f>
        <v>Peotraco</v>
      </c>
      <c r="E661" s="194" t="str">
        <f ca="1">IFERROR(__xludf.DUMMYFUNCTION("""COMPUTED_VALUE"""),"box")</f>
        <v>box</v>
      </c>
      <c r="F661" s="194" t="str">
        <f ca="1">IFERROR(__xludf.DUMMYFUNCTION("""COMPUTED_VALUE"""),"450grams")</f>
        <v>450grams</v>
      </c>
      <c r="G661" s="170"/>
      <c r="H661" s="183" t="s">
        <v>1895</v>
      </c>
      <c r="I661" s="170"/>
      <c r="J661" s="96" t="s">
        <v>61</v>
      </c>
      <c r="K661" s="237"/>
      <c r="L661" s="254">
        <v>350</v>
      </c>
      <c r="M661" s="255">
        <v>2.2200000000000002</v>
      </c>
      <c r="N661" s="240">
        <v>450</v>
      </c>
      <c r="O661" s="61" t="str">
        <f ca="1">E661</f>
        <v>box</v>
      </c>
      <c r="P661" s="240" t="s">
        <v>39</v>
      </c>
      <c r="Q661" s="487"/>
      <c r="R661" s="192" t="str">
        <f>CONCATENATE(N661,P661)</f>
        <v>450grams</v>
      </c>
      <c r="S661" s="198">
        <f>M661*N661</f>
        <v>999.00000000000011</v>
      </c>
      <c r="T661" s="199" t="str">
        <f>CONCATENATE(S661,Q661,P661)</f>
        <v>999grams</v>
      </c>
      <c r="U661" s="200">
        <f>L661*M661</f>
        <v>777.00000000000011</v>
      </c>
      <c r="V661" s="12"/>
      <c r="W661" s="12"/>
    </row>
    <row r="662" spans="1:23" x14ac:dyDescent="0.3">
      <c r="A662" s="193">
        <v>235</v>
      </c>
      <c r="B662" s="46" t="s">
        <v>1143</v>
      </c>
      <c r="C662" s="170"/>
      <c r="D662" s="194"/>
      <c r="E662" s="194"/>
      <c r="F662" s="170"/>
      <c r="G662" s="170"/>
      <c r="H662" s="194" t="s">
        <v>2022</v>
      </c>
      <c r="I662" s="170"/>
      <c r="J662" s="96" t="s">
        <v>1144</v>
      </c>
      <c r="K662" s="237"/>
      <c r="L662" s="255">
        <v>210</v>
      </c>
      <c r="M662" s="255">
        <v>1</v>
      </c>
      <c r="N662" s="357">
        <v>2272</v>
      </c>
      <c r="O662" s="297"/>
      <c r="P662" s="516" t="s">
        <v>39</v>
      </c>
      <c r="Q662" s="487"/>
      <c r="R662" s="192" t="str">
        <f>CONCATENATE(N662,P662)</f>
        <v>2272grams</v>
      </c>
      <c r="S662" s="198">
        <f>M662*N662</f>
        <v>2272</v>
      </c>
      <c r="T662" s="199" t="str">
        <f>CONCATENATE(S662,Q662,P662)</f>
        <v>2272grams</v>
      </c>
      <c r="U662" s="200">
        <f>L662*M662</f>
        <v>210</v>
      </c>
      <c r="V662" s="12"/>
      <c r="W662" s="12"/>
    </row>
    <row r="663" spans="1:23" x14ac:dyDescent="0.3">
      <c r="A663" s="193">
        <v>235</v>
      </c>
      <c r="B663" s="219" t="s">
        <v>1143</v>
      </c>
      <c r="C663" s="215"/>
      <c r="D663" s="194"/>
      <c r="E663" s="214"/>
      <c r="F663" s="215"/>
      <c r="G663" s="215"/>
      <c r="H663" s="194" t="s">
        <v>2021</v>
      </c>
      <c r="I663" s="170"/>
      <c r="J663" s="340" t="s">
        <v>1144</v>
      </c>
      <c r="K663" s="237"/>
      <c r="L663" s="285">
        <v>70</v>
      </c>
      <c r="M663" s="285">
        <v>2</v>
      </c>
      <c r="N663" s="502">
        <v>450</v>
      </c>
      <c r="O663" s="304"/>
      <c r="P663" s="514" t="s">
        <v>39</v>
      </c>
      <c r="Q663" s="487"/>
      <c r="R663" s="192" t="str">
        <f>CONCATENATE(N663,P663)</f>
        <v>450grams</v>
      </c>
      <c r="S663" s="198">
        <f>M663*N663</f>
        <v>900</v>
      </c>
      <c r="T663" s="199" t="str">
        <f>CONCATENATE(S663,Q663,P663)</f>
        <v>900grams</v>
      </c>
      <c r="U663" s="200">
        <f>L663*M663</f>
        <v>140</v>
      </c>
      <c r="V663" s="12"/>
      <c r="W663" s="12"/>
    </row>
    <row r="664" spans="1:23" x14ac:dyDescent="0.3">
      <c r="A664" s="479">
        <v>236</v>
      </c>
      <c r="B664" s="214" t="s">
        <v>217</v>
      </c>
      <c r="C664" s="215"/>
      <c r="D664" s="194" t="str">
        <f ca="1">IFERROR(__xludf.DUMMYFUNCTION("IF(J170="""",""n/a"",IFERROR(SPLIT(J170,""/"")))"),"CDO")</f>
        <v>CDO</v>
      </c>
      <c r="E664" s="214" t="str">
        <f ca="1">IFERROR(__xludf.DUMMYFUNCTION("""COMPUTED_VALUE"""),"pack")</f>
        <v>pack</v>
      </c>
      <c r="F664" s="214" t="str">
        <f ca="1">IFERROR(__xludf.DUMMYFUNCTION("""COMPUTED_VALUE"""),"250grams")</f>
        <v>250grams</v>
      </c>
      <c r="G664" s="215"/>
      <c r="H664" s="183" t="s">
        <v>1895</v>
      </c>
      <c r="I664" s="170"/>
      <c r="J664" s="96" t="s">
        <v>218</v>
      </c>
      <c r="K664" s="237"/>
      <c r="L664" s="254">
        <v>69</v>
      </c>
      <c r="M664" s="255">
        <v>21</v>
      </c>
      <c r="N664" s="240">
        <v>1</v>
      </c>
      <c r="O664" s="61" t="str">
        <f ca="1">E664</f>
        <v>pack</v>
      </c>
      <c r="P664" s="240" t="s">
        <v>39</v>
      </c>
      <c r="Q664" s="487"/>
      <c r="R664" s="192" t="str">
        <f>CONCATENATE(N664,P664)</f>
        <v>1grams</v>
      </c>
      <c r="S664" s="198">
        <f>M664*N664</f>
        <v>21</v>
      </c>
      <c r="T664" s="199" t="str">
        <f>CONCATENATE(S664,Q664,P664)</f>
        <v>21grams</v>
      </c>
      <c r="U664" s="200">
        <f>L664*M664</f>
        <v>1449</v>
      </c>
      <c r="V664" s="12"/>
      <c r="W664" s="12"/>
    </row>
    <row r="665" spans="1:23" x14ac:dyDescent="0.3">
      <c r="A665" s="193">
        <v>236</v>
      </c>
      <c r="B665" s="46" t="s">
        <v>217</v>
      </c>
      <c r="C665" s="170"/>
      <c r="D665" s="194"/>
      <c r="E665" s="194"/>
      <c r="F665" s="194"/>
      <c r="G665" s="170"/>
      <c r="H665" s="194" t="s">
        <v>1368</v>
      </c>
      <c r="I665" s="170"/>
      <c r="J665" s="96" t="s">
        <v>1145</v>
      </c>
      <c r="K665" s="237"/>
      <c r="L665" s="255">
        <v>69</v>
      </c>
      <c r="M665" s="255">
        <v>7</v>
      </c>
      <c r="N665" s="357">
        <v>250</v>
      </c>
      <c r="O665" s="46"/>
      <c r="P665" s="47" t="s">
        <v>39</v>
      </c>
      <c r="Q665" s="487"/>
      <c r="R665" s="192" t="str">
        <f>CONCATENATE(N665,P665)</f>
        <v>250grams</v>
      </c>
      <c r="S665" s="198">
        <f>M665*N665</f>
        <v>1750</v>
      </c>
      <c r="T665" s="199" t="str">
        <f>CONCATENATE(S665,Q665,P665)</f>
        <v>1750grams</v>
      </c>
      <c r="U665" s="200">
        <f>L665*M665</f>
        <v>483</v>
      </c>
      <c r="V665" s="12"/>
      <c r="W665" s="12"/>
    </row>
    <row r="666" spans="1:23" x14ac:dyDescent="0.3">
      <c r="A666" s="193">
        <v>237</v>
      </c>
      <c r="B666" s="219" t="s">
        <v>1146</v>
      </c>
      <c r="C666" s="170"/>
      <c r="D666" s="194"/>
      <c r="E666" s="170"/>
      <c r="F666" s="170"/>
      <c r="G666" s="170"/>
      <c r="H666" s="194" t="s">
        <v>2021</v>
      </c>
      <c r="I666" s="170"/>
      <c r="J666" s="96" t="s">
        <v>1147</v>
      </c>
      <c r="K666" s="237"/>
      <c r="L666" s="285">
        <v>83.3</v>
      </c>
      <c r="M666" s="285">
        <v>4</v>
      </c>
      <c r="N666" s="502">
        <v>143</v>
      </c>
      <c r="O666" s="219"/>
      <c r="P666" s="327" t="s">
        <v>39</v>
      </c>
      <c r="Q666" s="487"/>
      <c r="R666" s="192" t="str">
        <f>CONCATENATE(N666,P666)</f>
        <v>143grams</v>
      </c>
      <c r="S666" s="198">
        <f>M666*N666</f>
        <v>572</v>
      </c>
      <c r="T666" s="199" t="str">
        <f>CONCATENATE(S666,Q666,P666)</f>
        <v>572grams</v>
      </c>
      <c r="U666" s="200">
        <f>L666*M666</f>
        <v>333.2</v>
      </c>
      <c r="V666" s="12"/>
      <c r="W666" s="12"/>
    </row>
    <row r="667" spans="1:23" x14ac:dyDescent="0.3">
      <c r="A667" s="193">
        <v>237</v>
      </c>
      <c r="B667" s="46" t="s">
        <v>1146</v>
      </c>
      <c r="C667" s="170"/>
      <c r="D667" s="194"/>
      <c r="E667" s="194"/>
      <c r="F667" s="170"/>
      <c r="G667" s="170"/>
      <c r="H667" s="194" t="s">
        <v>2026</v>
      </c>
      <c r="I667" s="170"/>
      <c r="J667" s="96" t="s">
        <v>1148</v>
      </c>
      <c r="K667" s="237"/>
      <c r="L667" s="255">
        <v>56.2</v>
      </c>
      <c r="M667" s="255">
        <v>2</v>
      </c>
      <c r="N667" s="357">
        <v>130</v>
      </c>
      <c r="O667" s="46"/>
      <c r="P667" s="47" t="s">
        <v>39</v>
      </c>
      <c r="Q667" s="487"/>
      <c r="R667" s="192" t="str">
        <f>CONCATENATE(N667,P667)</f>
        <v>130grams</v>
      </c>
      <c r="S667" s="198">
        <f>M667*N667</f>
        <v>260</v>
      </c>
      <c r="T667" s="199" t="str">
        <f>CONCATENATE(S667,Q667,P667)</f>
        <v>260grams</v>
      </c>
      <c r="U667" s="200">
        <f>L667*M667</f>
        <v>112.4</v>
      </c>
      <c r="V667" s="12"/>
      <c r="W667" s="12"/>
    </row>
    <row r="668" spans="1:23" x14ac:dyDescent="0.3">
      <c r="A668" s="193">
        <v>237</v>
      </c>
      <c r="B668" s="46" t="s">
        <v>1146</v>
      </c>
      <c r="C668" s="170"/>
      <c r="D668" s="194"/>
      <c r="E668" s="170"/>
      <c r="F668" s="170"/>
      <c r="G668" s="170"/>
      <c r="H668" s="194" t="s">
        <v>2026</v>
      </c>
      <c r="I668" s="170"/>
      <c r="J668" s="46" t="s">
        <v>1149</v>
      </c>
      <c r="K668" s="170"/>
      <c r="L668" s="197">
        <v>33.299999999999997</v>
      </c>
      <c r="M668" s="197">
        <v>20</v>
      </c>
      <c r="N668" s="290">
        <v>130</v>
      </c>
      <c r="O668" s="46"/>
      <c r="P668" s="46" t="s">
        <v>39</v>
      </c>
      <c r="Q668" s="170"/>
      <c r="R668" s="192" t="str">
        <f>CONCATENATE(N668,P668)</f>
        <v>130grams</v>
      </c>
      <c r="S668" s="198">
        <f>M668*N668</f>
        <v>2600</v>
      </c>
      <c r="T668" s="199" t="str">
        <f>CONCATENATE(S668,Q668,P668)</f>
        <v>2600grams</v>
      </c>
      <c r="U668" s="200">
        <f>L668*M668</f>
        <v>666</v>
      </c>
      <c r="V668" s="12"/>
      <c r="W668" s="12"/>
    </row>
    <row r="669" spans="1:23" x14ac:dyDescent="0.3">
      <c r="A669" s="193">
        <v>237</v>
      </c>
      <c r="B669" s="46" t="s">
        <v>1146</v>
      </c>
      <c r="C669" s="170"/>
      <c r="D669" s="194"/>
      <c r="E669" s="194"/>
      <c r="F669" s="170"/>
      <c r="G669" s="170"/>
      <c r="H669" s="194" t="s">
        <v>2026</v>
      </c>
      <c r="I669" s="170"/>
      <c r="J669" s="46" t="s">
        <v>1149</v>
      </c>
      <c r="K669" s="170"/>
      <c r="L669" s="197">
        <v>11.08</v>
      </c>
      <c r="M669" s="197">
        <v>60</v>
      </c>
      <c r="N669" s="290">
        <v>32</v>
      </c>
      <c r="O669" s="46"/>
      <c r="P669" s="46" t="s">
        <v>39</v>
      </c>
      <c r="Q669" s="170"/>
      <c r="R669" s="192" t="str">
        <f>CONCATENATE(N669,P669)</f>
        <v>32grams</v>
      </c>
      <c r="S669" s="198">
        <f>M669*N669</f>
        <v>1920</v>
      </c>
      <c r="T669" s="199" t="str">
        <f>CONCATENATE(S669,Q669,P669)</f>
        <v>1920grams</v>
      </c>
      <c r="U669" s="200">
        <f>L669*M669</f>
        <v>664.8</v>
      </c>
      <c r="V669" s="12"/>
      <c r="W669" s="12"/>
    </row>
    <row r="670" spans="1:23" x14ac:dyDescent="0.3">
      <c r="A670" s="479">
        <v>238</v>
      </c>
      <c r="B670" s="194" t="s">
        <v>569</v>
      </c>
      <c r="C670" s="170"/>
      <c r="D670" s="194" t="str">
        <f ca="1">IFERROR(__xludf.DUMMYFUNCTION("IF(J171="""",""n/a"",IFERROR(SPLIT(J171,""/"")))"),"Happy Fiesta")</f>
        <v>Happy Fiesta</v>
      </c>
      <c r="E670" s="194" t="str">
        <f ca="1">IFERROR(__xludf.DUMMYFUNCTION("""COMPUTED_VALUE"""),"pouch")</f>
        <v>pouch</v>
      </c>
      <c r="F670" s="194" t="str">
        <f ca="1">IFERROR(__xludf.DUMMYFUNCTION("""COMPUTED_VALUE"""),"1800ml")</f>
        <v>1800ml</v>
      </c>
      <c r="G670" s="170"/>
      <c r="H670" s="183" t="s">
        <v>1897</v>
      </c>
      <c r="I670" s="170"/>
      <c r="J670" s="46" t="s">
        <v>570</v>
      </c>
      <c r="K670" s="170"/>
      <c r="L670" s="197">
        <v>0.01</v>
      </c>
      <c r="M670" s="202">
        <v>486000</v>
      </c>
      <c r="N670" s="203">
        <v>18000</v>
      </c>
      <c r="O670" s="61" t="str">
        <f ca="1">E670</f>
        <v>pouch</v>
      </c>
      <c r="P670" s="61" t="s">
        <v>32</v>
      </c>
      <c r="Q670" s="170"/>
      <c r="R670" s="192" t="str">
        <f>CONCATENATE(N670,P670)</f>
        <v>18000ml</v>
      </c>
      <c r="S670" s="198">
        <f>M670*N670</f>
        <v>8748000000</v>
      </c>
      <c r="T670" s="199" t="str">
        <f>CONCATENATE(S670,Q670,P670)</f>
        <v>8748000000ml</v>
      </c>
      <c r="U670" s="200">
        <f>L670*M670</f>
        <v>4860</v>
      </c>
      <c r="V670" s="205"/>
      <c r="W670" s="62"/>
    </row>
    <row r="671" spans="1:23" x14ac:dyDescent="0.3">
      <c r="A671" s="479">
        <v>238</v>
      </c>
      <c r="B671" s="194" t="s">
        <v>569</v>
      </c>
      <c r="C671" s="170"/>
      <c r="D671" s="194" t="str">
        <f ca="1">IFERROR(__xludf.DUMMYFUNCTION("IF(J172="""",""n/a"",IFERROR(SPLIT(J172,""/"")))"),"n/a")</f>
        <v>n/a</v>
      </c>
      <c r="E671" s="170"/>
      <c r="F671" s="170"/>
      <c r="G671" s="170"/>
      <c r="H671" s="206" t="s">
        <v>1898</v>
      </c>
      <c r="I671" s="170"/>
      <c r="J671" s="170"/>
      <c r="K671" s="170"/>
      <c r="L671" s="197">
        <v>0.12</v>
      </c>
      <c r="M671" s="386">
        <v>10800</v>
      </c>
      <c r="N671" s="208">
        <v>1800</v>
      </c>
      <c r="O671" s="170">
        <f>E671</f>
        <v>0</v>
      </c>
      <c r="P671" s="61" t="s">
        <v>32</v>
      </c>
      <c r="Q671" s="170"/>
      <c r="R671" s="192" t="str">
        <f>CONCATENATE(N671,P671)</f>
        <v>1800ml</v>
      </c>
      <c r="S671" s="198">
        <f>M671*N671</f>
        <v>19440000</v>
      </c>
      <c r="T671" s="199" t="str">
        <f>CONCATENATE(S671,Q671,P671)</f>
        <v>19440000ml</v>
      </c>
      <c r="U671" s="200">
        <f>L671*M671</f>
        <v>1296</v>
      </c>
      <c r="V671" s="12"/>
      <c r="W671" s="12"/>
    </row>
    <row r="672" spans="1:23" x14ac:dyDescent="0.3">
      <c r="A672" s="193">
        <v>238</v>
      </c>
      <c r="B672" s="46" t="s">
        <v>569</v>
      </c>
      <c r="C672" s="170"/>
      <c r="D672" s="194"/>
      <c r="E672" s="170"/>
      <c r="F672" s="170"/>
      <c r="G672" s="170"/>
      <c r="H672" s="194" t="s">
        <v>2024</v>
      </c>
      <c r="I672" s="170"/>
      <c r="J672" s="170"/>
      <c r="K672" s="170"/>
      <c r="L672" s="197">
        <v>295</v>
      </c>
      <c r="M672" s="197">
        <v>16</v>
      </c>
      <c r="N672" s="290">
        <v>3500</v>
      </c>
      <c r="O672" s="46"/>
      <c r="P672" s="46" t="s">
        <v>32</v>
      </c>
      <c r="Q672" s="170"/>
      <c r="R672" s="192" t="str">
        <f>CONCATENATE(N672,P672)</f>
        <v>3500ml</v>
      </c>
      <c r="S672" s="198">
        <f>M672*N672</f>
        <v>56000</v>
      </c>
      <c r="T672" s="199" t="str">
        <f>CONCATENATE(S672,Q672,P672)</f>
        <v>56000ml</v>
      </c>
      <c r="U672" s="200">
        <f>L672*M672</f>
        <v>4720</v>
      </c>
      <c r="V672" s="12"/>
      <c r="W672" s="12"/>
    </row>
    <row r="673" spans="1:23" x14ac:dyDescent="0.3">
      <c r="A673" s="193">
        <v>238</v>
      </c>
      <c r="B673" s="46" t="s">
        <v>569</v>
      </c>
      <c r="C673" s="170"/>
      <c r="D673" s="194"/>
      <c r="E673" s="194"/>
      <c r="F673" s="170"/>
      <c r="G673" s="170"/>
      <c r="H673" s="194" t="s">
        <v>2025</v>
      </c>
      <c r="I673" s="170"/>
      <c r="J673" s="46" t="s">
        <v>1150</v>
      </c>
      <c r="K673" s="170"/>
      <c r="L673" s="197">
        <v>1768</v>
      </c>
      <c r="M673" s="197">
        <v>3</v>
      </c>
      <c r="N673" s="290">
        <v>16</v>
      </c>
      <c r="O673" s="46"/>
      <c r="P673" s="46" t="s">
        <v>773</v>
      </c>
      <c r="Q673" s="170"/>
      <c r="R673" s="192" t="str">
        <f>CONCATENATE(N673,P673)</f>
        <v>16liters</v>
      </c>
      <c r="S673" s="198">
        <f>M673*N673</f>
        <v>48</v>
      </c>
      <c r="T673" s="199" t="str">
        <f>CONCATENATE(S673,Q673,P673)</f>
        <v>48liters</v>
      </c>
      <c r="U673" s="200">
        <f>L673*M673</f>
        <v>5304</v>
      </c>
      <c r="V673" s="12"/>
      <c r="W673" s="12"/>
    </row>
    <row r="674" spans="1:23" x14ac:dyDescent="0.3">
      <c r="A674" s="193">
        <v>238</v>
      </c>
      <c r="B674" s="46" t="s">
        <v>569</v>
      </c>
      <c r="C674" s="170"/>
      <c r="D674" s="194"/>
      <c r="E674" s="194"/>
      <c r="F674" s="194"/>
      <c r="G674" s="194"/>
      <c r="H674" s="194" t="s">
        <v>2026</v>
      </c>
      <c r="I674" s="170"/>
      <c r="J674" s="46" t="s">
        <v>1150</v>
      </c>
      <c r="K674" s="170"/>
      <c r="L674" s="197">
        <v>1608.5</v>
      </c>
      <c r="M674" s="197">
        <v>2</v>
      </c>
      <c r="N674" s="290">
        <v>16</v>
      </c>
      <c r="O674" s="46"/>
      <c r="P674" s="46" t="s">
        <v>773</v>
      </c>
      <c r="Q674" s="170"/>
      <c r="R674" s="192" t="str">
        <f>CONCATENATE(N674,P674)</f>
        <v>16liters</v>
      </c>
      <c r="S674" s="198">
        <f>M674*N674</f>
        <v>32</v>
      </c>
      <c r="T674" s="199" t="str">
        <f>CONCATENATE(S674,Q674,P674)</f>
        <v>32liters</v>
      </c>
      <c r="U674" s="200">
        <f>L674*M674</f>
        <v>3217</v>
      </c>
      <c r="V674" s="12"/>
      <c r="W674" s="12"/>
    </row>
    <row r="675" spans="1:23" x14ac:dyDescent="0.3">
      <c r="A675" s="193">
        <v>238</v>
      </c>
      <c r="B675" s="46" t="s">
        <v>569</v>
      </c>
      <c r="C675" s="215"/>
      <c r="D675" s="194"/>
      <c r="E675" s="214"/>
      <c r="F675" s="214"/>
      <c r="G675" s="215"/>
      <c r="H675" s="194" t="s">
        <v>1368</v>
      </c>
      <c r="I675" s="215"/>
      <c r="J675" s="46" t="s">
        <v>1151</v>
      </c>
      <c r="K675" s="170"/>
      <c r="L675" s="197">
        <v>318</v>
      </c>
      <c r="M675" s="197">
        <v>7</v>
      </c>
      <c r="N675" s="290">
        <v>3</v>
      </c>
      <c r="O675" s="46"/>
      <c r="P675" s="46" t="s">
        <v>213</v>
      </c>
      <c r="Q675" s="170"/>
      <c r="R675" s="192" t="str">
        <f>CONCATENATE(N675,P675)</f>
        <v>3kilos</v>
      </c>
      <c r="S675" s="198">
        <f>M675*N675</f>
        <v>21</v>
      </c>
      <c r="T675" s="199" t="str">
        <f>CONCATENATE(S675,Q675,P675)</f>
        <v>21kilos</v>
      </c>
      <c r="U675" s="200">
        <f>L675*M675</f>
        <v>2226</v>
      </c>
      <c r="V675" s="12"/>
      <c r="W675" s="12"/>
    </row>
    <row r="676" spans="1:23" x14ac:dyDescent="0.3">
      <c r="A676" s="193">
        <v>238</v>
      </c>
      <c r="B676" s="46" t="s">
        <v>569</v>
      </c>
      <c r="C676" s="170"/>
      <c r="D676" s="194"/>
      <c r="E676" s="170"/>
      <c r="F676" s="170"/>
      <c r="G676" s="170"/>
      <c r="H676" s="194" t="s">
        <v>2023</v>
      </c>
      <c r="I676" s="170"/>
      <c r="J676" s="46" t="s">
        <v>1150</v>
      </c>
      <c r="K676" s="170"/>
      <c r="L676" s="197">
        <v>1768.3</v>
      </c>
      <c r="M676" s="197">
        <v>2</v>
      </c>
      <c r="N676" s="290">
        <v>16</v>
      </c>
      <c r="O676" s="46"/>
      <c r="P676" s="46" t="s">
        <v>773</v>
      </c>
      <c r="Q676" s="170"/>
      <c r="R676" s="192" t="str">
        <f>CONCATENATE(N676,P676)</f>
        <v>16liters</v>
      </c>
      <c r="S676" s="198">
        <f>M676*N676</f>
        <v>32</v>
      </c>
      <c r="T676" s="199" t="str">
        <f>CONCATENATE(S676,Q676,P676)</f>
        <v>32liters</v>
      </c>
      <c r="U676" s="200">
        <f>L676*M676</f>
        <v>3536.6</v>
      </c>
      <c r="V676" s="12"/>
      <c r="W676" s="12"/>
    </row>
    <row r="677" spans="1:23" x14ac:dyDescent="0.3">
      <c r="A677" s="193">
        <v>238</v>
      </c>
      <c r="B677" s="46" t="s">
        <v>569</v>
      </c>
      <c r="C677" s="170"/>
      <c r="D677" s="194"/>
      <c r="E677" s="194"/>
      <c r="F677" s="170"/>
      <c r="G677" s="170"/>
      <c r="H677" s="194" t="s">
        <v>2023</v>
      </c>
      <c r="I677" s="170"/>
      <c r="J677" s="170"/>
      <c r="K677" s="170"/>
      <c r="L677" s="197">
        <v>340</v>
      </c>
      <c r="M677" s="197">
        <v>6</v>
      </c>
      <c r="N677" s="290">
        <v>1</v>
      </c>
      <c r="O677" s="46"/>
      <c r="P677" s="46" t="s">
        <v>200</v>
      </c>
      <c r="Q677" s="170"/>
      <c r="R677" s="192" t="str">
        <f>CONCATENATE(N677,P677)</f>
        <v>1gal</v>
      </c>
      <c r="S677" s="198">
        <f>M677*N677</f>
        <v>6</v>
      </c>
      <c r="T677" s="199" t="str">
        <f>CONCATENATE(S677,Q677,P677)</f>
        <v>6gal</v>
      </c>
      <c r="U677" s="200">
        <f>L677*M677</f>
        <v>2040</v>
      </c>
      <c r="V677" s="12"/>
      <c r="W677" s="12"/>
    </row>
    <row r="678" spans="1:23" x14ac:dyDescent="0.3">
      <c r="A678" s="193">
        <v>238</v>
      </c>
      <c r="B678" s="46" t="s">
        <v>569</v>
      </c>
      <c r="C678" s="170"/>
      <c r="D678" s="194"/>
      <c r="E678" s="194"/>
      <c r="F678" s="170"/>
      <c r="G678" s="170"/>
      <c r="H678" s="194" t="s">
        <v>2021</v>
      </c>
      <c r="I678" s="170"/>
      <c r="J678" s="215"/>
      <c r="K678" s="170"/>
      <c r="L678" s="216">
        <v>1540</v>
      </c>
      <c r="M678" s="216">
        <v>1</v>
      </c>
      <c r="N678" s="293">
        <v>1</v>
      </c>
      <c r="O678" s="219"/>
      <c r="P678" s="219" t="s">
        <v>32</v>
      </c>
      <c r="Q678" s="170"/>
      <c r="R678" s="192" t="str">
        <f>CONCATENATE(N678,P678)</f>
        <v>1ml</v>
      </c>
      <c r="S678" s="198">
        <f>M678*N678</f>
        <v>1</v>
      </c>
      <c r="T678" s="199" t="str">
        <f>CONCATENATE(S678,Q678,P678)</f>
        <v>1ml</v>
      </c>
      <c r="U678" s="200">
        <f>L678*M678</f>
        <v>1540</v>
      </c>
      <c r="V678" s="12"/>
      <c r="W678" s="12"/>
    </row>
    <row r="679" spans="1:23" x14ac:dyDescent="0.3">
      <c r="A679" s="193">
        <v>238</v>
      </c>
      <c r="B679" s="46" t="s">
        <v>569</v>
      </c>
      <c r="C679" s="170"/>
      <c r="D679" s="194"/>
      <c r="E679" s="170"/>
      <c r="F679" s="170"/>
      <c r="G679" s="170"/>
      <c r="H679" s="194" t="s">
        <v>2020</v>
      </c>
      <c r="I679" s="170"/>
      <c r="J679" s="46" t="s">
        <v>1150</v>
      </c>
      <c r="K679" s="170"/>
      <c r="L679" s="197">
        <v>1608.5</v>
      </c>
      <c r="M679" s="197">
        <v>1</v>
      </c>
      <c r="N679" s="290">
        <v>16</v>
      </c>
      <c r="O679" s="46"/>
      <c r="P679" s="46" t="s">
        <v>773</v>
      </c>
      <c r="Q679" s="170"/>
      <c r="R679" s="192" t="str">
        <f>CONCATENATE(N679,P679)</f>
        <v>16liters</v>
      </c>
      <c r="S679" s="198">
        <f>M679*N679</f>
        <v>16</v>
      </c>
      <c r="T679" s="199" t="str">
        <f>CONCATENATE(S679,Q679,P679)</f>
        <v>16liters</v>
      </c>
      <c r="U679" s="200">
        <f>L679*M679</f>
        <v>1608.5</v>
      </c>
      <c r="V679" s="12"/>
      <c r="W679" s="12"/>
    </row>
    <row r="680" spans="1:23" x14ac:dyDescent="0.3">
      <c r="A680" s="193">
        <v>238</v>
      </c>
      <c r="B680" s="46" t="s">
        <v>569</v>
      </c>
      <c r="C680" s="170"/>
      <c r="D680" s="194"/>
      <c r="E680" s="194"/>
      <c r="F680" s="170"/>
      <c r="G680" s="170"/>
      <c r="H680" s="194" t="s">
        <v>2022</v>
      </c>
      <c r="I680" s="170"/>
      <c r="J680" s="46" t="s">
        <v>1071</v>
      </c>
      <c r="K680" s="170"/>
      <c r="L680" s="197">
        <v>1560</v>
      </c>
      <c r="M680" s="197">
        <v>4</v>
      </c>
      <c r="N680" s="290">
        <v>16</v>
      </c>
      <c r="O680" s="46"/>
      <c r="P680" s="46" t="s">
        <v>773</v>
      </c>
      <c r="Q680" s="170"/>
      <c r="R680" s="192" t="str">
        <f>CONCATENATE(N680,P680)</f>
        <v>16liters</v>
      </c>
      <c r="S680" s="198">
        <f>M680*N680</f>
        <v>64</v>
      </c>
      <c r="T680" s="199" t="str">
        <f>CONCATENATE(S680,Q680,P680)</f>
        <v>64liters</v>
      </c>
      <c r="U680" s="200">
        <f>L680*M680</f>
        <v>6240</v>
      </c>
      <c r="V680" s="12"/>
      <c r="W680" s="12"/>
    </row>
    <row r="681" spans="1:23" x14ac:dyDescent="0.3">
      <c r="A681" s="193">
        <v>238</v>
      </c>
      <c r="B681" s="46" t="s">
        <v>569</v>
      </c>
      <c r="C681" s="215"/>
      <c r="D681" s="194"/>
      <c r="E681" s="215"/>
      <c r="F681" s="215"/>
      <c r="G681" s="215"/>
      <c r="H681" s="400" t="s">
        <v>2027</v>
      </c>
      <c r="I681" s="170"/>
      <c r="J681" s="46" t="s">
        <v>1920</v>
      </c>
      <c r="K681" s="170"/>
      <c r="L681" s="195">
        <v>128</v>
      </c>
      <c r="M681" s="197">
        <v>1</v>
      </c>
      <c r="N681" s="360">
        <v>1</v>
      </c>
      <c r="O681" s="61"/>
      <c r="P681" s="61" t="s">
        <v>1921</v>
      </c>
      <c r="Q681" s="170"/>
      <c r="R681" s="192" t="str">
        <f>CONCATENATE(N681,P681)</f>
        <v>1l</v>
      </c>
      <c r="S681" s="198">
        <f>M681*N681</f>
        <v>1</v>
      </c>
      <c r="T681" s="199" t="str">
        <f>CONCATENATE(S681,Q681,P681)</f>
        <v>1l</v>
      </c>
      <c r="U681" s="200">
        <f>L681*M681</f>
        <v>128</v>
      </c>
      <c r="V681" s="12"/>
      <c r="W681" s="12"/>
    </row>
    <row r="682" spans="1:23" x14ac:dyDescent="0.3">
      <c r="A682" s="479">
        <v>239</v>
      </c>
      <c r="B682" s="194" t="s">
        <v>246</v>
      </c>
      <c r="C682" s="170"/>
      <c r="D682" s="194" t="str">
        <f ca="1">IFERROR(__xludf.DUMMYFUNCTION("IF(J173="""",""n/a"",IFERROR(SPLIT(J173,""/"")))"),"Freeto")</f>
        <v>Freeto</v>
      </c>
      <c r="E682" s="194" t="str">
        <f ca="1">IFERROR(__xludf.DUMMYFUNCTION("""COMPUTED_VALUE"""),"tin can")</f>
        <v>tin can</v>
      </c>
      <c r="F682" s="194" t="str">
        <f ca="1">IFERROR(__xludf.DUMMYFUNCTION("""COMPUTED_VALUE"""),"16kilos")</f>
        <v>16kilos</v>
      </c>
      <c r="G682" s="170"/>
      <c r="H682" s="183" t="s">
        <v>1895</v>
      </c>
      <c r="I682" s="170"/>
      <c r="J682" s="46" t="s">
        <v>247</v>
      </c>
      <c r="K682" s="170"/>
      <c r="L682" s="195">
        <v>105</v>
      </c>
      <c r="M682" s="197">
        <v>112</v>
      </c>
      <c r="N682" s="61">
        <v>1</v>
      </c>
      <c r="O682" s="61" t="str">
        <f ca="1">E682</f>
        <v>tin can</v>
      </c>
      <c r="P682" s="61" t="s">
        <v>213</v>
      </c>
      <c r="Q682" s="170"/>
      <c r="R682" s="192" t="str">
        <f>CONCATENATE(N682,P682)</f>
        <v>1kilos</v>
      </c>
      <c r="S682" s="198">
        <f>M682*N682</f>
        <v>112</v>
      </c>
      <c r="T682" s="199" t="str">
        <f>CONCATENATE(S682,Q682,P682)</f>
        <v>112kilos</v>
      </c>
      <c r="U682" s="200">
        <f>L682*M682</f>
        <v>11760</v>
      </c>
      <c r="V682" s="12"/>
      <c r="W682" s="12"/>
    </row>
    <row r="683" spans="1:23" x14ac:dyDescent="0.3">
      <c r="A683" s="193">
        <v>240</v>
      </c>
      <c r="B683" s="46" t="s">
        <v>1152</v>
      </c>
      <c r="C683" s="170"/>
      <c r="D683" s="194"/>
      <c r="E683" s="194"/>
      <c r="F683" s="170"/>
      <c r="G683" s="170"/>
      <c r="H683" s="194" t="s">
        <v>2022</v>
      </c>
      <c r="I683" s="170"/>
      <c r="J683" s="46" t="s">
        <v>1153</v>
      </c>
      <c r="K683" s="170"/>
      <c r="L683" s="197">
        <v>78</v>
      </c>
      <c r="M683" s="197">
        <v>1</v>
      </c>
      <c r="N683" s="290">
        <v>350</v>
      </c>
      <c r="O683" s="46"/>
      <c r="P683" s="46" t="s">
        <v>32</v>
      </c>
      <c r="Q683" s="170"/>
      <c r="R683" s="192" t="str">
        <f>CONCATENATE(N683,P683)</f>
        <v>350ml</v>
      </c>
      <c r="S683" s="198">
        <f>M683*N683</f>
        <v>350</v>
      </c>
      <c r="T683" s="199" t="str">
        <f>CONCATENATE(S683,Q683,P683)</f>
        <v>350ml</v>
      </c>
      <c r="U683" s="200">
        <f>L683*M683</f>
        <v>78</v>
      </c>
      <c r="V683" s="12"/>
      <c r="W683" s="12"/>
    </row>
    <row r="684" spans="1:23" x14ac:dyDescent="0.3">
      <c r="A684" s="193">
        <v>241</v>
      </c>
      <c r="B684" s="219" t="s">
        <v>1154</v>
      </c>
      <c r="C684" s="170"/>
      <c r="D684" s="194"/>
      <c r="E684" s="170"/>
      <c r="F684" s="170"/>
      <c r="G684" s="170"/>
      <c r="H684" s="194" t="s">
        <v>2021</v>
      </c>
      <c r="I684" s="170"/>
      <c r="J684" s="219" t="s">
        <v>1074</v>
      </c>
      <c r="K684" s="170"/>
      <c r="L684" s="216">
        <v>11.3</v>
      </c>
      <c r="M684" s="216">
        <v>3</v>
      </c>
      <c r="N684" s="293">
        <v>30</v>
      </c>
      <c r="O684" s="219"/>
      <c r="P684" s="219" t="s">
        <v>39</v>
      </c>
      <c r="Q684" s="170"/>
      <c r="R684" s="192" t="str">
        <f>CONCATENATE(N684,P684)</f>
        <v>30grams</v>
      </c>
      <c r="S684" s="198">
        <f>M684*N684</f>
        <v>90</v>
      </c>
      <c r="T684" s="199" t="str">
        <f>CONCATENATE(S684,Q684,P684)</f>
        <v>90grams</v>
      </c>
      <c r="U684" s="200">
        <f>L684*M684</f>
        <v>33.900000000000006</v>
      </c>
      <c r="V684" s="12"/>
      <c r="W684" s="12"/>
    </row>
    <row r="685" spans="1:23" x14ac:dyDescent="0.3">
      <c r="A685" s="479">
        <v>242</v>
      </c>
      <c r="B685" s="194" t="s">
        <v>305</v>
      </c>
      <c r="C685" s="170"/>
      <c r="D685" s="194" t="str">
        <f ca="1">IFERROR(__xludf.DUMMYFUNCTION("IF(J174="""",""n/a"",IFERROR(SPLIT(J174,""/"")))"),"gallon")</f>
        <v>gallon</v>
      </c>
      <c r="E685" s="194" t="str">
        <f ca="1">IFERROR(__xludf.DUMMYFUNCTION("""COMPUTED_VALUE"""),"2000ml")</f>
        <v>2000ml</v>
      </c>
      <c r="F685" s="170"/>
      <c r="G685" s="170"/>
      <c r="H685" s="183" t="s">
        <v>1895</v>
      </c>
      <c r="I685" s="170"/>
      <c r="J685" s="46" t="s">
        <v>306</v>
      </c>
      <c r="K685" s="170"/>
      <c r="L685" s="195">
        <v>227</v>
      </c>
      <c r="M685" s="197">
        <v>1</v>
      </c>
      <c r="N685" s="61">
        <v>1</v>
      </c>
      <c r="O685" s="61" t="str">
        <f ca="1">E685</f>
        <v>2000ml</v>
      </c>
      <c r="P685" s="61" t="s">
        <v>32</v>
      </c>
      <c r="Q685" s="170"/>
      <c r="R685" s="192" t="str">
        <f>CONCATENATE(N685,P685)</f>
        <v>1ml</v>
      </c>
      <c r="S685" s="198">
        <f>M685*N685</f>
        <v>1</v>
      </c>
      <c r="T685" s="199" t="str">
        <f>CONCATENATE(S685,Q685,P685)</f>
        <v>1ml</v>
      </c>
      <c r="U685" s="200">
        <f>L685*M685</f>
        <v>227</v>
      </c>
      <c r="V685" s="12"/>
      <c r="W685" s="12"/>
    </row>
    <row r="686" spans="1:23" x14ac:dyDescent="0.3">
      <c r="A686" s="193">
        <v>243</v>
      </c>
      <c r="B686" s="219" t="s">
        <v>1155</v>
      </c>
      <c r="C686" s="170"/>
      <c r="D686" s="194"/>
      <c r="E686" s="194"/>
      <c r="F686" s="170"/>
      <c r="G686" s="170"/>
      <c r="H686" s="194" t="s">
        <v>2021</v>
      </c>
      <c r="I686" s="170"/>
      <c r="J686" s="219" t="s">
        <v>1156</v>
      </c>
      <c r="K686" s="170"/>
      <c r="L686" s="216">
        <v>102</v>
      </c>
      <c r="M686" s="216">
        <v>1</v>
      </c>
      <c r="N686" s="293">
        <v>500</v>
      </c>
      <c r="O686" s="219"/>
      <c r="P686" s="219" t="s">
        <v>32</v>
      </c>
      <c r="Q686" s="170"/>
      <c r="R686" s="192" t="str">
        <f>CONCATENATE(N686,P686)</f>
        <v>500ml</v>
      </c>
      <c r="S686" s="198">
        <f>M686*N686</f>
        <v>500</v>
      </c>
      <c r="T686" s="199" t="str">
        <f>CONCATENATE(S686,Q686,P686)</f>
        <v>500ml</v>
      </c>
      <c r="U686" s="200">
        <f>L686*M686</f>
        <v>102</v>
      </c>
      <c r="V686" s="12"/>
      <c r="W686" s="12"/>
    </row>
    <row r="687" spans="1:23" x14ac:dyDescent="0.3">
      <c r="A687" s="479">
        <v>244</v>
      </c>
      <c r="B687" s="194" t="s">
        <v>171</v>
      </c>
      <c r="C687" s="170"/>
      <c r="D687" s="194" t="str">
        <f ca="1">IFERROR(__xludf.DUMMYFUNCTION("IF(J175="""",""n/a"",IFERROR(SPLIT(J175,""/"")))"),"Argentina")</f>
        <v>Argentina</v>
      </c>
      <c r="E687" s="194" t="str">
        <f ca="1">IFERROR(__xludf.DUMMYFUNCTION("""COMPUTED_VALUE"""),"can")</f>
        <v>can</v>
      </c>
      <c r="F687" s="194" t="str">
        <f ca="1">IFERROR(__xludf.DUMMYFUNCTION("""COMPUTED_VALUE"""),"260grams")</f>
        <v>260grams</v>
      </c>
      <c r="G687" s="170"/>
      <c r="H687" s="183" t="s">
        <v>1895</v>
      </c>
      <c r="I687" s="170"/>
      <c r="J687" s="46" t="s">
        <v>172</v>
      </c>
      <c r="K687" s="170"/>
      <c r="L687" s="195">
        <v>55.05</v>
      </c>
      <c r="M687" s="197">
        <v>8</v>
      </c>
      <c r="N687" s="61">
        <v>1</v>
      </c>
      <c r="O687" s="61" t="str">
        <f ca="1">E687</f>
        <v>can</v>
      </c>
      <c r="P687" s="61" t="s">
        <v>39</v>
      </c>
      <c r="Q687" s="170"/>
      <c r="R687" s="192" t="str">
        <f>CONCATENATE(N687,P687)</f>
        <v>1grams</v>
      </c>
      <c r="S687" s="198">
        <f>M687*N687</f>
        <v>8</v>
      </c>
      <c r="T687" s="199" t="str">
        <f>CONCATENATE(S687,Q687,P687)</f>
        <v>8grams</v>
      </c>
      <c r="U687" s="200">
        <f>L687*M687</f>
        <v>440.4</v>
      </c>
      <c r="V687" s="12"/>
      <c r="W687" s="12"/>
    </row>
    <row r="688" spans="1:23" x14ac:dyDescent="0.3">
      <c r="A688" s="193">
        <v>244</v>
      </c>
      <c r="B688" s="46" t="s">
        <v>171</v>
      </c>
      <c r="C688" s="170"/>
      <c r="D688" s="194"/>
      <c r="E688" s="170"/>
      <c r="F688" s="170"/>
      <c r="G688" s="170"/>
      <c r="H688" s="194" t="s">
        <v>2026</v>
      </c>
      <c r="I688" s="170"/>
      <c r="J688" s="46" t="s">
        <v>1157</v>
      </c>
      <c r="K688" s="170"/>
      <c r="L688" s="197">
        <v>56.1</v>
      </c>
      <c r="M688" s="197">
        <v>6</v>
      </c>
      <c r="N688" s="290">
        <v>260</v>
      </c>
      <c r="O688" s="46"/>
      <c r="P688" s="46" t="s">
        <v>39</v>
      </c>
      <c r="Q688" s="170"/>
      <c r="R688" s="192" t="str">
        <f>CONCATENATE(N688,P688)</f>
        <v>260grams</v>
      </c>
      <c r="S688" s="198">
        <f>M688*N688</f>
        <v>1560</v>
      </c>
      <c r="T688" s="199" t="str">
        <f>CONCATENATE(S688,Q688,P688)</f>
        <v>1560grams</v>
      </c>
      <c r="U688" s="200">
        <f>L688*M688</f>
        <v>336.6</v>
      </c>
      <c r="V688" s="12"/>
      <c r="W688" s="12"/>
    </row>
    <row r="689" spans="1:23" x14ac:dyDescent="0.3">
      <c r="A689" s="193">
        <v>244</v>
      </c>
      <c r="B689" s="46" t="s">
        <v>171</v>
      </c>
      <c r="C689" s="215"/>
      <c r="D689" s="194"/>
      <c r="E689" s="215"/>
      <c r="F689" s="215"/>
      <c r="G689" s="215"/>
      <c r="H689" s="400" t="s">
        <v>2027</v>
      </c>
      <c r="I689" s="170"/>
      <c r="J689" s="170"/>
      <c r="K689" s="170"/>
      <c r="L689" s="195">
        <v>27.5</v>
      </c>
      <c r="M689" s="197">
        <v>1</v>
      </c>
      <c r="N689" s="376"/>
      <c r="O689" s="61"/>
      <c r="P689" s="61" t="s">
        <v>213</v>
      </c>
      <c r="Q689" s="170"/>
      <c r="R689" s="192" t="str">
        <f>CONCATENATE(N689,P689)</f>
        <v>kilos</v>
      </c>
      <c r="S689" s="198">
        <f>M689*N689</f>
        <v>0</v>
      </c>
      <c r="T689" s="199" t="str">
        <f>CONCATENATE(S689,Q689,P689)</f>
        <v>0kilos</v>
      </c>
      <c r="U689" s="200">
        <f>L689*M689</f>
        <v>27.5</v>
      </c>
      <c r="V689" s="12"/>
      <c r="W689" s="12"/>
    </row>
    <row r="690" spans="1:23" x14ac:dyDescent="0.3">
      <c r="A690" s="479">
        <v>245</v>
      </c>
      <c r="B690" s="194" t="s">
        <v>571</v>
      </c>
      <c r="C690" s="170"/>
      <c r="D690" s="194" t="str">
        <f ca="1">IFERROR(__xludf.DUMMYFUNCTION("IF(J176="""",""n/a"",IFERROR(SPLIT(J176,""/"")))"),"n/a")</f>
        <v>n/a</v>
      </c>
      <c r="E690" s="170"/>
      <c r="F690" s="170"/>
      <c r="G690" s="170"/>
      <c r="H690" s="206" t="s">
        <v>1898</v>
      </c>
      <c r="I690" s="170"/>
      <c r="J690" s="170"/>
      <c r="K690" s="170"/>
      <c r="L690" s="197">
        <v>27.89</v>
      </c>
      <c r="M690" s="385">
        <v>48</v>
      </c>
      <c r="N690" s="208">
        <v>1</v>
      </c>
      <c r="O690" s="170">
        <f>E690</f>
        <v>0</v>
      </c>
      <c r="P690" s="61" t="s">
        <v>39</v>
      </c>
      <c r="Q690" s="170"/>
      <c r="R690" s="192" t="str">
        <f>CONCATENATE(N690,P690)</f>
        <v>1grams</v>
      </c>
      <c r="S690" s="198">
        <f>M690*N690</f>
        <v>48</v>
      </c>
      <c r="T690" s="199" t="str">
        <f>CONCATENATE(S690,Q690,P690)</f>
        <v>48grams</v>
      </c>
      <c r="U690" s="200">
        <f>L690*M690</f>
        <v>1338.72</v>
      </c>
      <c r="V690" s="12"/>
      <c r="W690" s="12"/>
    </row>
    <row r="691" spans="1:23" x14ac:dyDescent="0.3">
      <c r="A691" s="479">
        <v>246</v>
      </c>
      <c r="B691" s="194" t="s">
        <v>572</v>
      </c>
      <c r="C691" s="170"/>
      <c r="D691" s="194" t="str">
        <f ca="1">IFERROR(__xludf.DUMMYFUNCTION("IF(J177="""",""n/a"",IFERROR(SPLIT(J177,""/"")))"),"n/a")</f>
        <v>n/a</v>
      </c>
      <c r="E691" s="170"/>
      <c r="F691" s="170"/>
      <c r="G691" s="170"/>
      <c r="H691" s="206" t="s">
        <v>1898</v>
      </c>
      <c r="I691" s="170"/>
      <c r="J691" s="170"/>
      <c r="K691" s="170"/>
      <c r="L691" s="197">
        <v>27.89</v>
      </c>
      <c r="M691" s="386">
        <v>48</v>
      </c>
      <c r="N691" s="208">
        <v>1</v>
      </c>
      <c r="O691" s="170">
        <f>E691</f>
        <v>0</v>
      </c>
      <c r="P691" s="61" t="s">
        <v>92</v>
      </c>
      <c r="Q691" s="170"/>
      <c r="R691" s="192" t="str">
        <f>CONCATENATE(N691,P691)</f>
        <v>1pieces</v>
      </c>
      <c r="S691" s="198">
        <f>M691*N691</f>
        <v>48</v>
      </c>
      <c r="T691" s="199" t="str">
        <f>CONCATENATE(S691,Q691,P691)</f>
        <v>48pieces</v>
      </c>
      <c r="U691" s="200">
        <f>L691*M691</f>
        <v>1338.72</v>
      </c>
      <c r="V691" s="12"/>
      <c r="W691" s="12"/>
    </row>
    <row r="692" spans="1:23" x14ac:dyDescent="0.3">
      <c r="A692" s="479">
        <v>247</v>
      </c>
      <c r="B692" s="194" t="s">
        <v>62</v>
      </c>
      <c r="C692" s="170"/>
      <c r="D692" s="194" t="str">
        <f ca="1">IFERROR(__xludf.DUMMYFUNCTION("IF(J178="""",""n/a"",IFERROR(SPLIT(J178,""/"")))"),"Superior")</f>
        <v>Superior</v>
      </c>
      <c r="E692" s="194" t="str">
        <f ca="1">IFERROR(__xludf.DUMMYFUNCTION("""COMPUTED_VALUE"""),"pack")</f>
        <v>pack</v>
      </c>
      <c r="F692" s="194" t="str">
        <f ca="1">IFERROR(__xludf.DUMMYFUNCTION("""COMPUTED_VALUE"""),"1000grams")</f>
        <v>1000grams</v>
      </c>
      <c r="G692" s="170"/>
      <c r="H692" s="183" t="s">
        <v>1897</v>
      </c>
      <c r="I692" s="170"/>
      <c r="J692" s="46" t="s">
        <v>63</v>
      </c>
      <c r="K692" s="170"/>
      <c r="L692" s="195">
        <v>0.06</v>
      </c>
      <c r="M692" s="202">
        <v>7000</v>
      </c>
      <c r="N692" s="203">
        <v>1000</v>
      </c>
      <c r="O692" s="61" t="str">
        <f ca="1">E692</f>
        <v>pack</v>
      </c>
      <c r="P692" s="61" t="s">
        <v>39</v>
      </c>
      <c r="Q692" s="61" t="s">
        <v>33</v>
      </c>
      <c r="R692" s="192" t="str">
        <f>CONCATENATE(N692,P692)</f>
        <v>1000grams</v>
      </c>
      <c r="S692" s="198">
        <f>M692*N692</f>
        <v>7000000</v>
      </c>
      <c r="T692" s="199" t="str">
        <f>CONCATENATE(S692,Q692,P692)</f>
        <v>7000000 grams</v>
      </c>
      <c r="U692" s="200">
        <f>L692*M692</f>
        <v>420</v>
      </c>
      <c r="V692" s="205"/>
      <c r="W692" s="62"/>
    </row>
    <row r="693" spans="1:23" x14ac:dyDescent="0.3">
      <c r="A693" s="479">
        <v>247</v>
      </c>
      <c r="B693" s="194" t="s">
        <v>62</v>
      </c>
      <c r="C693" s="170"/>
      <c r="D693" s="194" t="str">
        <f ca="1">IFERROR(__xludf.DUMMYFUNCTION("IF(J179="""",""n/a"",IFERROR(SPLIT(J179,""/"")))"),"Superior")</f>
        <v>Superior</v>
      </c>
      <c r="E693" s="194" t="str">
        <f ca="1">IFERROR(__xludf.DUMMYFUNCTION("""COMPUTED_VALUE"""),"pack")</f>
        <v>pack</v>
      </c>
      <c r="F693" s="194" t="str">
        <f ca="1">IFERROR(__xludf.DUMMYFUNCTION("""COMPUTED_VALUE"""),"1000grams")</f>
        <v>1000grams</v>
      </c>
      <c r="G693" s="170"/>
      <c r="H693" s="183" t="s">
        <v>1895</v>
      </c>
      <c r="I693" s="170"/>
      <c r="J693" s="46" t="s">
        <v>63</v>
      </c>
      <c r="K693" s="170"/>
      <c r="L693" s="195">
        <v>51.4</v>
      </c>
      <c r="M693" s="197">
        <v>28</v>
      </c>
      <c r="N693" s="61">
        <v>1000</v>
      </c>
      <c r="O693" s="61" t="str">
        <f ca="1">E693</f>
        <v>pack</v>
      </c>
      <c r="P693" s="61" t="s">
        <v>39</v>
      </c>
      <c r="Q693" s="170"/>
      <c r="R693" s="192" t="str">
        <f>CONCATENATE(N693,P693)</f>
        <v>1000grams</v>
      </c>
      <c r="S693" s="198">
        <f>M693*N693</f>
        <v>28000</v>
      </c>
      <c r="T693" s="199" t="str">
        <f>CONCATENATE(S693,Q693,P693)</f>
        <v>28000grams</v>
      </c>
      <c r="U693" s="200">
        <f>L693*M693</f>
        <v>1439.2</v>
      </c>
      <c r="V693" s="12"/>
      <c r="W693" s="12"/>
    </row>
    <row r="694" spans="1:23" x14ac:dyDescent="0.3">
      <c r="A694" s="479">
        <v>247</v>
      </c>
      <c r="B694" s="194" t="s">
        <v>62</v>
      </c>
      <c r="C694" s="170"/>
      <c r="D694" s="194" t="str">
        <f ca="1">IFERROR(__xludf.DUMMYFUNCTION("IF(J180="""",""n/a"",IFERROR(SPLIT(J180,""/"")))"),"Superior")</f>
        <v>Superior</v>
      </c>
      <c r="E694" s="194" t="str">
        <f ca="1">IFERROR(__xludf.DUMMYFUNCTION("""COMPUTED_VALUE"""),"pack")</f>
        <v>pack</v>
      </c>
      <c r="F694" s="194" t="str">
        <f ca="1">IFERROR(__xludf.DUMMYFUNCTION("""COMPUTED_VALUE"""),"1000grams")</f>
        <v>1000grams</v>
      </c>
      <c r="G694" s="170"/>
      <c r="H694" s="206" t="s">
        <v>1898</v>
      </c>
      <c r="I694" s="170"/>
      <c r="J694" s="46" t="s">
        <v>63</v>
      </c>
      <c r="K694" s="170"/>
      <c r="L694" s="197">
        <v>0.06</v>
      </c>
      <c r="M694" s="385">
        <v>200</v>
      </c>
      <c r="N694" s="208">
        <v>1000</v>
      </c>
      <c r="O694" s="61" t="str">
        <f ca="1">E694</f>
        <v>pack</v>
      </c>
      <c r="P694" s="61" t="s">
        <v>39</v>
      </c>
      <c r="Q694" s="170"/>
      <c r="R694" s="192" t="str">
        <f>CONCATENATE(N694,P694)</f>
        <v>1000grams</v>
      </c>
      <c r="S694" s="198">
        <f>M694*N694</f>
        <v>200000</v>
      </c>
      <c r="T694" s="199" t="str">
        <f>CONCATENATE(S694,Q694,P694)</f>
        <v>200000grams</v>
      </c>
      <c r="U694" s="200">
        <f>L694*M694</f>
        <v>12</v>
      </c>
      <c r="V694" s="12"/>
      <c r="W694" s="12"/>
    </row>
    <row r="695" spans="1:23" x14ac:dyDescent="0.3">
      <c r="A695" s="193">
        <v>247</v>
      </c>
      <c r="B695" s="46" t="s">
        <v>62</v>
      </c>
      <c r="C695" s="170"/>
      <c r="D695" s="194"/>
      <c r="E695" s="194"/>
      <c r="F695" s="170"/>
      <c r="G695" s="170"/>
      <c r="H695" s="194" t="s">
        <v>2025</v>
      </c>
      <c r="I695" s="170"/>
      <c r="J695" s="46" t="s">
        <v>1068</v>
      </c>
      <c r="K695" s="170"/>
      <c r="L695" s="197">
        <v>65</v>
      </c>
      <c r="M695" s="197">
        <v>5</v>
      </c>
      <c r="N695" s="290">
        <v>1</v>
      </c>
      <c r="O695" s="46"/>
      <c r="P695" s="46" t="s">
        <v>213</v>
      </c>
      <c r="Q695" s="170"/>
      <c r="R695" s="192" t="str">
        <f>CONCATENATE(N695,P695)</f>
        <v>1kilos</v>
      </c>
      <c r="S695" s="198">
        <f>M695*N695</f>
        <v>5</v>
      </c>
      <c r="T695" s="199" t="str">
        <f>CONCATENATE(S695,Q695,P695)</f>
        <v>5kilos</v>
      </c>
      <c r="U695" s="200">
        <f>L695*M695</f>
        <v>325</v>
      </c>
      <c r="V695" s="12"/>
      <c r="W695" s="12"/>
    </row>
    <row r="696" spans="1:23" x14ac:dyDescent="0.3">
      <c r="A696" s="193">
        <v>247</v>
      </c>
      <c r="B696" s="46" t="s">
        <v>62</v>
      </c>
      <c r="C696" s="170"/>
      <c r="D696" s="194"/>
      <c r="E696" s="194"/>
      <c r="F696" s="194"/>
      <c r="G696" s="170"/>
      <c r="H696" s="194" t="s">
        <v>2026</v>
      </c>
      <c r="I696" s="170"/>
      <c r="J696" s="46" t="s">
        <v>38</v>
      </c>
      <c r="K696" s="170"/>
      <c r="L696" s="197">
        <v>947.15</v>
      </c>
      <c r="M696" s="197">
        <v>1</v>
      </c>
      <c r="N696" s="290">
        <v>9600</v>
      </c>
      <c r="O696" s="46"/>
      <c r="P696" s="46" t="s">
        <v>39</v>
      </c>
      <c r="Q696" s="170"/>
      <c r="R696" s="192" t="str">
        <f>CONCATENATE(N696,P696)</f>
        <v>9600grams</v>
      </c>
      <c r="S696" s="198">
        <f>M696*N696</f>
        <v>9600</v>
      </c>
      <c r="T696" s="199" t="str">
        <f>CONCATENATE(S696,Q696,P696)</f>
        <v>9600grams</v>
      </c>
      <c r="U696" s="200">
        <f>L696*M696</f>
        <v>947.15</v>
      </c>
      <c r="V696" s="12"/>
      <c r="W696" s="12"/>
    </row>
    <row r="697" spans="1:23" x14ac:dyDescent="0.3">
      <c r="A697" s="193">
        <v>247</v>
      </c>
      <c r="B697" s="46" t="s">
        <v>62</v>
      </c>
      <c r="C697" s="170"/>
      <c r="D697" s="194"/>
      <c r="E697" s="170"/>
      <c r="F697" s="170"/>
      <c r="G697" s="170"/>
      <c r="H697" s="194" t="s">
        <v>1368</v>
      </c>
      <c r="I697" s="170"/>
      <c r="J697" s="170"/>
      <c r="K697" s="170"/>
      <c r="L697" s="197">
        <v>54</v>
      </c>
      <c r="M697" s="197">
        <v>3</v>
      </c>
      <c r="N697" s="290">
        <v>1</v>
      </c>
      <c r="O697" s="46"/>
      <c r="P697" s="46" t="s">
        <v>213</v>
      </c>
      <c r="Q697" s="170"/>
      <c r="R697" s="192" t="str">
        <f>CONCATENATE(N697,P697)</f>
        <v>1kilos</v>
      </c>
      <c r="S697" s="198">
        <f>M697*N697</f>
        <v>3</v>
      </c>
      <c r="T697" s="199" t="str">
        <f>CONCATENATE(S697,Q697,P697)</f>
        <v>3kilos</v>
      </c>
      <c r="U697" s="200">
        <f>L697*M697</f>
        <v>162</v>
      </c>
      <c r="V697" s="12"/>
      <c r="W697" s="12"/>
    </row>
    <row r="698" spans="1:23" x14ac:dyDescent="0.3">
      <c r="A698" s="193">
        <v>247</v>
      </c>
      <c r="B698" s="46" t="s">
        <v>62</v>
      </c>
      <c r="C698" s="170"/>
      <c r="D698" s="194"/>
      <c r="E698" s="170"/>
      <c r="F698" s="170"/>
      <c r="G698" s="170"/>
      <c r="H698" s="194" t="s">
        <v>2023</v>
      </c>
      <c r="I698" s="170"/>
      <c r="J698" s="46" t="s">
        <v>851</v>
      </c>
      <c r="K698" s="170"/>
      <c r="L698" s="197">
        <v>60</v>
      </c>
      <c r="M698" s="197">
        <v>1</v>
      </c>
      <c r="N698" s="290">
        <v>1000</v>
      </c>
      <c r="O698" s="297"/>
      <c r="P698" s="297" t="s">
        <v>39</v>
      </c>
      <c r="Q698" s="170"/>
      <c r="R698" s="192" t="str">
        <f>CONCATENATE(N698,P698)</f>
        <v>1000grams</v>
      </c>
      <c r="S698" s="198">
        <f>M698*N698</f>
        <v>1000</v>
      </c>
      <c r="T698" s="199" t="str">
        <f>CONCATENATE(S698,Q698,P698)</f>
        <v>1000grams</v>
      </c>
      <c r="U698" s="200">
        <f>L698*M698</f>
        <v>60</v>
      </c>
      <c r="V698" s="12"/>
      <c r="W698" s="12"/>
    </row>
    <row r="699" spans="1:23" x14ac:dyDescent="0.3">
      <c r="A699" s="193">
        <v>247</v>
      </c>
      <c r="B699" s="46" t="s">
        <v>62</v>
      </c>
      <c r="C699" s="170"/>
      <c r="D699" s="194"/>
      <c r="E699" s="170"/>
      <c r="F699" s="170"/>
      <c r="G699" s="170"/>
      <c r="H699" s="194" t="s">
        <v>2022</v>
      </c>
      <c r="I699" s="170"/>
      <c r="J699" s="46" t="s">
        <v>47</v>
      </c>
      <c r="K699" s="170"/>
      <c r="L699" s="197">
        <v>48.7</v>
      </c>
      <c r="M699" s="197">
        <v>4</v>
      </c>
      <c r="N699" s="290">
        <v>400</v>
      </c>
      <c r="O699" s="46"/>
      <c r="P699" s="46" t="s">
        <v>39</v>
      </c>
      <c r="Q699" s="170"/>
      <c r="R699" s="192" t="str">
        <f>CONCATENATE(N699,P699)</f>
        <v>400grams</v>
      </c>
      <c r="S699" s="198">
        <f>M699*N699</f>
        <v>1600</v>
      </c>
      <c r="T699" s="199" t="str">
        <f>CONCATENATE(S699,Q699,P699)</f>
        <v>1600grams</v>
      </c>
      <c r="U699" s="200">
        <f>L699*M699</f>
        <v>194.8</v>
      </c>
      <c r="V699" s="12"/>
      <c r="W699" s="12"/>
    </row>
    <row r="700" spans="1:23" x14ac:dyDescent="0.3">
      <c r="A700" s="193">
        <v>247</v>
      </c>
      <c r="B700" s="46" t="s">
        <v>62</v>
      </c>
      <c r="C700" s="170"/>
      <c r="D700" s="194"/>
      <c r="E700" s="170"/>
      <c r="F700" s="170"/>
      <c r="G700" s="170"/>
      <c r="H700" s="194" t="s">
        <v>2021</v>
      </c>
      <c r="I700" s="170"/>
      <c r="J700" s="215"/>
      <c r="K700" s="170"/>
      <c r="L700" s="216">
        <v>56</v>
      </c>
      <c r="M700" s="216">
        <v>15</v>
      </c>
      <c r="N700" s="293">
        <v>1000</v>
      </c>
      <c r="O700" s="219"/>
      <c r="P700" s="219" t="s">
        <v>39</v>
      </c>
      <c r="Q700" s="170"/>
      <c r="R700" s="192" t="str">
        <f>CONCATENATE(N700,P700)</f>
        <v>1000grams</v>
      </c>
      <c r="S700" s="198">
        <f>M700*N700</f>
        <v>15000</v>
      </c>
      <c r="T700" s="199" t="str">
        <f>CONCATENATE(S700,Q700,P700)</f>
        <v>15000grams</v>
      </c>
      <c r="U700" s="200">
        <f>L700*M700</f>
        <v>840</v>
      </c>
      <c r="V700" s="12"/>
      <c r="W700" s="12"/>
    </row>
    <row r="701" spans="1:23" x14ac:dyDescent="0.3">
      <c r="A701" s="193">
        <v>247</v>
      </c>
      <c r="B701" s="46" t="s">
        <v>62</v>
      </c>
      <c r="C701" s="170"/>
      <c r="D701" s="194"/>
      <c r="E701" s="170"/>
      <c r="F701" s="170"/>
      <c r="G701" s="170"/>
      <c r="H701" s="194" t="s">
        <v>2020</v>
      </c>
      <c r="I701" s="170"/>
      <c r="J701" s="46" t="s">
        <v>47</v>
      </c>
      <c r="K701" s="170"/>
      <c r="L701" s="197">
        <v>55</v>
      </c>
      <c r="M701" s="197">
        <v>5</v>
      </c>
      <c r="N701" s="290">
        <v>1000</v>
      </c>
      <c r="O701" s="46"/>
      <c r="P701" s="46" t="s">
        <v>213</v>
      </c>
      <c r="Q701" s="170"/>
      <c r="R701" s="192" t="str">
        <f>CONCATENATE(N701,P701)</f>
        <v>1000kilos</v>
      </c>
      <c r="S701" s="198">
        <f>M701*N701</f>
        <v>5000</v>
      </c>
      <c r="T701" s="199" t="str">
        <f>CONCATENATE(S701,Q701,P701)</f>
        <v>5000kilos</v>
      </c>
      <c r="U701" s="200">
        <f>L701*M701</f>
        <v>275</v>
      </c>
      <c r="V701" s="12"/>
      <c r="W701" s="12"/>
    </row>
    <row r="702" spans="1:23" x14ac:dyDescent="0.3">
      <c r="A702" s="193">
        <v>247</v>
      </c>
      <c r="B702" s="46" t="s">
        <v>62</v>
      </c>
      <c r="C702" s="215"/>
      <c r="D702" s="194"/>
      <c r="E702" s="215"/>
      <c r="F702" s="215"/>
      <c r="G702" s="215"/>
      <c r="H702" s="400" t="s">
        <v>2027</v>
      </c>
      <c r="I702" s="170"/>
      <c r="J702" s="46" t="s">
        <v>1589</v>
      </c>
      <c r="K702" s="170"/>
      <c r="L702" s="195">
        <v>56</v>
      </c>
      <c r="M702" s="197">
        <v>5</v>
      </c>
      <c r="N702" s="360">
        <v>1</v>
      </c>
      <c r="O702" s="61"/>
      <c r="P702" s="61" t="s">
        <v>1922</v>
      </c>
      <c r="Q702" s="170"/>
      <c r="R702" s="192" t="str">
        <f>CONCATENATE(N702,P702)</f>
        <v>1can</v>
      </c>
      <c r="S702" s="198">
        <f>M702*N702</f>
        <v>5</v>
      </c>
      <c r="T702" s="199" t="str">
        <f>CONCATENATE(S702,Q702,P702)</f>
        <v>5can</v>
      </c>
      <c r="U702" s="200">
        <f>L702*M702</f>
        <v>280</v>
      </c>
      <c r="V702" s="12"/>
      <c r="W702" s="12"/>
    </row>
    <row r="703" spans="1:23" x14ac:dyDescent="0.3">
      <c r="A703" s="193">
        <v>248</v>
      </c>
      <c r="B703" s="46" t="s">
        <v>1158</v>
      </c>
      <c r="C703" s="170"/>
      <c r="D703" s="194"/>
      <c r="E703" s="170"/>
      <c r="F703" s="170"/>
      <c r="G703" s="170"/>
      <c r="H703" s="194" t="s">
        <v>2025</v>
      </c>
      <c r="I703" s="170"/>
      <c r="J703" s="170"/>
      <c r="K703" s="170"/>
      <c r="L703" s="197">
        <v>700</v>
      </c>
      <c r="M703" s="197">
        <v>0</v>
      </c>
      <c r="N703" s="290">
        <v>500</v>
      </c>
      <c r="O703" s="46"/>
      <c r="P703" s="46" t="s">
        <v>39</v>
      </c>
      <c r="Q703" s="170"/>
      <c r="R703" s="192" t="str">
        <f>CONCATENATE(N703,P703)</f>
        <v>500grams</v>
      </c>
      <c r="S703" s="198">
        <f>M703*N703</f>
        <v>0</v>
      </c>
      <c r="T703" s="199" t="str">
        <f>CONCATENATE(S703,Q703,P703)</f>
        <v>0grams</v>
      </c>
      <c r="U703" s="200">
        <f>L703*M703</f>
        <v>0</v>
      </c>
      <c r="V703" s="12"/>
      <c r="W703" s="12"/>
    </row>
    <row r="704" spans="1:23" x14ac:dyDescent="0.3">
      <c r="A704" s="479">
        <v>249</v>
      </c>
      <c r="B704" s="194" t="s">
        <v>248</v>
      </c>
      <c r="C704" s="170"/>
      <c r="D704" s="194" t="str">
        <f ca="1">IFERROR(__xludf.DUMMYFUNCTION("IF(J181="""",""n/a"",IFERROR(SPLIT(J181,""/"")))"),"Knorr")</f>
        <v>Knorr</v>
      </c>
      <c r="E704" s="194" t="str">
        <f ca="1">IFERROR(__xludf.DUMMYFUNCTION("""COMPUTED_VALUE"""),"sachet")</f>
        <v>sachet</v>
      </c>
      <c r="F704" s="194" t="str">
        <f ca="1">IFERROR(__xludf.DUMMYFUNCTION("""COMPUTED_VALUE"""),"37grams")</f>
        <v>37grams</v>
      </c>
      <c r="G704" s="170"/>
      <c r="H704" s="183" t="s">
        <v>1895</v>
      </c>
      <c r="I704" s="170"/>
      <c r="J704" s="46" t="s">
        <v>249</v>
      </c>
      <c r="K704" s="170"/>
      <c r="L704" s="195">
        <v>35.9</v>
      </c>
      <c r="M704" s="197">
        <v>15</v>
      </c>
      <c r="N704" s="61">
        <v>1</v>
      </c>
      <c r="O704" s="61" t="str">
        <f ca="1">E704</f>
        <v>sachet</v>
      </c>
      <c r="P704" s="61" t="s">
        <v>39</v>
      </c>
      <c r="Q704" s="170"/>
      <c r="R704" s="192" t="str">
        <f>CONCATENATE(N704,P704)</f>
        <v>1grams</v>
      </c>
      <c r="S704" s="198">
        <f>M704*N704</f>
        <v>15</v>
      </c>
      <c r="T704" s="199" t="str">
        <f>CONCATENATE(S704,Q704,P704)</f>
        <v>15grams</v>
      </c>
      <c r="U704" s="200">
        <f>L704*M704</f>
        <v>538.5</v>
      </c>
      <c r="V704" s="12"/>
      <c r="W704" s="12"/>
    </row>
    <row r="705" spans="1:23" x14ac:dyDescent="0.3">
      <c r="A705" s="193">
        <v>249</v>
      </c>
      <c r="B705" s="219" t="s">
        <v>248</v>
      </c>
      <c r="C705" s="170"/>
      <c r="D705" s="194"/>
      <c r="E705" s="194"/>
      <c r="F705" s="170"/>
      <c r="G705" s="170"/>
      <c r="H705" s="194" t="s">
        <v>2026</v>
      </c>
      <c r="I705" s="170"/>
      <c r="J705" s="46" t="s">
        <v>987</v>
      </c>
      <c r="K705" s="170"/>
      <c r="L705" s="197">
        <v>35.9</v>
      </c>
      <c r="M705" s="197">
        <v>1</v>
      </c>
      <c r="N705" s="290">
        <v>37</v>
      </c>
      <c r="O705" s="46"/>
      <c r="P705" s="46" t="s">
        <v>39</v>
      </c>
      <c r="Q705" s="170"/>
      <c r="R705" s="192" t="str">
        <f>CONCATENATE(N705,P705)</f>
        <v>37grams</v>
      </c>
      <c r="S705" s="198">
        <f>M705*N705</f>
        <v>37</v>
      </c>
      <c r="T705" s="199" t="str">
        <f>CONCATENATE(S705,Q705,P705)</f>
        <v>37grams</v>
      </c>
      <c r="U705" s="200">
        <f>L705*M705</f>
        <v>35.9</v>
      </c>
      <c r="V705" s="12"/>
      <c r="W705" s="12"/>
    </row>
    <row r="706" spans="1:23" x14ac:dyDescent="0.3">
      <c r="A706" s="193">
        <v>249</v>
      </c>
      <c r="B706" s="219" t="s">
        <v>248</v>
      </c>
      <c r="C706" s="170"/>
      <c r="D706" s="194"/>
      <c r="E706" s="194"/>
      <c r="F706" s="170"/>
      <c r="G706" s="170"/>
      <c r="H706" s="194" t="s">
        <v>2022</v>
      </c>
      <c r="I706" s="170"/>
      <c r="J706" s="46" t="s">
        <v>987</v>
      </c>
      <c r="K706" s="170"/>
      <c r="L706" s="197">
        <v>62</v>
      </c>
      <c r="M706" s="197">
        <v>2</v>
      </c>
      <c r="N706" s="290">
        <v>55</v>
      </c>
      <c r="O706" s="46"/>
      <c r="P706" s="46" t="s">
        <v>39</v>
      </c>
      <c r="Q706" s="170"/>
      <c r="R706" s="192" t="str">
        <f>CONCATENATE(N706,P706)</f>
        <v>55grams</v>
      </c>
      <c r="S706" s="198">
        <f>M706*N706</f>
        <v>110</v>
      </c>
      <c r="T706" s="199" t="str">
        <f>CONCATENATE(S706,Q706,P706)</f>
        <v>110grams</v>
      </c>
      <c r="U706" s="200">
        <f>L706*M706</f>
        <v>124</v>
      </c>
      <c r="V706" s="12"/>
      <c r="W706" s="12"/>
    </row>
    <row r="707" spans="1:23" x14ac:dyDescent="0.3">
      <c r="A707" s="193">
        <v>250</v>
      </c>
      <c r="B707" s="219" t="s">
        <v>1159</v>
      </c>
      <c r="C707" s="170"/>
      <c r="D707" s="194"/>
      <c r="E707" s="170"/>
      <c r="F707" s="170"/>
      <c r="G707" s="170"/>
      <c r="H707" s="194" t="s">
        <v>2026</v>
      </c>
      <c r="I707" s="170"/>
      <c r="J707" s="46" t="s">
        <v>1160</v>
      </c>
      <c r="K707" s="170"/>
      <c r="L707" s="197">
        <v>186</v>
      </c>
      <c r="M707" s="197">
        <v>0</v>
      </c>
      <c r="N707" s="290">
        <v>500</v>
      </c>
      <c r="O707" s="46"/>
      <c r="P707" s="46" t="s">
        <v>39</v>
      </c>
      <c r="Q707" s="170"/>
      <c r="R707" s="192" t="str">
        <f>CONCATENATE(N707,P707)</f>
        <v>500grams</v>
      </c>
      <c r="S707" s="198">
        <f>M707*N707</f>
        <v>0</v>
      </c>
      <c r="T707" s="199" t="str">
        <f>CONCATENATE(S707,Q707,P707)</f>
        <v>0grams</v>
      </c>
      <c r="U707" s="200">
        <f>L707*M707</f>
        <v>0</v>
      </c>
      <c r="V707" s="12"/>
      <c r="W707" s="12"/>
    </row>
    <row r="708" spans="1:23" x14ac:dyDescent="0.3">
      <c r="A708" s="193">
        <v>251</v>
      </c>
      <c r="B708" s="46" t="s">
        <v>1161</v>
      </c>
      <c r="C708" s="170"/>
      <c r="D708" s="194"/>
      <c r="E708" s="170"/>
      <c r="F708" s="170"/>
      <c r="G708" s="170"/>
      <c r="H708" s="194" t="s">
        <v>2023</v>
      </c>
      <c r="I708" s="170"/>
      <c r="J708" s="46" t="s">
        <v>1162</v>
      </c>
      <c r="K708" s="170"/>
      <c r="L708" s="197">
        <v>6.13</v>
      </c>
      <c r="M708" s="197">
        <v>50</v>
      </c>
      <c r="N708" s="290">
        <v>30</v>
      </c>
      <c r="O708" s="46"/>
      <c r="P708" s="46" t="s">
        <v>39</v>
      </c>
      <c r="Q708" s="170"/>
      <c r="R708" s="192" t="str">
        <f>CONCATENATE(N708,P708)</f>
        <v>30grams</v>
      </c>
      <c r="S708" s="198">
        <f>M708*N708</f>
        <v>1500</v>
      </c>
      <c r="T708" s="199" t="str">
        <f>CONCATENATE(S708,Q708,P708)</f>
        <v>1500grams</v>
      </c>
      <c r="U708" s="200">
        <f>L708*M708</f>
        <v>306.5</v>
      </c>
      <c r="V708" s="12"/>
      <c r="W708" s="12"/>
    </row>
    <row r="709" spans="1:23" x14ac:dyDescent="0.3">
      <c r="A709" s="193">
        <v>251</v>
      </c>
      <c r="B709" s="46" t="s">
        <v>1161</v>
      </c>
      <c r="C709" s="170"/>
      <c r="D709" s="194"/>
      <c r="E709" s="170"/>
      <c r="F709" s="170"/>
      <c r="G709" s="170"/>
      <c r="H709" s="194" t="s">
        <v>2026</v>
      </c>
      <c r="I709" s="170"/>
      <c r="J709" s="46" t="s">
        <v>1163</v>
      </c>
      <c r="K709" s="170"/>
      <c r="L709" s="197">
        <v>5.71</v>
      </c>
      <c r="M709" s="197">
        <v>30</v>
      </c>
      <c r="N709" s="290">
        <v>28</v>
      </c>
      <c r="O709" s="46"/>
      <c r="P709" s="46" t="s">
        <v>39</v>
      </c>
      <c r="Q709" s="170"/>
      <c r="R709" s="192" t="str">
        <f>CONCATENATE(N709,P709)</f>
        <v>28grams</v>
      </c>
      <c r="S709" s="198">
        <f>M709*N709</f>
        <v>840</v>
      </c>
      <c r="T709" s="199" t="str">
        <f>CONCATENATE(S709,Q709,P709)</f>
        <v>840grams</v>
      </c>
      <c r="U709" s="200">
        <f>L709*M709</f>
        <v>171.3</v>
      </c>
      <c r="V709" s="12"/>
      <c r="W709" s="12"/>
    </row>
    <row r="710" spans="1:23" x14ac:dyDescent="0.3">
      <c r="A710" s="193">
        <v>251</v>
      </c>
      <c r="B710" s="219" t="s">
        <v>1161</v>
      </c>
      <c r="C710" s="170"/>
      <c r="D710" s="194"/>
      <c r="E710" s="170"/>
      <c r="F710" s="170"/>
      <c r="G710" s="170"/>
      <c r="H710" s="194" t="s">
        <v>2020</v>
      </c>
      <c r="I710" s="170"/>
      <c r="J710" s="46" t="s">
        <v>1164</v>
      </c>
      <c r="K710" s="170"/>
      <c r="L710" s="197">
        <v>5.51</v>
      </c>
      <c r="M710" s="197">
        <v>6</v>
      </c>
      <c r="N710" s="290">
        <v>25</v>
      </c>
      <c r="O710" s="46"/>
      <c r="P710" s="46" t="s">
        <v>39</v>
      </c>
      <c r="Q710" s="170"/>
      <c r="R710" s="192" t="str">
        <f>CONCATENATE(N710,P710)</f>
        <v>25grams</v>
      </c>
      <c r="S710" s="198">
        <f>M710*N710</f>
        <v>150</v>
      </c>
      <c r="T710" s="199" t="str">
        <f>CONCATENATE(S710,Q710,P710)</f>
        <v>150grams</v>
      </c>
      <c r="U710" s="200">
        <f>L710*M710</f>
        <v>33.06</v>
      </c>
      <c r="V710" s="12"/>
      <c r="W710" s="12"/>
    </row>
    <row r="711" spans="1:23" x14ac:dyDescent="0.3">
      <c r="A711" s="193">
        <v>251</v>
      </c>
      <c r="B711" s="219" t="s">
        <v>1161</v>
      </c>
      <c r="C711" s="170"/>
      <c r="D711" s="194"/>
      <c r="E711" s="170"/>
      <c r="F711" s="170"/>
      <c r="G711" s="170"/>
      <c r="H711" s="194" t="s">
        <v>2026</v>
      </c>
      <c r="I711" s="170"/>
      <c r="J711" s="46" t="s">
        <v>1164</v>
      </c>
      <c r="K711" s="170"/>
      <c r="L711" s="197">
        <v>5.51</v>
      </c>
      <c r="M711" s="197">
        <v>72</v>
      </c>
      <c r="N711" s="290">
        <v>25</v>
      </c>
      <c r="O711" s="297"/>
      <c r="P711" s="297" t="s">
        <v>39</v>
      </c>
      <c r="Q711" s="170"/>
      <c r="R711" s="192" t="str">
        <f>CONCATENATE(N711,P711)</f>
        <v>25grams</v>
      </c>
      <c r="S711" s="198">
        <f>M711*N711</f>
        <v>1800</v>
      </c>
      <c r="T711" s="199" t="str">
        <f>CONCATENATE(S711,Q711,P711)</f>
        <v>1800grams</v>
      </c>
      <c r="U711" s="200">
        <f>L711*M711</f>
        <v>396.71999999999997</v>
      </c>
      <c r="V711" s="12"/>
      <c r="W711" s="12"/>
    </row>
    <row r="712" spans="1:23" x14ac:dyDescent="0.3">
      <c r="A712" s="193">
        <v>251</v>
      </c>
      <c r="B712" s="219" t="s">
        <v>1161</v>
      </c>
      <c r="C712" s="170"/>
      <c r="D712" s="194"/>
      <c r="E712" s="170"/>
      <c r="F712" s="170"/>
      <c r="G712" s="170"/>
      <c r="H712" s="194" t="s">
        <v>2026</v>
      </c>
      <c r="I712" s="170"/>
      <c r="J712" s="46" t="s">
        <v>1164</v>
      </c>
      <c r="K712" s="170"/>
      <c r="L712" s="197">
        <v>201</v>
      </c>
      <c r="M712" s="197">
        <v>2</v>
      </c>
      <c r="N712" s="290">
        <v>1</v>
      </c>
      <c r="O712" s="297"/>
      <c r="P712" s="297" t="s">
        <v>1165</v>
      </c>
      <c r="Q712" s="170"/>
      <c r="R712" s="192" t="str">
        <f>CONCATENATE(N712,P712)</f>
        <v>1tub</v>
      </c>
      <c r="S712" s="198">
        <f>M712*N712</f>
        <v>2</v>
      </c>
      <c r="T712" s="199" t="str">
        <f>CONCATENATE(S712,Q712,P712)</f>
        <v>2tub</v>
      </c>
      <c r="U712" s="200">
        <f>L712*M712</f>
        <v>402</v>
      </c>
      <c r="V712" s="12"/>
      <c r="W712" s="12"/>
    </row>
    <row r="713" spans="1:23" x14ac:dyDescent="0.3">
      <c r="A713" s="193">
        <v>251</v>
      </c>
      <c r="B713" s="219" t="s">
        <v>1161</v>
      </c>
      <c r="C713" s="170"/>
      <c r="D713" s="194"/>
      <c r="E713" s="194"/>
      <c r="F713" s="170"/>
      <c r="G713" s="170"/>
      <c r="H713" s="194" t="s">
        <v>2026</v>
      </c>
      <c r="I713" s="170"/>
      <c r="J713" s="46" t="s">
        <v>1164</v>
      </c>
      <c r="K713" s="170"/>
      <c r="L713" s="197">
        <v>5.85</v>
      </c>
      <c r="M713" s="197">
        <v>20</v>
      </c>
      <c r="N713" s="290">
        <v>10</v>
      </c>
      <c r="O713" s="297"/>
      <c r="P713" s="297" t="s">
        <v>92</v>
      </c>
      <c r="Q713" s="170"/>
      <c r="R713" s="192" t="str">
        <f>CONCATENATE(N713,P713)</f>
        <v>10pieces</v>
      </c>
      <c r="S713" s="198">
        <f>M713*N713</f>
        <v>200</v>
      </c>
      <c r="T713" s="199" t="str">
        <f>CONCATENATE(S713,Q713,P713)</f>
        <v>200pieces</v>
      </c>
      <c r="U713" s="200">
        <f>L713*M713</f>
        <v>117</v>
      </c>
      <c r="V713" s="12"/>
      <c r="W713" s="12"/>
    </row>
    <row r="714" spans="1:23" x14ac:dyDescent="0.3">
      <c r="A714" s="193">
        <v>251</v>
      </c>
      <c r="B714" s="219" t="s">
        <v>1161</v>
      </c>
      <c r="C714" s="170"/>
      <c r="D714" s="194"/>
      <c r="E714" s="194"/>
      <c r="F714" s="170"/>
      <c r="G714" s="170"/>
      <c r="H714" s="194" t="s">
        <v>2026</v>
      </c>
      <c r="I714" s="170"/>
      <c r="J714" s="46" t="s">
        <v>1166</v>
      </c>
      <c r="K714" s="170"/>
      <c r="L714" s="197">
        <v>6.66</v>
      </c>
      <c r="M714" s="197">
        <v>30</v>
      </c>
      <c r="N714" s="290">
        <v>10</v>
      </c>
      <c r="O714" s="297"/>
      <c r="P714" s="297" t="s">
        <v>92</v>
      </c>
      <c r="Q714" s="170"/>
      <c r="R714" s="192" t="str">
        <f>CONCATENATE(N714,P714)</f>
        <v>10pieces</v>
      </c>
      <c r="S714" s="198">
        <f>M714*N714</f>
        <v>300</v>
      </c>
      <c r="T714" s="199" t="str">
        <f>CONCATENATE(S714,Q714,P714)</f>
        <v>300pieces</v>
      </c>
      <c r="U714" s="200">
        <f>L714*M714</f>
        <v>199.8</v>
      </c>
      <c r="V714" s="12"/>
      <c r="W714" s="12"/>
    </row>
    <row r="715" spans="1:23" x14ac:dyDescent="0.3">
      <c r="A715" s="193">
        <v>251</v>
      </c>
      <c r="B715" s="219" t="s">
        <v>1161</v>
      </c>
      <c r="C715" s="170"/>
      <c r="D715" s="194"/>
      <c r="E715" s="194"/>
      <c r="F715" s="170"/>
      <c r="G715" s="170"/>
      <c r="H715" s="194" t="s">
        <v>2024</v>
      </c>
      <c r="I715" s="170"/>
      <c r="J715" s="46" t="s">
        <v>1164</v>
      </c>
      <c r="K715" s="170"/>
      <c r="L715" s="197">
        <v>58.5</v>
      </c>
      <c r="M715" s="197">
        <v>20</v>
      </c>
      <c r="N715" s="290">
        <v>25</v>
      </c>
      <c r="O715" s="297"/>
      <c r="P715" s="297" t="s">
        <v>39</v>
      </c>
      <c r="Q715" s="170"/>
      <c r="R715" s="192" t="str">
        <f>CONCATENATE(N715,P715)</f>
        <v>25grams</v>
      </c>
      <c r="S715" s="198">
        <f>M715*N715</f>
        <v>500</v>
      </c>
      <c r="T715" s="199" t="str">
        <f>CONCATENATE(S715,Q715,P715)</f>
        <v>500grams</v>
      </c>
      <c r="U715" s="200">
        <f>L715*M715</f>
        <v>1170</v>
      </c>
      <c r="V715" s="12"/>
      <c r="W715" s="12"/>
    </row>
    <row r="716" spans="1:23" x14ac:dyDescent="0.3">
      <c r="A716" s="193">
        <v>251</v>
      </c>
      <c r="B716" s="219" t="s">
        <v>1161</v>
      </c>
      <c r="C716" s="170"/>
      <c r="D716" s="194"/>
      <c r="E716" s="170"/>
      <c r="F716" s="170"/>
      <c r="G716" s="170"/>
      <c r="H716" s="194" t="s">
        <v>2023</v>
      </c>
      <c r="I716" s="170"/>
      <c r="J716" s="46" t="s">
        <v>1167</v>
      </c>
      <c r="K716" s="170"/>
      <c r="L716" s="396">
        <v>6.66</v>
      </c>
      <c r="M716" s="197">
        <v>16</v>
      </c>
      <c r="N716" s="290">
        <v>10</v>
      </c>
      <c r="O716" s="297"/>
      <c r="P716" s="297" t="s">
        <v>92</v>
      </c>
      <c r="Q716" s="170"/>
      <c r="R716" s="192" t="str">
        <f>CONCATENATE(N716,P716)</f>
        <v>10pieces</v>
      </c>
      <c r="S716" s="198">
        <f>M716*N716</f>
        <v>160</v>
      </c>
      <c r="T716" s="199" t="str">
        <f>CONCATENATE(S716,Q716,P716)</f>
        <v>160pieces</v>
      </c>
      <c r="U716" s="200">
        <f>L716*M716</f>
        <v>106.56</v>
      </c>
      <c r="V716" s="12"/>
      <c r="W716" s="12"/>
    </row>
    <row r="717" spans="1:23" x14ac:dyDescent="0.3">
      <c r="A717" s="193">
        <v>251</v>
      </c>
      <c r="B717" s="46" t="s">
        <v>1161</v>
      </c>
      <c r="C717" s="170"/>
      <c r="D717" s="194"/>
      <c r="E717" s="170"/>
      <c r="F717" s="170"/>
      <c r="G717" s="170"/>
      <c r="H717" s="194" t="s">
        <v>2025</v>
      </c>
      <c r="I717" s="170"/>
      <c r="J717" s="46" t="s">
        <v>1168</v>
      </c>
      <c r="K717" s="170"/>
      <c r="L717" s="197">
        <v>5.7</v>
      </c>
      <c r="M717" s="397">
        <v>6</v>
      </c>
      <c r="N717" s="313">
        <v>33</v>
      </c>
      <c r="O717" s="314"/>
      <c r="P717" s="314" t="s">
        <v>39</v>
      </c>
      <c r="Q717" s="170"/>
      <c r="R717" s="192" t="str">
        <f>CONCATENATE(N717,P717)</f>
        <v>33grams</v>
      </c>
      <c r="S717" s="198">
        <f>M717*N717</f>
        <v>198</v>
      </c>
      <c r="T717" s="199" t="str">
        <f>CONCATENATE(S717,Q717,P717)</f>
        <v>198grams</v>
      </c>
      <c r="U717" s="200">
        <f>L717*M717</f>
        <v>34.200000000000003</v>
      </c>
      <c r="V717" s="12"/>
      <c r="W717" s="12"/>
    </row>
    <row r="718" spans="1:23" x14ac:dyDescent="0.3">
      <c r="A718" s="193">
        <v>251</v>
      </c>
      <c r="B718" s="46" t="s">
        <v>1161</v>
      </c>
      <c r="C718" s="170"/>
      <c r="D718" s="194"/>
      <c r="E718" s="194"/>
      <c r="F718" s="170"/>
      <c r="G718" s="170"/>
      <c r="H718" s="194" t="s">
        <v>2025</v>
      </c>
      <c r="I718" s="170"/>
      <c r="J718" s="46" t="s">
        <v>1169</v>
      </c>
      <c r="K718" s="170"/>
      <c r="L718" s="197">
        <v>5.6</v>
      </c>
      <c r="M718" s="397">
        <v>7</v>
      </c>
      <c r="N718" s="313">
        <v>30</v>
      </c>
      <c r="O718" s="314"/>
      <c r="P718" s="314" t="s">
        <v>39</v>
      </c>
      <c r="Q718" s="170"/>
      <c r="R718" s="192" t="str">
        <f>CONCATENATE(N718,P718)</f>
        <v>30grams</v>
      </c>
      <c r="S718" s="198">
        <f>M718*N718</f>
        <v>210</v>
      </c>
      <c r="T718" s="199" t="str">
        <f>CONCATENATE(S718,Q718,P718)</f>
        <v>210grams</v>
      </c>
      <c r="U718" s="200">
        <f>L718*M718</f>
        <v>39.199999999999996</v>
      </c>
      <c r="V718" s="12"/>
      <c r="W718" s="12"/>
    </row>
    <row r="719" spans="1:23" x14ac:dyDescent="0.3">
      <c r="A719" s="193">
        <v>251</v>
      </c>
      <c r="B719" s="46" t="s">
        <v>1161</v>
      </c>
      <c r="C719" s="170"/>
      <c r="D719" s="194"/>
      <c r="E719" s="194"/>
      <c r="F719" s="170"/>
      <c r="G719" s="170"/>
      <c r="H719" s="194" t="s">
        <v>2026</v>
      </c>
      <c r="I719" s="170"/>
      <c r="J719" s="46" t="s">
        <v>1170</v>
      </c>
      <c r="K719" s="170"/>
      <c r="L719" s="197">
        <v>5.71</v>
      </c>
      <c r="M719" s="197">
        <v>30</v>
      </c>
      <c r="N719" s="290">
        <v>10</v>
      </c>
      <c r="O719" s="46"/>
      <c r="P719" s="46" t="s">
        <v>92</v>
      </c>
      <c r="Q719" s="170"/>
      <c r="R719" s="192" t="str">
        <f>CONCATENATE(N719,P719)</f>
        <v>10pieces</v>
      </c>
      <c r="S719" s="198">
        <f>M719*N719</f>
        <v>300</v>
      </c>
      <c r="T719" s="199" t="str">
        <f>CONCATENATE(S719,Q719,P719)</f>
        <v>300pieces</v>
      </c>
      <c r="U719" s="200">
        <f>L719*M719</f>
        <v>171.3</v>
      </c>
      <c r="V719" s="12"/>
      <c r="W719" s="12"/>
    </row>
    <row r="720" spans="1:23" x14ac:dyDescent="0.3">
      <c r="A720" s="193">
        <v>251</v>
      </c>
      <c r="B720" s="46" t="s">
        <v>1161</v>
      </c>
      <c r="C720" s="170"/>
      <c r="D720" s="194"/>
      <c r="E720" s="170"/>
      <c r="F720" s="170"/>
      <c r="G720" s="170"/>
      <c r="H720" s="194" t="s">
        <v>2026</v>
      </c>
      <c r="I720" s="170"/>
      <c r="J720" s="46" t="s">
        <v>1171</v>
      </c>
      <c r="K720" s="170"/>
      <c r="L720" s="197">
        <v>5.71</v>
      </c>
      <c r="M720" s="197">
        <v>30</v>
      </c>
      <c r="N720" s="290">
        <v>10</v>
      </c>
      <c r="O720" s="46"/>
      <c r="P720" s="46" t="s">
        <v>92</v>
      </c>
      <c r="Q720" s="170"/>
      <c r="R720" s="192" t="str">
        <f>CONCATENATE(N720,P720)</f>
        <v>10pieces</v>
      </c>
      <c r="S720" s="198">
        <f>M720*N720</f>
        <v>300</v>
      </c>
      <c r="T720" s="199" t="str">
        <f>CONCATENATE(S720,Q720,P720)</f>
        <v>300pieces</v>
      </c>
      <c r="U720" s="200">
        <f>L720*M720</f>
        <v>171.3</v>
      </c>
      <c r="V720" s="12"/>
      <c r="W720" s="12"/>
    </row>
    <row r="721" spans="1:23" x14ac:dyDescent="0.3">
      <c r="A721" s="193">
        <v>251</v>
      </c>
      <c r="B721" s="46" t="s">
        <v>1161</v>
      </c>
      <c r="C721" s="170"/>
      <c r="D721" s="194"/>
      <c r="E721" s="170"/>
      <c r="F721" s="170"/>
      <c r="G721" s="170"/>
      <c r="H721" s="194" t="s">
        <v>2026</v>
      </c>
      <c r="I721" s="170"/>
      <c r="J721" s="46" t="s">
        <v>1172</v>
      </c>
      <c r="K721" s="170"/>
      <c r="L721" s="197">
        <v>5.71</v>
      </c>
      <c r="M721" s="197">
        <v>60</v>
      </c>
      <c r="N721" s="290">
        <v>10</v>
      </c>
      <c r="O721" s="46"/>
      <c r="P721" s="46" t="s">
        <v>92</v>
      </c>
      <c r="Q721" s="170"/>
      <c r="R721" s="192" t="str">
        <f>CONCATENATE(N721,P721)</f>
        <v>10pieces</v>
      </c>
      <c r="S721" s="198">
        <f>M721*N721</f>
        <v>600</v>
      </c>
      <c r="T721" s="199" t="str">
        <f>CONCATENATE(S721,Q721,P721)</f>
        <v>600pieces</v>
      </c>
      <c r="U721" s="200">
        <f>L721*M721</f>
        <v>342.6</v>
      </c>
      <c r="V721" s="12"/>
      <c r="W721" s="12"/>
    </row>
    <row r="722" spans="1:23" x14ac:dyDescent="0.3">
      <c r="A722" s="193">
        <v>251</v>
      </c>
      <c r="B722" s="46" t="s">
        <v>1161</v>
      </c>
      <c r="C722" s="170"/>
      <c r="D722" s="194"/>
      <c r="E722" s="194"/>
      <c r="F722" s="194"/>
      <c r="G722" s="170"/>
      <c r="H722" s="194" t="s">
        <v>2026</v>
      </c>
      <c r="I722" s="170"/>
      <c r="J722" s="46" t="s">
        <v>1173</v>
      </c>
      <c r="K722" s="170"/>
      <c r="L722" s="197">
        <v>5.6</v>
      </c>
      <c r="M722" s="197">
        <v>60</v>
      </c>
      <c r="N722" s="290">
        <v>10</v>
      </c>
      <c r="O722" s="46"/>
      <c r="P722" s="46" t="s">
        <v>92</v>
      </c>
      <c r="Q722" s="170"/>
      <c r="R722" s="192" t="str">
        <f>CONCATENATE(N722,P722)</f>
        <v>10pieces</v>
      </c>
      <c r="S722" s="198">
        <f>M722*N722</f>
        <v>600</v>
      </c>
      <c r="T722" s="199" t="str">
        <f>CONCATENATE(S722,Q722,P722)</f>
        <v>600pieces</v>
      </c>
      <c r="U722" s="200">
        <f>L722*M722</f>
        <v>336</v>
      </c>
      <c r="V722" s="12"/>
      <c r="W722" s="12"/>
    </row>
    <row r="723" spans="1:23" x14ac:dyDescent="0.3">
      <c r="A723" s="193">
        <v>251</v>
      </c>
      <c r="B723" s="46" t="s">
        <v>1161</v>
      </c>
      <c r="C723" s="170"/>
      <c r="D723" s="194"/>
      <c r="E723" s="194"/>
      <c r="F723" s="194"/>
      <c r="G723" s="170"/>
      <c r="H723" s="194" t="s">
        <v>2025</v>
      </c>
      <c r="I723" s="170"/>
      <c r="J723" s="46" t="s">
        <v>1174</v>
      </c>
      <c r="K723" s="170"/>
      <c r="L723" s="197">
        <v>5.6</v>
      </c>
      <c r="M723" s="397">
        <v>10</v>
      </c>
      <c r="N723" s="313">
        <v>1</v>
      </c>
      <c r="O723" s="314"/>
      <c r="P723" s="314" t="s">
        <v>92</v>
      </c>
      <c r="Q723" s="170"/>
      <c r="R723" s="192" t="str">
        <f>CONCATENATE(N723,P723)</f>
        <v>1pieces</v>
      </c>
      <c r="S723" s="198">
        <f>M723*N723</f>
        <v>10</v>
      </c>
      <c r="T723" s="199" t="str">
        <f>CONCATENATE(S723,Q723,P723)</f>
        <v>10pieces</v>
      </c>
      <c r="U723" s="200">
        <f>L723*M723</f>
        <v>56</v>
      </c>
      <c r="V723" s="12"/>
      <c r="W723" s="12"/>
    </row>
    <row r="724" spans="1:23" x14ac:dyDescent="0.3">
      <c r="A724" s="193">
        <v>251</v>
      </c>
      <c r="B724" s="46" t="s">
        <v>1161</v>
      </c>
      <c r="C724" s="170"/>
      <c r="D724" s="194"/>
      <c r="E724" s="170"/>
      <c r="F724" s="170"/>
      <c r="G724" s="170"/>
      <c r="H724" s="194" t="s">
        <v>2025</v>
      </c>
      <c r="I724" s="170"/>
      <c r="J724" s="46" t="s">
        <v>1175</v>
      </c>
      <c r="K724" s="170"/>
      <c r="L724" s="197">
        <v>5.9</v>
      </c>
      <c r="M724" s="197">
        <v>10</v>
      </c>
      <c r="N724" s="290">
        <v>30</v>
      </c>
      <c r="O724" s="46"/>
      <c r="P724" s="46" t="s">
        <v>39</v>
      </c>
      <c r="Q724" s="170"/>
      <c r="R724" s="192" t="str">
        <f>CONCATENATE(N724,P724)</f>
        <v>30grams</v>
      </c>
      <c r="S724" s="198">
        <f>M724*N724</f>
        <v>300</v>
      </c>
      <c r="T724" s="199" t="str">
        <f>CONCATENATE(S724,Q724,P724)</f>
        <v>300grams</v>
      </c>
      <c r="U724" s="200">
        <f>L724*M724</f>
        <v>59</v>
      </c>
      <c r="V724" s="12"/>
      <c r="W724" s="12"/>
    </row>
    <row r="725" spans="1:23" x14ac:dyDescent="0.3">
      <c r="A725" s="193">
        <v>251</v>
      </c>
      <c r="B725" s="46" t="s">
        <v>1161</v>
      </c>
      <c r="C725" s="215"/>
      <c r="D725" s="194"/>
      <c r="E725" s="215"/>
      <c r="F725" s="215"/>
      <c r="G725" s="215"/>
      <c r="H725" s="400" t="s">
        <v>2027</v>
      </c>
      <c r="I725" s="170"/>
      <c r="J725" s="170" t="s">
        <v>1919</v>
      </c>
      <c r="K725" s="170"/>
      <c r="L725" s="195">
        <v>5.62</v>
      </c>
      <c r="M725" s="197">
        <v>1</v>
      </c>
      <c r="N725" s="360">
        <v>1</v>
      </c>
      <c r="O725" s="61"/>
      <c r="P725" s="61" t="s">
        <v>92</v>
      </c>
      <c r="Q725" s="170"/>
      <c r="R725" s="192" t="str">
        <f>CONCATENATE(N725,P725)</f>
        <v>1pieces</v>
      </c>
      <c r="S725" s="198">
        <f>M725*N725</f>
        <v>1</v>
      </c>
      <c r="T725" s="199" t="str">
        <f>CONCATENATE(S725,Q725,P725)</f>
        <v>1pieces</v>
      </c>
      <c r="U725" s="200">
        <f>L725*M725</f>
        <v>5.62</v>
      </c>
      <c r="V725" s="12"/>
      <c r="W725" s="12"/>
    </row>
    <row r="726" spans="1:23" x14ac:dyDescent="0.3">
      <c r="A726" s="479">
        <v>252</v>
      </c>
      <c r="B726" s="194" t="s">
        <v>380</v>
      </c>
      <c r="C726" s="170"/>
      <c r="D726" s="194" t="str">
        <f ca="1">IFERROR(__xludf.DUMMYFUNCTION("IF(J182="""",""n/a"",IFERROR(SPLIT(J182,""/"")))"),"Oishi")</f>
        <v>Oishi</v>
      </c>
      <c r="E726" s="194" t="str">
        <f ca="1">IFERROR(__xludf.DUMMYFUNCTION("""COMPUTED_VALUE"""),"box (50pcsx50grams)")</f>
        <v>box (50pcsx50grams)</v>
      </c>
      <c r="F726" s="170"/>
      <c r="G726" s="170"/>
      <c r="H726" s="183" t="s">
        <v>1895</v>
      </c>
      <c r="I726" s="170"/>
      <c r="J726" s="46" t="s">
        <v>381</v>
      </c>
      <c r="K726" s="170"/>
      <c r="L726" s="195">
        <v>13.56</v>
      </c>
      <c r="M726" s="197">
        <v>25</v>
      </c>
      <c r="N726" s="61">
        <v>1</v>
      </c>
      <c r="O726" s="61" t="str">
        <f ca="1">E726</f>
        <v>box (50pcsx50grams)</v>
      </c>
      <c r="P726" s="61" t="s">
        <v>92</v>
      </c>
      <c r="Q726" s="170"/>
      <c r="R726" s="192" t="str">
        <f>CONCATENATE(N726,P726)</f>
        <v>1pieces</v>
      </c>
      <c r="S726" s="198">
        <f>M726*N726</f>
        <v>25</v>
      </c>
      <c r="T726" s="199" t="str">
        <f>CONCATENATE(S726,Q726,P726)</f>
        <v>25pieces</v>
      </c>
      <c r="U726" s="200">
        <f>L726*M726</f>
        <v>339</v>
      </c>
      <c r="V726" s="12"/>
      <c r="W726" s="12"/>
    </row>
    <row r="727" spans="1:23" x14ac:dyDescent="0.3">
      <c r="A727" s="479">
        <v>253</v>
      </c>
      <c r="B727" s="194" t="s">
        <v>573</v>
      </c>
      <c r="C727" s="170"/>
      <c r="D727" s="194" t="str">
        <f ca="1">IFERROR(__xludf.DUMMYFUNCTION("IF(J183="""",""n/a"",IFERROR(SPLIT(J183,""/"")))"),"n/a")</f>
        <v>n/a</v>
      </c>
      <c r="E727" s="170"/>
      <c r="F727" s="170"/>
      <c r="G727" s="170"/>
      <c r="H727" s="206" t="s">
        <v>1898</v>
      </c>
      <c r="I727" s="170"/>
      <c r="J727" s="170"/>
      <c r="K727" s="170"/>
      <c r="L727" s="197">
        <v>0.11</v>
      </c>
      <c r="M727" s="386">
        <v>10000</v>
      </c>
      <c r="N727" s="208">
        <v>1000</v>
      </c>
      <c r="O727" s="170">
        <f>E727</f>
        <v>0</v>
      </c>
      <c r="P727" s="61" t="s">
        <v>39</v>
      </c>
      <c r="Q727" s="170"/>
      <c r="R727" s="192" t="str">
        <f>CONCATENATE(N727,P727)</f>
        <v>1000grams</v>
      </c>
      <c r="S727" s="198">
        <f>M727*N727</f>
        <v>10000000</v>
      </c>
      <c r="T727" s="199" t="str">
        <f>CONCATENATE(S727,Q727,P727)</f>
        <v>10000000grams</v>
      </c>
      <c r="U727" s="200">
        <f>L727*M727</f>
        <v>1100</v>
      </c>
      <c r="V727" s="12"/>
      <c r="W727" s="12"/>
    </row>
    <row r="728" spans="1:23" x14ac:dyDescent="0.3">
      <c r="A728" s="193">
        <v>253</v>
      </c>
      <c r="B728" s="46" t="s">
        <v>573</v>
      </c>
      <c r="C728" s="170"/>
      <c r="D728" s="194"/>
      <c r="E728" s="194"/>
      <c r="F728" s="170"/>
      <c r="G728" s="170"/>
      <c r="H728" s="194" t="s">
        <v>2026</v>
      </c>
      <c r="I728" s="170"/>
      <c r="J728" s="170"/>
      <c r="K728" s="170"/>
      <c r="L728" s="197">
        <v>144</v>
      </c>
      <c r="M728" s="197">
        <v>3</v>
      </c>
      <c r="N728" s="290">
        <v>1000</v>
      </c>
      <c r="O728" s="46"/>
      <c r="P728" s="46" t="s">
        <v>39</v>
      </c>
      <c r="Q728" s="170"/>
      <c r="R728" s="192" t="str">
        <f>CONCATENATE(N728,P728)</f>
        <v>1000grams</v>
      </c>
      <c r="S728" s="198">
        <f>M728*N728</f>
        <v>3000</v>
      </c>
      <c r="T728" s="199" t="str">
        <f>CONCATENATE(S728,Q728,P728)</f>
        <v>3000grams</v>
      </c>
      <c r="U728" s="200">
        <f>L728*M728</f>
        <v>432</v>
      </c>
      <c r="V728" s="12"/>
      <c r="W728" s="12"/>
    </row>
    <row r="729" spans="1:23" x14ac:dyDescent="0.3">
      <c r="A729" s="193">
        <v>253</v>
      </c>
      <c r="B729" s="46" t="s">
        <v>573</v>
      </c>
      <c r="C729" s="170"/>
      <c r="D729" s="194"/>
      <c r="E729" s="170"/>
      <c r="F729" s="170"/>
      <c r="G729" s="170"/>
      <c r="H729" s="194" t="s">
        <v>2023</v>
      </c>
      <c r="I729" s="170"/>
      <c r="J729" s="296"/>
      <c r="K729" s="170"/>
      <c r="L729" s="197">
        <v>165</v>
      </c>
      <c r="M729" s="197">
        <v>1</v>
      </c>
      <c r="N729" s="290">
        <v>1000</v>
      </c>
      <c r="O729" s="46"/>
      <c r="P729" s="46" t="s">
        <v>39</v>
      </c>
      <c r="Q729" s="170"/>
      <c r="R729" s="192" t="str">
        <f>CONCATENATE(N729,P729)</f>
        <v>1000grams</v>
      </c>
      <c r="S729" s="198">
        <f>M729*N729</f>
        <v>1000</v>
      </c>
      <c r="T729" s="199" t="str">
        <f>CONCATENATE(S729,Q729,P729)</f>
        <v>1000grams</v>
      </c>
      <c r="U729" s="200">
        <f>L729*M729</f>
        <v>165</v>
      </c>
      <c r="V729" s="12"/>
      <c r="W729" s="12"/>
    </row>
    <row r="730" spans="1:23" x14ac:dyDescent="0.3">
      <c r="A730" s="479">
        <v>254</v>
      </c>
      <c r="B730" s="214" t="s">
        <v>574</v>
      </c>
      <c r="C730" s="215"/>
      <c r="D730" s="194" t="str">
        <f ca="1">IFERROR(__xludf.DUMMYFUNCTION("IF(J184="""",""n/a"",IFERROR(SPLIT(J184,""/"")))"),"CREAM O37G")</f>
        <v>CREAM O37G</v>
      </c>
      <c r="E730" s="215"/>
      <c r="F730" s="215"/>
      <c r="G730" s="215"/>
      <c r="H730" s="183" t="s">
        <v>1897</v>
      </c>
      <c r="I730" s="170"/>
      <c r="J730" s="219" t="s">
        <v>575</v>
      </c>
      <c r="K730" s="170"/>
      <c r="L730" s="217">
        <v>8.11</v>
      </c>
      <c r="M730" s="217">
        <v>11</v>
      </c>
      <c r="N730" s="220">
        <v>1</v>
      </c>
      <c r="O730" s="170">
        <f>E730</f>
        <v>0</v>
      </c>
      <c r="P730" s="209" t="s">
        <v>92</v>
      </c>
      <c r="Q730" s="170"/>
      <c r="R730" s="192" t="str">
        <f>CONCATENATE(N730,P730)</f>
        <v>1pieces</v>
      </c>
      <c r="S730" s="198">
        <f>M730*N730</f>
        <v>11</v>
      </c>
      <c r="T730" s="199" t="str">
        <f>CONCATENATE(S730,Q730,P730)</f>
        <v>11pieces</v>
      </c>
      <c r="U730" s="200">
        <f>L730*M730</f>
        <v>89.21</v>
      </c>
      <c r="V730" s="12"/>
      <c r="W730" s="12"/>
    </row>
    <row r="731" spans="1:23" x14ac:dyDescent="0.3">
      <c r="A731" s="479">
        <v>255</v>
      </c>
      <c r="B731" s="214" t="s">
        <v>576</v>
      </c>
      <c r="C731" s="215"/>
      <c r="D731" s="194" t="str">
        <f ca="1">IFERROR(__xludf.DUMMYFUNCTION("IF(J185="""",""n/a"",IFERROR(SPLIT(J185,""/"")))"),"CREAM O 30G")</f>
        <v>CREAM O 30G</v>
      </c>
      <c r="E731" s="215"/>
      <c r="F731" s="215"/>
      <c r="G731" s="215"/>
      <c r="H731" s="183" t="s">
        <v>1897</v>
      </c>
      <c r="I731" s="170"/>
      <c r="J731" s="219" t="s">
        <v>577</v>
      </c>
      <c r="K731" s="170"/>
      <c r="L731" s="217">
        <v>7.03</v>
      </c>
      <c r="M731" s="217">
        <v>15</v>
      </c>
      <c r="N731" s="220">
        <v>1</v>
      </c>
      <c r="O731" s="170">
        <f>E731</f>
        <v>0</v>
      </c>
      <c r="P731" s="209" t="s">
        <v>92</v>
      </c>
      <c r="Q731" s="170"/>
      <c r="R731" s="192" t="str">
        <f>CONCATENATE(N731,P731)</f>
        <v>1pieces</v>
      </c>
      <c r="S731" s="198">
        <f>M731*N731</f>
        <v>15</v>
      </c>
      <c r="T731" s="199" t="str">
        <f>CONCATENATE(S731,Q731,P731)</f>
        <v>15pieces</v>
      </c>
      <c r="U731" s="200">
        <f>L731*M731</f>
        <v>105.45</v>
      </c>
      <c r="V731" s="12"/>
      <c r="W731" s="12"/>
    </row>
    <row r="732" spans="1:23" x14ac:dyDescent="0.3">
      <c r="A732" s="479">
        <v>256</v>
      </c>
      <c r="B732" s="194" t="s">
        <v>579</v>
      </c>
      <c r="C732" s="170"/>
      <c r="D732" s="194" t="str">
        <f ca="1">IFERROR(__xludf.DUMMYFUNCTION("IF(J191="""",""n/a"",IFERROR(SPLIT(J191,""/"")))"),"Jack n Jill")</f>
        <v>Jack n Jill</v>
      </c>
      <c r="E732" s="194" t="str">
        <f ca="1">IFERROR(__xludf.DUMMYFUNCTION("""COMPUTED_VALUE"""),"pack (10pcsx33grams)")</f>
        <v>pack (10pcsx33grams)</v>
      </c>
      <c r="F732" s="170"/>
      <c r="G732" s="170"/>
      <c r="H732" s="183" t="s">
        <v>1897</v>
      </c>
      <c r="I732" s="170"/>
      <c r="J732" s="46" t="s">
        <v>383</v>
      </c>
      <c r="K732" s="170"/>
      <c r="L732" s="195">
        <v>7.07</v>
      </c>
      <c r="M732" s="217">
        <v>13</v>
      </c>
      <c r="N732" s="203">
        <v>1</v>
      </c>
      <c r="O732" s="61" t="str">
        <f ca="1">E732</f>
        <v>pack (10pcsx33grams)</v>
      </c>
      <c r="P732" s="61" t="s">
        <v>92</v>
      </c>
      <c r="Q732" s="170"/>
      <c r="R732" s="192" t="str">
        <f>CONCATENATE(N732,P732)</f>
        <v>1pieces</v>
      </c>
      <c r="S732" s="198">
        <f>M732*N732</f>
        <v>13</v>
      </c>
      <c r="T732" s="199" t="str">
        <f>CONCATENATE(S732,Q732,P732)</f>
        <v>13pieces</v>
      </c>
      <c r="U732" s="200">
        <f>L732*M732</f>
        <v>91.91</v>
      </c>
      <c r="V732" s="12"/>
      <c r="W732" s="12"/>
    </row>
    <row r="733" spans="1:23" x14ac:dyDescent="0.3">
      <c r="A733" s="193">
        <v>257</v>
      </c>
      <c r="B733" s="219" t="s">
        <v>1176</v>
      </c>
      <c r="C733" s="170"/>
      <c r="D733" s="194"/>
      <c r="E733" s="170"/>
      <c r="F733" s="170"/>
      <c r="G733" s="170"/>
      <c r="H733" s="194" t="s">
        <v>2021</v>
      </c>
      <c r="I733" s="170"/>
      <c r="J733" s="46" t="s">
        <v>865</v>
      </c>
      <c r="K733" s="170"/>
      <c r="L733" s="216">
        <v>44.75</v>
      </c>
      <c r="M733" s="216">
        <v>3</v>
      </c>
      <c r="N733" s="293">
        <v>425</v>
      </c>
      <c r="O733" s="219"/>
      <c r="P733" s="219" t="s">
        <v>39</v>
      </c>
      <c r="Q733" s="170"/>
      <c r="R733" s="192" t="str">
        <f>CONCATENATE(N733,P733)</f>
        <v>425grams</v>
      </c>
      <c r="S733" s="198">
        <f>M733*N733</f>
        <v>1275</v>
      </c>
      <c r="T733" s="199" t="str">
        <f>CONCATENATE(S733,Q733,P733)</f>
        <v>1275grams</v>
      </c>
      <c r="U733" s="200">
        <f>L733*M733</f>
        <v>134.25</v>
      </c>
      <c r="V733" s="12"/>
      <c r="W733" s="12"/>
    </row>
    <row r="734" spans="1:23" x14ac:dyDescent="0.3">
      <c r="A734" s="193">
        <v>257</v>
      </c>
      <c r="B734" s="219" t="s">
        <v>1176</v>
      </c>
      <c r="C734" s="170"/>
      <c r="D734" s="194"/>
      <c r="E734" s="170"/>
      <c r="F734" s="170"/>
      <c r="G734" s="170"/>
      <c r="H734" s="194" t="s">
        <v>2020</v>
      </c>
      <c r="I734" s="170"/>
      <c r="J734" s="46" t="s">
        <v>865</v>
      </c>
      <c r="K734" s="170"/>
      <c r="L734" s="197">
        <v>56.3</v>
      </c>
      <c r="M734" s="197">
        <v>4</v>
      </c>
      <c r="N734" s="290">
        <v>425</v>
      </c>
      <c r="O734" s="46"/>
      <c r="P734" s="46" t="s">
        <v>39</v>
      </c>
      <c r="Q734" s="170"/>
      <c r="R734" s="192" t="str">
        <f>CONCATENATE(N734,P734)</f>
        <v>425grams</v>
      </c>
      <c r="S734" s="198">
        <f>M734*N734</f>
        <v>1700</v>
      </c>
      <c r="T734" s="199" t="str">
        <f>CONCATENATE(S734,Q734,P734)</f>
        <v>1700grams</v>
      </c>
      <c r="U734" s="200">
        <f>L734*M734</f>
        <v>225.2</v>
      </c>
      <c r="V734" s="12"/>
      <c r="W734" s="12"/>
    </row>
    <row r="735" spans="1:23" x14ac:dyDescent="0.3">
      <c r="A735" s="193">
        <v>257</v>
      </c>
      <c r="B735" s="46" t="s">
        <v>1176</v>
      </c>
      <c r="C735" s="170"/>
      <c r="D735" s="194"/>
      <c r="E735" s="194"/>
      <c r="F735" s="170"/>
      <c r="G735" s="170"/>
      <c r="H735" s="194" t="s">
        <v>29</v>
      </c>
      <c r="I735" s="170"/>
      <c r="J735" s="46" t="s">
        <v>1177</v>
      </c>
      <c r="K735" s="170"/>
      <c r="L735" s="197">
        <v>52.6</v>
      </c>
      <c r="M735" s="197">
        <v>5</v>
      </c>
      <c r="N735" s="290">
        <v>425</v>
      </c>
      <c r="O735" s="46"/>
      <c r="P735" s="46" t="s">
        <v>39</v>
      </c>
      <c r="Q735" s="170"/>
      <c r="R735" s="192" t="str">
        <f>CONCATENATE(N735,P735)</f>
        <v>425grams</v>
      </c>
      <c r="S735" s="198">
        <f>M735*N735</f>
        <v>2125</v>
      </c>
      <c r="T735" s="199" t="str">
        <f>CONCATENATE(S735,Q735,P735)</f>
        <v>2125grams</v>
      </c>
      <c r="U735" s="200">
        <f>L735*M735</f>
        <v>263</v>
      </c>
      <c r="V735" s="12"/>
      <c r="W735" s="12"/>
    </row>
    <row r="736" spans="1:23" x14ac:dyDescent="0.3">
      <c r="A736" s="479">
        <v>258</v>
      </c>
      <c r="B736" s="194" t="s">
        <v>173</v>
      </c>
      <c r="C736" s="170"/>
      <c r="D736" s="194" t="str">
        <f ca="1">IFERROR(__xludf.DUMMYFUNCTION("IF(J186="""",""n/a"",IFERROR(SPLIT(J186,""/"")))"),"Jolly")</f>
        <v>Jolly</v>
      </c>
      <c r="E736" s="194" t="str">
        <f ca="1">IFERROR(__xludf.DUMMYFUNCTION("""COMPUTED_VALUE"""),"can")</f>
        <v>can</v>
      </c>
      <c r="F736" s="194" t="str">
        <f ca="1">IFERROR(__xludf.DUMMYFUNCTION("""COMPUTED_VALUE"""),"425grams")</f>
        <v>425grams</v>
      </c>
      <c r="G736" s="170"/>
      <c r="H736" s="183" t="s">
        <v>1897</v>
      </c>
      <c r="I736" s="170"/>
      <c r="J736" s="46" t="s">
        <v>578</v>
      </c>
      <c r="K736" s="170"/>
      <c r="L736" s="204">
        <v>0.1</v>
      </c>
      <c r="M736" s="202">
        <v>2550</v>
      </c>
      <c r="N736" s="203">
        <v>425</v>
      </c>
      <c r="O736" s="61" t="str">
        <f ca="1">E736</f>
        <v>can</v>
      </c>
      <c r="P736" s="221" t="s">
        <v>39</v>
      </c>
      <c r="Q736" s="170"/>
      <c r="R736" s="192" t="str">
        <f>CONCATENATE(N736,P736)</f>
        <v>425grams</v>
      </c>
      <c r="S736" s="198">
        <f>M736*N736</f>
        <v>1083750</v>
      </c>
      <c r="T736" s="199" t="str">
        <f>CONCATENATE(S736,Q736,P736)</f>
        <v>1083750grams</v>
      </c>
      <c r="U736" s="200">
        <f>L736*M736</f>
        <v>255</v>
      </c>
      <c r="V736" s="205"/>
      <c r="W736" s="62"/>
    </row>
    <row r="737" spans="1:23" x14ac:dyDescent="0.3">
      <c r="A737" s="479">
        <v>258</v>
      </c>
      <c r="B737" s="194" t="s">
        <v>173</v>
      </c>
      <c r="C737" s="170"/>
      <c r="D737" s="194" t="str">
        <f ca="1">IFERROR(__xludf.DUMMYFUNCTION("IF(J187="""",""n/a"",IFERROR(SPLIT(J187,""/"")))"),"Mega Prime")</f>
        <v>Mega Prime</v>
      </c>
      <c r="E737" s="194" t="str">
        <f ca="1">IFERROR(__xludf.DUMMYFUNCTION("""COMPUTED_VALUE"""),"can")</f>
        <v>can</v>
      </c>
      <c r="F737" s="194" t="str">
        <f ca="1">IFERROR(__xludf.DUMMYFUNCTION("""COMPUTED_VALUE"""),"425grams")</f>
        <v>425grams</v>
      </c>
      <c r="G737" s="170"/>
      <c r="H737" s="183" t="s">
        <v>1895</v>
      </c>
      <c r="I737" s="170"/>
      <c r="J737" s="46" t="s">
        <v>174</v>
      </c>
      <c r="K737" s="170"/>
      <c r="L737" s="195">
        <v>43</v>
      </c>
      <c r="M737" s="197">
        <v>17</v>
      </c>
      <c r="N737" s="61">
        <v>1</v>
      </c>
      <c r="O737" s="61" t="str">
        <f ca="1">E737</f>
        <v>can</v>
      </c>
      <c r="P737" s="61" t="s">
        <v>39</v>
      </c>
      <c r="Q737" s="170"/>
      <c r="R737" s="192" t="str">
        <f>CONCATENATE(N737,P737)</f>
        <v>1grams</v>
      </c>
      <c r="S737" s="198">
        <f>M737*N737</f>
        <v>17</v>
      </c>
      <c r="T737" s="199" t="str">
        <f>CONCATENATE(S737,Q737,P737)</f>
        <v>17grams</v>
      </c>
      <c r="U737" s="200">
        <f>L737*M737</f>
        <v>731</v>
      </c>
      <c r="V737" s="12"/>
      <c r="W737" s="12"/>
    </row>
    <row r="738" spans="1:23" x14ac:dyDescent="0.3">
      <c r="A738" s="479">
        <v>258</v>
      </c>
      <c r="B738" s="194" t="s">
        <v>173</v>
      </c>
      <c r="C738" s="170"/>
      <c r="D738" s="194" t="str">
        <f ca="1">IFERROR(__xludf.DUMMYFUNCTION("IF(J188="""",""n/a"",IFERROR(SPLIT(J188,""/"")))"),"n/a")</f>
        <v>n/a</v>
      </c>
      <c r="E738" s="170"/>
      <c r="F738" s="170"/>
      <c r="G738" s="170"/>
      <c r="H738" s="206" t="s">
        <v>1898</v>
      </c>
      <c r="I738" s="170"/>
      <c r="J738" s="170"/>
      <c r="K738" s="170"/>
      <c r="L738" s="197">
        <v>0.14000000000000001</v>
      </c>
      <c r="M738" s="385">
        <v>2125</v>
      </c>
      <c r="N738" s="208">
        <v>425</v>
      </c>
      <c r="O738" s="170">
        <f>E738</f>
        <v>0</v>
      </c>
      <c r="P738" s="222" t="s">
        <v>39</v>
      </c>
      <c r="Q738" s="170"/>
      <c r="R738" s="192" t="str">
        <f>CONCATENATE(N738,P738)</f>
        <v>425grams</v>
      </c>
      <c r="S738" s="198">
        <f>M738*N738</f>
        <v>903125</v>
      </c>
      <c r="T738" s="199" t="str">
        <f>CONCATENATE(S738,Q738,P738)</f>
        <v>903125grams</v>
      </c>
      <c r="U738" s="200">
        <f>L738*M738</f>
        <v>297.5</v>
      </c>
      <c r="V738" s="12"/>
      <c r="W738" s="12"/>
    </row>
    <row r="739" spans="1:23" x14ac:dyDescent="0.3">
      <c r="A739" s="479">
        <v>259</v>
      </c>
      <c r="B739" s="194" t="s">
        <v>250</v>
      </c>
      <c r="C739" s="170"/>
      <c r="D739" s="194" t="str">
        <f ca="1">IFERROR(__xludf.DUMMYFUNCTION("IF(J189="""",""n/a"",IFERROR(SPLIT(J189,""/"")))"),"Knorr")</f>
        <v>Knorr</v>
      </c>
      <c r="E739" s="194" t="str">
        <f ca="1">IFERROR(__xludf.DUMMYFUNCTION("""COMPUTED_VALUE"""),"sachet")</f>
        <v>sachet</v>
      </c>
      <c r="F739" s="194" t="str">
        <f ca="1">IFERROR(__xludf.DUMMYFUNCTION("""COMPUTED_VALUE"""),"62grams")</f>
        <v>62grams</v>
      </c>
      <c r="G739" s="170"/>
      <c r="H739" s="183" t="s">
        <v>1897</v>
      </c>
      <c r="I739" s="170"/>
      <c r="J739" s="46" t="s">
        <v>251</v>
      </c>
      <c r="K739" s="170"/>
      <c r="L739" s="197">
        <v>0.84</v>
      </c>
      <c r="M739" s="202">
        <v>930</v>
      </c>
      <c r="N739" s="203">
        <v>62</v>
      </c>
      <c r="O739" s="61" t="str">
        <f ca="1">E739</f>
        <v>sachet</v>
      </c>
      <c r="P739" s="61" t="s">
        <v>39</v>
      </c>
      <c r="Q739" s="61" t="s">
        <v>33</v>
      </c>
      <c r="R739" s="192" t="str">
        <f>CONCATENATE(N739,P739)</f>
        <v>62grams</v>
      </c>
      <c r="S739" s="198">
        <f>M739*N739</f>
        <v>57660</v>
      </c>
      <c r="T739" s="199" t="str">
        <f>CONCATENATE(S739,Q739,P739)</f>
        <v>57660 grams</v>
      </c>
      <c r="U739" s="200">
        <f>L739*M739</f>
        <v>781.19999999999993</v>
      </c>
      <c r="V739" s="205"/>
      <c r="W739" s="62"/>
    </row>
    <row r="740" spans="1:23" x14ac:dyDescent="0.3">
      <c r="A740" s="479">
        <v>259</v>
      </c>
      <c r="B740" s="194" t="s">
        <v>250</v>
      </c>
      <c r="C740" s="170"/>
      <c r="D740" s="194" t="str">
        <f ca="1">IFERROR(__xludf.DUMMYFUNCTION("IF(J190="""",""n/a"",IFERROR(SPLIT(J190,""/"")))"),"Knorr")</f>
        <v>Knorr</v>
      </c>
      <c r="E740" s="194" t="str">
        <f ca="1">IFERROR(__xludf.DUMMYFUNCTION("""COMPUTED_VALUE"""),"sachet")</f>
        <v>sachet</v>
      </c>
      <c r="F740" s="194" t="str">
        <f ca="1">IFERROR(__xludf.DUMMYFUNCTION("""COMPUTED_VALUE"""),"62grams")</f>
        <v>62grams</v>
      </c>
      <c r="G740" s="170"/>
      <c r="H740" s="183" t="s">
        <v>1895</v>
      </c>
      <c r="I740" s="170"/>
      <c r="J740" s="46" t="s">
        <v>251</v>
      </c>
      <c r="K740" s="170"/>
      <c r="L740" s="195">
        <v>52.6</v>
      </c>
      <c r="M740" s="197">
        <v>22</v>
      </c>
      <c r="N740" s="61">
        <v>1</v>
      </c>
      <c r="O740" s="61" t="str">
        <f ca="1">E740</f>
        <v>sachet</v>
      </c>
      <c r="P740" s="61" t="s">
        <v>39</v>
      </c>
      <c r="Q740" s="170"/>
      <c r="R740" s="192" t="str">
        <f>CONCATENATE(N740,P740)</f>
        <v>1grams</v>
      </c>
      <c r="S740" s="198">
        <f>M740*N740</f>
        <v>22</v>
      </c>
      <c r="T740" s="199" t="str">
        <f>CONCATENATE(S740,Q740,P740)</f>
        <v>22grams</v>
      </c>
      <c r="U740" s="200">
        <f>L740*M740</f>
        <v>1157.2</v>
      </c>
      <c r="V740" s="12"/>
      <c r="W740" s="12"/>
    </row>
    <row r="741" spans="1:23" x14ac:dyDescent="0.3">
      <c r="A741" s="193">
        <v>259</v>
      </c>
      <c r="B741" s="46" t="s">
        <v>250</v>
      </c>
      <c r="C741" s="170"/>
      <c r="D741" s="194"/>
      <c r="E741" s="194"/>
      <c r="F741" s="194"/>
      <c r="G741" s="170"/>
      <c r="H741" s="194" t="s">
        <v>29</v>
      </c>
      <c r="I741" s="170"/>
      <c r="J741" s="46" t="s">
        <v>987</v>
      </c>
      <c r="K741" s="170"/>
      <c r="L741" s="197">
        <v>52.6</v>
      </c>
      <c r="M741" s="197">
        <v>5</v>
      </c>
      <c r="N741" s="290">
        <v>62</v>
      </c>
      <c r="O741" s="46"/>
      <c r="P741" s="46" t="s">
        <v>39</v>
      </c>
      <c r="Q741" s="170"/>
      <c r="R741" s="192" t="str">
        <f>CONCATENATE(N741,P741)</f>
        <v>62grams</v>
      </c>
      <c r="S741" s="198">
        <f>M741*N741</f>
        <v>310</v>
      </c>
      <c r="T741" s="199" t="str">
        <f>CONCATENATE(S741,Q741,P741)</f>
        <v>310grams</v>
      </c>
      <c r="U741" s="200">
        <f>L741*M741</f>
        <v>263</v>
      </c>
      <c r="V741" s="12"/>
      <c r="W741" s="12"/>
    </row>
    <row r="742" spans="1:23" x14ac:dyDescent="0.3">
      <c r="A742" s="193">
        <v>259</v>
      </c>
      <c r="B742" s="46" t="s">
        <v>250</v>
      </c>
      <c r="C742" s="170"/>
      <c r="D742" s="194"/>
      <c r="E742" s="170"/>
      <c r="F742" s="170"/>
      <c r="G742" s="170"/>
      <c r="H742" s="194" t="s">
        <v>2024</v>
      </c>
      <c r="I742" s="170"/>
      <c r="J742" s="46" t="s">
        <v>987</v>
      </c>
      <c r="K742" s="170"/>
      <c r="L742" s="197">
        <v>52.6</v>
      </c>
      <c r="M742" s="197">
        <v>13</v>
      </c>
      <c r="N742" s="290">
        <v>62</v>
      </c>
      <c r="O742" s="46"/>
      <c r="P742" s="46" t="s">
        <v>39</v>
      </c>
      <c r="Q742" s="170"/>
      <c r="R742" s="192" t="str">
        <f>CONCATENATE(N742,P742)</f>
        <v>62grams</v>
      </c>
      <c r="S742" s="198">
        <f>M742*N742</f>
        <v>806</v>
      </c>
      <c r="T742" s="199" t="str">
        <f>CONCATENATE(S742,Q742,P742)</f>
        <v>806grams</v>
      </c>
      <c r="U742" s="200">
        <f>L742*M742</f>
        <v>683.80000000000007</v>
      </c>
      <c r="V742" s="12"/>
      <c r="W742" s="12"/>
    </row>
    <row r="743" spans="1:23" x14ac:dyDescent="0.3">
      <c r="A743" s="193">
        <v>259</v>
      </c>
      <c r="B743" s="46" t="s">
        <v>250</v>
      </c>
      <c r="C743" s="170"/>
      <c r="D743" s="194"/>
      <c r="E743" s="194"/>
      <c r="F743" s="194"/>
      <c r="G743" s="170"/>
      <c r="H743" s="194" t="s">
        <v>2025</v>
      </c>
      <c r="I743" s="170"/>
      <c r="J743" s="46" t="s">
        <v>987</v>
      </c>
      <c r="K743" s="170"/>
      <c r="L743" s="197">
        <v>55</v>
      </c>
      <c r="M743" s="197">
        <v>6</v>
      </c>
      <c r="N743" s="290">
        <v>62</v>
      </c>
      <c r="O743" s="46"/>
      <c r="P743" s="46" t="s">
        <v>39</v>
      </c>
      <c r="Q743" s="170"/>
      <c r="R743" s="192" t="str">
        <f>CONCATENATE(N743,P743)</f>
        <v>62grams</v>
      </c>
      <c r="S743" s="198">
        <f>M743*N743</f>
        <v>372</v>
      </c>
      <c r="T743" s="199" t="str">
        <f>CONCATENATE(S743,Q743,P743)</f>
        <v>372grams</v>
      </c>
      <c r="U743" s="200">
        <f>L743*M743</f>
        <v>330</v>
      </c>
      <c r="V743" s="12"/>
      <c r="W743" s="12"/>
    </row>
    <row r="744" spans="1:23" x14ac:dyDescent="0.3">
      <c r="A744" s="193">
        <v>259</v>
      </c>
      <c r="B744" s="219" t="s">
        <v>250</v>
      </c>
      <c r="C744" s="170"/>
      <c r="D744" s="194"/>
      <c r="E744" s="194"/>
      <c r="F744" s="170"/>
      <c r="G744" s="170"/>
      <c r="H744" s="194" t="s">
        <v>2026</v>
      </c>
      <c r="I744" s="170"/>
      <c r="J744" s="46" t="s">
        <v>987</v>
      </c>
      <c r="K744" s="170"/>
      <c r="L744" s="197">
        <v>52.6</v>
      </c>
      <c r="M744" s="197">
        <v>9</v>
      </c>
      <c r="N744" s="290">
        <v>62</v>
      </c>
      <c r="O744" s="46"/>
      <c r="P744" s="46" t="s">
        <v>39</v>
      </c>
      <c r="Q744" s="170"/>
      <c r="R744" s="192" t="str">
        <f>CONCATENATE(N744,P744)</f>
        <v>62grams</v>
      </c>
      <c r="S744" s="198">
        <f>M744*N744</f>
        <v>558</v>
      </c>
      <c r="T744" s="199" t="str">
        <f>CONCATENATE(S744,Q744,P744)</f>
        <v>558grams</v>
      </c>
      <c r="U744" s="200">
        <f>L744*M744</f>
        <v>473.40000000000003</v>
      </c>
      <c r="V744" s="12"/>
      <c r="W744" s="12"/>
    </row>
    <row r="745" spans="1:23" x14ac:dyDescent="0.3">
      <c r="A745" s="193">
        <v>259</v>
      </c>
      <c r="B745" s="219" t="s">
        <v>250</v>
      </c>
      <c r="C745" s="170"/>
      <c r="D745" s="194"/>
      <c r="E745" s="170"/>
      <c r="F745" s="170"/>
      <c r="G745" s="170"/>
      <c r="H745" s="194" t="s">
        <v>1368</v>
      </c>
      <c r="I745" s="170"/>
      <c r="J745" s="46" t="s">
        <v>987</v>
      </c>
      <c r="K745" s="170"/>
      <c r="L745" s="197">
        <v>55</v>
      </c>
      <c r="M745" s="197">
        <v>7</v>
      </c>
      <c r="N745" s="290">
        <v>62</v>
      </c>
      <c r="O745" s="46"/>
      <c r="P745" s="46" t="s">
        <v>39</v>
      </c>
      <c r="Q745" s="170"/>
      <c r="R745" s="192" t="str">
        <f>CONCATENATE(N745,P745)</f>
        <v>62grams</v>
      </c>
      <c r="S745" s="198">
        <f>M745*N745</f>
        <v>434</v>
      </c>
      <c r="T745" s="199" t="str">
        <f>CONCATENATE(S745,Q745,P745)</f>
        <v>434grams</v>
      </c>
      <c r="U745" s="200">
        <f>L745*M745</f>
        <v>385</v>
      </c>
      <c r="V745" s="12"/>
      <c r="W745" s="12"/>
    </row>
    <row r="746" spans="1:23" x14ac:dyDescent="0.3">
      <c r="A746" s="193">
        <v>259</v>
      </c>
      <c r="B746" s="46" t="s">
        <v>250</v>
      </c>
      <c r="C746" s="170"/>
      <c r="D746" s="194"/>
      <c r="E746" s="170"/>
      <c r="F746" s="170"/>
      <c r="G746" s="170"/>
      <c r="H746" s="194" t="s">
        <v>2023</v>
      </c>
      <c r="I746" s="170"/>
      <c r="J746" s="46" t="s">
        <v>987</v>
      </c>
      <c r="K746" s="170"/>
      <c r="L746" s="197">
        <v>52.6</v>
      </c>
      <c r="M746" s="197">
        <v>18</v>
      </c>
      <c r="N746" s="290">
        <v>62</v>
      </c>
      <c r="O746" s="46"/>
      <c r="P746" s="46" t="s">
        <v>39</v>
      </c>
      <c r="Q746" s="170"/>
      <c r="R746" s="192" t="str">
        <f>CONCATENATE(N746,P746)</f>
        <v>62grams</v>
      </c>
      <c r="S746" s="198">
        <f>M746*N746</f>
        <v>1116</v>
      </c>
      <c r="T746" s="199" t="str">
        <f>CONCATENATE(S746,Q746,P746)</f>
        <v>1116grams</v>
      </c>
      <c r="U746" s="200">
        <f>L746*M746</f>
        <v>946.80000000000007</v>
      </c>
      <c r="V746" s="12"/>
      <c r="W746" s="12"/>
    </row>
    <row r="747" spans="1:23" x14ac:dyDescent="0.3">
      <c r="A747" s="193">
        <v>259</v>
      </c>
      <c r="B747" s="46" t="s">
        <v>250</v>
      </c>
      <c r="C747" s="170"/>
      <c r="D747" s="194"/>
      <c r="E747" s="170"/>
      <c r="F747" s="170"/>
      <c r="G747" s="170"/>
      <c r="H747" s="194" t="s">
        <v>2022</v>
      </c>
      <c r="I747" s="170"/>
      <c r="J747" s="46" t="s">
        <v>987</v>
      </c>
      <c r="K747" s="170"/>
      <c r="L747" s="197">
        <v>52</v>
      </c>
      <c r="M747" s="197">
        <v>11</v>
      </c>
      <c r="N747" s="290">
        <v>62</v>
      </c>
      <c r="O747" s="46"/>
      <c r="P747" s="46" t="s">
        <v>39</v>
      </c>
      <c r="Q747" s="170"/>
      <c r="R747" s="192" t="str">
        <f>CONCATENATE(N747,P747)</f>
        <v>62grams</v>
      </c>
      <c r="S747" s="198">
        <f>M747*N747</f>
        <v>682</v>
      </c>
      <c r="T747" s="199" t="str">
        <f>CONCATENATE(S747,Q747,P747)</f>
        <v>682grams</v>
      </c>
      <c r="U747" s="200">
        <f>L747*M747</f>
        <v>572</v>
      </c>
      <c r="V747" s="12"/>
      <c r="W747" s="12"/>
    </row>
    <row r="748" spans="1:23" x14ac:dyDescent="0.3">
      <c r="A748" s="193">
        <v>259</v>
      </c>
      <c r="B748" s="219" t="s">
        <v>250</v>
      </c>
      <c r="C748" s="170"/>
      <c r="D748" s="194"/>
      <c r="E748" s="170"/>
      <c r="F748" s="170"/>
      <c r="G748" s="170"/>
      <c r="H748" s="194" t="s">
        <v>2021</v>
      </c>
      <c r="I748" s="170"/>
      <c r="J748" s="46" t="s">
        <v>987</v>
      </c>
      <c r="K748" s="170"/>
      <c r="L748" s="216">
        <v>52</v>
      </c>
      <c r="M748" s="216">
        <v>3</v>
      </c>
      <c r="N748" s="293">
        <v>62</v>
      </c>
      <c r="O748" s="219"/>
      <c r="P748" s="219" t="s">
        <v>39</v>
      </c>
      <c r="Q748" s="170"/>
      <c r="R748" s="192" t="str">
        <f>CONCATENATE(N748,P748)</f>
        <v>62grams</v>
      </c>
      <c r="S748" s="198">
        <f>M748*N748</f>
        <v>186</v>
      </c>
      <c r="T748" s="199" t="str">
        <f>CONCATENATE(S748,Q748,P748)</f>
        <v>186grams</v>
      </c>
      <c r="U748" s="200">
        <f>L748*M748</f>
        <v>156</v>
      </c>
      <c r="V748" s="12"/>
      <c r="W748" s="12"/>
    </row>
    <row r="749" spans="1:23" x14ac:dyDescent="0.3">
      <c r="A749" s="193">
        <v>259</v>
      </c>
      <c r="B749" s="46" t="s">
        <v>250</v>
      </c>
      <c r="C749" s="170"/>
      <c r="D749" s="194"/>
      <c r="E749" s="194"/>
      <c r="F749" s="170"/>
      <c r="G749" s="170"/>
      <c r="H749" s="194" t="s">
        <v>2020</v>
      </c>
      <c r="I749" s="170"/>
      <c r="J749" s="46" t="s">
        <v>987</v>
      </c>
      <c r="K749" s="170"/>
      <c r="L749" s="197">
        <v>52.6</v>
      </c>
      <c r="M749" s="197">
        <v>9</v>
      </c>
      <c r="N749" s="290">
        <v>62</v>
      </c>
      <c r="O749" s="46"/>
      <c r="P749" s="46" t="s">
        <v>39</v>
      </c>
      <c r="Q749" s="170"/>
      <c r="R749" s="192" t="str">
        <f>CONCATENATE(N749,P749)</f>
        <v>62grams</v>
      </c>
      <c r="S749" s="198">
        <f>M749*N749</f>
        <v>558</v>
      </c>
      <c r="T749" s="199" t="str">
        <f>CONCATENATE(S749,Q749,P749)</f>
        <v>558grams</v>
      </c>
      <c r="U749" s="200">
        <f>L749*M749</f>
        <v>473.40000000000003</v>
      </c>
      <c r="V749" s="12"/>
      <c r="W749" s="12"/>
    </row>
    <row r="750" spans="1:23" x14ac:dyDescent="0.3">
      <c r="A750" s="193">
        <v>259</v>
      </c>
      <c r="B750" s="46" t="s">
        <v>250</v>
      </c>
      <c r="C750" s="215"/>
      <c r="D750" s="194"/>
      <c r="E750" s="215"/>
      <c r="F750" s="215"/>
      <c r="G750" s="215"/>
      <c r="H750" s="400" t="s">
        <v>2027</v>
      </c>
      <c r="I750" s="170"/>
      <c r="J750" s="46" t="s">
        <v>987</v>
      </c>
      <c r="K750" s="170"/>
      <c r="L750" s="195">
        <v>52</v>
      </c>
      <c r="M750" s="197">
        <v>16</v>
      </c>
      <c r="N750" s="360">
        <v>1</v>
      </c>
      <c r="O750" s="61"/>
      <c r="P750" s="61" t="s">
        <v>304</v>
      </c>
      <c r="Q750" s="170"/>
      <c r="R750" s="192" t="str">
        <f>CONCATENATE(N750,P750)</f>
        <v>1packs</v>
      </c>
      <c r="S750" s="198">
        <f>M750*N750</f>
        <v>16</v>
      </c>
      <c r="T750" s="199" t="str">
        <f>CONCATENATE(S750,Q750,P750)</f>
        <v>16packs</v>
      </c>
      <c r="U750" s="200">
        <f>L750*M750</f>
        <v>832</v>
      </c>
      <c r="V750" s="12"/>
      <c r="W750" s="12"/>
    </row>
    <row r="751" spans="1:23" x14ac:dyDescent="0.3">
      <c r="A751" s="193">
        <v>260</v>
      </c>
      <c r="B751" s="46" t="s">
        <v>1178</v>
      </c>
      <c r="C751" s="170"/>
      <c r="D751" s="194"/>
      <c r="E751" s="194"/>
      <c r="F751" s="170"/>
      <c r="G751" s="170"/>
      <c r="H751" s="194" t="s">
        <v>2025</v>
      </c>
      <c r="I751" s="170"/>
      <c r="J751" s="46" t="s">
        <v>987</v>
      </c>
      <c r="K751" s="170"/>
      <c r="L751" s="197">
        <v>55</v>
      </c>
      <c r="M751" s="197">
        <v>1</v>
      </c>
      <c r="N751" s="290">
        <v>55</v>
      </c>
      <c r="O751" s="46"/>
      <c r="P751" s="46" t="s">
        <v>39</v>
      </c>
      <c r="Q751" s="170"/>
      <c r="R751" s="192" t="str">
        <f>CONCATENATE(N751,P751)</f>
        <v>55grams</v>
      </c>
      <c r="S751" s="198">
        <f>M751*N751</f>
        <v>55</v>
      </c>
      <c r="T751" s="199" t="str">
        <f>CONCATENATE(S751,Q751,P751)</f>
        <v>55grams</v>
      </c>
      <c r="U751" s="200">
        <f>L751*M751</f>
        <v>55</v>
      </c>
      <c r="V751" s="12"/>
      <c r="W751" s="12"/>
    </row>
    <row r="752" spans="1:23" x14ac:dyDescent="0.3">
      <c r="A752" s="193">
        <v>261</v>
      </c>
      <c r="B752" s="219" t="s">
        <v>1179</v>
      </c>
      <c r="C752" s="170"/>
      <c r="D752" s="194"/>
      <c r="E752" s="170"/>
      <c r="F752" s="170"/>
      <c r="G752" s="170"/>
      <c r="H752" s="194" t="s">
        <v>2021</v>
      </c>
      <c r="I752" s="170"/>
      <c r="J752" s="219" t="s">
        <v>1074</v>
      </c>
      <c r="K752" s="170"/>
      <c r="L752" s="216">
        <v>17.75</v>
      </c>
      <c r="M752" s="216">
        <v>2</v>
      </c>
      <c r="N752" s="293">
        <v>30</v>
      </c>
      <c r="O752" s="219"/>
      <c r="P752" s="219" t="s">
        <v>39</v>
      </c>
      <c r="Q752" s="170"/>
      <c r="R752" s="192" t="str">
        <f>CONCATENATE(N752,P752)</f>
        <v>30grams</v>
      </c>
      <c r="S752" s="198">
        <f>M752*N752</f>
        <v>60</v>
      </c>
      <c r="T752" s="199" t="str">
        <f>CONCATENATE(S752,Q752,P752)</f>
        <v>60grams</v>
      </c>
      <c r="U752" s="200">
        <f>L752*M752</f>
        <v>35.5</v>
      </c>
      <c r="V752" s="12"/>
      <c r="W752" s="12"/>
    </row>
    <row r="753" spans="1:23" x14ac:dyDescent="0.3">
      <c r="A753" s="193">
        <v>261</v>
      </c>
      <c r="B753" s="219" t="s">
        <v>1179</v>
      </c>
      <c r="C753" s="170"/>
      <c r="D753" s="194"/>
      <c r="E753" s="194"/>
      <c r="F753" s="170"/>
      <c r="G753" s="170"/>
      <c r="H753" s="194" t="s">
        <v>29</v>
      </c>
      <c r="I753" s="170"/>
      <c r="J753" s="219" t="s">
        <v>854</v>
      </c>
      <c r="K753" s="170"/>
      <c r="L753" s="197">
        <v>102.5</v>
      </c>
      <c r="M753" s="197">
        <v>2</v>
      </c>
      <c r="N753" s="290">
        <v>45</v>
      </c>
      <c r="O753" s="46"/>
      <c r="P753" s="46" t="s">
        <v>39</v>
      </c>
      <c r="Q753" s="170"/>
      <c r="R753" s="192" t="str">
        <f>CONCATENATE(N753,P753)</f>
        <v>45grams</v>
      </c>
      <c r="S753" s="198">
        <f>M753*N753</f>
        <v>90</v>
      </c>
      <c r="T753" s="199" t="str">
        <f>CONCATENATE(S753,Q753,P753)</f>
        <v>90grams</v>
      </c>
      <c r="U753" s="200">
        <f>L753*M753</f>
        <v>205</v>
      </c>
      <c r="V753" s="12"/>
      <c r="W753" s="12"/>
    </row>
    <row r="754" spans="1:23" x14ac:dyDescent="0.3">
      <c r="A754" s="193">
        <v>261</v>
      </c>
      <c r="B754" s="219" t="s">
        <v>1179</v>
      </c>
      <c r="C754" s="170"/>
      <c r="D754" s="194"/>
      <c r="E754" s="170"/>
      <c r="F754" s="170"/>
      <c r="G754" s="170"/>
      <c r="H754" s="194" t="s">
        <v>2022</v>
      </c>
      <c r="I754" s="170"/>
      <c r="J754" s="219" t="s">
        <v>854</v>
      </c>
      <c r="K754" s="170"/>
      <c r="L754" s="197">
        <v>102</v>
      </c>
      <c r="M754" s="197">
        <v>1</v>
      </c>
      <c r="N754" s="290">
        <v>45</v>
      </c>
      <c r="O754" s="46"/>
      <c r="P754" s="46" t="s">
        <v>39</v>
      </c>
      <c r="Q754" s="170"/>
      <c r="R754" s="192" t="str">
        <f>CONCATENATE(N754,P754)</f>
        <v>45grams</v>
      </c>
      <c r="S754" s="198">
        <f>M754*N754</f>
        <v>45</v>
      </c>
      <c r="T754" s="199" t="str">
        <f>CONCATENATE(S754,Q754,P754)</f>
        <v>45grams</v>
      </c>
      <c r="U754" s="200">
        <f>L754*M754</f>
        <v>102</v>
      </c>
      <c r="V754" s="12"/>
      <c r="W754" s="12"/>
    </row>
    <row r="755" spans="1:23" x14ac:dyDescent="0.3">
      <c r="A755" s="193">
        <v>261</v>
      </c>
      <c r="B755" s="219" t="s">
        <v>1179</v>
      </c>
      <c r="C755" s="170"/>
      <c r="D755" s="194"/>
      <c r="E755" s="194"/>
      <c r="F755" s="194"/>
      <c r="G755" s="170"/>
      <c r="H755" s="194" t="s">
        <v>2021</v>
      </c>
      <c r="I755" s="170"/>
      <c r="J755" s="219" t="s">
        <v>854</v>
      </c>
      <c r="K755" s="170"/>
      <c r="L755" s="216">
        <v>102.5</v>
      </c>
      <c r="M755" s="216">
        <v>1</v>
      </c>
      <c r="N755" s="293">
        <v>45</v>
      </c>
      <c r="O755" s="219"/>
      <c r="P755" s="219" t="s">
        <v>39</v>
      </c>
      <c r="Q755" s="170"/>
      <c r="R755" s="192" t="str">
        <f>CONCATENATE(N755,P755)</f>
        <v>45grams</v>
      </c>
      <c r="S755" s="198">
        <f>M755*N755</f>
        <v>45</v>
      </c>
      <c r="T755" s="199" t="str">
        <f>CONCATENATE(S755,Q755,P755)</f>
        <v>45grams</v>
      </c>
      <c r="U755" s="200">
        <f>L755*M755</f>
        <v>102.5</v>
      </c>
      <c r="V755" s="12"/>
      <c r="W755" s="12"/>
    </row>
    <row r="756" spans="1:23" x14ac:dyDescent="0.3">
      <c r="A756" s="479">
        <v>262</v>
      </c>
      <c r="B756" s="194" t="s">
        <v>382</v>
      </c>
      <c r="C756" s="170"/>
      <c r="D756" s="194" t="str">
        <f ca="1">IFERROR(__xludf.DUMMYFUNCTION("IF(J192="""",""n/a"",IFERROR(SPLIT(J192,""/"")))"),"ZEST-O Big 250")</f>
        <v>ZEST-O Big 250</v>
      </c>
      <c r="E756" s="194" t="str">
        <f ca="1">IFERROR(__xludf.DUMMYFUNCTION("""COMPUTED_VALUE"""),"box (10x250ml)")</f>
        <v>box (10x250ml)</v>
      </c>
      <c r="F756" s="170"/>
      <c r="G756" s="170"/>
      <c r="H756" s="183" t="s">
        <v>1897</v>
      </c>
      <c r="I756" s="170"/>
      <c r="J756" s="46" t="s">
        <v>102</v>
      </c>
      <c r="K756" s="170"/>
      <c r="L756" s="195">
        <v>9.74</v>
      </c>
      <c r="M756" s="202">
        <v>7</v>
      </c>
      <c r="N756" s="203">
        <v>1</v>
      </c>
      <c r="O756" s="61" t="str">
        <f ca="1">E756</f>
        <v>box (10x250ml)</v>
      </c>
      <c r="P756" s="61" t="s">
        <v>92</v>
      </c>
      <c r="Q756" s="61" t="s">
        <v>33</v>
      </c>
      <c r="R756" s="192" t="str">
        <f>CONCATENATE(N756,P756)</f>
        <v>1pieces</v>
      </c>
      <c r="S756" s="198">
        <f>M756*N756</f>
        <v>7</v>
      </c>
      <c r="T756" s="199" t="str">
        <f>CONCATENATE(S756,Q756,P756)</f>
        <v>7 pieces</v>
      </c>
      <c r="U756" s="200">
        <f>L756*M756</f>
        <v>68.180000000000007</v>
      </c>
      <c r="V756" s="205"/>
      <c r="W756" s="62"/>
    </row>
    <row r="757" spans="1:23" x14ac:dyDescent="0.3">
      <c r="A757" s="479">
        <v>262</v>
      </c>
      <c r="B757" s="194" t="s">
        <v>382</v>
      </c>
      <c r="C757" s="170"/>
      <c r="D757" s="194" t="str">
        <f ca="1">IFERROR(__xludf.DUMMYFUNCTION("IF(J193="""",""n/a"",IFERROR(SPLIT(J193,""/"")))"),"Jack n Jill")</f>
        <v>Jack n Jill</v>
      </c>
      <c r="E757" s="194" t="str">
        <f ca="1">IFERROR(__xludf.DUMMYFUNCTION("""COMPUTED_VALUE"""),"pack (10pcsx33grams)")</f>
        <v>pack (10pcsx33grams)</v>
      </c>
      <c r="F757" s="170"/>
      <c r="G757" s="170"/>
      <c r="H757" s="183" t="s">
        <v>1897</v>
      </c>
      <c r="I757" s="170"/>
      <c r="J757" s="46" t="s">
        <v>383</v>
      </c>
      <c r="K757" s="170"/>
      <c r="L757" s="195">
        <v>8.86</v>
      </c>
      <c r="M757" s="202">
        <v>15</v>
      </c>
      <c r="N757" s="203">
        <v>1</v>
      </c>
      <c r="O757" s="61" t="str">
        <f ca="1">E757</f>
        <v>pack (10pcsx33grams)</v>
      </c>
      <c r="P757" s="61" t="s">
        <v>92</v>
      </c>
      <c r="Q757" s="170"/>
      <c r="R757" s="192" t="str">
        <f>CONCATENATE(N757,P757)</f>
        <v>1pieces</v>
      </c>
      <c r="S757" s="198">
        <f>M757*N757</f>
        <v>15</v>
      </c>
      <c r="T757" s="199" t="str">
        <f>CONCATENATE(S757,Q757,P757)</f>
        <v>15pieces</v>
      </c>
      <c r="U757" s="200">
        <f>L757*M757</f>
        <v>132.89999999999998</v>
      </c>
      <c r="V757" s="12"/>
      <c r="W757" s="12"/>
    </row>
    <row r="758" spans="1:23" x14ac:dyDescent="0.3">
      <c r="A758" s="479">
        <v>262</v>
      </c>
      <c r="B758" s="194" t="s">
        <v>382</v>
      </c>
      <c r="C758" s="170"/>
      <c r="D758" s="194" t="str">
        <f ca="1">IFERROR(__xludf.DUMMYFUNCTION("IF(J194="""",""n/a"",IFERROR(SPLIT(J194,""/"")))"),"Jack n Jill")</f>
        <v>Jack n Jill</v>
      </c>
      <c r="E758" s="194" t="str">
        <f ca="1">IFERROR(__xludf.DUMMYFUNCTION("""COMPUTED_VALUE"""),"pack (10pcsx33grams)")</f>
        <v>pack (10pcsx33grams)</v>
      </c>
      <c r="F758" s="170"/>
      <c r="G758" s="170"/>
      <c r="H758" s="183" t="s">
        <v>1895</v>
      </c>
      <c r="I758" s="170"/>
      <c r="J758" s="46" t="s">
        <v>383</v>
      </c>
      <c r="K758" s="170"/>
      <c r="L758" s="195">
        <v>6.59</v>
      </c>
      <c r="M758" s="197">
        <v>147</v>
      </c>
      <c r="N758" s="61">
        <v>1</v>
      </c>
      <c r="O758" s="61" t="str">
        <f ca="1">E758</f>
        <v>pack (10pcsx33grams)</v>
      </c>
      <c r="P758" s="61" t="s">
        <v>92</v>
      </c>
      <c r="Q758" s="170"/>
      <c r="R758" s="192" t="str">
        <f>CONCATENATE(N758,P758)</f>
        <v>1pieces</v>
      </c>
      <c r="S758" s="198">
        <f>M758*N758</f>
        <v>147</v>
      </c>
      <c r="T758" s="199" t="str">
        <f>CONCATENATE(S758,Q758,P758)</f>
        <v>147pieces</v>
      </c>
      <c r="U758" s="200">
        <f>L758*M758</f>
        <v>968.73</v>
      </c>
      <c r="V758" s="12"/>
      <c r="W758" s="12"/>
    </row>
    <row r="759" spans="1:23" x14ac:dyDescent="0.3">
      <c r="A759" s="479">
        <v>262</v>
      </c>
      <c r="B759" s="194" t="s">
        <v>382</v>
      </c>
      <c r="C759" s="170"/>
      <c r="D759" s="194" t="str">
        <f ca="1">IFERROR(__xludf.DUMMYFUNCTION("IF(J195="""",""n/a"",IFERROR(SPLIT(J195,""/"")))"),"n/a")</f>
        <v>n/a</v>
      </c>
      <c r="E759" s="170"/>
      <c r="F759" s="170"/>
      <c r="G759" s="170"/>
      <c r="H759" s="206" t="s">
        <v>1898</v>
      </c>
      <c r="I759" s="170"/>
      <c r="J759" s="170"/>
      <c r="K759" s="170"/>
      <c r="L759" s="197">
        <v>8.2100000000000009</v>
      </c>
      <c r="M759" s="385">
        <v>38</v>
      </c>
      <c r="N759" s="208">
        <v>10</v>
      </c>
      <c r="O759" s="170">
        <f>E759</f>
        <v>0</v>
      </c>
      <c r="P759" s="209" t="s">
        <v>92</v>
      </c>
      <c r="Q759" s="170"/>
      <c r="R759" s="192" t="str">
        <f>CONCATENATE(N759,P759)</f>
        <v>10pieces</v>
      </c>
      <c r="S759" s="198">
        <f>M759*N759</f>
        <v>380</v>
      </c>
      <c r="T759" s="199" t="str">
        <f>CONCATENATE(S759,Q759,P759)</f>
        <v>380pieces</v>
      </c>
      <c r="U759" s="200">
        <f>L759*M759</f>
        <v>311.98</v>
      </c>
      <c r="V759" s="12"/>
      <c r="W759" s="12"/>
    </row>
    <row r="760" spans="1:23" x14ac:dyDescent="0.3">
      <c r="A760" s="479">
        <v>263</v>
      </c>
      <c r="B760" s="194" t="s">
        <v>580</v>
      </c>
      <c r="C760" s="170"/>
      <c r="D760" s="194" t="str">
        <f ca="1">IFERROR(__xludf.DUMMYFUNCTION("IF(J196="""",""n/a"",IFERROR(SPLIT(J196,""/"")))"),"n/a")</f>
        <v>n/a</v>
      </c>
      <c r="E760" s="170"/>
      <c r="F760" s="170"/>
      <c r="G760" s="170"/>
      <c r="H760" s="206" t="s">
        <v>1898</v>
      </c>
      <c r="I760" s="170"/>
      <c r="J760" s="170"/>
      <c r="K760" s="170"/>
      <c r="L760" s="197">
        <v>9.4</v>
      </c>
      <c r="M760" s="385">
        <v>18</v>
      </c>
      <c r="N760" s="207">
        <v>10</v>
      </c>
      <c r="O760" s="170">
        <f>E760</f>
        <v>0</v>
      </c>
      <c r="P760" s="209" t="s">
        <v>92</v>
      </c>
      <c r="Q760" s="170"/>
      <c r="R760" s="192" t="str">
        <f>CONCATENATE(N760,P760)</f>
        <v>10pieces</v>
      </c>
      <c r="S760" s="198">
        <f>M760*N760</f>
        <v>180</v>
      </c>
      <c r="T760" s="199" t="str">
        <f>CONCATENATE(S760,Q760,P760)</f>
        <v>180pieces</v>
      </c>
      <c r="U760" s="200">
        <f>L760*M760</f>
        <v>169.20000000000002</v>
      </c>
      <c r="V760" s="12"/>
      <c r="W760" s="12"/>
    </row>
    <row r="761" spans="1:23" x14ac:dyDescent="0.3">
      <c r="A761" s="479">
        <v>264</v>
      </c>
      <c r="B761" s="194" t="s">
        <v>384</v>
      </c>
      <c r="C761" s="170"/>
      <c r="D761" s="194" t="str">
        <f ca="1">IFERROR(__xludf.DUMMYFUNCTION("IF(J197="""",""n/a"",IFERROR(SPLIT(J197,""/"")))"),"Jack n Jill")</f>
        <v>Jack n Jill</v>
      </c>
      <c r="E761" s="194" t="str">
        <f ca="1">IFERROR(__xludf.DUMMYFUNCTION("""COMPUTED_VALUE"""),"pack (10x30grams)")</f>
        <v>pack (10x30grams)</v>
      </c>
      <c r="F761" s="170"/>
      <c r="G761" s="170"/>
      <c r="H761" s="183" t="s">
        <v>1895</v>
      </c>
      <c r="I761" s="170"/>
      <c r="J761" s="46" t="s">
        <v>385</v>
      </c>
      <c r="K761" s="170"/>
      <c r="L761" s="195">
        <v>6</v>
      </c>
      <c r="M761" s="197">
        <v>410</v>
      </c>
      <c r="N761" s="61">
        <v>1</v>
      </c>
      <c r="O761" s="61" t="str">
        <f ca="1">E761</f>
        <v>pack (10x30grams)</v>
      </c>
      <c r="P761" s="61" t="s">
        <v>92</v>
      </c>
      <c r="Q761" s="170"/>
      <c r="R761" s="192" t="str">
        <f>CONCATENATE(N761,P761)</f>
        <v>1pieces</v>
      </c>
      <c r="S761" s="198">
        <f>M761*N761</f>
        <v>410</v>
      </c>
      <c r="T761" s="199" t="str">
        <f>CONCATENATE(S761,Q761,P761)</f>
        <v>410pieces</v>
      </c>
      <c r="U761" s="200">
        <f>L761*M761</f>
        <v>2460</v>
      </c>
      <c r="V761" s="12"/>
      <c r="W761" s="12"/>
    </row>
    <row r="762" spans="1:23" x14ac:dyDescent="0.3">
      <c r="A762" s="479">
        <v>265</v>
      </c>
      <c r="B762" s="194" t="s">
        <v>386</v>
      </c>
      <c r="C762" s="170"/>
      <c r="D762" s="194" t="str">
        <f ca="1">IFERROR(__xludf.DUMMYFUNCTION("IF(J198="""",""n/a"",IFERROR(SPLIT(J198,""/"")))"),"Jack n Jill")</f>
        <v>Jack n Jill</v>
      </c>
      <c r="E762" s="194" t="str">
        <f ca="1">IFERROR(__xludf.DUMMYFUNCTION("""COMPUTED_VALUE"""),"pack (10pcsx30grams)")</f>
        <v>pack (10pcsx30grams)</v>
      </c>
      <c r="F762" s="170"/>
      <c r="G762" s="170"/>
      <c r="H762" s="183" t="s">
        <v>1895</v>
      </c>
      <c r="I762" s="170"/>
      <c r="J762" s="46" t="s">
        <v>387</v>
      </c>
      <c r="K762" s="170"/>
      <c r="L762" s="195">
        <v>7.87</v>
      </c>
      <c r="M762" s="197">
        <v>497</v>
      </c>
      <c r="N762" s="61">
        <v>1</v>
      </c>
      <c r="O762" s="61" t="str">
        <f ca="1">E762</f>
        <v>pack (10pcsx30grams)</v>
      </c>
      <c r="P762" s="61" t="s">
        <v>92</v>
      </c>
      <c r="Q762" s="170"/>
      <c r="R762" s="192" t="str">
        <f>CONCATENATE(N762,P762)</f>
        <v>1pieces</v>
      </c>
      <c r="S762" s="198">
        <f>M762*N762</f>
        <v>497</v>
      </c>
      <c r="T762" s="199" t="str">
        <f>CONCATENATE(S762,Q762,P762)</f>
        <v>497pieces</v>
      </c>
      <c r="U762" s="200">
        <f>L762*M762</f>
        <v>3911.39</v>
      </c>
      <c r="V762" s="12"/>
      <c r="W762" s="12"/>
    </row>
    <row r="763" spans="1:23" x14ac:dyDescent="0.3">
      <c r="A763" s="479">
        <v>265</v>
      </c>
      <c r="B763" s="194" t="s">
        <v>386</v>
      </c>
      <c r="C763" s="170"/>
      <c r="D763" s="194" t="str">
        <f ca="1">IFERROR(__xludf.DUMMYFUNCTION("IF(J199="""",""n/a"",IFERROR(SPLIT(J199,""/"")))"),"n/a")</f>
        <v>n/a</v>
      </c>
      <c r="E763" s="170"/>
      <c r="F763" s="170"/>
      <c r="G763" s="170"/>
      <c r="H763" s="206" t="s">
        <v>1898</v>
      </c>
      <c r="I763" s="170"/>
      <c r="J763" s="170"/>
      <c r="K763" s="170"/>
      <c r="L763" s="197">
        <v>7.87</v>
      </c>
      <c r="M763" s="385">
        <v>65</v>
      </c>
      <c r="N763" s="208">
        <v>10</v>
      </c>
      <c r="O763" s="170">
        <f>E763</f>
        <v>0</v>
      </c>
      <c r="P763" s="209" t="s">
        <v>92</v>
      </c>
      <c r="Q763" s="170"/>
      <c r="R763" s="192" t="str">
        <f>CONCATENATE(N763,P763)</f>
        <v>10pieces</v>
      </c>
      <c r="S763" s="198">
        <f>M763*N763</f>
        <v>650</v>
      </c>
      <c r="T763" s="199" t="str">
        <f>CONCATENATE(S763,Q763,P763)</f>
        <v>650pieces</v>
      </c>
      <c r="U763" s="200">
        <f>L763*M763</f>
        <v>511.55</v>
      </c>
      <c r="V763" s="12"/>
      <c r="W763" s="12"/>
    </row>
    <row r="764" spans="1:23" x14ac:dyDescent="0.3">
      <c r="A764" s="479">
        <v>266</v>
      </c>
      <c r="B764" s="194" t="s">
        <v>135</v>
      </c>
      <c r="C764" s="170"/>
      <c r="D764" s="194" t="str">
        <f ca="1">IFERROR(__xludf.DUMMYFUNCTION("IF(J200="""",""n/a"",IFERROR(SPLIT(J200,""/"")))"),"Great Taste")</f>
        <v>Great Taste</v>
      </c>
      <c r="E764" s="194" t="str">
        <f ca="1">IFERROR(__xludf.DUMMYFUNCTION("""COMPUTED_VALUE"""),"pack (pcsx26grams)")</f>
        <v>pack (pcsx26grams)</v>
      </c>
      <c r="F764" s="170"/>
      <c r="G764" s="170"/>
      <c r="H764" s="183" t="s">
        <v>1895</v>
      </c>
      <c r="I764" s="170"/>
      <c r="J764" s="46" t="s">
        <v>581</v>
      </c>
      <c r="K764" s="170"/>
      <c r="L764" s="195">
        <v>8.34</v>
      </c>
      <c r="M764" s="197">
        <v>167</v>
      </c>
      <c r="N764" s="61">
        <v>1</v>
      </c>
      <c r="O764" s="61" t="str">
        <f ca="1">E764</f>
        <v>pack (pcsx26grams)</v>
      </c>
      <c r="P764" s="61" t="s">
        <v>92</v>
      </c>
      <c r="Q764" s="170"/>
      <c r="R764" s="192" t="str">
        <f>CONCATENATE(N764,P764)</f>
        <v>1pieces</v>
      </c>
      <c r="S764" s="198">
        <f>M764*N764</f>
        <v>167</v>
      </c>
      <c r="T764" s="199" t="str">
        <f>CONCATENATE(S764,Q764,P764)</f>
        <v>167pieces</v>
      </c>
      <c r="U764" s="200">
        <f>L764*M764</f>
        <v>1392.78</v>
      </c>
      <c r="V764" s="12"/>
      <c r="W764" s="12"/>
    </row>
    <row r="765" spans="1:23" x14ac:dyDescent="0.3">
      <c r="A765" s="479">
        <v>267</v>
      </c>
      <c r="B765" s="194" t="s">
        <v>582</v>
      </c>
      <c r="C765" s="170"/>
      <c r="D765" s="194" t="str">
        <f ca="1">IFERROR(__xludf.DUMMYFUNCTION("IF(J201="""",""n/a"",IFERROR(SPLIT(J201,""/"")))"),"n/a")</f>
        <v>n/a</v>
      </c>
      <c r="E765" s="170"/>
      <c r="F765" s="170"/>
      <c r="G765" s="170"/>
      <c r="H765" s="206" t="s">
        <v>1898</v>
      </c>
      <c r="I765" s="170"/>
      <c r="J765" s="170"/>
      <c r="K765" s="170"/>
      <c r="L765" s="197">
        <v>0.34</v>
      </c>
      <c r="M765" s="386">
        <v>676</v>
      </c>
      <c r="N765" s="208">
        <v>238</v>
      </c>
      <c r="O765" s="170">
        <f>E765</f>
        <v>0</v>
      </c>
      <c r="P765" s="61" t="s">
        <v>39</v>
      </c>
      <c r="Q765" s="170"/>
      <c r="R765" s="192" t="str">
        <f>CONCATENATE(N765,P765)</f>
        <v>238grams</v>
      </c>
      <c r="S765" s="198">
        <f>M765*N765</f>
        <v>160888</v>
      </c>
      <c r="T765" s="199" t="str">
        <f>CONCATENATE(S765,Q765,P765)</f>
        <v>160888grams</v>
      </c>
      <c r="U765" s="200">
        <f>L765*M765</f>
        <v>229.84</v>
      </c>
      <c r="V765" s="12"/>
      <c r="W765" s="12"/>
    </row>
    <row r="766" spans="1:23" x14ac:dyDescent="0.3">
      <c r="A766" s="479">
        <v>268</v>
      </c>
      <c r="B766" s="194" t="s">
        <v>583</v>
      </c>
      <c r="C766" s="170"/>
      <c r="D766" s="194" t="str">
        <f ca="1">IFERROR(__xludf.DUMMYFUNCTION("IF(J202="""",""n/a"",IFERROR(SPLIT(J202,""/"")))"),"Ajinomoto")</f>
        <v>Ajinomoto</v>
      </c>
      <c r="E766" s="194" t="str">
        <f ca="1">IFERROR(__xludf.DUMMYFUNCTION("""COMPUTED_VALUE"""),"pack")</f>
        <v>pack</v>
      </c>
      <c r="F766" s="194" t="str">
        <f ca="1">IFERROR(__xludf.DUMMYFUNCTION("""COMPUTED_VALUE"""),"62grams")</f>
        <v>62grams</v>
      </c>
      <c r="G766" s="170"/>
      <c r="H766" s="183" t="s">
        <v>1897</v>
      </c>
      <c r="I766" s="170"/>
      <c r="J766" s="46" t="s">
        <v>584</v>
      </c>
      <c r="K766" s="170"/>
      <c r="L766" s="195">
        <v>0.27</v>
      </c>
      <c r="M766" s="202">
        <v>248</v>
      </c>
      <c r="N766" s="203">
        <v>62</v>
      </c>
      <c r="O766" s="61" t="str">
        <f ca="1">E766</f>
        <v>pack</v>
      </c>
      <c r="P766" s="61" t="s">
        <v>39</v>
      </c>
      <c r="Q766" s="170"/>
      <c r="R766" s="192" t="str">
        <f>CONCATENATE(N766,P766)</f>
        <v>62grams</v>
      </c>
      <c r="S766" s="198">
        <f>M766*N766</f>
        <v>15376</v>
      </c>
      <c r="T766" s="199" t="str">
        <f>CONCATENATE(S766,Q766,P766)</f>
        <v>15376grams</v>
      </c>
      <c r="U766" s="200">
        <f>L766*M766</f>
        <v>66.960000000000008</v>
      </c>
      <c r="V766" s="205"/>
      <c r="W766" s="62"/>
    </row>
    <row r="767" spans="1:23" x14ac:dyDescent="0.3">
      <c r="A767" s="479">
        <v>269</v>
      </c>
      <c r="B767" s="194" t="s">
        <v>585</v>
      </c>
      <c r="C767" s="170"/>
      <c r="D767" s="194" t="str">
        <f ca="1">IFERROR(__xludf.DUMMYFUNCTION("IF(J203="""",""n/a"",IFERROR(SPLIT(J203,""/"")))"),"My San")</f>
        <v>My San</v>
      </c>
      <c r="E767" s="194" t="str">
        <f ca="1">IFERROR(__xludf.DUMMYFUNCTION("""COMPUTED_VALUE"""),"pack")</f>
        <v>pack</v>
      </c>
      <c r="F767" s="194" t="str">
        <f ca="1">IFERROR(__xludf.DUMMYFUNCTION("""COMPUTED_VALUE"""),"200grams")</f>
        <v>200grams</v>
      </c>
      <c r="G767" s="170"/>
      <c r="H767" s="183" t="s">
        <v>1897</v>
      </c>
      <c r="I767" s="170"/>
      <c r="J767" s="46" t="s">
        <v>586</v>
      </c>
      <c r="K767" s="170"/>
      <c r="L767" s="195">
        <v>0.24</v>
      </c>
      <c r="M767" s="202">
        <v>200</v>
      </c>
      <c r="N767" s="203">
        <v>200</v>
      </c>
      <c r="O767" s="61" t="str">
        <f ca="1">E767</f>
        <v>pack</v>
      </c>
      <c r="P767" s="61" t="s">
        <v>39</v>
      </c>
      <c r="Q767" s="61" t="s">
        <v>33</v>
      </c>
      <c r="R767" s="192" t="str">
        <f>CONCATENATE(N767,P767)</f>
        <v>200grams</v>
      </c>
      <c r="S767" s="198">
        <f>M767*N767</f>
        <v>40000</v>
      </c>
      <c r="T767" s="199" t="str">
        <f>CONCATENATE(S767,Q767,P767)</f>
        <v>40000 grams</v>
      </c>
      <c r="U767" s="200">
        <f>L767*M767</f>
        <v>48</v>
      </c>
      <c r="V767" s="205"/>
      <c r="W767" s="62"/>
    </row>
    <row r="768" spans="1:23" x14ac:dyDescent="0.3">
      <c r="A768" s="193">
        <v>270</v>
      </c>
      <c r="B768" s="46" t="s">
        <v>1180</v>
      </c>
      <c r="C768" s="170"/>
      <c r="D768" s="194"/>
      <c r="E768" s="170"/>
      <c r="F768" s="170"/>
      <c r="G768" s="170"/>
      <c r="H768" s="194" t="s">
        <v>1368</v>
      </c>
      <c r="I768" s="170"/>
      <c r="J768" s="46" t="s">
        <v>1181</v>
      </c>
      <c r="K768" s="170"/>
      <c r="L768" s="197">
        <v>51</v>
      </c>
      <c r="M768" s="197">
        <v>1</v>
      </c>
      <c r="N768" s="290">
        <v>200</v>
      </c>
      <c r="O768" s="297"/>
      <c r="P768" s="297" t="s">
        <v>39</v>
      </c>
      <c r="Q768" s="170"/>
      <c r="R768" s="192" t="str">
        <f>CONCATENATE(N768,P768)</f>
        <v>200grams</v>
      </c>
      <c r="S768" s="198">
        <f>M768*N768</f>
        <v>200</v>
      </c>
      <c r="T768" s="199" t="str">
        <f>CONCATENATE(S768,Q768,P768)</f>
        <v>200grams</v>
      </c>
      <c r="U768" s="200">
        <f>L768*M768</f>
        <v>51</v>
      </c>
      <c r="V768" s="12"/>
      <c r="W768" s="12"/>
    </row>
    <row r="769" spans="1:23" x14ac:dyDescent="0.3">
      <c r="A769" s="193">
        <v>270</v>
      </c>
      <c r="B769" s="46" t="s">
        <v>1180</v>
      </c>
      <c r="C769" s="170"/>
      <c r="D769" s="194"/>
      <c r="E769" s="194"/>
      <c r="F769" s="170"/>
      <c r="G769" s="170"/>
      <c r="H769" s="194" t="s">
        <v>2022</v>
      </c>
      <c r="I769" s="170"/>
      <c r="J769" s="46" t="s">
        <v>1181</v>
      </c>
      <c r="K769" s="170"/>
      <c r="L769" s="197">
        <v>41.9</v>
      </c>
      <c r="M769" s="197">
        <v>3</v>
      </c>
      <c r="N769" s="290">
        <v>210</v>
      </c>
      <c r="O769" s="297"/>
      <c r="P769" s="297" t="s">
        <v>39</v>
      </c>
      <c r="Q769" s="170"/>
      <c r="R769" s="192" t="str">
        <f>CONCATENATE(N769,P769)</f>
        <v>210grams</v>
      </c>
      <c r="S769" s="198">
        <f>M769*N769</f>
        <v>630</v>
      </c>
      <c r="T769" s="199" t="str">
        <f>CONCATENATE(S769,Q769,P769)</f>
        <v>630grams</v>
      </c>
      <c r="U769" s="200">
        <f>L769*M769</f>
        <v>125.69999999999999</v>
      </c>
      <c r="V769" s="12"/>
      <c r="W769" s="12"/>
    </row>
    <row r="770" spans="1:23" x14ac:dyDescent="0.3">
      <c r="A770" s="193">
        <v>270</v>
      </c>
      <c r="B770" s="219" t="s">
        <v>1180</v>
      </c>
      <c r="C770" s="170"/>
      <c r="D770" s="194"/>
      <c r="E770" s="194"/>
      <c r="F770" s="194"/>
      <c r="G770" s="170"/>
      <c r="H770" s="194" t="s">
        <v>2021</v>
      </c>
      <c r="I770" s="170"/>
      <c r="J770" s="46" t="s">
        <v>1181</v>
      </c>
      <c r="K770" s="170"/>
      <c r="L770" s="216">
        <v>47</v>
      </c>
      <c r="M770" s="216">
        <v>4</v>
      </c>
      <c r="N770" s="293">
        <v>200</v>
      </c>
      <c r="O770" s="304"/>
      <c r="P770" s="304" t="s">
        <v>39</v>
      </c>
      <c r="Q770" s="170"/>
      <c r="R770" s="192" t="str">
        <f>CONCATENATE(N770,P770)</f>
        <v>200grams</v>
      </c>
      <c r="S770" s="198">
        <f>M770*N770</f>
        <v>800</v>
      </c>
      <c r="T770" s="199" t="str">
        <f>CONCATENATE(S770,Q770,P770)</f>
        <v>800grams</v>
      </c>
      <c r="U770" s="200">
        <f>L770*M770</f>
        <v>188</v>
      </c>
      <c r="V770" s="12"/>
      <c r="W770" s="12"/>
    </row>
    <row r="771" spans="1:23" x14ac:dyDescent="0.3">
      <c r="A771" s="479">
        <v>271</v>
      </c>
      <c r="B771" s="194" t="s">
        <v>252</v>
      </c>
      <c r="C771" s="170"/>
      <c r="D771" s="194" t="str">
        <f ca="1">IFERROR(__xludf.DUMMYFUNCTION("IF(J204="""",""n/a"",IFERROR(SPLIT(J204,""/"")))"),"Robinson ")</f>
        <v xml:space="preserve">Robinson </v>
      </c>
      <c r="E771" s="194" t="str">
        <f ca="1">IFERROR(__xludf.DUMMYFUNCTION("""COMPUTED_VALUE"""),"pack")</f>
        <v>pack</v>
      </c>
      <c r="F771" s="194" t="str">
        <f ca="1">IFERROR(__xludf.DUMMYFUNCTION("""COMPUTED_VALUE"""),"20grams")</f>
        <v>20grams</v>
      </c>
      <c r="G771" s="170"/>
      <c r="H771" s="183" t="s">
        <v>1895</v>
      </c>
      <c r="I771" s="170"/>
      <c r="J771" s="46" t="s">
        <v>253</v>
      </c>
      <c r="K771" s="170"/>
      <c r="L771" s="195">
        <v>18.25</v>
      </c>
      <c r="M771" s="197">
        <v>2</v>
      </c>
      <c r="N771" s="61">
        <v>1</v>
      </c>
      <c r="O771" s="61" t="str">
        <f ca="1">E771</f>
        <v>pack</v>
      </c>
      <c r="P771" s="61" t="s">
        <v>39</v>
      </c>
      <c r="Q771" s="170"/>
      <c r="R771" s="192" t="str">
        <f>CONCATENATE(N771,P771)</f>
        <v>1grams</v>
      </c>
      <c r="S771" s="198">
        <f>M771*N771</f>
        <v>2</v>
      </c>
      <c r="T771" s="199" t="str">
        <f>CONCATENATE(S771,Q771,P771)</f>
        <v>2grams</v>
      </c>
      <c r="U771" s="200">
        <f>L771*M771</f>
        <v>36.5</v>
      </c>
      <c r="V771" s="12"/>
      <c r="W771" s="12"/>
    </row>
    <row r="772" spans="1:23" x14ac:dyDescent="0.3">
      <c r="A772" s="479">
        <v>271</v>
      </c>
      <c r="B772" s="194" t="s">
        <v>252</v>
      </c>
      <c r="C772" s="170"/>
      <c r="D772" s="194" t="str">
        <f ca="1">IFERROR(__xludf.DUMMYFUNCTION("IF(J205="""",""n/a"",IFERROR(SPLIT(J205,""/"")))"),"n/a")</f>
        <v>n/a</v>
      </c>
      <c r="E772" s="170"/>
      <c r="F772" s="170"/>
      <c r="G772" s="170"/>
      <c r="H772" s="206" t="s">
        <v>1898</v>
      </c>
      <c r="I772" s="170"/>
      <c r="J772" s="170"/>
      <c r="K772" s="170"/>
      <c r="L772" s="197">
        <v>0.91</v>
      </c>
      <c r="M772" s="385">
        <v>40</v>
      </c>
      <c r="N772" s="208">
        <v>20</v>
      </c>
      <c r="O772" s="170">
        <f>E772</f>
        <v>0</v>
      </c>
      <c r="P772" s="61" t="s">
        <v>39</v>
      </c>
      <c r="Q772" s="170"/>
      <c r="R772" s="192" t="str">
        <f>CONCATENATE(N772,P772)</f>
        <v>20grams</v>
      </c>
      <c r="S772" s="198">
        <f>M772*N772</f>
        <v>800</v>
      </c>
      <c r="T772" s="199" t="str">
        <f>CONCATENATE(S772,Q772,P772)</f>
        <v>800grams</v>
      </c>
      <c r="U772" s="200">
        <f>L772*M772</f>
        <v>36.4</v>
      </c>
      <c r="V772" s="12"/>
      <c r="W772" s="12"/>
    </row>
    <row r="773" spans="1:23" x14ac:dyDescent="0.3">
      <c r="A773" s="193">
        <v>271</v>
      </c>
      <c r="B773" s="46" t="s">
        <v>252</v>
      </c>
      <c r="C773" s="215"/>
      <c r="D773" s="194"/>
      <c r="E773" s="214"/>
      <c r="F773" s="214"/>
      <c r="G773" s="215"/>
      <c r="H773" s="194" t="s">
        <v>1368</v>
      </c>
      <c r="I773" s="170"/>
      <c r="J773" s="46" t="s">
        <v>1182</v>
      </c>
      <c r="K773" s="170"/>
      <c r="L773" s="197">
        <v>26.5</v>
      </c>
      <c r="M773" s="197">
        <v>1</v>
      </c>
      <c r="N773" s="290">
        <v>20</v>
      </c>
      <c r="O773" s="46"/>
      <c r="P773" s="46" t="s">
        <v>39</v>
      </c>
      <c r="Q773" s="170"/>
      <c r="R773" s="192" t="str">
        <f>CONCATENATE(N773,P773)</f>
        <v>20grams</v>
      </c>
      <c r="S773" s="198">
        <f>M773*N773</f>
        <v>20</v>
      </c>
      <c r="T773" s="199" t="str">
        <f>CONCATENATE(S773,Q773,P773)</f>
        <v>20grams</v>
      </c>
      <c r="U773" s="200">
        <f>L773*M773</f>
        <v>26.5</v>
      </c>
      <c r="V773" s="12"/>
      <c r="W773" s="12"/>
    </row>
    <row r="774" spans="1:23" x14ac:dyDescent="0.3">
      <c r="A774" s="479">
        <v>272</v>
      </c>
      <c r="B774" s="194" t="s">
        <v>345</v>
      </c>
      <c r="C774" s="170"/>
      <c r="D774" s="194" t="str">
        <f ca="1">IFERROR(__xludf.DUMMYFUNCTION("IF(J206="""",""n/a"",IFERROR(SPLIT(J206,""/"")))"),"Cupcake Holder")</f>
        <v>Cupcake Holder</v>
      </c>
      <c r="E774" s="170"/>
      <c r="F774" s="170"/>
      <c r="G774" s="170"/>
      <c r="H774" s="183" t="s">
        <v>1895</v>
      </c>
      <c r="I774" s="170"/>
      <c r="J774" s="46" t="s">
        <v>346</v>
      </c>
      <c r="K774" s="170"/>
      <c r="L774" s="195">
        <v>1.25</v>
      </c>
      <c r="M774" s="197">
        <v>300</v>
      </c>
      <c r="N774" s="61">
        <v>1</v>
      </c>
      <c r="O774" s="170">
        <f>E774</f>
        <v>0</v>
      </c>
      <c r="P774" s="61" t="s">
        <v>92</v>
      </c>
      <c r="Q774" s="170"/>
      <c r="R774" s="192" t="str">
        <f>CONCATENATE(N774,P774)</f>
        <v>1pieces</v>
      </c>
      <c r="S774" s="198">
        <f>M774*N774</f>
        <v>300</v>
      </c>
      <c r="T774" s="199" t="str">
        <f>CONCATENATE(S774,Q774,P774)</f>
        <v>300pieces</v>
      </c>
      <c r="U774" s="200">
        <f>L774*M774</f>
        <v>375</v>
      </c>
      <c r="V774" s="12"/>
      <c r="W774" s="12"/>
    </row>
    <row r="775" spans="1:23" x14ac:dyDescent="0.3">
      <c r="A775" s="479">
        <v>273</v>
      </c>
      <c r="B775" s="194" t="s">
        <v>322</v>
      </c>
      <c r="C775" s="170"/>
      <c r="D775" s="194" t="str">
        <f ca="1">IFERROR(__xludf.DUMMYFUNCTION("IF(J207="""",""n/a"",IFERROR(SPLIT(J207,""/"")))"),"Lucky Me")</f>
        <v>Lucky Me</v>
      </c>
      <c r="E775" s="194" t="str">
        <f ca="1">IFERROR(__xludf.DUMMYFUNCTION("""COMPUTED_VALUE"""),"box (48pcsx40grams)")</f>
        <v>box (48pcsx40grams)</v>
      </c>
      <c r="F775" s="170"/>
      <c r="G775" s="170"/>
      <c r="H775" s="183" t="s">
        <v>1895</v>
      </c>
      <c r="I775" s="170"/>
      <c r="J775" s="46" t="s">
        <v>323</v>
      </c>
      <c r="K775" s="170"/>
      <c r="L775" s="195">
        <v>24.94</v>
      </c>
      <c r="M775" s="197">
        <v>48</v>
      </c>
      <c r="N775" s="61">
        <v>1</v>
      </c>
      <c r="O775" s="61" t="str">
        <f ca="1">E775</f>
        <v>box (48pcsx40grams)</v>
      </c>
      <c r="P775" s="61" t="s">
        <v>92</v>
      </c>
      <c r="Q775" s="170"/>
      <c r="R775" s="192" t="str">
        <f>CONCATENATE(N775,P775)</f>
        <v>1pieces</v>
      </c>
      <c r="S775" s="198">
        <f>M775*N775</f>
        <v>48</v>
      </c>
      <c r="T775" s="199" t="str">
        <f>CONCATENATE(S775,Q775,P775)</f>
        <v>48pieces</v>
      </c>
      <c r="U775" s="200">
        <f>L775*M775</f>
        <v>1197.1200000000001</v>
      </c>
      <c r="V775" s="12"/>
      <c r="W775" s="12"/>
    </row>
    <row r="776" spans="1:23" x14ac:dyDescent="0.3">
      <c r="A776" s="479">
        <v>274</v>
      </c>
      <c r="B776" s="194" t="s">
        <v>324</v>
      </c>
      <c r="C776" s="170"/>
      <c r="D776" s="194" t="str">
        <f ca="1">IFERROR(__xludf.DUMMYFUNCTION("IF(J208="""",""n/a"",IFERROR(SPLIT(J208,""/"")))"),"Lucky Me")</f>
        <v>Lucky Me</v>
      </c>
      <c r="E776" s="194" t="str">
        <f ca="1">IFERROR(__xludf.DUMMYFUNCTION("""COMPUTED_VALUE"""),"box (48pcsx40grams)")</f>
        <v>box (48pcsx40grams)</v>
      </c>
      <c r="F776" s="170"/>
      <c r="G776" s="170"/>
      <c r="H776" s="183" t="s">
        <v>1895</v>
      </c>
      <c r="I776" s="170"/>
      <c r="J776" s="46" t="s">
        <v>323</v>
      </c>
      <c r="K776" s="170"/>
      <c r="L776" s="195">
        <v>24.77</v>
      </c>
      <c r="M776" s="197">
        <v>48</v>
      </c>
      <c r="N776" s="61">
        <v>1</v>
      </c>
      <c r="O776" s="61" t="str">
        <f ca="1">E776</f>
        <v>box (48pcsx40grams)</v>
      </c>
      <c r="P776" s="61" t="s">
        <v>92</v>
      </c>
      <c r="Q776" s="170"/>
      <c r="R776" s="192" t="str">
        <f>CONCATENATE(N776,P776)</f>
        <v>1pieces</v>
      </c>
      <c r="S776" s="198">
        <f>M776*N776</f>
        <v>48</v>
      </c>
      <c r="T776" s="199" t="str">
        <f>CONCATENATE(S776,Q776,P776)</f>
        <v>48pieces</v>
      </c>
      <c r="U776" s="200">
        <f>L776*M776</f>
        <v>1188.96</v>
      </c>
      <c r="V776" s="12"/>
      <c r="W776" s="12"/>
    </row>
    <row r="777" spans="1:23" x14ac:dyDescent="0.3">
      <c r="A777" s="479">
        <v>275</v>
      </c>
      <c r="B777" s="194" t="s">
        <v>307</v>
      </c>
      <c r="C777" s="170"/>
      <c r="D777" s="194" t="str">
        <f ca="1">IFERROR(__xludf.DUMMYFUNCTION("IF(J209="""",""n/a"",IFERROR(SPLIT(J209,""/"")))"),"bar")</f>
        <v>bar</v>
      </c>
      <c r="E777" s="194" t="str">
        <f ca="1">IFERROR(__xludf.DUMMYFUNCTION("""COMPUTED_VALUE"""),"1000grams")</f>
        <v>1000grams</v>
      </c>
      <c r="F777" s="170"/>
      <c r="G777" s="170"/>
      <c r="H777" s="183" t="s">
        <v>1895</v>
      </c>
      <c r="I777" s="170"/>
      <c r="J777" s="46" t="s">
        <v>308</v>
      </c>
      <c r="K777" s="170"/>
      <c r="L777" s="195">
        <v>220</v>
      </c>
      <c r="M777" s="197">
        <v>2</v>
      </c>
      <c r="N777" s="61">
        <v>1</v>
      </c>
      <c r="O777" s="61" t="str">
        <f ca="1">E777</f>
        <v>1000grams</v>
      </c>
      <c r="P777" s="61" t="s">
        <v>39</v>
      </c>
      <c r="Q777" s="170"/>
      <c r="R777" s="192" t="str">
        <f>CONCATENATE(N777,P777)</f>
        <v>1grams</v>
      </c>
      <c r="S777" s="198">
        <f>M777*N777</f>
        <v>2</v>
      </c>
      <c r="T777" s="199" t="str">
        <f>CONCATENATE(S777,Q777,P777)</f>
        <v>2grams</v>
      </c>
      <c r="U777" s="200">
        <f>L777*M777</f>
        <v>440</v>
      </c>
      <c r="V777" s="12"/>
      <c r="W777" s="12"/>
    </row>
    <row r="778" spans="1:23" x14ac:dyDescent="0.3">
      <c r="A778" s="479">
        <v>276</v>
      </c>
      <c r="B778" s="194" t="s">
        <v>254</v>
      </c>
      <c r="C778" s="170"/>
      <c r="D778" s="194" t="str">
        <f ca="1">IFERROR(__xludf.DUMMYFUNCTION("IF(J210="""",""n/a"",IFERROR(SPLIT(J210,""/"")))"),"Mama")</f>
        <v>Mama</v>
      </c>
      <c r="E778" s="194" t="str">
        <f ca="1">IFERROR(__xludf.DUMMYFUNCTION("""COMPUTED_VALUE"""),"canister")</f>
        <v>canister</v>
      </c>
      <c r="F778" s="194" t="str">
        <f ca="1">IFERROR(__xludf.DUMMYFUNCTION("""COMPUTED_VALUE"""),"1000grams")</f>
        <v>1000grams</v>
      </c>
      <c r="G778" s="170"/>
      <c r="H778" s="183" t="s">
        <v>1897</v>
      </c>
      <c r="I778" s="170"/>
      <c r="J778" s="46" t="s">
        <v>587</v>
      </c>
      <c r="K778" s="170"/>
      <c r="L778" s="195">
        <v>0.22</v>
      </c>
      <c r="M778" s="202">
        <v>1000</v>
      </c>
      <c r="N778" s="203">
        <v>1000</v>
      </c>
      <c r="O778" s="61" t="str">
        <f ca="1">E778</f>
        <v>canister</v>
      </c>
      <c r="P778" s="61" t="s">
        <v>39</v>
      </c>
      <c r="Q778" s="170"/>
      <c r="R778" s="192" t="str">
        <f>CONCATENATE(N778,P778)</f>
        <v>1000grams</v>
      </c>
      <c r="S778" s="198">
        <f>M778*N778</f>
        <v>1000000</v>
      </c>
      <c r="T778" s="199" t="str">
        <f>CONCATENATE(S778,Q778,P778)</f>
        <v>1000000grams</v>
      </c>
      <c r="U778" s="200">
        <f>L778*M778</f>
        <v>220</v>
      </c>
      <c r="V778" s="205"/>
      <c r="W778" s="62"/>
    </row>
    <row r="779" spans="1:23" x14ac:dyDescent="0.3">
      <c r="A779" s="479">
        <v>276</v>
      </c>
      <c r="B779" s="194" t="s">
        <v>254</v>
      </c>
      <c r="C779" s="170"/>
      <c r="D779" s="194" t="str">
        <f ca="1">IFERROR(__xludf.DUMMYFUNCTION("IF(J211="""",""n/a"",IFERROR(SPLIT(J211,""/"")))"),"S8 Greatbuy")</f>
        <v>S8 Greatbuy</v>
      </c>
      <c r="E779" s="194" t="str">
        <f ca="1">IFERROR(__xludf.DUMMYFUNCTION("""COMPUTED_VALUE"""),"pack")</f>
        <v>pack</v>
      </c>
      <c r="F779" s="194" t="str">
        <f ca="1">IFERROR(__xludf.DUMMYFUNCTION("""COMPUTED_VALUE"""),"30grams")</f>
        <v>30grams</v>
      </c>
      <c r="G779" s="170"/>
      <c r="H779" s="183" t="s">
        <v>1897</v>
      </c>
      <c r="I779" s="170"/>
      <c r="J779" s="46" t="s">
        <v>588</v>
      </c>
      <c r="K779" s="170"/>
      <c r="L779" s="197">
        <v>1.06</v>
      </c>
      <c r="M779" s="202">
        <v>150</v>
      </c>
      <c r="N779" s="203">
        <v>30</v>
      </c>
      <c r="O779" s="61" t="str">
        <f ca="1">E779</f>
        <v>pack</v>
      </c>
      <c r="P779" s="61" t="s">
        <v>39</v>
      </c>
      <c r="Q779" s="170"/>
      <c r="R779" s="192" t="str">
        <f>CONCATENATE(N779,P779)</f>
        <v>30grams</v>
      </c>
      <c r="S779" s="198">
        <f>M779*N779</f>
        <v>4500</v>
      </c>
      <c r="T779" s="199" t="str">
        <f>CONCATENATE(S779,Q779,P779)</f>
        <v>4500grams</v>
      </c>
      <c r="U779" s="200">
        <f>L779*M779</f>
        <v>159</v>
      </c>
      <c r="V779" s="205"/>
      <c r="W779" s="62"/>
    </row>
    <row r="780" spans="1:23" x14ac:dyDescent="0.3">
      <c r="A780" s="479">
        <v>276</v>
      </c>
      <c r="B780" s="194" t="s">
        <v>254</v>
      </c>
      <c r="C780" s="170"/>
      <c r="D780" s="194" t="str">
        <f ca="1">IFERROR(__xludf.DUMMYFUNCTION("IF(J212="""",""n/a"",IFERROR(SPLIT(J212,""/"")))"),"Pure Basic")</f>
        <v>Pure Basic</v>
      </c>
      <c r="E780" s="194" t="str">
        <f ca="1">IFERROR(__xludf.DUMMYFUNCTION("""COMPUTED_VALUE"""),"pack")</f>
        <v>pack</v>
      </c>
      <c r="F780" s="194" t="str">
        <f ca="1">IFERROR(__xludf.DUMMYFUNCTION("""COMPUTED_VALUE"""),"50grams")</f>
        <v>50grams</v>
      </c>
      <c r="G780" s="170"/>
      <c r="H780" s="183" t="s">
        <v>1895</v>
      </c>
      <c r="I780" s="170"/>
      <c r="J780" s="46" t="s">
        <v>255</v>
      </c>
      <c r="K780" s="170"/>
      <c r="L780" s="195">
        <v>113</v>
      </c>
      <c r="M780" s="197">
        <v>7</v>
      </c>
      <c r="N780" s="61">
        <v>1</v>
      </c>
      <c r="O780" s="61" t="str">
        <f ca="1">E780</f>
        <v>pack</v>
      </c>
      <c r="P780" s="61" t="s">
        <v>39</v>
      </c>
      <c r="Q780" s="170"/>
      <c r="R780" s="192" t="str">
        <f>CONCATENATE(N780,P780)</f>
        <v>1grams</v>
      </c>
      <c r="S780" s="198">
        <f>M780*N780</f>
        <v>7</v>
      </c>
      <c r="T780" s="199" t="str">
        <f>CONCATENATE(S780,Q780,P780)</f>
        <v>7grams</v>
      </c>
      <c r="U780" s="200">
        <f>L780*M780</f>
        <v>791</v>
      </c>
      <c r="V780" s="12"/>
      <c r="W780" s="12"/>
    </row>
    <row r="781" spans="1:23" x14ac:dyDescent="0.3">
      <c r="A781" s="193">
        <v>276</v>
      </c>
      <c r="B781" s="46" t="s">
        <v>254</v>
      </c>
      <c r="C781" s="170"/>
      <c r="D781" s="194"/>
      <c r="E781" s="194"/>
      <c r="F781" s="170"/>
      <c r="G781" s="170"/>
      <c r="H781" s="194" t="s">
        <v>29</v>
      </c>
      <c r="I781" s="170"/>
      <c r="J781" s="46" t="s">
        <v>1183</v>
      </c>
      <c r="K781" s="170"/>
      <c r="L781" s="197">
        <v>113</v>
      </c>
      <c r="M781" s="197">
        <v>1</v>
      </c>
      <c r="N781" s="290">
        <v>50</v>
      </c>
      <c r="O781" s="46"/>
      <c r="P781" s="46" t="s">
        <v>39</v>
      </c>
      <c r="Q781" s="61" t="s">
        <v>33</v>
      </c>
      <c r="R781" s="192" t="str">
        <f>CONCATENATE(N781,P781)</f>
        <v>50grams</v>
      </c>
      <c r="S781" s="198">
        <f>M781*N781</f>
        <v>50</v>
      </c>
      <c r="T781" s="199" t="str">
        <f>CONCATENATE(S781,Q781,P781)</f>
        <v>50 grams</v>
      </c>
      <c r="U781" s="200">
        <f>L781*M781</f>
        <v>113</v>
      </c>
      <c r="V781" s="12"/>
      <c r="W781" s="12"/>
    </row>
    <row r="782" spans="1:23" x14ac:dyDescent="0.3">
      <c r="A782" s="193">
        <v>276</v>
      </c>
      <c r="B782" s="46" t="s">
        <v>254</v>
      </c>
      <c r="C782" s="170"/>
      <c r="D782" s="194"/>
      <c r="E782" s="194"/>
      <c r="F782" s="170"/>
      <c r="G782" s="170"/>
      <c r="H782" s="194" t="s">
        <v>1368</v>
      </c>
      <c r="I782" s="170"/>
      <c r="J782" s="46" t="s">
        <v>1184</v>
      </c>
      <c r="K782" s="170"/>
      <c r="L782" s="197">
        <v>34</v>
      </c>
      <c r="M782" s="197">
        <v>2</v>
      </c>
      <c r="N782" s="290">
        <v>30</v>
      </c>
      <c r="O782" s="46"/>
      <c r="P782" s="46" t="s">
        <v>39</v>
      </c>
      <c r="Q782" s="170"/>
      <c r="R782" s="192" t="str">
        <f>CONCATENATE(N782,P782)</f>
        <v>30grams</v>
      </c>
      <c r="S782" s="198">
        <f>M782*N782</f>
        <v>60</v>
      </c>
      <c r="T782" s="199" t="str">
        <f>CONCATENATE(S782,Q782,P782)</f>
        <v>60grams</v>
      </c>
      <c r="U782" s="200">
        <f>L782*M782</f>
        <v>68</v>
      </c>
      <c r="V782" s="12"/>
      <c r="W782" s="12"/>
    </row>
    <row r="783" spans="1:23" x14ac:dyDescent="0.3">
      <c r="A783" s="193">
        <v>276</v>
      </c>
      <c r="B783" s="46" t="s">
        <v>254</v>
      </c>
      <c r="C783" s="170"/>
      <c r="D783" s="194"/>
      <c r="E783" s="170"/>
      <c r="F783" s="170"/>
      <c r="G783" s="170"/>
      <c r="H783" s="194" t="s">
        <v>2023</v>
      </c>
      <c r="I783" s="170"/>
      <c r="J783" s="46" t="s">
        <v>867</v>
      </c>
      <c r="K783" s="170"/>
      <c r="L783" s="197">
        <v>250</v>
      </c>
      <c r="M783" s="197">
        <v>2</v>
      </c>
      <c r="N783" s="290">
        <v>500</v>
      </c>
      <c r="O783" s="46"/>
      <c r="P783" s="46" t="s">
        <v>39</v>
      </c>
      <c r="Q783" s="170"/>
      <c r="R783" s="192" t="str">
        <f>CONCATENATE(N783,P783)</f>
        <v>500grams</v>
      </c>
      <c r="S783" s="198">
        <f>M783*N783</f>
        <v>1000</v>
      </c>
      <c r="T783" s="199" t="str">
        <f>CONCATENATE(S783,Q783,P783)</f>
        <v>1000grams</v>
      </c>
      <c r="U783" s="200">
        <f>L783*M783</f>
        <v>500</v>
      </c>
      <c r="V783" s="12"/>
      <c r="W783" s="12"/>
    </row>
    <row r="784" spans="1:23" x14ac:dyDescent="0.3">
      <c r="A784" s="193">
        <v>276</v>
      </c>
      <c r="B784" s="219" t="s">
        <v>254</v>
      </c>
      <c r="C784" s="170"/>
      <c r="D784" s="194"/>
      <c r="E784" s="170"/>
      <c r="F784" s="170"/>
      <c r="G784" s="170"/>
      <c r="H784" s="194" t="s">
        <v>2021</v>
      </c>
      <c r="I784" s="170"/>
      <c r="J784" s="219" t="s">
        <v>1184</v>
      </c>
      <c r="K784" s="170"/>
      <c r="L784" s="216">
        <v>32.75</v>
      </c>
      <c r="M784" s="216">
        <v>1</v>
      </c>
      <c r="N784" s="293">
        <v>30</v>
      </c>
      <c r="O784" s="219"/>
      <c r="P784" s="219" t="s">
        <v>39</v>
      </c>
      <c r="Q784" s="170"/>
      <c r="R784" s="192" t="str">
        <f>CONCATENATE(N784,P784)</f>
        <v>30grams</v>
      </c>
      <c r="S784" s="198">
        <f>M784*N784</f>
        <v>30</v>
      </c>
      <c r="T784" s="199" t="str">
        <f>CONCATENATE(S784,Q784,P784)</f>
        <v>30grams</v>
      </c>
      <c r="U784" s="200">
        <f>L784*M784</f>
        <v>32.75</v>
      </c>
      <c r="V784" s="12"/>
      <c r="W784" s="12"/>
    </row>
    <row r="785" spans="1:23" x14ac:dyDescent="0.3">
      <c r="A785" s="193">
        <v>277</v>
      </c>
      <c r="B785" s="46" t="s">
        <v>1185</v>
      </c>
      <c r="C785" s="170"/>
      <c r="D785" s="194"/>
      <c r="E785" s="194"/>
      <c r="F785" s="170"/>
      <c r="G785" s="170"/>
      <c r="H785" s="194" t="s">
        <v>1368</v>
      </c>
      <c r="I785" s="170"/>
      <c r="J785" s="170"/>
      <c r="K785" s="170"/>
      <c r="L785" s="197">
        <v>90</v>
      </c>
      <c r="M785" s="197">
        <v>1</v>
      </c>
      <c r="N785" s="290">
        <v>1000</v>
      </c>
      <c r="O785" s="46"/>
      <c r="P785" s="46" t="s">
        <v>39</v>
      </c>
      <c r="Q785" s="170"/>
      <c r="R785" s="192" t="str">
        <f>CONCATENATE(N785,P785)</f>
        <v>1000grams</v>
      </c>
      <c r="S785" s="198">
        <f>M785*N785</f>
        <v>1000</v>
      </c>
      <c r="T785" s="199" t="str">
        <f>CONCATENATE(S785,Q785,P785)</f>
        <v>1000grams</v>
      </c>
      <c r="U785" s="200">
        <f>L785*M785</f>
        <v>90</v>
      </c>
      <c r="V785" s="12"/>
      <c r="W785" s="12"/>
    </row>
    <row r="786" spans="1:23" x14ac:dyDescent="0.3">
      <c r="A786" s="193">
        <v>278</v>
      </c>
      <c r="B786" s="46" t="s">
        <v>1186</v>
      </c>
      <c r="C786" s="170"/>
      <c r="D786" s="194"/>
      <c r="E786" s="194"/>
      <c r="F786" s="194"/>
      <c r="G786" s="170"/>
      <c r="H786" s="194" t="s">
        <v>2025</v>
      </c>
      <c r="I786" s="170"/>
      <c r="J786" s="170"/>
      <c r="K786" s="170"/>
      <c r="L786" s="197">
        <v>310</v>
      </c>
      <c r="M786" s="197">
        <v>3</v>
      </c>
      <c r="N786" s="290">
        <v>1</v>
      </c>
      <c r="O786" s="46"/>
      <c r="P786" s="46" t="s">
        <v>213</v>
      </c>
      <c r="Q786" s="61" t="s">
        <v>33</v>
      </c>
      <c r="R786" s="192" t="str">
        <f>CONCATENATE(N786,P786)</f>
        <v>1kilos</v>
      </c>
      <c r="S786" s="198">
        <f>M786*N786</f>
        <v>3</v>
      </c>
      <c r="T786" s="199" t="str">
        <f>CONCATENATE(S786,Q786,P786)</f>
        <v>3 kilos</v>
      </c>
      <c r="U786" s="200">
        <f>L786*M786</f>
        <v>930</v>
      </c>
      <c r="V786" s="12"/>
      <c r="W786" s="12"/>
    </row>
    <row r="787" spans="1:23" x14ac:dyDescent="0.3">
      <c r="A787" s="193">
        <v>279</v>
      </c>
      <c r="B787" s="46" t="s">
        <v>1187</v>
      </c>
      <c r="C787" s="215"/>
      <c r="D787" s="194"/>
      <c r="E787" s="214"/>
      <c r="F787" s="214"/>
      <c r="G787" s="215"/>
      <c r="H787" s="194" t="s">
        <v>2025</v>
      </c>
      <c r="I787" s="215"/>
      <c r="J787" s="46" t="s">
        <v>1068</v>
      </c>
      <c r="K787" s="170"/>
      <c r="L787" s="197">
        <v>1300</v>
      </c>
      <c r="M787" s="197">
        <v>1</v>
      </c>
      <c r="N787" s="290">
        <v>1</v>
      </c>
      <c r="O787" s="46"/>
      <c r="P787" s="46" t="s">
        <v>213</v>
      </c>
      <c r="Q787" s="170"/>
      <c r="R787" s="192" t="str">
        <f>CONCATENATE(N787,P787)</f>
        <v>1kilos</v>
      </c>
      <c r="S787" s="198">
        <f>M787*N787</f>
        <v>1</v>
      </c>
      <c r="T787" s="199" t="str">
        <f>CONCATENATE(S787,Q787,P787)</f>
        <v>1kilos</v>
      </c>
      <c r="U787" s="200">
        <f>L787*M787</f>
        <v>1300</v>
      </c>
      <c r="V787" s="12"/>
      <c r="W787" s="12"/>
    </row>
    <row r="788" spans="1:23" x14ac:dyDescent="0.3">
      <c r="A788" s="193">
        <v>279</v>
      </c>
      <c r="B788" s="46" t="s">
        <v>1187</v>
      </c>
      <c r="C788" s="215"/>
      <c r="D788" s="194"/>
      <c r="E788" s="215"/>
      <c r="F788" s="215"/>
      <c r="G788" s="215"/>
      <c r="H788" s="400" t="s">
        <v>2027</v>
      </c>
      <c r="I788" s="170"/>
      <c r="J788" s="46" t="s">
        <v>1907</v>
      </c>
      <c r="K788" s="170"/>
      <c r="L788" s="195">
        <v>50</v>
      </c>
      <c r="M788" s="197">
        <v>1</v>
      </c>
      <c r="N788" s="360">
        <v>1</v>
      </c>
      <c r="O788" s="61"/>
      <c r="P788" s="61" t="s">
        <v>213</v>
      </c>
      <c r="Q788" s="170"/>
      <c r="R788" s="192" t="str">
        <f>CONCATENATE(N788,P788)</f>
        <v>1kilos</v>
      </c>
      <c r="S788" s="198">
        <f>M788*N788</f>
        <v>1</v>
      </c>
      <c r="T788" s="199" t="str">
        <f>CONCATENATE(S788,Q788,P788)</f>
        <v>1kilos</v>
      </c>
      <c r="U788" s="200">
        <f>L788*M788</f>
        <v>50</v>
      </c>
      <c r="V788" s="12"/>
      <c r="W788" s="12"/>
    </row>
    <row r="789" spans="1:23" x14ac:dyDescent="0.3">
      <c r="A789" s="479">
        <v>280</v>
      </c>
      <c r="B789" s="194" t="s">
        <v>309</v>
      </c>
      <c r="C789" s="170"/>
      <c r="D789" s="194" t="str">
        <f ca="1">IFERROR(__xludf.DUMMYFUNCTION("IF(J213="""",""n/a"",IFERROR(SPLIT(J213,""/"")))"),"Marutomo")</f>
        <v>Marutomo</v>
      </c>
      <c r="E789" s="170"/>
      <c r="F789" s="170"/>
      <c r="G789" s="170"/>
      <c r="H789" s="183" t="s">
        <v>1895</v>
      </c>
      <c r="I789" s="170"/>
      <c r="J789" s="46" t="s">
        <v>310</v>
      </c>
      <c r="K789" s="170"/>
      <c r="L789" s="195">
        <v>450</v>
      </c>
      <c r="M789" s="197">
        <v>1</v>
      </c>
      <c r="N789" s="61">
        <v>1</v>
      </c>
      <c r="O789" s="170">
        <f>E789</f>
        <v>0</v>
      </c>
      <c r="P789" s="61" t="s">
        <v>39</v>
      </c>
      <c r="Q789" s="170"/>
      <c r="R789" s="192" t="str">
        <f>CONCATENATE(N789,P789)</f>
        <v>1grams</v>
      </c>
      <c r="S789" s="198">
        <f>M789*N789</f>
        <v>1</v>
      </c>
      <c r="T789" s="199" t="str">
        <f>CONCATENATE(S789,Q789,P789)</f>
        <v>1grams</v>
      </c>
      <c r="U789" s="200">
        <f>L789*M789</f>
        <v>450</v>
      </c>
      <c r="V789" s="12"/>
      <c r="W789" s="12"/>
    </row>
    <row r="790" spans="1:23" x14ac:dyDescent="0.3">
      <c r="A790" s="479">
        <v>280</v>
      </c>
      <c r="B790" s="194" t="s">
        <v>309</v>
      </c>
      <c r="C790" s="170"/>
      <c r="D790" s="194" t="str">
        <f ca="1">IFERROR(__xludf.DUMMYFUNCTION("IF(J214="""",""n/a"",IFERROR(SPLIT(J214,""/"")))"),"n/a")</f>
        <v>n/a</v>
      </c>
      <c r="E790" s="170"/>
      <c r="F790" s="170"/>
      <c r="G790" s="170"/>
      <c r="H790" s="206" t="s">
        <v>1898</v>
      </c>
      <c r="I790" s="170"/>
      <c r="J790" s="170"/>
      <c r="K790" s="170"/>
      <c r="L790" s="197">
        <v>0.56000000000000005</v>
      </c>
      <c r="M790" s="386">
        <v>500</v>
      </c>
      <c r="N790" s="208">
        <v>500</v>
      </c>
      <c r="O790" s="170">
        <f>E790</f>
        <v>0</v>
      </c>
      <c r="P790" s="61" t="s">
        <v>39</v>
      </c>
      <c r="Q790" s="170"/>
      <c r="R790" s="192" t="str">
        <f>CONCATENATE(N790,P790)</f>
        <v>500grams</v>
      </c>
      <c r="S790" s="198">
        <f>M790*N790</f>
        <v>250000</v>
      </c>
      <c r="T790" s="199" t="str">
        <f>CONCATENATE(S790,Q790,P790)</f>
        <v>250000grams</v>
      </c>
      <c r="U790" s="200">
        <f>L790*M790</f>
        <v>280</v>
      </c>
      <c r="V790" s="12"/>
      <c r="W790" s="12"/>
    </row>
    <row r="791" spans="1:23" x14ac:dyDescent="0.3">
      <c r="A791" s="479">
        <v>281</v>
      </c>
      <c r="B791" s="194" t="s">
        <v>388</v>
      </c>
      <c r="C791" s="170"/>
      <c r="D791" s="194" t="str">
        <f ca="1">IFERROR(__xludf.DUMMYFUNCTION("IF(J215="""",""n/a"",IFERROR(SPLIT(J215,""/"")))"),"Jack n Jill")</f>
        <v>Jack n Jill</v>
      </c>
      <c r="E791" s="194" t="str">
        <f ca="1">IFERROR(__xludf.DUMMYFUNCTION("""COMPUTED_VALUE"""),"pack (10x33 grams)")</f>
        <v>pack (10x33 grams)</v>
      </c>
      <c r="F791" s="170"/>
      <c r="G791" s="170"/>
      <c r="H791" s="183" t="s">
        <v>1895</v>
      </c>
      <c r="I791" s="170"/>
      <c r="J791" s="46" t="s">
        <v>389</v>
      </c>
      <c r="K791" s="170"/>
      <c r="L791" s="195">
        <v>7.15</v>
      </c>
      <c r="M791" s="197">
        <v>400</v>
      </c>
      <c r="N791" s="61">
        <v>1</v>
      </c>
      <c r="O791" s="61" t="str">
        <f ca="1">E791</f>
        <v>pack (10x33 grams)</v>
      </c>
      <c r="P791" s="61" t="s">
        <v>92</v>
      </c>
      <c r="Q791" s="170"/>
      <c r="R791" s="192" t="str">
        <f>CONCATENATE(N791,P791)</f>
        <v>1pieces</v>
      </c>
      <c r="S791" s="198">
        <f>M791*N791</f>
        <v>400</v>
      </c>
      <c r="T791" s="199" t="str">
        <f>CONCATENATE(S791,Q791,P791)</f>
        <v>400pieces</v>
      </c>
      <c r="U791" s="200">
        <f>L791*M791</f>
        <v>2860</v>
      </c>
      <c r="V791" s="12"/>
      <c r="W791" s="12"/>
    </row>
    <row r="792" spans="1:23" x14ac:dyDescent="0.3">
      <c r="A792" s="479">
        <v>282</v>
      </c>
      <c r="B792" s="194" t="s">
        <v>390</v>
      </c>
      <c r="C792" s="170"/>
      <c r="D792" s="194" t="str">
        <f ca="1">IFERROR(__xludf.DUMMYFUNCTION("IF(J216="""",""n/a"",IFERROR(SPLIT(J216,""/"")))"),"Jack n Jill")</f>
        <v>Jack n Jill</v>
      </c>
      <c r="E792" s="194" t="str">
        <f ca="1">IFERROR(__xludf.DUMMYFUNCTION("""COMPUTED_VALUE"""),"pack (10pcsx")</f>
        <v>pack (10pcsx</v>
      </c>
      <c r="F792" s="194" t="str">
        <f ca="1">IFERROR(__xludf.DUMMYFUNCTION("""COMPUTED_VALUE"""),"2grams)")</f>
        <v>2grams)</v>
      </c>
      <c r="G792" s="170"/>
      <c r="H792" s="183" t="s">
        <v>1897</v>
      </c>
      <c r="I792" s="170"/>
      <c r="J792" s="46" t="s">
        <v>391</v>
      </c>
      <c r="K792" s="170"/>
      <c r="L792" s="202">
        <v>7.26</v>
      </c>
      <c r="M792" s="202">
        <v>19</v>
      </c>
      <c r="N792" s="203">
        <v>1</v>
      </c>
      <c r="O792" s="61" t="str">
        <f ca="1">E792</f>
        <v>pack (10pcsx</v>
      </c>
      <c r="P792" s="61" t="s">
        <v>92</v>
      </c>
      <c r="Q792" s="170"/>
      <c r="R792" s="192" t="str">
        <f>CONCATENATE(N792,P792)</f>
        <v>1pieces</v>
      </c>
      <c r="S792" s="198">
        <f>M792*N792</f>
        <v>19</v>
      </c>
      <c r="T792" s="199" t="str">
        <f>CONCATENATE(S792,Q792,P792)</f>
        <v>19pieces</v>
      </c>
      <c r="U792" s="200">
        <f>L792*M792</f>
        <v>137.94</v>
      </c>
      <c r="V792" s="12"/>
      <c r="W792" s="12"/>
    </row>
    <row r="793" spans="1:23" x14ac:dyDescent="0.3">
      <c r="A793" s="479">
        <v>282</v>
      </c>
      <c r="B793" s="194" t="s">
        <v>390</v>
      </c>
      <c r="C793" s="170"/>
      <c r="D793" s="194" t="str">
        <f ca="1">IFERROR(__xludf.DUMMYFUNCTION("IF(J217="""",""n/a"",IFERROR(SPLIT(J217,""/"")))"),"Jack n Jill")</f>
        <v>Jack n Jill</v>
      </c>
      <c r="E793" s="194" t="str">
        <f ca="1">IFERROR(__xludf.DUMMYFUNCTION("""COMPUTED_VALUE"""),"pack (10pcsx")</f>
        <v>pack (10pcsx</v>
      </c>
      <c r="F793" s="194" t="str">
        <f ca="1">IFERROR(__xludf.DUMMYFUNCTION("""COMPUTED_VALUE"""),"2grams)")</f>
        <v>2grams)</v>
      </c>
      <c r="G793" s="170"/>
      <c r="H793" s="183" t="s">
        <v>1895</v>
      </c>
      <c r="I793" s="170"/>
      <c r="J793" s="46" t="s">
        <v>391</v>
      </c>
      <c r="K793" s="170"/>
      <c r="L793" s="195">
        <v>7.89</v>
      </c>
      <c r="M793" s="197">
        <v>440</v>
      </c>
      <c r="N793" s="61">
        <v>1</v>
      </c>
      <c r="O793" s="61" t="str">
        <f ca="1">E793</f>
        <v>pack (10pcsx</v>
      </c>
      <c r="P793" s="61" t="s">
        <v>92</v>
      </c>
      <c r="Q793" s="170"/>
      <c r="R793" s="192" t="str">
        <f>CONCATENATE(N793,P793)</f>
        <v>1pieces</v>
      </c>
      <c r="S793" s="198">
        <f>M793*N793</f>
        <v>440</v>
      </c>
      <c r="T793" s="199" t="str">
        <f>CONCATENATE(S793,Q793,P793)</f>
        <v>440pieces</v>
      </c>
      <c r="U793" s="200">
        <f>L793*M793</f>
        <v>3471.6</v>
      </c>
      <c r="V793" s="12"/>
      <c r="W793" s="12"/>
    </row>
    <row r="794" spans="1:23" x14ac:dyDescent="0.3">
      <c r="A794" s="193">
        <v>283</v>
      </c>
      <c r="B794" s="46" t="s">
        <v>1188</v>
      </c>
      <c r="C794" s="170"/>
      <c r="D794" s="194"/>
      <c r="E794" s="170"/>
      <c r="F794" s="170"/>
      <c r="G794" s="170"/>
      <c r="H794" s="194" t="s">
        <v>2025</v>
      </c>
      <c r="I794" s="170"/>
      <c r="J794" s="46" t="s">
        <v>1042</v>
      </c>
      <c r="K794" s="170"/>
      <c r="L794" s="197">
        <v>69.75</v>
      </c>
      <c r="M794" s="197">
        <v>2</v>
      </c>
      <c r="N794" s="290">
        <v>230</v>
      </c>
      <c r="O794" s="46"/>
      <c r="P794" s="46" t="s">
        <v>519</v>
      </c>
      <c r="Q794" s="170"/>
      <c r="R794" s="192" t="str">
        <f>CONCATENATE(N794,P794)</f>
        <v>230drained weight grams</v>
      </c>
      <c r="S794" s="198">
        <f>M794*N794</f>
        <v>460</v>
      </c>
      <c r="T794" s="199" t="str">
        <f>CONCATENATE(S794,Q794,P794)</f>
        <v>460drained weight grams</v>
      </c>
      <c r="U794" s="200">
        <f>L794*M794</f>
        <v>139.5</v>
      </c>
      <c r="V794" s="12"/>
      <c r="W794" s="12"/>
    </row>
    <row r="795" spans="1:23" x14ac:dyDescent="0.3">
      <c r="A795" s="193">
        <v>284</v>
      </c>
      <c r="B795" s="46" t="s">
        <v>1189</v>
      </c>
      <c r="C795" s="170"/>
      <c r="D795" s="194"/>
      <c r="E795" s="170"/>
      <c r="F795" s="170"/>
      <c r="G795" s="170"/>
      <c r="H795" s="194" t="s">
        <v>2025</v>
      </c>
      <c r="I795" s="170"/>
      <c r="J795" s="170"/>
      <c r="K795" s="170"/>
      <c r="L795" s="197">
        <v>190</v>
      </c>
      <c r="M795" s="197">
        <v>4</v>
      </c>
      <c r="N795" s="290">
        <v>1</v>
      </c>
      <c r="O795" s="46"/>
      <c r="P795" s="46" t="s">
        <v>213</v>
      </c>
      <c r="Q795" s="170"/>
      <c r="R795" s="192" t="str">
        <f>CONCATENATE(N795,P795)</f>
        <v>1kilos</v>
      </c>
      <c r="S795" s="198">
        <f>M795*N795</f>
        <v>4</v>
      </c>
      <c r="T795" s="199" t="str">
        <f>CONCATENATE(S795,Q795,P795)</f>
        <v>4kilos</v>
      </c>
      <c r="U795" s="200">
        <f>L795*M795</f>
        <v>760</v>
      </c>
      <c r="V795" s="12"/>
      <c r="W795" s="12"/>
    </row>
    <row r="796" spans="1:23" x14ac:dyDescent="0.3">
      <c r="A796" s="193">
        <v>284</v>
      </c>
      <c r="B796" s="46" t="s">
        <v>1189</v>
      </c>
      <c r="C796" s="170"/>
      <c r="D796" s="194"/>
      <c r="E796" s="170"/>
      <c r="F796" s="170"/>
      <c r="G796" s="170"/>
      <c r="H796" s="194" t="s">
        <v>2020</v>
      </c>
      <c r="I796" s="170"/>
      <c r="J796" s="170"/>
      <c r="K796" s="170"/>
      <c r="L796" s="197">
        <v>400</v>
      </c>
      <c r="M796" s="197">
        <v>0</v>
      </c>
      <c r="N796" s="290">
        <v>1000</v>
      </c>
      <c r="O796" s="46"/>
      <c r="P796" s="46" t="s">
        <v>39</v>
      </c>
      <c r="Q796" s="170"/>
      <c r="R796" s="192" t="str">
        <f>CONCATENATE(N796,P796)</f>
        <v>1000grams</v>
      </c>
      <c r="S796" s="198">
        <f>M796*N796</f>
        <v>0</v>
      </c>
      <c r="T796" s="199" t="str">
        <f>CONCATENATE(S796,Q796,P796)</f>
        <v>0grams</v>
      </c>
      <c r="U796" s="200">
        <f>L796*M796</f>
        <v>0</v>
      </c>
      <c r="V796" s="12"/>
      <c r="W796" s="12"/>
    </row>
    <row r="797" spans="1:23" x14ac:dyDescent="0.3">
      <c r="A797" s="193">
        <v>284</v>
      </c>
      <c r="B797" s="46" t="s">
        <v>1189</v>
      </c>
      <c r="C797" s="215"/>
      <c r="D797" s="194"/>
      <c r="E797" s="215"/>
      <c r="F797" s="215"/>
      <c r="G797" s="215"/>
      <c r="H797" s="400" t="s">
        <v>2027</v>
      </c>
      <c r="I797" s="170"/>
      <c r="J797" s="46" t="s">
        <v>1907</v>
      </c>
      <c r="K797" s="170"/>
      <c r="L797" s="195">
        <v>20</v>
      </c>
      <c r="M797" s="197">
        <v>1</v>
      </c>
      <c r="N797" s="360">
        <v>1</v>
      </c>
      <c r="O797" s="61"/>
      <c r="P797" s="61" t="s">
        <v>213</v>
      </c>
      <c r="Q797" s="170"/>
      <c r="R797" s="192" t="str">
        <f>CONCATENATE(N797,P797)</f>
        <v>1kilos</v>
      </c>
      <c r="S797" s="198">
        <f>M797*N797</f>
        <v>1</v>
      </c>
      <c r="T797" s="199" t="str">
        <f>CONCATENATE(S797,Q797,P797)</f>
        <v>1kilos</v>
      </c>
      <c r="U797" s="200">
        <f>L797*M797</f>
        <v>20</v>
      </c>
      <c r="V797" s="12"/>
      <c r="W797" s="12"/>
    </row>
    <row r="798" spans="1:23" x14ac:dyDescent="0.3">
      <c r="A798" s="193">
        <v>285</v>
      </c>
      <c r="B798" s="46" t="s">
        <v>1190</v>
      </c>
      <c r="C798" s="170"/>
      <c r="D798" s="194"/>
      <c r="E798" s="170"/>
      <c r="F798" s="170"/>
      <c r="G798" s="170"/>
      <c r="H798" s="194" t="s">
        <v>2025</v>
      </c>
      <c r="I798" s="170"/>
      <c r="J798" s="46" t="s">
        <v>1191</v>
      </c>
      <c r="K798" s="170"/>
      <c r="L798" s="197">
        <v>1300</v>
      </c>
      <c r="M798" s="197">
        <v>0</v>
      </c>
      <c r="N798" s="290">
        <v>1</v>
      </c>
      <c r="O798" s="46"/>
      <c r="P798" s="46" t="s">
        <v>213</v>
      </c>
      <c r="Q798" s="170"/>
      <c r="R798" s="192" t="str">
        <f>CONCATENATE(N798,P798)</f>
        <v>1kilos</v>
      </c>
      <c r="S798" s="198">
        <f>M798*N798</f>
        <v>0</v>
      </c>
      <c r="T798" s="199" t="str">
        <f>CONCATENATE(S798,Q798,P798)</f>
        <v>0kilos</v>
      </c>
      <c r="U798" s="200">
        <f>L798*M798</f>
        <v>0</v>
      </c>
      <c r="V798" s="12"/>
      <c r="W798" s="12"/>
    </row>
    <row r="799" spans="1:23" x14ac:dyDescent="0.3">
      <c r="A799" s="479">
        <v>286</v>
      </c>
      <c r="B799" s="214" t="s">
        <v>198</v>
      </c>
      <c r="C799" s="215"/>
      <c r="D799" s="194" t="str">
        <f ca="1">IFERROR(__xludf.DUMMYFUNCTION("IF(J218="""",""n/a"",IFERROR(SPLIT(J218,""/"")))"),"Quinriv")</f>
        <v>Quinriv</v>
      </c>
      <c r="E799" s="215"/>
      <c r="F799" s="215"/>
      <c r="G799" s="215"/>
      <c r="H799" s="183" t="s">
        <v>1895</v>
      </c>
      <c r="I799" s="170"/>
      <c r="J799" s="46" t="s">
        <v>199</v>
      </c>
      <c r="K799" s="170"/>
      <c r="L799" s="195">
        <v>309</v>
      </c>
      <c r="M799" s="197">
        <v>16</v>
      </c>
      <c r="N799" s="61">
        <v>1</v>
      </c>
      <c r="O799" s="170">
        <f>E799</f>
        <v>0</v>
      </c>
      <c r="P799" s="61" t="s">
        <v>200</v>
      </c>
      <c r="Q799" s="170"/>
      <c r="R799" s="192" t="str">
        <f>CONCATENATE(N799,P799)</f>
        <v>1gal</v>
      </c>
      <c r="S799" s="198">
        <f>M799*N799</f>
        <v>16</v>
      </c>
      <c r="T799" s="199" t="str">
        <f>CONCATENATE(S799,Q799,P799)</f>
        <v>16gal</v>
      </c>
      <c r="U799" s="200">
        <f>L799*M799</f>
        <v>4944</v>
      </c>
      <c r="V799" s="12"/>
      <c r="W799" s="12"/>
    </row>
    <row r="800" spans="1:23" x14ac:dyDescent="0.3">
      <c r="A800" s="193">
        <v>286</v>
      </c>
      <c r="B800" s="219" t="s">
        <v>198</v>
      </c>
      <c r="C800" s="170"/>
      <c r="D800" s="194"/>
      <c r="E800" s="170"/>
      <c r="F800" s="170"/>
      <c r="G800" s="170"/>
      <c r="H800" s="194" t="s">
        <v>2021</v>
      </c>
      <c r="I800" s="170"/>
      <c r="J800" s="219" t="s">
        <v>199</v>
      </c>
      <c r="K800" s="170"/>
      <c r="L800" s="216">
        <v>309</v>
      </c>
      <c r="M800" s="216">
        <v>7</v>
      </c>
      <c r="N800" s="293">
        <v>1</v>
      </c>
      <c r="O800" s="219"/>
      <c r="P800" s="219" t="s">
        <v>200</v>
      </c>
      <c r="Q800" s="170"/>
      <c r="R800" s="192" t="str">
        <f>CONCATENATE(N800,P800)</f>
        <v>1gal</v>
      </c>
      <c r="S800" s="198">
        <f>M800*N800</f>
        <v>7</v>
      </c>
      <c r="T800" s="199" t="str">
        <f>CONCATENATE(S800,Q800,P800)</f>
        <v>7gal</v>
      </c>
      <c r="U800" s="200">
        <f>L800*M800</f>
        <v>2163</v>
      </c>
      <c r="V800" s="12"/>
      <c r="W800" s="12"/>
    </row>
    <row r="801" spans="1:23" x14ac:dyDescent="0.3">
      <c r="A801" s="193">
        <v>286</v>
      </c>
      <c r="B801" s="46" t="s">
        <v>198</v>
      </c>
      <c r="C801" s="170"/>
      <c r="D801" s="194"/>
      <c r="E801" s="170"/>
      <c r="F801" s="170"/>
      <c r="G801" s="170"/>
      <c r="H801" s="194" t="s">
        <v>2020</v>
      </c>
      <c r="I801" s="170"/>
      <c r="J801" s="46" t="s">
        <v>199</v>
      </c>
      <c r="K801" s="170"/>
      <c r="L801" s="197">
        <v>309</v>
      </c>
      <c r="M801" s="197">
        <v>4</v>
      </c>
      <c r="N801" s="290">
        <v>1</v>
      </c>
      <c r="O801" s="46"/>
      <c r="P801" s="46" t="s">
        <v>200</v>
      </c>
      <c r="Q801" s="170"/>
      <c r="R801" s="192" t="str">
        <f>CONCATENATE(N801,P801)</f>
        <v>1gal</v>
      </c>
      <c r="S801" s="198">
        <f>M801*N801</f>
        <v>4</v>
      </c>
      <c r="T801" s="199" t="str">
        <f>CONCATENATE(S801,Q801,P801)</f>
        <v>4gal</v>
      </c>
      <c r="U801" s="200">
        <f>L801*M801</f>
        <v>1236</v>
      </c>
      <c r="V801" s="12"/>
      <c r="W801" s="12"/>
    </row>
    <row r="802" spans="1:23" x14ac:dyDescent="0.3">
      <c r="A802" s="193">
        <v>287</v>
      </c>
      <c r="B802" s="46" t="s">
        <v>1192</v>
      </c>
      <c r="C802" s="215"/>
      <c r="D802" s="194"/>
      <c r="E802" s="215"/>
      <c r="F802" s="215"/>
      <c r="G802" s="215"/>
      <c r="H802" s="194" t="s">
        <v>2026</v>
      </c>
      <c r="I802" s="170"/>
      <c r="J802" s="170"/>
      <c r="K802" s="170"/>
      <c r="L802" s="197">
        <v>0.64</v>
      </c>
      <c r="M802" s="197">
        <v>39</v>
      </c>
      <c r="N802" s="290">
        <v>156</v>
      </c>
      <c r="O802" s="46"/>
      <c r="P802" s="46" t="s">
        <v>92</v>
      </c>
      <c r="Q802" s="170"/>
      <c r="R802" s="192" t="str">
        <f>CONCATENATE(N802,P802)</f>
        <v>156pieces</v>
      </c>
      <c r="S802" s="198">
        <f>M802*N802</f>
        <v>6084</v>
      </c>
      <c r="T802" s="199" t="str">
        <f>CONCATENATE(S802,Q802,P802)</f>
        <v>6084pieces</v>
      </c>
      <c r="U802" s="200">
        <f>L802*M802</f>
        <v>24.96</v>
      </c>
      <c r="V802" s="12"/>
      <c r="W802" s="12"/>
    </row>
    <row r="803" spans="1:23" x14ac:dyDescent="0.3">
      <c r="A803" s="193">
        <v>288</v>
      </c>
      <c r="B803" s="219" t="s">
        <v>1193</v>
      </c>
      <c r="C803" s="170"/>
      <c r="D803" s="194"/>
      <c r="E803" s="170"/>
      <c r="F803" s="170"/>
      <c r="G803" s="170"/>
      <c r="H803" s="194" t="s">
        <v>1368</v>
      </c>
      <c r="I803" s="170"/>
      <c r="J803" s="46" t="s">
        <v>1194</v>
      </c>
      <c r="K803" s="170"/>
      <c r="L803" s="197">
        <v>52</v>
      </c>
      <c r="M803" s="197">
        <v>3</v>
      </c>
      <c r="N803" s="290">
        <v>1</v>
      </c>
      <c r="O803" s="46"/>
      <c r="P803" s="46" t="s">
        <v>304</v>
      </c>
      <c r="Q803" s="170"/>
      <c r="R803" s="192" t="str">
        <f>CONCATENATE(N803,P803)</f>
        <v>1packs</v>
      </c>
      <c r="S803" s="198">
        <f>M803*N803</f>
        <v>3</v>
      </c>
      <c r="T803" s="199" t="str">
        <f>CONCATENATE(S803,Q803,P803)</f>
        <v>3packs</v>
      </c>
      <c r="U803" s="200">
        <f>L803*M803</f>
        <v>156</v>
      </c>
      <c r="V803" s="12"/>
      <c r="W803" s="12"/>
    </row>
    <row r="804" spans="1:23" x14ac:dyDescent="0.3">
      <c r="A804" s="193">
        <v>288</v>
      </c>
      <c r="B804" s="219" t="s">
        <v>1193</v>
      </c>
      <c r="C804" s="170"/>
      <c r="D804" s="194"/>
      <c r="E804" s="194"/>
      <c r="F804" s="194"/>
      <c r="G804" s="170"/>
      <c r="H804" s="194" t="s">
        <v>2021</v>
      </c>
      <c r="I804" s="170"/>
      <c r="J804" s="219" t="s">
        <v>1195</v>
      </c>
      <c r="K804" s="170"/>
      <c r="L804" s="216">
        <v>40</v>
      </c>
      <c r="M804" s="216">
        <v>1</v>
      </c>
      <c r="N804" s="293">
        <v>1</v>
      </c>
      <c r="O804" s="219"/>
      <c r="P804" s="219" t="s">
        <v>304</v>
      </c>
      <c r="Q804" s="170"/>
      <c r="R804" s="192" t="str">
        <f>CONCATENATE(N804,P804)</f>
        <v>1packs</v>
      </c>
      <c r="S804" s="198">
        <f>M804*N804</f>
        <v>1</v>
      </c>
      <c r="T804" s="199" t="str">
        <f>CONCATENATE(S804,Q804,P804)</f>
        <v>1packs</v>
      </c>
      <c r="U804" s="200">
        <f>L804*M804</f>
        <v>40</v>
      </c>
      <c r="V804" s="12"/>
      <c r="W804" s="12"/>
    </row>
    <row r="805" spans="1:23" x14ac:dyDescent="0.3">
      <c r="A805" s="193">
        <v>288</v>
      </c>
      <c r="B805" s="219" t="s">
        <v>1193</v>
      </c>
      <c r="C805" s="170"/>
      <c r="D805" s="194"/>
      <c r="E805" s="170"/>
      <c r="F805" s="170"/>
      <c r="G805" s="170"/>
      <c r="H805" s="194" t="s">
        <v>2021</v>
      </c>
      <c r="I805" s="170"/>
      <c r="J805" s="219" t="s">
        <v>1196</v>
      </c>
      <c r="K805" s="170"/>
      <c r="L805" s="216">
        <v>50</v>
      </c>
      <c r="M805" s="216">
        <v>2</v>
      </c>
      <c r="N805" s="293">
        <v>1</v>
      </c>
      <c r="O805" s="219"/>
      <c r="P805" s="219" t="s">
        <v>304</v>
      </c>
      <c r="Q805" s="170"/>
      <c r="R805" s="192" t="str">
        <f>CONCATENATE(N805,P805)</f>
        <v>1packs</v>
      </c>
      <c r="S805" s="198">
        <f>M805*N805</f>
        <v>2</v>
      </c>
      <c r="T805" s="199" t="str">
        <f>CONCATENATE(S805,Q805,P805)</f>
        <v>2packs</v>
      </c>
      <c r="U805" s="200">
        <f>L805*M805</f>
        <v>100</v>
      </c>
      <c r="V805" s="12"/>
      <c r="W805" s="12"/>
    </row>
    <row r="806" spans="1:23" x14ac:dyDescent="0.3">
      <c r="A806" s="193">
        <v>289</v>
      </c>
      <c r="B806" s="46" t="s">
        <v>1197</v>
      </c>
      <c r="C806" s="170"/>
      <c r="D806" s="194"/>
      <c r="E806" s="194"/>
      <c r="F806" s="194"/>
      <c r="G806" s="170"/>
      <c r="H806" s="194" t="s">
        <v>2025</v>
      </c>
      <c r="I806" s="170"/>
      <c r="J806" s="170"/>
      <c r="K806" s="170"/>
      <c r="L806" s="197">
        <v>2.2400000000000002</v>
      </c>
      <c r="M806" s="197">
        <v>20</v>
      </c>
      <c r="N806" s="290">
        <v>1</v>
      </c>
      <c r="O806" s="46"/>
      <c r="P806" s="46" t="s">
        <v>92</v>
      </c>
      <c r="Q806" s="170"/>
      <c r="R806" s="192" t="str">
        <f>CONCATENATE(N806,P806)</f>
        <v>1pieces</v>
      </c>
      <c r="S806" s="198">
        <f>M806*N806</f>
        <v>20</v>
      </c>
      <c r="T806" s="199" t="str">
        <f>CONCATENATE(S806,Q806,P806)</f>
        <v>20pieces</v>
      </c>
      <c r="U806" s="200">
        <f>L806*M806</f>
        <v>44.800000000000004</v>
      </c>
      <c r="V806" s="12"/>
      <c r="W806" s="12"/>
    </row>
    <row r="807" spans="1:23" x14ac:dyDescent="0.3">
      <c r="A807" s="193">
        <v>290</v>
      </c>
      <c r="B807" s="46" t="s">
        <v>1198</v>
      </c>
      <c r="C807" s="170"/>
      <c r="D807" s="194"/>
      <c r="E807" s="194"/>
      <c r="F807" s="194"/>
      <c r="G807" s="170"/>
      <c r="H807" s="194" t="s">
        <v>2026</v>
      </c>
      <c r="I807" s="170"/>
      <c r="J807" s="46" t="s">
        <v>1199</v>
      </c>
      <c r="K807" s="170"/>
      <c r="L807" s="197">
        <v>35</v>
      </c>
      <c r="M807" s="197">
        <v>2</v>
      </c>
      <c r="N807" s="290">
        <v>1</v>
      </c>
      <c r="O807" s="46"/>
      <c r="P807" s="46" t="s">
        <v>304</v>
      </c>
      <c r="Q807" s="170"/>
      <c r="R807" s="192" t="str">
        <f>CONCATENATE(N807,P807)</f>
        <v>1packs</v>
      </c>
      <c r="S807" s="198">
        <f>M807*N807</f>
        <v>2</v>
      </c>
      <c r="T807" s="199" t="str">
        <f>CONCATENATE(S807,Q807,P807)</f>
        <v>2packs</v>
      </c>
      <c r="U807" s="200">
        <f>L807*M807</f>
        <v>70</v>
      </c>
      <c r="V807" s="12"/>
      <c r="W807" s="12"/>
    </row>
    <row r="808" spans="1:23" x14ac:dyDescent="0.3">
      <c r="A808" s="193">
        <v>290</v>
      </c>
      <c r="B808" s="46" t="s">
        <v>1198</v>
      </c>
      <c r="C808" s="170"/>
      <c r="D808" s="194"/>
      <c r="E808" s="194"/>
      <c r="F808" s="194"/>
      <c r="G808" s="170"/>
      <c r="H808" s="194" t="s">
        <v>2026</v>
      </c>
      <c r="I808" s="170"/>
      <c r="J808" s="170"/>
      <c r="K808" s="170"/>
      <c r="L808" s="197">
        <v>0.82</v>
      </c>
      <c r="M808" s="197">
        <v>208</v>
      </c>
      <c r="N808" s="290">
        <v>1</v>
      </c>
      <c r="O808" s="46"/>
      <c r="P808" s="46" t="s">
        <v>92</v>
      </c>
      <c r="Q808" s="170"/>
      <c r="R808" s="192" t="str">
        <f>CONCATENATE(N808,P808)</f>
        <v>1pieces</v>
      </c>
      <c r="S808" s="198">
        <f>M808*N808</f>
        <v>208</v>
      </c>
      <c r="T808" s="199" t="str">
        <f>CONCATENATE(S808,Q808,P808)</f>
        <v>208pieces</v>
      </c>
      <c r="U808" s="200">
        <f>L808*M808</f>
        <v>170.56</v>
      </c>
      <c r="V808" s="12"/>
      <c r="W808" s="12"/>
    </row>
    <row r="809" spans="1:23" x14ac:dyDescent="0.3">
      <c r="A809" s="193">
        <v>291</v>
      </c>
      <c r="B809" s="46" t="s">
        <v>1200</v>
      </c>
      <c r="C809" s="170"/>
      <c r="D809" s="194"/>
      <c r="E809" s="170"/>
      <c r="F809" s="170"/>
      <c r="G809" s="170"/>
      <c r="H809" s="194" t="s">
        <v>2025</v>
      </c>
      <c r="I809" s="170"/>
      <c r="J809" s="46" t="s">
        <v>1201</v>
      </c>
      <c r="K809" s="170"/>
      <c r="L809" s="197">
        <v>10</v>
      </c>
      <c r="M809" s="197">
        <v>200</v>
      </c>
      <c r="N809" s="290">
        <v>1</v>
      </c>
      <c r="O809" s="46"/>
      <c r="P809" s="46" t="s">
        <v>92</v>
      </c>
      <c r="Q809" s="170"/>
      <c r="R809" s="192" t="str">
        <f>CONCATENATE(N809,P809)</f>
        <v>1pieces</v>
      </c>
      <c r="S809" s="198">
        <f>M809*N809</f>
        <v>200</v>
      </c>
      <c r="T809" s="199" t="str">
        <f>CONCATENATE(S809,Q809,P809)</f>
        <v>200pieces</v>
      </c>
      <c r="U809" s="200">
        <f>L809*M809</f>
        <v>2000</v>
      </c>
      <c r="V809" s="12"/>
      <c r="W809" s="12"/>
    </row>
    <row r="810" spans="1:23" x14ac:dyDescent="0.3">
      <c r="A810" s="193">
        <v>292</v>
      </c>
      <c r="B810" s="219" t="s">
        <v>1202</v>
      </c>
      <c r="C810" s="170"/>
      <c r="D810" s="194"/>
      <c r="E810" s="170"/>
      <c r="F810" s="170"/>
      <c r="G810" s="170"/>
      <c r="H810" s="194" t="s">
        <v>2021</v>
      </c>
      <c r="I810" s="170"/>
      <c r="J810" s="219" t="s">
        <v>1203</v>
      </c>
      <c r="K810" s="170"/>
      <c r="L810" s="216">
        <v>2.7</v>
      </c>
      <c r="M810" s="216">
        <v>125</v>
      </c>
      <c r="N810" s="293">
        <v>1</v>
      </c>
      <c r="O810" s="219"/>
      <c r="P810" s="219" t="s">
        <v>92</v>
      </c>
      <c r="Q810" s="170"/>
      <c r="R810" s="192" t="str">
        <f>CONCATENATE(N810,P810)</f>
        <v>1pieces</v>
      </c>
      <c r="S810" s="198">
        <f>M810*N810</f>
        <v>125</v>
      </c>
      <c r="T810" s="199" t="str">
        <f>CONCATENATE(S810,Q810,P810)</f>
        <v>125pieces</v>
      </c>
      <c r="U810" s="200">
        <f>L810*M810</f>
        <v>337.5</v>
      </c>
      <c r="V810" s="12"/>
      <c r="W810" s="12"/>
    </row>
    <row r="811" spans="1:23" x14ac:dyDescent="0.3">
      <c r="A811" s="479">
        <v>293</v>
      </c>
      <c r="B811" s="194" t="s">
        <v>589</v>
      </c>
      <c r="C811" s="170"/>
      <c r="D811" s="194" t="str">
        <f ca="1">IFERROR(__xludf.DUMMYFUNCTION("IF(J219="""",""n/a"",IFERROR(SPLIT(J219,""/"")))"),"n/a")</f>
        <v>n/a</v>
      </c>
      <c r="E811" s="170"/>
      <c r="F811" s="170"/>
      <c r="G811" s="170"/>
      <c r="H811" s="206" t="s">
        <v>1898</v>
      </c>
      <c r="I811" s="170"/>
      <c r="J811" s="170"/>
      <c r="K811" s="170"/>
      <c r="L811" s="197">
        <v>0.32</v>
      </c>
      <c r="M811" s="385">
        <v>1300</v>
      </c>
      <c r="N811" s="208">
        <v>1000</v>
      </c>
      <c r="O811" s="170">
        <f>E811</f>
        <v>0</v>
      </c>
      <c r="P811" s="61" t="s">
        <v>39</v>
      </c>
      <c r="Q811" s="170"/>
      <c r="R811" s="192" t="str">
        <f>CONCATENATE(N811,P811)</f>
        <v>1000grams</v>
      </c>
      <c r="S811" s="198">
        <f>M811*N811</f>
        <v>1300000</v>
      </c>
      <c r="T811" s="199" t="str">
        <f>CONCATENATE(S811,Q811,P811)</f>
        <v>1300000grams</v>
      </c>
      <c r="U811" s="200">
        <f>L811*M811</f>
        <v>416</v>
      </c>
      <c r="V811" s="12"/>
      <c r="W811" s="12"/>
    </row>
    <row r="812" spans="1:23" x14ac:dyDescent="0.3">
      <c r="A812" s="479">
        <v>294</v>
      </c>
      <c r="B812" s="194" t="s">
        <v>590</v>
      </c>
      <c r="C812" s="170"/>
      <c r="D812" s="194" t="str">
        <f ca="1">IFERROR(__xludf.DUMMYFUNCTION("IF(J220="""",""n/a"",IFERROR(SPLIT(J220,""/"")))"),"pack")</f>
        <v>pack</v>
      </c>
      <c r="E812" s="194" t="str">
        <f ca="1">IFERROR(__xludf.DUMMYFUNCTION("""COMPUTED_VALUE"""),"1000grams")</f>
        <v>1000grams</v>
      </c>
      <c r="F812" s="170"/>
      <c r="G812" s="170"/>
      <c r="H812" s="183" t="s">
        <v>1897</v>
      </c>
      <c r="I812" s="170"/>
      <c r="J812" s="46" t="s">
        <v>51</v>
      </c>
      <c r="K812" s="170"/>
      <c r="L812" s="202">
        <v>0.63</v>
      </c>
      <c r="M812" s="202">
        <v>250</v>
      </c>
      <c r="N812" s="203">
        <v>1000</v>
      </c>
      <c r="O812" s="61" t="str">
        <f ca="1">E812</f>
        <v>1000grams</v>
      </c>
      <c r="P812" s="61" t="s">
        <v>39</v>
      </c>
      <c r="Q812" s="170"/>
      <c r="R812" s="192" t="str">
        <f>CONCATENATE(N812,P812)</f>
        <v>1000grams</v>
      </c>
      <c r="S812" s="198">
        <f>M812*N812</f>
        <v>250000</v>
      </c>
      <c r="T812" s="199" t="str">
        <f>CONCATENATE(S812,Q812,P812)</f>
        <v>250000grams</v>
      </c>
      <c r="U812" s="200">
        <f>L812*M812</f>
        <v>157.5</v>
      </c>
      <c r="V812" s="12"/>
      <c r="W812" s="12"/>
    </row>
    <row r="813" spans="1:23" x14ac:dyDescent="0.3">
      <c r="A813" s="479">
        <v>294</v>
      </c>
      <c r="B813" s="194" t="s">
        <v>590</v>
      </c>
      <c r="C813" s="170"/>
      <c r="D813" s="194" t="str">
        <f ca="1">IFERROR(__xludf.DUMMYFUNCTION("IF(J221="""",""n/a"",IFERROR(SPLIT(J221,""/"")))"),"n/a")</f>
        <v>n/a</v>
      </c>
      <c r="E813" s="170"/>
      <c r="F813" s="170"/>
      <c r="G813" s="170"/>
      <c r="H813" s="206" t="s">
        <v>1898</v>
      </c>
      <c r="I813" s="170"/>
      <c r="J813" s="170"/>
      <c r="K813" s="170"/>
      <c r="L813" s="197">
        <v>0.35</v>
      </c>
      <c r="M813" s="386">
        <v>100</v>
      </c>
      <c r="N813" s="208">
        <v>1000</v>
      </c>
      <c r="O813" s="170">
        <f>E813</f>
        <v>0</v>
      </c>
      <c r="P813" s="61" t="s">
        <v>39</v>
      </c>
      <c r="Q813" s="170"/>
      <c r="R813" s="192" t="str">
        <f>CONCATENATE(N813,P813)</f>
        <v>1000grams</v>
      </c>
      <c r="S813" s="198">
        <f>M813*N813</f>
        <v>100000</v>
      </c>
      <c r="T813" s="199" t="str">
        <f>CONCATENATE(S813,Q813,P813)</f>
        <v>100000grams</v>
      </c>
      <c r="U813" s="200">
        <f>L813*M813</f>
        <v>35</v>
      </c>
      <c r="V813" s="12"/>
      <c r="W813" s="12"/>
    </row>
    <row r="814" spans="1:23" x14ac:dyDescent="0.3">
      <c r="A814" s="193">
        <v>295</v>
      </c>
      <c r="B814" s="46" t="s">
        <v>1204</v>
      </c>
      <c r="C814" s="170"/>
      <c r="D814" s="194"/>
      <c r="E814" s="194"/>
      <c r="F814" s="170"/>
      <c r="G814" s="170"/>
      <c r="H814" s="194" t="s">
        <v>2020</v>
      </c>
      <c r="I814" s="170"/>
      <c r="J814" s="46" t="s">
        <v>1074</v>
      </c>
      <c r="K814" s="170"/>
      <c r="L814" s="197">
        <v>25</v>
      </c>
      <c r="M814" s="197">
        <v>2</v>
      </c>
      <c r="N814" s="290">
        <v>10</v>
      </c>
      <c r="O814" s="46"/>
      <c r="P814" s="46" t="s">
        <v>39</v>
      </c>
      <c r="Q814" s="170"/>
      <c r="R814" s="192" t="str">
        <f>CONCATENATE(N814,P814)</f>
        <v>10grams</v>
      </c>
      <c r="S814" s="198">
        <f>M814*N814</f>
        <v>20</v>
      </c>
      <c r="T814" s="199" t="str">
        <f>CONCATENATE(S814,Q814,P814)</f>
        <v>20grams</v>
      </c>
      <c r="U814" s="200">
        <f>L814*M814</f>
        <v>50</v>
      </c>
      <c r="V814" s="12"/>
      <c r="W814" s="12"/>
    </row>
    <row r="815" spans="1:23" x14ac:dyDescent="0.3">
      <c r="A815" s="193">
        <v>296</v>
      </c>
      <c r="B815" s="46" t="s">
        <v>1205</v>
      </c>
      <c r="C815" s="170"/>
      <c r="D815" s="194"/>
      <c r="E815" s="194"/>
      <c r="F815" s="194"/>
      <c r="G815" s="170"/>
      <c r="H815" s="194" t="s">
        <v>2023</v>
      </c>
      <c r="I815" s="170"/>
      <c r="J815" s="46" t="s">
        <v>1206</v>
      </c>
      <c r="K815" s="170"/>
      <c r="L815" s="197">
        <v>120</v>
      </c>
      <c r="M815" s="197">
        <v>1</v>
      </c>
      <c r="N815" s="290">
        <v>1000</v>
      </c>
      <c r="O815" s="46"/>
      <c r="P815" s="46" t="s">
        <v>39</v>
      </c>
      <c r="Q815" s="170"/>
      <c r="R815" s="192" t="str">
        <f>CONCATENATE(N815,P815)</f>
        <v>1000grams</v>
      </c>
      <c r="S815" s="198">
        <f>M815*N815</f>
        <v>1000</v>
      </c>
      <c r="T815" s="199" t="str">
        <f>CONCATENATE(S815,Q815,P815)</f>
        <v>1000grams</v>
      </c>
      <c r="U815" s="200">
        <f>L815*M815</f>
        <v>120</v>
      </c>
      <c r="V815" s="12"/>
      <c r="W815" s="12"/>
    </row>
    <row r="816" spans="1:23" x14ac:dyDescent="0.3">
      <c r="A816" s="193">
        <v>296</v>
      </c>
      <c r="B816" s="219" t="s">
        <v>1205</v>
      </c>
      <c r="C816" s="170"/>
      <c r="D816" s="194"/>
      <c r="E816" s="170"/>
      <c r="F816" s="170"/>
      <c r="G816" s="170"/>
      <c r="H816" s="194" t="s">
        <v>2021</v>
      </c>
      <c r="I816" s="170"/>
      <c r="J816" s="219" t="s">
        <v>36</v>
      </c>
      <c r="K816" s="170"/>
      <c r="L816" s="216">
        <v>140</v>
      </c>
      <c r="M816" s="216">
        <v>1</v>
      </c>
      <c r="N816" s="293">
        <v>500</v>
      </c>
      <c r="O816" s="219"/>
      <c r="P816" s="219" t="s">
        <v>39</v>
      </c>
      <c r="Q816" s="170"/>
      <c r="R816" s="192" t="str">
        <f>CONCATENATE(N816,P816)</f>
        <v>500grams</v>
      </c>
      <c r="S816" s="198">
        <f>M816*N816</f>
        <v>500</v>
      </c>
      <c r="T816" s="199" t="str">
        <f>CONCATENATE(S816,Q816,P816)</f>
        <v>500grams</v>
      </c>
      <c r="U816" s="200">
        <f>L816*M816</f>
        <v>140</v>
      </c>
      <c r="V816" s="12"/>
      <c r="W816" s="12"/>
    </row>
    <row r="817" spans="1:23" x14ac:dyDescent="0.3">
      <c r="A817" s="479">
        <v>297</v>
      </c>
      <c r="B817" s="194" t="s">
        <v>591</v>
      </c>
      <c r="C817" s="170"/>
      <c r="D817" s="194" t="str">
        <f ca="1">IFERROR(__xludf.DUMMYFUNCTION("IF(J222="""",""n/a"",IFERROR(SPLIT(J222,""/"")))"),"100grams per pc")</f>
        <v>100grams per pc</v>
      </c>
      <c r="E817" s="170"/>
      <c r="F817" s="170"/>
      <c r="G817" s="170"/>
      <c r="H817" s="183" t="s">
        <v>1897</v>
      </c>
      <c r="I817" s="170"/>
      <c r="J817" s="46" t="s">
        <v>592</v>
      </c>
      <c r="K817" s="170"/>
      <c r="L817" s="202">
        <v>0.18</v>
      </c>
      <c r="M817" s="202">
        <v>10000</v>
      </c>
      <c r="N817" s="203">
        <v>1000</v>
      </c>
      <c r="O817" s="170">
        <f>E817</f>
        <v>0</v>
      </c>
      <c r="P817" s="61" t="s">
        <v>39</v>
      </c>
      <c r="Q817" s="170"/>
      <c r="R817" s="192" t="str">
        <f>CONCATENATE(N817,P817)</f>
        <v>1000grams</v>
      </c>
      <c r="S817" s="198">
        <f>M817*N817</f>
        <v>10000000</v>
      </c>
      <c r="T817" s="199" t="str">
        <f>CONCATENATE(S817,Q817,P817)</f>
        <v>10000000grams</v>
      </c>
      <c r="U817" s="200">
        <f>L817*M817</f>
        <v>1800</v>
      </c>
      <c r="V817" s="12"/>
      <c r="W817" s="12"/>
    </row>
    <row r="818" spans="1:23" x14ac:dyDescent="0.3">
      <c r="A818" s="193">
        <v>297</v>
      </c>
      <c r="B818" s="46" t="s">
        <v>591</v>
      </c>
      <c r="C818" s="170"/>
      <c r="D818" s="194"/>
      <c r="E818" s="170"/>
      <c r="F818" s="170"/>
      <c r="G818" s="170"/>
      <c r="H818" s="194" t="s">
        <v>2025</v>
      </c>
      <c r="I818" s="170"/>
      <c r="J818" s="170"/>
      <c r="K818" s="170"/>
      <c r="L818" s="197">
        <v>190</v>
      </c>
      <c r="M818" s="197">
        <v>1</v>
      </c>
      <c r="N818" s="290">
        <v>1</v>
      </c>
      <c r="O818" s="46"/>
      <c r="P818" s="46" t="s">
        <v>213</v>
      </c>
      <c r="Q818" s="170"/>
      <c r="R818" s="192" t="str">
        <f>CONCATENATE(N818,P818)</f>
        <v>1kilos</v>
      </c>
      <c r="S818" s="198">
        <f>M818*N818</f>
        <v>1</v>
      </c>
      <c r="T818" s="199" t="str">
        <f>CONCATENATE(S818,Q818,P818)</f>
        <v>1kilos</v>
      </c>
      <c r="U818" s="200">
        <f>L818*M818</f>
        <v>190</v>
      </c>
      <c r="V818" s="12"/>
      <c r="W818" s="12"/>
    </row>
    <row r="819" spans="1:23" x14ac:dyDescent="0.3">
      <c r="A819" s="479">
        <v>298</v>
      </c>
      <c r="B819" s="214" t="s">
        <v>593</v>
      </c>
      <c r="C819" s="215"/>
      <c r="D819" s="194" t="str">
        <f ca="1">IFERROR(__xludf.DUMMYFUNCTION("IF(J223="""",""n/a"",IFERROR(SPLIT(J223,""/"")))"),"n/a")</f>
        <v>n/a</v>
      </c>
      <c r="E819" s="215"/>
      <c r="F819" s="215"/>
      <c r="G819" s="215"/>
      <c r="H819" s="206" t="s">
        <v>1898</v>
      </c>
      <c r="I819" s="170"/>
      <c r="J819" s="170"/>
      <c r="K819" s="170"/>
      <c r="L819" s="197">
        <v>19.53</v>
      </c>
      <c r="M819" s="385">
        <v>4</v>
      </c>
      <c r="N819" s="207">
        <v>4</v>
      </c>
      <c r="O819" s="170">
        <f>E819</f>
        <v>0</v>
      </c>
      <c r="P819" s="209" t="s">
        <v>92</v>
      </c>
      <c r="Q819" s="170"/>
      <c r="R819" s="192" t="str">
        <f>CONCATENATE(N819,P819)</f>
        <v>4pieces</v>
      </c>
      <c r="S819" s="198">
        <f>M819*N819</f>
        <v>16</v>
      </c>
      <c r="T819" s="199" t="str">
        <f>CONCATENATE(S819,Q819,P819)</f>
        <v>16pieces</v>
      </c>
      <c r="U819" s="200">
        <f>L819*M819</f>
        <v>78.12</v>
      </c>
      <c r="V819" s="12"/>
      <c r="W819" s="12"/>
    </row>
    <row r="820" spans="1:23" x14ac:dyDescent="0.3">
      <c r="A820" s="479">
        <v>299</v>
      </c>
      <c r="B820" s="214" t="s">
        <v>594</v>
      </c>
      <c r="C820" s="215"/>
      <c r="D820" s="194" t="str">
        <f ca="1">IFERROR(__xludf.DUMMYFUNCTION("IF(J224="""",""n/a"",IFERROR(SPLIT(J224,""/"")))"),"n/a")</f>
        <v>n/a</v>
      </c>
      <c r="E820" s="215"/>
      <c r="F820" s="215"/>
      <c r="G820" s="215"/>
      <c r="H820" s="206" t="s">
        <v>1898</v>
      </c>
      <c r="I820" s="170"/>
      <c r="J820" s="170"/>
      <c r="K820" s="170"/>
      <c r="L820" s="197">
        <v>19.53</v>
      </c>
      <c r="M820" s="385">
        <v>4</v>
      </c>
      <c r="N820" s="207">
        <v>4</v>
      </c>
      <c r="O820" s="170">
        <f>E820</f>
        <v>0</v>
      </c>
      <c r="P820" s="209" t="s">
        <v>92</v>
      </c>
      <c r="Q820" s="170"/>
      <c r="R820" s="192" t="str">
        <f>CONCATENATE(N820,P820)</f>
        <v>4pieces</v>
      </c>
      <c r="S820" s="198">
        <f>M820*N820</f>
        <v>16</v>
      </c>
      <c r="T820" s="199" t="str">
        <f>CONCATENATE(S820,Q820,P820)</f>
        <v>16pieces</v>
      </c>
      <c r="U820" s="200">
        <f>L820*M820</f>
        <v>78.12</v>
      </c>
      <c r="V820" s="12"/>
      <c r="W820" s="12"/>
    </row>
    <row r="821" spans="1:23" x14ac:dyDescent="0.3">
      <c r="A821" s="193">
        <v>300</v>
      </c>
      <c r="B821" s="219" t="s">
        <v>1207</v>
      </c>
      <c r="C821" s="170"/>
      <c r="D821" s="194"/>
      <c r="E821" s="170"/>
      <c r="F821" s="170"/>
      <c r="G821" s="170"/>
      <c r="H821" s="194" t="s">
        <v>2025</v>
      </c>
      <c r="I821" s="170"/>
      <c r="J821" s="170"/>
      <c r="K821" s="170"/>
      <c r="L821" s="197">
        <v>7</v>
      </c>
      <c r="M821" s="197">
        <v>66</v>
      </c>
      <c r="N821" s="290">
        <v>1</v>
      </c>
      <c r="O821" s="46"/>
      <c r="P821" s="46" t="s">
        <v>92</v>
      </c>
      <c r="Q821" s="170"/>
      <c r="R821" s="192" t="str">
        <f>CONCATENATE(N821,P821)</f>
        <v>1pieces</v>
      </c>
      <c r="S821" s="198">
        <f>M821*N821</f>
        <v>66</v>
      </c>
      <c r="T821" s="199" t="str">
        <f>CONCATENATE(S821,Q821,P821)</f>
        <v>66pieces</v>
      </c>
      <c r="U821" s="200">
        <f>L821*M821</f>
        <v>462</v>
      </c>
      <c r="V821" s="12"/>
      <c r="W821" s="12"/>
    </row>
    <row r="822" spans="1:23" x14ac:dyDescent="0.3">
      <c r="A822" s="193">
        <v>301</v>
      </c>
      <c r="B822" s="46" t="s">
        <v>1208</v>
      </c>
      <c r="C822" s="170"/>
      <c r="D822" s="194"/>
      <c r="E822" s="170"/>
      <c r="F822" s="170"/>
      <c r="G822" s="170"/>
      <c r="H822" s="194" t="s">
        <v>2026</v>
      </c>
      <c r="I822" s="170"/>
      <c r="J822" s="46" t="s">
        <v>1209</v>
      </c>
      <c r="K822" s="170"/>
      <c r="L822" s="197">
        <v>10.82</v>
      </c>
      <c r="M822" s="197">
        <v>25</v>
      </c>
      <c r="N822" s="290">
        <v>25</v>
      </c>
      <c r="O822" s="46"/>
      <c r="P822" s="46" t="s">
        <v>92</v>
      </c>
      <c r="Q822" s="170"/>
      <c r="R822" s="192" t="str">
        <f>CONCATENATE(N822,P822)</f>
        <v>25pieces</v>
      </c>
      <c r="S822" s="198">
        <f>M822*N822</f>
        <v>625</v>
      </c>
      <c r="T822" s="199" t="str">
        <f>CONCATENATE(S822,Q822,P822)</f>
        <v>625pieces</v>
      </c>
      <c r="U822" s="200">
        <f>L822*M822</f>
        <v>270.5</v>
      </c>
      <c r="V822" s="12"/>
      <c r="W822" s="12"/>
    </row>
    <row r="823" spans="1:23" x14ac:dyDescent="0.3">
      <c r="A823" s="479">
        <v>302</v>
      </c>
      <c r="B823" s="194" t="s">
        <v>595</v>
      </c>
      <c r="C823" s="170"/>
      <c r="D823" s="194" t="str">
        <f ca="1">IFERROR(__xludf.DUMMYFUNCTION("IF(J225="""",""n/a"",IFERROR(SPLIT(J225,""/"")))"),"n/a")</f>
        <v>n/a</v>
      </c>
      <c r="E823" s="170"/>
      <c r="F823" s="170"/>
      <c r="G823" s="170"/>
      <c r="H823" s="206" t="s">
        <v>1898</v>
      </c>
      <c r="I823" s="170"/>
      <c r="J823" s="170"/>
      <c r="K823" s="170"/>
      <c r="L823" s="197">
        <v>656</v>
      </c>
      <c r="M823" s="386">
        <v>17</v>
      </c>
      <c r="N823" s="208">
        <v>1</v>
      </c>
      <c r="O823" s="170">
        <f>E823</f>
        <v>0</v>
      </c>
      <c r="P823" s="61" t="s">
        <v>200</v>
      </c>
      <c r="Q823" s="170"/>
      <c r="R823" s="192" t="str">
        <f>CONCATENATE(N823,P823)</f>
        <v>1gal</v>
      </c>
      <c r="S823" s="198">
        <f>M823*N823</f>
        <v>17</v>
      </c>
      <c r="T823" s="199" t="str">
        <f>CONCATENATE(S823,Q823,P823)</f>
        <v>17gal</v>
      </c>
      <c r="U823" s="200">
        <f>L823*M823</f>
        <v>11152</v>
      </c>
      <c r="V823" s="12"/>
      <c r="W823" s="12"/>
    </row>
    <row r="824" spans="1:23" x14ac:dyDescent="0.3">
      <c r="A824" s="479">
        <v>303</v>
      </c>
      <c r="B824" s="194" t="s">
        <v>293</v>
      </c>
      <c r="C824" s="170"/>
      <c r="D824" s="194" t="str">
        <f ca="1">IFERROR(__xludf.DUMMYFUNCTION("IF(J226="""",""n/a"",IFERROR(SPLIT(J226,""/"")))"),"Mr Brown")</f>
        <v>Mr Brown</v>
      </c>
      <c r="E824" s="194" t="str">
        <f ca="1">IFERROR(__xludf.DUMMYFUNCTION("""COMPUTED_VALUE"""),"bottle")</f>
        <v>bottle</v>
      </c>
      <c r="F824" s="194" t="str">
        <f ca="1">IFERROR(__xludf.DUMMYFUNCTION("""COMPUTED_VALUE"""),"350ml")</f>
        <v>350ml</v>
      </c>
      <c r="G824" s="170"/>
      <c r="H824" s="183" t="s">
        <v>1897</v>
      </c>
      <c r="I824" s="170"/>
      <c r="J824" s="46" t="s">
        <v>596</v>
      </c>
      <c r="K824" s="170"/>
      <c r="L824" s="195">
        <v>0.24</v>
      </c>
      <c r="M824" s="202">
        <v>350</v>
      </c>
      <c r="N824" s="203">
        <v>350</v>
      </c>
      <c r="O824" s="61" t="str">
        <f ca="1">E824</f>
        <v>bottle</v>
      </c>
      <c r="P824" s="61" t="s">
        <v>32</v>
      </c>
      <c r="Q824" s="170"/>
      <c r="R824" s="192" t="str">
        <f>CONCATENATE(N824,P824)</f>
        <v>350ml</v>
      </c>
      <c r="S824" s="198">
        <f>M824*N824</f>
        <v>122500</v>
      </c>
      <c r="T824" s="199" t="str">
        <f>CONCATENATE(S824,Q824,P824)</f>
        <v>122500ml</v>
      </c>
      <c r="U824" s="200">
        <f>L824*M824</f>
        <v>84</v>
      </c>
      <c r="V824" s="205"/>
      <c r="W824" s="62"/>
    </row>
    <row r="825" spans="1:23" x14ac:dyDescent="0.3">
      <c r="A825" s="479">
        <v>303</v>
      </c>
      <c r="B825" s="194" t="s">
        <v>293</v>
      </c>
      <c r="C825" s="170"/>
      <c r="D825" s="194" t="str">
        <f ca="1">IFERROR(__xludf.DUMMYFUNCTION("IF(J227="""",""n/a"",IFERROR(SPLIT(J227,""/"")))"),"Small")</f>
        <v>Small</v>
      </c>
      <c r="E825" s="194" t="str">
        <f ca="1">IFERROR(__xludf.DUMMYFUNCTION("""COMPUTED_VALUE"""),"tray")</f>
        <v>tray</v>
      </c>
      <c r="F825" s="170"/>
      <c r="G825" s="170"/>
      <c r="H825" s="183" t="s">
        <v>1897</v>
      </c>
      <c r="I825" s="170"/>
      <c r="J825" s="46" t="s">
        <v>294</v>
      </c>
      <c r="K825" s="170"/>
      <c r="L825" s="202">
        <v>6.8</v>
      </c>
      <c r="M825" s="202">
        <v>3570</v>
      </c>
      <c r="N825" s="225">
        <v>1</v>
      </c>
      <c r="O825" s="61" t="str">
        <f ca="1">E825</f>
        <v>tray</v>
      </c>
      <c r="P825" s="226" t="s">
        <v>92</v>
      </c>
      <c r="Q825" s="170"/>
      <c r="R825" s="192" t="str">
        <f>CONCATENATE(N825,P825)</f>
        <v>1pieces</v>
      </c>
      <c r="S825" s="198">
        <f>M825*N825</f>
        <v>3570</v>
      </c>
      <c r="T825" s="199" t="str">
        <f>CONCATENATE(S825,Q825,P825)</f>
        <v>3570pieces</v>
      </c>
      <c r="U825" s="200">
        <f>L825*M825</f>
        <v>24276</v>
      </c>
      <c r="V825" s="62"/>
      <c r="W825" s="12"/>
    </row>
    <row r="826" spans="1:23" x14ac:dyDescent="0.3">
      <c r="A826" s="479">
        <v>303</v>
      </c>
      <c r="B826" s="194" t="s">
        <v>293</v>
      </c>
      <c r="C826" s="170"/>
      <c r="D826" s="194" t="str">
        <f ca="1">IFERROR(__xludf.DUMMYFUNCTION("IF(J228="""",""n/a"",IFERROR(SPLIT(J228,""/"")))"),"Small")</f>
        <v>Small</v>
      </c>
      <c r="E826" s="194" t="str">
        <f ca="1">IFERROR(__xludf.DUMMYFUNCTION("""COMPUTED_VALUE"""),"tray")</f>
        <v>tray</v>
      </c>
      <c r="F826" s="170"/>
      <c r="G826" s="170"/>
      <c r="H826" s="183" t="s">
        <v>1895</v>
      </c>
      <c r="I826" s="170"/>
      <c r="J826" s="46" t="s">
        <v>294</v>
      </c>
      <c r="K826" s="170"/>
      <c r="L826" s="195">
        <v>6.83</v>
      </c>
      <c r="M826" s="197">
        <v>5370</v>
      </c>
      <c r="N826" s="61">
        <v>1</v>
      </c>
      <c r="O826" s="61" t="str">
        <f ca="1">E826</f>
        <v>tray</v>
      </c>
      <c r="P826" s="61" t="s">
        <v>92</v>
      </c>
      <c r="Q826" s="170"/>
      <c r="R826" s="192" t="str">
        <f>CONCATENATE(N826,P826)</f>
        <v>1pieces</v>
      </c>
      <c r="S826" s="198">
        <f>M826*N826</f>
        <v>5370</v>
      </c>
      <c r="T826" s="199" t="str">
        <f>CONCATENATE(S826,Q826,P826)</f>
        <v>5370pieces</v>
      </c>
      <c r="U826" s="200">
        <f>L826*M826</f>
        <v>36677.1</v>
      </c>
      <c r="V826" s="12"/>
      <c r="W826" s="12"/>
    </row>
    <row r="827" spans="1:23" x14ac:dyDescent="0.3">
      <c r="A827" s="479">
        <v>303</v>
      </c>
      <c r="B827" s="194" t="s">
        <v>293</v>
      </c>
      <c r="C827" s="170"/>
      <c r="D827" s="194" t="str">
        <f ca="1">IFERROR(__xludf.DUMMYFUNCTION("IF(J229="""",""n/a"",IFERROR(SPLIT(J229,""/"")))"),"n/a")</f>
        <v>n/a</v>
      </c>
      <c r="E827" s="170"/>
      <c r="F827" s="170"/>
      <c r="G827" s="170"/>
      <c r="H827" s="206" t="s">
        <v>1898</v>
      </c>
      <c r="I827" s="170"/>
      <c r="J827" s="170"/>
      <c r="K827" s="170"/>
      <c r="L827" s="197">
        <v>7.67</v>
      </c>
      <c r="M827" s="386">
        <v>1485</v>
      </c>
      <c r="N827" s="208">
        <v>30</v>
      </c>
      <c r="O827" s="170">
        <f>E827</f>
        <v>0</v>
      </c>
      <c r="P827" s="61" t="s">
        <v>92</v>
      </c>
      <c r="Q827" s="170"/>
      <c r="R827" s="192" t="str">
        <f>CONCATENATE(N827,P827)</f>
        <v>30pieces</v>
      </c>
      <c r="S827" s="198">
        <f>M827*N827</f>
        <v>44550</v>
      </c>
      <c r="T827" s="199" t="str">
        <f>CONCATENATE(S827,Q827,P827)</f>
        <v>44550pieces</v>
      </c>
      <c r="U827" s="200">
        <f>L827*M827</f>
        <v>11389.95</v>
      </c>
      <c r="V827" s="12"/>
      <c r="W827" s="12"/>
    </row>
    <row r="828" spans="1:23" x14ac:dyDescent="0.3">
      <c r="A828" s="193">
        <v>303</v>
      </c>
      <c r="B828" s="46" t="s">
        <v>293</v>
      </c>
      <c r="C828" s="170"/>
      <c r="D828" s="194"/>
      <c r="E828" s="170"/>
      <c r="F828" s="170"/>
      <c r="G828" s="170"/>
      <c r="H828" s="194" t="s">
        <v>2024</v>
      </c>
      <c r="I828" s="170"/>
      <c r="J828" s="46" t="s">
        <v>294</v>
      </c>
      <c r="K828" s="170"/>
      <c r="L828" s="197">
        <v>7.17</v>
      </c>
      <c r="M828" s="197">
        <v>1949</v>
      </c>
      <c r="N828" s="290">
        <v>1</v>
      </c>
      <c r="O828" s="46"/>
      <c r="P828" s="46" t="s">
        <v>92</v>
      </c>
      <c r="Q828" s="170"/>
      <c r="R828" s="192" t="str">
        <f>CONCATENATE(N828,P828)</f>
        <v>1pieces</v>
      </c>
      <c r="S828" s="198">
        <f>M828*N828</f>
        <v>1949</v>
      </c>
      <c r="T828" s="199" t="str">
        <f>CONCATENATE(S828,Q828,P828)</f>
        <v>1949pieces</v>
      </c>
      <c r="U828" s="200">
        <f>L828*M828</f>
        <v>13974.33</v>
      </c>
      <c r="V828" s="12"/>
      <c r="W828" s="12"/>
    </row>
    <row r="829" spans="1:23" x14ac:dyDescent="0.3">
      <c r="A829" s="193">
        <v>303</v>
      </c>
      <c r="B829" s="46" t="s">
        <v>293</v>
      </c>
      <c r="C829" s="215"/>
      <c r="D829" s="194"/>
      <c r="E829" s="215"/>
      <c r="F829" s="215"/>
      <c r="G829" s="215"/>
      <c r="H829" s="194" t="s">
        <v>2024</v>
      </c>
      <c r="I829" s="170"/>
      <c r="J829" s="46" t="s">
        <v>1210</v>
      </c>
      <c r="K829" s="170"/>
      <c r="L829" s="197">
        <v>7.5</v>
      </c>
      <c r="M829" s="197">
        <v>600</v>
      </c>
      <c r="N829" s="290">
        <v>1</v>
      </c>
      <c r="O829" s="46"/>
      <c r="P829" s="46" t="s">
        <v>92</v>
      </c>
      <c r="Q829" s="170"/>
      <c r="R829" s="192" t="str">
        <f>CONCATENATE(N829,P829)</f>
        <v>1pieces</v>
      </c>
      <c r="S829" s="198">
        <f>M829*N829</f>
        <v>600</v>
      </c>
      <c r="T829" s="199" t="str">
        <f>CONCATENATE(S829,Q829,P829)</f>
        <v>600pieces</v>
      </c>
      <c r="U829" s="200">
        <f>L829*M829</f>
        <v>4500</v>
      </c>
      <c r="V829" s="12"/>
      <c r="W829" s="12"/>
    </row>
    <row r="830" spans="1:23" x14ac:dyDescent="0.3">
      <c r="A830" s="193">
        <v>303</v>
      </c>
      <c r="B830" s="46" t="s">
        <v>293</v>
      </c>
      <c r="C830" s="170"/>
      <c r="D830" s="194"/>
      <c r="E830" s="194"/>
      <c r="F830" s="194"/>
      <c r="G830" s="170"/>
      <c r="H830" s="194" t="s">
        <v>2025</v>
      </c>
      <c r="I830" s="170"/>
      <c r="J830" s="170"/>
      <c r="K830" s="170"/>
      <c r="L830" s="197">
        <v>6</v>
      </c>
      <c r="M830" s="197">
        <v>530</v>
      </c>
      <c r="N830" s="290">
        <v>1</v>
      </c>
      <c r="O830" s="46"/>
      <c r="P830" s="46" t="s">
        <v>92</v>
      </c>
      <c r="Q830" s="170"/>
      <c r="R830" s="192" t="str">
        <f>CONCATENATE(N830,P830)</f>
        <v>1pieces</v>
      </c>
      <c r="S830" s="198">
        <f>M830*N830</f>
        <v>530</v>
      </c>
      <c r="T830" s="199" t="str">
        <f>CONCATENATE(S830,Q830,P830)</f>
        <v>530pieces</v>
      </c>
      <c r="U830" s="200">
        <f>L830*M830</f>
        <v>3180</v>
      </c>
      <c r="V830" s="12"/>
      <c r="W830" s="12"/>
    </row>
    <row r="831" spans="1:23" x14ac:dyDescent="0.3">
      <c r="A831" s="193">
        <v>303</v>
      </c>
      <c r="B831" s="46" t="s">
        <v>293</v>
      </c>
      <c r="C831" s="170"/>
      <c r="D831" s="194"/>
      <c r="E831" s="194"/>
      <c r="F831" s="194"/>
      <c r="G831" s="170"/>
      <c r="H831" s="194" t="s">
        <v>2026</v>
      </c>
      <c r="I831" s="170"/>
      <c r="J831" s="46" t="s">
        <v>1210</v>
      </c>
      <c r="K831" s="170"/>
      <c r="L831" s="197">
        <v>215</v>
      </c>
      <c r="M831" s="197">
        <v>1</v>
      </c>
      <c r="N831" s="290">
        <v>30</v>
      </c>
      <c r="O831" s="46"/>
      <c r="P831" s="46" t="s">
        <v>92</v>
      </c>
      <c r="Q831" s="170"/>
      <c r="R831" s="192" t="str">
        <f>CONCATENATE(N831,P831)</f>
        <v>30pieces</v>
      </c>
      <c r="S831" s="198">
        <f>M831*N831</f>
        <v>30</v>
      </c>
      <c r="T831" s="199" t="str">
        <f>CONCATENATE(S831,Q831,P831)</f>
        <v>30pieces</v>
      </c>
      <c r="U831" s="200">
        <f>L831*M831</f>
        <v>215</v>
      </c>
      <c r="V831" s="12"/>
      <c r="W831" s="12"/>
    </row>
    <row r="832" spans="1:23" x14ac:dyDescent="0.3">
      <c r="A832" s="193">
        <v>303</v>
      </c>
      <c r="B832" s="46" t="s">
        <v>293</v>
      </c>
      <c r="C832" s="170"/>
      <c r="D832" s="194"/>
      <c r="E832" s="194"/>
      <c r="F832" s="194"/>
      <c r="G832" s="170"/>
      <c r="H832" s="194" t="s">
        <v>2023</v>
      </c>
      <c r="I832" s="170"/>
      <c r="J832" s="46" t="s">
        <v>1210</v>
      </c>
      <c r="K832" s="170"/>
      <c r="L832" s="197">
        <v>222</v>
      </c>
      <c r="M832" s="197">
        <v>30</v>
      </c>
      <c r="N832" s="290">
        <v>30</v>
      </c>
      <c r="O832" s="46"/>
      <c r="P832" s="46" t="s">
        <v>92</v>
      </c>
      <c r="Q832" s="170"/>
      <c r="R832" s="192" t="str">
        <f>CONCATENATE(N832,P832)</f>
        <v>30pieces</v>
      </c>
      <c r="S832" s="198">
        <f>M832*N832</f>
        <v>900</v>
      </c>
      <c r="T832" s="199" t="str">
        <f>CONCATENATE(S832,Q832,P832)</f>
        <v>900pieces</v>
      </c>
      <c r="U832" s="200">
        <f>L832*M832</f>
        <v>6660</v>
      </c>
      <c r="V832" s="12"/>
      <c r="W832" s="12"/>
    </row>
    <row r="833" spans="1:23" x14ac:dyDescent="0.3">
      <c r="A833" s="193">
        <v>303</v>
      </c>
      <c r="B833" s="46" t="s">
        <v>293</v>
      </c>
      <c r="C833" s="170"/>
      <c r="D833" s="194"/>
      <c r="E833" s="194"/>
      <c r="F833" s="194"/>
      <c r="G833" s="170"/>
      <c r="H833" s="194" t="s">
        <v>2022</v>
      </c>
      <c r="I833" s="170"/>
      <c r="J833" s="46" t="s">
        <v>1211</v>
      </c>
      <c r="K833" s="170"/>
      <c r="L833" s="197">
        <v>230</v>
      </c>
      <c r="M833" s="197">
        <v>12</v>
      </c>
      <c r="N833" s="290">
        <v>30</v>
      </c>
      <c r="O833" s="46"/>
      <c r="P833" s="46" t="s">
        <v>1212</v>
      </c>
      <c r="Q833" s="170"/>
      <c r="R833" s="192" t="str">
        <f>CONCATENATE(N833,P833)</f>
        <v>30trays</v>
      </c>
      <c r="S833" s="198">
        <f>M833*N833</f>
        <v>360</v>
      </c>
      <c r="T833" s="199" t="str">
        <f>CONCATENATE(S833,Q833,P833)</f>
        <v>360trays</v>
      </c>
      <c r="U833" s="200">
        <f>L833*M833</f>
        <v>2760</v>
      </c>
      <c r="V833" s="12"/>
      <c r="W833" s="12"/>
    </row>
    <row r="834" spans="1:23" x14ac:dyDescent="0.3">
      <c r="A834" s="193">
        <v>303</v>
      </c>
      <c r="B834" s="46" t="s">
        <v>293</v>
      </c>
      <c r="C834" s="170"/>
      <c r="D834" s="194"/>
      <c r="E834" s="170"/>
      <c r="F834" s="170"/>
      <c r="G834" s="170"/>
      <c r="H834" s="194" t="s">
        <v>2021</v>
      </c>
      <c r="I834" s="170"/>
      <c r="J834" s="219" t="s">
        <v>1213</v>
      </c>
      <c r="K834" s="170"/>
      <c r="L834" s="216">
        <v>8.33</v>
      </c>
      <c r="M834" s="216">
        <v>159</v>
      </c>
      <c r="N834" s="293">
        <v>1</v>
      </c>
      <c r="O834" s="219"/>
      <c r="P834" s="219" t="s">
        <v>92</v>
      </c>
      <c r="Q834" s="170"/>
      <c r="R834" s="192" t="str">
        <f>CONCATENATE(N834,P834)</f>
        <v>1pieces</v>
      </c>
      <c r="S834" s="198">
        <f>M834*N834</f>
        <v>159</v>
      </c>
      <c r="T834" s="199" t="str">
        <f>CONCATENATE(S834,Q834,P834)</f>
        <v>159pieces</v>
      </c>
      <c r="U834" s="200">
        <f>L834*M834</f>
        <v>1324.47</v>
      </c>
      <c r="V834" s="12"/>
      <c r="W834" s="12"/>
    </row>
    <row r="835" spans="1:23" x14ac:dyDescent="0.3">
      <c r="A835" s="193">
        <v>303</v>
      </c>
      <c r="B835" s="46" t="s">
        <v>293</v>
      </c>
      <c r="C835" s="170"/>
      <c r="D835" s="194"/>
      <c r="E835" s="170"/>
      <c r="F835" s="170"/>
      <c r="G835" s="170"/>
      <c r="H835" s="194" t="s">
        <v>1368</v>
      </c>
      <c r="I835" s="170"/>
      <c r="J835" s="170"/>
      <c r="K835" s="170"/>
      <c r="L835" s="197">
        <v>240</v>
      </c>
      <c r="M835" s="197">
        <v>14</v>
      </c>
      <c r="N835" s="290">
        <v>1</v>
      </c>
      <c r="O835" s="46"/>
      <c r="P835" s="46" t="s">
        <v>1212</v>
      </c>
      <c r="Q835" s="170"/>
      <c r="R835" s="192" t="str">
        <f>CONCATENATE(N835,P835)</f>
        <v>1trays</v>
      </c>
      <c r="S835" s="198">
        <f>M835*N835</f>
        <v>14</v>
      </c>
      <c r="T835" s="199" t="str">
        <f>CONCATENATE(S835,Q835,P835)</f>
        <v>14trays</v>
      </c>
      <c r="U835" s="200">
        <f>L835*M835</f>
        <v>3360</v>
      </c>
      <c r="V835" s="12"/>
      <c r="W835" s="12"/>
    </row>
    <row r="836" spans="1:23" x14ac:dyDescent="0.3">
      <c r="A836" s="193">
        <v>303</v>
      </c>
      <c r="B836" s="46" t="s">
        <v>293</v>
      </c>
      <c r="C836" s="215"/>
      <c r="D836" s="194"/>
      <c r="E836" s="215"/>
      <c r="F836" s="215"/>
      <c r="G836" s="215"/>
      <c r="H836" s="400" t="s">
        <v>2027</v>
      </c>
      <c r="I836" s="170"/>
      <c r="J836" s="46" t="s">
        <v>1925</v>
      </c>
      <c r="K836" s="170"/>
      <c r="L836" s="195">
        <v>7.33</v>
      </c>
      <c r="M836" s="197">
        <v>750</v>
      </c>
      <c r="N836" s="360">
        <v>1</v>
      </c>
      <c r="O836" s="61"/>
      <c r="P836" s="61" t="s">
        <v>92</v>
      </c>
      <c r="Q836" s="170"/>
      <c r="R836" s="192" t="str">
        <f>CONCATENATE(N836,P836)</f>
        <v>1pieces</v>
      </c>
      <c r="S836" s="198">
        <f>M836*N836</f>
        <v>750</v>
      </c>
      <c r="T836" s="199" t="str">
        <f>CONCATENATE(S836,Q836,P836)</f>
        <v>750pieces</v>
      </c>
      <c r="U836" s="200">
        <f>L836*M836</f>
        <v>5497.5</v>
      </c>
      <c r="V836" s="12"/>
      <c r="W836" s="12"/>
    </row>
    <row r="837" spans="1:23" x14ac:dyDescent="0.3">
      <c r="A837" s="193">
        <v>304</v>
      </c>
      <c r="B837" s="46" t="s">
        <v>1214</v>
      </c>
      <c r="C837" s="170"/>
      <c r="D837" s="194"/>
      <c r="E837" s="194"/>
      <c r="F837" s="194"/>
      <c r="G837" s="170"/>
      <c r="H837" s="194" t="s">
        <v>2025</v>
      </c>
      <c r="I837" s="170"/>
      <c r="J837" s="46" t="s">
        <v>1215</v>
      </c>
      <c r="K837" s="170"/>
      <c r="L837" s="197">
        <v>34</v>
      </c>
      <c r="M837" s="197">
        <v>174</v>
      </c>
      <c r="N837" s="290">
        <v>1</v>
      </c>
      <c r="O837" s="46"/>
      <c r="P837" s="46" t="s">
        <v>92</v>
      </c>
      <c r="Q837" s="170"/>
      <c r="R837" s="192" t="str">
        <f>CONCATENATE(N837,P837)</f>
        <v>1pieces</v>
      </c>
      <c r="S837" s="198">
        <f>M837*N837</f>
        <v>174</v>
      </c>
      <c r="T837" s="199" t="str">
        <f>CONCATENATE(S837,Q837,P837)</f>
        <v>174pieces</v>
      </c>
      <c r="U837" s="200">
        <f>L837*M837</f>
        <v>5916</v>
      </c>
      <c r="V837" s="12"/>
      <c r="W837" s="12"/>
    </row>
    <row r="838" spans="1:23" x14ac:dyDescent="0.3">
      <c r="A838" s="193">
        <v>304</v>
      </c>
      <c r="B838" s="46" t="s">
        <v>1214</v>
      </c>
      <c r="C838" s="170"/>
      <c r="D838" s="194"/>
      <c r="E838" s="194"/>
      <c r="F838" s="194"/>
      <c r="G838" s="170"/>
      <c r="H838" s="194" t="s">
        <v>2024</v>
      </c>
      <c r="I838" s="170"/>
      <c r="J838" s="46" t="s">
        <v>1215</v>
      </c>
      <c r="K838" s="170"/>
      <c r="L838" s="197">
        <v>33.619999999999997</v>
      </c>
      <c r="M838" s="197">
        <v>72</v>
      </c>
      <c r="N838" s="290">
        <v>500</v>
      </c>
      <c r="O838" s="46"/>
      <c r="P838" s="46" t="s">
        <v>32</v>
      </c>
      <c r="Q838" s="170"/>
      <c r="R838" s="192" t="str">
        <f>CONCATENATE(N838,P838)</f>
        <v>500ml</v>
      </c>
      <c r="S838" s="198">
        <f>M838*N838</f>
        <v>36000</v>
      </c>
      <c r="T838" s="199" t="str">
        <f>CONCATENATE(S838,Q838,P838)</f>
        <v>36000ml</v>
      </c>
      <c r="U838" s="200">
        <f>L838*M838</f>
        <v>2420.64</v>
      </c>
      <c r="V838" s="12"/>
      <c r="W838" s="12"/>
    </row>
    <row r="839" spans="1:23" x14ac:dyDescent="0.3">
      <c r="A839" s="193">
        <v>304</v>
      </c>
      <c r="B839" s="46" t="s">
        <v>1214</v>
      </c>
      <c r="C839" s="170"/>
      <c r="D839" s="194"/>
      <c r="E839" s="170"/>
      <c r="F839" s="170"/>
      <c r="G839" s="170"/>
      <c r="H839" s="194" t="s">
        <v>2026</v>
      </c>
      <c r="I839" s="170"/>
      <c r="J839" s="46" t="s">
        <v>1215</v>
      </c>
      <c r="K839" s="170"/>
      <c r="L839" s="197">
        <v>868.8</v>
      </c>
      <c r="M839" s="197">
        <v>72</v>
      </c>
      <c r="N839" s="290">
        <v>500</v>
      </c>
      <c r="O839" s="46"/>
      <c r="P839" s="46" t="s">
        <v>32</v>
      </c>
      <c r="Q839" s="170"/>
      <c r="R839" s="192" t="str">
        <f>CONCATENATE(N839,P839)</f>
        <v>500ml</v>
      </c>
      <c r="S839" s="198">
        <f>M839*N839</f>
        <v>36000</v>
      </c>
      <c r="T839" s="199" t="str">
        <f>CONCATENATE(S839,Q839,P839)</f>
        <v>36000ml</v>
      </c>
      <c r="U839" s="200">
        <f>L839*M839</f>
        <v>62553.599999999999</v>
      </c>
      <c r="V839" s="12"/>
      <c r="W839" s="12"/>
    </row>
    <row r="840" spans="1:23" x14ac:dyDescent="0.3">
      <c r="A840" s="193">
        <v>304</v>
      </c>
      <c r="B840" s="46" t="s">
        <v>1214</v>
      </c>
      <c r="C840" s="170"/>
      <c r="D840" s="194"/>
      <c r="E840" s="170"/>
      <c r="F840" s="170"/>
      <c r="G840" s="170"/>
      <c r="H840" s="194" t="s">
        <v>2023</v>
      </c>
      <c r="I840" s="170"/>
      <c r="J840" s="46" t="s">
        <v>1215</v>
      </c>
      <c r="K840" s="170"/>
      <c r="L840" s="197">
        <v>33.619999999999997</v>
      </c>
      <c r="M840" s="197">
        <v>38</v>
      </c>
      <c r="N840" s="290">
        <v>500</v>
      </c>
      <c r="O840" s="46"/>
      <c r="P840" s="46" t="s">
        <v>32</v>
      </c>
      <c r="Q840" s="170"/>
      <c r="R840" s="192" t="str">
        <f>CONCATENATE(N840,P840)</f>
        <v>500ml</v>
      </c>
      <c r="S840" s="198">
        <f>M840*N840</f>
        <v>19000</v>
      </c>
      <c r="T840" s="199" t="str">
        <f>CONCATENATE(S840,Q840,P840)</f>
        <v>19000ml</v>
      </c>
      <c r="U840" s="200">
        <f>L840*M840</f>
        <v>1277.56</v>
      </c>
      <c r="V840" s="12"/>
      <c r="W840" s="12"/>
    </row>
    <row r="841" spans="1:23" x14ac:dyDescent="0.3">
      <c r="A841" s="193">
        <v>304</v>
      </c>
      <c r="B841" s="46" t="s">
        <v>1214</v>
      </c>
      <c r="C841" s="170"/>
      <c r="D841" s="194"/>
      <c r="E841" s="170"/>
      <c r="F841" s="170"/>
      <c r="G841" s="170"/>
      <c r="H841" s="194" t="s">
        <v>2020</v>
      </c>
      <c r="I841" s="170"/>
      <c r="J841" s="46" t="s">
        <v>1216</v>
      </c>
      <c r="K841" s="170"/>
      <c r="L841" s="197">
        <v>36.03</v>
      </c>
      <c r="M841" s="197">
        <v>14</v>
      </c>
      <c r="N841" s="290">
        <v>500</v>
      </c>
      <c r="O841" s="46"/>
      <c r="P841" s="46" t="s">
        <v>32</v>
      </c>
      <c r="Q841" s="170"/>
      <c r="R841" s="192" t="str">
        <f>CONCATENATE(N841,P841)</f>
        <v>500ml</v>
      </c>
      <c r="S841" s="198">
        <f>M841*N841</f>
        <v>7000</v>
      </c>
      <c r="T841" s="199" t="str">
        <f>CONCATENATE(S841,Q841,P841)</f>
        <v>7000ml</v>
      </c>
      <c r="U841" s="200">
        <f>L841*M841</f>
        <v>504.42</v>
      </c>
      <c r="V841" s="12"/>
      <c r="W841" s="12"/>
    </row>
    <row r="842" spans="1:23" x14ac:dyDescent="0.3">
      <c r="A842" s="193">
        <v>304</v>
      </c>
      <c r="B842" s="46" t="s">
        <v>1214</v>
      </c>
      <c r="C842" s="170"/>
      <c r="D842" s="194"/>
      <c r="E842" s="170"/>
      <c r="F842" s="170"/>
      <c r="G842" s="170"/>
      <c r="H842" s="194" t="s">
        <v>2024</v>
      </c>
      <c r="I842" s="170"/>
      <c r="J842" s="46" t="s">
        <v>1217</v>
      </c>
      <c r="K842" s="170"/>
      <c r="L842" s="197">
        <v>32.200000000000003</v>
      </c>
      <c r="M842" s="197">
        <v>11</v>
      </c>
      <c r="N842" s="290">
        <v>220</v>
      </c>
      <c r="O842" s="46"/>
      <c r="P842" s="46" t="s">
        <v>32</v>
      </c>
      <c r="Q842" s="170"/>
      <c r="R842" s="192" t="str">
        <f>CONCATENATE(N842,P842)</f>
        <v>220ml</v>
      </c>
      <c r="S842" s="198">
        <f>M842*N842</f>
        <v>2420</v>
      </c>
      <c r="T842" s="199" t="str">
        <f>CONCATENATE(S842,Q842,P842)</f>
        <v>2420ml</v>
      </c>
      <c r="U842" s="200">
        <f>L842*M842</f>
        <v>354.20000000000005</v>
      </c>
      <c r="V842" s="12"/>
      <c r="W842" s="12"/>
    </row>
    <row r="843" spans="1:23" x14ac:dyDescent="0.3">
      <c r="A843" s="193">
        <v>304</v>
      </c>
      <c r="B843" s="46" t="s">
        <v>1214</v>
      </c>
      <c r="C843" s="170"/>
      <c r="D843" s="194"/>
      <c r="E843" s="170"/>
      <c r="F843" s="170"/>
      <c r="G843" s="170"/>
      <c r="H843" s="194" t="s">
        <v>2025</v>
      </c>
      <c r="I843" s="170"/>
      <c r="J843" s="46" t="s">
        <v>1217</v>
      </c>
      <c r="K843" s="170"/>
      <c r="L843" s="197">
        <v>34</v>
      </c>
      <c r="M843" s="197">
        <v>18</v>
      </c>
      <c r="N843" s="290">
        <v>350</v>
      </c>
      <c r="O843" s="46"/>
      <c r="P843" s="46" t="s">
        <v>32</v>
      </c>
      <c r="Q843" s="170"/>
      <c r="R843" s="192" t="str">
        <f>CONCATENATE(N843,P843)</f>
        <v>350ml</v>
      </c>
      <c r="S843" s="198">
        <f>M843*N843</f>
        <v>6300</v>
      </c>
      <c r="T843" s="199" t="str">
        <f>CONCATENATE(S843,Q843,P843)</f>
        <v>6300ml</v>
      </c>
      <c r="U843" s="200">
        <f>L843*M843</f>
        <v>612</v>
      </c>
      <c r="V843" s="12"/>
      <c r="W843" s="12"/>
    </row>
    <row r="844" spans="1:23" x14ac:dyDescent="0.3">
      <c r="A844" s="193">
        <v>304</v>
      </c>
      <c r="B844" s="46" t="s">
        <v>1214</v>
      </c>
      <c r="C844" s="215"/>
      <c r="D844" s="194"/>
      <c r="E844" s="215"/>
      <c r="F844" s="215"/>
      <c r="G844" s="215"/>
      <c r="H844" s="400" t="s">
        <v>2027</v>
      </c>
      <c r="I844" s="170"/>
      <c r="J844" s="170" t="s">
        <v>1926</v>
      </c>
      <c r="K844" s="170"/>
      <c r="L844" s="195">
        <v>36.9</v>
      </c>
      <c r="M844" s="197">
        <v>1</v>
      </c>
      <c r="N844" s="360">
        <v>1</v>
      </c>
      <c r="O844" s="61"/>
      <c r="P844" s="61" t="s">
        <v>92</v>
      </c>
      <c r="Q844" s="170"/>
      <c r="R844" s="192" t="str">
        <f>CONCATENATE(N844,P844)</f>
        <v>1pieces</v>
      </c>
      <c r="S844" s="198">
        <f>M844*N844</f>
        <v>1</v>
      </c>
      <c r="T844" s="199" t="str">
        <f>CONCATENATE(S844,Q844,P844)</f>
        <v>1pieces</v>
      </c>
      <c r="U844" s="200">
        <f>L844*M844</f>
        <v>36.9</v>
      </c>
      <c r="V844" s="12"/>
      <c r="W844" s="12"/>
    </row>
    <row r="845" spans="1:23" x14ac:dyDescent="0.3">
      <c r="A845" s="479">
        <v>305</v>
      </c>
      <c r="B845" s="194" t="s">
        <v>597</v>
      </c>
      <c r="C845" s="170"/>
      <c r="D845" s="194" t="str">
        <f ca="1">IFERROR(__xludf.DUMMYFUNCTION("IF(J230="""",""n/a"",IFERROR(SPLIT(J230,""/"")))"),"n/a")</f>
        <v>n/a</v>
      </c>
      <c r="E845" s="170"/>
      <c r="F845" s="170"/>
      <c r="G845" s="170"/>
      <c r="H845" s="206" t="s">
        <v>1898</v>
      </c>
      <c r="I845" s="170"/>
      <c r="J845" s="170"/>
      <c r="K845" s="170"/>
      <c r="L845" s="197">
        <v>9.1</v>
      </c>
      <c r="M845" s="385">
        <v>47</v>
      </c>
      <c r="N845" s="208">
        <v>1</v>
      </c>
      <c r="O845" s="170">
        <f>E845</f>
        <v>0</v>
      </c>
      <c r="P845" s="209" t="s">
        <v>92</v>
      </c>
      <c r="Q845" s="170"/>
      <c r="R845" s="192" t="str">
        <f>CONCATENATE(N845,P845)</f>
        <v>1pieces</v>
      </c>
      <c r="S845" s="198">
        <f>M845*N845</f>
        <v>47</v>
      </c>
      <c r="T845" s="199" t="str">
        <f>CONCATENATE(S845,Q845,P845)</f>
        <v>47pieces</v>
      </c>
      <c r="U845" s="200">
        <f>L845*M845</f>
        <v>427.7</v>
      </c>
      <c r="V845" s="12"/>
      <c r="W845" s="12"/>
    </row>
    <row r="846" spans="1:23" x14ac:dyDescent="0.3">
      <c r="A846" s="479">
        <v>306</v>
      </c>
      <c r="B846" s="194" t="s">
        <v>598</v>
      </c>
      <c r="C846" s="170"/>
      <c r="D846" s="194" t="str">
        <f ca="1">IFERROR(__xludf.DUMMYFUNCTION("IF(J231="""",""n/a"",IFERROR(SPLIT(J231,""/"")))"),"Energen")</f>
        <v>Energen</v>
      </c>
      <c r="E846" s="194" t="str">
        <f ca="1">IFERROR(__xludf.DUMMYFUNCTION("""COMPUTED_VALUE"""),"pack (pcsx40grams)")</f>
        <v>pack (pcsx40grams)</v>
      </c>
      <c r="F846" s="170"/>
      <c r="G846" s="170"/>
      <c r="H846" s="183" t="s">
        <v>1897</v>
      </c>
      <c r="I846" s="170"/>
      <c r="J846" s="46" t="s">
        <v>599</v>
      </c>
      <c r="K846" s="170"/>
      <c r="L846" s="204">
        <v>8.51</v>
      </c>
      <c r="M846" s="202">
        <v>19</v>
      </c>
      <c r="N846" s="203">
        <v>1</v>
      </c>
      <c r="O846" s="61" t="str">
        <f ca="1">E846</f>
        <v>pack (pcsx40grams)</v>
      </c>
      <c r="P846" s="61" t="s">
        <v>92</v>
      </c>
      <c r="Q846" s="170"/>
      <c r="R846" s="192" t="str">
        <f>CONCATENATE(N846,P846)</f>
        <v>1pieces</v>
      </c>
      <c r="S846" s="198">
        <f>M846*N846</f>
        <v>19</v>
      </c>
      <c r="T846" s="199" t="str">
        <f>CONCATENATE(S846,Q846,P846)</f>
        <v>19pieces</v>
      </c>
      <c r="U846" s="200">
        <f>L846*M846</f>
        <v>161.69</v>
      </c>
      <c r="V846" s="205"/>
      <c r="W846" s="62"/>
    </row>
    <row r="847" spans="1:23" x14ac:dyDescent="0.3">
      <c r="A847" s="479">
        <v>306</v>
      </c>
      <c r="B847" s="194" t="s">
        <v>598</v>
      </c>
      <c r="C847" s="170"/>
      <c r="D847" s="194" t="str">
        <f ca="1">IFERROR(__xludf.DUMMYFUNCTION("IF(J232="""",""n/a"",IFERROR(SPLIT(J232,""/"")))"),"n/a")</f>
        <v>n/a</v>
      </c>
      <c r="E847" s="170"/>
      <c r="F847" s="170"/>
      <c r="G847" s="170"/>
      <c r="H847" s="206" t="s">
        <v>1898</v>
      </c>
      <c r="I847" s="170"/>
      <c r="J847" s="170"/>
      <c r="K847" s="170"/>
      <c r="L847" s="197">
        <v>8.6999999999999993</v>
      </c>
      <c r="M847" s="385">
        <v>86</v>
      </c>
      <c r="N847" s="208">
        <v>1</v>
      </c>
      <c r="O847" s="170">
        <f>E847</f>
        <v>0</v>
      </c>
      <c r="P847" s="209" t="s">
        <v>92</v>
      </c>
      <c r="Q847" s="170"/>
      <c r="R847" s="192" t="str">
        <f>CONCATENATE(N847,P847)</f>
        <v>1pieces</v>
      </c>
      <c r="S847" s="198">
        <f>M847*N847</f>
        <v>86</v>
      </c>
      <c r="T847" s="199" t="str">
        <f>CONCATENATE(S847,Q847,P847)</f>
        <v>86pieces</v>
      </c>
      <c r="U847" s="200">
        <f>L847*M847</f>
        <v>748.19999999999993</v>
      </c>
      <c r="V847" s="12"/>
      <c r="W847" s="12"/>
    </row>
    <row r="848" spans="1:23" x14ac:dyDescent="0.3">
      <c r="A848" s="479">
        <v>307</v>
      </c>
      <c r="B848" s="194" t="s">
        <v>600</v>
      </c>
      <c r="C848" s="170"/>
      <c r="D848" s="194" t="str">
        <f ca="1">IFERROR(__xludf.DUMMYFUNCTION("IF(J233="""",""n/a"",IFERROR(SPLIT(J233,""/"")))"),"n/a")</f>
        <v>n/a</v>
      </c>
      <c r="E848" s="170"/>
      <c r="F848" s="170"/>
      <c r="G848" s="170"/>
      <c r="H848" s="206" t="s">
        <v>1898</v>
      </c>
      <c r="I848" s="170"/>
      <c r="J848" s="170"/>
      <c r="K848" s="170"/>
      <c r="L848" s="197">
        <v>8.6999999999999993</v>
      </c>
      <c r="M848" s="385">
        <v>60</v>
      </c>
      <c r="N848" s="208">
        <v>1</v>
      </c>
      <c r="O848" s="170">
        <f>E848</f>
        <v>0</v>
      </c>
      <c r="P848" s="209" t="s">
        <v>92</v>
      </c>
      <c r="Q848" s="170"/>
      <c r="R848" s="192" t="str">
        <f>CONCATENATE(N848,P848)</f>
        <v>1pieces</v>
      </c>
      <c r="S848" s="198">
        <f>M848*N848</f>
        <v>60</v>
      </c>
      <c r="T848" s="199" t="str">
        <f>CONCATENATE(S848,Q848,P848)</f>
        <v>60pieces</v>
      </c>
      <c r="U848" s="200">
        <f>L848*M848</f>
        <v>522</v>
      </c>
      <c r="V848" s="12"/>
      <c r="W848" s="12"/>
    </row>
    <row r="849" spans="1:23" x14ac:dyDescent="0.3">
      <c r="A849" s="479">
        <v>308</v>
      </c>
      <c r="B849" s="194" t="s">
        <v>137</v>
      </c>
      <c r="C849" s="170"/>
      <c r="D849" s="194" t="str">
        <f ca="1">IFERROR(__xludf.DUMMYFUNCTION("IF(J234="""",""n/a"",IFERROR(SPLIT(J234,""/"")))"),"Energen")</f>
        <v>Energen</v>
      </c>
      <c r="E849" s="194" t="str">
        <f ca="1">IFERROR(__xludf.DUMMYFUNCTION("""COMPUTED_VALUE"""),"pack (pcsx40grams)")</f>
        <v>pack (pcsx40grams)</v>
      </c>
      <c r="F849" s="170"/>
      <c r="G849" s="170"/>
      <c r="H849" s="183" t="s">
        <v>1897</v>
      </c>
      <c r="I849" s="170"/>
      <c r="J849" s="46" t="s">
        <v>599</v>
      </c>
      <c r="K849" s="170"/>
      <c r="L849" s="204">
        <v>8.51</v>
      </c>
      <c r="M849" s="202">
        <v>124</v>
      </c>
      <c r="N849" s="203">
        <v>1</v>
      </c>
      <c r="O849" s="61" t="str">
        <f ca="1">E849</f>
        <v>pack (pcsx40grams)</v>
      </c>
      <c r="P849" s="61" t="s">
        <v>92</v>
      </c>
      <c r="Q849" s="170"/>
      <c r="R849" s="192" t="str">
        <f>CONCATENATE(N849,P849)</f>
        <v>1pieces</v>
      </c>
      <c r="S849" s="198">
        <f>M849*N849</f>
        <v>124</v>
      </c>
      <c r="T849" s="199" t="str">
        <f>CONCATENATE(S849,Q849,P849)</f>
        <v>124pieces</v>
      </c>
      <c r="U849" s="200">
        <f>L849*M849</f>
        <v>1055.24</v>
      </c>
      <c r="V849" s="205"/>
      <c r="W849" s="62"/>
    </row>
    <row r="850" spans="1:23" x14ac:dyDescent="0.3">
      <c r="A850" s="479">
        <v>308</v>
      </c>
      <c r="B850" s="194" t="s">
        <v>137</v>
      </c>
      <c r="C850" s="170"/>
      <c r="D850" s="194" t="str">
        <f ca="1">IFERROR(__xludf.DUMMYFUNCTION("IF(J235="""",""n/a"",IFERROR(SPLIT(J235,""/"")))"),"Energen")</f>
        <v>Energen</v>
      </c>
      <c r="E850" s="194" t="str">
        <f ca="1">IFERROR(__xludf.DUMMYFUNCTION("""COMPUTED_VALUE"""),"pack (pcsx40grams)")</f>
        <v>pack (pcsx40grams)</v>
      </c>
      <c r="F850" s="170"/>
      <c r="G850" s="170"/>
      <c r="H850" s="183" t="s">
        <v>1895</v>
      </c>
      <c r="I850" s="170"/>
      <c r="J850" s="46" t="s">
        <v>599</v>
      </c>
      <c r="K850" s="170"/>
      <c r="L850" s="195">
        <v>8.51</v>
      </c>
      <c r="M850" s="197">
        <v>126</v>
      </c>
      <c r="N850" s="61">
        <v>1</v>
      </c>
      <c r="O850" s="61" t="str">
        <f ca="1">E850</f>
        <v>pack (pcsx40grams)</v>
      </c>
      <c r="P850" s="61" t="s">
        <v>92</v>
      </c>
      <c r="Q850" s="170"/>
      <c r="R850" s="192" t="str">
        <f>CONCATENATE(N850,P850)</f>
        <v>1pieces</v>
      </c>
      <c r="S850" s="198">
        <f>M850*N850</f>
        <v>126</v>
      </c>
      <c r="T850" s="199" t="str">
        <f>CONCATENATE(S850,Q850,P850)</f>
        <v>126pieces</v>
      </c>
      <c r="U850" s="200">
        <f>L850*M850</f>
        <v>1072.26</v>
      </c>
      <c r="V850" s="12"/>
      <c r="W850" s="12"/>
    </row>
    <row r="851" spans="1:23" x14ac:dyDescent="0.3">
      <c r="A851" s="479">
        <v>308</v>
      </c>
      <c r="B851" s="194" t="s">
        <v>137</v>
      </c>
      <c r="C851" s="170"/>
      <c r="D851" s="194" t="str">
        <f ca="1">IFERROR(__xludf.DUMMYFUNCTION("IF(J236="""",""n/a"",IFERROR(SPLIT(J236,""/"")))"),"n/a")</f>
        <v>n/a</v>
      </c>
      <c r="E851" s="170"/>
      <c r="F851" s="170"/>
      <c r="G851" s="170"/>
      <c r="H851" s="206" t="s">
        <v>1898</v>
      </c>
      <c r="I851" s="170"/>
      <c r="J851" s="170"/>
      <c r="K851" s="170"/>
      <c r="L851" s="197">
        <v>8.6999999999999993</v>
      </c>
      <c r="M851" s="385">
        <v>71</v>
      </c>
      <c r="N851" s="208">
        <v>1</v>
      </c>
      <c r="O851" s="170">
        <f>E851</f>
        <v>0</v>
      </c>
      <c r="P851" s="209" t="s">
        <v>92</v>
      </c>
      <c r="Q851" s="170"/>
      <c r="R851" s="192" t="str">
        <f>CONCATENATE(N851,P851)</f>
        <v>1pieces</v>
      </c>
      <c r="S851" s="198">
        <f>M851*N851</f>
        <v>71</v>
      </c>
      <c r="T851" s="199" t="str">
        <f>CONCATENATE(S851,Q851,P851)</f>
        <v>71pieces</v>
      </c>
      <c r="U851" s="200">
        <f>L851*M851</f>
        <v>617.69999999999993</v>
      </c>
      <c r="V851" s="12"/>
      <c r="W851" s="12"/>
    </row>
    <row r="852" spans="1:23" x14ac:dyDescent="0.3">
      <c r="A852" s="479">
        <v>309</v>
      </c>
      <c r="B852" s="194" t="s">
        <v>64</v>
      </c>
      <c r="C852" s="170"/>
      <c r="D852" s="194" t="str">
        <f ca="1">IFERROR(__xludf.DUMMYFUNCTION("IF(J237="""",""n/a"",IFERROR(SPLIT(J237,""/"")))"),"Alaska")</f>
        <v>Alaska</v>
      </c>
      <c r="E852" s="194" t="str">
        <f ca="1">IFERROR(__xludf.DUMMYFUNCTION("""COMPUTED_VALUE"""),"can")</f>
        <v>can</v>
      </c>
      <c r="F852" s="194" t="str">
        <f ca="1">IFERROR(__xludf.DUMMYFUNCTION("""COMPUTED_VALUE"""),"360ml")</f>
        <v>360ml</v>
      </c>
      <c r="G852" s="170"/>
      <c r="H852" s="183" t="s">
        <v>1897</v>
      </c>
      <c r="I852" s="170"/>
      <c r="J852" s="46" t="s">
        <v>601</v>
      </c>
      <c r="K852" s="170"/>
      <c r="L852" s="195">
        <v>0.09</v>
      </c>
      <c r="M852" s="202">
        <v>34920</v>
      </c>
      <c r="N852" s="203">
        <v>360</v>
      </c>
      <c r="O852" s="61" t="str">
        <f ca="1">E852</f>
        <v>can</v>
      </c>
      <c r="P852" s="61" t="s">
        <v>32</v>
      </c>
      <c r="Q852" s="170"/>
      <c r="R852" s="192" t="str">
        <f>CONCATENATE(N852,P852)</f>
        <v>360ml</v>
      </c>
      <c r="S852" s="198">
        <f>M852*N852</f>
        <v>12571200</v>
      </c>
      <c r="T852" s="199" t="str">
        <f>CONCATENATE(S852,Q852,P852)</f>
        <v>12571200ml</v>
      </c>
      <c r="U852" s="200">
        <f>L852*M852</f>
        <v>3142.7999999999997</v>
      </c>
      <c r="V852" s="205"/>
      <c r="W852" s="62"/>
    </row>
    <row r="853" spans="1:23" x14ac:dyDescent="0.3">
      <c r="A853" s="479">
        <v>309</v>
      </c>
      <c r="B853" s="194" t="s">
        <v>64</v>
      </c>
      <c r="C853" s="170"/>
      <c r="D853" s="194" t="str">
        <f ca="1">IFERROR(__xludf.DUMMYFUNCTION("IF(J238="""",""n/a"",IFERROR(SPLIT(J238,""/"")))"),"Cowbell")</f>
        <v>Cowbell</v>
      </c>
      <c r="E853" s="194" t="str">
        <f ca="1">IFERROR(__xludf.DUMMYFUNCTION("""COMPUTED_VALUE"""),"can")</f>
        <v>can</v>
      </c>
      <c r="F853" s="194" t="str">
        <f ca="1">IFERROR(__xludf.DUMMYFUNCTION("""COMPUTED_VALUE"""),"360ml")</f>
        <v>360ml</v>
      </c>
      <c r="G853" s="170"/>
      <c r="H853" s="183" t="s">
        <v>1895</v>
      </c>
      <c r="I853" s="170"/>
      <c r="J853" s="46" t="s">
        <v>65</v>
      </c>
      <c r="K853" s="170"/>
      <c r="L853" s="195">
        <v>29.63</v>
      </c>
      <c r="M853" s="197">
        <v>191.73</v>
      </c>
      <c r="N853" s="61">
        <v>360</v>
      </c>
      <c r="O853" s="61" t="str">
        <f ca="1">E853</f>
        <v>can</v>
      </c>
      <c r="P853" s="61" t="s">
        <v>32</v>
      </c>
      <c r="Q853" s="170"/>
      <c r="R853" s="192" t="str">
        <f>CONCATENATE(N853,P853)</f>
        <v>360ml</v>
      </c>
      <c r="S853" s="198">
        <f>M853*N853</f>
        <v>69022.8</v>
      </c>
      <c r="T853" s="199" t="str">
        <f>CONCATENATE(S853,Q853,P853)</f>
        <v>69022.8ml</v>
      </c>
      <c r="U853" s="200">
        <f>L853*M853</f>
        <v>5680.9598999999998</v>
      </c>
      <c r="V853" s="12"/>
      <c r="W853" s="12"/>
    </row>
    <row r="854" spans="1:23" x14ac:dyDescent="0.3">
      <c r="A854" s="479">
        <v>309</v>
      </c>
      <c r="B854" s="194" t="s">
        <v>64</v>
      </c>
      <c r="C854" s="170"/>
      <c r="D854" s="194" t="str">
        <f ca="1">IFERROR(__xludf.DUMMYFUNCTION("IF(J239="""",""n/a"",IFERROR(SPLIT(J239,""/"")))"),"Alaska")</f>
        <v>Alaska</v>
      </c>
      <c r="E854" s="194" t="str">
        <f ca="1">IFERROR(__xludf.DUMMYFUNCTION("""COMPUTED_VALUE"""),"can")</f>
        <v>can</v>
      </c>
      <c r="F854" s="194" t="str">
        <f ca="1">IFERROR(__xludf.DUMMYFUNCTION("""COMPUTED_VALUE"""),"360ml")</f>
        <v>360ml</v>
      </c>
      <c r="G854" s="170"/>
      <c r="H854" s="206" t="s">
        <v>1898</v>
      </c>
      <c r="I854" s="170"/>
      <c r="J854" s="46" t="s">
        <v>601</v>
      </c>
      <c r="K854" s="170"/>
      <c r="L854" s="197">
        <v>0.09</v>
      </c>
      <c r="M854" s="386">
        <v>7560</v>
      </c>
      <c r="N854" s="208">
        <v>360</v>
      </c>
      <c r="O854" s="61" t="str">
        <f ca="1">E854</f>
        <v>can</v>
      </c>
      <c r="P854" s="61" t="s">
        <v>32</v>
      </c>
      <c r="Q854" s="170"/>
      <c r="R854" s="192" t="str">
        <f>CONCATENATE(N854,P854)</f>
        <v>360ml</v>
      </c>
      <c r="S854" s="198">
        <f>M854*N854</f>
        <v>2721600</v>
      </c>
      <c r="T854" s="199" t="str">
        <f>CONCATENATE(S854,Q854,P854)</f>
        <v>2721600ml</v>
      </c>
      <c r="U854" s="200">
        <f>L854*M854</f>
        <v>680.4</v>
      </c>
      <c r="V854" s="12"/>
      <c r="W854" s="12"/>
    </row>
    <row r="855" spans="1:23" x14ac:dyDescent="0.3">
      <c r="A855" s="479">
        <v>309</v>
      </c>
      <c r="B855" s="194" t="s">
        <v>64</v>
      </c>
      <c r="C855" s="170"/>
      <c r="D855" s="194" t="str">
        <f ca="1">IFERROR(__xludf.DUMMYFUNCTION("IF(J240="""",""n/a"",IFERROR(SPLIT(J240,""/"")))"),"Alaska")</f>
        <v>Alaska</v>
      </c>
      <c r="E855" s="194" t="str">
        <f ca="1">IFERROR(__xludf.DUMMYFUNCTION("""COMPUTED_VALUE"""),"tetrapack")</f>
        <v>tetrapack</v>
      </c>
      <c r="F855" s="194" t="str">
        <f ca="1">IFERROR(__xludf.DUMMYFUNCTION("""COMPUTED_VALUE"""),"1liter")</f>
        <v>1liter</v>
      </c>
      <c r="G855" s="170"/>
      <c r="H855" s="206" t="s">
        <v>1898</v>
      </c>
      <c r="I855" s="170"/>
      <c r="J855" s="46" t="s">
        <v>602</v>
      </c>
      <c r="K855" s="170"/>
      <c r="L855" s="197">
        <v>0.09</v>
      </c>
      <c r="M855" s="385">
        <v>4000</v>
      </c>
      <c r="N855" s="208">
        <v>1000</v>
      </c>
      <c r="O855" s="61" t="str">
        <f ca="1">E855</f>
        <v>tetrapack</v>
      </c>
      <c r="P855" s="61" t="s">
        <v>32</v>
      </c>
      <c r="Q855" s="170"/>
      <c r="R855" s="192" t="str">
        <f>CONCATENATE(N855,P855)</f>
        <v>1000ml</v>
      </c>
      <c r="S855" s="198">
        <f>M855*N855</f>
        <v>4000000</v>
      </c>
      <c r="T855" s="199" t="str">
        <f>CONCATENATE(S855,Q855,P855)</f>
        <v>4000000ml</v>
      </c>
      <c r="U855" s="200">
        <f>L855*M855</f>
        <v>360</v>
      </c>
      <c r="V855" s="12"/>
      <c r="W855" s="12"/>
    </row>
    <row r="856" spans="1:23" x14ac:dyDescent="0.3">
      <c r="A856" s="479">
        <v>309</v>
      </c>
      <c r="B856" s="194" t="s">
        <v>64</v>
      </c>
      <c r="C856" s="170"/>
      <c r="D856" s="194" t="str">
        <f ca="1">IFERROR(__xludf.DUMMYFUNCTION("IF(J241="""",""n/a"",IFERROR(SPLIT(J241,""/"")))"),"Healthy cow")</f>
        <v>Healthy cow</v>
      </c>
      <c r="E856" s="194" t="str">
        <f ca="1">IFERROR(__xludf.DUMMYFUNCTION("""COMPUTED_VALUE"""),"can")</f>
        <v>can</v>
      </c>
      <c r="F856" s="194" t="str">
        <f ca="1">IFERROR(__xludf.DUMMYFUNCTION("""COMPUTED_VALUE"""),"370ml")</f>
        <v>370ml</v>
      </c>
      <c r="G856" s="170"/>
      <c r="H856" s="206" t="s">
        <v>1898</v>
      </c>
      <c r="I856" s="170"/>
      <c r="J856" s="46" t="s">
        <v>603</v>
      </c>
      <c r="K856" s="170"/>
      <c r="L856" s="197">
        <v>0.15</v>
      </c>
      <c r="M856" s="385">
        <v>370</v>
      </c>
      <c r="N856" s="208">
        <v>360</v>
      </c>
      <c r="O856" s="61" t="str">
        <f ca="1">E856</f>
        <v>can</v>
      </c>
      <c r="P856" s="61" t="s">
        <v>32</v>
      </c>
      <c r="Q856" s="170"/>
      <c r="R856" s="192" t="str">
        <f>CONCATENATE(N856,P856)</f>
        <v>360ml</v>
      </c>
      <c r="S856" s="198">
        <f>M856*N856</f>
        <v>133200</v>
      </c>
      <c r="T856" s="199" t="str">
        <f>CONCATENATE(S856,Q856,P856)</f>
        <v>133200ml</v>
      </c>
      <c r="U856" s="200">
        <f>L856*M856</f>
        <v>55.5</v>
      </c>
      <c r="V856" s="12"/>
      <c r="W856" s="12"/>
    </row>
    <row r="857" spans="1:23" x14ac:dyDescent="0.3">
      <c r="A857" s="193">
        <v>309</v>
      </c>
      <c r="B857" s="46" t="s">
        <v>64</v>
      </c>
      <c r="C857" s="170"/>
      <c r="D857" s="194"/>
      <c r="E857" s="194"/>
      <c r="F857" s="194"/>
      <c r="G857" s="170"/>
      <c r="H857" s="194" t="s">
        <v>29</v>
      </c>
      <c r="I857" s="170"/>
      <c r="J857" s="46" t="s">
        <v>35</v>
      </c>
      <c r="K857" s="170"/>
      <c r="L857" s="197">
        <v>34</v>
      </c>
      <c r="M857" s="197">
        <v>7</v>
      </c>
      <c r="N857" s="290">
        <v>360</v>
      </c>
      <c r="O857" s="46"/>
      <c r="P857" s="46" t="s">
        <v>32</v>
      </c>
      <c r="Q857" s="170"/>
      <c r="R857" s="192" t="str">
        <f>CONCATENATE(N857,P857)</f>
        <v>360ml</v>
      </c>
      <c r="S857" s="198">
        <f>M857*N857</f>
        <v>2520</v>
      </c>
      <c r="T857" s="199" t="str">
        <f>CONCATENATE(S857,Q857,P857)</f>
        <v>2520ml</v>
      </c>
      <c r="U857" s="200">
        <f>L857*M857</f>
        <v>238</v>
      </c>
      <c r="V857" s="12"/>
      <c r="W857" s="12"/>
    </row>
    <row r="858" spans="1:23" x14ac:dyDescent="0.3">
      <c r="A858" s="193">
        <v>309</v>
      </c>
      <c r="B858" s="46" t="s">
        <v>64</v>
      </c>
      <c r="C858" s="170"/>
      <c r="D858" s="194"/>
      <c r="E858" s="170"/>
      <c r="F858" s="170"/>
      <c r="G858" s="170"/>
      <c r="H858" s="194" t="s">
        <v>29</v>
      </c>
      <c r="I858" s="170"/>
      <c r="J858" s="46" t="s">
        <v>1137</v>
      </c>
      <c r="K858" s="170"/>
      <c r="L858" s="197">
        <v>30.3</v>
      </c>
      <c r="M858" s="197">
        <v>3</v>
      </c>
      <c r="N858" s="290">
        <v>360</v>
      </c>
      <c r="O858" s="46"/>
      <c r="P858" s="46" t="s">
        <v>32</v>
      </c>
      <c r="Q858" s="170"/>
      <c r="R858" s="192" t="str">
        <f>CONCATENATE(N858,P858)</f>
        <v>360ml</v>
      </c>
      <c r="S858" s="198">
        <f>M858*N858</f>
        <v>1080</v>
      </c>
      <c r="T858" s="199" t="str">
        <f>CONCATENATE(S858,Q858,P858)</f>
        <v>1080ml</v>
      </c>
      <c r="U858" s="200">
        <f>L858*M858</f>
        <v>90.9</v>
      </c>
      <c r="V858" s="12"/>
      <c r="W858" s="12"/>
    </row>
    <row r="859" spans="1:23" x14ac:dyDescent="0.3">
      <c r="A859" s="193">
        <v>309</v>
      </c>
      <c r="B859" s="46" t="s">
        <v>64</v>
      </c>
      <c r="C859" s="170"/>
      <c r="D859" s="194"/>
      <c r="E859" s="170"/>
      <c r="F859" s="170"/>
      <c r="G859" s="170"/>
      <c r="H859" s="194" t="s">
        <v>2024</v>
      </c>
      <c r="I859" s="170"/>
      <c r="J859" s="46" t="s">
        <v>36</v>
      </c>
      <c r="K859" s="170"/>
      <c r="L859" s="197">
        <v>31.9</v>
      </c>
      <c r="M859" s="197">
        <v>30</v>
      </c>
      <c r="N859" s="290">
        <v>410</v>
      </c>
      <c r="O859" s="46"/>
      <c r="P859" s="46" t="s">
        <v>32</v>
      </c>
      <c r="Q859" s="170"/>
      <c r="R859" s="192" t="str">
        <f>CONCATENATE(N859,P859)</f>
        <v>410ml</v>
      </c>
      <c r="S859" s="198">
        <f>M859*N859</f>
        <v>12300</v>
      </c>
      <c r="T859" s="199" t="str">
        <f>CONCATENATE(S859,Q859,P859)</f>
        <v>12300ml</v>
      </c>
      <c r="U859" s="200">
        <f>L859*M859</f>
        <v>957</v>
      </c>
      <c r="V859" s="12"/>
      <c r="W859" s="12"/>
    </row>
    <row r="860" spans="1:23" x14ac:dyDescent="0.3">
      <c r="A860" s="193">
        <v>309</v>
      </c>
      <c r="B860" s="46" t="s">
        <v>64</v>
      </c>
      <c r="C860" s="170"/>
      <c r="D860" s="194"/>
      <c r="E860" s="194"/>
      <c r="F860" s="170"/>
      <c r="G860" s="170"/>
      <c r="H860" s="194" t="s">
        <v>2025</v>
      </c>
      <c r="I860" s="170"/>
      <c r="J860" s="46" t="s">
        <v>36</v>
      </c>
      <c r="K860" s="170"/>
      <c r="L860" s="197">
        <v>28.7</v>
      </c>
      <c r="M860" s="197">
        <v>0</v>
      </c>
      <c r="N860" s="290">
        <v>360</v>
      </c>
      <c r="O860" s="46"/>
      <c r="P860" s="46" t="s">
        <v>32</v>
      </c>
      <c r="Q860" s="170"/>
      <c r="R860" s="192" t="str">
        <f>CONCATENATE(N860,P860)</f>
        <v>360ml</v>
      </c>
      <c r="S860" s="198">
        <f>M860*N860</f>
        <v>0</v>
      </c>
      <c r="T860" s="199" t="str">
        <f>CONCATENATE(S860,Q860,P860)</f>
        <v>0ml</v>
      </c>
      <c r="U860" s="200">
        <f>L860*M860</f>
        <v>0</v>
      </c>
      <c r="V860" s="12"/>
      <c r="W860" s="12"/>
    </row>
    <row r="861" spans="1:23" x14ac:dyDescent="0.3">
      <c r="A861" s="193">
        <v>309</v>
      </c>
      <c r="B861" s="46" t="s">
        <v>64</v>
      </c>
      <c r="C861" s="170"/>
      <c r="D861" s="194"/>
      <c r="E861" s="194"/>
      <c r="F861" s="194"/>
      <c r="G861" s="170"/>
      <c r="H861" s="194" t="s">
        <v>2026</v>
      </c>
      <c r="I861" s="170"/>
      <c r="J861" s="46" t="s">
        <v>35</v>
      </c>
      <c r="K861" s="170"/>
      <c r="L861" s="197">
        <v>34</v>
      </c>
      <c r="M861" s="197">
        <v>24</v>
      </c>
      <c r="N861" s="290">
        <v>360</v>
      </c>
      <c r="O861" s="46"/>
      <c r="P861" s="46" t="s">
        <v>32</v>
      </c>
      <c r="Q861" s="170"/>
      <c r="R861" s="192" t="str">
        <f>CONCATENATE(N861,P861)</f>
        <v>360ml</v>
      </c>
      <c r="S861" s="198">
        <f>M861*N861</f>
        <v>8640</v>
      </c>
      <c r="T861" s="199" t="str">
        <f>CONCATENATE(S861,Q861,P861)</f>
        <v>8640ml</v>
      </c>
      <c r="U861" s="200">
        <f>L861*M861</f>
        <v>816</v>
      </c>
      <c r="V861" s="12"/>
      <c r="W861" s="12"/>
    </row>
    <row r="862" spans="1:23" x14ac:dyDescent="0.3">
      <c r="A862" s="193">
        <v>309</v>
      </c>
      <c r="B862" s="46" t="s">
        <v>64</v>
      </c>
      <c r="C862" s="170"/>
      <c r="D862" s="194"/>
      <c r="E862" s="194"/>
      <c r="F862" s="170"/>
      <c r="G862" s="170"/>
      <c r="H862" s="194" t="s">
        <v>1368</v>
      </c>
      <c r="I862" s="170"/>
      <c r="J862" s="46" t="s">
        <v>36</v>
      </c>
      <c r="K862" s="170"/>
      <c r="L862" s="197">
        <v>34.75</v>
      </c>
      <c r="M862" s="197">
        <v>7</v>
      </c>
      <c r="N862" s="290">
        <v>365</v>
      </c>
      <c r="O862" s="46"/>
      <c r="P862" s="46" t="s">
        <v>32</v>
      </c>
      <c r="Q862" s="170"/>
      <c r="R862" s="192" t="str">
        <f>CONCATENATE(N862,P862)</f>
        <v>365ml</v>
      </c>
      <c r="S862" s="198">
        <f>M862*N862</f>
        <v>2555</v>
      </c>
      <c r="T862" s="199" t="str">
        <f>CONCATENATE(S862,Q862,P862)</f>
        <v>2555ml</v>
      </c>
      <c r="U862" s="200">
        <f>L862*M862</f>
        <v>243.25</v>
      </c>
      <c r="V862" s="12"/>
      <c r="W862" s="12"/>
    </row>
    <row r="863" spans="1:23" x14ac:dyDescent="0.3">
      <c r="A863" s="193">
        <v>309</v>
      </c>
      <c r="B863" s="46" t="s">
        <v>64</v>
      </c>
      <c r="C863" s="170"/>
      <c r="D863" s="194"/>
      <c r="E863" s="194"/>
      <c r="F863" s="194"/>
      <c r="G863" s="170"/>
      <c r="H863" s="194" t="s">
        <v>2023</v>
      </c>
      <c r="I863" s="170"/>
      <c r="J863" s="46" t="s">
        <v>36</v>
      </c>
      <c r="K863" s="170"/>
      <c r="L863" s="197">
        <v>31.9</v>
      </c>
      <c r="M863" s="197">
        <v>12</v>
      </c>
      <c r="N863" s="290">
        <v>410</v>
      </c>
      <c r="O863" s="46"/>
      <c r="P863" s="46" t="s">
        <v>32</v>
      </c>
      <c r="Q863" s="170"/>
      <c r="R863" s="192" t="str">
        <f>CONCATENATE(N863,P863)</f>
        <v>410ml</v>
      </c>
      <c r="S863" s="198">
        <f>M863*N863</f>
        <v>4920</v>
      </c>
      <c r="T863" s="199" t="str">
        <f>CONCATENATE(S863,Q863,P863)</f>
        <v>4920ml</v>
      </c>
      <c r="U863" s="200">
        <f>L863*M863</f>
        <v>382.79999999999995</v>
      </c>
      <c r="V863" s="12"/>
      <c r="W863" s="12"/>
    </row>
    <row r="864" spans="1:23" x14ac:dyDescent="0.3">
      <c r="A864" s="193">
        <v>309</v>
      </c>
      <c r="B864" s="46" t="s">
        <v>64</v>
      </c>
      <c r="C864" s="170"/>
      <c r="D864" s="194"/>
      <c r="E864" s="194"/>
      <c r="F864" s="194"/>
      <c r="G864" s="170"/>
      <c r="H864" s="194" t="s">
        <v>2021</v>
      </c>
      <c r="I864" s="170"/>
      <c r="J864" s="219" t="s">
        <v>35</v>
      </c>
      <c r="K864" s="170"/>
      <c r="L864" s="216">
        <v>38.5</v>
      </c>
      <c r="M864" s="216">
        <v>46</v>
      </c>
      <c r="N864" s="293">
        <v>360</v>
      </c>
      <c r="O864" s="219"/>
      <c r="P864" s="219" t="s">
        <v>32</v>
      </c>
      <c r="Q864" s="170"/>
      <c r="R864" s="192" t="str">
        <f>CONCATENATE(N864,P864)</f>
        <v>360ml</v>
      </c>
      <c r="S864" s="198">
        <f>M864*N864</f>
        <v>16560</v>
      </c>
      <c r="T864" s="199" t="str">
        <f>CONCATENATE(S864,Q864,P864)</f>
        <v>16560ml</v>
      </c>
      <c r="U864" s="200">
        <f>L864*M864</f>
        <v>1771</v>
      </c>
      <c r="V864" s="12"/>
      <c r="W864" s="12"/>
    </row>
    <row r="865" spans="1:23" x14ac:dyDescent="0.3">
      <c r="A865" s="193">
        <v>309</v>
      </c>
      <c r="B865" s="46" t="s">
        <v>64</v>
      </c>
      <c r="C865" s="170"/>
      <c r="D865" s="194"/>
      <c r="E865" s="194"/>
      <c r="F865" s="194"/>
      <c r="G865" s="170"/>
      <c r="H865" s="194" t="s">
        <v>2020</v>
      </c>
      <c r="I865" s="170"/>
      <c r="J865" s="46" t="s">
        <v>35</v>
      </c>
      <c r="K865" s="170"/>
      <c r="L865" s="197">
        <v>34</v>
      </c>
      <c r="M865" s="197">
        <v>4</v>
      </c>
      <c r="N865" s="290">
        <v>360</v>
      </c>
      <c r="O865" s="46"/>
      <c r="P865" s="46" t="s">
        <v>32</v>
      </c>
      <c r="Q865" s="170"/>
      <c r="R865" s="192" t="str">
        <f>CONCATENATE(N865,P865)</f>
        <v>360ml</v>
      </c>
      <c r="S865" s="198">
        <f>M865*N865</f>
        <v>1440</v>
      </c>
      <c r="T865" s="199" t="str">
        <f>CONCATENATE(S865,Q865,P865)</f>
        <v>1440ml</v>
      </c>
      <c r="U865" s="200">
        <f>L865*M865</f>
        <v>136</v>
      </c>
      <c r="V865" s="12"/>
      <c r="W865" s="12"/>
    </row>
    <row r="866" spans="1:23" x14ac:dyDescent="0.3">
      <c r="A866" s="193">
        <v>309</v>
      </c>
      <c r="B866" s="46" t="s">
        <v>64</v>
      </c>
      <c r="C866" s="215"/>
      <c r="D866" s="194"/>
      <c r="E866" s="215"/>
      <c r="F866" s="215"/>
      <c r="G866" s="215"/>
      <c r="H866" s="400" t="s">
        <v>2027</v>
      </c>
      <c r="I866" s="170"/>
      <c r="J866" s="46" t="s">
        <v>1137</v>
      </c>
      <c r="K866" s="170"/>
      <c r="L866" s="195">
        <v>30.3</v>
      </c>
      <c r="M866" s="197">
        <v>4</v>
      </c>
      <c r="N866" s="360">
        <v>1</v>
      </c>
      <c r="O866" s="61"/>
      <c r="P866" s="61" t="s">
        <v>1922</v>
      </c>
      <c r="Q866" s="170"/>
      <c r="R866" s="192" t="str">
        <f>CONCATENATE(N866,P866)</f>
        <v>1can</v>
      </c>
      <c r="S866" s="198">
        <f>M866*N866</f>
        <v>4</v>
      </c>
      <c r="T866" s="199" t="str">
        <f>CONCATENATE(S866,Q866,P866)</f>
        <v>4can</v>
      </c>
      <c r="U866" s="200">
        <f>L866*M866</f>
        <v>121.2</v>
      </c>
      <c r="V866" s="12"/>
      <c r="W866" s="12"/>
    </row>
    <row r="867" spans="1:23" x14ac:dyDescent="0.3">
      <c r="A867" s="193">
        <v>310</v>
      </c>
      <c r="B867" s="46" t="s">
        <v>1218</v>
      </c>
      <c r="C867" s="170"/>
      <c r="D867" s="194"/>
      <c r="E867" s="194"/>
      <c r="F867" s="194"/>
      <c r="G867" s="170"/>
      <c r="H867" s="194" t="s">
        <v>2022</v>
      </c>
      <c r="I867" s="170"/>
      <c r="J867" s="46" t="s">
        <v>1219</v>
      </c>
      <c r="K867" s="170"/>
      <c r="L867" s="197">
        <v>78</v>
      </c>
      <c r="M867" s="197">
        <v>2</v>
      </c>
      <c r="N867" s="290">
        <v>500</v>
      </c>
      <c r="O867" s="46"/>
      <c r="P867" s="46" t="s">
        <v>39</v>
      </c>
      <c r="Q867" s="170"/>
      <c r="R867" s="192" t="str">
        <f>CONCATENATE(N867,P867)</f>
        <v>500grams</v>
      </c>
      <c r="S867" s="198">
        <f>M867*N867</f>
        <v>1000</v>
      </c>
      <c r="T867" s="199" t="str">
        <f>CONCATENATE(S867,Q867,P867)</f>
        <v>1000grams</v>
      </c>
      <c r="U867" s="200">
        <f>L867*M867</f>
        <v>156</v>
      </c>
      <c r="V867" s="12"/>
      <c r="W867" s="12"/>
    </row>
    <row r="868" spans="1:23" x14ac:dyDescent="0.3">
      <c r="A868" s="193">
        <v>311</v>
      </c>
      <c r="B868" s="46" t="s">
        <v>1927</v>
      </c>
      <c r="C868" s="215"/>
      <c r="D868" s="194"/>
      <c r="E868" s="215"/>
      <c r="F868" s="215"/>
      <c r="G868" s="215"/>
      <c r="H868" s="400" t="s">
        <v>2027</v>
      </c>
      <c r="I868" s="170"/>
      <c r="J868" s="46" t="s">
        <v>1928</v>
      </c>
      <c r="K868" s="170"/>
      <c r="L868" s="195">
        <v>255</v>
      </c>
      <c r="M868" s="197">
        <v>3</v>
      </c>
      <c r="N868" s="360">
        <v>1</v>
      </c>
      <c r="O868" s="61"/>
      <c r="P868" s="61" t="s">
        <v>213</v>
      </c>
      <c r="Q868" s="170"/>
      <c r="R868" s="192" t="str">
        <f>CONCATENATE(N868,P868)</f>
        <v>1kilos</v>
      </c>
      <c r="S868" s="198">
        <f>M868*N868</f>
        <v>3</v>
      </c>
      <c r="T868" s="199" t="str">
        <f>CONCATENATE(S868,Q868,P868)</f>
        <v>3kilos</v>
      </c>
      <c r="U868" s="200">
        <f>L868*M868</f>
        <v>765</v>
      </c>
      <c r="V868" s="12"/>
      <c r="W868" s="12"/>
    </row>
    <row r="869" spans="1:23" x14ac:dyDescent="0.3">
      <c r="A869" s="479">
        <v>312</v>
      </c>
      <c r="B869" s="214" t="s">
        <v>219</v>
      </c>
      <c r="C869" s="215"/>
      <c r="D869" s="194" t="str">
        <f ca="1">IFERROR(__xludf.DUMMYFUNCTION("IF(J242="""",""n/a"",IFERROR(SPLIT(J242,""/"")))"),"Shanghai")</f>
        <v>Shanghai</v>
      </c>
      <c r="E869" s="214" t="str">
        <f ca="1">IFERROR(__xludf.DUMMYFUNCTION("""COMPUTED_VALUE"""),"pack")</f>
        <v>pack</v>
      </c>
      <c r="F869" s="214" t="str">
        <f ca="1">IFERROR(__xludf.DUMMYFUNCTION("""COMPUTED_VALUE"""),"250grams")</f>
        <v>250grams</v>
      </c>
      <c r="G869" s="215"/>
      <c r="H869" s="183" t="s">
        <v>1895</v>
      </c>
      <c r="I869" s="170"/>
      <c r="J869" s="46" t="s">
        <v>220</v>
      </c>
      <c r="K869" s="170"/>
      <c r="L869" s="195">
        <v>80</v>
      </c>
      <c r="M869" s="197">
        <v>12</v>
      </c>
      <c r="N869" s="61">
        <v>1</v>
      </c>
      <c r="O869" s="61" t="str">
        <f ca="1">E869</f>
        <v>pack</v>
      </c>
      <c r="P869" s="61" t="s">
        <v>39</v>
      </c>
      <c r="Q869" s="170"/>
      <c r="R869" s="192" t="str">
        <f>CONCATENATE(N869,P869)</f>
        <v>1grams</v>
      </c>
      <c r="S869" s="198">
        <f>M869*N869</f>
        <v>12</v>
      </c>
      <c r="T869" s="199" t="str">
        <f>CONCATENATE(S869,Q869,P869)</f>
        <v>12grams</v>
      </c>
      <c r="U869" s="200">
        <f>L869*M869</f>
        <v>960</v>
      </c>
      <c r="V869" s="12"/>
      <c r="W869" s="12"/>
    </row>
    <row r="870" spans="1:23" x14ac:dyDescent="0.3">
      <c r="A870" s="193">
        <v>313</v>
      </c>
      <c r="B870" s="46" t="s">
        <v>1220</v>
      </c>
      <c r="C870" s="170"/>
      <c r="D870" s="194"/>
      <c r="E870" s="194"/>
      <c r="F870" s="194"/>
      <c r="G870" s="170"/>
      <c r="H870" s="194" t="s">
        <v>2024</v>
      </c>
      <c r="I870" s="170"/>
      <c r="J870" s="46" t="s">
        <v>1221</v>
      </c>
      <c r="K870" s="170"/>
      <c r="L870" s="197">
        <v>57</v>
      </c>
      <c r="M870" s="197">
        <v>1</v>
      </c>
      <c r="N870" s="290">
        <v>1000</v>
      </c>
      <c r="O870" s="46"/>
      <c r="P870" s="46" t="s">
        <v>39</v>
      </c>
      <c r="Q870" s="170"/>
      <c r="R870" s="192" t="str">
        <f>CONCATENATE(N870,P870)</f>
        <v>1000grams</v>
      </c>
      <c r="S870" s="198">
        <f>M870*N870</f>
        <v>1000</v>
      </c>
      <c r="T870" s="199" t="str">
        <f>CONCATENATE(S870,Q870,P870)</f>
        <v>1000grams</v>
      </c>
      <c r="U870" s="200">
        <f>L870*M870</f>
        <v>57</v>
      </c>
      <c r="V870" s="12"/>
      <c r="W870" s="12"/>
    </row>
    <row r="871" spans="1:23" x14ac:dyDescent="0.3">
      <c r="A871" s="193">
        <v>313</v>
      </c>
      <c r="B871" s="46" t="s">
        <v>1220</v>
      </c>
      <c r="C871" s="170"/>
      <c r="D871" s="194"/>
      <c r="E871" s="194"/>
      <c r="F871" s="194"/>
      <c r="G871" s="170"/>
      <c r="H871" s="194" t="s">
        <v>2023</v>
      </c>
      <c r="I871" s="170"/>
      <c r="J871" s="46" t="s">
        <v>1221</v>
      </c>
      <c r="K871" s="170"/>
      <c r="L871" s="197">
        <v>120</v>
      </c>
      <c r="M871" s="197">
        <v>1</v>
      </c>
      <c r="N871" s="290">
        <v>1000</v>
      </c>
      <c r="O871" s="46"/>
      <c r="P871" s="46" t="s">
        <v>39</v>
      </c>
      <c r="Q871" s="170"/>
      <c r="R871" s="192" t="str">
        <f>CONCATENATE(N871,P871)</f>
        <v>1000grams</v>
      </c>
      <c r="S871" s="198">
        <f>M871*N871</f>
        <v>1000</v>
      </c>
      <c r="T871" s="199" t="str">
        <f>CONCATENATE(S871,Q871,P871)</f>
        <v>1000grams</v>
      </c>
      <c r="U871" s="200">
        <f>L871*M871</f>
        <v>120</v>
      </c>
      <c r="V871" s="12"/>
      <c r="W871" s="12"/>
    </row>
    <row r="872" spans="1:23" x14ac:dyDescent="0.3">
      <c r="A872" s="479">
        <v>314</v>
      </c>
      <c r="B872" s="194" t="s">
        <v>256</v>
      </c>
      <c r="C872" s="170"/>
      <c r="D872" s="194" t="str">
        <f ca="1">IFERROR(__xludf.DUMMYFUNCTION("IF(J243="""",""n/a"",IFERROR(SPLIT(J243,""/"")))"),"Ticman")</f>
        <v>Ticman</v>
      </c>
      <c r="E872" s="194" t="str">
        <f ca="1">IFERROR(__xludf.DUMMYFUNCTION("""COMPUTED_VALUE"""),"gallon")</f>
        <v>gallon</v>
      </c>
      <c r="F872" s="194" t="str">
        <f ca="1">IFERROR(__xludf.DUMMYFUNCTION("""COMPUTED_VALUE"""),"3500ml")</f>
        <v>3500ml</v>
      </c>
      <c r="G872" s="170"/>
      <c r="H872" s="183" t="s">
        <v>1895</v>
      </c>
      <c r="I872" s="170"/>
      <c r="J872" s="46" t="s">
        <v>239</v>
      </c>
      <c r="K872" s="170"/>
      <c r="L872" s="195">
        <v>73</v>
      </c>
      <c r="M872" s="197">
        <v>12</v>
      </c>
      <c r="N872" s="61">
        <v>1</v>
      </c>
      <c r="O872" s="61" t="str">
        <f ca="1">E872</f>
        <v>gallon</v>
      </c>
      <c r="P872" s="61" t="s">
        <v>200</v>
      </c>
      <c r="Q872" s="170"/>
      <c r="R872" s="192" t="str">
        <f>CONCATENATE(N872,P872)</f>
        <v>1gal</v>
      </c>
      <c r="S872" s="198">
        <f>M872*N872</f>
        <v>12</v>
      </c>
      <c r="T872" s="199" t="str">
        <f>CONCATENATE(S872,Q872,P872)</f>
        <v>12gal</v>
      </c>
      <c r="U872" s="200">
        <f>L872*M872</f>
        <v>876</v>
      </c>
      <c r="V872" s="12"/>
      <c r="W872" s="12"/>
    </row>
    <row r="873" spans="1:23" x14ac:dyDescent="0.3">
      <c r="A873" s="479">
        <v>314</v>
      </c>
      <c r="B873" s="194" t="s">
        <v>256</v>
      </c>
      <c r="C873" s="170"/>
      <c r="D873" s="194" t="str">
        <f ca="1">IFERROR(__xludf.DUMMYFUNCTION("IF(J244="""",""n/a"",IFERROR(SPLIT(J244,""/"")))"),"n/a")</f>
        <v>n/a</v>
      </c>
      <c r="E873" s="170"/>
      <c r="F873" s="170"/>
      <c r="G873" s="170"/>
      <c r="H873" s="206" t="s">
        <v>1898</v>
      </c>
      <c r="I873" s="170"/>
      <c r="J873" s="170"/>
      <c r="K873" s="170"/>
      <c r="L873" s="197">
        <v>73</v>
      </c>
      <c r="M873" s="386">
        <v>8</v>
      </c>
      <c r="N873" s="208">
        <v>1</v>
      </c>
      <c r="O873" s="170">
        <f>E873</f>
        <v>0</v>
      </c>
      <c r="P873" s="61" t="s">
        <v>200</v>
      </c>
      <c r="Q873" s="170"/>
      <c r="R873" s="192" t="str">
        <f>CONCATENATE(N873,P873)</f>
        <v>1gal</v>
      </c>
      <c r="S873" s="198">
        <f>M873*N873</f>
        <v>8</v>
      </c>
      <c r="T873" s="199" t="str">
        <f>CONCATENATE(S873,Q873,P873)</f>
        <v>8gal</v>
      </c>
      <c r="U873" s="200">
        <f>L873*M873</f>
        <v>584</v>
      </c>
      <c r="V873" s="12"/>
      <c r="W873" s="12"/>
    </row>
    <row r="874" spans="1:23" x14ac:dyDescent="0.3">
      <c r="A874" s="193">
        <v>314</v>
      </c>
      <c r="B874" s="46" t="s">
        <v>256</v>
      </c>
      <c r="C874" s="170"/>
      <c r="D874" s="194"/>
      <c r="E874" s="194"/>
      <c r="F874" s="194"/>
      <c r="G874" s="170"/>
      <c r="H874" s="194" t="s">
        <v>29</v>
      </c>
      <c r="I874" s="170"/>
      <c r="J874" s="46" t="s">
        <v>1069</v>
      </c>
      <c r="K874" s="170"/>
      <c r="L874" s="197">
        <v>73</v>
      </c>
      <c r="M874" s="197">
        <v>1</v>
      </c>
      <c r="N874" s="290">
        <v>3500</v>
      </c>
      <c r="O874" s="46"/>
      <c r="P874" s="46" t="s">
        <v>32</v>
      </c>
      <c r="Q874" s="170"/>
      <c r="R874" s="192" t="str">
        <f>CONCATENATE(N874,P874)</f>
        <v>3500ml</v>
      </c>
      <c r="S874" s="198">
        <f>M874*N874</f>
        <v>3500</v>
      </c>
      <c r="T874" s="199" t="str">
        <f>CONCATENATE(S874,Q874,P874)</f>
        <v>3500ml</v>
      </c>
      <c r="U874" s="200">
        <f>L874*M874</f>
        <v>73</v>
      </c>
      <c r="V874" s="12"/>
      <c r="W874" s="12"/>
    </row>
    <row r="875" spans="1:23" x14ac:dyDescent="0.3">
      <c r="A875" s="193">
        <v>314</v>
      </c>
      <c r="B875" s="46" t="s">
        <v>256</v>
      </c>
      <c r="C875" s="170"/>
      <c r="D875" s="194"/>
      <c r="E875" s="194"/>
      <c r="F875" s="170"/>
      <c r="G875" s="170"/>
      <c r="H875" s="194" t="s">
        <v>2024</v>
      </c>
      <c r="I875" s="170"/>
      <c r="J875" s="46" t="s">
        <v>1069</v>
      </c>
      <c r="K875" s="170"/>
      <c r="L875" s="197">
        <v>73</v>
      </c>
      <c r="M875" s="197">
        <v>7</v>
      </c>
      <c r="N875" s="290">
        <v>3500</v>
      </c>
      <c r="O875" s="46"/>
      <c r="P875" s="46" t="s">
        <v>32</v>
      </c>
      <c r="Q875" s="170"/>
      <c r="R875" s="192" t="str">
        <f>CONCATENATE(N875,P875)</f>
        <v>3500ml</v>
      </c>
      <c r="S875" s="198">
        <f>M875*N875</f>
        <v>24500</v>
      </c>
      <c r="T875" s="199" t="str">
        <f>CONCATENATE(S875,Q875,P875)</f>
        <v>24500ml</v>
      </c>
      <c r="U875" s="200">
        <f>L875*M875</f>
        <v>511</v>
      </c>
      <c r="V875" s="12"/>
      <c r="W875" s="12"/>
    </row>
    <row r="876" spans="1:23" x14ac:dyDescent="0.3">
      <c r="A876" s="193">
        <v>314</v>
      </c>
      <c r="B876" s="219" t="s">
        <v>256</v>
      </c>
      <c r="C876" s="170"/>
      <c r="D876" s="194"/>
      <c r="E876" s="194"/>
      <c r="F876" s="170"/>
      <c r="G876" s="170"/>
      <c r="H876" s="194" t="s">
        <v>2026</v>
      </c>
      <c r="I876" s="170"/>
      <c r="J876" s="46" t="s">
        <v>1069</v>
      </c>
      <c r="K876" s="170"/>
      <c r="L876" s="197">
        <v>73</v>
      </c>
      <c r="M876" s="197">
        <v>2</v>
      </c>
      <c r="N876" s="290">
        <v>3500</v>
      </c>
      <c r="O876" s="46"/>
      <c r="P876" s="46" t="s">
        <v>32</v>
      </c>
      <c r="Q876" s="170"/>
      <c r="R876" s="192" t="str">
        <f>CONCATENATE(N876,P876)</f>
        <v>3500ml</v>
      </c>
      <c r="S876" s="198">
        <f>M876*N876</f>
        <v>7000</v>
      </c>
      <c r="T876" s="199" t="str">
        <f>CONCATENATE(S876,Q876,P876)</f>
        <v>7000ml</v>
      </c>
      <c r="U876" s="200">
        <f>L876*M876</f>
        <v>146</v>
      </c>
      <c r="V876" s="12"/>
      <c r="W876" s="12"/>
    </row>
    <row r="877" spans="1:23" x14ac:dyDescent="0.3">
      <c r="A877" s="193">
        <v>314</v>
      </c>
      <c r="B877" s="219" t="s">
        <v>256</v>
      </c>
      <c r="C877" s="170"/>
      <c r="D877" s="194"/>
      <c r="E877" s="170"/>
      <c r="F877" s="170"/>
      <c r="G877" s="170"/>
      <c r="H877" s="194" t="s">
        <v>1368</v>
      </c>
      <c r="I877" s="170"/>
      <c r="J877" s="46" t="s">
        <v>1222</v>
      </c>
      <c r="K877" s="170"/>
      <c r="L877" s="197">
        <v>24.75</v>
      </c>
      <c r="M877" s="197">
        <v>2</v>
      </c>
      <c r="N877" s="290">
        <v>350</v>
      </c>
      <c r="O877" s="46"/>
      <c r="P877" s="46" t="s">
        <v>32</v>
      </c>
      <c r="Q877" s="170"/>
      <c r="R877" s="192" t="str">
        <f>CONCATENATE(N877,P877)</f>
        <v>350ml</v>
      </c>
      <c r="S877" s="198">
        <f>M877*N877</f>
        <v>700</v>
      </c>
      <c r="T877" s="199" t="str">
        <f>CONCATENATE(S877,Q877,P877)</f>
        <v>700ml</v>
      </c>
      <c r="U877" s="200">
        <f>L877*M877</f>
        <v>49.5</v>
      </c>
      <c r="V877" s="12"/>
      <c r="W877" s="12"/>
    </row>
    <row r="878" spans="1:23" x14ac:dyDescent="0.3">
      <c r="A878" s="193">
        <v>314</v>
      </c>
      <c r="B878" s="219" t="s">
        <v>256</v>
      </c>
      <c r="C878" s="170"/>
      <c r="D878" s="194"/>
      <c r="E878" s="194"/>
      <c r="F878" s="194"/>
      <c r="G878" s="170"/>
      <c r="H878" s="194" t="s">
        <v>2023</v>
      </c>
      <c r="I878" s="170"/>
      <c r="J878" s="46" t="s">
        <v>1069</v>
      </c>
      <c r="K878" s="170"/>
      <c r="L878" s="197">
        <v>65</v>
      </c>
      <c r="M878" s="197">
        <v>2</v>
      </c>
      <c r="N878" s="290">
        <v>3500</v>
      </c>
      <c r="O878" s="46"/>
      <c r="P878" s="46" t="s">
        <v>32</v>
      </c>
      <c r="Q878" s="170"/>
      <c r="R878" s="192" t="str">
        <f>CONCATENATE(N878,P878)</f>
        <v>3500ml</v>
      </c>
      <c r="S878" s="198">
        <f>M878*N878</f>
        <v>7000</v>
      </c>
      <c r="T878" s="199" t="str">
        <f>CONCATENATE(S878,Q878,P878)</f>
        <v>7000ml</v>
      </c>
      <c r="U878" s="200">
        <f>L878*M878</f>
        <v>130</v>
      </c>
      <c r="V878" s="12"/>
      <c r="W878" s="12"/>
    </row>
    <row r="879" spans="1:23" x14ac:dyDescent="0.3">
      <c r="A879" s="193">
        <v>314</v>
      </c>
      <c r="B879" s="219" t="s">
        <v>256</v>
      </c>
      <c r="C879" s="170"/>
      <c r="D879" s="194"/>
      <c r="E879" s="170"/>
      <c r="F879" s="170"/>
      <c r="G879" s="170"/>
      <c r="H879" s="194" t="s">
        <v>2021</v>
      </c>
      <c r="I879" s="170"/>
      <c r="J879" s="219" t="s">
        <v>1223</v>
      </c>
      <c r="K879" s="170"/>
      <c r="L879" s="216">
        <v>32</v>
      </c>
      <c r="M879" s="216">
        <v>1</v>
      </c>
      <c r="N879" s="293">
        <v>12</v>
      </c>
      <c r="O879" s="219"/>
      <c r="P879" s="219" t="s">
        <v>1224</v>
      </c>
      <c r="Q879" s="170"/>
      <c r="R879" s="192" t="str">
        <f>CONCATENATE(N879,P879)</f>
        <v>12ounces</v>
      </c>
      <c r="S879" s="198">
        <f>M879*N879</f>
        <v>12</v>
      </c>
      <c r="T879" s="199" t="str">
        <f>CONCATENATE(S879,Q879,P879)</f>
        <v>12ounces</v>
      </c>
      <c r="U879" s="200">
        <f>L879*M879</f>
        <v>32</v>
      </c>
      <c r="V879" s="12"/>
      <c r="W879" s="12"/>
    </row>
    <row r="880" spans="1:23" x14ac:dyDescent="0.3">
      <c r="A880" s="193">
        <v>314</v>
      </c>
      <c r="B880" s="46" t="s">
        <v>256</v>
      </c>
      <c r="C880" s="215"/>
      <c r="D880" s="194"/>
      <c r="E880" s="215"/>
      <c r="F880" s="215"/>
      <c r="G880" s="215"/>
      <c r="H880" s="400" t="s">
        <v>2027</v>
      </c>
      <c r="I880" s="170"/>
      <c r="J880" s="46" t="s">
        <v>1929</v>
      </c>
      <c r="K880" s="170"/>
      <c r="L880" s="195">
        <v>73</v>
      </c>
      <c r="M880" s="197">
        <v>1</v>
      </c>
      <c r="N880" s="360">
        <v>1</v>
      </c>
      <c r="O880" s="61"/>
      <c r="P880" s="61" t="s">
        <v>200</v>
      </c>
      <c r="Q880" s="170"/>
      <c r="R880" s="192" t="str">
        <f>CONCATENATE(N880,P880)</f>
        <v>1gal</v>
      </c>
      <c r="S880" s="198">
        <f>M880*N880</f>
        <v>1</v>
      </c>
      <c r="T880" s="199" t="str">
        <f>CONCATENATE(S880,Q880,P880)</f>
        <v>1gal</v>
      </c>
      <c r="U880" s="200">
        <f>L880*M880</f>
        <v>73</v>
      </c>
      <c r="V880" s="12"/>
      <c r="W880" s="12"/>
    </row>
    <row r="881" spans="1:23" x14ac:dyDescent="0.3">
      <c r="A881" s="479">
        <v>315</v>
      </c>
      <c r="B881" s="194" t="s">
        <v>392</v>
      </c>
      <c r="C881" s="170"/>
      <c r="D881" s="194" t="str">
        <f ca="1">IFERROR(__xludf.DUMMYFUNCTION("IF(J245="""",""n/a"",IFERROR(SPLIT(J245,""/"")))"),"Oishibox(pcsx90grams)")</f>
        <v>Oishibox(pcsx90grams)</v>
      </c>
      <c r="E881" s="170"/>
      <c r="F881" s="170"/>
      <c r="G881" s="170"/>
      <c r="H881" s="183" t="s">
        <v>1895</v>
      </c>
      <c r="I881" s="170"/>
      <c r="J881" s="46" t="s">
        <v>393</v>
      </c>
      <c r="K881" s="170"/>
      <c r="L881" s="195">
        <v>20.54</v>
      </c>
      <c r="M881" s="197">
        <v>7</v>
      </c>
      <c r="N881" s="61">
        <v>1</v>
      </c>
      <c r="O881" s="170">
        <f>E881</f>
        <v>0</v>
      </c>
      <c r="P881" s="61" t="s">
        <v>92</v>
      </c>
      <c r="Q881" s="170"/>
      <c r="R881" s="192" t="str">
        <f>CONCATENATE(N881,P881)</f>
        <v>1pieces</v>
      </c>
      <c r="S881" s="198">
        <f>M881*N881</f>
        <v>7</v>
      </c>
      <c r="T881" s="199" t="str">
        <f>CONCATENATE(S881,Q881,P881)</f>
        <v>7pieces</v>
      </c>
      <c r="U881" s="200">
        <f>L881*M881</f>
        <v>143.78</v>
      </c>
      <c r="V881" s="12"/>
      <c r="W881" s="12"/>
    </row>
    <row r="882" spans="1:23" x14ac:dyDescent="0.3">
      <c r="A882" s="479">
        <v>316</v>
      </c>
      <c r="B882" s="194" t="s">
        <v>97</v>
      </c>
      <c r="C882" s="170"/>
      <c r="D882" s="194" t="str">
        <f ca="1">IFERROR(__xludf.DUMMYFUNCTION("IF(J246="""",""n/a"",IFERROR(SPLIT(J246,""/"")))"),"Del Monte")</f>
        <v>Del Monte</v>
      </c>
      <c r="E882" s="194" t="str">
        <f ca="1">IFERROR(__xludf.DUMMYFUNCTION("""COMPUTED_VALUE"""),"box (24x320ml)")</f>
        <v>box (24x320ml)</v>
      </c>
      <c r="F882" s="170"/>
      <c r="G882" s="170"/>
      <c r="H882" s="183" t="s">
        <v>1897</v>
      </c>
      <c r="I882" s="170"/>
      <c r="J882" s="46" t="s">
        <v>98</v>
      </c>
      <c r="K882" s="170"/>
      <c r="L882" s="195">
        <v>26.25</v>
      </c>
      <c r="M882" s="202">
        <v>20</v>
      </c>
      <c r="N882" s="203">
        <v>1</v>
      </c>
      <c r="O882" s="61" t="str">
        <f ca="1">E882</f>
        <v>box (24x320ml)</v>
      </c>
      <c r="P882" s="61" t="s">
        <v>92</v>
      </c>
      <c r="Q882" s="170"/>
      <c r="R882" s="192" t="str">
        <f>CONCATENATE(N882,P882)</f>
        <v>1pieces</v>
      </c>
      <c r="S882" s="198">
        <f>M882*N882</f>
        <v>20</v>
      </c>
      <c r="T882" s="199" t="str">
        <f>CONCATENATE(S882,Q882,P882)</f>
        <v>20pieces</v>
      </c>
      <c r="U882" s="200">
        <f>L882*M882</f>
        <v>525</v>
      </c>
      <c r="V882" s="205"/>
      <c r="W882" s="62"/>
    </row>
    <row r="883" spans="1:23" x14ac:dyDescent="0.3">
      <c r="A883" s="479">
        <v>316</v>
      </c>
      <c r="B883" s="194" t="s">
        <v>97</v>
      </c>
      <c r="C883" s="170"/>
      <c r="D883" s="194" t="str">
        <f ca="1">IFERROR(__xludf.DUMMYFUNCTION("IF(J247="""",""n/a"",IFERROR(SPLIT(J247,""/"")))"),"Del Monte")</f>
        <v>Del Monte</v>
      </c>
      <c r="E883" s="194" t="str">
        <f ca="1">IFERROR(__xludf.DUMMYFUNCTION("""COMPUTED_VALUE"""),"box (24x320ml)")</f>
        <v>box (24x320ml)</v>
      </c>
      <c r="F883" s="170"/>
      <c r="G883" s="170"/>
      <c r="H883" s="183" t="s">
        <v>1895</v>
      </c>
      <c r="I883" s="170"/>
      <c r="J883" s="46" t="s">
        <v>98</v>
      </c>
      <c r="K883" s="170"/>
      <c r="L883" s="195">
        <v>26.16</v>
      </c>
      <c r="M883" s="197">
        <v>30</v>
      </c>
      <c r="N883" s="61">
        <v>1</v>
      </c>
      <c r="O883" s="61" t="str">
        <f ca="1">E883</f>
        <v>box (24x320ml)</v>
      </c>
      <c r="P883" s="61" t="s">
        <v>92</v>
      </c>
      <c r="Q883" s="170"/>
      <c r="R883" s="192" t="str">
        <f>CONCATENATE(N883,P883)</f>
        <v>1pieces</v>
      </c>
      <c r="S883" s="198">
        <f>M883*N883</f>
        <v>30</v>
      </c>
      <c r="T883" s="199" t="str">
        <f>CONCATENATE(S883,Q883,P883)</f>
        <v>30pieces</v>
      </c>
      <c r="U883" s="200">
        <f>L883*M883</f>
        <v>784.8</v>
      </c>
      <c r="V883" s="12"/>
      <c r="W883" s="12"/>
    </row>
    <row r="884" spans="1:23" x14ac:dyDescent="0.3">
      <c r="A884" s="479">
        <v>317</v>
      </c>
      <c r="B884" s="194" t="s">
        <v>604</v>
      </c>
      <c r="C884" s="170"/>
      <c r="D884" s="194" t="str">
        <f ca="1">IFERROR(__xludf.DUMMYFUNCTION("IF(J248="""",""n/a"",IFERROR(SPLIT(J248,""/"")))"),"MY Sac")</f>
        <v>MY Sac</v>
      </c>
      <c r="E884" s="194" t="str">
        <f ca="1">IFERROR(__xludf.DUMMYFUNCTION("""COMPUTED_VALUE"""),"pck")</f>
        <v>pck</v>
      </c>
      <c r="F884" s="194">
        <f ca="1">IFERROR(__xludf.DUMMYFUNCTION("""COMPUTED_VALUE"""),10)</f>
        <v>10</v>
      </c>
      <c r="G884" s="194" t="str">
        <f ca="1">IFERROR(__xludf.DUMMYFUNCTION("""COMPUTED_VALUE"""),"30g")</f>
        <v>30g</v>
      </c>
      <c r="H884" s="183" t="s">
        <v>1897</v>
      </c>
      <c r="I884" s="170"/>
      <c r="J884" s="46" t="s">
        <v>605</v>
      </c>
      <c r="K884" s="170"/>
      <c r="L884" s="195">
        <v>5.59</v>
      </c>
      <c r="M884" s="202">
        <v>170</v>
      </c>
      <c r="N884" s="203">
        <v>1</v>
      </c>
      <c r="O884" s="61" t="str">
        <f ca="1">E884</f>
        <v>pck</v>
      </c>
      <c r="P884" s="61" t="s">
        <v>92</v>
      </c>
      <c r="Q884" s="170"/>
      <c r="R884" s="192" t="str">
        <f>CONCATENATE(N884,P884)</f>
        <v>1pieces</v>
      </c>
      <c r="S884" s="198">
        <f>M884*N884</f>
        <v>170</v>
      </c>
      <c r="T884" s="199" t="str">
        <f>CONCATENATE(S884,Q884,P884)</f>
        <v>170pieces</v>
      </c>
      <c r="U884" s="200">
        <f>L884*M884</f>
        <v>950.3</v>
      </c>
      <c r="V884" s="12"/>
      <c r="W884" s="12"/>
    </row>
    <row r="885" spans="1:23" x14ac:dyDescent="0.3">
      <c r="A885" s="479">
        <v>318</v>
      </c>
      <c r="B885" s="194" t="s">
        <v>394</v>
      </c>
      <c r="C885" s="170"/>
      <c r="D885" s="194" t="str">
        <f ca="1">IFERROR(__xludf.DUMMYFUNCTION("IF(J249="""",""n/a"",IFERROR(SPLIT(J249,""/"")))"),"M.Y Sanpack (10x30grams)")</f>
        <v>M.Y Sanpack (10x30grams)</v>
      </c>
      <c r="E885" s="170"/>
      <c r="F885" s="170"/>
      <c r="G885" s="170"/>
      <c r="H885" s="183" t="s">
        <v>1895</v>
      </c>
      <c r="I885" s="170"/>
      <c r="J885" s="46" t="s">
        <v>395</v>
      </c>
      <c r="K885" s="170"/>
      <c r="L885" s="195">
        <v>5.59</v>
      </c>
      <c r="M885" s="197">
        <v>480</v>
      </c>
      <c r="N885" s="61">
        <v>1</v>
      </c>
      <c r="O885" s="170">
        <f>E885</f>
        <v>0</v>
      </c>
      <c r="P885" s="61" t="s">
        <v>92</v>
      </c>
      <c r="Q885" s="170"/>
      <c r="R885" s="192" t="str">
        <f>CONCATENATE(N885,P885)</f>
        <v>1pieces</v>
      </c>
      <c r="S885" s="198">
        <f>M885*N885</f>
        <v>480</v>
      </c>
      <c r="T885" s="199" t="str">
        <f>CONCATENATE(S885,Q885,P885)</f>
        <v>480pieces</v>
      </c>
      <c r="U885" s="200">
        <f>L885*M885</f>
        <v>2683.2</v>
      </c>
      <c r="V885" s="12"/>
      <c r="W885" s="12"/>
    </row>
    <row r="886" spans="1:23" x14ac:dyDescent="0.3">
      <c r="A886" s="479">
        <v>319</v>
      </c>
      <c r="B886" s="194" t="s">
        <v>606</v>
      </c>
      <c r="C886" s="170"/>
      <c r="D886" s="194" t="str">
        <f ca="1">IFERROR(__xludf.DUMMYFUNCTION("IF(J250="""",""n/a"",IFERROR(SPLIT(J250,""/"")))"),"Hyco")</f>
        <v>Hyco</v>
      </c>
      <c r="E886" s="194" t="str">
        <f ca="1">IFERROR(__xludf.DUMMYFUNCTION("""COMPUTED_VALUE"""),"bottle")</f>
        <v>bottle</v>
      </c>
      <c r="F886" s="194" t="str">
        <f ca="1">IFERROR(__xludf.DUMMYFUNCTION("""COMPUTED_VALUE"""),"454grams")</f>
        <v>454grams</v>
      </c>
      <c r="G886" s="170"/>
      <c r="H886" s="183" t="s">
        <v>1897</v>
      </c>
      <c r="I886" s="170"/>
      <c r="J886" s="46" t="s">
        <v>607</v>
      </c>
      <c r="K886" s="170"/>
      <c r="L886" s="195">
        <v>1.1599999999999999</v>
      </c>
      <c r="M886" s="202">
        <v>125</v>
      </c>
      <c r="N886" s="203">
        <v>125</v>
      </c>
      <c r="O886" s="61" t="str">
        <f ca="1">E886</f>
        <v>bottle</v>
      </c>
      <c r="P886" s="61" t="s">
        <v>39</v>
      </c>
      <c r="Q886" s="170"/>
      <c r="R886" s="192" t="str">
        <f>CONCATENATE(N886,P886)</f>
        <v>125grams</v>
      </c>
      <c r="S886" s="198">
        <f>M886*N886</f>
        <v>15625</v>
      </c>
      <c r="T886" s="199" t="str">
        <f>CONCATENATE(S886,Q886,P886)</f>
        <v>15625grams</v>
      </c>
      <c r="U886" s="200">
        <f>L886*M886</f>
        <v>145</v>
      </c>
      <c r="V886" s="205"/>
      <c r="W886" s="62"/>
    </row>
    <row r="887" spans="1:23" x14ac:dyDescent="0.3">
      <c r="A887" s="193">
        <v>319</v>
      </c>
      <c r="B887" s="46" t="s">
        <v>606</v>
      </c>
      <c r="C887" s="170"/>
      <c r="D887" s="194"/>
      <c r="E887" s="194"/>
      <c r="F887" s="170"/>
      <c r="G887" s="170"/>
      <c r="H887" s="194" t="s">
        <v>2023</v>
      </c>
      <c r="I887" s="170"/>
      <c r="J887" s="46" t="s">
        <v>1225</v>
      </c>
      <c r="K887" s="170"/>
      <c r="L887" s="197">
        <v>120</v>
      </c>
      <c r="M887" s="197">
        <v>1</v>
      </c>
      <c r="N887" s="290">
        <v>454</v>
      </c>
      <c r="O887" s="46"/>
      <c r="P887" s="46" t="s">
        <v>39</v>
      </c>
      <c r="Q887" s="170"/>
      <c r="R887" s="192" t="str">
        <f>CONCATENATE(N887,P887)</f>
        <v>454grams</v>
      </c>
      <c r="S887" s="198">
        <f>M887*N887</f>
        <v>454</v>
      </c>
      <c r="T887" s="199" t="str">
        <f>CONCATENATE(S887,Q887,P887)</f>
        <v>454grams</v>
      </c>
      <c r="U887" s="200">
        <f>L887*M887</f>
        <v>120</v>
      </c>
      <c r="V887" s="12"/>
      <c r="W887" s="12"/>
    </row>
    <row r="888" spans="1:23" x14ac:dyDescent="0.3">
      <c r="A888" s="193">
        <v>320</v>
      </c>
      <c r="B888" s="46" t="s">
        <v>1226</v>
      </c>
      <c r="C888" s="170"/>
      <c r="D888" s="194"/>
      <c r="E888" s="194"/>
      <c r="F888" s="170"/>
      <c r="G888" s="170"/>
      <c r="H888" s="194" t="s">
        <v>2020</v>
      </c>
      <c r="I888" s="170"/>
      <c r="J888" s="46" t="s">
        <v>1227</v>
      </c>
      <c r="K888" s="170"/>
      <c r="L888" s="197">
        <v>32.5</v>
      </c>
      <c r="M888" s="197">
        <v>2</v>
      </c>
      <c r="N888" s="290">
        <v>20</v>
      </c>
      <c r="O888" s="46"/>
      <c r="P888" s="46" t="s">
        <v>32</v>
      </c>
      <c r="Q888" s="170"/>
      <c r="R888" s="192" t="str">
        <f>CONCATENATE(N888,P888)</f>
        <v>20ml</v>
      </c>
      <c r="S888" s="198">
        <f>M888*N888</f>
        <v>40</v>
      </c>
      <c r="T888" s="199" t="str">
        <f>CONCATENATE(S888,Q888,P888)</f>
        <v>40ml</v>
      </c>
      <c r="U888" s="200">
        <f>L888*M888</f>
        <v>65</v>
      </c>
      <c r="V888" s="12"/>
      <c r="W888" s="12"/>
    </row>
    <row r="889" spans="1:23" x14ac:dyDescent="0.3">
      <c r="A889" s="193">
        <v>321</v>
      </c>
      <c r="B889" s="46" t="s">
        <v>1228</v>
      </c>
      <c r="C889" s="170"/>
      <c r="D889" s="194"/>
      <c r="E889" s="170"/>
      <c r="F889" s="170"/>
      <c r="G889" s="170"/>
      <c r="H889" s="194" t="s">
        <v>2023</v>
      </c>
      <c r="I889" s="170"/>
      <c r="J889" s="46" t="s">
        <v>854</v>
      </c>
      <c r="K889" s="170"/>
      <c r="L889" s="197">
        <v>35</v>
      </c>
      <c r="M889" s="197">
        <v>1</v>
      </c>
      <c r="N889" s="290">
        <v>20</v>
      </c>
      <c r="O889" s="46"/>
      <c r="P889" s="46" t="s">
        <v>32</v>
      </c>
      <c r="Q889" s="170"/>
      <c r="R889" s="192" t="str">
        <f>CONCATENATE(N889,P889)</f>
        <v>20ml</v>
      </c>
      <c r="S889" s="198">
        <f>M889*N889</f>
        <v>20</v>
      </c>
      <c r="T889" s="199" t="str">
        <f>CONCATENATE(S889,Q889,P889)</f>
        <v>20ml</v>
      </c>
      <c r="U889" s="200">
        <f>L889*M889</f>
        <v>35</v>
      </c>
      <c r="V889" s="12"/>
      <c r="W889" s="12"/>
    </row>
    <row r="890" spans="1:23" x14ac:dyDescent="0.3">
      <c r="A890" s="193">
        <v>321</v>
      </c>
      <c r="B890" s="219" t="s">
        <v>1228</v>
      </c>
      <c r="C890" s="170"/>
      <c r="D890" s="194"/>
      <c r="E890" s="194"/>
      <c r="F890" s="170"/>
      <c r="G890" s="170"/>
      <c r="H890" s="194" t="s">
        <v>2021</v>
      </c>
      <c r="I890" s="170"/>
      <c r="J890" s="46" t="s">
        <v>854</v>
      </c>
      <c r="K890" s="170"/>
      <c r="L890" s="216">
        <v>38.5</v>
      </c>
      <c r="M890" s="216">
        <v>1</v>
      </c>
      <c r="N890" s="293">
        <v>20</v>
      </c>
      <c r="O890" s="219"/>
      <c r="P890" s="219" t="s">
        <v>32</v>
      </c>
      <c r="Q890" s="170"/>
      <c r="R890" s="192" t="str">
        <f>CONCATENATE(N890,P890)</f>
        <v>20ml</v>
      </c>
      <c r="S890" s="198">
        <f>M890*N890</f>
        <v>20</v>
      </c>
      <c r="T890" s="199" t="str">
        <f>CONCATENATE(S890,Q890,P890)</f>
        <v>20ml</v>
      </c>
      <c r="U890" s="200">
        <f>L890*M890</f>
        <v>38.5</v>
      </c>
      <c r="V890" s="12"/>
      <c r="W890" s="12"/>
    </row>
    <row r="891" spans="1:23" x14ac:dyDescent="0.3">
      <c r="A891" s="193">
        <v>321</v>
      </c>
      <c r="B891" s="219" t="s">
        <v>1228</v>
      </c>
      <c r="C891" s="170"/>
      <c r="D891" s="194"/>
      <c r="E891" s="170"/>
      <c r="F891" s="170"/>
      <c r="G891" s="170"/>
      <c r="H891" s="194" t="s">
        <v>2021</v>
      </c>
      <c r="I891" s="170"/>
      <c r="J891" s="46" t="s">
        <v>854</v>
      </c>
      <c r="K891" s="170"/>
      <c r="L891" s="216">
        <v>289</v>
      </c>
      <c r="M891" s="216">
        <v>2</v>
      </c>
      <c r="N891" s="293">
        <v>475</v>
      </c>
      <c r="O891" s="219"/>
      <c r="P891" s="219" t="s">
        <v>32</v>
      </c>
      <c r="Q891" s="170"/>
      <c r="R891" s="192" t="str">
        <f>CONCATENATE(N891,P891)</f>
        <v>475ml</v>
      </c>
      <c r="S891" s="198">
        <f>M891*N891</f>
        <v>950</v>
      </c>
      <c r="T891" s="199" t="str">
        <f>CONCATENATE(S891,Q891,P891)</f>
        <v>950ml</v>
      </c>
      <c r="U891" s="200">
        <f>L891*M891</f>
        <v>578</v>
      </c>
      <c r="V891" s="12"/>
      <c r="W891" s="12"/>
    </row>
    <row r="892" spans="1:23" x14ac:dyDescent="0.3">
      <c r="A892" s="193">
        <v>322</v>
      </c>
      <c r="B892" s="46" t="s">
        <v>1229</v>
      </c>
      <c r="C892" s="170"/>
      <c r="D892" s="194"/>
      <c r="E892" s="170"/>
      <c r="F892" s="170"/>
      <c r="G892" s="170"/>
      <c r="H892" s="194" t="s">
        <v>2026</v>
      </c>
      <c r="I892" s="170"/>
      <c r="J892" s="46" t="s">
        <v>854</v>
      </c>
      <c r="K892" s="170"/>
      <c r="L892" s="197">
        <v>48</v>
      </c>
      <c r="M892" s="197">
        <v>1</v>
      </c>
      <c r="N892" s="290">
        <v>20</v>
      </c>
      <c r="O892" s="46"/>
      <c r="P892" s="46" t="s">
        <v>32</v>
      </c>
      <c r="Q892" s="170"/>
      <c r="R892" s="192" t="str">
        <f>CONCATENATE(N892,P892)</f>
        <v>20ml</v>
      </c>
      <c r="S892" s="198">
        <f>M892*N892</f>
        <v>20</v>
      </c>
      <c r="T892" s="199" t="str">
        <f>CONCATENATE(S892,Q892,P892)</f>
        <v>20ml</v>
      </c>
      <c r="U892" s="200">
        <f>L892*M892</f>
        <v>48</v>
      </c>
      <c r="V892" s="12"/>
      <c r="W892" s="12"/>
    </row>
    <row r="893" spans="1:23" x14ac:dyDescent="0.3">
      <c r="A893" s="193">
        <v>322</v>
      </c>
      <c r="B893" s="46" t="s">
        <v>1229</v>
      </c>
      <c r="C893" s="170"/>
      <c r="D893" s="194"/>
      <c r="E893" s="170"/>
      <c r="F893" s="170"/>
      <c r="G893" s="170"/>
      <c r="H893" s="194" t="s">
        <v>2022</v>
      </c>
      <c r="I893" s="170"/>
      <c r="J893" s="46" t="s">
        <v>854</v>
      </c>
      <c r="K893" s="170"/>
      <c r="L893" s="197">
        <v>55</v>
      </c>
      <c r="M893" s="197">
        <v>1</v>
      </c>
      <c r="N893" s="290">
        <v>20</v>
      </c>
      <c r="O893" s="46"/>
      <c r="P893" s="46" t="s">
        <v>32</v>
      </c>
      <c r="Q893" s="170"/>
      <c r="R893" s="192" t="str">
        <f>CONCATENATE(N893,P893)</f>
        <v>20ml</v>
      </c>
      <c r="S893" s="198">
        <f>M893*N893</f>
        <v>20</v>
      </c>
      <c r="T893" s="199" t="str">
        <f>CONCATENATE(S893,Q893,P893)</f>
        <v>20ml</v>
      </c>
      <c r="U893" s="200">
        <f>L893*M893</f>
        <v>55</v>
      </c>
      <c r="V893" s="12"/>
      <c r="W893" s="12"/>
    </row>
    <row r="894" spans="1:23" x14ac:dyDescent="0.3">
      <c r="A894" s="193">
        <v>322</v>
      </c>
      <c r="B894" s="46" t="s">
        <v>1229</v>
      </c>
      <c r="C894" s="170"/>
      <c r="D894" s="194"/>
      <c r="E894" s="170"/>
      <c r="F894" s="170"/>
      <c r="G894" s="170"/>
      <c r="H894" s="194" t="s">
        <v>2021</v>
      </c>
      <c r="I894" s="170"/>
      <c r="J894" s="46" t="s">
        <v>854</v>
      </c>
      <c r="K894" s="170"/>
      <c r="L894" s="216">
        <v>45.75</v>
      </c>
      <c r="M894" s="216">
        <v>6</v>
      </c>
      <c r="N894" s="293">
        <v>20</v>
      </c>
      <c r="O894" s="219"/>
      <c r="P894" s="219" t="s">
        <v>32</v>
      </c>
      <c r="Q894" s="170"/>
      <c r="R894" s="192" t="str">
        <f>CONCATENATE(N894,P894)</f>
        <v>20ml</v>
      </c>
      <c r="S894" s="198">
        <f>M894*N894</f>
        <v>120</v>
      </c>
      <c r="T894" s="199" t="str">
        <f>CONCATENATE(S894,Q894,P894)</f>
        <v>120ml</v>
      </c>
      <c r="U894" s="200">
        <f>L894*M894</f>
        <v>274.5</v>
      </c>
      <c r="V894" s="12"/>
      <c r="W894" s="12"/>
    </row>
    <row r="895" spans="1:23" x14ac:dyDescent="0.3">
      <c r="A895" s="193">
        <v>323</v>
      </c>
      <c r="B895" s="46" t="s">
        <v>1230</v>
      </c>
      <c r="C895" s="170"/>
      <c r="D895" s="194"/>
      <c r="E895" s="194"/>
      <c r="F895" s="194"/>
      <c r="G895" s="170"/>
      <c r="H895" s="194" t="s">
        <v>2023</v>
      </c>
      <c r="I895" s="170"/>
      <c r="J895" s="46" t="s">
        <v>854</v>
      </c>
      <c r="K895" s="170"/>
      <c r="L895" s="197">
        <v>32</v>
      </c>
      <c r="M895" s="197">
        <v>1</v>
      </c>
      <c r="N895" s="290">
        <v>20</v>
      </c>
      <c r="O895" s="46"/>
      <c r="P895" s="46" t="s">
        <v>32</v>
      </c>
      <c r="Q895" s="170"/>
      <c r="R895" s="192" t="str">
        <f>CONCATENATE(N895,P895)</f>
        <v>20ml</v>
      </c>
      <c r="S895" s="198">
        <f>M895*N895</f>
        <v>20</v>
      </c>
      <c r="T895" s="199" t="str">
        <f>CONCATENATE(S895,Q895,P895)</f>
        <v>20ml</v>
      </c>
      <c r="U895" s="200">
        <f>L895*M895</f>
        <v>32</v>
      </c>
      <c r="V895" s="12"/>
      <c r="W895" s="12"/>
    </row>
    <row r="896" spans="1:23" x14ac:dyDescent="0.3">
      <c r="A896" s="193">
        <v>323</v>
      </c>
      <c r="B896" s="46" t="s">
        <v>1230</v>
      </c>
      <c r="C896" s="170"/>
      <c r="D896" s="194"/>
      <c r="E896" s="170"/>
      <c r="F896" s="170"/>
      <c r="G896" s="170"/>
      <c r="H896" s="194" t="s">
        <v>2022</v>
      </c>
      <c r="I896" s="170"/>
      <c r="J896" s="46" t="s">
        <v>854</v>
      </c>
      <c r="K896" s="170"/>
      <c r="L896" s="197">
        <v>55</v>
      </c>
      <c r="M896" s="197">
        <v>1</v>
      </c>
      <c r="N896" s="290">
        <v>20</v>
      </c>
      <c r="O896" s="46"/>
      <c r="P896" s="46" t="s">
        <v>32</v>
      </c>
      <c r="Q896" s="170"/>
      <c r="R896" s="192" t="str">
        <f>CONCATENATE(N896,P896)</f>
        <v>20ml</v>
      </c>
      <c r="S896" s="198">
        <f>M896*N896</f>
        <v>20</v>
      </c>
      <c r="T896" s="199" t="str">
        <f>CONCATENATE(S896,Q896,P896)</f>
        <v>20ml</v>
      </c>
      <c r="U896" s="200">
        <f>L896*M896</f>
        <v>55</v>
      </c>
      <c r="V896" s="12"/>
      <c r="W896" s="12"/>
    </row>
    <row r="897" spans="1:23" x14ac:dyDescent="0.3">
      <c r="A897" s="193">
        <v>324</v>
      </c>
      <c r="B897" s="219" t="s">
        <v>1231</v>
      </c>
      <c r="C897" s="170"/>
      <c r="D897" s="194"/>
      <c r="E897" s="170"/>
      <c r="F897" s="170"/>
      <c r="G897" s="170"/>
      <c r="H897" s="194" t="s">
        <v>2021</v>
      </c>
      <c r="I897" s="170"/>
      <c r="J897" s="46" t="s">
        <v>854</v>
      </c>
      <c r="K897" s="170"/>
      <c r="L897" s="216">
        <v>53</v>
      </c>
      <c r="M897" s="216">
        <v>2</v>
      </c>
      <c r="N897" s="293">
        <v>60</v>
      </c>
      <c r="O897" s="219"/>
      <c r="P897" s="219" t="s">
        <v>32</v>
      </c>
      <c r="Q897" s="170"/>
      <c r="R897" s="192" t="str">
        <f>CONCATENATE(N897,P897)</f>
        <v>60ml</v>
      </c>
      <c r="S897" s="198">
        <f>M897*N897</f>
        <v>120</v>
      </c>
      <c r="T897" s="199" t="str">
        <f>CONCATENATE(S897,Q897,P897)</f>
        <v>120ml</v>
      </c>
      <c r="U897" s="200">
        <f>L897*M897</f>
        <v>106</v>
      </c>
      <c r="V897" s="12"/>
      <c r="W897" s="12"/>
    </row>
    <row r="898" spans="1:23" x14ac:dyDescent="0.3">
      <c r="A898" s="193">
        <v>325</v>
      </c>
      <c r="B898" s="219" t="s">
        <v>1232</v>
      </c>
      <c r="C898" s="170"/>
      <c r="D898" s="194"/>
      <c r="E898" s="194"/>
      <c r="F898" s="170"/>
      <c r="G898" s="170"/>
      <c r="H898" s="194" t="s">
        <v>2021</v>
      </c>
      <c r="I898" s="170"/>
      <c r="J898" s="46" t="s">
        <v>854</v>
      </c>
      <c r="K898" s="170"/>
      <c r="L898" s="216">
        <v>60</v>
      </c>
      <c r="M898" s="216">
        <v>1</v>
      </c>
      <c r="N898" s="293">
        <v>20</v>
      </c>
      <c r="O898" s="219"/>
      <c r="P898" s="219" t="s">
        <v>32</v>
      </c>
      <c r="Q898" s="170"/>
      <c r="R898" s="192" t="str">
        <f>CONCATENATE(N898,P898)</f>
        <v>20ml</v>
      </c>
      <c r="S898" s="198">
        <f>M898*N898</f>
        <v>20</v>
      </c>
      <c r="T898" s="199" t="str">
        <f>CONCATENATE(S898,Q898,P898)</f>
        <v>20ml</v>
      </c>
      <c r="U898" s="200">
        <f>L898*M898</f>
        <v>60</v>
      </c>
      <c r="V898" s="12"/>
      <c r="W898" s="12"/>
    </row>
    <row r="899" spans="1:23" x14ac:dyDescent="0.3">
      <c r="A899" s="193">
        <v>326</v>
      </c>
      <c r="B899" s="46" t="s">
        <v>1233</v>
      </c>
      <c r="C899" s="170"/>
      <c r="D899" s="194"/>
      <c r="E899" s="194"/>
      <c r="F899" s="194"/>
      <c r="G899" s="170"/>
      <c r="H899" s="194" t="s">
        <v>2026</v>
      </c>
      <c r="I899" s="170"/>
      <c r="J899" s="46" t="s">
        <v>1234</v>
      </c>
      <c r="K899" s="170"/>
      <c r="L899" s="197">
        <v>329</v>
      </c>
      <c r="M899" s="197">
        <v>1</v>
      </c>
      <c r="N899" s="290">
        <v>500</v>
      </c>
      <c r="O899" s="46"/>
      <c r="P899" s="46" t="s">
        <v>39</v>
      </c>
      <c r="Q899" s="170"/>
      <c r="R899" s="192" t="str">
        <f>CONCATENATE(N899,P899)</f>
        <v>500grams</v>
      </c>
      <c r="S899" s="198">
        <f>M899*N899</f>
        <v>500</v>
      </c>
      <c r="T899" s="199" t="str">
        <f>CONCATENATE(S899,Q899,P899)</f>
        <v>500grams</v>
      </c>
      <c r="U899" s="200">
        <f>L899*M899</f>
        <v>329</v>
      </c>
      <c r="V899" s="12"/>
      <c r="W899" s="12"/>
    </row>
    <row r="900" spans="1:23" x14ac:dyDescent="0.3">
      <c r="A900" s="193">
        <v>326</v>
      </c>
      <c r="B900" s="46" t="s">
        <v>1233</v>
      </c>
      <c r="C900" s="170"/>
      <c r="D900" s="194"/>
      <c r="E900" s="170"/>
      <c r="F900" s="170"/>
      <c r="G900" s="170"/>
      <c r="H900" s="194" t="s">
        <v>2022</v>
      </c>
      <c r="I900" s="170"/>
      <c r="J900" s="46" t="s">
        <v>854</v>
      </c>
      <c r="K900" s="170"/>
      <c r="L900" s="197">
        <v>55</v>
      </c>
      <c r="M900" s="197">
        <v>1</v>
      </c>
      <c r="N900" s="290">
        <v>20</v>
      </c>
      <c r="O900" s="46"/>
      <c r="P900" s="46" t="s">
        <v>32</v>
      </c>
      <c r="Q900" s="170"/>
      <c r="R900" s="192" t="str">
        <f>CONCATENATE(N900,P900)</f>
        <v>20ml</v>
      </c>
      <c r="S900" s="198">
        <f>M900*N900</f>
        <v>20</v>
      </c>
      <c r="T900" s="199" t="str">
        <f>CONCATENATE(S900,Q900,P900)</f>
        <v>20ml</v>
      </c>
      <c r="U900" s="200">
        <f>L900*M900</f>
        <v>55</v>
      </c>
      <c r="V900" s="12"/>
      <c r="W900" s="12"/>
    </row>
    <row r="901" spans="1:23" x14ac:dyDescent="0.3">
      <c r="A901" s="193">
        <v>326</v>
      </c>
      <c r="B901" s="46" t="s">
        <v>1233</v>
      </c>
      <c r="C901" s="170"/>
      <c r="D901" s="194"/>
      <c r="E901" s="194"/>
      <c r="F901" s="194"/>
      <c r="G901" s="170"/>
      <c r="H901" s="194" t="s">
        <v>2021</v>
      </c>
      <c r="I901" s="170"/>
      <c r="J901" s="46" t="s">
        <v>854</v>
      </c>
      <c r="K901" s="170"/>
      <c r="L901" s="216">
        <v>45</v>
      </c>
      <c r="M901" s="216">
        <v>2</v>
      </c>
      <c r="N901" s="293">
        <v>20</v>
      </c>
      <c r="O901" s="219"/>
      <c r="P901" s="219" t="s">
        <v>32</v>
      </c>
      <c r="Q901" s="170"/>
      <c r="R901" s="192" t="str">
        <f>CONCATENATE(N901,P901)</f>
        <v>20ml</v>
      </c>
      <c r="S901" s="198">
        <f>M901*N901</f>
        <v>40</v>
      </c>
      <c r="T901" s="199" t="str">
        <f>CONCATENATE(S901,Q901,P901)</f>
        <v>40ml</v>
      </c>
      <c r="U901" s="200">
        <f>L901*M901</f>
        <v>90</v>
      </c>
      <c r="V901" s="12"/>
      <c r="W901" s="12"/>
    </row>
    <row r="902" spans="1:23" x14ac:dyDescent="0.3">
      <c r="A902" s="479">
        <v>327</v>
      </c>
      <c r="B902" s="194" t="s">
        <v>608</v>
      </c>
      <c r="C902" s="170"/>
      <c r="D902" s="194" t="str">
        <f ca="1">IFERROR(__xludf.DUMMYFUNCTION("IF(J251="""",""n/a"",IFERROR(SPLIT(J251,""/"")))"),"Good Foods")</f>
        <v>Good Foods</v>
      </c>
      <c r="E902" s="194" t="str">
        <f ca="1">IFERROR(__xludf.DUMMYFUNCTION("""COMPUTED_VALUE"""),"100grams")</f>
        <v>100grams</v>
      </c>
      <c r="F902" s="194" t="str">
        <f ca="1">IFERROR(__xludf.DUMMYFUNCTION("""COMPUTED_VALUE"""),"pack")</f>
        <v>pack</v>
      </c>
      <c r="G902" s="170"/>
      <c r="H902" s="206" t="s">
        <v>1898</v>
      </c>
      <c r="I902" s="170"/>
      <c r="J902" s="46" t="s">
        <v>609</v>
      </c>
      <c r="K902" s="170"/>
      <c r="L902" s="197">
        <v>0.41</v>
      </c>
      <c r="M902" s="386">
        <v>300</v>
      </c>
      <c r="N902" s="208">
        <v>100</v>
      </c>
      <c r="O902" s="61" t="str">
        <f ca="1">E902</f>
        <v>100grams</v>
      </c>
      <c r="P902" s="61" t="s">
        <v>39</v>
      </c>
      <c r="Q902" s="170"/>
      <c r="R902" s="192" t="str">
        <f>CONCATENATE(N902,P902)</f>
        <v>100grams</v>
      </c>
      <c r="S902" s="198">
        <f>M902*N902</f>
        <v>30000</v>
      </c>
      <c r="T902" s="199" t="str">
        <f>CONCATENATE(S902,Q902,P902)</f>
        <v>30000grams</v>
      </c>
      <c r="U902" s="200">
        <f>L902*M902</f>
        <v>122.99999999999999</v>
      </c>
      <c r="V902" s="12"/>
      <c r="W902" s="12"/>
    </row>
    <row r="903" spans="1:23" x14ac:dyDescent="0.3">
      <c r="A903" s="193">
        <v>328</v>
      </c>
      <c r="B903" s="46" t="s">
        <v>1930</v>
      </c>
      <c r="C903" s="215"/>
      <c r="D903" s="194"/>
      <c r="E903" s="215"/>
      <c r="F903" s="215"/>
      <c r="G903" s="215"/>
      <c r="H903" s="400" t="s">
        <v>2027</v>
      </c>
      <c r="I903" s="170"/>
      <c r="J903" s="170"/>
      <c r="K903" s="170"/>
      <c r="L903" s="195">
        <v>300</v>
      </c>
      <c r="M903" s="197">
        <v>1</v>
      </c>
      <c r="N903" s="360">
        <v>1</v>
      </c>
      <c r="O903" s="61"/>
      <c r="P903" s="61" t="s">
        <v>92</v>
      </c>
      <c r="Q903" s="170"/>
      <c r="R903" s="192" t="str">
        <f>CONCATENATE(N903,P903)</f>
        <v>1pieces</v>
      </c>
      <c r="S903" s="198">
        <f>M903*N903</f>
        <v>1</v>
      </c>
      <c r="T903" s="199" t="str">
        <f>CONCATENATE(S903,Q903,P903)</f>
        <v>1pieces</v>
      </c>
      <c r="U903" s="200">
        <f>L903*M903</f>
        <v>300</v>
      </c>
      <c r="V903" s="12"/>
      <c r="W903" s="12"/>
    </row>
    <row r="904" spans="1:23" x14ac:dyDescent="0.3">
      <c r="A904" s="193">
        <v>329</v>
      </c>
      <c r="B904" s="46" t="s">
        <v>1235</v>
      </c>
      <c r="C904" s="170"/>
      <c r="D904" s="194"/>
      <c r="E904" s="194"/>
      <c r="F904" s="194"/>
      <c r="G904" s="170"/>
      <c r="H904" s="194" t="s">
        <v>2024</v>
      </c>
      <c r="I904" s="170"/>
      <c r="J904" s="46" t="s">
        <v>1236</v>
      </c>
      <c r="K904" s="170"/>
      <c r="L904" s="197">
        <v>175</v>
      </c>
      <c r="M904" s="197">
        <v>2</v>
      </c>
      <c r="N904" s="290">
        <v>1000</v>
      </c>
      <c r="O904" s="46"/>
      <c r="P904" s="46" t="s">
        <v>39</v>
      </c>
      <c r="Q904" s="170"/>
      <c r="R904" s="192" t="str">
        <f>CONCATENATE(N904,P904)</f>
        <v>1000grams</v>
      </c>
      <c r="S904" s="198">
        <f>M904*N904</f>
        <v>2000</v>
      </c>
      <c r="T904" s="199" t="str">
        <f>CONCATENATE(S904,Q904,P904)</f>
        <v>2000grams</v>
      </c>
      <c r="U904" s="200">
        <f>L904*M904</f>
        <v>350</v>
      </c>
      <c r="V904" s="12"/>
      <c r="W904" s="12"/>
    </row>
    <row r="905" spans="1:23" x14ac:dyDescent="0.3">
      <c r="A905" s="193">
        <v>329</v>
      </c>
      <c r="B905" s="46" t="s">
        <v>1235</v>
      </c>
      <c r="C905" s="170"/>
      <c r="D905" s="194"/>
      <c r="E905" s="170"/>
      <c r="F905" s="170"/>
      <c r="G905" s="170"/>
      <c r="H905" s="194" t="s">
        <v>2023</v>
      </c>
      <c r="I905" s="170"/>
      <c r="J905" s="46" t="s">
        <v>1236</v>
      </c>
      <c r="K905" s="170"/>
      <c r="L905" s="197">
        <v>179</v>
      </c>
      <c r="M905" s="197">
        <v>3</v>
      </c>
      <c r="N905" s="290">
        <v>1000</v>
      </c>
      <c r="O905" s="46"/>
      <c r="P905" s="46" t="s">
        <v>39</v>
      </c>
      <c r="Q905" s="170"/>
      <c r="R905" s="192" t="str">
        <f>CONCATENATE(N905,P905)</f>
        <v>1000grams</v>
      </c>
      <c r="S905" s="198">
        <f>M905*N905</f>
        <v>3000</v>
      </c>
      <c r="T905" s="199" t="str">
        <f>CONCATENATE(S905,Q905,P905)</f>
        <v>3000grams</v>
      </c>
      <c r="U905" s="200">
        <f>L905*M905</f>
        <v>537</v>
      </c>
      <c r="V905" s="12"/>
      <c r="W905" s="12"/>
    </row>
    <row r="906" spans="1:23" x14ac:dyDescent="0.3">
      <c r="A906" s="193">
        <v>330</v>
      </c>
      <c r="B906" s="46" t="s">
        <v>1237</v>
      </c>
      <c r="C906" s="170"/>
      <c r="D906" s="194"/>
      <c r="E906" s="194"/>
      <c r="F906" s="170"/>
      <c r="G906" s="170"/>
      <c r="H906" s="194" t="s">
        <v>2026</v>
      </c>
      <c r="I906" s="170"/>
      <c r="J906" s="46" t="s">
        <v>1238</v>
      </c>
      <c r="K906" s="170"/>
      <c r="L906" s="197">
        <v>193</v>
      </c>
      <c r="M906" s="197">
        <v>2</v>
      </c>
      <c r="N906" s="290">
        <v>1000</v>
      </c>
      <c r="O906" s="60"/>
      <c r="P906" s="60" t="s">
        <v>39</v>
      </c>
      <c r="Q906" s="170"/>
      <c r="R906" s="192" t="str">
        <f>CONCATENATE(N906,P906)</f>
        <v>1000grams</v>
      </c>
      <c r="S906" s="198">
        <f>M906*N906</f>
        <v>2000</v>
      </c>
      <c r="T906" s="199" t="str">
        <f>CONCATENATE(S906,Q906,P906)</f>
        <v>2000grams</v>
      </c>
      <c r="U906" s="200">
        <f>L906*M906</f>
        <v>386</v>
      </c>
      <c r="V906" s="12"/>
      <c r="W906" s="12"/>
    </row>
    <row r="907" spans="1:23" x14ac:dyDescent="0.3">
      <c r="A907" s="479">
        <v>331</v>
      </c>
      <c r="B907" s="194" t="s">
        <v>610</v>
      </c>
      <c r="C907" s="170"/>
      <c r="D907" s="194" t="str">
        <f ca="1">IFERROR(__xludf.DUMMYFUNCTION("IF(J252="""",""n/a"",IFERROR(SPLIT(J252,""/"")))"),"n/a")</f>
        <v>n/a</v>
      </c>
      <c r="E907" s="170"/>
      <c r="F907" s="170"/>
      <c r="G907" s="170"/>
      <c r="H907" s="206" t="s">
        <v>1898</v>
      </c>
      <c r="I907" s="170"/>
      <c r="J907" s="170"/>
      <c r="K907" s="170"/>
      <c r="L907" s="197">
        <v>181.39</v>
      </c>
      <c r="M907" s="385">
        <v>24</v>
      </c>
      <c r="N907" s="208">
        <v>1</v>
      </c>
      <c r="O907" s="170">
        <f>E907</f>
        <v>0</v>
      </c>
      <c r="P907" s="61" t="s">
        <v>92</v>
      </c>
      <c r="Q907" s="170"/>
      <c r="R907" s="192" t="str">
        <f>CONCATENATE(N907,P907)</f>
        <v>1pieces</v>
      </c>
      <c r="S907" s="198">
        <f>M907*N907</f>
        <v>24</v>
      </c>
      <c r="T907" s="199" t="str">
        <f>CONCATENATE(S907,Q907,P907)</f>
        <v>24pieces</v>
      </c>
      <c r="U907" s="200">
        <f>L907*M907</f>
        <v>4353.3599999999997</v>
      </c>
      <c r="V907" s="12"/>
      <c r="W907" s="12"/>
    </row>
    <row r="908" spans="1:23" x14ac:dyDescent="0.3">
      <c r="A908" s="193">
        <v>332</v>
      </c>
      <c r="B908" s="46" t="s">
        <v>1239</v>
      </c>
      <c r="C908" s="170"/>
      <c r="D908" s="194"/>
      <c r="E908" s="170"/>
      <c r="F908" s="170"/>
      <c r="G908" s="170"/>
      <c r="H908" s="194" t="s">
        <v>2024</v>
      </c>
      <c r="I908" s="170"/>
      <c r="J908" s="170"/>
      <c r="K908" s="170"/>
      <c r="L908" s="197">
        <v>145</v>
      </c>
      <c r="M908" s="197">
        <v>1</v>
      </c>
      <c r="N908" s="290">
        <v>1</v>
      </c>
      <c r="O908" s="46"/>
      <c r="P908" s="46" t="s">
        <v>213</v>
      </c>
      <c r="Q908" s="170"/>
      <c r="R908" s="192" t="str">
        <f>CONCATENATE(N908,P908)</f>
        <v>1kilos</v>
      </c>
      <c r="S908" s="198">
        <f>M908*N908</f>
        <v>1</v>
      </c>
      <c r="T908" s="199" t="str">
        <f>CONCATENATE(S908,Q908,P908)</f>
        <v>1kilos</v>
      </c>
      <c r="U908" s="200">
        <f>L908*M908</f>
        <v>145</v>
      </c>
      <c r="V908" s="12"/>
      <c r="W908" s="12"/>
    </row>
    <row r="909" spans="1:23" x14ac:dyDescent="0.3">
      <c r="A909" s="193">
        <v>332</v>
      </c>
      <c r="B909" s="46" t="s">
        <v>1239</v>
      </c>
      <c r="C909" s="170"/>
      <c r="D909" s="194"/>
      <c r="E909" s="194"/>
      <c r="F909" s="170"/>
      <c r="G909" s="170"/>
      <c r="H909" s="194" t="s">
        <v>2022</v>
      </c>
      <c r="I909" s="170"/>
      <c r="J909" s="46" t="s">
        <v>912</v>
      </c>
      <c r="K909" s="170"/>
      <c r="L909" s="197">
        <v>180</v>
      </c>
      <c r="M909" s="197">
        <v>1</v>
      </c>
      <c r="N909" s="290">
        <v>1000</v>
      </c>
      <c r="O909" s="46"/>
      <c r="P909" s="46" t="s">
        <v>39</v>
      </c>
      <c r="Q909" s="170"/>
      <c r="R909" s="192" t="str">
        <f>CONCATENATE(N909,P909)</f>
        <v>1000grams</v>
      </c>
      <c r="S909" s="198">
        <f>M909*N909</f>
        <v>1000</v>
      </c>
      <c r="T909" s="199" t="str">
        <f>CONCATENATE(S909,Q909,P909)</f>
        <v>1000grams</v>
      </c>
      <c r="U909" s="200">
        <f>L909*M909</f>
        <v>180</v>
      </c>
      <c r="V909" s="12"/>
      <c r="W909" s="12"/>
    </row>
    <row r="910" spans="1:23" x14ac:dyDescent="0.3">
      <c r="A910" s="479">
        <v>333</v>
      </c>
      <c r="B910" s="194" t="s">
        <v>175</v>
      </c>
      <c r="C910" s="170"/>
      <c r="D910" s="194" t="str">
        <f ca="1">IFERROR(__xludf.DUMMYFUNCTION("IF(J253="""",""n/a"",IFERROR(SPLIT(J253,""/"")))"),"Today's")</f>
        <v>Today's</v>
      </c>
      <c r="E910" s="194" t="str">
        <f ca="1">IFERROR(__xludf.DUMMYFUNCTION("""COMPUTED_VALUE"""),"can")</f>
        <v>can</v>
      </c>
      <c r="F910" s="194" t="str">
        <f ca="1">IFERROR(__xludf.DUMMYFUNCTION("""COMPUTED_VALUE"""),"836grams")</f>
        <v>836grams</v>
      </c>
      <c r="G910" s="194" t="str">
        <f ca="1">IFERROR(__xludf.DUMMYFUNCTION("""COMPUTED_VALUE"""),"422drainedweight")</f>
        <v>422drainedweight</v>
      </c>
      <c r="H910" s="183" t="s">
        <v>1897</v>
      </c>
      <c r="I910" s="170"/>
      <c r="J910" s="46" t="s">
        <v>611</v>
      </c>
      <c r="K910" s="170"/>
      <c r="L910" s="195">
        <v>0.21</v>
      </c>
      <c r="M910" s="202">
        <v>422</v>
      </c>
      <c r="N910" s="203">
        <v>422</v>
      </c>
      <c r="O910" s="61" t="str">
        <f ca="1">E910</f>
        <v>can</v>
      </c>
      <c r="P910" s="61" t="s">
        <v>39</v>
      </c>
      <c r="Q910" s="170"/>
      <c r="R910" s="192" t="str">
        <f>CONCATENATE(N910,P910)</f>
        <v>422grams</v>
      </c>
      <c r="S910" s="198">
        <f>M910*N910</f>
        <v>178084</v>
      </c>
      <c r="T910" s="199" t="str">
        <f>CONCATENATE(S910,Q910,P910)</f>
        <v>178084grams</v>
      </c>
      <c r="U910" s="200">
        <f>L910*M910</f>
        <v>88.61999999999999</v>
      </c>
      <c r="V910" s="205"/>
      <c r="W910" s="62"/>
    </row>
    <row r="911" spans="1:23" x14ac:dyDescent="0.3">
      <c r="A911" s="479">
        <v>333</v>
      </c>
      <c r="B911" s="194" t="s">
        <v>175</v>
      </c>
      <c r="C911" s="170"/>
      <c r="D911" s="194" t="str">
        <f ca="1">IFERROR(__xludf.DUMMYFUNCTION("IF(J254="""",""n/a"",IFERROR(SPLIT(J254,""/"")))"),"Today's")</f>
        <v>Today's</v>
      </c>
      <c r="E911" s="194" t="str">
        <f ca="1">IFERROR(__xludf.DUMMYFUNCTION("""COMPUTED_VALUE"""),"can")</f>
        <v>can</v>
      </c>
      <c r="F911" s="194" t="str">
        <f ca="1">IFERROR(__xludf.DUMMYFUNCTION("""COMPUTED_VALUE"""),"3033grams")</f>
        <v>3033grams</v>
      </c>
      <c r="G911" s="170"/>
      <c r="H911" s="183" t="s">
        <v>1895</v>
      </c>
      <c r="I911" s="170"/>
      <c r="J911" s="46" t="s">
        <v>176</v>
      </c>
      <c r="K911" s="170"/>
      <c r="L911" s="195">
        <v>253.33</v>
      </c>
      <c r="M911" s="197">
        <v>2</v>
      </c>
      <c r="N911" s="61">
        <v>1</v>
      </c>
      <c r="O911" s="61" t="str">
        <f ca="1">E911</f>
        <v>can</v>
      </c>
      <c r="P911" s="61" t="s">
        <v>39</v>
      </c>
      <c r="Q911" s="170"/>
      <c r="R911" s="192" t="str">
        <f>CONCATENATE(N911,P911)</f>
        <v>1grams</v>
      </c>
      <c r="S911" s="198">
        <f>M911*N911</f>
        <v>2</v>
      </c>
      <c r="T911" s="199" t="str">
        <f>CONCATENATE(S911,Q911,P911)</f>
        <v>2grams</v>
      </c>
      <c r="U911" s="200">
        <f>L911*M911</f>
        <v>506.66</v>
      </c>
      <c r="V911" s="12"/>
      <c r="W911" s="12"/>
    </row>
    <row r="912" spans="1:23" x14ac:dyDescent="0.3">
      <c r="A912" s="479">
        <v>333</v>
      </c>
      <c r="B912" s="194" t="s">
        <v>175</v>
      </c>
      <c r="C912" s="170"/>
      <c r="D912" s="194" t="str">
        <f ca="1">IFERROR(__xludf.DUMMYFUNCTION("IF(J255="""",""n/a"",IFERROR(SPLIT(J255,""/"")))"),"n/a")</f>
        <v>n/a</v>
      </c>
      <c r="E912" s="170"/>
      <c r="F912" s="170"/>
      <c r="G912" s="170"/>
      <c r="H912" s="206" t="s">
        <v>1898</v>
      </c>
      <c r="I912" s="170"/>
      <c r="J912" s="170"/>
      <c r="K912" s="170"/>
      <c r="L912" s="197">
        <v>0.16</v>
      </c>
      <c r="M912" s="386">
        <v>3104</v>
      </c>
      <c r="N912" s="208">
        <v>1552</v>
      </c>
      <c r="O912" s="170">
        <f>E912</f>
        <v>0</v>
      </c>
      <c r="P912" s="61" t="s">
        <v>39</v>
      </c>
      <c r="Q912" s="170"/>
      <c r="R912" s="192" t="str">
        <f>CONCATENATE(N912,P912)</f>
        <v>1552grams</v>
      </c>
      <c r="S912" s="198">
        <f>M912*N912</f>
        <v>4817408</v>
      </c>
      <c r="T912" s="199" t="str">
        <f>CONCATENATE(S912,Q912,P912)</f>
        <v>4817408grams</v>
      </c>
      <c r="U912" s="200">
        <f>L912*M912</f>
        <v>496.64</v>
      </c>
      <c r="V912" s="12"/>
      <c r="W912" s="12"/>
    </row>
    <row r="913" spans="1:23" x14ac:dyDescent="0.3">
      <c r="A913" s="193">
        <v>333</v>
      </c>
      <c r="B913" s="46" t="s">
        <v>175</v>
      </c>
      <c r="C913" s="170"/>
      <c r="D913" s="194"/>
      <c r="E913" s="194"/>
      <c r="F913" s="194"/>
      <c r="G913" s="170"/>
      <c r="H913" s="194" t="s">
        <v>2024</v>
      </c>
      <c r="I913" s="170"/>
      <c r="J913" s="46" t="s">
        <v>1240</v>
      </c>
      <c r="K913" s="170"/>
      <c r="L913" s="197">
        <v>166.49</v>
      </c>
      <c r="M913" s="197">
        <v>3</v>
      </c>
      <c r="N913" s="290">
        <v>3033</v>
      </c>
      <c r="O913" s="46"/>
      <c r="P913" s="46" t="s">
        <v>39</v>
      </c>
      <c r="Q913" s="170"/>
      <c r="R913" s="192" t="str">
        <f>CONCATENATE(N913,P913)</f>
        <v>3033grams</v>
      </c>
      <c r="S913" s="198">
        <f>M913*N913</f>
        <v>9099</v>
      </c>
      <c r="T913" s="199" t="str">
        <f>CONCATENATE(S913,Q913,P913)</f>
        <v>9099grams</v>
      </c>
      <c r="U913" s="200">
        <f>L913*M913</f>
        <v>499.47</v>
      </c>
      <c r="V913" s="12"/>
      <c r="W913" s="12"/>
    </row>
    <row r="914" spans="1:23" x14ac:dyDescent="0.3">
      <c r="A914" s="193">
        <v>333</v>
      </c>
      <c r="B914" s="46" t="s">
        <v>175</v>
      </c>
      <c r="C914" s="170"/>
      <c r="D914" s="194"/>
      <c r="E914" s="170"/>
      <c r="F914" s="170"/>
      <c r="G914" s="170"/>
      <c r="H914" s="194" t="s">
        <v>2026</v>
      </c>
      <c r="I914" s="170"/>
      <c r="J914" s="46" t="s">
        <v>1240</v>
      </c>
      <c r="K914" s="170"/>
      <c r="L914" s="197">
        <v>89.5</v>
      </c>
      <c r="M914" s="197">
        <v>2</v>
      </c>
      <c r="N914" s="290">
        <v>422</v>
      </c>
      <c r="O914" s="46"/>
      <c r="P914" s="46" t="s">
        <v>519</v>
      </c>
      <c r="Q914" s="170"/>
      <c r="R914" s="192" t="str">
        <f>CONCATENATE(N914,P914)</f>
        <v>422drained weight grams</v>
      </c>
      <c r="S914" s="198">
        <f>M914*N914</f>
        <v>844</v>
      </c>
      <c r="T914" s="199" t="str">
        <f>CONCATENATE(S914,Q914,P914)</f>
        <v>844drained weight grams</v>
      </c>
      <c r="U914" s="200">
        <f>L914*M914</f>
        <v>179</v>
      </c>
      <c r="V914" s="12"/>
      <c r="W914" s="12"/>
    </row>
    <row r="915" spans="1:23" x14ac:dyDescent="0.3">
      <c r="A915" s="193">
        <v>333</v>
      </c>
      <c r="B915" s="46" t="s">
        <v>175</v>
      </c>
      <c r="C915" s="170"/>
      <c r="D915" s="194"/>
      <c r="E915" s="194"/>
      <c r="F915" s="170"/>
      <c r="G915" s="170"/>
      <c r="H915" s="194" t="s">
        <v>2022</v>
      </c>
      <c r="I915" s="170"/>
      <c r="J915" s="46" t="s">
        <v>1241</v>
      </c>
      <c r="K915" s="170"/>
      <c r="L915" s="197">
        <v>69</v>
      </c>
      <c r="M915" s="197">
        <v>5</v>
      </c>
      <c r="N915" s="290">
        <v>266</v>
      </c>
      <c r="O915" s="46"/>
      <c r="P915" s="46" t="s">
        <v>39</v>
      </c>
      <c r="Q915" s="170"/>
      <c r="R915" s="192" t="str">
        <f>CONCATENATE(N915,P915)</f>
        <v>266grams</v>
      </c>
      <c r="S915" s="198">
        <f>M915*N915</f>
        <v>1330</v>
      </c>
      <c r="T915" s="199" t="str">
        <f>CONCATENATE(S915,Q915,P915)</f>
        <v>1330grams</v>
      </c>
      <c r="U915" s="200">
        <f>L915*M915</f>
        <v>345</v>
      </c>
      <c r="V915" s="12"/>
      <c r="W915" s="12"/>
    </row>
    <row r="916" spans="1:23" x14ac:dyDescent="0.3">
      <c r="A916" s="193">
        <v>333</v>
      </c>
      <c r="B916" s="46" t="s">
        <v>175</v>
      </c>
      <c r="C916" s="170"/>
      <c r="D916" s="194"/>
      <c r="E916" s="194"/>
      <c r="F916" s="194"/>
      <c r="G916" s="170"/>
      <c r="H916" s="194" t="s">
        <v>2022</v>
      </c>
      <c r="I916" s="170"/>
      <c r="J916" s="46" t="s">
        <v>1241</v>
      </c>
      <c r="K916" s="170"/>
      <c r="L916" s="197">
        <v>309</v>
      </c>
      <c r="M916" s="197">
        <v>6</v>
      </c>
      <c r="N916" s="290">
        <v>3033</v>
      </c>
      <c r="O916" s="46"/>
      <c r="P916" s="46" t="s">
        <v>39</v>
      </c>
      <c r="Q916" s="170"/>
      <c r="R916" s="192" t="str">
        <f>CONCATENATE(N916,P916)</f>
        <v>3033grams</v>
      </c>
      <c r="S916" s="198">
        <f>M916*N916</f>
        <v>18198</v>
      </c>
      <c r="T916" s="199" t="str">
        <f>CONCATENATE(S916,Q916,P916)</f>
        <v>18198grams</v>
      </c>
      <c r="U916" s="200">
        <f>L916*M916</f>
        <v>1854</v>
      </c>
      <c r="V916" s="12"/>
      <c r="W916" s="12"/>
    </row>
    <row r="917" spans="1:23" x14ac:dyDescent="0.3">
      <c r="A917" s="479">
        <v>334</v>
      </c>
      <c r="B917" s="194" t="s">
        <v>612</v>
      </c>
      <c r="C917" s="170"/>
      <c r="D917" s="194" t="str">
        <f ca="1">IFERROR(__xludf.DUMMYFUNCTION("IF(J256="""",""n/a"",IFERROR(SPLIT(J256,""/"")))"),"n/a")</f>
        <v>n/a</v>
      </c>
      <c r="E917" s="170"/>
      <c r="F917" s="170"/>
      <c r="G917" s="170"/>
      <c r="H917" s="206" t="s">
        <v>1898</v>
      </c>
      <c r="I917" s="170"/>
      <c r="J917" s="170"/>
      <c r="K917" s="170"/>
      <c r="L917" s="197">
        <v>0.96</v>
      </c>
      <c r="M917" s="385">
        <v>60</v>
      </c>
      <c r="N917" s="207">
        <v>24</v>
      </c>
      <c r="O917" s="170">
        <f>E917</f>
        <v>0</v>
      </c>
      <c r="P917" s="209" t="s">
        <v>92</v>
      </c>
      <c r="Q917" s="170"/>
      <c r="R917" s="192" t="str">
        <f>CONCATENATE(N917,P917)</f>
        <v>24pieces</v>
      </c>
      <c r="S917" s="198">
        <f>M917*N917</f>
        <v>1440</v>
      </c>
      <c r="T917" s="199" t="str">
        <f>CONCATENATE(S917,Q917,P917)</f>
        <v>1440pieces</v>
      </c>
      <c r="U917" s="200">
        <f>L917*M917</f>
        <v>57.599999999999994</v>
      </c>
      <c r="V917" s="12"/>
      <c r="W917" s="12"/>
    </row>
    <row r="918" spans="1:23" x14ac:dyDescent="0.3">
      <c r="A918" s="479">
        <v>335</v>
      </c>
      <c r="B918" s="194" t="s">
        <v>613</v>
      </c>
      <c r="C918" s="170"/>
      <c r="D918" s="194" t="str">
        <f ca="1">IFERROR(__xludf.DUMMYFUNCTION("IF(J257="""",""n/a"",IFERROR(SPLIT(J257,""/"")))"),"n/a")</f>
        <v>n/a</v>
      </c>
      <c r="E918" s="170"/>
      <c r="F918" s="170"/>
      <c r="G918" s="170"/>
      <c r="H918" s="206" t="s">
        <v>1898</v>
      </c>
      <c r="I918" s="170"/>
      <c r="J918" s="170"/>
      <c r="K918" s="170"/>
      <c r="L918" s="197">
        <v>0.96</v>
      </c>
      <c r="M918" s="385">
        <v>49</v>
      </c>
      <c r="N918" s="207">
        <v>24</v>
      </c>
      <c r="O918" s="170">
        <f>E918</f>
        <v>0</v>
      </c>
      <c r="P918" s="209" t="s">
        <v>92</v>
      </c>
      <c r="Q918" s="170"/>
      <c r="R918" s="192" t="str">
        <f>CONCATENATE(N918,P918)</f>
        <v>24pieces</v>
      </c>
      <c r="S918" s="198">
        <f>M918*N918</f>
        <v>1176</v>
      </c>
      <c r="T918" s="199" t="str">
        <f>CONCATENATE(S918,Q918,P918)</f>
        <v>1176pieces</v>
      </c>
      <c r="U918" s="200">
        <f>L918*M918</f>
        <v>47.04</v>
      </c>
      <c r="V918" s="12"/>
      <c r="W918" s="12"/>
    </row>
    <row r="919" spans="1:23" x14ac:dyDescent="0.3">
      <c r="A919" s="479">
        <v>336</v>
      </c>
      <c r="B919" s="194" t="s">
        <v>614</v>
      </c>
      <c r="C919" s="170"/>
      <c r="D919" s="194" t="str">
        <f ca="1">IFERROR(__xludf.DUMMYFUNCTION("IF(J258="""",""n/a"",IFERROR(SPLIT(J258,""/"")))"),"n/a")</f>
        <v>n/a</v>
      </c>
      <c r="E919" s="170"/>
      <c r="F919" s="170"/>
      <c r="G919" s="170"/>
      <c r="H919" s="206" t="s">
        <v>1898</v>
      </c>
      <c r="I919" s="170"/>
      <c r="J919" s="170"/>
      <c r="K919" s="170"/>
      <c r="L919" s="197">
        <v>10.72</v>
      </c>
      <c r="M919" s="385">
        <v>41</v>
      </c>
      <c r="N919" s="207">
        <v>1</v>
      </c>
      <c r="O919" s="170">
        <f>E919</f>
        <v>0</v>
      </c>
      <c r="P919" s="209" t="s">
        <v>92</v>
      </c>
      <c r="Q919" s="170"/>
      <c r="R919" s="192" t="str">
        <f>CONCATENATE(N919,P919)</f>
        <v>1pieces</v>
      </c>
      <c r="S919" s="198">
        <f>M919*N919</f>
        <v>41</v>
      </c>
      <c r="T919" s="199" t="str">
        <f>CONCATENATE(S919,Q919,P919)</f>
        <v>41pieces</v>
      </c>
      <c r="U919" s="200">
        <f>L919*M919</f>
        <v>439.52000000000004</v>
      </c>
      <c r="V919" s="12"/>
      <c r="W919" s="12"/>
    </row>
    <row r="920" spans="1:23" x14ac:dyDescent="0.3">
      <c r="A920" s="479">
        <v>337</v>
      </c>
      <c r="B920" s="194" t="s">
        <v>615</v>
      </c>
      <c r="C920" s="170"/>
      <c r="D920" s="194" t="str">
        <f ca="1">IFERROR(__xludf.DUMMYFUNCTION("IF(J259="""",""n/a"",IFERROR(SPLIT(J259,""/"")))"),"n/a")</f>
        <v>n/a</v>
      </c>
      <c r="E920" s="170"/>
      <c r="F920" s="170"/>
      <c r="G920" s="170"/>
      <c r="H920" s="206" t="s">
        <v>1898</v>
      </c>
      <c r="I920" s="170"/>
      <c r="J920" s="170"/>
      <c r="K920" s="170"/>
      <c r="L920" s="197">
        <v>8.64</v>
      </c>
      <c r="M920" s="385">
        <v>54</v>
      </c>
      <c r="N920" s="207">
        <v>48</v>
      </c>
      <c r="O920" s="170">
        <f>E920</f>
        <v>0</v>
      </c>
      <c r="P920" s="209" t="s">
        <v>92</v>
      </c>
      <c r="Q920" s="170"/>
      <c r="R920" s="192" t="str">
        <f>CONCATENATE(N920,P920)</f>
        <v>48pieces</v>
      </c>
      <c r="S920" s="198">
        <f>M920*N920</f>
        <v>2592</v>
      </c>
      <c r="T920" s="199" t="str">
        <f>CONCATENATE(S920,Q920,P920)</f>
        <v>2592pieces</v>
      </c>
      <c r="U920" s="200">
        <f>L920*M920</f>
        <v>466.56000000000006</v>
      </c>
      <c r="V920" s="12"/>
      <c r="W920" s="12"/>
    </row>
    <row r="921" spans="1:23" x14ac:dyDescent="0.3">
      <c r="A921" s="479">
        <v>338</v>
      </c>
      <c r="B921" s="194" t="s">
        <v>396</v>
      </c>
      <c r="C921" s="170"/>
      <c r="D921" s="194" t="str">
        <f ca="1">IFERROR(__xludf.DUMMYFUNCTION("IF(J260="""",""n/a"",IFERROR(SPLIT(J260,""/"")))"),"Suncrest Food")</f>
        <v>Suncrest Food</v>
      </c>
      <c r="E921" s="194" t="str">
        <f ca="1">IFERROR(__xludf.DUMMYFUNCTION("""COMPUTED_VALUE"""),"pack (10pcsx41grams)")</f>
        <v>pack (10pcsx41grams)</v>
      </c>
      <c r="F921" s="170"/>
      <c r="G921" s="170"/>
      <c r="H921" s="183" t="s">
        <v>1895</v>
      </c>
      <c r="I921" s="170"/>
      <c r="J921" s="46" t="s">
        <v>397</v>
      </c>
      <c r="K921" s="170"/>
      <c r="L921" s="195">
        <v>7.51</v>
      </c>
      <c r="M921" s="197">
        <v>320</v>
      </c>
      <c r="N921" s="61">
        <v>1</v>
      </c>
      <c r="O921" s="61" t="str">
        <f ca="1">E921</f>
        <v>pack (10pcsx41grams)</v>
      </c>
      <c r="P921" s="61" t="s">
        <v>92</v>
      </c>
      <c r="Q921" s="170"/>
      <c r="R921" s="192" t="str">
        <f>CONCATENATE(N921,P921)</f>
        <v>1pieces</v>
      </c>
      <c r="S921" s="198">
        <f>M921*N921</f>
        <v>320</v>
      </c>
      <c r="T921" s="199" t="str">
        <f>CONCATENATE(S921,Q921,P921)</f>
        <v>320pieces</v>
      </c>
      <c r="U921" s="200">
        <f>L921*M921</f>
        <v>2403.1999999999998</v>
      </c>
      <c r="V921" s="12"/>
      <c r="W921" s="12"/>
    </row>
    <row r="922" spans="1:23" x14ac:dyDescent="0.3">
      <c r="A922" s="479">
        <v>339</v>
      </c>
      <c r="B922" s="194" t="s">
        <v>616</v>
      </c>
      <c r="C922" s="170"/>
      <c r="D922" s="194" t="str">
        <f ca="1">IFERROR(__xludf.DUMMYFUNCTION("IF(J261="""",""n/a"",IFERROR(SPLIT(J261,""/"")))"),"n/a")</f>
        <v>n/a</v>
      </c>
      <c r="E922" s="170"/>
      <c r="F922" s="170"/>
      <c r="G922" s="170"/>
      <c r="H922" s="206" t="s">
        <v>1898</v>
      </c>
      <c r="I922" s="170"/>
      <c r="J922" s="170"/>
      <c r="K922" s="170"/>
      <c r="L922" s="197">
        <v>0.21</v>
      </c>
      <c r="M922" s="386">
        <v>500</v>
      </c>
      <c r="N922" s="208">
        <v>500</v>
      </c>
      <c r="O922" s="170">
        <f>E922</f>
        <v>0</v>
      </c>
      <c r="P922" s="61" t="s">
        <v>39</v>
      </c>
      <c r="Q922" s="170"/>
      <c r="R922" s="192" t="str">
        <f>CONCATENATE(N922,P922)</f>
        <v>500grams</v>
      </c>
      <c r="S922" s="198">
        <f>M922*N922</f>
        <v>250000</v>
      </c>
      <c r="T922" s="199" t="str">
        <f>CONCATENATE(S922,Q922,P922)</f>
        <v>250000grams</v>
      </c>
      <c r="U922" s="200">
        <f>L922*M922</f>
        <v>105</v>
      </c>
      <c r="V922" s="12"/>
      <c r="W922" s="12"/>
    </row>
    <row r="923" spans="1:23" x14ac:dyDescent="0.3">
      <c r="A923" s="193">
        <v>340</v>
      </c>
      <c r="B923" s="46" t="s">
        <v>1242</v>
      </c>
      <c r="C923" s="170"/>
      <c r="D923" s="194"/>
      <c r="E923" s="194"/>
      <c r="F923" s="194"/>
      <c r="G923" s="170"/>
      <c r="H923" s="194" t="s">
        <v>1368</v>
      </c>
      <c r="I923" s="170"/>
      <c r="J923" s="170"/>
      <c r="K923" s="170"/>
      <c r="L923" s="197">
        <v>35</v>
      </c>
      <c r="M923" s="197">
        <v>3</v>
      </c>
      <c r="N923" s="290">
        <v>1000</v>
      </c>
      <c r="O923" s="46"/>
      <c r="P923" s="46" t="s">
        <v>39</v>
      </c>
      <c r="Q923" s="170"/>
      <c r="R923" s="192" t="str">
        <f>CONCATENATE(N923,P923)</f>
        <v>1000grams</v>
      </c>
      <c r="S923" s="198">
        <f>M923*N923</f>
        <v>3000</v>
      </c>
      <c r="T923" s="199" t="str">
        <f>CONCATENATE(S923,Q923,P923)</f>
        <v>3000grams</v>
      </c>
      <c r="U923" s="200">
        <f>L923*M923</f>
        <v>105</v>
      </c>
      <c r="V923" s="12"/>
      <c r="W923" s="12"/>
    </row>
    <row r="924" spans="1:23" x14ac:dyDescent="0.3">
      <c r="A924" s="193">
        <v>341</v>
      </c>
      <c r="B924" s="46" t="s">
        <v>1243</v>
      </c>
      <c r="C924" s="170"/>
      <c r="D924" s="194"/>
      <c r="E924" s="194"/>
      <c r="F924" s="194"/>
      <c r="G924" s="170"/>
      <c r="H924" s="194" t="s">
        <v>2024</v>
      </c>
      <c r="I924" s="170"/>
      <c r="J924" s="170"/>
      <c r="K924" s="170"/>
      <c r="L924" s="197">
        <v>320</v>
      </c>
      <c r="M924" s="197">
        <v>7</v>
      </c>
      <c r="N924" s="290">
        <v>1</v>
      </c>
      <c r="O924" s="46"/>
      <c r="P924" s="46" t="s">
        <v>213</v>
      </c>
      <c r="Q924" s="170"/>
      <c r="R924" s="192" t="str">
        <f>CONCATENATE(N924,P924)</f>
        <v>1kilos</v>
      </c>
      <c r="S924" s="198">
        <f>M924*N924</f>
        <v>7</v>
      </c>
      <c r="T924" s="199" t="str">
        <f>CONCATENATE(S924,Q924,P924)</f>
        <v>7kilos</v>
      </c>
      <c r="U924" s="200">
        <f>L924*M924</f>
        <v>2240</v>
      </c>
      <c r="V924" s="12"/>
      <c r="W924" s="12"/>
    </row>
    <row r="925" spans="1:23" x14ac:dyDescent="0.3">
      <c r="A925" s="193">
        <v>341</v>
      </c>
      <c r="B925" s="46" t="s">
        <v>1243</v>
      </c>
      <c r="C925" s="170"/>
      <c r="D925" s="194"/>
      <c r="E925" s="170"/>
      <c r="F925" s="170"/>
      <c r="G925" s="170"/>
      <c r="H925" s="194" t="s">
        <v>2025</v>
      </c>
      <c r="I925" s="170"/>
      <c r="J925" s="170"/>
      <c r="K925" s="170"/>
      <c r="L925" s="197">
        <v>320</v>
      </c>
      <c r="M925" s="197">
        <v>4</v>
      </c>
      <c r="N925" s="290">
        <v>1</v>
      </c>
      <c r="O925" s="46"/>
      <c r="P925" s="46" t="s">
        <v>213</v>
      </c>
      <c r="Q925" s="170"/>
      <c r="R925" s="192" t="str">
        <f>CONCATENATE(N925,P925)</f>
        <v>1kilos</v>
      </c>
      <c r="S925" s="198">
        <f>M925*N925</f>
        <v>4</v>
      </c>
      <c r="T925" s="199" t="str">
        <f>CONCATENATE(S925,Q925,P925)</f>
        <v>4kilos</v>
      </c>
      <c r="U925" s="200">
        <f>L925*M925</f>
        <v>1280</v>
      </c>
      <c r="V925" s="12"/>
      <c r="W925" s="12"/>
    </row>
    <row r="926" spans="1:23" x14ac:dyDescent="0.3">
      <c r="A926" s="193">
        <v>341</v>
      </c>
      <c r="B926" s="46" t="s">
        <v>1243</v>
      </c>
      <c r="C926" s="170"/>
      <c r="D926" s="194"/>
      <c r="E926" s="170"/>
      <c r="F926" s="170"/>
      <c r="G926" s="170"/>
      <c r="H926" s="194" t="s">
        <v>2026</v>
      </c>
      <c r="I926" s="170"/>
      <c r="J926" s="170"/>
      <c r="K926" s="170"/>
      <c r="L926" s="197">
        <v>250</v>
      </c>
      <c r="M926" s="197">
        <v>2</v>
      </c>
      <c r="N926" s="290">
        <v>1000</v>
      </c>
      <c r="O926" s="46"/>
      <c r="P926" s="46" t="s">
        <v>39</v>
      </c>
      <c r="Q926" s="170"/>
      <c r="R926" s="192" t="str">
        <f>CONCATENATE(N926,P926)</f>
        <v>1000grams</v>
      </c>
      <c r="S926" s="198">
        <f>M926*N926</f>
        <v>2000</v>
      </c>
      <c r="T926" s="199" t="str">
        <f>CONCATENATE(S926,Q926,P926)</f>
        <v>2000grams</v>
      </c>
      <c r="U926" s="200">
        <f>L926*M926</f>
        <v>500</v>
      </c>
      <c r="V926" s="12"/>
      <c r="W926" s="12"/>
    </row>
    <row r="927" spans="1:23" x14ac:dyDescent="0.3">
      <c r="A927" s="479">
        <v>342</v>
      </c>
      <c r="B927" s="194" t="s">
        <v>177</v>
      </c>
      <c r="C927" s="170"/>
      <c r="D927" s="194" t="str">
        <f ca="1">IFERROR(__xludf.DUMMYFUNCTION("IF(J262="""",""n/a"",IFERROR(SPLIT(J262,""/"")))"),"Ram")</f>
        <v>Ram</v>
      </c>
      <c r="E927" s="194" t="str">
        <f ca="1">IFERROR(__xludf.DUMMYFUNCTION("""COMPUTED_VALUE"""),"can")</f>
        <v>can</v>
      </c>
      <c r="F927" s="194" t="str">
        <f ca="1">IFERROR(__xludf.DUMMYFUNCTION("""COMPUTED_VALUE"""),"450grams")</f>
        <v>450grams</v>
      </c>
      <c r="G927" s="170"/>
      <c r="H927" s="183" t="s">
        <v>1897</v>
      </c>
      <c r="I927" s="170"/>
      <c r="J927" s="46" t="s">
        <v>178</v>
      </c>
      <c r="K927" s="170"/>
      <c r="L927" s="195">
        <v>0.1</v>
      </c>
      <c r="M927" s="202">
        <v>1350</v>
      </c>
      <c r="N927" s="203">
        <v>450</v>
      </c>
      <c r="O927" s="61" t="str">
        <f ca="1">E927</f>
        <v>can</v>
      </c>
      <c r="P927" s="61" t="s">
        <v>519</v>
      </c>
      <c r="Q927" s="170"/>
      <c r="R927" s="192" t="str">
        <f>CONCATENATE(N927,P927)</f>
        <v>450drained weight grams</v>
      </c>
      <c r="S927" s="198">
        <f>M927*N927</f>
        <v>607500</v>
      </c>
      <c r="T927" s="199" t="str">
        <f>CONCATENATE(S927,Q927,P927)</f>
        <v>607500drained weight grams</v>
      </c>
      <c r="U927" s="200">
        <f>L927*M927</f>
        <v>135</v>
      </c>
      <c r="V927" s="205"/>
      <c r="W927" s="62"/>
    </row>
    <row r="928" spans="1:23" x14ac:dyDescent="0.3">
      <c r="A928" s="479">
        <v>342</v>
      </c>
      <c r="B928" s="214" t="s">
        <v>177</v>
      </c>
      <c r="C928" s="215"/>
      <c r="D928" s="194" t="str">
        <f ca="1">IFERROR(__xludf.DUMMYFUNCTION("IF(J263="""",""n/a"",IFERROR(SPLIT(J263,""/"")))"),"Ram")</f>
        <v>Ram</v>
      </c>
      <c r="E928" s="214" t="str">
        <f ca="1">IFERROR(__xludf.DUMMYFUNCTION("""COMPUTED_VALUE"""),"can")</f>
        <v>can</v>
      </c>
      <c r="F928" s="214" t="str">
        <f ca="1">IFERROR(__xludf.DUMMYFUNCTION("""COMPUTED_VALUE"""),"450grams")</f>
        <v>450grams</v>
      </c>
      <c r="G928" s="215"/>
      <c r="H928" s="183" t="s">
        <v>1895</v>
      </c>
      <c r="I928" s="170"/>
      <c r="J928" s="46" t="s">
        <v>178</v>
      </c>
      <c r="K928" s="170"/>
      <c r="L928" s="195">
        <v>47.2</v>
      </c>
      <c r="M928" s="197">
        <v>1</v>
      </c>
      <c r="N928" s="61">
        <v>1</v>
      </c>
      <c r="O928" s="61" t="str">
        <f ca="1">E928</f>
        <v>can</v>
      </c>
      <c r="P928" s="61" t="s">
        <v>519</v>
      </c>
      <c r="Q928" s="170"/>
      <c r="R928" s="192" t="str">
        <f>CONCATENATE(N928,P928)</f>
        <v>1drained weight grams</v>
      </c>
      <c r="S928" s="198">
        <f>M928*N928</f>
        <v>1</v>
      </c>
      <c r="T928" s="199" t="str">
        <f>CONCATENATE(S928,Q928,P928)</f>
        <v>1drained weight grams</v>
      </c>
      <c r="U928" s="200">
        <f>L928*M928</f>
        <v>47.2</v>
      </c>
      <c r="V928" s="12"/>
      <c r="W928" s="12"/>
    </row>
    <row r="929" spans="1:23" x14ac:dyDescent="0.3">
      <c r="A929" s="479">
        <v>342</v>
      </c>
      <c r="B929" s="194" t="s">
        <v>177</v>
      </c>
      <c r="C929" s="170"/>
      <c r="D929" s="194" t="str">
        <f ca="1">IFERROR(__xludf.DUMMYFUNCTION("IF(J264="""",""n/a"",IFERROR(SPLIT(J264,""/"")))"),"n/a")</f>
        <v>n/a</v>
      </c>
      <c r="E929" s="170"/>
      <c r="F929" s="170"/>
      <c r="G929" s="170"/>
      <c r="H929" s="206" t="s">
        <v>1898</v>
      </c>
      <c r="I929" s="170"/>
      <c r="J929" s="170"/>
      <c r="K929" s="170"/>
      <c r="L929" s="197">
        <v>0.24</v>
      </c>
      <c r="M929" s="385">
        <v>791</v>
      </c>
      <c r="N929" s="208">
        <v>113</v>
      </c>
      <c r="O929" s="170">
        <f>E929</f>
        <v>0</v>
      </c>
      <c r="P929" s="61" t="s">
        <v>39</v>
      </c>
      <c r="Q929" s="170"/>
      <c r="R929" s="192" t="str">
        <f>CONCATENATE(N929,P929)</f>
        <v>113grams</v>
      </c>
      <c r="S929" s="198">
        <f>M929*N929</f>
        <v>89383</v>
      </c>
      <c r="T929" s="199" t="str">
        <f>CONCATENATE(S929,Q929,P929)</f>
        <v>89383grams</v>
      </c>
      <c r="U929" s="200">
        <f>L929*M929</f>
        <v>189.84</v>
      </c>
      <c r="V929" s="12"/>
      <c r="W929" s="12"/>
    </row>
    <row r="930" spans="1:23" x14ac:dyDescent="0.3">
      <c r="A930" s="193">
        <v>342</v>
      </c>
      <c r="B930" s="46" t="s">
        <v>177</v>
      </c>
      <c r="C930" s="170"/>
      <c r="D930" s="194"/>
      <c r="E930" s="194"/>
      <c r="F930" s="170"/>
      <c r="G930" s="170"/>
      <c r="H930" s="194" t="s">
        <v>2024</v>
      </c>
      <c r="I930" s="170"/>
      <c r="J930" s="46" t="s">
        <v>959</v>
      </c>
      <c r="K930" s="170"/>
      <c r="L930" s="197">
        <v>27.2</v>
      </c>
      <c r="M930" s="197">
        <v>3</v>
      </c>
      <c r="N930" s="290">
        <v>113</v>
      </c>
      <c r="O930" s="46"/>
      <c r="P930" s="46" t="s">
        <v>39</v>
      </c>
      <c r="Q930" s="170"/>
      <c r="R930" s="192" t="str">
        <f>CONCATENATE(N930,P930)</f>
        <v>113grams</v>
      </c>
      <c r="S930" s="198">
        <f>M930*N930</f>
        <v>339</v>
      </c>
      <c r="T930" s="199" t="str">
        <f>CONCATENATE(S930,Q930,P930)</f>
        <v>339grams</v>
      </c>
      <c r="U930" s="200">
        <f>L930*M930</f>
        <v>81.599999999999994</v>
      </c>
      <c r="V930" s="12"/>
      <c r="W930" s="12"/>
    </row>
    <row r="931" spans="1:23" x14ac:dyDescent="0.3">
      <c r="A931" s="193">
        <v>342</v>
      </c>
      <c r="B931" s="46" t="s">
        <v>177</v>
      </c>
      <c r="C931" s="170"/>
      <c r="D931" s="194"/>
      <c r="E931" s="194"/>
      <c r="F931" s="170"/>
      <c r="G931" s="170"/>
      <c r="H931" s="194" t="s">
        <v>2025</v>
      </c>
      <c r="I931" s="170"/>
      <c r="J931" s="46" t="s">
        <v>959</v>
      </c>
      <c r="K931" s="170"/>
      <c r="L931" s="197">
        <v>47.2</v>
      </c>
      <c r="M931" s="197">
        <v>6</v>
      </c>
      <c r="N931" s="290">
        <v>225</v>
      </c>
      <c r="O931" s="46"/>
      <c r="P931" s="46" t="s">
        <v>519</v>
      </c>
      <c r="Q931" s="170"/>
      <c r="R931" s="192" t="str">
        <f>CONCATENATE(N931,P931)</f>
        <v>225drained weight grams</v>
      </c>
      <c r="S931" s="198">
        <f>M931*N931</f>
        <v>1350</v>
      </c>
      <c r="T931" s="199" t="str">
        <f>CONCATENATE(S931,Q931,P931)</f>
        <v>1350drained weight grams</v>
      </c>
      <c r="U931" s="200">
        <f>L931*M931</f>
        <v>283.20000000000005</v>
      </c>
      <c r="V931" s="12"/>
      <c r="W931" s="12"/>
    </row>
    <row r="932" spans="1:23" x14ac:dyDescent="0.3">
      <c r="A932" s="193">
        <v>342</v>
      </c>
      <c r="B932" s="46" t="s">
        <v>177</v>
      </c>
      <c r="C932" s="170"/>
      <c r="D932" s="194"/>
      <c r="E932" s="194"/>
      <c r="F932" s="170"/>
      <c r="G932" s="170"/>
      <c r="H932" s="194" t="s">
        <v>2026</v>
      </c>
      <c r="I932" s="170"/>
      <c r="J932" s="46" t="s">
        <v>959</v>
      </c>
      <c r="K932" s="170"/>
      <c r="L932" s="197">
        <v>27.2</v>
      </c>
      <c r="M932" s="197">
        <v>2</v>
      </c>
      <c r="N932" s="290">
        <v>113</v>
      </c>
      <c r="O932" s="46"/>
      <c r="P932" s="46" t="s">
        <v>519</v>
      </c>
      <c r="Q932" s="170"/>
      <c r="R932" s="192" t="str">
        <f>CONCATENATE(N932,P932)</f>
        <v>113drained weight grams</v>
      </c>
      <c r="S932" s="198">
        <f>M932*N932</f>
        <v>226</v>
      </c>
      <c r="T932" s="199" t="str">
        <f>CONCATENATE(S932,Q932,P932)</f>
        <v>226drained weight grams</v>
      </c>
      <c r="U932" s="200">
        <f>L932*M932</f>
        <v>54.4</v>
      </c>
      <c r="V932" s="12"/>
      <c r="W932" s="12"/>
    </row>
    <row r="933" spans="1:23" x14ac:dyDescent="0.3">
      <c r="A933" s="193">
        <v>342</v>
      </c>
      <c r="B933" s="46" t="s">
        <v>177</v>
      </c>
      <c r="C933" s="170"/>
      <c r="D933" s="194"/>
      <c r="E933" s="170"/>
      <c r="F933" s="170"/>
      <c r="G933" s="170"/>
      <c r="H933" s="194" t="s">
        <v>2023</v>
      </c>
      <c r="I933" s="170"/>
      <c r="J933" s="46" t="s">
        <v>1244</v>
      </c>
      <c r="K933" s="170"/>
      <c r="L933" s="197">
        <v>48</v>
      </c>
      <c r="M933" s="197">
        <v>17</v>
      </c>
      <c r="N933" s="290">
        <v>113</v>
      </c>
      <c r="O933" s="46"/>
      <c r="P933" s="46" t="s">
        <v>519</v>
      </c>
      <c r="Q933" s="170"/>
      <c r="R933" s="192" t="str">
        <f>CONCATENATE(N933,P933)</f>
        <v>113drained weight grams</v>
      </c>
      <c r="S933" s="198">
        <f>M933*N933</f>
        <v>1921</v>
      </c>
      <c r="T933" s="199" t="str">
        <f>CONCATENATE(S933,Q933,P933)</f>
        <v>1921drained weight grams</v>
      </c>
      <c r="U933" s="200">
        <f>L933*M933</f>
        <v>816</v>
      </c>
      <c r="V933" s="12"/>
      <c r="W933" s="12"/>
    </row>
    <row r="934" spans="1:23" x14ac:dyDescent="0.3">
      <c r="A934" s="193">
        <v>342</v>
      </c>
      <c r="B934" s="46" t="s">
        <v>177</v>
      </c>
      <c r="C934" s="170"/>
      <c r="D934" s="194"/>
      <c r="E934" s="194"/>
      <c r="F934" s="194"/>
      <c r="G934" s="170"/>
      <c r="H934" s="194" t="s">
        <v>2022</v>
      </c>
      <c r="I934" s="170"/>
      <c r="J934" s="46" t="s">
        <v>959</v>
      </c>
      <c r="K934" s="170"/>
      <c r="L934" s="197">
        <v>47.2</v>
      </c>
      <c r="M934" s="197">
        <v>2</v>
      </c>
      <c r="N934" s="290">
        <v>450</v>
      </c>
      <c r="O934" s="46"/>
      <c r="P934" s="46" t="s">
        <v>39</v>
      </c>
      <c r="Q934" s="170"/>
      <c r="R934" s="192" t="str">
        <f>CONCATENATE(N934,P934)</f>
        <v>450grams</v>
      </c>
      <c r="S934" s="198">
        <f>M934*N934</f>
        <v>900</v>
      </c>
      <c r="T934" s="199" t="str">
        <f>CONCATENATE(S934,Q934,P934)</f>
        <v>900grams</v>
      </c>
      <c r="U934" s="200">
        <f>L934*M934</f>
        <v>94.4</v>
      </c>
      <c r="V934" s="12"/>
      <c r="W934" s="12"/>
    </row>
    <row r="935" spans="1:23" x14ac:dyDescent="0.3">
      <c r="A935" s="193">
        <v>342</v>
      </c>
      <c r="B935" s="219" t="s">
        <v>177</v>
      </c>
      <c r="C935" s="215"/>
      <c r="D935" s="194"/>
      <c r="E935" s="214"/>
      <c r="F935" s="214"/>
      <c r="G935" s="215"/>
      <c r="H935" s="194" t="s">
        <v>2021</v>
      </c>
      <c r="I935" s="170"/>
      <c r="J935" s="219" t="s">
        <v>865</v>
      </c>
      <c r="K935" s="170"/>
      <c r="L935" s="216">
        <v>28.5</v>
      </c>
      <c r="M935" s="216">
        <v>3</v>
      </c>
      <c r="N935" s="293">
        <v>225</v>
      </c>
      <c r="O935" s="219"/>
      <c r="P935" s="219" t="s">
        <v>39</v>
      </c>
      <c r="Q935" s="170"/>
      <c r="R935" s="192" t="str">
        <f>CONCATENATE(N935,P935)</f>
        <v>225grams</v>
      </c>
      <c r="S935" s="198">
        <f>M935*N935</f>
        <v>675</v>
      </c>
      <c r="T935" s="199" t="str">
        <f>CONCATENATE(S935,Q935,P935)</f>
        <v>675grams</v>
      </c>
      <c r="U935" s="200">
        <f>L935*M935</f>
        <v>85.5</v>
      </c>
      <c r="V935" s="12"/>
      <c r="W935" s="12"/>
    </row>
    <row r="936" spans="1:23" x14ac:dyDescent="0.3">
      <c r="A936" s="193">
        <v>342</v>
      </c>
      <c r="B936" s="219" t="s">
        <v>177</v>
      </c>
      <c r="C936" s="170"/>
      <c r="D936" s="194"/>
      <c r="E936" s="170"/>
      <c r="F936" s="170"/>
      <c r="G936" s="170"/>
      <c r="H936" s="194" t="s">
        <v>2021</v>
      </c>
      <c r="I936" s="170"/>
      <c r="J936" s="219" t="s">
        <v>959</v>
      </c>
      <c r="K936" s="170"/>
      <c r="L936" s="216">
        <v>47.2</v>
      </c>
      <c r="M936" s="216">
        <v>2</v>
      </c>
      <c r="N936" s="293">
        <v>450</v>
      </c>
      <c r="O936" s="219"/>
      <c r="P936" s="219" t="s">
        <v>39</v>
      </c>
      <c r="Q936" s="170"/>
      <c r="R936" s="192" t="str">
        <f>CONCATENATE(N936,P936)</f>
        <v>450grams</v>
      </c>
      <c r="S936" s="198">
        <f>M936*N936</f>
        <v>900</v>
      </c>
      <c r="T936" s="199" t="str">
        <f>CONCATENATE(S936,Q936,P936)</f>
        <v>900grams</v>
      </c>
      <c r="U936" s="200">
        <f>L936*M936</f>
        <v>94.4</v>
      </c>
      <c r="V936" s="12"/>
      <c r="W936" s="12"/>
    </row>
    <row r="937" spans="1:23" x14ac:dyDescent="0.3">
      <c r="A937" s="193">
        <v>342</v>
      </c>
      <c r="B937" s="46" t="s">
        <v>177</v>
      </c>
      <c r="C937" s="215"/>
      <c r="D937" s="194"/>
      <c r="E937" s="215"/>
      <c r="F937" s="215"/>
      <c r="G937" s="215"/>
      <c r="H937" s="400" t="s">
        <v>2027</v>
      </c>
      <c r="I937" s="170"/>
      <c r="J937" s="46" t="s">
        <v>959</v>
      </c>
      <c r="K937" s="170"/>
      <c r="L937" s="195">
        <v>34</v>
      </c>
      <c r="M937" s="197">
        <v>2</v>
      </c>
      <c r="N937" s="360">
        <v>1</v>
      </c>
      <c r="O937" s="61"/>
      <c r="P937" s="61" t="s">
        <v>39</v>
      </c>
      <c r="Q937" s="170"/>
      <c r="R937" s="192" t="str">
        <f>CONCATENATE(N937,P937)</f>
        <v>1grams</v>
      </c>
      <c r="S937" s="198">
        <f>M937*N937</f>
        <v>2</v>
      </c>
      <c r="T937" s="199" t="str">
        <f>CONCATENATE(S937,Q937,P937)</f>
        <v>2grams</v>
      </c>
      <c r="U937" s="200">
        <f>L937*M937</f>
        <v>68</v>
      </c>
      <c r="V937" s="12"/>
      <c r="W937" s="12"/>
    </row>
    <row r="938" spans="1:23" x14ac:dyDescent="0.3">
      <c r="A938" s="479">
        <v>343</v>
      </c>
      <c r="B938" s="194" t="s">
        <v>452</v>
      </c>
      <c r="C938" s="170"/>
      <c r="D938" s="194" t="str">
        <f ca="1">IFERROR(__xludf.DUMMYFUNCTION("IF(J265="""",""n/a"",IFERROR(SPLIT(J265,""/"")))"),"Fresh")</f>
        <v>Fresh</v>
      </c>
      <c r="E938" s="170"/>
      <c r="F938" s="170"/>
      <c r="G938" s="170"/>
      <c r="H938" s="183" t="s">
        <v>1895</v>
      </c>
      <c r="I938" s="170"/>
      <c r="J938" s="46" t="s">
        <v>216</v>
      </c>
      <c r="K938" s="170"/>
      <c r="L938" s="195">
        <v>143</v>
      </c>
      <c r="M938" s="197">
        <v>2</v>
      </c>
      <c r="N938" s="61">
        <v>1</v>
      </c>
      <c r="O938" s="170">
        <f>E938</f>
        <v>0</v>
      </c>
      <c r="P938" s="61" t="s">
        <v>39</v>
      </c>
      <c r="Q938" s="170"/>
      <c r="R938" s="192" t="str">
        <f>CONCATENATE(N938,P938)</f>
        <v>1grams</v>
      </c>
      <c r="S938" s="198">
        <f>M938*N938</f>
        <v>2</v>
      </c>
      <c r="T938" s="199" t="str">
        <f>CONCATENATE(S938,Q938,P938)</f>
        <v>2grams</v>
      </c>
      <c r="U938" s="200">
        <f>L938*M938</f>
        <v>286</v>
      </c>
      <c r="V938" s="12"/>
      <c r="W938" s="12"/>
    </row>
    <row r="939" spans="1:23" x14ac:dyDescent="0.3">
      <c r="A939" s="193">
        <v>343</v>
      </c>
      <c r="B939" s="46" t="s">
        <v>452</v>
      </c>
      <c r="C939" s="170"/>
      <c r="D939" s="194"/>
      <c r="E939" s="170"/>
      <c r="F939" s="170"/>
      <c r="G939" s="170"/>
      <c r="H939" s="194" t="s">
        <v>2025</v>
      </c>
      <c r="I939" s="170"/>
      <c r="J939" s="170"/>
      <c r="K939" s="170"/>
      <c r="L939" s="197">
        <v>140</v>
      </c>
      <c r="M939" s="197">
        <v>1</v>
      </c>
      <c r="N939" s="290">
        <v>1</v>
      </c>
      <c r="O939" s="46"/>
      <c r="P939" s="46" t="s">
        <v>213</v>
      </c>
      <c r="Q939" s="170"/>
      <c r="R939" s="192" t="str">
        <f>CONCATENATE(N939,P939)</f>
        <v>1kilos</v>
      </c>
      <c r="S939" s="198">
        <f>M939*N939</f>
        <v>1</v>
      </c>
      <c r="T939" s="199" t="str">
        <f>CONCATENATE(S939,Q939,P939)</f>
        <v>1kilos</v>
      </c>
      <c r="U939" s="200">
        <f>L939*M939</f>
        <v>140</v>
      </c>
      <c r="V939" s="12"/>
      <c r="W939" s="12"/>
    </row>
    <row r="940" spans="1:23" x14ac:dyDescent="0.3">
      <c r="A940" s="193">
        <v>343</v>
      </c>
      <c r="B940" s="46" t="s">
        <v>452</v>
      </c>
      <c r="C940" s="170"/>
      <c r="D940" s="194"/>
      <c r="E940" s="170"/>
      <c r="F940" s="170"/>
      <c r="G940" s="170"/>
      <c r="H940" s="194" t="s">
        <v>2026</v>
      </c>
      <c r="I940" s="170"/>
      <c r="J940" s="170"/>
      <c r="K940" s="170"/>
      <c r="L940" s="197">
        <v>170</v>
      </c>
      <c r="M940" s="197">
        <v>1</v>
      </c>
      <c r="N940" s="290">
        <v>1000</v>
      </c>
      <c r="O940" s="46"/>
      <c r="P940" s="46" t="s">
        <v>39</v>
      </c>
      <c r="Q940" s="170"/>
      <c r="R940" s="192" t="str">
        <f>CONCATENATE(N940,P940)</f>
        <v>1000grams</v>
      </c>
      <c r="S940" s="198">
        <f>M940*N940</f>
        <v>1000</v>
      </c>
      <c r="T940" s="199" t="str">
        <f>CONCATENATE(S940,Q940,P940)</f>
        <v>1000grams</v>
      </c>
      <c r="U940" s="200">
        <f>L940*M940</f>
        <v>170</v>
      </c>
      <c r="V940" s="12"/>
      <c r="W940" s="12"/>
    </row>
    <row r="941" spans="1:23" x14ac:dyDescent="0.3">
      <c r="A941" s="193">
        <v>344</v>
      </c>
      <c r="B941" s="46" t="s">
        <v>1245</v>
      </c>
      <c r="C941" s="170"/>
      <c r="D941" s="194"/>
      <c r="E941" s="170"/>
      <c r="F941" s="170"/>
      <c r="G941" s="170"/>
      <c r="H941" s="194" t="s">
        <v>2025</v>
      </c>
      <c r="I941" s="170"/>
      <c r="J941" s="46" t="s">
        <v>854</v>
      </c>
      <c r="K941" s="170"/>
      <c r="L941" s="197">
        <v>6</v>
      </c>
      <c r="M941" s="197">
        <v>5</v>
      </c>
      <c r="N941" s="290">
        <v>1</v>
      </c>
      <c r="O941" s="46"/>
      <c r="P941" s="46" t="s">
        <v>92</v>
      </c>
      <c r="Q941" s="170"/>
      <c r="R941" s="192" t="str">
        <f>CONCATENATE(N941,P941)</f>
        <v>1pieces</v>
      </c>
      <c r="S941" s="198">
        <f>M941*N941</f>
        <v>5</v>
      </c>
      <c r="T941" s="199" t="str">
        <f>CONCATENATE(S941,Q941,P941)</f>
        <v>5pieces</v>
      </c>
      <c r="U941" s="200">
        <f>L941*M941</f>
        <v>30</v>
      </c>
      <c r="V941" s="12"/>
      <c r="W941" s="12"/>
    </row>
    <row r="942" spans="1:23" x14ac:dyDescent="0.3">
      <c r="A942" s="479">
        <v>345</v>
      </c>
      <c r="B942" s="194" t="s">
        <v>398</v>
      </c>
      <c r="C942" s="170"/>
      <c r="D942" s="194" t="str">
        <f ca="1">IFERROR(__xludf.DUMMYFUNCTION("IF(J266="""",""n/a"",IFERROR(SPLIT(J266,""/"")))"),"Growers")</f>
        <v>Growers</v>
      </c>
      <c r="E942" s="194" t="str">
        <f ca="1">IFERROR(__xludf.DUMMYFUNCTION("""COMPUTED_VALUE"""),"box (24pcsx80grams)")</f>
        <v>box (24pcsx80grams)</v>
      </c>
      <c r="F942" s="170"/>
      <c r="G942" s="170"/>
      <c r="H942" s="183" t="s">
        <v>1895</v>
      </c>
      <c r="I942" s="170"/>
      <c r="J942" s="46" t="s">
        <v>399</v>
      </c>
      <c r="K942" s="170"/>
      <c r="L942" s="195">
        <v>65.44</v>
      </c>
      <c r="M942" s="197">
        <v>24</v>
      </c>
      <c r="N942" s="61">
        <v>1</v>
      </c>
      <c r="O942" s="61" t="str">
        <f ca="1">E942</f>
        <v>box (24pcsx80grams)</v>
      </c>
      <c r="P942" s="61" t="s">
        <v>92</v>
      </c>
      <c r="Q942" s="170"/>
      <c r="R942" s="192" t="str">
        <f>CONCATENATE(N942,P942)</f>
        <v>1pieces</v>
      </c>
      <c r="S942" s="198">
        <f>M942*N942</f>
        <v>24</v>
      </c>
      <c r="T942" s="199" t="str">
        <f>CONCATENATE(S942,Q942,P942)</f>
        <v>24pieces</v>
      </c>
      <c r="U942" s="200">
        <f>L942*M942</f>
        <v>1570.56</v>
      </c>
      <c r="V942" s="12"/>
      <c r="W942" s="12"/>
    </row>
    <row r="943" spans="1:23" x14ac:dyDescent="0.3">
      <c r="A943" s="479">
        <v>346</v>
      </c>
      <c r="B943" s="194" t="s">
        <v>257</v>
      </c>
      <c r="C943" s="170"/>
      <c r="D943" s="194" t="str">
        <f ca="1">IFERROR(__xludf.DUMMYFUNCTION("IF(J267="""",""n/a"",IFERROR(SPLIT(J267,""/"")))"),"Sure buy")</f>
        <v>Sure buy</v>
      </c>
      <c r="E943" s="194" t="str">
        <f ca="1">IFERROR(__xludf.DUMMYFUNCTION("""COMPUTED_VALUE"""),"pack")</f>
        <v>pack</v>
      </c>
      <c r="F943" s="194" t="str">
        <f ca="1">IFERROR(__xludf.DUMMYFUNCTION("""COMPUTED_VALUE"""),"30grams")</f>
        <v>30grams</v>
      </c>
      <c r="G943" s="170"/>
      <c r="H943" s="183" t="s">
        <v>1895</v>
      </c>
      <c r="I943" s="170"/>
      <c r="J943" s="46" t="s">
        <v>258</v>
      </c>
      <c r="K943" s="170"/>
      <c r="L943" s="195">
        <v>20.25</v>
      </c>
      <c r="M943" s="197">
        <v>2</v>
      </c>
      <c r="N943" s="61">
        <v>1</v>
      </c>
      <c r="O943" s="61" t="str">
        <f ca="1">E943</f>
        <v>pack</v>
      </c>
      <c r="P943" s="61" t="s">
        <v>39</v>
      </c>
      <c r="Q943" s="170"/>
      <c r="R943" s="192" t="str">
        <f>CONCATENATE(N943,P943)</f>
        <v>1grams</v>
      </c>
      <c r="S943" s="198">
        <f>M943*N943</f>
        <v>2</v>
      </c>
      <c r="T943" s="199" t="str">
        <f>CONCATENATE(S943,Q943,P943)</f>
        <v>2grams</v>
      </c>
      <c r="U943" s="200">
        <f>L943*M943</f>
        <v>40.5</v>
      </c>
      <c r="V943" s="12"/>
      <c r="W943" s="12"/>
    </row>
    <row r="944" spans="1:23" x14ac:dyDescent="0.3">
      <c r="A944" s="193">
        <v>346</v>
      </c>
      <c r="B944" s="46" t="s">
        <v>257</v>
      </c>
      <c r="C944" s="170"/>
      <c r="D944" s="194"/>
      <c r="E944" s="194"/>
      <c r="F944" s="194"/>
      <c r="G944" s="170"/>
      <c r="H944" s="194" t="s">
        <v>2022</v>
      </c>
      <c r="I944" s="170"/>
      <c r="J944" s="46" t="s">
        <v>854</v>
      </c>
      <c r="K944" s="170"/>
      <c r="L944" s="197">
        <v>780</v>
      </c>
      <c r="M944" s="197">
        <v>1</v>
      </c>
      <c r="N944" s="290">
        <v>1000</v>
      </c>
      <c r="O944" s="46"/>
      <c r="P944" s="46" t="s">
        <v>213</v>
      </c>
      <c r="Q944" s="170"/>
      <c r="R944" s="192" t="str">
        <f>CONCATENATE(N944,P944)</f>
        <v>1000kilos</v>
      </c>
      <c r="S944" s="198">
        <f>M944*N944</f>
        <v>1000</v>
      </c>
      <c r="T944" s="199" t="str">
        <f>CONCATENATE(S944,Q944,P944)</f>
        <v>1000kilos</v>
      </c>
      <c r="U944" s="200">
        <f>L944*M944</f>
        <v>780</v>
      </c>
      <c r="V944" s="12"/>
      <c r="W944" s="12"/>
    </row>
    <row r="945" spans="1:23" x14ac:dyDescent="0.3">
      <c r="A945" s="479">
        <v>347</v>
      </c>
      <c r="B945" s="194" t="s">
        <v>99</v>
      </c>
      <c r="C945" s="170"/>
      <c r="D945" s="194" t="str">
        <f ca="1">IFERROR(__xludf.DUMMYFUNCTION("IF(J268="""",""n/a"",IFERROR(SPLIT(J268,""/"")))"),"Pepsi")</f>
        <v>Pepsi</v>
      </c>
      <c r="E945" s="194" t="str">
        <f ca="1">IFERROR(__xludf.DUMMYFUNCTION("""COMPUTED_VALUE"""),"case (24x500ml)")</f>
        <v>case (24x500ml)</v>
      </c>
      <c r="F945" s="170"/>
      <c r="G945" s="170"/>
      <c r="H945" s="183" t="s">
        <v>1895</v>
      </c>
      <c r="I945" s="170"/>
      <c r="J945" s="46" t="s">
        <v>100</v>
      </c>
      <c r="K945" s="170"/>
      <c r="L945" s="195">
        <v>33.619999999999997</v>
      </c>
      <c r="M945" s="197">
        <v>69</v>
      </c>
      <c r="N945" s="61">
        <v>1</v>
      </c>
      <c r="O945" s="61" t="str">
        <f ca="1">E945</f>
        <v>case (24x500ml)</v>
      </c>
      <c r="P945" s="61" t="s">
        <v>92</v>
      </c>
      <c r="Q945" s="170"/>
      <c r="R945" s="192" t="str">
        <f>CONCATENATE(N945,P945)</f>
        <v>1pieces</v>
      </c>
      <c r="S945" s="198">
        <f>M945*N945</f>
        <v>69</v>
      </c>
      <c r="T945" s="199" t="str">
        <f>CONCATENATE(S945,Q945,P945)</f>
        <v>69pieces</v>
      </c>
      <c r="U945" s="200">
        <f>L945*M945</f>
        <v>2319.7799999999997</v>
      </c>
      <c r="V945" s="12"/>
      <c r="W945" s="12"/>
    </row>
    <row r="946" spans="1:23" x14ac:dyDescent="0.3">
      <c r="A946" s="193">
        <v>348</v>
      </c>
      <c r="B946" s="219" t="s">
        <v>1246</v>
      </c>
      <c r="C946" s="170"/>
      <c r="D946" s="194"/>
      <c r="E946" s="194"/>
      <c r="F946" s="170"/>
      <c r="G946" s="170"/>
      <c r="H946" s="194" t="s">
        <v>2021</v>
      </c>
      <c r="I946" s="170"/>
      <c r="J946" s="219" t="s">
        <v>1247</v>
      </c>
      <c r="K946" s="170"/>
      <c r="L946" s="216">
        <v>15.55</v>
      </c>
      <c r="M946" s="216">
        <v>33</v>
      </c>
      <c r="N946" s="293">
        <v>50</v>
      </c>
      <c r="O946" s="219"/>
      <c r="P946" s="219" t="s">
        <v>39</v>
      </c>
      <c r="Q946" s="170"/>
      <c r="R946" s="192" t="str">
        <f>CONCATENATE(N946,P946)</f>
        <v>50grams</v>
      </c>
      <c r="S946" s="198">
        <f>M946*N946</f>
        <v>1650</v>
      </c>
      <c r="T946" s="199" t="str">
        <f>CONCATENATE(S946,Q946,P946)</f>
        <v>1650grams</v>
      </c>
      <c r="U946" s="200">
        <f>L946*M946</f>
        <v>513.15</v>
      </c>
      <c r="V946" s="12"/>
      <c r="W946" s="12"/>
    </row>
    <row r="947" spans="1:23" x14ac:dyDescent="0.3">
      <c r="A947" s="479">
        <v>349</v>
      </c>
      <c r="B947" s="194" t="s">
        <v>617</v>
      </c>
      <c r="C947" s="170"/>
      <c r="D947" s="194" t="str">
        <f ca="1">IFERROR(__xludf.DUMMYFUNCTION("IF(J269="""",""n/a"",IFERROR(SPLIT(J269,""/"")))"),"n/a")</f>
        <v>n/a</v>
      </c>
      <c r="E947" s="170"/>
      <c r="F947" s="170"/>
      <c r="G947" s="170"/>
      <c r="H947" s="206" t="s">
        <v>1898</v>
      </c>
      <c r="I947" s="170"/>
      <c r="J947" s="170"/>
      <c r="K947" s="170"/>
      <c r="L947" s="197">
        <v>342</v>
      </c>
      <c r="M947" s="386">
        <v>1</v>
      </c>
      <c r="N947" s="208">
        <v>1</v>
      </c>
      <c r="O947" s="170">
        <f>E947</f>
        <v>0</v>
      </c>
      <c r="P947" s="61" t="s">
        <v>200</v>
      </c>
      <c r="Q947" s="170"/>
      <c r="R947" s="192" t="str">
        <f>CONCATENATE(N947,P947)</f>
        <v>1gal</v>
      </c>
      <c r="S947" s="198">
        <f>M947*N947</f>
        <v>1</v>
      </c>
      <c r="T947" s="199" t="str">
        <f>CONCATENATE(S947,Q947,P947)</f>
        <v>1gal</v>
      </c>
      <c r="U947" s="200">
        <f>L947*M947</f>
        <v>342</v>
      </c>
      <c r="V947" s="12"/>
      <c r="W947" s="12"/>
    </row>
    <row r="948" spans="1:23" x14ac:dyDescent="0.3">
      <c r="A948" s="193">
        <v>349</v>
      </c>
      <c r="B948" s="219" t="s">
        <v>617</v>
      </c>
      <c r="C948" s="170"/>
      <c r="D948" s="194"/>
      <c r="E948" s="170"/>
      <c r="F948" s="170"/>
      <c r="G948" s="170"/>
      <c r="H948" s="194" t="s">
        <v>2021</v>
      </c>
      <c r="I948" s="170"/>
      <c r="J948" s="219" t="s">
        <v>199</v>
      </c>
      <c r="K948" s="170"/>
      <c r="L948" s="216">
        <v>372</v>
      </c>
      <c r="M948" s="216">
        <v>3</v>
      </c>
      <c r="N948" s="293">
        <v>1</v>
      </c>
      <c r="O948" s="219"/>
      <c r="P948" s="219" t="s">
        <v>200</v>
      </c>
      <c r="Q948" s="170"/>
      <c r="R948" s="192" t="str">
        <f>CONCATENATE(N948,P948)</f>
        <v>1gal</v>
      </c>
      <c r="S948" s="198">
        <f>M948*N948</f>
        <v>3</v>
      </c>
      <c r="T948" s="199" t="str">
        <f>CONCATENATE(S948,Q948,P948)</f>
        <v>3gal</v>
      </c>
      <c r="U948" s="200">
        <f>L948*M948</f>
        <v>1116</v>
      </c>
      <c r="V948" s="12"/>
      <c r="W948" s="12"/>
    </row>
    <row r="949" spans="1:23" x14ac:dyDescent="0.3">
      <c r="A949" s="193">
        <v>350</v>
      </c>
      <c r="B949" s="46" t="s">
        <v>1248</v>
      </c>
      <c r="C949" s="170"/>
      <c r="D949" s="194"/>
      <c r="E949" s="170"/>
      <c r="F949" s="170"/>
      <c r="G949" s="170"/>
      <c r="H949" s="194" t="s">
        <v>2025</v>
      </c>
      <c r="I949" s="170"/>
      <c r="J949" s="46" t="s">
        <v>1249</v>
      </c>
      <c r="K949" s="170"/>
      <c r="L949" s="197">
        <v>135</v>
      </c>
      <c r="M949" s="197">
        <v>0</v>
      </c>
      <c r="N949" s="290">
        <v>750</v>
      </c>
      <c r="O949" s="46"/>
      <c r="P949" s="46" t="s">
        <v>39</v>
      </c>
      <c r="Q949" s="170"/>
      <c r="R949" s="192" t="str">
        <f>CONCATENATE(N949,P949)</f>
        <v>750grams</v>
      </c>
      <c r="S949" s="198">
        <f>M949*N949</f>
        <v>0</v>
      </c>
      <c r="T949" s="199" t="str">
        <f>CONCATENATE(S949,Q949,P949)</f>
        <v>0grams</v>
      </c>
      <c r="U949" s="200">
        <f>L949*M949</f>
        <v>0</v>
      </c>
      <c r="V949" s="12"/>
      <c r="W949" s="12"/>
    </row>
    <row r="950" spans="1:23" x14ac:dyDescent="0.3">
      <c r="A950" s="479">
        <v>351</v>
      </c>
      <c r="B950" s="194" t="s">
        <v>453</v>
      </c>
      <c r="C950" s="170"/>
      <c r="D950" s="194" t="str">
        <f ca="1">IFERROR(__xludf.DUMMYFUNCTION("IF(J270="""",""n/a"",IFERROR(SPLIT(J270,""/"")))"),"Fresh")</f>
        <v>Fresh</v>
      </c>
      <c r="E950" s="170"/>
      <c r="F950" s="170"/>
      <c r="G950" s="170"/>
      <c r="H950" s="183" t="s">
        <v>1895</v>
      </c>
      <c r="I950" s="170"/>
      <c r="J950" s="46" t="s">
        <v>216</v>
      </c>
      <c r="K950" s="170"/>
      <c r="L950" s="195">
        <v>130</v>
      </c>
      <c r="M950" s="197">
        <v>3</v>
      </c>
      <c r="N950" s="61">
        <v>1</v>
      </c>
      <c r="O950" s="170">
        <f>E950</f>
        <v>0</v>
      </c>
      <c r="P950" s="61" t="s">
        <v>39</v>
      </c>
      <c r="Q950" s="170"/>
      <c r="R950" s="192" t="str">
        <f>CONCATENATE(N950,P950)</f>
        <v>1grams</v>
      </c>
      <c r="S950" s="198">
        <f>M950*N950</f>
        <v>3</v>
      </c>
      <c r="T950" s="199" t="str">
        <f>CONCATENATE(S950,Q950,P950)</f>
        <v>3grams</v>
      </c>
      <c r="U950" s="200">
        <f>L950*M950</f>
        <v>390</v>
      </c>
      <c r="V950" s="12"/>
      <c r="W950" s="12"/>
    </row>
    <row r="951" spans="1:23" x14ac:dyDescent="0.3">
      <c r="A951" s="193">
        <v>351</v>
      </c>
      <c r="B951" s="46" t="s">
        <v>453</v>
      </c>
      <c r="C951" s="170"/>
      <c r="D951" s="194"/>
      <c r="E951" s="170"/>
      <c r="F951" s="170"/>
      <c r="G951" s="170"/>
      <c r="H951" s="194" t="s">
        <v>29</v>
      </c>
      <c r="I951" s="170"/>
      <c r="J951" s="46" t="s">
        <v>216</v>
      </c>
      <c r="K951" s="170"/>
      <c r="L951" s="197">
        <v>45</v>
      </c>
      <c r="M951" s="197">
        <v>1</v>
      </c>
      <c r="N951" s="290">
        <v>1</v>
      </c>
      <c r="O951" s="46"/>
      <c r="P951" s="46" t="s">
        <v>213</v>
      </c>
      <c r="Q951" s="170"/>
      <c r="R951" s="192" t="str">
        <f>CONCATENATE(N951,P951)</f>
        <v>1kilos</v>
      </c>
      <c r="S951" s="198">
        <f>M951*N951</f>
        <v>1</v>
      </c>
      <c r="T951" s="199" t="str">
        <f>CONCATENATE(S951,Q951,P951)</f>
        <v>1kilos</v>
      </c>
      <c r="U951" s="200">
        <f>L951*M951</f>
        <v>45</v>
      </c>
      <c r="V951" s="12"/>
      <c r="W951" s="12"/>
    </row>
    <row r="952" spans="1:23" x14ac:dyDescent="0.3">
      <c r="A952" s="193">
        <v>351</v>
      </c>
      <c r="B952" s="46" t="s">
        <v>453</v>
      </c>
      <c r="C952" s="170"/>
      <c r="D952" s="194"/>
      <c r="E952" s="194"/>
      <c r="F952" s="194"/>
      <c r="G952" s="170"/>
      <c r="H952" s="194" t="s">
        <v>2026</v>
      </c>
      <c r="I952" s="170"/>
      <c r="J952" s="46" t="s">
        <v>216</v>
      </c>
      <c r="K952" s="170"/>
      <c r="L952" s="197">
        <v>150</v>
      </c>
      <c r="M952" s="197">
        <v>0</v>
      </c>
      <c r="N952" s="290">
        <v>1000</v>
      </c>
      <c r="O952" s="46"/>
      <c r="P952" s="46" t="s">
        <v>39</v>
      </c>
      <c r="Q952" s="170"/>
      <c r="R952" s="192" t="str">
        <f>CONCATENATE(N952,P952)</f>
        <v>1000grams</v>
      </c>
      <c r="S952" s="198">
        <f>M952*N952</f>
        <v>0</v>
      </c>
      <c r="T952" s="199" t="str">
        <f>CONCATENATE(S952,Q952,P952)</f>
        <v>0grams</v>
      </c>
      <c r="U952" s="200">
        <f>L952*M952</f>
        <v>0</v>
      </c>
      <c r="V952" s="12"/>
      <c r="W952" s="12"/>
    </row>
    <row r="953" spans="1:23" x14ac:dyDescent="0.3">
      <c r="A953" s="193">
        <v>351</v>
      </c>
      <c r="B953" s="46" t="s">
        <v>453</v>
      </c>
      <c r="C953" s="170"/>
      <c r="D953" s="194"/>
      <c r="E953" s="194"/>
      <c r="F953" s="194"/>
      <c r="G953" s="170"/>
      <c r="H953" s="194" t="s">
        <v>2023</v>
      </c>
      <c r="I953" s="170"/>
      <c r="J953" s="46" t="s">
        <v>216</v>
      </c>
      <c r="K953" s="170"/>
      <c r="L953" s="197">
        <v>150</v>
      </c>
      <c r="M953" s="197">
        <v>2</v>
      </c>
      <c r="N953" s="290">
        <v>1000</v>
      </c>
      <c r="O953" s="46"/>
      <c r="P953" s="46" t="s">
        <v>39</v>
      </c>
      <c r="Q953" s="170"/>
      <c r="R953" s="192" t="str">
        <f>CONCATENATE(N953,P953)</f>
        <v>1000grams</v>
      </c>
      <c r="S953" s="198">
        <f>M953*N953</f>
        <v>2000</v>
      </c>
      <c r="T953" s="199" t="str">
        <f>CONCATENATE(S953,Q953,P953)</f>
        <v>2000grams</v>
      </c>
      <c r="U953" s="200">
        <f>L953*M953</f>
        <v>300</v>
      </c>
      <c r="V953" s="12"/>
      <c r="W953" s="12"/>
    </row>
    <row r="954" spans="1:23" x14ac:dyDescent="0.3">
      <c r="A954" s="193">
        <v>351</v>
      </c>
      <c r="B954" s="46" t="s">
        <v>453</v>
      </c>
      <c r="C954" s="215"/>
      <c r="D954" s="194"/>
      <c r="E954" s="214"/>
      <c r="F954" s="214"/>
      <c r="G954" s="214"/>
      <c r="H954" s="194" t="s">
        <v>2022</v>
      </c>
      <c r="I954" s="170"/>
      <c r="J954" s="46" t="s">
        <v>912</v>
      </c>
      <c r="K954" s="170"/>
      <c r="L954" s="197">
        <v>150</v>
      </c>
      <c r="M954" s="197">
        <v>0</v>
      </c>
      <c r="N954" s="290">
        <v>1000</v>
      </c>
      <c r="O954" s="46"/>
      <c r="P954" s="46" t="s">
        <v>213</v>
      </c>
      <c r="Q954" s="170"/>
      <c r="R954" s="192" t="str">
        <f>CONCATENATE(N954,P954)</f>
        <v>1000kilos</v>
      </c>
      <c r="S954" s="198">
        <f>M954*N954</f>
        <v>0</v>
      </c>
      <c r="T954" s="199" t="str">
        <f>CONCATENATE(S954,Q954,P954)</f>
        <v>0kilos</v>
      </c>
      <c r="U954" s="200">
        <f>L954*M954</f>
        <v>0</v>
      </c>
      <c r="V954" s="12"/>
      <c r="W954" s="12"/>
    </row>
    <row r="955" spans="1:23" x14ac:dyDescent="0.3">
      <c r="A955" s="479">
        <v>352</v>
      </c>
      <c r="B955" s="194" t="s">
        <v>618</v>
      </c>
      <c r="C955" s="170"/>
      <c r="D955" s="194" t="str">
        <f ca="1">IFERROR(__xludf.DUMMYFUNCTION("IF(J271="""",""n/a"",IFERROR(SPLIT(J271,""/"")))"),"n/a")</f>
        <v>n/a</v>
      </c>
      <c r="E955" s="170"/>
      <c r="F955" s="170"/>
      <c r="G955" s="170"/>
      <c r="H955" s="206" t="s">
        <v>1898</v>
      </c>
      <c r="I955" s="170"/>
      <c r="J955" s="170"/>
      <c r="K955" s="170"/>
      <c r="L955" s="197">
        <v>0.17</v>
      </c>
      <c r="M955" s="385">
        <v>750</v>
      </c>
      <c r="N955" s="208">
        <v>250</v>
      </c>
      <c r="O955" s="170">
        <f>E955</f>
        <v>0</v>
      </c>
      <c r="P955" s="222" t="s">
        <v>39</v>
      </c>
      <c r="Q955" s="170"/>
      <c r="R955" s="192" t="str">
        <f>CONCATENATE(N955,P955)</f>
        <v>250grams</v>
      </c>
      <c r="S955" s="198">
        <f>M955*N955</f>
        <v>187500</v>
      </c>
      <c r="T955" s="199" t="str">
        <f>CONCATENATE(S955,Q955,P955)</f>
        <v>187500grams</v>
      </c>
      <c r="U955" s="200">
        <f>L955*M955</f>
        <v>127.50000000000001</v>
      </c>
      <c r="V955" s="12"/>
      <c r="W955" s="12"/>
    </row>
    <row r="956" spans="1:23" x14ac:dyDescent="0.3">
      <c r="A956" s="193">
        <v>352</v>
      </c>
      <c r="B956" s="46" t="s">
        <v>618</v>
      </c>
      <c r="C956" s="170"/>
      <c r="D956" s="194"/>
      <c r="E956" s="194"/>
      <c r="F956" s="194"/>
      <c r="G956" s="170"/>
      <c r="H956" s="194" t="s">
        <v>2025</v>
      </c>
      <c r="I956" s="170"/>
      <c r="J956" s="46" t="s">
        <v>1250</v>
      </c>
      <c r="K956" s="170"/>
      <c r="L956" s="197">
        <v>28.2</v>
      </c>
      <c r="M956" s="197">
        <v>1</v>
      </c>
      <c r="N956" s="290">
        <v>150</v>
      </c>
      <c r="O956" s="46"/>
      <c r="P956" s="46" t="s">
        <v>39</v>
      </c>
      <c r="Q956" s="170"/>
      <c r="R956" s="192" t="str">
        <f>CONCATENATE(N956,P956)</f>
        <v>150grams</v>
      </c>
      <c r="S956" s="198">
        <f>M956*N956</f>
        <v>150</v>
      </c>
      <c r="T956" s="199" t="str">
        <f>CONCATENATE(S956,Q956,P956)</f>
        <v>150grams</v>
      </c>
      <c r="U956" s="200">
        <f>L956*M956</f>
        <v>28.2</v>
      </c>
      <c r="V956" s="12"/>
      <c r="W956" s="12"/>
    </row>
    <row r="957" spans="1:23" x14ac:dyDescent="0.3">
      <c r="A957" s="193">
        <v>352</v>
      </c>
      <c r="B957" s="46" t="s">
        <v>618</v>
      </c>
      <c r="C957" s="170"/>
      <c r="D957" s="194"/>
      <c r="E957" s="194"/>
      <c r="F957" s="194"/>
      <c r="G957" s="170"/>
      <c r="H957" s="194" t="s">
        <v>2023</v>
      </c>
      <c r="I957" s="170"/>
      <c r="J957" s="46" t="s">
        <v>165</v>
      </c>
      <c r="K957" s="170"/>
      <c r="L957" s="197">
        <v>41.6</v>
      </c>
      <c r="M957" s="197">
        <v>10</v>
      </c>
      <c r="N957" s="290">
        <v>250</v>
      </c>
      <c r="O957" s="307"/>
      <c r="P957" s="307" t="s">
        <v>39</v>
      </c>
      <c r="Q957" s="170"/>
      <c r="R957" s="192" t="str">
        <f>CONCATENATE(N957,P957)</f>
        <v>250grams</v>
      </c>
      <c r="S957" s="198">
        <f>M957*N957</f>
        <v>2500</v>
      </c>
      <c r="T957" s="199" t="str">
        <f>CONCATENATE(S957,Q957,P957)</f>
        <v>2500grams</v>
      </c>
      <c r="U957" s="200">
        <f>L957*M957</f>
        <v>416</v>
      </c>
      <c r="V957" s="12"/>
      <c r="W957" s="12"/>
    </row>
    <row r="958" spans="1:23" x14ac:dyDescent="0.3">
      <c r="A958" s="479">
        <v>353</v>
      </c>
      <c r="B958" s="194" t="s">
        <v>66</v>
      </c>
      <c r="C958" s="170"/>
      <c r="D958" s="194" t="str">
        <f ca="1">IFERROR(__xludf.DUMMYFUNCTION("IF(J272="""",""n/a"",IFERROR(SPLIT(J272,""/"")))"),"Polar Bear")</f>
        <v>Polar Bear</v>
      </c>
      <c r="E958" s="194" t="str">
        <f ca="1">IFERROR(__xludf.DUMMYFUNCTION("""COMPUTED_VALUE"""),"pack")</f>
        <v>pack</v>
      </c>
      <c r="F958" s="194" t="str">
        <f ca="1">IFERROR(__xludf.DUMMYFUNCTION("""COMPUTED_VALUE"""),"500grams")</f>
        <v>500grams</v>
      </c>
      <c r="G958" s="170"/>
      <c r="H958" s="183" t="s">
        <v>1897</v>
      </c>
      <c r="I958" s="170"/>
      <c r="J958" s="46" t="s">
        <v>67</v>
      </c>
      <c r="K958" s="170"/>
      <c r="L958" s="195">
        <v>0.12</v>
      </c>
      <c r="M958" s="202">
        <v>2000</v>
      </c>
      <c r="N958" s="203">
        <v>500</v>
      </c>
      <c r="O958" s="61" t="str">
        <f ca="1">E958</f>
        <v>pack</v>
      </c>
      <c r="P958" s="61" t="s">
        <v>39</v>
      </c>
      <c r="Q958" s="61" t="s">
        <v>33</v>
      </c>
      <c r="R958" s="192" t="str">
        <f>CONCATENATE(N958,P958)</f>
        <v>500grams</v>
      </c>
      <c r="S958" s="198">
        <f>M958*N958</f>
        <v>1000000</v>
      </c>
      <c r="T958" s="199" t="str">
        <f>CONCATENATE(S958,Q958,P958)</f>
        <v>1000000 grams</v>
      </c>
      <c r="U958" s="200">
        <f>L958*M958</f>
        <v>240</v>
      </c>
      <c r="V958" s="205"/>
      <c r="W958" s="62"/>
    </row>
    <row r="959" spans="1:23" x14ac:dyDescent="0.3">
      <c r="A959" s="479">
        <v>353</v>
      </c>
      <c r="B959" s="194" t="s">
        <v>66</v>
      </c>
      <c r="C959" s="170"/>
      <c r="D959" s="194" t="str">
        <f ca="1">IFERROR(__xludf.DUMMYFUNCTION("IF(J273="""",""n/a"",IFERROR(SPLIT(J273,""/"")))"),"Kings")</f>
        <v>Kings</v>
      </c>
      <c r="E959" s="194" t="str">
        <f ca="1">IFERROR(__xludf.DUMMYFUNCTION("""COMPUTED_VALUE"""),"pack")</f>
        <v>pack</v>
      </c>
      <c r="F959" s="194" t="str">
        <f ca="1">IFERROR(__xludf.DUMMYFUNCTION("""COMPUTED_VALUE"""),"500grams")</f>
        <v>500grams</v>
      </c>
      <c r="G959" s="170"/>
      <c r="H959" s="183" t="s">
        <v>1897</v>
      </c>
      <c r="I959" s="170"/>
      <c r="J959" s="46" t="s">
        <v>619</v>
      </c>
      <c r="K959" s="170"/>
      <c r="L959" s="195">
        <v>0.19</v>
      </c>
      <c r="M959" s="202">
        <v>3000</v>
      </c>
      <c r="N959" s="203">
        <v>500</v>
      </c>
      <c r="O959" s="61" t="str">
        <f ca="1">E959</f>
        <v>pack</v>
      </c>
      <c r="P959" s="61" t="s">
        <v>39</v>
      </c>
      <c r="Q959" s="61" t="s">
        <v>33</v>
      </c>
      <c r="R959" s="192" t="str">
        <f>CONCATENATE(N959,P959)</f>
        <v>500grams</v>
      </c>
      <c r="S959" s="198">
        <f>M959*N959</f>
        <v>1500000</v>
      </c>
      <c r="T959" s="199" t="str">
        <f>CONCATENATE(S959,Q959,P959)</f>
        <v>1500000 grams</v>
      </c>
      <c r="U959" s="200">
        <f>L959*M959</f>
        <v>570</v>
      </c>
      <c r="V959" s="205"/>
      <c r="W959" s="62"/>
    </row>
    <row r="960" spans="1:23" x14ac:dyDescent="0.3">
      <c r="A960" s="479">
        <v>353</v>
      </c>
      <c r="B960" s="194" t="s">
        <v>66</v>
      </c>
      <c r="C960" s="170"/>
      <c r="D960" s="194" t="str">
        <f ca="1">IFERROR(__xludf.DUMMYFUNCTION("IF(J274="""",""n/a"",IFERROR(SPLIT(J274,""/"")))"),"Polar Bear")</f>
        <v>Polar Bear</v>
      </c>
      <c r="E960" s="194" t="str">
        <f ca="1">IFERROR(__xludf.DUMMYFUNCTION("""COMPUTED_VALUE"""),"pack")</f>
        <v>pack</v>
      </c>
      <c r="F960" s="194" t="str">
        <f ca="1">IFERROR(__xludf.DUMMYFUNCTION("""COMPUTED_VALUE"""),"500grams")</f>
        <v>500grams</v>
      </c>
      <c r="G960" s="170"/>
      <c r="H960" s="183" t="s">
        <v>1895</v>
      </c>
      <c r="I960" s="170"/>
      <c r="J960" s="46" t="s">
        <v>67</v>
      </c>
      <c r="K960" s="170"/>
      <c r="L960" s="195">
        <v>57.5</v>
      </c>
      <c r="M960" s="197">
        <v>2</v>
      </c>
      <c r="N960" s="61">
        <v>500</v>
      </c>
      <c r="O960" s="61" t="str">
        <f ca="1">E960</f>
        <v>pack</v>
      </c>
      <c r="P960" s="61" t="s">
        <v>39</v>
      </c>
      <c r="Q960" s="170"/>
      <c r="R960" s="192" t="str">
        <f>CONCATENATE(N960,P960)</f>
        <v>500grams</v>
      </c>
      <c r="S960" s="198">
        <f>M960*N960</f>
        <v>1000</v>
      </c>
      <c r="T960" s="199" t="str">
        <f>CONCATENATE(S960,Q960,P960)</f>
        <v>1000grams</v>
      </c>
      <c r="U960" s="200">
        <f>L960*M960</f>
        <v>115</v>
      </c>
      <c r="V960" s="12"/>
      <c r="W960" s="12"/>
    </row>
    <row r="961" spans="1:23" x14ac:dyDescent="0.3">
      <c r="A961" s="193">
        <v>353</v>
      </c>
      <c r="B961" s="46" t="s">
        <v>66</v>
      </c>
      <c r="C961" s="170"/>
      <c r="D961" s="194"/>
      <c r="E961" s="170"/>
      <c r="F961" s="170"/>
      <c r="G961" s="170"/>
      <c r="H961" s="194" t="s">
        <v>2020</v>
      </c>
      <c r="I961" s="170"/>
      <c r="J961" s="46" t="s">
        <v>1251</v>
      </c>
      <c r="K961" s="170"/>
      <c r="L961" s="197">
        <v>57</v>
      </c>
      <c r="M961" s="197">
        <v>4</v>
      </c>
      <c r="N961" s="290">
        <v>500</v>
      </c>
      <c r="O961" s="46"/>
      <c r="P961" s="46" t="s">
        <v>39</v>
      </c>
      <c r="Q961" s="170"/>
      <c r="R961" s="192" t="str">
        <f>CONCATENATE(N961,P961)</f>
        <v>500grams</v>
      </c>
      <c r="S961" s="198">
        <f>M961*N961</f>
        <v>2000</v>
      </c>
      <c r="T961" s="199" t="str">
        <f>CONCATENATE(S961,Q961,P961)</f>
        <v>2000grams</v>
      </c>
      <c r="U961" s="200">
        <f>L961*M961</f>
        <v>228</v>
      </c>
      <c r="V961" s="12"/>
      <c r="W961" s="12"/>
    </row>
    <row r="962" spans="1:23" x14ac:dyDescent="0.3">
      <c r="A962" s="193">
        <v>353</v>
      </c>
      <c r="B962" s="46" t="s">
        <v>66</v>
      </c>
      <c r="C962" s="170"/>
      <c r="D962" s="194"/>
      <c r="E962" s="170"/>
      <c r="F962" s="170"/>
      <c r="G962" s="170"/>
      <c r="H962" s="194" t="s">
        <v>29</v>
      </c>
      <c r="I962" s="170"/>
      <c r="J962" s="46" t="s">
        <v>1251</v>
      </c>
      <c r="K962" s="170"/>
      <c r="L962" s="197">
        <v>62.5</v>
      </c>
      <c r="M962" s="197">
        <v>1</v>
      </c>
      <c r="N962" s="290">
        <v>500</v>
      </c>
      <c r="O962" s="46"/>
      <c r="P962" s="46" t="s">
        <v>39</v>
      </c>
      <c r="Q962" s="170"/>
      <c r="R962" s="192" t="str">
        <f>CONCATENATE(N962,P962)</f>
        <v>500grams</v>
      </c>
      <c r="S962" s="198">
        <f>M962*N962</f>
        <v>500</v>
      </c>
      <c r="T962" s="199" t="str">
        <f>CONCATENATE(S962,Q962,P962)</f>
        <v>500grams</v>
      </c>
      <c r="U962" s="200">
        <f>L962*M962</f>
        <v>62.5</v>
      </c>
      <c r="V962" s="12"/>
      <c r="W962" s="12"/>
    </row>
    <row r="963" spans="1:23" x14ac:dyDescent="0.3">
      <c r="A963" s="193">
        <v>353</v>
      </c>
      <c r="B963" s="46" t="s">
        <v>66</v>
      </c>
      <c r="C963" s="170"/>
      <c r="D963" s="194"/>
      <c r="E963" s="170"/>
      <c r="F963" s="170"/>
      <c r="G963" s="170"/>
      <c r="H963" s="194" t="s">
        <v>2023</v>
      </c>
      <c r="I963" s="170"/>
      <c r="J963" s="46" t="s">
        <v>1252</v>
      </c>
      <c r="K963" s="170"/>
      <c r="L963" s="197">
        <v>50</v>
      </c>
      <c r="M963" s="197">
        <v>15</v>
      </c>
      <c r="N963" s="290">
        <v>500</v>
      </c>
      <c r="O963" s="46"/>
      <c r="P963" s="46" t="s">
        <v>39</v>
      </c>
      <c r="Q963" s="170"/>
      <c r="R963" s="192" t="str">
        <f>CONCATENATE(N963,P963)</f>
        <v>500grams</v>
      </c>
      <c r="S963" s="198">
        <f>M963*N963</f>
        <v>7500</v>
      </c>
      <c r="T963" s="199" t="str">
        <f>CONCATENATE(S963,Q963,P963)</f>
        <v>7500grams</v>
      </c>
      <c r="U963" s="200">
        <f>L963*M963</f>
        <v>750</v>
      </c>
      <c r="V963" s="12"/>
      <c r="W963" s="12"/>
    </row>
    <row r="964" spans="1:23" x14ac:dyDescent="0.3">
      <c r="A964" s="193">
        <v>353</v>
      </c>
      <c r="B964" s="46" t="s">
        <v>66</v>
      </c>
      <c r="C964" s="170"/>
      <c r="D964" s="194"/>
      <c r="E964" s="170"/>
      <c r="F964" s="170"/>
      <c r="G964" s="170"/>
      <c r="H964" s="194" t="s">
        <v>2022</v>
      </c>
      <c r="I964" s="170"/>
      <c r="J964" s="46" t="s">
        <v>1252</v>
      </c>
      <c r="K964" s="170"/>
      <c r="L964" s="197">
        <v>55</v>
      </c>
      <c r="M964" s="197">
        <v>2</v>
      </c>
      <c r="N964" s="290">
        <v>500</v>
      </c>
      <c r="O964" s="46"/>
      <c r="P964" s="46" t="s">
        <v>39</v>
      </c>
      <c r="Q964" s="170"/>
      <c r="R964" s="192" t="str">
        <f>CONCATENATE(N964,P964)</f>
        <v>500grams</v>
      </c>
      <c r="S964" s="198">
        <f>M964*N964</f>
        <v>1000</v>
      </c>
      <c r="T964" s="199" t="str">
        <f>CONCATENATE(S964,Q964,P964)</f>
        <v>1000grams</v>
      </c>
      <c r="U964" s="200">
        <f>L964*M964</f>
        <v>110</v>
      </c>
      <c r="V964" s="12"/>
      <c r="W964" s="12"/>
    </row>
    <row r="965" spans="1:23" x14ac:dyDescent="0.3">
      <c r="A965" s="193">
        <v>353</v>
      </c>
      <c r="B965" s="219" t="s">
        <v>66</v>
      </c>
      <c r="C965" s="170"/>
      <c r="D965" s="194"/>
      <c r="E965" s="170"/>
      <c r="F965" s="170"/>
      <c r="G965" s="170"/>
      <c r="H965" s="194" t="s">
        <v>2021</v>
      </c>
      <c r="I965" s="170"/>
      <c r="J965" s="219" t="s">
        <v>1253</v>
      </c>
      <c r="K965" s="170"/>
      <c r="L965" s="216">
        <v>47.5</v>
      </c>
      <c r="M965" s="216">
        <v>5</v>
      </c>
      <c r="N965" s="293">
        <v>500</v>
      </c>
      <c r="O965" s="219"/>
      <c r="P965" s="219" t="s">
        <v>39</v>
      </c>
      <c r="Q965" s="170"/>
      <c r="R965" s="192" t="str">
        <f>CONCATENATE(N965,P965)</f>
        <v>500grams</v>
      </c>
      <c r="S965" s="198">
        <f>M965*N965</f>
        <v>2500</v>
      </c>
      <c r="T965" s="199" t="str">
        <f>CONCATENATE(S965,Q965,P965)</f>
        <v>2500grams</v>
      </c>
      <c r="U965" s="200">
        <f>L965*M965</f>
        <v>237.5</v>
      </c>
      <c r="V965" s="12"/>
      <c r="W965" s="12"/>
    </row>
    <row r="966" spans="1:23" x14ac:dyDescent="0.3">
      <c r="A966" s="193">
        <v>353</v>
      </c>
      <c r="B966" s="219" t="s">
        <v>66</v>
      </c>
      <c r="C966" s="170"/>
      <c r="D966" s="194"/>
      <c r="E966" s="170"/>
      <c r="F966" s="170"/>
      <c r="G966" s="170"/>
      <c r="H966" s="194" t="s">
        <v>2021</v>
      </c>
      <c r="I966" s="170"/>
      <c r="J966" s="219" t="s">
        <v>1254</v>
      </c>
      <c r="K966" s="170"/>
      <c r="L966" s="216">
        <v>32.5</v>
      </c>
      <c r="M966" s="216">
        <v>2</v>
      </c>
      <c r="N966" s="293">
        <v>500</v>
      </c>
      <c r="O966" s="219"/>
      <c r="P966" s="219" t="s">
        <v>39</v>
      </c>
      <c r="Q966" s="170"/>
      <c r="R966" s="192" t="str">
        <f>CONCATENATE(N966,P966)</f>
        <v>500grams</v>
      </c>
      <c r="S966" s="198">
        <f>M966*N966</f>
        <v>1000</v>
      </c>
      <c r="T966" s="199" t="str">
        <f>CONCATENATE(S966,Q966,P966)</f>
        <v>1000grams</v>
      </c>
      <c r="U966" s="200">
        <f>L966*M966</f>
        <v>65</v>
      </c>
      <c r="V966" s="12"/>
      <c r="W966" s="12"/>
    </row>
    <row r="967" spans="1:23" x14ac:dyDescent="0.3">
      <c r="A967" s="193">
        <v>354</v>
      </c>
      <c r="B967" s="46" t="s">
        <v>1931</v>
      </c>
      <c r="C967" s="215"/>
      <c r="D967" s="194"/>
      <c r="E967" s="215"/>
      <c r="F967" s="215"/>
      <c r="G967" s="215"/>
      <c r="H967" s="400" t="s">
        <v>2027</v>
      </c>
      <c r="I967" s="170"/>
      <c r="J967" s="170"/>
      <c r="K967" s="170"/>
      <c r="L967" s="195">
        <v>61</v>
      </c>
      <c r="M967" s="197">
        <v>2</v>
      </c>
      <c r="N967" s="360">
        <v>1</v>
      </c>
      <c r="O967" s="61"/>
      <c r="P967" s="61" t="s">
        <v>213</v>
      </c>
      <c r="Q967" s="170"/>
      <c r="R967" s="192" t="str">
        <f>CONCATENATE(N967,P967)</f>
        <v>1kilos</v>
      </c>
      <c r="S967" s="198">
        <f>M967*N967</f>
        <v>2</v>
      </c>
      <c r="T967" s="199" t="str">
        <f>CONCATENATE(S967,Q967,P967)</f>
        <v>2kilos</v>
      </c>
      <c r="U967" s="200">
        <f>L967*M967</f>
        <v>122</v>
      </c>
      <c r="V967" s="12"/>
      <c r="W967" s="12"/>
    </row>
    <row r="968" spans="1:23" x14ac:dyDescent="0.3">
      <c r="A968" s="479">
        <v>355</v>
      </c>
      <c r="B968" s="194" t="s">
        <v>620</v>
      </c>
      <c r="C968" s="170"/>
      <c r="D968" s="194" t="str">
        <f ca="1">IFERROR(__xludf.DUMMYFUNCTION("IF(J275="""",""n/a"",IFERROR(SPLIT(J275,""/"")))"),"n/a")</f>
        <v>n/a</v>
      </c>
      <c r="E968" s="170"/>
      <c r="F968" s="170"/>
      <c r="G968" s="170"/>
      <c r="H968" s="206" t="s">
        <v>1898</v>
      </c>
      <c r="I968" s="170"/>
      <c r="J968" s="170"/>
      <c r="K968" s="170"/>
      <c r="L968" s="197">
        <v>186</v>
      </c>
      <c r="M968" s="386">
        <v>20</v>
      </c>
      <c r="N968" s="208">
        <v>1</v>
      </c>
      <c r="O968" s="170">
        <f>E968</f>
        <v>0</v>
      </c>
      <c r="P968" s="61" t="s">
        <v>213</v>
      </c>
      <c r="Q968" s="170"/>
      <c r="R968" s="192" t="str">
        <f>CONCATENATE(N968,P968)</f>
        <v>1kilos</v>
      </c>
      <c r="S968" s="198">
        <f>M968*N968</f>
        <v>20</v>
      </c>
      <c r="T968" s="199" t="str">
        <f>CONCATENATE(S968,Q968,P968)</f>
        <v>20kilos</v>
      </c>
      <c r="U968" s="200">
        <f>L968*M968</f>
        <v>3720</v>
      </c>
      <c r="V968" s="12"/>
      <c r="W968" s="12"/>
    </row>
    <row r="969" spans="1:23" x14ac:dyDescent="0.3">
      <c r="A969" s="479">
        <v>356</v>
      </c>
      <c r="B969" s="194" t="s">
        <v>621</v>
      </c>
      <c r="C969" s="170"/>
      <c r="D969" s="194" t="str">
        <f ca="1">IFERROR(__xludf.DUMMYFUNCTION("IF(J276="""",""n/a"",IFERROR(SPLIT(J276,""/"")))"),"n/a")</f>
        <v>n/a</v>
      </c>
      <c r="E969" s="170"/>
      <c r="F969" s="170"/>
      <c r="G969" s="170"/>
      <c r="H969" s="206" t="s">
        <v>1898</v>
      </c>
      <c r="I969" s="170"/>
      <c r="J969" s="170"/>
      <c r="K969" s="170"/>
      <c r="L969" s="197">
        <v>177.4</v>
      </c>
      <c r="M969" s="386">
        <v>2</v>
      </c>
      <c r="N969" s="208">
        <v>1</v>
      </c>
      <c r="O969" s="170">
        <f>E969</f>
        <v>0</v>
      </c>
      <c r="P969" s="61" t="s">
        <v>92</v>
      </c>
      <c r="Q969" s="170"/>
      <c r="R969" s="192" t="str">
        <f>CONCATENATE(N969,P969)</f>
        <v>1pieces</v>
      </c>
      <c r="S969" s="198">
        <f>M969*N969</f>
        <v>2</v>
      </c>
      <c r="T969" s="199" t="str">
        <f>CONCATENATE(S969,Q969,P969)</f>
        <v>2pieces</v>
      </c>
      <c r="U969" s="200">
        <f>L969*M969</f>
        <v>354.8</v>
      </c>
      <c r="V969" s="12"/>
      <c r="W969" s="12"/>
    </row>
    <row r="970" spans="1:23" x14ac:dyDescent="0.3">
      <c r="A970" s="479">
        <v>357</v>
      </c>
      <c r="B970" s="194" t="s">
        <v>622</v>
      </c>
      <c r="C970" s="170"/>
      <c r="D970" s="194" t="str">
        <f ca="1">IFERROR(__xludf.DUMMYFUNCTION("IF(J277="""",""n/a"",IFERROR(SPLIT(J277,""/"")))"),"n/a")</f>
        <v>n/a</v>
      </c>
      <c r="E970" s="170"/>
      <c r="F970" s="170"/>
      <c r="G970" s="170"/>
      <c r="H970" s="206" t="s">
        <v>1898</v>
      </c>
      <c r="I970" s="170"/>
      <c r="J970" s="170"/>
      <c r="K970" s="170"/>
      <c r="L970" s="197">
        <v>118</v>
      </c>
      <c r="M970" s="386">
        <v>3</v>
      </c>
      <c r="N970" s="208">
        <v>1</v>
      </c>
      <c r="O970" s="170">
        <f>E970</f>
        <v>0</v>
      </c>
      <c r="P970" s="61" t="s">
        <v>92</v>
      </c>
      <c r="Q970" s="170"/>
      <c r="R970" s="192" t="str">
        <f>CONCATENATE(N970,P970)</f>
        <v>1pieces</v>
      </c>
      <c r="S970" s="198">
        <f>M970*N970</f>
        <v>3</v>
      </c>
      <c r="T970" s="199" t="str">
        <f>CONCATENATE(S970,Q970,P970)</f>
        <v>3pieces</v>
      </c>
      <c r="U970" s="200">
        <f>L970*M970</f>
        <v>354</v>
      </c>
      <c r="V970" s="12"/>
      <c r="W970" s="12"/>
    </row>
    <row r="971" spans="1:23" x14ac:dyDescent="0.3">
      <c r="A971" s="479">
        <v>358</v>
      </c>
      <c r="B971" s="194" t="s">
        <v>400</v>
      </c>
      <c r="C971" s="170"/>
      <c r="D971" s="194" t="str">
        <f ca="1">IFERROR(__xludf.DUMMYFUNCTION("IF(J278="""",""n/a"",IFERROR(SPLIT(J278,""/"")))"),"M.Y San")</f>
        <v>M.Y San</v>
      </c>
      <c r="E971" s="194" t="str">
        <f ca="1">IFERROR(__xludf.DUMMYFUNCTION("""COMPUTED_VALUE"""),"pack (210grams)")</f>
        <v>pack (210grams)</v>
      </c>
      <c r="F971" s="170"/>
      <c r="G971" s="170"/>
      <c r="H971" s="183" t="s">
        <v>1895</v>
      </c>
      <c r="I971" s="170"/>
      <c r="J971" s="46" t="s">
        <v>401</v>
      </c>
      <c r="K971" s="170"/>
      <c r="L971" s="195">
        <v>41.9</v>
      </c>
      <c r="M971" s="197">
        <v>15</v>
      </c>
      <c r="N971" s="61">
        <v>1</v>
      </c>
      <c r="O971" s="61" t="str">
        <f ca="1">E971</f>
        <v>pack (210grams)</v>
      </c>
      <c r="P971" s="61" t="s">
        <v>92</v>
      </c>
      <c r="Q971" s="170"/>
      <c r="R971" s="192" t="str">
        <f>CONCATENATE(N971,P971)</f>
        <v>1pieces</v>
      </c>
      <c r="S971" s="198">
        <f>M971*N971</f>
        <v>15</v>
      </c>
      <c r="T971" s="199" t="str">
        <f>CONCATENATE(S971,Q971,P971)</f>
        <v>15pieces</v>
      </c>
      <c r="U971" s="200">
        <f>L971*M971</f>
        <v>628.5</v>
      </c>
      <c r="V971" s="12"/>
      <c r="W971" s="12"/>
    </row>
    <row r="972" spans="1:23" x14ac:dyDescent="0.3">
      <c r="A972" s="479">
        <v>358</v>
      </c>
      <c r="B972" s="194" t="s">
        <v>400</v>
      </c>
      <c r="C972" s="170"/>
      <c r="D972" s="194" t="str">
        <f ca="1">IFERROR(__xludf.DUMMYFUNCTION("IF(J279="""",""n/a"",IFERROR(SPLIT(J279,""/"")))"),"n/a")</f>
        <v>n/a</v>
      </c>
      <c r="E972" s="170"/>
      <c r="F972" s="170"/>
      <c r="G972" s="170"/>
      <c r="H972" s="206" t="s">
        <v>1898</v>
      </c>
      <c r="I972" s="170"/>
      <c r="J972" s="170"/>
      <c r="K972" s="170"/>
      <c r="L972" s="197">
        <v>41.9</v>
      </c>
      <c r="M972" s="386">
        <v>9</v>
      </c>
      <c r="N972" s="208">
        <v>1</v>
      </c>
      <c r="O972" s="170">
        <f>E972</f>
        <v>0</v>
      </c>
      <c r="P972" s="61" t="s">
        <v>92</v>
      </c>
      <c r="Q972" s="170"/>
      <c r="R972" s="192" t="str">
        <f>CONCATENATE(N972,P972)</f>
        <v>1pieces</v>
      </c>
      <c r="S972" s="198">
        <f>M972*N972</f>
        <v>9</v>
      </c>
      <c r="T972" s="199" t="str">
        <f>CONCATENATE(S972,Q972,P972)</f>
        <v>9pieces</v>
      </c>
      <c r="U972" s="200">
        <f>L972*M972</f>
        <v>377.09999999999997</v>
      </c>
      <c r="V972" s="12"/>
      <c r="W972" s="12"/>
    </row>
    <row r="973" spans="1:23" x14ac:dyDescent="0.3">
      <c r="A973" s="193">
        <v>358</v>
      </c>
      <c r="B973" s="46" t="s">
        <v>400</v>
      </c>
      <c r="C973" s="170"/>
      <c r="D973" s="194"/>
      <c r="E973" s="170"/>
      <c r="F973" s="170"/>
      <c r="G973" s="170"/>
      <c r="H973" s="194" t="s">
        <v>2024</v>
      </c>
      <c r="I973" s="170"/>
      <c r="J973" s="46" t="s">
        <v>1181</v>
      </c>
      <c r="K973" s="170"/>
      <c r="L973" s="197">
        <v>41.9</v>
      </c>
      <c r="M973" s="197">
        <v>3</v>
      </c>
      <c r="N973" s="290">
        <v>210</v>
      </c>
      <c r="O973" s="297"/>
      <c r="P973" s="297" t="s">
        <v>39</v>
      </c>
      <c r="Q973" s="170"/>
      <c r="R973" s="192" t="str">
        <f>CONCATENATE(N973,P973)</f>
        <v>210grams</v>
      </c>
      <c r="S973" s="198">
        <f>M973*N973</f>
        <v>630</v>
      </c>
      <c r="T973" s="199" t="str">
        <f>CONCATENATE(S973,Q973,P973)</f>
        <v>630grams</v>
      </c>
      <c r="U973" s="200">
        <f>L973*M973</f>
        <v>125.69999999999999</v>
      </c>
      <c r="V973" s="12"/>
      <c r="W973" s="12"/>
    </row>
    <row r="974" spans="1:23" x14ac:dyDescent="0.3">
      <c r="A974" s="193">
        <v>358</v>
      </c>
      <c r="B974" s="46" t="s">
        <v>400</v>
      </c>
      <c r="C974" s="170"/>
      <c r="D974" s="194"/>
      <c r="E974" s="194"/>
      <c r="F974" s="194"/>
      <c r="G974" s="170"/>
      <c r="H974" s="194" t="s">
        <v>2025</v>
      </c>
      <c r="I974" s="170"/>
      <c r="J974" s="46" t="s">
        <v>1181</v>
      </c>
      <c r="K974" s="170"/>
      <c r="L974" s="197">
        <v>46</v>
      </c>
      <c r="M974" s="197">
        <v>1</v>
      </c>
      <c r="N974" s="290">
        <v>500</v>
      </c>
      <c r="O974" s="297"/>
      <c r="P974" s="297" t="s">
        <v>39</v>
      </c>
      <c r="Q974" s="170"/>
      <c r="R974" s="192" t="str">
        <f>CONCATENATE(N974,P974)</f>
        <v>500grams</v>
      </c>
      <c r="S974" s="198">
        <f>M974*N974</f>
        <v>500</v>
      </c>
      <c r="T974" s="199" t="str">
        <f>CONCATENATE(S974,Q974,P974)</f>
        <v>500grams</v>
      </c>
      <c r="U974" s="200">
        <f>L974*M974</f>
        <v>46</v>
      </c>
      <c r="V974" s="12"/>
      <c r="W974" s="12"/>
    </row>
    <row r="975" spans="1:23" x14ac:dyDescent="0.3">
      <c r="A975" s="193">
        <v>358</v>
      </c>
      <c r="B975" s="219" t="s">
        <v>400</v>
      </c>
      <c r="C975" s="170"/>
      <c r="D975" s="194"/>
      <c r="E975" s="170"/>
      <c r="F975" s="170"/>
      <c r="G975" s="170"/>
      <c r="H975" s="194" t="s">
        <v>2021</v>
      </c>
      <c r="I975" s="170"/>
      <c r="J975" s="46" t="s">
        <v>1181</v>
      </c>
      <c r="K975" s="170"/>
      <c r="L975" s="216">
        <v>41.3</v>
      </c>
      <c r="M975" s="216">
        <v>3</v>
      </c>
      <c r="N975" s="293">
        <v>210</v>
      </c>
      <c r="O975" s="304"/>
      <c r="P975" s="304" t="s">
        <v>39</v>
      </c>
      <c r="Q975" s="170"/>
      <c r="R975" s="192" t="str">
        <f>CONCATENATE(N975,P975)</f>
        <v>210grams</v>
      </c>
      <c r="S975" s="198">
        <f>M975*N975</f>
        <v>630</v>
      </c>
      <c r="T975" s="199" t="str">
        <f>CONCATENATE(S975,Q975,P975)</f>
        <v>630grams</v>
      </c>
      <c r="U975" s="200">
        <f>L975*M975</f>
        <v>123.89999999999999</v>
      </c>
      <c r="V975" s="12"/>
      <c r="W975" s="12"/>
    </row>
    <row r="976" spans="1:23" x14ac:dyDescent="0.3">
      <c r="A976" s="193">
        <v>358</v>
      </c>
      <c r="B976" s="46" t="s">
        <v>400</v>
      </c>
      <c r="C976" s="170"/>
      <c r="D976" s="194"/>
      <c r="E976" s="194"/>
      <c r="F976" s="170"/>
      <c r="G976" s="170"/>
      <c r="H976" s="194" t="s">
        <v>2020</v>
      </c>
      <c r="I976" s="170"/>
      <c r="J976" s="46" t="s">
        <v>1181</v>
      </c>
      <c r="K976" s="170"/>
      <c r="L976" s="197">
        <v>41.9</v>
      </c>
      <c r="M976" s="197">
        <v>2</v>
      </c>
      <c r="N976" s="290">
        <v>210</v>
      </c>
      <c r="O976" s="297"/>
      <c r="P976" s="297" t="s">
        <v>39</v>
      </c>
      <c r="Q976" s="170"/>
      <c r="R976" s="192" t="str">
        <f>CONCATENATE(N976,P976)</f>
        <v>210grams</v>
      </c>
      <c r="S976" s="198">
        <f>M976*N976</f>
        <v>420</v>
      </c>
      <c r="T976" s="199" t="str">
        <f>CONCATENATE(S976,Q976,P976)</f>
        <v>420grams</v>
      </c>
      <c r="U976" s="200">
        <f>L976*M976</f>
        <v>83.8</v>
      </c>
      <c r="V976" s="12"/>
      <c r="W976" s="12"/>
    </row>
    <row r="977" spans="1:23" x14ac:dyDescent="0.3">
      <c r="A977" s="479">
        <v>359</v>
      </c>
      <c r="B977" s="194" t="s">
        <v>402</v>
      </c>
      <c r="C977" s="170"/>
      <c r="D977" s="194" t="str">
        <f ca="1">IFERROR(__xludf.DUMMYFUNCTION("IF(J280="""",""n/a"",IFERROR(SPLIT(J280,""/"")))"),"M.Y San")</f>
        <v>M.Y San</v>
      </c>
      <c r="E977" s="194" t="str">
        <f ca="1">IFERROR(__xludf.DUMMYFUNCTION("""COMPUTED_VALUE"""),"pack (200grams)")</f>
        <v>pack (200grams)</v>
      </c>
      <c r="F977" s="170"/>
      <c r="G977" s="170"/>
      <c r="H977" s="183" t="s">
        <v>1897</v>
      </c>
      <c r="I977" s="170"/>
      <c r="J977" s="46" t="s">
        <v>403</v>
      </c>
      <c r="K977" s="170"/>
      <c r="L977" s="195">
        <v>41.2</v>
      </c>
      <c r="M977" s="202">
        <v>1</v>
      </c>
      <c r="N977" s="203">
        <v>1</v>
      </c>
      <c r="O977" s="61" t="str">
        <f ca="1">E977</f>
        <v>pack (200grams)</v>
      </c>
      <c r="P977" s="61" t="s">
        <v>92</v>
      </c>
      <c r="Q977" s="170"/>
      <c r="R977" s="192" t="str">
        <f>CONCATENATE(N977,P977)</f>
        <v>1pieces</v>
      </c>
      <c r="S977" s="198">
        <f>M977*N977</f>
        <v>1</v>
      </c>
      <c r="T977" s="199" t="str">
        <f>CONCATENATE(S977,Q977,P977)</f>
        <v>1pieces</v>
      </c>
      <c r="U977" s="200">
        <f>L977*M977</f>
        <v>41.2</v>
      </c>
      <c r="V977" s="12"/>
      <c r="W977" s="12"/>
    </row>
    <row r="978" spans="1:23" x14ac:dyDescent="0.3">
      <c r="A978" s="479">
        <v>359</v>
      </c>
      <c r="B978" s="194" t="s">
        <v>402</v>
      </c>
      <c r="C978" s="170"/>
      <c r="D978" s="194" t="str">
        <f ca="1">IFERROR(__xludf.DUMMYFUNCTION("IF(J281="""",""n/a"",IFERROR(SPLIT(J281,""/"")))"),"M.Y San")</f>
        <v>M.Y San</v>
      </c>
      <c r="E978" s="194" t="str">
        <f ca="1">IFERROR(__xludf.DUMMYFUNCTION("""COMPUTED_VALUE"""),"pack (200grams)")</f>
        <v>pack (200grams)</v>
      </c>
      <c r="F978" s="170"/>
      <c r="G978" s="170"/>
      <c r="H978" s="183" t="s">
        <v>1895</v>
      </c>
      <c r="I978" s="170"/>
      <c r="J978" s="46" t="s">
        <v>403</v>
      </c>
      <c r="K978" s="170"/>
      <c r="L978" s="195">
        <v>47.3</v>
      </c>
      <c r="M978" s="197">
        <v>5</v>
      </c>
      <c r="N978" s="61">
        <v>1</v>
      </c>
      <c r="O978" s="61" t="str">
        <f ca="1">E978</f>
        <v>pack (200grams)</v>
      </c>
      <c r="P978" s="61" t="s">
        <v>92</v>
      </c>
      <c r="Q978" s="170"/>
      <c r="R978" s="192" t="str">
        <f>CONCATENATE(N978,P978)</f>
        <v>1pieces</v>
      </c>
      <c r="S978" s="198">
        <f>M978*N978</f>
        <v>5</v>
      </c>
      <c r="T978" s="199" t="str">
        <f>CONCATENATE(S978,Q978,P978)</f>
        <v>5pieces</v>
      </c>
      <c r="U978" s="200">
        <f>L978*M978</f>
        <v>236.5</v>
      </c>
      <c r="V978" s="12"/>
      <c r="W978" s="12"/>
    </row>
    <row r="979" spans="1:23" x14ac:dyDescent="0.3">
      <c r="A979" s="193">
        <v>360</v>
      </c>
      <c r="B979" s="46" t="s">
        <v>1255</v>
      </c>
      <c r="C979" s="170"/>
      <c r="D979" s="194"/>
      <c r="E979" s="194"/>
      <c r="F979" s="170"/>
      <c r="G979" s="170"/>
      <c r="H979" s="194" t="s">
        <v>2025</v>
      </c>
      <c r="I979" s="170"/>
      <c r="J979" s="170"/>
      <c r="K979" s="170"/>
      <c r="L979" s="197">
        <v>270</v>
      </c>
      <c r="M979" s="197">
        <v>0</v>
      </c>
      <c r="N979" s="290">
        <v>1</v>
      </c>
      <c r="O979" s="46"/>
      <c r="P979" s="46" t="s">
        <v>213</v>
      </c>
      <c r="Q979" s="170"/>
      <c r="R979" s="192" t="str">
        <f>CONCATENATE(N979,P979)</f>
        <v>1kilos</v>
      </c>
      <c r="S979" s="198">
        <f>M979*N979</f>
        <v>0</v>
      </c>
      <c r="T979" s="199" t="str">
        <f>CONCATENATE(S979,Q979,P979)</f>
        <v>0kilos</v>
      </c>
      <c r="U979" s="200">
        <f>L979*M979</f>
        <v>0</v>
      </c>
      <c r="V979" s="12"/>
      <c r="W979" s="12"/>
    </row>
    <row r="980" spans="1:23" x14ac:dyDescent="0.3">
      <c r="A980" s="193">
        <v>361</v>
      </c>
      <c r="B980" s="46" t="s">
        <v>1256</v>
      </c>
      <c r="C980" s="170"/>
      <c r="D980" s="194"/>
      <c r="E980" s="194"/>
      <c r="F980" s="170"/>
      <c r="G980" s="170"/>
      <c r="H980" s="194" t="s">
        <v>2026</v>
      </c>
      <c r="I980" s="170"/>
      <c r="J980" s="170"/>
      <c r="K980" s="170"/>
      <c r="L980" s="197">
        <v>180</v>
      </c>
      <c r="M980" s="197">
        <v>0</v>
      </c>
      <c r="N980" s="290">
        <v>1000</v>
      </c>
      <c r="O980" s="46"/>
      <c r="P980" s="46" t="s">
        <v>39</v>
      </c>
      <c r="Q980" s="170"/>
      <c r="R980" s="192" t="str">
        <f>CONCATENATE(N980,P980)</f>
        <v>1000grams</v>
      </c>
      <c r="S980" s="198">
        <f>M980*N980</f>
        <v>0</v>
      </c>
      <c r="T980" s="199" t="str">
        <f>CONCATENATE(S980,Q980,P980)</f>
        <v>0grams</v>
      </c>
      <c r="U980" s="200">
        <f>L980*M980</f>
        <v>0</v>
      </c>
      <c r="V980" s="12"/>
      <c r="W980" s="12"/>
    </row>
    <row r="981" spans="1:23" x14ac:dyDescent="0.3">
      <c r="A981" s="479">
        <v>362</v>
      </c>
      <c r="B981" s="194" t="s">
        <v>623</v>
      </c>
      <c r="C981" s="170"/>
      <c r="D981" s="194" t="str">
        <f ca="1">IFERROR(__xludf.DUMMYFUNCTION("IF(J282="""",""n/a"",IFERROR(SPLIT(J282,""/"")))"),"Jolly")</f>
        <v>Jolly</v>
      </c>
      <c r="E981" s="194" t="str">
        <f ca="1">IFERROR(__xludf.DUMMYFUNCTION("""COMPUTED_VALUE"""),"can")</f>
        <v>can</v>
      </c>
      <c r="F981" s="194" t="str">
        <f ca="1">IFERROR(__xludf.DUMMYFUNCTION("""COMPUTED_VALUE"""),"540grams")</f>
        <v>540grams</v>
      </c>
      <c r="G981" s="170"/>
      <c r="H981" s="183" t="s">
        <v>1897</v>
      </c>
      <c r="I981" s="170"/>
      <c r="J981" s="46" t="s">
        <v>624</v>
      </c>
      <c r="K981" s="170"/>
      <c r="L981" s="195">
        <v>0.09</v>
      </c>
      <c r="M981" s="202">
        <v>1080</v>
      </c>
      <c r="N981" s="203">
        <v>540</v>
      </c>
      <c r="O981" s="61" t="str">
        <f ca="1">E981</f>
        <v>can</v>
      </c>
      <c r="P981" s="61" t="s">
        <v>39</v>
      </c>
      <c r="Q981" s="170"/>
      <c r="R981" s="192" t="str">
        <f>CONCATENATE(N981,P981)</f>
        <v>540grams</v>
      </c>
      <c r="S981" s="198">
        <f>M981*N981</f>
        <v>583200</v>
      </c>
      <c r="T981" s="199" t="str">
        <f>CONCATENATE(S981,Q981,P981)</f>
        <v>583200grams</v>
      </c>
      <c r="U981" s="200">
        <f>L981*M981</f>
        <v>97.2</v>
      </c>
      <c r="V981" s="205"/>
      <c r="W981" s="62"/>
    </row>
    <row r="982" spans="1:23" x14ac:dyDescent="0.3">
      <c r="A982" s="479">
        <v>362</v>
      </c>
      <c r="B982" s="194" t="s">
        <v>623</v>
      </c>
      <c r="C982" s="170"/>
      <c r="D982" s="194" t="str">
        <f ca="1">IFERROR(__xludf.DUMMYFUNCTION("IF(J283="""",""n/a"",IFERROR(SPLIT(J283,""/"")))"),"n/a")</f>
        <v>n/a</v>
      </c>
      <c r="E982" s="170"/>
      <c r="F982" s="170"/>
      <c r="G982" s="170"/>
      <c r="H982" s="206" t="s">
        <v>1898</v>
      </c>
      <c r="I982" s="170"/>
      <c r="J982" s="170"/>
      <c r="K982" s="170"/>
      <c r="L982" s="197">
        <v>0.1</v>
      </c>
      <c r="M982" s="385">
        <v>1620</v>
      </c>
      <c r="N982" s="208">
        <v>540</v>
      </c>
      <c r="O982" s="170">
        <f>E982</f>
        <v>0</v>
      </c>
      <c r="P982" s="61" t="s">
        <v>39</v>
      </c>
      <c r="Q982" s="170"/>
      <c r="R982" s="192" t="str">
        <f>CONCATENATE(N982,P982)</f>
        <v>540grams</v>
      </c>
      <c r="S982" s="198">
        <f>M982*N982</f>
        <v>874800</v>
      </c>
      <c r="T982" s="199" t="str">
        <f>CONCATENATE(S982,Q982,P982)</f>
        <v>874800grams</v>
      </c>
      <c r="U982" s="200">
        <f>L982*M982</f>
        <v>162</v>
      </c>
      <c r="V982" s="12"/>
      <c r="W982" s="12"/>
    </row>
    <row r="983" spans="1:23" x14ac:dyDescent="0.3">
      <c r="A983" s="193">
        <v>362</v>
      </c>
      <c r="B983" s="46" t="s">
        <v>623</v>
      </c>
      <c r="C983" s="170"/>
      <c r="D983" s="194"/>
      <c r="E983" s="194"/>
      <c r="F983" s="194"/>
      <c r="G983" s="170"/>
      <c r="H983" s="194" t="s">
        <v>2022</v>
      </c>
      <c r="I983" s="170"/>
      <c r="J983" s="46" t="s">
        <v>865</v>
      </c>
      <c r="K983" s="170"/>
      <c r="L983" s="197">
        <v>48</v>
      </c>
      <c r="M983" s="197">
        <v>1</v>
      </c>
      <c r="N983" s="290">
        <v>540</v>
      </c>
      <c r="O983" s="46"/>
      <c r="P983" s="46" t="s">
        <v>39</v>
      </c>
      <c r="Q983" s="170"/>
      <c r="R983" s="192" t="str">
        <f>CONCATENATE(N983,P983)</f>
        <v>540grams</v>
      </c>
      <c r="S983" s="198">
        <f>M983*N983</f>
        <v>540</v>
      </c>
      <c r="T983" s="199" t="str">
        <f>CONCATENATE(S983,Q983,P983)</f>
        <v>540grams</v>
      </c>
      <c r="U983" s="200">
        <f>L983*M983</f>
        <v>48</v>
      </c>
      <c r="V983" s="12"/>
      <c r="W983" s="12"/>
    </row>
    <row r="984" spans="1:23" x14ac:dyDescent="0.3">
      <c r="A984" s="193">
        <v>363</v>
      </c>
      <c r="B984" s="46" t="s">
        <v>1257</v>
      </c>
      <c r="C984" s="170"/>
      <c r="D984" s="194"/>
      <c r="E984" s="170"/>
      <c r="F984" s="170"/>
      <c r="G984" s="170"/>
      <c r="H984" s="194" t="s">
        <v>2025</v>
      </c>
      <c r="I984" s="170"/>
      <c r="J984" s="170"/>
      <c r="K984" s="170"/>
      <c r="L984" s="197">
        <v>1</v>
      </c>
      <c r="M984" s="197">
        <v>9</v>
      </c>
      <c r="N984" s="290">
        <v>1</v>
      </c>
      <c r="O984" s="46"/>
      <c r="P984" s="46" t="s">
        <v>92</v>
      </c>
      <c r="Q984" s="170"/>
      <c r="R984" s="192" t="str">
        <f>CONCATENATE(N984,P984)</f>
        <v>1pieces</v>
      </c>
      <c r="S984" s="198">
        <f>M984*N984</f>
        <v>9</v>
      </c>
      <c r="T984" s="199" t="str">
        <f>CONCATENATE(S984,Q984,P984)</f>
        <v>9pieces</v>
      </c>
      <c r="U984" s="200">
        <f>L984*M984</f>
        <v>9</v>
      </c>
      <c r="V984" s="12"/>
      <c r="W984" s="12"/>
    </row>
    <row r="985" spans="1:23" x14ac:dyDescent="0.3">
      <c r="A985" s="479">
        <v>364</v>
      </c>
      <c r="B985" s="194" t="s">
        <v>625</v>
      </c>
      <c r="C985" s="170"/>
      <c r="D985" s="194" t="str">
        <f ca="1">IFERROR(__xludf.DUMMYFUNCTION("IF(J284="""",""n/a"",IFERROR(SPLIT(J284,""/"")))"),"Great Taste")</f>
        <v>Great Taste</v>
      </c>
      <c r="E985" s="194" t="str">
        <f ca="1">IFERROR(__xludf.DUMMYFUNCTION("""COMPUTED_VALUE"""),"pack (10pcsx30grams)")</f>
        <v>pack (10pcsx30grams)</v>
      </c>
      <c r="F985" s="170"/>
      <c r="G985" s="170"/>
      <c r="H985" s="183" t="s">
        <v>1897</v>
      </c>
      <c r="I985" s="170"/>
      <c r="J985" s="46" t="s">
        <v>626</v>
      </c>
      <c r="K985" s="170"/>
      <c r="L985" s="204">
        <v>7.72</v>
      </c>
      <c r="M985" s="202">
        <v>314</v>
      </c>
      <c r="N985" s="203">
        <v>1</v>
      </c>
      <c r="O985" s="61" t="str">
        <f ca="1">E985</f>
        <v>pack (10pcsx30grams)</v>
      </c>
      <c r="P985" s="61" t="s">
        <v>92</v>
      </c>
      <c r="Q985" s="170"/>
      <c r="R985" s="192" t="str">
        <f>CONCATENATE(N985,P985)</f>
        <v>1pieces</v>
      </c>
      <c r="S985" s="198">
        <f>M985*N985</f>
        <v>314</v>
      </c>
      <c r="T985" s="199" t="str">
        <f>CONCATENATE(S985,Q985,P985)</f>
        <v>314pieces</v>
      </c>
      <c r="U985" s="200">
        <f>L985*M985</f>
        <v>2424.08</v>
      </c>
      <c r="V985" s="205"/>
      <c r="W985" s="62"/>
    </row>
    <row r="986" spans="1:23" x14ac:dyDescent="0.3">
      <c r="A986" s="479">
        <v>364</v>
      </c>
      <c r="B986" s="194" t="s">
        <v>627</v>
      </c>
      <c r="C986" s="170"/>
      <c r="D986" s="194" t="str">
        <f ca="1">IFERROR(__xludf.DUMMYFUNCTION("IF(J285="""",""n/a"",IFERROR(SPLIT(J285,""/"")))"),"n/a")</f>
        <v>n/a</v>
      </c>
      <c r="E986" s="170"/>
      <c r="F986" s="170"/>
      <c r="G986" s="170"/>
      <c r="H986" s="206" t="s">
        <v>1898</v>
      </c>
      <c r="I986" s="170"/>
      <c r="J986" s="170"/>
      <c r="K986" s="170"/>
      <c r="L986" s="197">
        <v>7.9</v>
      </c>
      <c r="M986" s="385">
        <v>30</v>
      </c>
      <c r="N986" s="208">
        <v>10</v>
      </c>
      <c r="O986" s="170">
        <f>E986</f>
        <v>0</v>
      </c>
      <c r="P986" s="209" t="s">
        <v>92</v>
      </c>
      <c r="Q986" s="170"/>
      <c r="R986" s="192" t="str">
        <f>CONCATENATE(N986,P986)</f>
        <v>10pieces</v>
      </c>
      <c r="S986" s="198">
        <f>M986*N986</f>
        <v>300</v>
      </c>
      <c r="T986" s="199" t="str">
        <f>CONCATENATE(S986,Q986,P986)</f>
        <v>300pieces</v>
      </c>
      <c r="U986" s="200">
        <f>L986*M986</f>
        <v>237</v>
      </c>
      <c r="V986" s="12"/>
      <c r="W986" s="12"/>
    </row>
    <row r="987" spans="1:23" x14ac:dyDescent="0.3">
      <c r="A987" s="193">
        <v>365</v>
      </c>
      <c r="B987" s="219" t="s">
        <v>1258</v>
      </c>
      <c r="C987" s="170"/>
      <c r="D987" s="194"/>
      <c r="E987" s="170"/>
      <c r="F987" s="170"/>
      <c r="G987" s="170"/>
      <c r="H987" s="194" t="s">
        <v>2021</v>
      </c>
      <c r="I987" s="170"/>
      <c r="J987" s="219" t="s">
        <v>963</v>
      </c>
      <c r="K987" s="170"/>
      <c r="L987" s="216">
        <v>159.80000000000001</v>
      </c>
      <c r="M987" s="216">
        <v>4</v>
      </c>
      <c r="N987" s="293">
        <v>160</v>
      </c>
      <c r="O987" s="219"/>
      <c r="P987" s="219" t="s">
        <v>519</v>
      </c>
      <c r="Q987" s="170"/>
      <c r="R987" s="192" t="str">
        <f>CONCATENATE(N987,P987)</f>
        <v>160drained weight grams</v>
      </c>
      <c r="S987" s="198">
        <f>M987*N987</f>
        <v>640</v>
      </c>
      <c r="T987" s="199" t="str">
        <f>CONCATENATE(S987,Q987,P987)</f>
        <v>640drained weight grams</v>
      </c>
      <c r="U987" s="200">
        <f>L987*M987</f>
        <v>639.20000000000005</v>
      </c>
      <c r="V987" s="12"/>
      <c r="W987" s="12"/>
    </row>
    <row r="988" spans="1:23" x14ac:dyDescent="0.3">
      <c r="A988" s="193">
        <v>365</v>
      </c>
      <c r="B988" s="219" t="s">
        <v>1258</v>
      </c>
      <c r="C988" s="215"/>
      <c r="D988" s="194"/>
      <c r="E988" s="215"/>
      <c r="F988" s="215"/>
      <c r="G988" s="215"/>
      <c r="H988" s="194" t="s">
        <v>2021</v>
      </c>
      <c r="I988" s="170"/>
      <c r="J988" s="219" t="s">
        <v>881</v>
      </c>
      <c r="K988" s="170"/>
      <c r="L988" s="216">
        <v>198</v>
      </c>
      <c r="M988" s="216">
        <v>2</v>
      </c>
      <c r="N988" s="293">
        <v>200</v>
      </c>
      <c r="O988" s="219"/>
      <c r="P988" s="219" t="s">
        <v>39</v>
      </c>
      <c r="Q988" s="170"/>
      <c r="R988" s="192" t="str">
        <f>CONCATENATE(N988,P988)</f>
        <v>200grams</v>
      </c>
      <c r="S988" s="198">
        <f>M988*N988</f>
        <v>400</v>
      </c>
      <c r="T988" s="199" t="str">
        <f>CONCATENATE(S988,Q988,P988)</f>
        <v>400grams</v>
      </c>
      <c r="U988" s="200">
        <f>L988*M988</f>
        <v>396</v>
      </c>
      <c r="V988" s="12"/>
      <c r="W988" s="12"/>
    </row>
    <row r="989" spans="1:23" x14ac:dyDescent="0.3">
      <c r="A989" s="193">
        <v>366</v>
      </c>
      <c r="B989" s="46" t="s">
        <v>1259</v>
      </c>
      <c r="C989" s="215"/>
      <c r="D989" s="194"/>
      <c r="E989" s="215"/>
      <c r="F989" s="215"/>
      <c r="G989" s="215"/>
      <c r="H989" s="194" t="s">
        <v>1368</v>
      </c>
      <c r="I989" s="170"/>
      <c r="J989" s="46" t="s">
        <v>1184</v>
      </c>
      <c r="K989" s="170"/>
      <c r="L989" s="197">
        <v>29</v>
      </c>
      <c r="M989" s="197">
        <v>2</v>
      </c>
      <c r="N989" s="290">
        <v>400</v>
      </c>
      <c r="O989" s="46"/>
      <c r="P989" s="46" t="s">
        <v>39</v>
      </c>
      <c r="Q989" s="170"/>
      <c r="R989" s="192" t="str">
        <f>CONCATENATE(N989,P989)</f>
        <v>400grams</v>
      </c>
      <c r="S989" s="198">
        <f>M989*N989</f>
        <v>800</v>
      </c>
      <c r="T989" s="199" t="str">
        <f>CONCATENATE(S989,Q989,P989)</f>
        <v>800grams</v>
      </c>
      <c r="U989" s="200">
        <f>L989*M989</f>
        <v>58</v>
      </c>
      <c r="V989" s="12"/>
      <c r="W989" s="12"/>
    </row>
    <row r="990" spans="1:23" x14ac:dyDescent="0.3">
      <c r="A990" s="193">
        <v>366</v>
      </c>
      <c r="B990" s="46" t="s">
        <v>1259</v>
      </c>
      <c r="C990" s="215"/>
      <c r="D990" s="194"/>
      <c r="E990" s="215"/>
      <c r="F990" s="215"/>
      <c r="G990" s="215"/>
      <c r="H990" s="194" t="s">
        <v>2023</v>
      </c>
      <c r="I990" s="170"/>
      <c r="J990" s="46" t="s">
        <v>959</v>
      </c>
      <c r="K990" s="170"/>
      <c r="L990" s="197">
        <v>23.9</v>
      </c>
      <c r="M990" s="197">
        <v>10</v>
      </c>
      <c r="N990" s="290">
        <v>113</v>
      </c>
      <c r="O990" s="307"/>
      <c r="P990" s="307" t="s">
        <v>519</v>
      </c>
      <c r="Q990" s="170"/>
      <c r="R990" s="192" t="str">
        <f>CONCATENATE(N990,P990)</f>
        <v>113drained weight grams</v>
      </c>
      <c r="S990" s="198">
        <f>M990*N990</f>
        <v>1130</v>
      </c>
      <c r="T990" s="199" t="str">
        <f>CONCATENATE(S990,Q990,P990)</f>
        <v>1130drained weight grams</v>
      </c>
      <c r="U990" s="200">
        <f>L990*M990</f>
        <v>239</v>
      </c>
      <c r="V990" s="12"/>
      <c r="W990" s="12"/>
    </row>
    <row r="991" spans="1:23" x14ac:dyDescent="0.3">
      <c r="A991" s="479">
        <v>367</v>
      </c>
      <c r="B991" s="214" t="s">
        <v>141</v>
      </c>
      <c r="C991" s="215"/>
      <c r="D991" s="194" t="str">
        <f ca="1">IFERROR(__xludf.DUMMYFUNCTION("IF(J286="""",""n/a"",IFERROR(SPLIT(J286,""/"")))"),"Lipton")</f>
        <v>Lipton</v>
      </c>
      <c r="E991" s="214" t="str">
        <f ca="1">IFERROR(__xludf.DUMMYFUNCTION("""COMPUTED_VALUE"""),"box (pcsx1.5grams)")</f>
        <v>box (pcsx1.5grams)</v>
      </c>
      <c r="F991" s="215"/>
      <c r="G991" s="215"/>
      <c r="H991" s="183" t="s">
        <v>1895</v>
      </c>
      <c r="I991" s="170"/>
      <c r="J991" s="46" t="s">
        <v>142</v>
      </c>
      <c r="K991" s="170"/>
      <c r="L991" s="195">
        <v>8.59</v>
      </c>
      <c r="M991" s="197">
        <v>12</v>
      </c>
      <c r="N991" s="61">
        <v>14</v>
      </c>
      <c r="O991" s="61" t="str">
        <f ca="1">E991</f>
        <v>box (pcsx1.5grams)</v>
      </c>
      <c r="P991" s="61" t="s">
        <v>92</v>
      </c>
      <c r="Q991" s="170"/>
      <c r="R991" s="192" t="str">
        <f>CONCATENATE(N991,P991)</f>
        <v>14pieces</v>
      </c>
      <c r="S991" s="198">
        <f>M991*N991</f>
        <v>168</v>
      </c>
      <c r="T991" s="199" t="str">
        <f>CONCATENATE(S991,Q991,P991)</f>
        <v>168pieces</v>
      </c>
      <c r="U991" s="200">
        <f>L991*M991</f>
        <v>103.08</v>
      </c>
      <c r="V991" s="12"/>
      <c r="W991" s="12"/>
    </row>
    <row r="992" spans="1:23" x14ac:dyDescent="0.3">
      <c r="A992" s="479">
        <v>367</v>
      </c>
      <c r="B992" s="194" t="s">
        <v>141</v>
      </c>
      <c r="C992" s="170"/>
      <c r="D992" s="194" t="str">
        <f ca="1">IFERROR(__xludf.DUMMYFUNCTION("IF(J287="""",""n/a"",IFERROR(SPLIT(J287,""/"")))"),"n/a")</f>
        <v>n/a</v>
      </c>
      <c r="E992" s="170"/>
      <c r="F992" s="170"/>
      <c r="G992" s="170"/>
      <c r="H992" s="206" t="s">
        <v>1898</v>
      </c>
      <c r="I992" s="170"/>
      <c r="J992" s="170"/>
      <c r="K992" s="170"/>
      <c r="L992" s="197">
        <v>34.06</v>
      </c>
      <c r="M992" s="385">
        <v>50</v>
      </c>
      <c r="N992" s="208">
        <v>14</v>
      </c>
      <c r="O992" s="170">
        <f>E992</f>
        <v>0</v>
      </c>
      <c r="P992" s="209" t="s">
        <v>92</v>
      </c>
      <c r="Q992" s="170"/>
      <c r="R992" s="192" t="str">
        <f>CONCATENATE(N992,P992)</f>
        <v>14pieces</v>
      </c>
      <c r="S992" s="198">
        <f>M992*N992</f>
        <v>700</v>
      </c>
      <c r="T992" s="199" t="str">
        <f>CONCATENATE(S992,Q992,P992)</f>
        <v>700pieces</v>
      </c>
      <c r="U992" s="200">
        <f>L992*M992</f>
        <v>1703</v>
      </c>
      <c r="V992" s="12"/>
      <c r="W992" s="12"/>
    </row>
    <row r="993" spans="1:23" x14ac:dyDescent="0.3">
      <c r="A993" s="193">
        <v>367</v>
      </c>
      <c r="B993" s="46" t="s">
        <v>141</v>
      </c>
      <c r="C993" s="215"/>
      <c r="D993" s="194"/>
      <c r="E993" s="215"/>
      <c r="F993" s="215"/>
      <c r="G993" s="215"/>
      <c r="H993" s="400" t="s">
        <v>2027</v>
      </c>
      <c r="I993" s="170"/>
      <c r="J993" s="46" t="s">
        <v>1932</v>
      </c>
      <c r="K993" s="170"/>
      <c r="L993" s="195">
        <v>2.31</v>
      </c>
      <c r="M993" s="197">
        <v>49</v>
      </c>
      <c r="N993" s="360">
        <v>1</v>
      </c>
      <c r="O993" s="61"/>
      <c r="P993" s="61" t="s">
        <v>92</v>
      </c>
      <c r="Q993" s="170"/>
      <c r="R993" s="192" t="str">
        <f>CONCATENATE(N993,P993)</f>
        <v>1pieces</v>
      </c>
      <c r="S993" s="198">
        <f>M993*N993</f>
        <v>49</v>
      </c>
      <c r="T993" s="199" t="str">
        <f>CONCATENATE(S993,Q993,P993)</f>
        <v>49pieces</v>
      </c>
      <c r="U993" s="200">
        <f>L993*M993</f>
        <v>113.19</v>
      </c>
      <c r="V993" s="12"/>
      <c r="W993" s="12"/>
    </row>
    <row r="994" spans="1:23" x14ac:dyDescent="0.3">
      <c r="A994" s="193">
        <v>368</v>
      </c>
      <c r="B994" s="219" t="s">
        <v>1260</v>
      </c>
      <c r="C994" s="215"/>
      <c r="D994" s="194"/>
      <c r="E994" s="215"/>
      <c r="F994" s="215"/>
      <c r="G994" s="215"/>
      <c r="H994" s="194" t="s">
        <v>2021</v>
      </c>
      <c r="I994" s="170"/>
      <c r="J994" s="219" t="s">
        <v>1261</v>
      </c>
      <c r="K994" s="170"/>
      <c r="L994" s="216">
        <v>199.95</v>
      </c>
      <c r="M994" s="216">
        <v>1</v>
      </c>
      <c r="N994" s="293">
        <v>199</v>
      </c>
      <c r="O994" s="219"/>
      <c r="P994" s="219" t="s">
        <v>39</v>
      </c>
      <c r="Q994" s="170"/>
      <c r="R994" s="192" t="str">
        <f>CONCATENATE(N994,P994)</f>
        <v>199grams</v>
      </c>
      <c r="S994" s="198">
        <f>M994*N994</f>
        <v>199</v>
      </c>
      <c r="T994" s="199" t="str">
        <f>CONCATENATE(S994,Q994,P994)</f>
        <v>199grams</v>
      </c>
      <c r="U994" s="200">
        <f>L994*M994</f>
        <v>199.95</v>
      </c>
      <c r="V994" s="12"/>
      <c r="W994" s="12"/>
    </row>
    <row r="995" spans="1:23" x14ac:dyDescent="0.3">
      <c r="A995" s="193">
        <v>368</v>
      </c>
      <c r="B995" s="46" t="s">
        <v>1260</v>
      </c>
      <c r="C995" s="215"/>
      <c r="D995" s="194"/>
      <c r="E995" s="215"/>
      <c r="F995" s="215"/>
      <c r="G995" s="215"/>
      <c r="H995" s="194" t="s">
        <v>2025</v>
      </c>
      <c r="I995" s="170"/>
      <c r="J995" s="46" t="s">
        <v>854</v>
      </c>
      <c r="K995" s="170"/>
      <c r="L995" s="197">
        <v>74.5</v>
      </c>
      <c r="M995" s="197">
        <v>1</v>
      </c>
      <c r="N995" s="290">
        <v>30</v>
      </c>
      <c r="O995" s="46"/>
      <c r="P995" s="46" t="s">
        <v>39</v>
      </c>
      <c r="Q995" s="170"/>
      <c r="R995" s="192" t="str">
        <f>CONCATENATE(N995,P995)</f>
        <v>30grams</v>
      </c>
      <c r="S995" s="198">
        <f>M995*N995</f>
        <v>30</v>
      </c>
      <c r="T995" s="199" t="str">
        <f>CONCATENATE(S995,Q995,P995)</f>
        <v>30grams</v>
      </c>
      <c r="U995" s="200">
        <f>L995*M995</f>
        <v>74.5</v>
      </c>
      <c r="V995" s="12"/>
      <c r="W995" s="12"/>
    </row>
    <row r="996" spans="1:23" x14ac:dyDescent="0.3">
      <c r="A996" s="193">
        <v>368</v>
      </c>
      <c r="B996" s="219" t="s">
        <v>1260</v>
      </c>
      <c r="C996" s="215"/>
      <c r="D996" s="194"/>
      <c r="E996" s="215"/>
      <c r="F996" s="215"/>
      <c r="G996" s="215"/>
      <c r="H996" s="194" t="s">
        <v>2026</v>
      </c>
      <c r="I996" s="170"/>
      <c r="J996" s="219" t="s">
        <v>854</v>
      </c>
      <c r="K996" s="170"/>
      <c r="L996" s="197">
        <v>68</v>
      </c>
      <c r="M996" s="197">
        <v>0</v>
      </c>
      <c r="N996" s="290">
        <v>30</v>
      </c>
      <c r="O996" s="46"/>
      <c r="P996" s="46" t="s">
        <v>39</v>
      </c>
      <c r="Q996" s="170"/>
      <c r="R996" s="192" t="str">
        <f>CONCATENATE(N996,P996)</f>
        <v>30grams</v>
      </c>
      <c r="S996" s="198">
        <f>M996*N996</f>
        <v>0</v>
      </c>
      <c r="T996" s="199" t="str">
        <f>CONCATENATE(S996,Q996,P996)</f>
        <v>0grams</v>
      </c>
      <c r="U996" s="200">
        <f>L996*M996</f>
        <v>0</v>
      </c>
      <c r="V996" s="12"/>
      <c r="W996" s="12"/>
    </row>
    <row r="997" spans="1:23" x14ac:dyDescent="0.3">
      <c r="A997" s="193">
        <v>368</v>
      </c>
      <c r="B997" s="317" t="s">
        <v>1260</v>
      </c>
      <c r="C997" s="215"/>
      <c r="D997" s="194"/>
      <c r="E997" s="215"/>
      <c r="F997" s="215"/>
      <c r="G997" s="215"/>
      <c r="H997" s="194" t="s">
        <v>2023</v>
      </c>
      <c r="I997" s="170"/>
      <c r="J997" s="219" t="s">
        <v>854</v>
      </c>
      <c r="K997" s="170"/>
      <c r="L997" s="197">
        <v>98</v>
      </c>
      <c r="M997" s="197">
        <v>1</v>
      </c>
      <c r="N997" s="290">
        <v>30</v>
      </c>
      <c r="O997" s="46"/>
      <c r="P997" s="46" t="s">
        <v>39</v>
      </c>
      <c r="Q997" s="170"/>
      <c r="R997" s="192" t="str">
        <f>CONCATENATE(N997,P997)</f>
        <v>30grams</v>
      </c>
      <c r="S997" s="198">
        <f>M997*N997</f>
        <v>30</v>
      </c>
      <c r="T997" s="199" t="str">
        <f>CONCATENATE(S997,Q997,P997)</f>
        <v>30grams</v>
      </c>
      <c r="U997" s="200">
        <f>L997*M997</f>
        <v>98</v>
      </c>
      <c r="V997" s="12"/>
      <c r="W997" s="12"/>
    </row>
    <row r="998" spans="1:23" x14ac:dyDescent="0.3">
      <c r="A998" s="193">
        <v>368</v>
      </c>
      <c r="B998" s="486" t="s">
        <v>1260</v>
      </c>
      <c r="C998" s="215"/>
      <c r="D998" s="194"/>
      <c r="E998" s="215"/>
      <c r="F998" s="215"/>
      <c r="G998" s="215"/>
      <c r="H998" s="194" t="s">
        <v>2021</v>
      </c>
      <c r="I998" s="170"/>
      <c r="J998" s="219" t="s">
        <v>854</v>
      </c>
      <c r="K998" s="170"/>
      <c r="L998" s="216">
        <v>74.5</v>
      </c>
      <c r="M998" s="216">
        <v>2</v>
      </c>
      <c r="N998" s="293">
        <v>30</v>
      </c>
      <c r="O998" s="219"/>
      <c r="P998" s="219" t="s">
        <v>39</v>
      </c>
      <c r="Q998" s="170"/>
      <c r="R998" s="192" t="str">
        <f>CONCATENATE(N998,P998)</f>
        <v>30grams</v>
      </c>
      <c r="S998" s="198">
        <f>M998*N998</f>
        <v>60</v>
      </c>
      <c r="T998" s="199" t="str">
        <f>CONCATENATE(S998,Q998,P998)</f>
        <v>60grams</v>
      </c>
      <c r="U998" s="200">
        <f>L998*M998</f>
        <v>149</v>
      </c>
      <c r="V998" s="12"/>
      <c r="W998" s="12"/>
    </row>
    <row r="999" spans="1:23" x14ac:dyDescent="0.3">
      <c r="A999" s="479">
        <v>369</v>
      </c>
      <c r="B999" s="194" t="s">
        <v>628</v>
      </c>
      <c r="C999" s="170"/>
      <c r="D999" s="194" t="str">
        <f ca="1">IFERROR(__xludf.DUMMYFUNCTION("IF(J288="""",""n/a"",IFERROR(SPLIT(J288,""/"")))"),"n/a")</f>
        <v>n/a</v>
      </c>
      <c r="E999" s="170"/>
      <c r="F999" s="170"/>
      <c r="G999" s="170"/>
      <c r="H999" s="206" t="s">
        <v>1898</v>
      </c>
      <c r="I999" s="170"/>
      <c r="J999" s="170"/>
      <c r="K999" s="170"/>
      <c r="L999" s="197">
        <v>1.97</v>
      </c>
      <c r="M999" s="385">
        <v>30</v>
      </c>
      <c r="N999" s="208">
        <v>30</v>
      </c>
      <c r="O999" s="170">
        <f>E999</f>
        <v>0</v>
      </c>
      <c r="P999" s="61" t="s">
        <v>39</v>
      </c>
      <c r="Q999" s="170"/>
      <c r="R999" s="192" t="str">
        <f>CONCATENATE(N999,P999)</f>
        <v>30grams</v>
      </c>
      <c r="S999" s="198">
        <f>M999*N999</f>
        <v>900</v>
      </c>
      <c r="T999" s="199" t="str">
        <f>CONCATENATE(S999,Q999,P999)</f>
        <v>900grams</v>
      </c>
      <c r="U999" s="200">
        <f>L999*M999</f>
        <v>59.1</v>
      </c>
      <c r="V999" s="12"/>
      <c r="W999" s="12"/>
    </row>
    <row r="1000" spans="1:23" x14ac:dyDescent="0.3">
      <c r="A1000" s="193">
        <v>370</v>
      </c>
      <c r="B1000" s="46" t="s">
        <v>1262</v>
      </c>
      <c r="C1000" s="215"/>
      <c r="D1000" s="194"/>
      <c r="E1000" s="215"/>
      <c r="F1000" s="215"/>
      <c r="G1000" s="215"/>
      <c r="H1000" s="194" t="s">
        <v>29</v>
      </c>
      <c r="I1000" s="170"/>
      <c r="J1000" s="46" t="s">
        <v>1263</v>
      </c>
      <c r="K1000" s="170"/>
      <c r="L1000" s="197">
        <v>9.17</v>
      </c>
      <c r="M1000" s="197">
        <v>18</v>
      </c>
      <c r="N1000" s="290">
        <v>25</v>
      </c>
      <c r="O1000" s="46"/>
      <c r="P1000" s="46" t="s">
        <v>39</v>
      </c>
      <c r="Q1000" s="170"/>
      <c r="R1000" s="192" t="str">
        <f>CONCATENATE(N1000,P1000)</f>
        <v>25grams</v>
      </c>
      <c r="S1000" s="198">
        <f>M1000*N1000</f>
        <v>450</v>
      </c>
      <c r="T1000" s="199" t="str">
        <f>CONCATENATE(S1000,Q1000,P1000)</f>
        <v>450grams</v>
      </c>
      <c r="U1000" s="200">
        <f>L1000*M1000</f>
        <v>165.06</v>
      </c>
      <c r="V1000" s="12"/>
      <c r="W1000" s="12"/>
    </row>
    <row r="1001" spans="1:23" x14ac:dyDescent="0.3">
      <c r="A1001" s="193">
        <v>370</v>
      </c>
      <c r="B1001" s="46" t="s">
        <v>1262</v>
      </c>
      <c r="C1001" s="215"/>
      <c r="D1001" s="194"/>
      <c r="E1001" s="215"/>
      <c r="F1001" s="215"/>
      <c r="G1001" s="215"/>
      <c r="H1001" s="194" t="s">
        <v>2024</v>
      </c>
      <c r="I1001" s="170"/>
      <c r="J1001" s="46" t="s">
        <v>1264</v>
      </c>
      <c r="K1001" s="170"/>
      <c r="L1001" s="197">
        <v>12.76</v>
      </c>
      <c r="M1001" s="197">
        <v>6</v>
      </c>
      <c r="N1001" s="290">
        <v>25</v>
      </c>
      <c r="O1001" s="46"/>
      <c r="P1001" s="46" t="s">
        <v>39</v>
      </c>
      <c r="Q1001" s="170"/>
      <c r="R1001" s="192" t="str">
        <f>CONCATENATE(N1001,P1001)</f>
        <v>25grams</v>
      </c>
      <c r="S1001" s="198">
        <f>M1001*N1001</f>
        <v>150</v>
      </c>
      <c r="T1001" s="199" t="str">
        <f>CONCATENATE(S1001,Q1001,P1001)</f>
        <v>150grams</v>
      </c>
      <c r="U1001" s="200">
        <f>L1001*M1001</f>
        <v>76.56</v>
      </c>
      <c r="V1001" s="12"/>
      <c r="W1001" s="12"/>
    </row>
    <row r="1002" spans="1:23" x14ac:dyDescent="0.3">
      <c r="A1002" s="193">
        <v>370</v>
      </c>
      <c r="B1002" s="46" t="s">
        <v>1262</v>
      </c>
      <c r="C1002" s="215"/>
      <c r="D1002" s="194"/>
      <c r="E1002" s="215"/>
      <c r="F1002" s="215"/>
      <c r="G1002" s="215"/>
      <c r="H1002" s="194" t="s">
        <v>2020</v>
      </c>
      <c r="I1002" s="170"/>
      <c r="J1002" s="46" t="s">
        <v>1263</v>
      </c>
      <c r="K1002" s="170"/>
      <c r="L1002" s="197">
        <v>13</v>
      </c>
      <c r="M1002" s="197">
        <v>2</v>
      </c>
      <c r="N1002" s="290">
        <v>25</v>
      </c>
      <c r="O1002" s="46"/>
      <c r="P1002" s="46" t="s">
        <v>39</v>
      </c>
      <c r="Q1002" s="170"/>
      <c r="R1002" s="192" t="str">
        <f>CONCATENATE(N1002,P1002)</f>
        <v>25grams</v>
      </c>
      <c r="S1002" s="198">
        <f>M1002*N1002</f>
        <v>50</v>
      </c>
      <c r="T1002" s="199" t="str">
        <f>CONCATENATE(S1002,Q1002,P1002)</f>
        <v>50grams</v>
      </c>
      <c r="U1002" s="200">
        <f>L1002*M1002</f>
        <v>26</v>
      </c>
      <c r="V1002" s="12"/>
      <c r="W1002" s="12"/>
    </row>
    <row r="1003" spans="1:23" x14ac:dyDescent="0.3">
      <c r="A1003" s="479">
        <v>371</v>
      </c>
      <c r="B1003" s="194" t="s">
        <v>629</v>
      </c>
      <c r="C1003" s="170"/>
      <c r="D1003" s="194" t="str">
        <f ca="1">IFERROR(__xludf.DUMMYFUNCTION("IF(J289="""",""n/a"",IFERROR(SPLIT(J289,""/"")))"),"Mr Gulaman")</f>
        <v>Mr Gulaman</v>
      </c>
      <c r="E1003" s="194" t="str">
        <f ca="1">IFERROR(__xludf.DUMMYFUNCTION("""COMPUTED_VALUE"""),"box")</f>
        <v>box</v>
      </c>
      <c r="F1003" s="194" t="str">
        <f ca="1">IFERROR(__xludf.DUMMYFUNCTION("""COMPUTED_VALUE"""),"(10sachetx25grams)")</f>
        <v>(10sachetx25grams)</v>
      </c>
      <c r="G1003" s="170"/>
      <c r="H1003" s="183" t="s">
        <v>1897</v>
      </c>
      <c r="I1003" s="170"/>
      <c r="J1003" s="46" t="s">
        <v>69</v>
      </c>
      <c r="K1003" s="170"/>
      <c r="L1003" s="195">
        <v>0.51</v>
      </c>
      <c r="M1003" s="202">
        <v>600</v>
      </c>
      <c r="N1003" s="203">
        <v>25</v>
      </c>
      <c r="O1003" s="61" t="str">
        <f ca="1">E1003</f>
        <v>box</v>
      </c>
      <c r="P1003" s="61" t="s">
        <v>39</v>
      </c>
      <c r="Q1003" s="170"/>
      <c r="R1003" s="192" t="str">
        <f>CONCATENATE(N1003,P1003)</f>
        <v>25grams</v>
      </c>
      <c r="S1003" s="198">
        <f>M1003*N1003</f>
        <v>15000</v>
      </c>
      <c r="T1003" s="199" t="str">
        <f>CONCATENATE(S1003,Q1003,P1003)</f>
        <v>15000grams</v>
      </c>
      <c r="U1003" s="200">
        <f>L1003*M1003</f>
        <v>306</v>
      </c>
      <c r="V1003" s="205"/>
      <c r="W1003" s="62"/>
    </row>
    <row r="1004" spans="1:23" x14ac:dyDescent="0.3">
      <c r="A1004" s="193">
        <v>371</v>
      </c>
      <c r="B1004" s="46" t="s">
        <v>629</v>
      </c>
      <c r="C1004" s="215"/>
      <c r="D1004" s="194"/>
      <c r="E1004" s="215"/>
      <c r="F1004" s="215"/>
      <c r="G1004" s="215"/>
      <c r="H1004" s="194" t="s">
        <v>2024</v>
      </c>
      <c r="I1004" s="170"/>
      <c r="J1004" s="46" t="s">
        <v>1264</v>
      </c>
      <c r="K1004" s="170"/>
      <c r="L1004" s="197">
        <v>11.58</v>
      </c>
      <c r="M1004" s="197">
        <v>10</v>
      </c>
      <c r="N1004" s="290">
        <v>25</v>
      </c>
      <c r="O1004" s="46"/>
      <c r="P1004" s="46" t="s">
        <v>39</v>
      </c>
      <c r="Q1004" s="170"/>
      <c r="R1004" s="192" t="str">
        <f>CONCATENATE(N1004,P1004)</f>
        <v>25grams</v>
      </c>
      <c r="S1004" s="198">
        <f>M1004*N1004</f>
        <v>250</v>
      </c>
      <c r="T1004" s="199" t="str">
        <f>CONCATENATE(S1004,Q1004,P1004)</f>
        <v>250grams</v>
      </c>
      <c r="U1004" s="200">
        <f>L1004*M1004</f>
        <v>115.8</v>
      </c>
      <c r="V1004" s="12"/>
      <c r="W1004" s="12"/>
    </row>
    <row r="1005" spans="1:23" x14ac:dyDescent="0.3">
      <c r="A1005" s="193">
        <v>371</v>
      </c>
      <c r="B1005" s="46" t="s">
        <v>629</v>
      </c>
      <c r="C1005" s="215"/>
      <c r="D1005" s="194"/>
      <c r="E1005" s="215"/>
      <c r="F1005" s="215"/>
      <c r="G1005" s="215"/>
      <c r="H1005" s="194" t="s">
        <v>2024</v>
      </c>
      <c r="I1005" s="170"/>
      <c r="J1005" s="46" t="s">
        <v>1264</v>
      </c>
      <c r="K1005" s="170"/>
      <c r="L1005" s="197">
        <v>11.58</v>
      </c>
      <c r="M1005" s="197">
        <v>10</v>
      </c>
      <c r="N1005" s="290">
        <v>25</v>
      </c>
      <c r="O1005" s="46"/>
      <c r="P1005" s="46" t="s">
        <v>39</v>
      </c>
      <c r="Q1005" s="170"/>
      <c r="R1005" s="192" t="str">
        <f>CONCATENATE(N1005,P1005)</f>
        <v>25grams</v>
      </c>
      <c r="S1005" s="198">
        <f>M1005*N1005</f>
        <v>250</v>
      </c>
      <c r="T1005" s="199" t="str">
        <f>CONCATENATE(S1005,Q1005,P1005)</f>
        <v>250grams</v>
      </c>
      <c r="U1005" s="200">
        <f>L1005*M1005</f>
        <v>115.8</v>
      </c>
      <c r="V1005" s="12"/>
      <c r="W1005" s="12"/>
    </row>
    <row r="1006" spans="1:23" x14ac:dyDescent="0.3">
      <c r="A1006" s="193">
        <v>371</v>
      </c>
      <c r="B1006" s="46" t="s">
        <v>629</v>
      </c>
      <c r="C1006" s="215"/>
      <c r="D1006" s="194"/>
      <c r="E1006" s="215"/>
      <c r="F1006" s="215"/>
      <c r="G1006" s="215"/>
      <c r="H1006" s="194" t="s">
        <v>2025</v>
      </c>
      <c r="I1006" s="170"/>
      <c r="J1006" s="46" t="s">
        <v>1263</v>
      </c>
      <c r="K1006" s="170"/>
      <c r="L1006" s="197">
        <v>12.64</v>
      </c>
      <c r="M1006" s="197">
        <v>3</v>
      </c>
      <c r="N1006" s="290">
        <v>25</v>
      </c>
      <c r="O1006" s="46"/>
      <c r="P1006" s="46" t="s">
        <v>39</v>
      </c>
      <c r="Q1006" s="170"/>
      <c r="R1006" s="192" t="str">
        <f>CONCATENATE(N1006,P1006)</f>
        <v>25grams</v>
      </c>
      <c r="S1006" s="198">
        <f>M1006*N1006</f>
        <v>75</v>
      </c>
      <c r="T1006" s="199" t="str">
        <f>CONCATENATE(S1006,Q1006,P1006)</f>
        <v>75grams</v>
      </c>
      <c r="U1006" s="200">
        <f>L1006*M1006</f>
        <v>37.92</v>
      </c>
      <c r="V1006" s="12"/>
      <c r="W1006" s="12"/>
    </row>
    <row r="1007" spans="1:23" x14ac:dyDescent="0.3">
      <c r="A1007" s="479">
        <v>372</v>
      </c>
      <c r="B1007" s="194" t="s">
        <v>630</v>
      </c>
      <c r="C1007" s="170"/>
      <c r="D1007" s="194" t="str">
        <f ca="1">IFERROR(__xludf.DUMMYFUNCTION("IF(J290="""",""n/a"",IFERROR(SPLIT(J290,""/"")))"),"Mr Gulaman")</f>
        <v>Mr Gulaman</v>
      </c>
      <c r="E1007" s="194" t="str">
        <f ca="1">IFERROR(__xludf.DUMMYFUNCTION("""COMPUTED_VALUE"""),"box")</f>
        <v>box</v>
      </c>
      <c r="F1007" s="194" t="str">
        <f ca="1">IFERROR(__xludf.DUMMYFUNCTION("""COMPUTED_VALUE"""),"(10sachetx25grams)")</f>
        <v>(10sachetx25grams)</v>
      </c>
      <c r="G1007" s="170"/>
      <c r="H1007" s="183" t="s">
        <v>1897</v>
      </c>
      <c r="I1007" s="170"/>
      <c r="J1007" s="46" t="s">
        <v>69</v>
      </c>
      <c r="K1007" s="170"/>
      <c r="L1007" s="195">
        <v>0.51</v>
      </c>
      <c r="M1007" s="202">
        <v>200</v>
      </c>
      <c r="N1007" s="203">
        <v>25</v>
      </c>
      <c r="O1007" s="61" t="str">
        <f ca="1">E1007</f>
        <v>box</v>
      </c>
      <c r="P1007" s="61" t="s">
        <v>39</v>
      </c>
      <c r="Q1007" s="61" t="s">
        <v>33</v>
      </c>
      <c r="R1007" s="192" t="str">
        <f>CONCATENATE(N1007,P1007)</f>
        <v>25grams</v>
      </c>
      <c r="S1007" s="198">
        <f>M1007*N1007</f>
        <v>5000</v>
      </c>
      <c r="T1007" s="199" t="str">
        <f>CONCATENATE(S1007,Q1007,P1007)</f>
        <v>5000 grams</v>
      </c>
      <c r="U1007" s="200">
        <f>L1007*M1007</f>
        <v>102</v>
      </c>
      <c r="V1007" s="205"/>
      <c r="W1007" s="62"/>
    </row>
    <row r="1008" spans="1:23" x14ac:dyDescent="0.3">
      <c r="A1008" s="479">
        <v>373</v>
      </c>
      <c r="B1008" s="194" t="s">
        <v>68</v>
      </c>
      <c r="C1008" s="170"/>
      <c r="D1008" s="194" t="str">
        <f ca="1">IFERROR(__xludf.DUMMYFUNCTION("IF(J291="""",""n/a"",IFERROR(SPLIT(J291,""/"")))"),"Mr Gulaman")</f>
        <v>Mr Gulaman</v>
      </c>
      <c r="E1008" s="194" t="str">
        <f ca="1">IFERROR(__xludf.DUMMYFUNCTION("""COMPUTED_VALUE"""),"box")</f>
        <v>box</v>
      </c>
      <c r="F1008" s="194" t="str">
        <f ca="1">IFERROR(__xludf.DUMMYFUNCTION("""COMPUTED_VALUE"""),"(10sachetx25grams)")</f>
        <v>(10sachetx25grams)</v>
      </c>
      <c r="G1008" s="170"/>
      <c r="H1008" s="183" t="s">
        <v>1895</v>
      </c>
      <c r="I1008" s="170"/>
      <c r="J1008" s="46" t="s">
        <v>69</v>
      </c>
      <c r="K1008" s="170"/>
      <c r="L1008" s="195">
        <v>14</v>
      </c>
      <c r="M1008" s="197">
        <v>10</v>
      </c>
      <c r="N1008" s="61">
        <v>25</v>
      </c>
      <c r="O1008" s="61" t="str">
        <f ca="1">E1008</f>
        <v>box</v>
      </c>
      <c r="P1008" s="61" t="s">
        <v>39</v>
      </c>
      <c r="Q1008" s="170"/>
      <c r="R1008" s="192" t="str">
        <f>CONCATENATE(N1008,P1008)</f>
        <v>25grams</v>
      </c>
      <c r="S1008" s="198">
        <f>M1008*N1008</f>
        <v>250</v>
      </c>
      <c r="T1008" s="199" t="str">
        <f>CONCATENATE(S1008,Q1008,P1008)</f>
        <v>250grams</v>
      </c>
      <c r="U1008" s="200">
        <f>L1008*M1008</f>
        <v>140</v>
      </c>
      <c r="V1008" s="12"/>
      <c r="W1008" s="12"/>
    </row>
    <row r="1009" spans="1:23" x14ac:dyDescent="0.3">
      <c r="A1009" s="479">
        <v>373</v>
      </c>
      <c r="B1009" s="194" t="s">
        <v>68</v>
      </c>
      <c r="C1009" s="170"/>
      <c r="D1009" s="194" t="str">
        <f ca="1">IFERROR(__xludf.DUMMYFUNCTION("IF(J292="""",""n/a"",IFERROR(SPLIT(J292,""/"")))"),"Mr Gulaman")</f>
        <v>Mr Gulaman</v>
      </c>
      <c r="E1009" s="194" t="str">
        <f ca="1">IFERROR(__xludf.DUMMYFUNCTION("""COMPUTED_VALUE"""),"box")</f>
        <v>box</v>
      </c>
      <c r="F1009" s="194" t="str">
        <f ca="1">IFERROR(__xludf.DUMMYFUNCTION("""COMPUTED_VALUE"""),"(10sachetx25grams)")</f>
        <v>(10sachetx25grams)</v>
      </c>
      <c r="G1009" s="170"/>
      <c r="H1009" s="206" t="s">
        <v>1898</v>
      </c>
      <c r="I1009" s="170"/>
      <c r="J1009" s="46" t="s">
        <v>69</v>
      </c>
      <c r="K1009" s="170"/>
      <c r="L1009" s="197">
        <v>1.28</v>
      </c>
      <c r="M1009" s="386">
        <v>24</v>
      </c>
      <c r="N1009" s="208">
        <v>10</v>
      </c>
      <c r="O1009" s="61" t="str">
        <f ca="1">E1009</f>
        <v>box</v>
      </c>
      <c r="P1009" s="197" t="s">
        <v>39</v>
      </c>
      <c r="Q1009" s="170"/>
      <c r="R1009" s="192" t="str">
        <f>CONCATENATE(N1009,P1009)</f>
        <v>10grams</v>
      </c>
      <c r="S1009" s="198">
        <f>M1009*N1009</f>
        <v>240</v>
      </c>
      <c r="T1009" s="199" t="str">
        <f>CONCATENATE(S1009,Q1009,P1009)</f>
        <v>240grams</v>
      </c>
      <c r="U1009" s="200">
        <f>L1009*M1009</f>
        <v>30.72</v>
      </c>
      <c r="V1009" s="12"/>
      <c r="W1009" s="12"/>
    </row>
    <row r="1010" spans="1:23" x14ac:dyDescent="0.3">
      <c r="A1010" s="193">
        <v>373</v>
      </c>
      <c r="B1010" s="46" t="s">
        <v>68</v>
      </c>
      <c r="C1010" s="215"/>
      <c r="D1010" s="194"/>
      <c r="E1010" s="215"/>
      <c r="F1010" s="215"/>
      <c r="G1010" s="215"/>
      <c r="H1010" s="194" t="s">
        <v>2026</v>
      </c>
      <c r="I1010" s="170"/>
      <c r="J1010" s="46" t="s">
        <v>1263</v>
      </c>
      <c r="K1010" s="170"/>
      <c r="L1010" s="197">
        <v>14.3</v>
      </c>
      <c r="M1010" s="197">
        <v>2</v>
      </c>
      <c r="N1010" s="290">
        <v>25</v>
      </c>
      <c r="O1010" s="46"/>
      <c r="P1010" s="46" t="s">
        <v>39</v>
      </c>
      <c r="Q1010" s="170"/>
      <c r="R1010" s="192" t="str">
        <f>CONCATENATE(N1010,P1010)</f>
        <v>25grams</v>
      </c>
      <c r="S1010" s="198">
        <f>M1010*N1010</f>
        <v>50</v>
      </c>
      <c r="T1010" s="199" t="str">
        <f>CONCATENATE(S1010,Q1010,P1010)</f>
        <v>50grams</v>
      </c>
      <c r="U1010" s="200">
        <f>L1010*M1010</f>
        <v>28.6</v>
      </c>
      <c r="V1010" s="12"/>
      <c r="W1010" s="12"/>
    </row>
    <row r="1011" spans="1:23" x14ac:dyDescent="0.3">
      <c r="A1011" s="193">
        <v>373</v>
      </c>
      <c r="B1011" s="46" t="s">
        <v>68</v>
      </c>
      <c r="C1011" s="215"/>
      <c r="D1011" s="194"/>
      <c r="E1011" s="215"/>
      <c r="F1011" s="215"/>
      <c r="G1011" s="215"/>
      <c r="H1011" s="194" t="s">
        <v>2023</v>
      </c>
      <c r="I1011" s="170"/>
      <c r="J1011" s="46" t="s">
        <v>1263</v>
      </c>
      <c r="K1011" s="170"/>
      <c r="L1011" s="197">
        <v>20</v>
      </c>
      <c r="M1011" s="197">
        <v>4</v>
      </c>
      <c r="N1011" s="290">
        <v>25</v>
      </c>
      <c r="O1011" s="60"/>
      <c r="P1011" s="60" t="s">
        <v>39</v>
      </c>
      <c r="Q1011" s="170"/>
      <c r="R1011" s="192" t="str">
        <f>CONCATENATE(N1011,P1011)</f>
        <v>25grams</v>
      </c>
      <c r="S1011" s="198">
        <f>M1011*N1011</f>
        <v>100</v>
      </c>
      <c r="T1011" s="199" t="str">
        <f>CONCATENATE(S1011,Q1011,P1011)</f>
        <v>100grams</v>
      </c>
      <c r="U1011" s="200">
        <f>L1011*M1011</f>
        <v>80</v>
      </c>
      <c r="V1011" s="12"/>
      <c r="W1011" s="12"/>
    </row>
    <row r="1012" spans="1:23" x14ac:dyDescent="0.3">
      <c r="A1012" s="193">
        <v>373</v>
      </c>
      <c r="B1012" s="46" t="s">
        <v>68</v>
      </c>
      <c r="C1012" s="215"/>
      <c r="D1012" s="194"/>
      <c r="E1012" s="215"/>
      <c r="F1012" s="215"/>
      <c r="G1012" s="215"/>
      <c r="H1012" s="194" t="s">
        <v>1368</v>
      </c>
      <c r="I1012" s="170"/>
      <c r="J1012" s="46" t="s">
        <v>1263</v>
      </c>
      <c r="K1012" s="170"/>
      <c r="L1012" s="197">
        <v>16</v>
      </c>
      <c r="M1012" s="197">
        <v>4</v>
      </c>
      <c r="N1012" s="290">
        <v>25</v>
      </c>
      <c r="O1012" s="46"/>
      <c r="P1012" s="46" t="s">
        <v>39</v>
      </c>
      <c r="Q1012" s="170"/>
      <c r="R1012" s="192" t="str">
        <f>CONCATENATE(N1012,P1012)</f>
        <v>25grams</v>
      </c>
      <c r="S1012" s="198">
        <f>M1012*N1012</f>
        <v>100</v>
      </c>
      <c r="T1012" s="199" t="str">
        <f>CONCATENATE(S1012,Q1012,P1012)</f>
        <v>100grams</v>
      </c>
      <c r="U1012" s="200">
        <f>L1012*M1012</f>
        <v>64</v>
      </c>
      <c r="V1012" s="12"/>
      <c r="W1012" s="12"/>
    </row>
    <row r="1013" spans="1:23" x14ac:dyDescent="0.3">
      <c r="A1013" s="193">
        <v>373</v>
      </c>
      <c r="B1013" s="46" t="s">
        <v>68</v>
      </c>
      <c r="C1013" s="215"/>
      <c r="D1013" s="194"/>
      <c r="E1013" s="215"/>
      <c r="F1013" s="215"/>
      <c r="G1013" s="215"/>
      <c r="H1013" s="194" t="s">
        <v>2020</v>
      </c>
      <c r="I1013" s="170"/>
      <c r="J1013" s="46" t="s">
        <v>1263</v>
      </c>
      <c r="K1013" s="170"/>
      <c r="L1013" s="197">
        <v>13</v>
      </c>
      <c r="M1013" s="197">
        <v>17</v>
      </c>
      <c r="N1013" s="290">
        <v>25</v>
      </c>
      <c r="O1013" s="46"/>
      <c r="P1013" s="46" t="s">
        <v>39</v>
      </c>
      <c r="Q1013" s="170"/>
      <c r="R1013" s="192" t="str">
        <f>CONCATENATE(N1013,P1013)</f>
        <v>25grams</v>
      </c>
      <c r="S1013" s="198">
        <f>M1013*N1013</f>
        <v>425</v>
      </c>
      <c r="T1013" s="199" t="str">
        <f>CONCATENATE(S1013,Q1013,P1013)</f>
        <v>425grams</v>
      </c>
      <c r="U1013" s="200">
        <f>L1013*M1013</f>
        <v>221</v>
      </c>
      <c r="V1013" s="12"/>
      <c r="W1013" s="12"/>
    </row>
    <row r="1014" spans="1:23" x14ac:dyDescent="0.3">
      <c r="A1014" s="479">
        <v>374</v>
      </c>
      <c r="B1014" s="194" t="s">
        <v>70</v>
      </c>
      <c r="C1014" s="170"/>
      <c r="D1014" s="194" t="str">
        <f ca="1">IFERROR(__xludf.DUMMYFUNCTION("IF(J293="""",""n/a"",IFERROR(SPLIT(J293,""/"")))"),"Mr Gulaman")</f>
        <v>Mr Gulaman</v>
      </c>
      <c r="E1014" s="194" t="str">
        <f ca="1">IFERROR(__xludf.DUMMYFUNCTION("""COMPUTED_VALUE"""),"box")</f>
        <v>box</v>
      </c>
      <c r="F1014" s="194" t="str">
        <f ca="1">IFERROR(__xludf.DUMMYFUNCTION("""COMPUTED_VALUE"""),"(10sachetx25grams)")</f>
        <v>(10sachetx25grams)</v>
      </c>
      <c r="G1014" s="170"/>
      <c r="H1014" s="183" t="s">
        <v>1895</v>
      </c>
      <c r="I1014" s="170"/>
      <c r="J1014" s="46" t="s">
        <v>69</v>
      </c>
      <c r="K1014" s="170"/>
      <c r="L1014" s="195">
        <v>14</v>
      </c>
      <c r="M1014" s="197">
        <v>20</v>
      </c>
      <c r="N1014" s="61">
        <v>25</v>
      </c>
      <c r="O1014" s="61" t="str">
        <f ca="1">E1014</f>
        <v>box</v>
      </c>
      <c r="P1014" s="61" t="s">
        <v>39</v>
      </c>
      <c r="Q1014" s="170"/>
      <c r="R1014" s="192" t="str">
        <f>CONCATENATE(N1014,P1014)</f>
        <v>25grams</v>
      </c>
      <c r="S1014" s="198">
        <f>M1014*N1014</f>
        <v>500</v>
      </c>
      <c r="T1014" s="199" t="str">
        <f>CONCATENATE(S1014,Q1014,P1014)</f>
        <v>500grams</v>
      </c>
      <c r="U1014" s="200">
        <f>L1014*M1014</f>
        <v>280</v>
      </c>
      <c r="V1014" s="12"/>
      <c r="W1014" s="12"/>
    </row>
    <row r="1015" spans="1:23" x14ac:dyDescent="0.3">
      <c r="A1015" s="193">
        <v>375</v>
      </c>
      <c r="B1015" s="46" t="s">
        <v>1265</v>
      </c>
      <c r="C1015" s="215"/>
      <c r="D1015" s="194"/>
      <c r="E1015" s="215"/>
      <c r="F1015" s="215"/>
      <c r="G1015" s="215"/>
      <c r="H1015" s="194" t="s">
        <v>2026</v>
      </c>
      <c r="I1015" s="170"/>
      <c r="J1015" s="46" t="s">
        <v>1263</v>
      </c>
      <c r="K1015" s="170"/>
      <c r="L1015" s="197">
        <v>14.3</v>
      </c>
      <c r="M1015" s="197">
        <v>2</v>
      </c>
      <c r="N1015" s="290">
        <v>25</v>
      </c>
      <c r="O1015" s="46"/>
      <c r="P1015" s="46" t="s">
        <v>39</v>
      </c>
      <c r="Q1015" s="170"/>
      <c r="R1015" s="192" t="str">
        <f>CONCATENATE(N1015,P1015)</f>
        <v>25grams</v>
      </c>
      <c r="S1015" s="198">
        <f>M1015*N1015</f>
        <v>50</v>
      </c>
      <c r="T1015" s="199" t="str">
        <f>CONCATENATE(S1015,Q1015,P1015)</f>
        <v>50grams</v>
      </c>
      <c r="U1015" s="200">
        <f>L1015*M1015</f>
        <v>28.6</v>
      </c>
      <c r="V1015" s="12"/>
      <c r="W1015" s="12"/>
    </row>
    <row r="1016" spans="1:23" x14ac:dyDescent="0.3">
      <c r="A1016" s="479">
        <v>376</v>
      </c>
      <c r="B1016" s="194" t="s">
        <v>71</v>
      </c>
      <c r="C1016" s="170"/>
      <c r="D1016" s="194" t="str">
        <f ca="1">IFERROR(__xludf.DUMMYFUNCTION("IF(J294="""",""n/a"",IFERROR(SPLIT(J294,""/"")))"),"Mr Gulaman")</f>
        <v>Mr Gulaman</v>
      </c>
      <c r="E1016" s="194" t="str">
        <f ca="1">IFERROR(__xludf.DUMMYFUNCTION("""COMPUTED_VALUE"""),"box")</f>
        <v>box</v>
      </c>
      <c r="F1016" s="194" t="str">
        <f ca="1">IFERROR(__xludf.DUMMYFUNCTION("""COMPUTED_VALUE"""),"(10sachetx25grams)")</f>
        <v>(10sachetx25grams)</v>
      </c>
      <c r="G1016" s="170"/>
      <c r="H1016" s="183" t="s">
        <v>1895</v>
      </c>
      <c r="I1016" s="170"/>
      <c r="J1016" s="46" t="s">
        <v>69</v>
      </c>
      <c r="K1016" s="170"/>
      <c r="L1016" s="195">
        <v>14</v>
      </c>
      <c r="M1016" s="197">
        <v>5</v>
      </c>
      <c r="N1016" s="61">
        <v>25</v>
      </c>
      <c r="O1016" s="61" t="str">
        <f ca="1">E1016</f>
        <v>box</v>
      </c>
      <c r="P1016" s="61" t="s">
        <v>39</v>
      </c>
      <c r="Q1016" s="170"/>
      <c r="R1016" s="192" t="str">
        <f>CONCATENATE(N1016,P1016)</f>
        <v>25grams</v>
      </c>
      <c r="S1016" s="198">
        <f>M1016*N1016</f>
        <v>125</v>
      </c>
      <c r="T1016" s="199" t="str">
        <f>CONCATENATE(S1016,Q1016,P1016)</f>
        <v>125grams</v>
      </c>
      <c r="U1016" s="200">
        <f>L1016*M1016</f>
        <v>70</v>
      </c>
      <c r="V1016" s="12"/>
      <c r="W1016" s="12"/>
    </row>
    <row r="1017" spans="1:23" x14ac:dyDescent="0.3">
      <c r="A1017" s="479">
        <v>376</v>
      </c>
      <c r="B1017" s="194" t="s">
        <v>71</v>
      </c>
      <c r="C1017" s="170"/>
      <c r="D1017" s="194" t="str">
        <f ca="1">IFERROR(__xludf.DUMMYFUNCTION("IF(J295="""",""n/a"",IFERROR(SPLIT(J295,""/"")))"),"Mr Gulaman")</f>
        <v>Mr Gulaman</v>
      </c>
      <c r="E1017" s="194" t="str">
        <f ca="1">IFERROR(__xludf.DUMMYFUNCTION("""COMPUTED_VALUE"""),"box")</f>
        <v>box</v>
      </c>
      <c r="F1017" s="194" t="str">
        <f ca="1">IFERROR(__xludf.DUMMYFUNCTION("""COMPUTED_VALUE"""),"(10sachetx25grams)")</f>
        <v>(10sachetx25grams)</v>
      </c>
      <c r="G1017" s="170"/>
      <c r="H1017" s="206" t="s">
        <v>1898</v>
      </c>
      <c r="I1017" s="170"/>
      <c r="J1017" s="46" t="s">
        <v>69</v>
      </c>
      <c r="K1017" s="170"/>
      <c r="L1017" s="197">
        <v>12.55</v>
      </c>
      <c r="M1017" s="386">
        <v>10</v>
      </c>
      <c r="N1017" s="208">
        <v>10</v>
      </c>
      <c r="O1017" s="61" t="str">
        <f ca="1">E1017</f>
        <v>box</v>
      </c>
      <c r="P1017" s="61" t="s">
        <v>39</v>
      </c>
      <c r="Q1017" s="170"/>
      <c r="R1017" s="192" t="str">
        <f>CONCATENATE(N1017,P1017)</f>
        <v>10grams</v>
      </c>
      <c r="S1017" s="198">
        <f>M1017*N1017</f>
        <v>100</v>
      </c>
      <c r="T1017" s="199" t="str">
        <f>CONCATENATE(S1017,Q1017,P1017)</f>
        <v>100grams</v>
      </c>
      <c r="U1017" s="200">
        <f>L1017*M1017</f>
        <v>125.5</v>
      </c>
      <c r="V1017" s="12"/>
      <c r="W1017" s="12"/>
    </row>
    <row r="1018" spans="1:23" x14ac:dyDescent="0.3">
      <c r="A1018" s="193">
        <v>376</v>
      </c>
      <c r="B1018" s="46" t="s">
        <v>71</v>
      </c>
      <c r="C1018" s="215"/>
      <c r="D1018" s="194"/>
      <c r="E1018" s="215"/>
      <c r="F1018" s="215"/>
      <c r="G1018" s="215"/>
      <c r="H1018" s="194" t="s">
        <v>2024</v>
      </c>
      <c r="I1018" s="170"/>
      <c r="J1018" s="46" t="s">
        <v>1264</v>
      </c>
      <c r="K1018" s="170"/>
      <c r="L1018" s="197">
        <v>13.27</v>
      </c>
      <c r="M1018" s="197">
        <v>1</v>
      </c>
      <c r="N1018" s="290">
        <v>25</v>
      </c>
      <c r="O1018" s="46"/>
      <c r="P1018" s="46" t="s">
        <v>39</v>
      </c>
      <c r="Q1018" s="170"/>
      <c r="R1018" s="192" t="str">
        <f>CONCATENATE(N1018,P1018)</f>
        <v>25grams</v>
      </c>
      <c r="S1018" s="198">
        <f>M1018*N1018</f>
        <v>25</v>
      </c>
      <c r="T1018" s="199" t="str">
        <f>CONCATENATE(S1018,Q1018,P1018)</f>
        <v>25grams</v>
      </c>
      <c r="U1018" s="200">
        <f>L1018*M1018</f>
        <v>13.27</v>
      </c>
      <c r="V1018" s="12"/>
      <c r="W1018" s="12"/>
    </row>
    <row r="1019" spans="1:23" x14ac:dyDescent="0.3">
      <c r="A1019" s="193">
        <v>376</v>
      </c>
      <c r="B1019" s="46" t="s">
        <v>71</v>
      </c>
      <c r="C1019" s="215"/>
      <c r="D1019" s="194"/>
      <c r="E1019" s="215"/>
      <c r="F1019" s="215"/>
      <c r="G1019" s="215"/>
      <c r="H1019" s="194" t="s">
        <v>2026</v>
      </c>
      <c r="I1019" s="170"/>
      <c r="J1019" s="46" t="s">
        <v>1253</v>
      </c>
      <c r="K1019" s="170"/>
      <c r="L1019" s="197">
        <v>117.9</v>
      </c>
      <c r="M1019" s="197">
        <v>3</v>
      </c>
      <c r="N1019" s="290">
        <v>250</v>
      </c>
      <c r="O1019" s="46"/>
      <c r="P1019" s="46" t="s">
        <v>39</v>
      </c>
      <c r="Q1019" s="170"/>
      <c r="R1019" s="192" t="str">
        <f>CONCATENATE(N1019,P1019)</f>
        <v>250grams</v>
      </c>
      <c r="S1019" s="198">
        <f>M1019*N1019</f>
        <v>750</v>
      </c>
      <c r="T1019" s="199" t="str">
        <f>CONCATENATE(S1019,Q1019,P1019)</f>
        <v>750grams</v>
      </c>
      <c r="U1019" s="200">
        <f>L1019*M1019</f>
        <v>353.70000000000005</v>
      </c>
      <c r="V1019" s="12"/>
      <c r="W1019" s="12"/>
    </row>
    <row r="1020" spans="1:23" x14ac:dyDescent="0.3">
      <c r="A1020" s="193">
        <v>376</v>
      </c>
      <c r="B1020" s="46" t="s">
        <v>71</v>
      </c>
      <c r="C1020" s="215"/>
      <c r="D1020" s="194"/>
      <c r="E1020" s="215"/>
      <c r="F1020" s="215"/>
      <c r="G1020" s="215"/>
      <c r="H1020" s="194" t="s">
        <v>2023</v>
      </c>
      <c r="I1020" s="170"/>
      <c r="J1020" s="46" t="s">
        <v>1253</v>
      </c>
      <c r="K1020" s="170"/>
      <c r="L1020" s="197">
        <v>20</v>
      </c>
      <c r="M1020" s="197">
        <v>1</v>
      </c>
      <c r="N1020" s="290">
        <v>25</v>
      </c>
      <c r="O1020" s="46"/>
      <c r="P1020" s="46" t="s">
        <v>39</v>
      </c>
      <c r="Q1020" s="170"/>
      <c r="R1020" s="192" t="str">
        <f>CONCATENATE(N1020,P1020)</f>
        <v>25grams</v>
      </c>
      <c r="S1020" s="198">
        <f>M1020*N1020</f>
        <v>25</v>
      </c>
      <c r="T1020" s="199" t="str">
        <f>CONCATENATE(S1020,Q1020,P1020)</f>
        <v>25grams</v>
      </c>
      <c r="U1020" s="200">
        <f>L1020*M1020</f>
        <v>20</v>
      </c>
      <c r="V1020" s="12"/>
      <c r="W1020" s="12"/>
    </row>
    <row r="1021" spans="1:23" x14ac:dyDescent="0.3">
      <c r="A1021" s="193">
        <v>376</v>
      </c>
      <c r="B1021" s="46" t="s">
        <v>71</v>
      </c>
      <c r="C1021" s="215"/>
      <c r="D1021" s="194"/>
      <c r="E1021" s="215"/>
      <c r="F1021" s="215"/>
      <c r="G1021" s="215"/>
      <c r="H1021" s="194" t="s">
        <v>2025</v>
      </c>
      <c r="I1021" s="170"/>
      <c r="J1021" s="46" t="s">
        <v>1263</v>
      </c>
      <c r="K1021" s="170"/>
      <c r="L1021" s="197">
        <v>12.64</v>
      </c>
      <c r="M1021" s="197">
        <v>7</v>
      </c>
      <c r="N1021" s="290">
        <v>25</v>
      </c>
      <c r="O1021" s="46"/>
      <c r="P1021" s="46" t="s">
        <v>39</v>
      </c>
      <c r="Q1021" s="170"/>
      <c r="R1021" s="192" t="str">
        <f>CONCATENATE(N1021,P1021)</f>
        <v>25grams</v>
      </c>
      <c r="S1021" s="198">
        <f>M1021*N1021</f>
        <v>175</v>
      </c>
      <c r="T1021" s="199" t="str">
        <f>CONCATENATE(S1021,Q1021,P1021)</f>
        <v>175grams</v>
      </c>
      <c r="U1021" s="200">
        <f>L1021*M1021</f>
        <v>88.48</v>
      </c>
      <c r="V1021" s="12"/>
      <c r="W1021" s="12"/>
    </row>
    <row r="1022" spans="1:23" x14ac:dyDescent="0.3">
      <c r="A1022" s="193">
        <v>376</v>
      </c>
      <c r="B1022" s="46" t="s">
        <v>71</v>
      </c>
      <c r="C1022" s="215"/>
      <c r="D1022" s="194"/>
      <c r="E1022" s="215"/>
      <c r="F1022" s="215"/>
      <c r="G1022" s="215"/>
      <c r="H1022" s="194" t="s">
        <v>2025</v>
      </c>
      <c r="I1022" s="170"/>
      <c r="J1022" s="46" t="s">
        <v>1266</v>
      </c>
      <c r="K1022" s="170"/>
      <c r="L1022" s="197">
        <v>12.64</v>
      </c>
      <c r="M1022" s="197">
        <v>13</v>
      </c>
      <c r="N1022" s="290">
        <v>25</v>
      </c>
      <c r="O1022" s="46"/>
      <c r="P1022" s="46" t="s">
        <v>39</v>
      </c>
      <c r="Q1022" s="170"/>
      <c r="R1022" s="192" t="str">
        <f>CONCATENATE(N1022,P1022)</f>
        <v>25grams</v>
      </c>
      <c r="S1022" s="198">
        <f>M1022*N1022</f>
        <v>325</v>
      </c>
      <c r="T1022" s="199" t="str">
        <f>CONCATENATE(S1022,Q1022,P1022)</f>
        <v>325grams</v>
      </c>
      <c r="U1022" s="200">
        <f>L1022*M1022</f>
        <v>164.32</v>
      </c>
      <c r="V1022" s="12"/>
      <c r="W1022" s="12"/>
    </row>
    <row r="1023" spans="1:23" x14ac:dyDescent="0.3">
      <c r="A1023" s="193">
        <v>376</v>
      </c>
      <c r="B1023" s="46" t="s">
        <v>71</v>
      </c>
      <c r="C1023" s="215"/>
      <c r="D1023" s="194"/>
      <c r="E1023" s="215"/>
      <c r="F1023" s="215"/>
      <c r="G1023" s="215"/>
      <c r="H1023" s="194" t="s">
        <v>1368</v>
      </c>
      <c r="I1023" s="170"/>
      <c r="J1023" s="46" t="s">
        <v>1263</v>
      </c>
      <c r="K1023" s="170"/>
      <c r="L1023" s="197">
        <v>16</v>
      </c>
      <c r="M1023" s="197">
        <v>1</v>
      </c>
      <c r="N1023" s="290">
        <v>25</v>
      </c>
      <c r="O1023" s="46"/>
      <c r="P1023" s="46" t="s">
        <v>39</v>
      </c>
      <c r="Q1023" s="170"/>
      <c r="R1023" s="192" t="str">
        <f>CONCATENATE(N1023,P1023)</f>
        <v>25grams</v>
      </c>
      <c r="S1023" s="198">
        <f>M1023*N1023</f>
        <v>25</v>
      </c>
      <c r="T1023" s="199" t="str">
        <f>CONCATENATE(S1023,Q1023,P1023)</f>
        <v>25grams</v>
      </c>
      <c r="U1023" s="200">
        <f>L1023*M1023</f>
        <v>16</v>
      </c>
      <c r="V1023" s="12"/>
      <c r="W1023" s="12"/>
    </row>
    <row r="1024" spans="1:23" x14ac:dyDescent="0.3">
      <c r="A1024" s="193">
        <v>376</v>
      </c>
      <c r="B1024" s="46" t="s">
        <v>71</v>
      </c>
      <c r="C1024" s="215"/>
      <c r="D1024" s="194"/>
      <c r="E1024" s="215"/>
      <c r="F1024" s="215"/>
      <c r="G1024" s="215"/>
      <c r="H1024" s="194" t="s">
        <v>2020</v>
      </c>
      <c r="I1024" s="170"/>
      <c r="J1024" s="46" t="s">
        <v>1263</v>
      </c>
      <c r="K1024" s="170"/>
      <c r="L1024" s="197">
        <v>13</v>
      </c>
      <c r="M1024" s="197">
        <v>3</v>
      </c>
      <c r="N1024" s="290">
        <v>25</v>
      </c>
      <c r="O1024" s="46"/>
      <c r="P1024" s="46" t="s">
        <v>39</v>
      </c>
      <c r="Q1024" s="170"/>
      <c r="R1024" s="192" t="str">
        <f>CONCATENATE(N1024,P1024)</f>
        <v>25grams</v>
      </c>
      <c r="S1024" s="198">
        <f>M1024*N1024</f>
        <v>75</v>
      </c>
      <c r="T1024" s="199" t="str">
        <f>CONCATENATE(S1024,Q1024,P1024)</f>
        <v>75grams</v>
      </c>
      <c r="U1024" s="200">
        <f>L1024*M1024</f>
        <v>39</v>
      </c>
      <c r="V1024" s="12"/>
      <c r="W1024" s="12"/>
    </row>
    <row r="1025" spans="1:23" x14ac:dyDescent="0.3">
      <c r="A1025" s="479">
        <v>377</v>
      </c>
      <c r="B1025" s="194" t="s">
        <v>72</v>
      </c>
      <c r="C1025" s="170"/>
      <c r="D1025" s="194" t="str">
        <f ca="1">IFERROR(__xludf.DUMMYFUNCTION("IF(J296="""",""n/a"",IFERROR(SPLIT(J296,""/"")))"),"Mr Gulaman")</f>
        <v>Mr Gulaman</v>
      </c>
      <c r="E1025" s="194" t="str">
        <f ca="1">IFERROR(__xludf.DUMMYFUNCTION("""COMPUTED_VALUE"""),"box")</f>
        <v>box</v>
      </c>
      <c r="F1025" s="194" t="str">
        <f ca="1">IFERROR(__xludf.DUMMYFUNCTION("""COMPUTED_VALUE"""),"(10sachetx25grams)")</f>
        <v>(10sachetx25grams)</v>
      </c>
      <c r="G1025" s="170"/>
      <c r="H1025" s="183" t="s">
        <v>1895</v>
      </c>
      <c r="I1025" s="170"/>
      <c r="J1025" s="46" t="s">
        <v>69</v>
      </c>
      <c r="K1025" s="170"/>
      <c r="L1025" s="195">
        <v>14</v>
      </c>
      <c r="M1025" s="197">
        <v>20</v>
      </c>
      <c r="N1025" s="61">
        <v>25</v>
      </c>
      <c r="O1025" s="61" t="str">
        <f ca="1">E1025</f>
        <v>box</v>
      </c>
      <c r="P1025" s="61" t="s">
        <v>39</v>
      </c>
      <c r="Q1025" s="170"/>
      <c r="R1025" s="192" t="str">
        <f>CONCATENATE(N1025,P1025)</f>
        <v>25grams</v>
      </c>
      <c r="S1025" s="198">
        <f>M1025*N1025</f>
        <v>500</v>
      </c>
      <c r="T1025" s="199" t="str">
        <f>CONCATENATE(S1025,Q1025,P1025)</f>
        <v>500grams</v>
      </c>
      <c r="U1025" s="200">
        <f>L1025*M1025</f>
        <v>280</v>
      </c>
      <c r="V1025" s="12"/>
      <c r="W1025" s="12"/>
    </row>
    <row r="1026" spans="1:23" x14ac:dyDescent="0.3">
      <c r="A1026" s="479">
        <v>377</v>
      </c>
      <c r="B1026" s="194" t="s">
        <v>72</v>
      </c>
      <c r="C1026" s="170"/>
      <c r="D1026" s="194" t="str">
        <f ca="1">IFERROR(__xludf.DUMMYFUNCTION("IF(J297="""",""n/a"",IFERROR(SPLIT(J297,""/"")))"),"Mr Gulaman")</f>
        <v>Mr Gulaman</v>
      </c>
      <c r="E1026" s="194" t="str">
        <f ca="1">IFERROR(__xludf.DUMMYFUNCTION("""COMPUTED_VALUE"""),"box")</f>
        <v>box</v>
      </c>
      <c r="F1026" s="194" t="str">
        <f ca="1">IFERROR(__xludf.DUMMYFUNCTION("""COMPUTED_VALUE"""),"(10sachetx25grams)")</f>
        <v>(10sachetx25grams)</v>
      </c>
      <c r="G1026" s="170"/>
      <c r="H1026" s="206" t="s">
        <v>1898</v>
      </c>
      <c r="I1026" s="170"/>
      <c r="J1026" s="46" t="s">
        <v>69</v>
      </c>
      <c r="K1026" s="170"/>
      <c r="L1026" s="197">
        <v>12.55</v>
      </c>
      <c r="M1026" s="386">
        <v>44</v>
      </c>
      <c r="N1026" s="208">
        <v>10</v>
      </c>
      <c r="O1026" s="61" t="str">
        <f ca="1">E1026</f>
        <v>box</v>
      </c>
      <c r="P1026" s="61" t="s">
        <v>39</v>
      </c>
      <c r="Q1026" s="170"/>
      <c r="R1026" s="192" t="str">
        <f>CONCATENATE(N1026,P1026)</f>
        <v>10grams</v>
      </c>
      <c r="S1026" s="198">
        <f>M1026*N1026</f>
        <v>440</v>
      </c>
      <c r="T1026" s="199" t="str">
        <f>CONCATENATE(S1026,Q1026,P1026)</f>
        <v>440grams</v>
      </c>
      <c r="U1026" s="200">
        <f>L1026*M1026</f>
        <v>552.20000000000005</v>
      </c>
      <c r="V1026" s="12"/>
      <c r="W1026" s="12"/>
    </row>
    <row r="1027" spans="1:23" x14ac:dyDescent="0.3">
      <c r="A1027" s="193">
        <v>377</v>
      </c>
      <c r="B1027" s="46" t="s">
        <v>72</v>
      </c>
      <c r="C1027" s="215"/>
      <c r="D1027" s="194"/>
      <c r="E1027" s="215"/>
      <c r="F1027" s="215"/>
      <c r="G1027" s="215"/>
      <c r="H1027" s="194" t="s">
        <v>2024</v>
      </c>
      <c r="I1027" s="170"/>
      <c r="J1027" s="46" t="s">
        <v>1264</v>
      </c>
      <c r="K1027" s="170"/>
      <c r="L1027" s="197">
        <v>11.58</v>
      </c>
      <c r="M1027" s="197">
        <v>14</v>
      </c>
      <c r="N1027" s="290">
        <v>25</v>
      </c>
      <c r="O1027" s="46"/>
      <c r="P1027" s="46" t="s">
        <v>39</v>
      </c>
      <c r="Q1027" s="170"/>
      <c r="R1027" s="192" t="str">
        <f>CONCATENATE(N1027,P1027)</f>
        <v>25grams</v>
      </c>
      <c r="S1027" s="198">
        <f>M1027*N1027</f>
        <v>350</v>
      </c>
      <c r="T1027" s="199" t="str">
        <f>CONCATENATE(S1027,Q1027,P1027)</f>
        <v>350grams</v>
      </c>
      <c r="U1027" s="200">
        <f>L1027*M1027</f>
        <v>162.12</v>
      </c>
      <c r="V1027" s="12"/>
      <c r="W1027" s="12"/>
    </row>
    <row r="1028" spans="1:23" x14ac:dyDescent="0.3">
      <c r="A1028" s="193">
        <v>377</v>
      </c>
      <c r="B1028" s="46" t="s">
        <v>72</v>
      </c>
      <c r="C1028" s="215"/>
      <c r="D1028" s="194"/>
      <c r="E1028" s="215"/>
      <c r="F1028" s="215"/>
      <c r="G1028" s="215"/>
      <c r="H1028" s="194" t="s">
        <v>2026</v>
      </c>
      <c r="I1028" s="170"/>
      <c r="J1028" s="46" t="s">
        <v>1253</v>
      </c>
      <c r="K1028" s="170"/>
      <c r="L1028" s="197">
        <v>115.8</v>
      </c>
      <c r="M1028" s="197">
        <v>6</v>
      </c>
      <c r="N1028" s="290">
        <v>250</v>
      </c>
      <c r="O1028" s="46"/>
      <c r="P1028" s="46" t="s">
        <v>39</v>
      </c>
      <c r="Q1028" s="170"/>
      <c r="R1028" s="192" t="str">
        <f>CONCATENATE(N1028,P1028)</f>
        <v>250grams</v>
      </c>
      <c r="S1028" s="198">
        <f>M1028*N1028</f>
        <v>1500</v>
      </c>
      <c r="T1028" s="199" t="str">
        <f>CONCATENATE(S1028,Q1028,P1028)</f>
        <v>1500grams</v>
      </c>
      <c r="U1028" s="200">
        <f>L1028*M1028</f>
        <v>694.8</v>
      </c>
      <c r="V1028" s="12"/>
      <c r="W1028" s="12"/>
    </row>
    <row r="1029" spans="1:23" x14ac:dyDescent="0.3">
      <c r="A1029" s="193">
        <v>377</v>
      </c>
      <c r="B1029" s="46" t="s">
        <v>72</v>
      </c>
      <c r="C1029" s="215"/>
      <c r="D1029" s="194"/>
      <c r="E1029" s="215"/>
      <c r="F1029" s="215"/>
      <c r="G1029" s="215"/>
      <c r="H1029" s="194" t="s">
        <v>2023</v>
      </c>
      <c r="I1029" s="170"/>
      <c r="J1029" s="46" t="s">
        <v>1267</v>
      </c>
      <c r="K1029" s="170"/>
      <c r="L1029" s="197">
        <v>20</v>
      </c>
      <c r="M1029" s="197">
        <v>3</v>
      </c>
      <c r="N1029" s="290">
        <v>25</v>
      </c>
      <c r="O1029" s="46"/>
      <c r="P1029" s="46" t="s">
        <v>39</v>
      </c>
      <c r="Q1029" s="170"/>
      <c r="R1029" s="192" t="str">
        <f>CONCATENATE(N1029,P1029)</f>
        <v>25grams</v>
      </c>
      <c r="S1029" s="198">
        <f>M1029*N1029</f>
        <v>75</v>
      </c>
      <c r="T1029" s="199" t="str">
        <f>CONCATENATE(S1029,Q1029,P1029)</f>
        <v>75grams</v>
      </c>
      <c r="U1029" s="200">
        <f>L1029*M1029</f>
        <v>60</v>
      </c>
      <c r="V1029" s="12"/>
      <c r="W1029" s="12"/>
    </row>
    <row r="1030" spans="1:23" x14ac:dyDescent="0.3">
      <c r="A1030" s="193">
        <v>377</v>
      </c>
      <c r="B1030" s="46" t="s">
        <v>72</v>
      </c>
      <c r="C1030" s="492"/>
      <c r="D1030" s="194"/>
      <c r="E1030" s="492"/>
      <c r="F1030" s="492"/>
      <c r="G1030" s="492"/>
      <c r="H1030" s="194" t="s">
        <v>2022</v>
      </c>
      <c r="I1030" s="170"/>
      <c r="J1030" s="46" t="s">
        <v>1267</v>
      </c>
      <c r="K1030" s="170"/>
      <c r="L1030" s="197">
        <v>19</v>
      </c>
      <c r="M1030" s="197">
        <v>40</v>
      </c>
      <c r="N1030" s="290">
        <v>25</v>
      </c>
      <c r="O1030" s="46"/>
      <c r="P1030" s="46" t="s">
        <v>39</v>
      </c>
      <c r="Q1030" s="170"/>
      <c r="R1030" s="192" t="str">
        <f>CONCATENATE(N1030,P1030)</f>
        <v>25grams</v>
      </c>
      <c r="S1030" s="198">
        <f>M1030*N1030</f>
        <v>1000</v>
      </c>
      <c r="T1030" s="199" t="str">
        <f>CONCATENATE(S1030,Q1030,P1030)</f>
        <v>1000grams</v>
      </c>
      <c r="U1030" s="200">
        <f>L1030*M1030</f>
        <v>760</v>
      </c>
      <c r="V1030" s="12"/>
      <c r="W1030" s="12"/>
    </row>
    <row r="1031" spans="1:23" x14ac:dyDescent="0.3">
      <c r="A1031" s="193">
        <v>377</v>
      </c>
      <c r="B1031" s="219" t="s">
        <v>72</v>
      </c>
      <c r="C1031" s="215"/>
      <c r="D1031" s="194"/>
      <c r="E1031" s="215"/>
      <c r="F1031" s="215"/>
      <c r="G1031" s="215"/>
      <c r="H1031" s="194" t="s">
        <v>2021</v>
      </c>
      <c r="I1031" s="170"/>
      <c r="J1031" s="219" t="s">
        <v>1267</v>
      </c>
      <c r="K1031" s="170"/>
      <c r="L1031" s="216">
        <v>16.5</v>
      </c>
      <c r="M1031" s="216">
        <v>5</v>
      </c>
      <c r="N1031" s="293">
        <v>25</v>
      </c>
      <c r="O1031" s="219"/>
      <c r="P1031" s="219" t="s">
        <v>39</v>
      </c>
      <c r="Q1031" s="170"/>
      <c r="R1031" s="192" t="str">
        <f>CONCATENATE(N1031,P1031)</f>
        <v>25grams</v>
      </c>
      <c r="S1031" s="198">
        <f>M1031*N1031</f>
        <v>125</v>
      </c>
      <c r="T1031" s="199" t="str">
        <f>CONCATENATE(S1031,Q1031,P1031)</f>
        <v>125grams</v>
      </c>
      <c r="U1031" s="200">
        <f>L1031*M1031</f>
        <v>82.5</v>
      </c>
      <c r="V1031" s="12"/>
      <c r="W1031" s="12"/>
    </row>
    <row r="1032" spans="1:23" x14ac:dyDescent="0.3">
      <c r="A1032" s="193">
        <v>377</v>
      </c>
      <c r="B1032" s="46" t="s">
        <v>72</v>
      </c>
      <c r="C1032" s="215"/>
      <c r="D1032" s="194"/>
      <c r="E1032" s="215"/>
      <c r="F1032" s="215"/>
      <c r="G1032" s="215"/>
      <c r="H1032" s="194" t="s">
        <v>1368</v>
      </c>
      <c r="I1032" s="170"/>
      <c r="J1032" s="46" t="s">
        <v>1263</v>
      </c>
      <c r="K1032" s="170"/>
      <c r="L1032" s="197">
        <v>16</v>
      </c>
      <c r="M1032" s="197">
        <v>6</v>
      </c>
      <c r="N1032" s="290">
        <v>25</v>
      </c>
      <c r="O1032" s="60"/>
      <c r="P1032" s="60" t="s">
        <v>39</v>
      </c>
      <c r="Q1032" s="170"/>
      <c r="R1032" s="192" t="str">
        <f>CONCATENATE(N1032,P1032)</f>
        <v>25grams</v>
      </c>
      <c r="S1032" s="198">
        <f>M1032*N1032</f>
        <v>150</v>
      </c>
      <c r="T1032" s="199" t="str">
        <f>CONCATENATE(S1032,Q1032,P1032)</f>
        <v>150grams</v>
      </c>
      <c r="U1032" s="200">
        <f>L1032*M1032</f>
        <v>96</v>
      </c>
      <c r="V1032" s="12"/>
      <c r="W1032" s="12"/>
    </row>
    <row r="1033" spans="1:23" x14ac:dyDescent="0.3">
      <c r="A1033" s="479">
        <v>378</v>
      </c>
      <c r="B1033" s="194" t="s">
        <v>631</v>
      </c>
      <c r="C1033" s="170"/>
      <c r="D1033" s="194" t="str">
        <f ca="1">IFERROR(__xludf.DUMMYFUNCTION("IF(J298="""",""n/a"",IFERROR(SPLIT(J298,""/"")))"),"Mr Gulaman")</f>
        <v>Mr Gulaman</v>
      </c>
      <c r="E1033" s="194" t="str">
        <f ca="1">IFERROR(__xludf.DUMMYFUNCTION("""COMPUTED_VALUE"""),"box")</f>
        <v>box</v>
      </c>
      <c r="F1033" s="194" t="str">
        <f ca="1">IFERROR(__xludf.DUMMYFUNCTION("""COMPUTED_VALUE"""),"(10sachetx25grams)")</f>
        <v>(10sachetx25grams)</v>
      </c>
      <c r="G1033" s="170"/>
      <c r="H1033" s="206" t="s">
        <v>1898</v>
      </c>
      <c r="I1033" s="170"/>
      <c r="J1033" s="46" t="s">
        <v>69</v>
      </c>
      <c r="K1033" s="170"/>
      <c r="L1033" s="197">
        <v>5.23</v>
      </c>
      <c r="M1033" s="386">
        <v>12</v>
      </c>
      <c r="N1033" s="208">
        <v>24</v>
      </c>
      <c r="O1033" s="61" t="str">
        <f ca="1">E1033</f>
        <v>box</v>
      </c>
      <c r="P1033" s="197" t="s">
        <v>39</v>
      </c>
      <c r="Q1033" s="170"/>
      <c r="R1033" s="192" t="str">
        <f>CONCATENATE(N1033,P1033)</f>
        <v>24grams</v>
      </c>
      <c r="S1033" s="198">
        <f>M1033*N1033</f>
        <v>288</v>
      </c>
      <c r="T1033" s="199" t="str">
        <f>CONCATENATE(S1033,Q1033,P1033)</f>
        <v>288grams</v>
      </c>
      <c r="U1033" s="200">
        <f>L1033*M1033</f>
        <v>62.760000000000005</v>
      </c>
      <c r="V1033" s="12"/>
      <c r="W1033" s="12"/>
    </row>
    <row r="1034" spans="1:23" x14ac:dyDescent="0.3">
      <c r="A1034" s="193">
        <v>378</v>
      </c>
      <c r="B1034" s="46" t="s">
        <v>631</v>
      </c>
      <c r="C1034" s="215"/>
      <c r="D1034" s="194"/>
      <c r="E1034" s="215"/>
      <c r="F1034" s="215"/>
      <c r="G1034" s="215"/>
      <c r="H1034" s="194" t="s">
        <v>2024</v>
      </c>
      <c r="I1034" s="170"/>
      <c r="J1034" s="46" t="s">
        <v>1264</v>
      </c>
      <c r="K1034" s="170"/>
      <c r="L1034" s="197">
        <v>13.43</v>
      </c>
      <c r="M1034" s="197">
        <v>160</v>
      </c>
      <c r="N1034" s="290">
        <v>25</v>
      </c>
      <c r="O1034" s="46"/>
      <c r="P1034" s="46" t="s">
        <v>39</v>
      </c>
      <c r="Q1034" s="170"/>
      <c r="R1034" s="192" t="str">
        <f>CONCATENATE(N1034,P1034)</f>
        <v>25grams</v>
      </c>
      <c r="S1034" s="198">
        <f>M1034*N1034</f>
        <v>4000</v>
      </c>
      <c r="T1034" s="199" t="str">
        <f>CONCATENATE(S1034,Q1034,P1034)</f>
        <v>4000grams</v>
      </c>
      <c r="U1034" s="200">
        <f>L1034*M1034</f>
        <v>2148.8000000000002</v>
      </c>
      <c r="V1034" s="12"/>
      <c r="W1034" s="12"/>
    </row>
    <row r="1035" spans="1:23" x14ac:dyDescent="0.3">
      <c r="A1035" s="193">
        <v>378</v>
      </c>
      <c r="B1035" s="46" t="s">
        <v>631</v>
      </c>
      <c r="C1035" s="215"/>
      <c r="D1035" s="194"/>
      <c r="E1035" s="215"/>
      <c r="F1035" s="215"/>
      <c r="G1035" s="215"/>
      <c r="H1035" s="194" t="s">
        <v>2026</v>
      </c>
      <c r="I1035" s="170"/>
      <c r="J1035" s="46" t="s">
        <v>69</v>
      </c>
      <c r="K1035" s="170"/>
      <c r="L1035" s="197">
        <v>115.8</v>
      </c>
      <c r="M1035" s="197">
        <v>8</v>
      </c>
      <c r="N1035" s="290">
        <v>25</v>
      </c>
      <c r="O1035" s="46"/>
      <c r="P1035" s="46" t="s">
        <v>39</v>
      </c>
      <c r="Q1035" s="170"/>
      <c r="R1035" s="192" t="str">
        <f>CONCATENATE(N1035,P1035)</f>
        <v>25grams</v>
      </c>
      <c r="S1035" s="198">
        <f>M1035*N1035</f>
        <v>200</v>
      </c>
      <c r="T1035" s="199" t="str">
        <f>CONCATENATE(S1035,Q1035,P1035)</f>
        <v>200grams</v>
      </c>
      <c r="U1035" s="200">
        <f>L1035*M1035</f>
        <v>926.4</v>
      </c>
      <c r="V1035" s="12"/>
      <c r="W1035" s="12"/>
    </row>
    <row r="1036" spans="1:23" x14ac:dyDescent="0.3">
      <c r="A1036" s="193">
        <v>378</v>
      </c>
      <c r="B1036" s="46" t="s">
        <v>631</v>
      </c>
      <c r="C1036" s="215"/>
      <c r="D1036" s="194"/>
      <c r="E1036" s="215"/>
      <c r="F1036" s="215"/>
      <c r="G1036" s="215"/>
      <c r="H1036" s="194" t="s">
        <v>2020</v>
      </c>
      <c r="I1036" s="170"/>
      <c r="J1036" s="46" t="s">
        <v>1263</v>
      </c>
      <c r="K1036" s="170"/>
      <c r="L1036" s="197">
        <v>13</v>
      </c>
      <c r="M1036" s="197">
        <v>7</v>
      </c>
      <c r="N1036" s="290">
        <v>25</v>
      </c>
      <c r="O1036" s="46"/>
      <c r="P1036" s="46" t="s">
        <v>39</v>
      </c>
      <c r="Q1036" s="170"/>
      <c r="R1036" s="192" t="str">
        <f>CONCATENATE(N1036,P1036)</f>
        <v>25grams</v>
      </c>
      <c r="S1036" s="198">
        <f>M1036*N1036</f>
        <v>175</v>
      </c>
      <c r="T1036" s="199" t="str">
        <f>CONCATENATE(S1036,Q1036,P1036)</f>
        <v>175grams</v>
      </c>
      <c r="U1036" s="200">
        <f>L1036*M1036</f>
        <v>91</v>
      </c>
      <c r="V1036" s="12"/>
      <c r="W1036" s="12"/>
    </row>
    <row r="1037" spans="1:23" x14ac:dyDescent="0.3">
      <c r="A1037" s="193">
        <v>379</v>
      </c>
      <c r="B1037" s="219" t="s">
        <v>1268</v>
      </c>
      <c r="C1037" s="215"/>
      <c r="D1037" s="194"/>
      <c r="E1037" s="215"/>
      <c r="F1037" s="215"/>
      <c r="G1037" s="215"/>
      <c r="H1037" s="194" t="s">
        <v>2021</v>
      </c>
      <c r="I1037" s="170"/>
      <c r="J1037" s="219" t="s">
        <v>1062</v>
      </c>
      <c r="K1037" s="170"/>
      <c r="L1037" s="216">
        <v>75</v>
      </c>
      <c r="M1037" s="216">
        <v>12</v>
      </c>
      <c r="N1037" s="293">
        <v>1</v>
      </c>
      <c r="O1037" s="219"/>
      <c r="P1037" s="219" t="s">
        <v>1064</v>
      </c>
      <c r="Q1037" s="170"/>
      <c r="R1037" s="192" t="str">
        <f>CONCATENATE(N1037,P1037)</f>
        <v>1jar</v>
      </c>
      <c r="S1037" s="198">
        <f>M1037*N1037</f>
        <v>12</v>
      </c>
      <c r="T1037" s="199" t="str">
        <f>CONCATENATE(S1037,Q1037,P1037)</f>
        <v>12jar</v>
      </c>
      <c r="U1037" s="200">
        <f>L1037*M1037</f>
        <v>900</v>
      </c>
      <c r="V1037" s="12"/>
      <c r="W1037" s="12"/>
    </row>
    <row r="1038" spans="1:23" x14ac:dyDescent="0.3">
      <c r="A1038" s="479">
        <v>380</v>
      </c>
      <c r="B1038" s="194" t="s">
        <v>101</v>
      </c>
      <c r="C1038" s="170"/>
      <c r="D1038" s="194" t="str">
        <f ca="1">IFERROR(__xludf.DUMMYFUNCTION("IF(J299="""",""n/a"",IFERROR(SPLIT(J299,""/"")))"),"ZEST-O Big 250")</f>
        <v>ZEST-O Big 250</v>
      </c>
      <c r="E1038" s="194" t="str">
        <f ca="1">IFERROR(__xludf.DUMMYFUNCTION("""COMPUTED_VALUE"""),"box (10x250ml)")</f>
        <v>box (10x250ml)</v>
      </c>
      <c r="F1038" s="170"/>
      <c r="G1038" s="170"/>
      <c r="H1038" s="183" t="s">
        <v>1895</v>
      </c>
      <c r="I1038" s="170"/>
      <c r="J1038" s="46" t="s">
        <v>102</v>
      </c>
      <c r="K1038" s="170"/>
      <c r="L1038" s="195">
        <v>8.86</v>
      </c>
      <c r="M1038" s="197">
        <v>190</v>
      </c>
      <c r="N1038" s="61">
        <v>1</v>
      </c>
      <c r="O1038" s="61" t="str">
        <f ca="1">E1038</f>
        <v>box (10x250ml)</v>
      </c>
      <c r="P1038" s="61" t="s">
        <v>92</v>
      </c>
      <c r="Q1038" s="170"/>
      <c r="R1038" s="192" t="str">
        <f>CONCATENATE(N1038,P1038)</f>
        <v>1pieces</v>
      </c>
      <c r="S1038" s="198">
        <f>M1038*N1038</f>
        <v>190</v>
      </c>
      <c r="T1038" s="199" t="str">
        <f>CONCATENATE(S1038,Q1038,P1038)</f>
        <v>190pieces</v>
      </c>
      <c r="U1038" s="200">
        <f>L1038*M1038</f>
        <v>1683.3999999999999</v>
      </c>
      <c r="V1038" s="12"/>
      <c r="W1038" s="12"/>
    </row>
    <row r="1039" spans="1:23" x14ac:dyDescent="0.3">
      <c r="A1039" s="193">
        <v>381</v>
      </c>
      <c r="B1039" s="46" t="s">
        <v>1269</v>
      </c>
      <c r="C1039" s="215"/>
      <c r="D1039" s="194"/>
      <c r="E1039" s="215"/>
      <c r="F1039" s="215"/>
      <c r="G1039" s="215"/>
      <c r="H1039" s="194" t="s">
        <v>2026</v>
      </c>
      <c r="I1039" s="170"/>
      <c r="J1039" s="46" t="s">
        <v>869</v>
      </c>
      <c r="K1039" s="170"/>
      <c r="L1039" s="197">
        <v>57</v>
      </c>
      <c r="M1039" s="197">
        <v>5</v>
      </c>
      <c r="N1039" s="290">
        <v>150</v>
      </c>
      <c r="O1039" s="46"/>
      <c r="P1039" s="46" t="s">
        <v>39</v>
      </c>
      <c r="Q1039" s="170"/>
      <c r="R1039" s="192" t="str">
        <f>CONCATENATE(N1039,P1039)</f>
        <v>150grams</v>
      </c>
      <c r="S1039" s="198">
        <f>M1039*N1039</f>
        <v>750</v>
      </c>
      <c r="T1039" s="199" t="str">
        <f>CONCATENATE(S1039,Q1039,P1039)</f>
        <v>750grams</v>
      </c>
      <c r="U1039" s="200">
        <f>L1039*M1039</f>
        <v>285</v>
      </c>
      <c r="V1039" s="12"/>
      <c r="W1039" s="12"/>
    </row>
    <row r="1040" spans="1:23" x14ac:dyDescent="0.3">
      <c r="A1040" s="193">
        <v>381</v>
      </c>
      <c r="B1040" s="46" t="s">
        <v>1269</v>
      </c>
      <c r="C1040" s="215"/>
      <c r="D1040" s="194"/>
      <c r="E1040" s="215"/>
      <c r="F1040" s="215"/>
      <c r="G1040" s="215"/>
      <c r="H1040" s="194" t="s">
        <v>2023</v>
      </c>
      <c r="I1040" s="170"/>
      <c r="J1040" s="46" t="s">
        <v>1270</v>
      </c>
      <c r="K1040" s="170"/>
      <c r="L1040" s="197">
        <v>61.7</v>
      </c>
      <c r="M1040" s="197">
        <v>11</v>
      </c>
      <c r="N1040" s="290">
        <v>250</v>
      </c>
      <c r="O1040" s="46"/>
      <c r="P1040" s="46" t="s">
        <v>39</v>
      </c>
      <c r="Q1040" s="170"/>
      <c r="R1040" s="192" t="str">
        <f>CONCATENATE(N1040,P1040)</f>
        <v>250grams</v>
      </c>
      <c r="S1040" s="198">
        <f>M1040*N1040</f>
        <v>2750</v>
      </c>
      <c r="T1040" s="199" t="str">
        <f>CONCATENATE(S1040,Q1040,P1040)</f>
        <v>2750grams</v>
      </c>
      <c r="U1040" s="200">
        <f>L1040*M1040</f>
        <v>678.7</v>
      </c>
      <c r="V1040" s="12"/>
      <c r="W1040" s="12"/>
    </row>
    <row r="1041" spans="1:23" x14ac:dyDescent="0.3">
      <c r="A1041" s="479">
        <v>382</v>
      </c>
      <c r="B1041" s="194" t="s">
        <v>201</v>
      </c>
      <c r="C1041" s="170"/>
      <c r="D1041" s="194" t="str">
        <f ca="1">IFERROR(__xludf.DUMMYFUNCTION("IF(J300="""",""n/a"",IFERROR(SPLIT(J300,""/"")))"),"My Eveyday ( 1 X 100 )")</f>
        <v>My Eveyday ( 1 X 100 )</v>
      </c>
      <c r="E1041" s="170"/>
      <c r="F1041" s="170"/>
      <c r="G1041" s="170"/>
      <c r="H1041" s="183" t="s">
        <v>1895</v>
      </c>
      <c r="I1041" s="170"/>
      <c r="J1041" s="46" t="s">
        <v>202</v>
      </c>
      <c r="K1041" s="170"/>
      <c r="L1041" s="195">
        <v>49</v>
      </c>
      <c r="M1041" s="197">
        <v>20</v>
      </c>
      <c r="N1041" s="61">
        <v>1</v>
      </c>
      <c r="O1041" s="170">
        <f>E1041</f>
        <v>0</v>
      </c>
      <c r="P1041" s="61" t="s">
        <v>92</v>
      </c>
      <c r="Q1041" s="170"/>
      <c r="R1041" s="192" t="str">
        <f>CONCATENATE(N1041,P1041)</f>
        <v>1pieces</v>
      </c>
      <c r="S1041" s="198">
        <f>M1041*N1041</f>
        <v>20</v>
      </c>
      <c r="T1041" s="199" t="str">
        <f>CONCATENATE(S1041,Q1041,P1041)</f>
        <v>20pieces</v>
      </c>
      <c r="U1041" s="200">
        <f>L1041*M1041</f>
        <v>980</v>
      </c>
      <c r="V1041" s="12"/>
      <c r="W1041" s="12"/>
    </row>
    <row r="1042" spans="1:23" x14ac:dyDescent="0.3">
      <c r="A1042" s="193">
        <v>382</v>
      </c>
      <c r="B1042" s="219" t="s">
        <v>201</v>
      </c>
      <c r="C1042" s="215"/>
      <c r="D1042" s="194"/>
      <c r="E1042" s="215"/>
      <c r="F1042" s="215"/>
      <c r="G1042" s="215"/>
      <c r="H1042" s="194" t="s">
        <v>2025</v>
      </c>
      <c r="I1042" s="170"/>
      <c r="J1042" s="46" t="s">
        <v>858</v>
      </c>
      <c r="K1042" s="170"/>
      <c r="L1042" s="197">
        <v>65</v>
      </c>
      <c r="M1042" s="197">
        <v>14</v>
      </c>
      <c r="N1042" s="290">
        <v>100</v>
      </c>
      <c r="O1042" s="46"/>
      <c r="P1042" s="46" t="s">
        <v>92</v>
      </c>
      <c r="Q1042" s="170"/>
      <c r="R1042" s="192" t="str">
        <f>CONCATENATE(N1042,P1042)</f>
        <v>100pieces</v>
      </c>
      <c r="S1042" s="198">
        <f>M1042*N1042</f>
        <v>1400</v>
      </c>
      <c r="T1042" s="199" t="str">
        <f>CONCATENATE(S1042,Q1042,P1042)</f>
        <v>1400pieces</v>
      </c>
      <c r="U1042" s="200">
        <f>L1042*M1042</f>
        <v>910</v>
      </c>
      <c r="V1042" s="12"/>
      <c r="W1042" s="12"/>
    </row>
    <row r="1043" spans="1:23" x14ac:dyDescent="0.3">
      <c r="A1043" s="193">
        <v>382</v>
      </c>
      <c r="B1043" s="46" t="s">
        <v>201</v>
      </c>
      <c r="C1043" s="215"/>
      <c r="D1043" s="194"/>
      <c r="E1043" s="215"/>
      <c r="F1043" s="215"/>
      <c r="G1043" s="215"/>
      <c r="H1043" s="194" t="s">
        <v>2023</v>
      </c>
      <c r="I1043" s="170"/>
      <c r="J1043" s="46" t="s">
        <v>858</v>
      </c>
      <c r="K1043" s="170"/>
      <c r="L1043" s="197">
        <v>49</v>
      </c>
      <c r="M1043" s="197">
        <v>3</v>
      </c>
      <c r="N1043" s="290">
        <v>1</v>
      </c>
      <c r="O1043" s="46"/>
      <c r="P1043" s="46" t="s">
        <v>304</v>
      </c>
      <c r="Q1043" s="170"/>
      <c r="R1043" s="192" t="str">
        <f>CONCATENATE(N1043,P1043)</f>
        <v>1packs</v>
      </c>
      <c r="S1043" s="198">
        <f>M1043*N1043</f>
        <v>3</v>
      </c>
      <c r="T1043" s="199" t="str">
        <f>CONCATENATE(S1043,Q1043,P1043)</f>
        <v>3packs</v>
      </c>
      <c r="U1043" s="200">
        <f>L1043*M1043</f>
        <v>147</v>
      </c>
      <c r="V1043" s="12"/>
      <c r="W1043" s="12"/>
    </row>
    <row r="1044" spans="1:23" x14ac:dyDescent="0.3">
      <c r="A1044" s="193">
        <v>382</v>
      </c>
      <c r="B1044" s="46" t="s">
        <v>201</v>
      </c>
      <c r="C1044" s="215"/>
      <c r="D1044" s="194"/>
      <c r="E1044" s="215"/>
      <c r="F1044" s="215"/>
      <c r="G1044" s="215"/>
      <c r="H1044" s="194" t="s">
        <v>2022</v>
      </c>
      <c r="I1044" s="170"/>
      <c r="J1044" s="46" t="s">
        <v>1199</v>
      </c>
      <c r="K1044" s="170"/>
      <c r="L1044" s="197">
        <v>45</v>
      </c>
      <c r="M1044" s="197">
        <v>2</v>
      </c>
      <c r="N1044" s="290">
        <v>1</v>
      </c>
      <c r="O1044" s="46"/>
      <c r="P1044" s="46" t="s">
        <v>304</v>
      </c>
      <c r="Q1044" s="170"/>
      <c r="R1044" s="192" t="str">
        <f>CONCATENATE(N1044,P1044)</f>
        <v>1packs</v>
      </c>
      <c r="S1044" s="198">
        <f>M1044*N1044</f>
        <v>2</v>
      </c>
      <c r="T1044" s="199" t="str">
        <f>CONCATENATE(S1044,Q1044,P1044)</f>
        <v>2packs</v>
      </c>
      <c r="U1044" s="200">
        <f>L1044*M1044</f>
        <v>90</v>
      </c>
      <c r="V1044" s="12"/>
      <c r="W1044" s="12"/>
    </row>
    <row r="1045" spans="1:23" x14ac:dyDescent="0.3">
      <c r="A1045" s="193">
        <v>382</v>
      </c>
      <c r="B1045" s="46" t="s">
        <v>201</v>
      </c>
      <c r="C1045" s="215"/>
      <c r="D1045" s="194"/>
      <c r="E1045" s="215"/>
      <c r="F1045" s="215"/>
      <c r="G1045" s="215"/>
      <c r="H1045" s="194" t="s">
        <v>2020</v>
      </c>
      <c r="I1045" s="170"/>
      <c r="J1045" s="46" t="s">
        <v>858</v>
      </c>
      <c r="K1045" s="170"/>
      <c r="L1045" s="197">
        <v>45</v>
      </c>
      <c r="M1045" s="197">
        <v>20</v>
      </c>
      <c r="N1045" s="290">
        <v>1</v>
      </c>
      <c r="O1045" s="46"/>
      <c r="P1045" s="46" t="s">
        <v>304</v>
      </c>
      <c r="Q1045" s="170"/>
      <c r="R1045" s="192" t="str">
        <f>CONCATENATE(N1045,P1045)</f>
        <v>1packs</v>
      </c>
      <c r="S1045" s="198">
        <f>M1045*N1045</f>
        <v>20</v>
      </c>
      <c r="T1045" s="199" t="str">
        <f>CONCATENATE(S1045,Q1045,P1045)</f>
        <v>20packs</v>
      </c>
      <c r="U1045" s="200">
        <f>L1045*M1045</f>
        <v>900</v>
      </c>
      <c r="V1045" s="12"/>
      <c r="W1045" s="12"/>
    </row>
    <row r="1046" spans="1:23" x14ac:dyDescent="0.3">
      <c r="A1046" s="193">
        <v>382</v>
      </c>
      <c r="B1046" s="46" t="s">
        <v>201</v>
      </c>
      <c r="C1046" s="215"/>
      <c r="D1046" s="194"/>
      <c r="E1046" s="215"/>
      <c r="F1046" s="215"/>
      <c r="G1046" s="215"/>
      <c r="H1046" s="400" t="s">
        <v>2027</v>
      </c>
      <c r="I1046" s="170"/>
      <c r="J1046" s="170"/>
      <c r="K1046" s="170"/>
      <c r="L1046" s="195">
        <v>35</v>
      </c>
      <c r="M1046" s="197">
        <v>2</v>
      </c>
      <c r="N1046" s="360">
        <v>1</v>
      </c>
      <c r="O1046" s="61"/>
      <c r="P1046" s="61" t="s">
        <v>304</v>
      </c>
      <c r="Q1046" s="170"/>
      <c r="R1046" s="192" t="str">
        <f>CONCATENATE(N1046,P1046)</f>
        <v>1packs</v>
      </c>
      <c r="S1046" s="198">
        <f>M1046*N1046</f>
        <v>2</v>
      </c>
      <c r="T1046" s="199" t="str">
        <f>CONCATENATE(S1046,Q1046,P1046)</f>
        <v>2packs</v>
      </c>
      <c r="U1046" s="200">
        <f>L1046*M1046</f>
        <v>70</v>
      </c>
      <c r="V1046" s="12"/>
      <c r="W1046" s="12"/>
    </row>
    <row r="1047" spans="1:23" x14ac:dyDescent="0.3">
      <c r="A1047" s="193">
        <v>383</v>
      </c>
      <c r="B1047" s="46" t="s">
        <v>1271</v>
      </c>
      <c r="C1047" s="215"/>
      <c r="D1047" s="194"/>
      <c r="E1047" s="215"/>
      <c r="F1047" s="215"/>
      <c r="G1047" s="215"/>
      <c r="H1047" s="194" t="s">
        <v>1368</v>
      </c>
      <c r="I1047" s="170"/>
      <c r="J1047" s="46" t="s">
        <v>1272</v>
      </c>
      <c r="K1047" s="170"/>
      <c r="L1047" s="197">
        <v>172</v>
      </c>
      <c r="M1047" s="197">
        <v>2</v>
      </c>
      <c r="N1047" s="290">
        <v>1</v>
      </c>
      <c r="O1047" s="46"/>
      <c r="P1047" s="46" t="s">
        <v>92</v>
      </c>
      <c r="Q1047" s="170"/>
      <c r="R1047" s="192" t="str">
        <f>CONCATENATE(N1047,P1047)</f>
        <v>1pieces</v>
      </c>
      <c r="S1047" s="198">
        <f>M1047*N1047</f>
        <v>2</v>
      </c>
      <c r="T1047" s="199" t="str">
        <f>CONCATENATE(S1047,Q1047,P1047)</f>
        <v>2pieces</v>
      </c>
      <c r="U1047" s="200">
        <f>L1047*M1047</f>
        <v>344</v>
      </c>
      <c r="V1047" s="12"/>
      <c r="W1047" s="12"/>
    </row>
    <row r="1048" spans="1:23" x14ac:dyDescent="0.3">
      <c r="A1048" s="479">
        <v>384</v>
      </c>
      <c r="B1048" s="194" t="s">
        <v>632</v>
      </c>
      <c r="C1048" s="170"/>
      <c r="D1048" s="194" t="str">
        <f ca="1">IFERROR(__xludf.DUMMYFUNCTION("IF(J301="""",""n/a"",IFERROR(SPLIT(J301,""/"")))"),"n/a")</f>
        <v>n/a</v>
      </c>
      <c r="E1048" s="170"/>
      <c r="F1048" s="170"/>
      <c r="G1048" s="170"/>
      <c r="H1048" s="206" t="s">
        <v>1898</v>
      </c>
      <c r="I1048" s="170"/>
      <c r="J1048" s="170"/>
      <c r="K1048" s="170"/>
      <c r="L1048" s="197">
        <v>607</v>
      </c>
      <c r="M1048" s="385">
        <v>0.5</v>
      </c>
      <c r="N1048" s="208">
        <v>1</v>
      </c>
      <c r="O1048" s="170">
        <f>E1048</f>
        <v>0</v>
      </c>
      <c r="P1048" s="61" t="s">
        <v>200</v>
      </c>
      <c r="Q1048" s="170"/>
      <c r="R1048" s="192" t="str">
        <f>CONCATENATE(N1048,P1048)</f>
        <v>1gal</v>
      </c>
      <c r="S1048" s="198">
        <f>M1048*N1048</f>
        <v>0.5</v>
      </c>
      <c r="T1048" s="199" t="str">
        <f>CONCATENATE(S1048,Q1048,P1048)</f>
        <v>0.5gal</v>
      </c>
      <c r="U1048" s="200">
        <f>L1048*M1048</f>
        <v>303.5</v>
      </c>
      <c r="V1048" s="12"/>
      <c r="W1048" s="12"/>
    </row>
    <row r="1049" spans="1:23" x14ac:dyDescent="0.3">
      <c r="A1049" s="193">
        <v>385</v>
      </c>
      <c r="B1049" s="46" t="s">
        <v>1933</v>
      </c>
      <c r="C1049" s="215"/>
      <c r="D1049" s="194"/>
      <c r="E1049" s="215"/>
      <c r="F1049" s="215"/>
      <c r="G1049" s="215"/>
      <c r="H1049" s="400" t="s">
        <v>2027</v>
      </c>
      <c r="I1049" s="170"/>
      <c r="J1049" s="46" t="s">
        <v>1934</v>
      </c>
      <c r="K1049" s="170"/>
      <c r="L1049" s="195">
        <v>5.3</v>
      </c>
      <c r="M1049" s="197">
        <v>30</v>
      </c>
      <c r="N1049" s="360">
        <v>1</v>
      </c>
      <c r="O1049" s="61"/>
      <c r="P1049" s="61" t="s">
        <v>92</v>
      </c>
      <c r="Q1049" s="170"/>
      <c r="R1049" s="192" t="str">
        <f>CONCATENATE(N1049,P1049)</f>
        <v>1pieces</v>
      </c>
      <c r="S1049" s="198">
        <f>M1049*N1049</f>
        <v>30</v>
      </c>
      <c r="T1049" s="199" t="str">
        <f>CONCATENATE(S1049,Q1049,P1049)</f>
        <v>30pieces</v>
      </c>
      <c r="U1049" s="200">
        <f>L1049*M1049</f>
        <v>159</v>
      </c>
      <c r="V1049" s="12"/>
      <c r="W1049" s="12"/>
    </row>
    <row r="1050" spans="1:23" x14ac:dyDescent="0.3">
      <c r="A1050" s="479">
        <v>386</v>
      </c>
      <c r="B1050" s="194" t="s">
        <v>404</v>
      </c>
      <c r="C1050" s="170"/>
      <c r="D1050" s="194" t="str">
        <f ca="1">IFERROR(__xludf.DUMMYFUNCTION("IF(J302="""",""n/a"",IFERROR(SPLIT(J302,""/"")))"),"Rebisco")</f>
        <v>Rebisco</v>
      </c>
      <c r="E1050" s="194" t="str">
        <f ca="1">IFERROR(__xludf.DUMMYFUNCTION("""COMPUTED_VALUE"""),"pack (10pcsx32grams)")</f>
        <v>pack (10pcsx32grams)</v>
      </c>
      <c r="F1050" s="170"/>
      <c r="G1050" s="170"/>
      <c r="H1050" s="183" t="s">
        <v>1895</v>
      </c>
      <c r="I1050" s="170"/>
      <c r="J1050" s="46" t="s">
        <v>405</v>
      </c>
      <c r="K1050" s="170"/>
      <c r="L1050" s="195">
        <v>5.8</v>
      </c>
      <c r="M1050" s="197">
        <v>600</v>
      </c>
      <c r="N1050" s="61">
        <v>1</v>
      </c>
      <c r="O1050" s="61" t="str">
        <f ca="1">E1050</f>
        <v>pack (10pcsx32grams)</v>
      </c>
      <c r="P1050" s="61" t="s">
        <v>92</v>
      </c>
      <c r="Q1050" s="170"/>
      <c r="R1050" s="192" t="str">
        <f>CONCATENATE(N1050,P1050)</f>
        <v>1pieces</v>
      </c>
      <c r="S1050" s="198">
        <f>M1050*N1050</f>
        <v>600</v>
      </c>
      <c r="T1050" s="199" t="str">
        <f>CONCATENATE(S1050,Q1050,P1050)</f>
        <v>600pieces</v>
      </c>
      <c r="U1050" s="200">
        <f>L1050*M1050</f>
        <v>3480</v>
      </c>
      <c r="V1050" s="12"/>
      <c r="W1050" s="12"/>
    </row>
    <row r="1051" spans="1:23" x14ac:dyDescent="0.3">
      <c r="A1051" s="479">
        <v>387</v>
      </c>
      <c r="B1051" s="194" t="s">
        <v>406</v>
      </c>
      <c r="C1051" s="170"/>
      <c r="D1051" s="194" t="str">
        <f ca="1">IFERROR(__xludf.DUMMYFUNCTION("IF(J303="""",""n/a"",IFERROR(SPLIT(J303,""/"")))"),"Rebisco")</f>
        <v>Rebisco</v>
      </c>
      <c r="E1051" s="194" t="str">
        <f ca="1">IFERROR(__xludf.DUMMYFUNCTION("""COMPUTED_VALUE"""),"pack (10pcsx31grams)")</f>
        <v>pack (10pcsx31grams)</v>
      </c>
      <c r="F1051" s="170"/>
      <c r="G1051" s="170"/>
      <c r="H1051" s="183" t="s">
        <v>1895</v>
      </c>
      <c r="I1051" s="170"/>
      <c r="J1051" s="46" t="s">
        <v>407</v>
      </c>
      <c r="K1051" s="170"/>
      <c r="L1051" s="195">
        <v>5.79</v>
      </c>
      <c r="M1051" s="197">
        <v>200</v>
      </c>
      <c r="N1051" s="61">
        <v>1</v>
      </c>
      <c r="O1051" s="61" t="str">
        <f ca="1">E1051</f>
        <v>pack (10pcsx31grams)</v>
      </c>
      <c r="P1051" s="61" t="s">
        <v>92</v>
      </c>
      <c r="Q1051" s="170"/>
      <c r="R1051" s="192" t="str">
        <f>CONCATENATE(N1051,P1051)</f>
        <v>1pieces</v>
      </c>
      <c r="S1051" s="198">
        <f>M1051*N1051</f>
        <v>200</v>
      </c>
      <c r="T1051" s="199" t="str">
        <f>CONCATENATE(S1051,Q1051,P1051)</f>
        <v>200pieces</v>
      </c>
      <c r="U1051" s="200">
        <f>L1051*M1051</f>
        <v>1158</v>
      </c>
      <c r="V1051" s="12"/>
      <c r="W1051" s="12"/>
    </row>
    <row r="1052" spans="1:23" x14ac:dyDescent="0.3">
      <c r="A1052" s="479">
        <v>388</v>
      </c>
      <c r="B1052" s="194" t="s">
        <v>408</v>
      </c>
      <c r="C1052" s="170"/>
      <c r="D1052" s="194" t="str">
        <f ca="1">IFERROR(__xludf.DUMMYFUNCTION("IF(J304="""",""n/a"",IFERROR(SPLIT(J304,""/"")))"),"Rebisco")</f>
        <v>Rebisco</v>
      </c>
      <c r="E1052" s="194" t="str">
        <f ca="1">IFERROR(__xludf.DUMMYFUNCTION("""COMPUTED_VALUE"""),"pack (10pcsx31grams)")</f>
        <v>pack (10pcsx31grams)</v>
      </c>
      <c r="F1052" s="170"/>
      <c r="G1052" s="170"/>
      <c r="H1052" s="183" t="s">
        <v>1895</v>
      </c>
      <c r="I1052" s="170"/>
      <c r="J1052" s="46" t="s">
        <v>407</v>
      </c>
      <c r="K1052" s="170"/>
      <c r="L1052" s="195">
        <v>5.79</v>
      </c>
      <c r="M1052" s="197">
        <v>220</v>
      </c>
      <c r="N1052" s="61">
        <v>1</v>
      </c>
      <c r="O1052" s="61" t="str">
        <f ca="1">E1052</f>
        <v>pack (10pcsx31grams)</v>
      </c>
      <c r="P1052" s="61" t="s">
        <v>92</v>
      </c>
      <c r="Q1052" s="170"/>
      <c r="R1052" s="192" t="str">
        <f>CONCATENATE(N1052,P1052)</f>
        <v>1pieces</v>
      </c>
      <c r="S1052" s="198">
        <f>M1052*N1052</f>
        <v>220</v>
      </c>
      <c r="T1052" s="199" t="str">
        <f>CONCATENATE(S1052,Q1052,P1052)</f>
        <v>220pieces</v>
      </c>
      <c r="U1052" s="200">
        <f>L1052*M1052</f>
        <v>1273.8</v>
      </c>
      <c r="V1052" s="12"/>
      <c r="W1052" s="12"/>
    </row>
    <row r="1053" spans="1:23" x14ac:dyDescent="0.3">
      <c r="A1053" s="193">
        <v>389</v>
      </c>
      <c r="B1053" s="46" t="s">
        <v>1935</v>
      </c>
      <c r="C1053" s="215"/>
      <c r="D1053" s="194"/>
      <c r="E1053" s="215"/>
      <c r="F1053" s="215"/>
      <c r="G1053" s="215"/>
      <c r="H1053" s="400" t="s">
        <v>2027</v>
      </c>
      <c r="I1053" s="170"/>
      <c r="J1053" s="46" t="s">
        <v>1934</v>
      </c>
      <c r="K1053" s="170"/>
      <c r="L1053" s="195">
        <v>5.92</v>
      </c>
      <c r="M1053" s="197">
        <v>37</v>
      </c>
      <c r="N1053" s="360">
        <v>1</v>
      </c>
      <c r="O1053" s="61"/>
      <c r="P1053" s="61" t="s">
        <v>92</v>
      </c>
      <c r="Q1053" s="170"/>
      <c r="R1053" s="192" t="str">
        <f>CONCATENATE(N1053,P1053)</f>
        <v>1pieces</v>
      </c>
      <c r="S1053" s="198">
        <f>M1053*N1053</f>
        <v>37</v>
      </c>
      <c r="T1053" s="199" t="str">
        <f>CONCATENATE(S1053,Q1053,P1053)</f>
        <v>37pieces</v>
      </c>
      <c r="U1053" s="200">
        <f>L1053*M1053</f>
        <v>219.04</v>
      </c>
      <c r="V1053" s="12"/>
      <c r="W1053" s="12"/>
    </row>
    <row r="1054" spans="1:23" x14ac:dyDescent="0.3">
      <c r="A1054" s="479">
        <v>390</v>
      </c>
      <c r="B1054" s="194" t="s">
        <v>633</v>
      </c>
      <c r="C1054" s="170"/>
      <c r="D1054" s="194" t="str">
        <f ca="1">IFERROR(__xludf.DUMMYFUNCTION("IF(J305="""",""n/a"",IFERROR(SPLIT(J305,""/"")))"),"n/a")</f>
        <v>n/a</v>
      </c>
      <c r="E1054" s="170"/>
      <c r="F1054" s="170"/>
      <c r="G1054" s="170"/>
      <c r="H1054" s="206" t="s">
        <v>1898</v>
      </c>
      <c r="I1054" s="170"/>
      <c r="J1054" s="170"/>
      <c r="K1054" s="170"/>
      <c r="L1054" s="197">
        <v>0.06</v>
      </c>
      <c r="M1054" s="385">
        <v>785</v>
      </c>
      <c r="N1054" s="208">
        <v>24</v>
      </c>
      <c r="O1054" s="170">
        <f>E1054</f>
        <v>0</v>
      </c>
      <c r="P1054" s="61" t="s">
        <v>304</v>
      </c>
      <c r="Q1054" s="170"/>
      <c r="R1054" s="192" t="str">
        <f>CONCATENATE(N1054,P1054)</f>
        <v>24packs</v>
      </c>
      <c r="S1054" s="198">
        <f>M1054*N1054</f>
        <v>18840</v>
      </c>
      <c r="T1054" s="199" t="str">
        <f>CONCATENATE(S1054,Q1054,P1054)</f>
        <v>18840packs</v>
      </c>
      <c r="U1054" s="200">
        <f>L1054*M1054</f>
        <v>47.1</v>
      </c>
      <c r="V1054" s="12"/>
      <c r="W1054" s="12"/>
    </row>
    <row r="1055" spans="1:23" x14ac:dyDescent="0.3">
      <c r="A1055" s="193">
        <v>391</v>
      </c>
      <c r="B1055" s="46" t="s">
        <v>1273</v>
      </c>
      <c r="C1055" s="215"/>
      <c r="D1055" s="194"/>
      <c r="E1055" s="215"/>
      <c r="F1055" s="215"/>
      <c r="G1055" s="215"/>
      <c r="H1055" s="194" t="s">
        <v>1368</v>
      </c>
      <c r="I1055" s="170"/>
      <c r="J1055" s="170"/>
      <c r="K1055" s="170"/>
      <c r="L1055" s="197">
        <v>200</v>
      </c>
      <c r="M1055" s="197">
        <v>5</v>
      </c>
      <c r="N1055" s="290">
        <v>1000</v>
      </c>
      <c r="O1055" s="46"/>
      <c r="P1055" s="46" t="s">
        <v>39</v>
      </c>
      <c r="Q1055" s="170"/>
      <c r="R1055" s="192" t="str">
        <f>CONCATENATE(N1055,P1055)</f>
        <v>1000grams</v>
      </c>
      <c r="S1055" s="198">
        <f>M1055*N1055</f>
        <v>5000</v>
      </c>
      <c r="T1055" s="199" t="str">
        <f>CONCATENATE(S1055,Q1055,P1055)</f>
        <v>5000grams</v>
      </c>
      <c r="U1055" s="200">
        <f>L1055*M1055</f>
        <v>1000</v>
      </c>
      <c r="V1055" s="12"/>
      <c r="W1055" s="12"/>
    </row>
    <row r="1056" spans="1:23" x14ac:dyDescent="0.3">
      <c r="A1056" s="479">
        <v>392</v>
      </c>
      <c r="B1056" s="194" t="s">
        <v>634</v>
      </c>
      <c r="C1056" s="170"/>
      <c r="D1056" s="194" t="str">
        <f ca="1">IFERROR(__xludf.DUMMYFUNCTION("IF(J306="""",""n/a"",IFERROR(SPLIT(J306,""/"")))"),"n/a")</f>
        <v>n/a</v>
      </c>
      <c r="E1056" s="170"/>
      <c r="F1056" s="170"/>
      <c r="G1056" s="170"/>
      <c r="H1056" s="206" t="s">
        <v>1898</v>
      </c>
      <c r="I1056" s="170"/>
      <c r="J1056" s="170"/>
      <c r="K1056" s="170"/>
      <c r="L1056" s="197">
        <v>5.12</v>
      </c>
      <c r="M1056" s="386">
        <v>5</v>
      </c>
      <c r="N1056" s="208">
        <v>1</v>
      </c>
      <c r="O1056" s="170">
        <f>E1056</f>
        <v>0</v>
      </c>
      <c r="P1056" s="61" t="s">
        <v>92</v>
      </c>
      <c r="Q1056" s="170"/>
      <c r="R1056" s="192" t="str">
        <f>CONCATENATE(N1056,P1056)</f>
        <v>1pieces</v>
      </c>
      <c r="S1056" s="198">
        <f>M1056*N1056</f>
        <v>5</v>
      </c>
      <c r="T1056" s="199" t="str">
        <f>CONCATENATE(S1056,Q1056,P1056)</f>
        <v>5pieces</v>
      </c>
      <c r="U1056" s="200">
        <f>L1056*M1056</f>
        <v>25.6</v>
      </c>
      <c r="V1056" s="12"/>
      <c r="W1056" s="12"/>
    </row>
    <row r="1057" spans="1:23" x14ac:dyDescent="0.3">
      <c r="A1057" s="479">
        <v>393</v>
      </c>
      <c r="B1057" s="194" t="s">
        <v>409</v>
      </c>
      <c r="C1057" s="170"/>
      <c r="D1057" s="194" t="str">
        <f ca="1">IFERROR(__xludf.DUMMYFUNCTION("IF(J307="""",""n/a"",IFERROR(SPLIT(J307,""/"")))"),"Jack n Jill")</f>
        <v>Jack n Jill</v>
      </c>
      <c r="E1057" s="194" t="str">
        <f ca="1">IFERROR(__xludf.DUMMYFUNCTION("""COMPUTED_VALUE"""),"pack (10pcsX15grams)")</f>
        <v>pack (10pcsX15grams)</v>
      </c>
      <c r="F1057" s="170"/>
      <c r="G1057" s="170"/>
      <c r="H1057" s="183" t="s">
        <v>1895</v>
      </c>
      <c r="I1057" s="170"/>
      <c r="J1057" s="46" t="s">
        <v>410</v>
      </c>
      <c r="K1057" s="170"/>
      <c r="L1057" s="195">
        <v>6.56</v>
      </c>
      <c r="M1057" s="197">
        <v>28</v>
      </c>
      <c r="N1057" s="61">
        <v>1</v>
      </c>
      <c r="O1057" s="61" t="str">
        <f ca="1">E1057</f>
        <v>pack (10pcsX15grams)</v>
      </c>
      <c r="P1057" s="61" t="s">
        <v>92</v>
      </c>
      <c r="Q1057" s="170"/>
      <c r="R1057" s="192" t="str">
        <f>CONCATENATE(N1057,P1057)</f>
        <v>1pieces</v>
      </c>
      <c r="S1057" s="198">
        <f>M1057*N1057</f>
        <v>28</v>
      </c>
      <c r="T1057" s="199" t="str">
        <f>CONCATENATE(S1057,Q1057,P1057)</f>
        <v>28pieces</v>
      </c>
      <c r="U1057" s="200">
        <f>L1057*M1057</f>
        <v>183.67999999999998</v>
      </c>
      <c r="V1057" s="12"/>
      <c r="W1057" s="12"/>
    </row>
    <row r="1058" spans="1:23" x14ac:dyDescent="0.3">
      <c r="A1058" s="479">
        <v>394</v>
      </c>
      <c r="B1058" s="194" t="s">
        <v>635</v>
      </c>
      <c r="C1058" s="170"/>
      <c r="D1058" s="194" t="str">
        <f ca="1">IFERROR(__xludf.DUMMYFUNCTION("IF(J308="""",""n/a"",IFERROR(SPLIT(J308,""/"")))"),"n/a")</f>
        <v>n/a</v>
      </c>
      <c r="E1058" s="170"/>
      <c r="F1058" s="170"/>
      <c r="G1058" s="170"/>
      <c r="H1058" s="206" t="s">
        <v>1898</v>
      </c>
      <c r="I1058" s="170"/>
      <c r="J1058" s="170"/>
      <c r="K1058" s="170"/>
      <c r="L1058" s="197">
        <v>14.2</v>
      </c>
      <c r="M1058" s="385">
        <v>2</v>
      </c>
      <c r="N1058" s="207">
        <v>50</v>
      </c>
      <c r="O1058" s="170">
        <f>E1058</f>
        <v>0</v>
      </c>
      <c r="P1058" s="209" t="s">
        <v>92</v>
      </c>
      <c r="Q1058" s="170"/>
      <c r="R1058" s="192" t="str">
        <f>CONCATENATE(N1058,P1058)</f>
        <v>50pieces</v>
      </c>
      <c r="S1058" s="198">
        <f>M1058*N1058</f>
        <v>100</v>
      </c>
      <c r="T1058" s="199" t="str">
        <f>CONCATENATE(S1058,Q1058,P1058)</f>
        <v>100pieces</v>
      </c>
      <c r="U1058" s="200">
        <f>L1058*M1058</f>
        <v>28.4</v>
      </c>
      <c r="V1058" s="12"/>
      <c r="W1058" s="12"/>
    </row>
    <row r="1059" spans="1:23" x14ac:dyDescent="0.3">
      <c r="A1059" s="193">
        <v>395</v>
      </c>
      <c r="B1059" s="46" t="s">
        <v>1274</v>
      </c>
      <c r="C1059" s="215"/>
      <c r="D1059" s="194"/>
      <c r="E1059" s="215"/>
      <c r="F1059" s="215"/>
      <c r="G1059" s="215"/>
      <c r="H1059" s="194" t="s">
        <v>2023</v>
      </c>
      <c r="I1059" s="170"/>
      <c r="J1059" s="170"/>
      <c r="K1059" s="170"/>
      <c r="L1059" s="197">
        <v>530</v>
      </c>
      <c r="M1059" s="197">
        <v>1</v>
      </c>
      <c r="N1059" s="290">
        <v>1000</v>
      </c>
      <c r="O1059" s="46"/>
      <c r="P1059" s="46" t="s">
        <v>39</v>
      </c>
      <c r="Q1059" s="170"/>
      <c r="R1059" s="192" t="str">
        <f>CONCATENATE(N1059,P1059)</f>
        <v>1000grams</v>
      </c>
      <c r="S1059" s="198">
        <f>M1059*N1059</f>
        <v>1000</v>
      </c>
      <c r="T1059" s="199" t="str">
        <f>CONCATENATE(S1059,Q1059,P1059)</f>
        <v>1000grams</v>
      </c>
      <c r="U1059" s="200">
        <f>L1059*M1059</f>
        <v>530</v>
      </c>
      <c r="V1059" s="12"/>
      <c r="W1059" s="12"/>
    </row>
    <row r="1060" spans="1:23" x14ac:dyDescent="0.3">
      <c r="A1060" s="479">
        <v>396</v>
      </c>
      <c r="B1060" s="194" t="s">
        <v>636</v>
      </c>
      <c r="C1060" s="170"/>
      <c r="D1060" s="194" t="str">
        <f ca="1">IFERROR(__xludf.DUMMYFUNCTION("IF(J309="""",""n/a"",IFERROR(SPLIT(J309,""/"")))"),"n/a")</f>
        <v>n/a</v>
      </c>
      <c r="E1060" s="170"/>
      <c r="F1060" s="170"/>
      <c r="G1060" s="170"/>
      <c r="H1060" s="206" t="s">
        <v>1898</v>
      </c>
      <c r="I1060" s="170"/>
      <c r="J1060" s="170"/>
      <c r="K1060" s="170"/>
      <c r="L1060" s="197">
        <v>0.52</v>
      </c>
      <c r="M1060" s="386">
        <v>1000</v>
      </c>
      <c r="N1060" s="208">
        <v>1000</v>
      </c>
      <c r="O1060" s="170">
        <f>E1060</f>
        <v>0</v>
      </c>
      <c r="P1060" s="61" t="s">
        <v>39</v>
      </c>
      <c r="Q1060" s="170"/>
      <c r="R1060" s="192" t="str">
        <f>CONCATENATE(N1060,P1060)</f>
        <v>1000grams</v>
      </c>
      <c r="S1060" s="198">
        <f>M1060*N1060</f>
        <v>1000000</v>
      </c>
      <c r="T1060" s="199" t="str">
        <f>CONCATENATE(S1060,Q1060,P1060)</f>
        <v>1000000grams</v>
      </c>
      <c r="U1060" s="200">
        <f>L1060*M1060</f>
        <v>520</v>
      </c>
      <c r="V1060" s="12"/>
      <c r="W1060" s="12"/>
    </row>
    <row r="1061" spans="1:23" x14ac:dyDescent="0.3">
      <c r="A1061" s="479">
        <v>397</v>
      </c>
      <c r="B1061" s="194" t="s">
        <v>411</v>
      </c>
      <c r="C1061" s="170"/>
      <c r="D1061" s="194" t="str">
        <f ca="1">IFERROR(__xludf.DUMMYFUNCTION("IF(J310="""",""n/a"",IFERROR(SPLIT(J310,""/"")))"),"Fibisco")</f>
        <v>Fibisco</v>
      </c>
      <c r="E1061" s="194" t="str">
        <f ca="1">IFERROR(__xludf.DUMMYFUNCTION("""COMPUTED_VALUE"""),"pack (10pcsx33grams)")</f>
        <v>pack (10pcsx33grams)</v>
      </c>
      <c r="F1061" s="170"/>
      <c r="G1061" s="170"/>
      <c r="H1061" s="183" t="s">
        <v>1897</v>
      </c>
      <c r="I1061" s="170"/>
      <c r="J1061" s="46" t="s">
        <v>412</v>
      </c>
      <c r="K1061" s="170"/>
      <c r="L1061" s="195">
        <v>6.06</v>
      </c>
      <c r="M1061" s="202">
        <v>100</v>
      </c>
      <c r="N1061" s="203">
        <v>1</v>
      </c>
      <c r="O1061" s="61" t="str">
        <f ca="1">E1061</f>
        <v>pack (10pcsx33grams)</v>
      </c>
      <c r="P1061" s="61" t="s">
        <v>92</v>
      </c>
      <c r="Q1061" s="170"/>
      <c r="R1061" s="192" t="str">
        <f>CONCATENATE(N1061,P1061)</f>
        <v>1pieces</v>
      </c>
      <c r="S1061" s="198">
        <f>M1061*N1061</f>
        <v>100</v>
      </c>
      <c r="T1061" s="199" t="str">
        <f>CONCATENATE(S1061,Q1061,P1061)</f>
        <v>100pieces</v>
      </c>
      <c r="U1061" s="200">
        <f>L1061*M1061</f>
        <v>606</v>
      </c>
      <c r="V1061" s="12"/>
      <c r="W1061" s="12"/>
    </row>
    <row r="1062" spans="1:23" x14ac:dyDescent="0.3">
      <c r="A1062" s="479">
        <v>397</v>
      </c>
      <c r="B1062" s="194" t="s">
        <v>411</v>
      </c>
      <c r="C1062" s="170"/>
      <c r="D1062" s="194" t="str">
        <f ca="1">IFERROR(__xludf.DUMMYFUNCTION("IF(J311="""",""n/a"",IFERROR(SPLIT(J311,""/"")))"),"Fibisco")</f>
        <v>Fibisco</v>
      </c>
      <c r="E1062" s="194" t="str">
        <f ca="1">IFERROR(__xludf.DUMMYFUNCTION("""COMPUTED_VALUE"""),"pack (10pcsx33grams)")</f>
        <v>pack (10pcsx33grams)</v>
      </c>
      <c r="F1062" s="170"/>
      <c r="G1062" s="170"/>
      <c r="H1062" s="183" t="s">
        <v>1895</v>
      </c>
      <c r="I1062" s="170"/>
      <c r="J1062" s="46" t="s">
        <v>412</v>
      </c>
      <c r="K1062" s="170"/>
      <c r="L1062" s="195">
        <v>6</v>
      </c>
      <c r="M1062" s="197">
        <v>261</v>
      </c>
      <c r="N1062" s="61">
        <v>1</v>
      </c>
      <c r="O1062" s="61" t="str">
        <f ca="1">E1062</f>
        <v>pack (10pcsx33grams)</v>
      </c>
      <c r="P1062" s="61" t="s">
        <v>92</v>
      </c>
      <c r="Q1062" s="170"/>
      <c r="R1062" s="192" t="str">
        <f>CONCATENATE(N1062,P1062)</f>
        <v>1pieces</v>
      </c>
      <c r="S1062" s="198">
        <f>M1062*N1062</f>
        <v>261</v>
      </c>
      <c r="T1062" s="199" t="str">
        <f>CONCATENATE(S1062,Q1062,P1062)</f>
        <v>261pieces</v>
      </c>
      <c r="U1062" s="200">
        <f>L1062*M1062</f>
        <v>1566</v>
      </c>
      <c r="V1062" s="12"/>
      <c r="W1062" s="12"/>
    </row>
    <row r="1063" spans="1:23" x14ac:dyDescent="0.3">
      <c r="A1063" s="479">
        <v>397</v>
      </c>
      <c r="B1063" s="194" t="s">
        <v>411</v>
      </c>
      <c r="C1063" s="170"/>
      <c r="D1063" s="194" t="str">
        <f ca="1">IFERROR(__xludf.DUMMYFUNCTION("IF(J312="""",""n/a"",IFERROR(SPLIT(J312,""/"")))"),"n/a")</f>
        <v>n/a</v>
      </c>
      <c r="E1063" s="170"/>
      <c r="F1063" s="170"/>
      <c r="G1063" s="170"/>
      <c r="H1063" s="206" t="s">
        <v>1898</v>
      </c>
      <c r="I1063" s="170"/>
      <c r="J1063" s="170"/>
      <c r="K1063" s="170"/>
      <c r="L1063" s="197">
        <v>6.19</v>
      </c>
      <c r="M1063" s="385">
        <v>80</v>
      </c>
      <c r="N1063" s="207">
        <v>10</v>
      </c>
      <c r="O1063" s="170">
        <f>E1063</f>
        <v>0</v>
      </c>
      <c r="P1063" s="209" t="s">
        <v>92</v>
      </c>
      <c r="Q1063" s="170"/>
      <c r="R1063" s="192" t="str">
        <f>CONCATENATE(N1063,P1063)</f>
        <v>10pieces</v>
      </c>
      <c r="S1063" s="198">
        <f>M1063*N1063</f>
        <v>800</v>
      </c>
      <c r="T1063" s="199" t="str">
        <f>CONCATENATE(S1063,Q1063,P1063)</f>
        <v>800pieces</v>
      </c>
      <c r="U1063" s="200">
        <f>L1063*M1063</f>
        <v>495.20000000000005</v>
      </c>
      <c r="V1063" s="12"/>
      <c r="W1063" s="12"/>
    </row>
    <row r="1064" spans="1:23" x14ac:dyDescent="0.3">
      <c r="A1064" s="193">
        <v>398</v>
      </c>
      <c r="B1064" s="46" t="s">
        <v>1936</v>
      </c>
      <c r="C1064" s="215"/>
      <c r="D1064" s="194"/>
      <c r="E1064" s="215"/>
      <c r="F1064" s="215"/>
      <c r="G1064" s="215"/>
      <c r="H1064" s="400" t="s">
        <v>2027</v>
      </c>
      <c r="I1064" s="170"/>
      <c r="J1064" s="170"/>
      <c r="K1064" s="170"/>
      <c r="L1064" s="195">
        <v>6.13</v>
      </c>
      <c r="M1064" s="197">
        <v>20</v>
      </c>
      <c r="N1064" s="360">
        <v>1</v>
      </c>
      <c r="O1064" s="61"/>
      <c r="P1064" s="61" t="s">
        <v>92</v>
      </c>
      <c r="Q1064" s="170"/>
      <c r="R1064" s="192" t="str">
        <f>CONCATENATE(N1064,P1064)</f>
        <v>1pieces</v>
      </c>
      <c r="S1064" s="198">
        <f>M1064*N1064</f>
        <v>20</v>
      </c>
      <c r="T1064" s="199" t="str">
        <f>CONCATENATE(S1064,Q1064,P1064)</f>
        <v>20pieces</v>
      </c>
      <c r="U1064" s="200">
        <f>L1064*M1064</f>
        <v>122.6</v>
      </c>
      <c r="V1064" s="12"/>
      <c r="W1064" s="12"/>
    </row>
    <row r="1065" spans="1:23" x14ac:dyDescent="0.3">
      <c r="A1065" s="193">
        <v>399</v>
      </c>
      <c r="B1065" s="219" t="s">
        <v>1275</v>
      </c>
      <c r="C1065" s="215"/>
      <c r="D1065" s="194"/>
      <c r="E1065" s="215"/>
      <c r="F1065" s="215"/>
      <c r="G1065" s="215"/>
      <c r="H1065" s="194" t="s">
        <v>2021</v>
      </c>
      <c r="I1065" s="170"/>
      <c r="J1065" s="219" t="s">
        <v>1276</v>
      </c>
      <c r="K1065" s="170"/>
      <c r="L1065" s="216">
        <v>116.5</v>
      </c>
      <c r="M1065" s="216">
        <v>1</v>
      </c>
      <c r="N1065" s="293">
        <v>400</v>
      </c>
      <c r="O1065" s="219"/>
      <c r="P1065" s="219" t="s">
        <v>39</v>
      </c>
      <c r="Q1065" s="170"/>
      <c r="R1065" s="192" t="str">
        <f>CONCATENATE(N1065,P1065)</f>
        <v>400grams</v>
      </c>
      <c r="S1065" s="198">
        <f>M1065*N1065</f>
        <v>400</v>
      </c>
      <c r="T1065" s="199" t="str">
        <f>CONCATENATE(S1065,Q1065,P1065)</f>
        <v>400grams</v>
      </c>
      <c r="U1065" s="200">
        <f>L1065*M1065</f>
        <v>116.5</v>
      </c>
      <c r="V1065" s="12"/>
      <c r="W1065" s="12"/>
    </row>
    <row r="1066" spans="1:23" x14ac:dyDescent="0.3">
      <c r="A1066" s="193">
        <v>400</v>
      </c>
      <c r="B1066" s="46" t="s">
        <v>1277</v>
      </c>
      <c r="C1066" s="215"/>
      <c r="D1066" s="194"/>
      <c r="E1066" s="215"/>
      <c r="F1066" s="215"/>
      <c r="G1066" s="215"/>
      <c r="H1066" s="194" t="s">
        <v>2026</v>
      </c>
      <c r="I1066" s="170"/>
      <c r="J1066" s="46" t="s">
        <v>1102</v>
      </c>
      <c r="K1066" s="170"/>
      <c r="L1066" s="197">
        <v>153</v>
      </c>
      <c r="M1066" s="197">
        <v>1</v>
      </c>
      <c r="N1066" s="290">
        <v>240</v>
      </c>
      <c r="O1066" s="46"/>
      <c r="P1066" s="46" t="s">
        <v>39</v>
      </c>
      <c r="Q1066" s="170"/>
      <c r="R1066" s="192" t="str">
        <f>CONCATENATE(N1066,P1066)</f>
        <v>240grams</v>
      </c>
      <c r="S1066" s="198">
        <f>M1066*N1066</f>
        <v>240</v>
      </c>
      <c r="T1066" s="199" t="str">
        <f>CONCATENATE(S1066,Q1066,P1066)</f>
        <v>240grams</v>
      </c>
      <c r="U1066" s="200">
        <f>L1066*M1066</f>
        <v>153</v>
      </c>
      <c r="V1066" s="12"/>
      <c r="W1066" s="12"/>
    </row>
    <row r="1067" spans="1:23" x14ac:dyDescent="0.3">
      <c r="A1067" s="193">
        <v>400</v>
      </c>
      <c r="B1067" s="46" t="s">
        <v>1277</v>
      </c>
      <c r="C1067" s="215"/>
      <c r="D1067" s="194"/>
      <c r="E1067" s="215"/>
      <c r="F1067" s="215"/>
      <c r="G1067" s="215"/>
      <c r="H1067" s="194" t="s">
        <v>2023</v>
      </c>
      <c r="I1067" s="170"/>
      <c r="J1067" s="46" t="s">
        <v>1102</v>
      </c>
      <c r="K1067" s="170"/>
      <c r="L1067" s="197">
        <v>235</v>
      </c>
      <c r="M1067" s="197">
        <v>1</v>
      </c>
      <c r="N1067" s="290">
        <v>397</v>
      </c>
      <c r="O1067" s="46"/>
      <c r="P1067" s="46" t="s">
        <v>39</v>
      </c>
      <c r="Q1067" s="170"/>
      <c r="R1067" s="192" t="str">
        <f>CONCATENATE(N1067,P1067)</f>
        <v>397grams</v>
      </c>
      <c r="S1067" s="198">
        <f>M1067*N1067</f>
        <v>397</v>
      </c>
      <c r="T1067" s="199" t="str">
        <f>CONCATENATE(S1067,Q1067,P1067)</f>
        <v>397grams</v>
      </c>
      <c r="U1067" s="200">
        <f>L1067*M1067</f>
        <v>235</v>
      </c>
      <c r="V1067" s="12"/>
      <c r="W1067" s="12"/>
    </row>
    <row r="1068" spans="1:23" x14ac:dyDescent="0.3">
      <c r="A1068" s="193">
        <v>400</v>
      </c>
      <c r="B1068" s="219" t="s">
        <v>1277</v>
      </c>
      <c r="C1068" s="215"/>
      <c r="D1068" s="194"/>
      <c r="E1068" s="215"/>
      <c r="F1068" s="215"/>
      <c r="G1068" s="215"/>
      <c r="H1068" s="194" t="s">
        <v>2021</v>
      </c>
      <c r="I1068" s="170"/>
      <c r="J1068" s="46" t="s">
        <v>1102</v>
      </c>
      <c r="K1068" s="170"/>
      <c r="L1068" s="216">
        <v>201.5</v>
      </c>
      <c r="M1068" s="216">
        <v>2</v>
      </c>
      <c r="N1068" s="293">
        <v>397</v>
      </c>
      <c r="O1068" s="219"/>
      <c r="P1068" s="219" t="s">
        <v>39</v>
      </c>
      <c r="Q1068" s="170"/>
      <c r="R1068" s="192" t="str">
        <f>CONCATENATE(N1068,P1068)</f>
        <v>397grams</v>
      </c>
      <c r="S1068" s="198">
        <f>M1068*N1068</f>
        <v>794</v>
      </c>
      <c r="T1068" s="199" t="str">
        <f>CONCATENATE(S1068,Q1068,P1068)</f>
        <v>794grams</v>
      </c>
      <c r="U1068" s="200">
        <f>L1068*M1068</f>
        <v>403</v>
      </c>
      <c r="V1068" s="12"/>
      <c r="W1068" s="12"/>
    </row>
    <row r="1069" spans="1:23" x14ac:dyDescent="0.3">
      <c r="A1069" s="193">
        <v>400</v>
      </c>
      <c r="B1069" s="219" t="s">
        <v>1277</v>
      </c>
      <c r="C1069" s="215"/>
      <c r="D1069" s="194"/>
      <c r="E1069" s="215"/>
      <c r="F1069" s="215"/>
      <c r="G1069" s="215"/>
      <c r="H1069" s="194" t="s">
        <v>2021</v>
      </c>
      <c r="I1069" s="170"/>
      <c r="J1069" s="46" t="s">
        <v>1102</v>
      </c>
      <c r="K1069" s="170"/>
      <c r="L1069" s="216">
        <v>168</v>
      </c>
      <c r="M1069" s="216">
        <v>1</v>
      </c>
      <c r="N1069" s="293">
        <v>240</v>
      </c>
      <c r="O1069" s="219"/>
      <c r="P1069" s="219" t="s">
        <v>39</v>
      </c>
      <c r="Q1069" s="170"/>
      <c r="R1069" s="192" t="str">
        <f>CONCATENATE(N1069,P1069)</f>
        <v>240grams</v>
      </c>
      <c r="S1069" s="198">
        <f>M1069*N1069</f>
        <v>240</v>
      </c>
      <c r="T1069" s="199" t="str">
        <f>CONCATENATE(S1069,Q1069,P1069)</f>
        <v>240grams</v>
      </c>
      <c r="U1069" s="200">
        <f>L1069*M1069</f>
        <v>168</v>
      </c>
      <c r="V1069" s="12"/>
      <c r="W1069" s="12"/>
    </row>
    <row r="1070" spans="1:23" x14ac:dyDescent="0.3">
      <c r="A1070" s="193">
        <v>401</v>
      </c>
      <c r="B1070" s="46" t="s">
        <v>1278</v>
      </c>
      <c r="C1070" s="215"/>
      <c r="D1070" s="194"/>
      <c r="E1070" s="215"/>
      <c r="F1070" s="215"/>
      <c r="G1070" s="215"/>
      <c r="H1070" s="194" t="s">
        <v>2022</v>
      </c>
      <c r="I1070" s="170"/>
      <c r="J1070" s="46" t="s">
        <v>1279</v>
      </c>
      <c r="K1070" s="170"/>
      <c r="L1070" s="197">
        <v>330</v>
      </c>
      <c r="M1070" s="197">
        <v>1</v>
      </c>
      <c r="N1070" s="290">
        <v>750</v>
      </c>
      <c r="O1070" s="46"/>
      <c r="P1070" s="46" t="s">
        <v>213</v>
      </c>
      <c r="Q1070" s="170"/>
      <c r="R1070" s="192" t="str">
        <f>CONCATENATE(N1070,P1070)</f>
        <v>750kilos</v>
      </c>
      <c r="S1070" s="198">
        <f>M1070*N1070</f>
        <v>750</v>
      </c>
      <c r="T1070" s="199" t="str">
        <f>CONCATENATE(S1070,Q1070,P1070)</f>
        <v>750kilos</v>
      </c>
      <c r="U1070" s="200">
        <f>L1070*M1070</f>
        <v>330</v>
      </c>
      <c r="V1070" s="12"/>
      <c r="W1070" s="12"/>
    </row>
    <row r="1071" spans="1:23" x14ac:dyDescent="0.3">
      <c r="A1071" s="479">
        <v>402</v>
      </c>
      <c r="B1071" s="194" t="s">
        <v>413</v>
      </c>
      <c r="C1071" s="170"/>
      <c r="D1071" s="194" t="str">
        <f ca="1">IFERROR(__xludf.DUMMYFUNCTION("IF(J313="""",""n/a"",IFERROR(SPLIT(J313,""/"")))"),"Rebisco")</f>
        <v>Rebisco</v>
      </c>
      <c r="E1071" s="194" t="str">
        <f ca="1">IFERROR(__xludf.DUMMYFUNCTION("""COMPUTED_VALUE"""),"pack (10pcsx32grams)")</f>
        <v>pack (10pcsx32grams)</v>
      </c>
      <c r="F1071" s="170"/>
      <c r="G1071" s="170"/>
      <c r="H1071" s="183" t="s">
        <v>1895</v>
      </c>
      <c r="I1071" s="170"/>
      <c r="J1071" s="46" t="s">
        <v>405</v>
      </c>
      <c r="K1071" s="170"/>
      <c r="L1071" s="195">
        <v>5.8</v>
      </c>
      <c r="M1071" s="197">
        <v>200</v>
      </c>
      <c r="N1071" s="61">
        <v>1</v>
      </c>
      <c r="O1071" s="61" t="str">
        <f ca="1">E1071</f>
        <v>pack (10pcsx32grams)</v>
      </c>
      <c r="P1071" s="61" t="s">
        <v>92</v>
      </c>
      <c r="Q1071" s="170"/>
      <c r="R1071" s="192" t="str">
        <f>CONCATENATE(N1071,P1071)</f>
        <v>1pieces</v>
      </c>
      <c r="S1071" s="198">
        <f>M1071*N1071</f>
        <v>200</v>
      </c>
      <c r="T1071" s="199" t="str">
        <f>CONCATENATE(S1071,Q1071,P1071)</f>
        <v>200pieces</v>
      </c>
      <c r="U1071" s="200">
        <f>L1071*M1071</f>
        <v>1160</v>
      </c>
      <c r="V1071" s="12"/>
      <c r="W1071" s="12"/>
    </row>
    <row r="1072" spans="1:23" x14ac:dyDescent="0.3">
      <c r="A1072" s="193">
        <v>403</v>
      </c>
      <c r="B1072" s="46" t="s">
        <v>1937</v>
      </c>
      <c r="C1072" s="215"/>
      <c r="D1072" s="194"/>
      <c r="E1072" s="215"/>
      <c r="F1072" s="215"/>
      <c r="G1072" s="215"/>
      <c r="H1072" s="400" t="s">
        <v>2027</v>
      </c>
      <c r="I1072" s="170"/>
      <c r="J1072" s="170"/>
      <c r="K1072" s="170"/>
      <c r="L1072" s="195">
        <v>392.05</v>
      </c>
      <c r="M1072" s="197">
        <v>1</v>
      </c>
      <c r="N1072" s="360">
        <v>1</v>
      </c>
      <c r="O1072" s="61"/>
      <c r="P1072" s="61" t="s">
        <v>32</v>
      </c>
      <c r="Q1072" s="170"/>
      <c r="R1072" s="192" t="str">
        <f>CONCATENATE(N1072,P1072)</f>
        <v>1ml</v>
      </c>
      <c r="S1072" s="198">
        <f>M1072*N1072</f>
        <v>1</v>
      </c>
      <c r="T1072" s="199" t="str">
        <f>CONCATENATE(S1072,Q1072,P1072)</f>
        <v>1ml</v>
      </c>
      <c r="U1072" s="200">
        <f>L1072*M1072</f>
        <v>392.05</v>
      </c>
      <c r="V1072" s="12"/>
      <c r="W1072" s="12"/>
    </row>
    <row r="1073" spans="1:23" x14ac:dyDescent="0.3">
      <c r="A1073" s="193">
        <v>404</v>
      </c>
      <c r="B1073" s="46" t="s">
        <v>1280</v>
      </c>
      <c r="C1073" s="215"/>
      <c r="D1073" s="194"/>
      <c r="E1073" s="215"/>
      <c r="F1073" s="215"/>
      <c r="G1073" s="215"/>
      <c r="H1073" s="194" t="s">
        <v>2025</v>
      </c>
      <c r="I1073" s="170"/>
      <c r="J1073" s="46" t="s">
        <v>1281</v>
      </c>
      <c r="K1073" s="170"/>
      <c r="L1073" s="197">
        <v>5.5</v>
      </c>
      <c r="M1073" s="197">
        <v>7</v>
      </c>
      <c r="N1073" s="290">
        <v>40</v>
      </c>
      <c r="O1073" s="46"/>
      <c r="P1073" s="46" t="s">
        <v>39</v>
      </c>
      <c r="Q1073" s="170"/>
      <c r="R1073" s="192" t="str">
        <f>CONCATENATE(N1073,P1073)</f>
        <v>40grams</v>
      </c>
      <c r="S1073" s="198">
        <f>M1073*N1073</f>
        <v>280</v>
      </c>
      <c r="T1073" s="199" t="str">
        <f>CONCATENATE(S1073,Q1073,P1073)</f>
        <v>280grams</v>
      </c>
      <c r="U1073" s="200">
        <f>L1073*M1073</f>
        <v>38.5</v>
      </c>
      <c r="V1073" s="12"/>
      <c r="W1073" s="12"/>
    </row>
    <row r="1074" spans="1:23" x14ac:dyDescent="0.3">
      <c r="A1074" s="193">
        <v>405</v>
      </c>
      <c r="B1074" s="46" t="s">
        <v>1282</v>
      </c>
      <c r="C1074" s="215"/>
      <c r="D1074" s="194"/>
      <c r="E1074" s="215"/>
      <c r="F1074" s="215"/>
      <c r="G1074" s="215"/>
      <c r="H1074" s="194" t="s">
        <v>2025</v>
      </c>
      <c r="I1074" s="170"/>
      <c r="J1074" s="46" t="s">
        <v>1281</v>
      </c>
      <c r="K1074" s="170"/>
      <c r="L1074" s="197">
        <v>6</v>
      </c>
      <c r="M1074" s="197">
        <v>6</v>
      </c>
      <c r="N1074" s="290">
        <v>40</v>
      </c>
      <c r="O1074" s="46"/>
      <c r="P1074" s="46" t="s">
        <v>39</v>
      </c>
      <c r="Q1074" s="170"/>
      <c r="R1074" s="192" t="str">
        <f>CONCATENATE(N1074,P1074)</f>
        <v>40grams</v>
      </c>
      <c r="S1074" s="198">
        <f>M1074*N1074</f>
        <v>240</v>
      </c>
      <c r="T1074" s="199" t="str">
        <f>CONCATENATE(S1074,Q1074,P1074)</f>
        <v>240grams</v>
      </c>
      <c r="U1074" s="200">
        <f>L1074*M1074</f>
        <v>36</v>
      </c>
      <c r="V1074" s="12"/>
      <c r="W1074" s="12"/>
    </row>
    <row r="1075" spans="1:23" x14ac:dyDescent="0.3">
      <c r="A1075" s="193">
        <v>406</v>
      </c>
      <c r="B1075" s="46" t="s">
        <v>1938</v>
      </c>
      <c r="C1075" s="215"/>
      <c r="D1075" s="194"/>
      <c r="E1075" s="215"/>
      <c r="F1075" s="215"/>
      <c r="G1075" s="215"/>
      <c r="H1075" s="400" t="s">
        <v>2027</v>
      </c>
      <c r="I1075" s="170"/>
      <c r="J1075" s="46" t="s">
        <v>1939</v>
      </c>
      <c r="K1075" s="170"/>
      <c r="L1075" s="195">
        <v>22.56</v>
      </c>
      <c r="M1075" s="197">
        <v>48</v>
      </c>
      <c r="N1075" s="360">
        <v>1</v>
      </c>
      <c r="O1075" s="61"/>
      <c r="P1075" s="61" t="s">
        <v>92</v>
      </c>
      <c r="Q1075" s="170"/>
      <c r="R1075" s="192" t="str">
        <f>CONCATENATE(N1075,P1075)</f>
        <v>1pieces</v>
      </c>
      <c r="S1075" s="198">
        <f>M1075*N1075</f>
        <v>48</v>
      </c>
      <c r="T1075" s="199" t="str">
        <f>CONCATENATE(S1075,Q1075,P1075)</f>
        <v>48pieces</v>
      </c>
      <c r="U1075" s="200">
        <f>L1075*M1075</f>
        <v>1082.8799999999999</v>
      </c>
      <c r="V1075" s="12"/>
      <c r="W1075" s="12"/>
    </row>
    <row r="1076" spans="1:23" x14ac:dyDescent="0.3">
      <c r="A1076" s="193">
        <v>407</v>
      </c>
      <c r="B1076" s="46" t="s">
        <v>1283</v>
      </c>
      <c r="C1076" s="215"/>
      <c r="D1076" s="194"/>
      <c r="E1076" s="215"/>
      <c r="F1076" s="215"/>
      <c r="G1076" s="215"/>
      <c r="H1076" s="194" t="s">
        <v>2022</v>
      </c>
      <c r="I1076" s="170"/>
      <c r="J1076" s="46" t="s">
        <v>1284</v>
      </c>
      <c r="K1076" s="170"/>
      <c r="L1076" s="197">
        <v>89</v>
      </c>
      <c r="M1076" s="197">
        <v>1</v>
      </c>
      <c r="N1076" s="290">
        <v>60</v>
      </c>
      <c r="O1076" s="46"/>
      <c r="P1076" s="46" t="s">
        <v>32</v>
      </c>
      <c r="Q1076" s="170"/>
      <c r="R1076" s="192" t="str">
        <f>CONCATENATE(N1076,P1076)</f>
        <v>60ml</v>
      </c>
      <c r="S1076" s="198">
        <f>M1076*N1076</f>
        <v>60</v>
      </c>
      <c r="T1076" s="199" t="str">
        <f>CONCATENATE(S1076,Q1076,P1076)</f>
        <v>60ml</v>
      </c>
      <c r="U1076" s="200">
        <f>L1076*M1076</f>
        <v>89</v>
      </c>
      <c r="V1076" s="12"/>
      <c r="W1076" s="12"/>
    </row>
    <row r="1077" spans="1:23" x14ac:dyDescent="0.3">
      <c r="A1077" s="193">
        <v>407</v>
      </c>
      <c r="B1077" s="219" t="s">
        <v>1283</v>
      </c>
      <c r="C1077" s="215"/>
      <c r="D1077" s="194"/>
      <c r="E1077" s="215"/>
      <c r="F1077" s="215"/>
      <c r="G1077" s="215"/>
      <c r="H1077" s="194" t="s">
        <v>2021</v>
      </c>
      <c r="I1077" s="170"/>
      <c r="J1077" s="219" t="s">
        <v>1284</v>
      </c>
      <c r="K1077" s="170"/>
      <c r="L1077" s="216">
        <v>140</v>
      </c>
      <c r="M1077" s="216">
        <v>1</v>
      </c>
      <c r="N1077" s="293">
        <v>60</v>
      </c>
      <c r="O1077" s="219"/>
      <c r="P1077" s="219" t="s">
        <v>32</v>
      </c>
      <c r="Q1077" s="170"/>
      <c r="R1077" s="192" t="str">
        <f>CONCATENATE(N1077,P1077)</f>
        <v>60ml</v>
      </c>
      <c r="S1077" s="198">
        <f>M1077*N1077</f>
        <v>60</v>
      </c>
      <c r="T1077" s="199" t="str">
        <f>CONCATENATE(S1077,Q1077,P1077)</f>
        <v>60ml</v>
      </c>
      <c r="U1077" s="200">
        <f>L1077*M1077</f>
        <v>140</v>
      </c>
      <c r="V1077" s="12"/>
      <c r="W1077" s="12"/>
    </row>
    <row r="1078" spans="1:23" x14ac:dyDescent="0.3">
      <c r="A1078" s="193">
        <v>408</v>
      </c>
      <c r="B1078" s="46" t="s">
        <v>1285</v>
      </c>
      <c r="C1078" s="215"/>
      <c r="D1078" s="194"/>
      <c r="E1078" s="215"/>
      <c r="F1078" s="215"/>
      <c r="G1078" s="215"/>
      <c r="H1078" s="194" t="s">
        <v>2022</v>
      </c>
      <c r="I1078" s="170"/>
      <c r="J1078" s="46" t="s">
        <v>1286</v>
      </c>
      <c r="K1078" s="170"/>
      <c r="L1078" s="197">
        <v>22</v>
      </c>
      <c r="M1078" s="197">
        <v>3</v>
      </c>
      <c r="N1078" s="290">
        <v>50</v>
      </c>
      <c r="O1078" s="46"/>
      <c r="P1078" s="46" t="s">
        <v>39</v>
      </c>
      <c r="Q1078" s="170"/>
      <c r="R1078" s="192" t="str">
        <f>CONCATENATE(N1078,P1078)</f>
        <v>50grams</v>
      </c>
      <c r="S1078" s="198">
        <f>M1078*N1078</f>
        <v>150</v>
      </c>
      <c r="T1078" s="199" t="str">
        <f>CONCATENATE(S1078,Q1078,P1078)</f>
        <v>150grams</v>
      </c>
      <c r="U1078" s="200">
        <f>L1078*M1078</f>
        <v>66</v>
      </c>
      <c r="V1078" s="12"/>
      <c r="W1078" s="12"/>
    </row>
    <row r="1079" spans="1:23" x14ac:dyDescent="0.3">
      <c r="A1079" s="479">
        <v>409</v>
      </c>
      <c r="B1079" s="194" t="s">
        <v>73</v>
      </c>
      <c r="C1079" s="170"/>
      <c r="D1079" s="194" t="str">
        <f ca="1">IFERROR(__xludf.DUMMYFUNCTION("IF(J314="""",""n/a"",IFERROR(SPLIT(J314,""/"")))"),"Maya")</f>
        <v>Maya</v>
      </c>
      <c r="E1079" s="194" t="str">
        <f ca="1">IFERROR(__xludf.DUMMYFUNCTION("""COMPUTED_VALUE"""),"box")</f>
        <v>box</v>
      </c>
      <c r="F1079" s="194" t="str">
        <f ca="1">IFERROR(__xludf.DUMMYFUNCTION("""COMPUTED_VALUE"""),"500grams")</f>
        <v>500grams</v>
      </c>
      <c r="G1079" s="170"/>
      <c r="H1079" s="183" t="s">
        <v>1895</v>
      </c>
      <c r="I1079" s="170"/>
      <c r="J1079" s="46" t="s">
        <v>74</v>
      </c>
      <c r="K1079" s="170"/>
      <c r="L1079" s="195">
        <v>56.2</v>
      </c>
      <c r="M1079" s="197">
        <v>1</v>
      </c>
      <c r="N1079" s="61">
        <v>500</v>
      </c>
      <c r="O1079" s="61" t="str">
        <f ca="1">E1079</f>
        <v>box</v>
      </c>
      <c r="P1079" s="61" t="s">
        <v>39</v>
      </c>
      <c r="Q1079" s="170"/>
      <c r="R1079" s="192" t="str">
        <f>CONCATENATE(N1079,P1079)</f>
        <v>500grams</v>
      </c>
      <c r="S1079" s="198">
        <f>M1079*N1079</f>
        <v>500</v>
      </c>
      <c r="T1079" s="199" t="str">
        <f>CONCATENATE(S1079,Q1079,P1079)</f>
        <v>500grams</v>
      </c>
      <c r="U1079" s="200">
        <f>L1079*M1079</f>
        <v>56.2</v>
      </c>
      <c r="V1079" s="12"/>
      <c r="W1079" s="12"/>
    </row>
    <row r="1080" spans="1:23" x14ac:dyDescent="0.3">
      <c r="A1080" s="193">
        <v>409</v>
      </c>
      <c r="B1080" s="46" t="s">
        <v>73</v>
      </c>
      <c r="C1080" s="215"/>
      <c r="D1080" s="194"/>
      <c r="E1080" s="215"/>
      <c r="F1080" s="215"/>
      <c r="G1080" s="215"/>
      <c r="H1080" s="194" t="s">
        <v>2024</v>
      </c>
      <c r="I1080" s="170"/>
      <c r="J1080" s="46" t="s">
        <v>38</v>
      </c>
      <c r="K1080" s="170"/>
      <c r="L1080" s="197">
        <v>45</v>
      </c>
      <c r="M1080" s="197">
        <v>20</v>
      </c>
      <c r="N1080" s="290">
        <v>400</v>
      </c>
      <c r="O1080" s="46"/>
      <c r="P1080" s="46" t="s">
        <v>39</v>
      </c>
      <c r="Q1080" s="170"/>
      <c r="R1080" s="192" t="str">
        <f>CONCATENATE(N1080,P1080)</f>
        <v>400grams</v>
      </c>
      <c r="S1080" s="198">
        <f>M1080*N1080</f>
        <v>8000</v>
      </c>
      <c r="T1080" s="199" t="str">
        <f>CONCATENATE(S1080,Q1080,P1080)</f>
        <v>8000grams</v>
      </c>
      <c r="U1080" s="200">
        <f>L1080*M1080</f>
        <v>900</v>
      </c>
      <c r="V1080" s="12"/>
      <c r="W1080" s="12"/>
    </row>
    <row r="1081" spans="1:23" x14ac:dyDescent="0.3">
      <c r="A1081" s="193">
        <v>409</v>
      </c>
      <c r="B1081" s="46" t="s">
        <v>73</v>
      </c>
      <c r="C1081" s="215"/>
      <c r="D1081" s="194"/>
      <c r="E1081" s="215"/>
      <c r="F1081" s="215"/>
      <c r="G1081" s="215"/>
      <c r="H1081" s="194" t="s">
        <v>1368</v>
      </c>
      <c r="I1081" s="170"/>
      <c r="J1081" s="46" t="s">
        <v>38</v>
      </c>
      <c r="K1081" s="170"/>
      <c r="L1081" s="197">
        <v>66.5</v>
      </c>
      <c r="M1081" s="197">
        <v>3</v>
      </c>
      <c r="N1081" s="290">
        <v>500</v>
      </c>
      <c r="O1081" s="46"/>
      <c r="P1081" s="46" t="s">
        <v>39</v>
      </c>
      <c r="Q1081" s="170"/>
      <c r="R1081" s="192" t="str">
        <f>CONCATENATE(N1081,P1081)</f>
        <v>500grams</v>
      </c>
      <c r="S1081" s="198">
        <f>M1081*N1081</f>
        <v>1500</v>
      </c>
      <c r="T1081" s="199" t="str">
        <f>CONCATENATE(S1081,Q1081,P1081)</f>
        <v>1500grams</v>
      </c>
      <c r="U1081" s="200">
        <f>L1081*M1081</f>
        <v>199.5</v>
      </c>
      <c r="V1081" s="12"/>
      <c r="W1081" s="12"/>
    </row>
    <row r="1082" spans="1:23" x14ac:dyDescent="0.3">
      <c r="A1082" s="193">
        <v>409</v>
      </c>
      <c r="B1082" s="46" t="s">
        <v>73</v>
      </c>
      <c r="C1082" s="215"/>
      <c r="D1082" s="194"/>
      <c r="E1082" s="215"/>
      <c r="F1082" s="215"/>
      <c r="G1082" s="215"/>
      <c r="H1082" s="194" t="s">
        <v>29</v>
      </c>
      <c r="I1082" s="170"/>
      <c r="J1082" s="46" t="s">
        <v>38</v>
      </c>
      <c r="K1082" s="170"/>
      <c r="L1082" s="197">
        <v>57.4</v>
      </c>
      <c r="M1082" s="197">
        <v>3</v>
      </c>
      <c r="N1082" s="290">
        <v>500</v>
      </c>
      <c r="O1082" s="46"/>
      <c r="P1082" s="46" t="s">
        <v>39</v>
      </c>
      <c r="Q1082" s="170"/>
      <c r="R1082" s="192" t="str">
        <f>CONCATENATE(N1082,P1082)</f>
        <v>500grams</v>
      </c>
      <c r="S1082" s="198">
        <f>M1082*N1082</f>
        <v>1500</v>
      </c>
      <c r="T1082" s="199" t="str">
        <f>CONCATENATE(S1082,Q1082,P1082)</f>
        <v>1500grams</v>
      </c>
      <c r="U1082" s="200">
        <f>L1082*M1082</f>
        <v>172.2</v>
      </c>
      <c r="V1082" s="12"/>
      <c r="W1082" s="12"/>
    </row>
    <row r="1083" spans="1:23" x14ac:dyDescent="0.3">
      <c r="A1083" s="193">
        <v>409</v>
      </c>
      <c r="B1083" s="46" t="s">
        <v>73</v>
      </c>
      <c r="C1083" s="215"/>
      <c r="D1083" s="194"/>
      <c r="E1083" s="215"/>
      <c r="F1083" s="215"/>
      <c r="G1083" s="215"/>
      <c r="H1083" s="194" t="s">
        <v>2024</v>
      </c>
      <c r="I1083" s="170"/>
      <c r="J1083" s="46" t="s">
        <v>38</v>
      </c>
      <c r="K1083" s="170"/>
      <c r="L1083" s="197">
        <v>57.4</v>
      </c>
      <c r="M1083" s="197">
        <v>7</v>
      </c>
      <c r="N1083" s="290">
        <v>500</v>
      </c>
      <c r="O1083" s="46"/>
      <c r="P1083" s="46" t="s">
        <v>39</v>
      </c>
      <c r="Q1083" s="170"/>
      <c r="R1083" s="192" t="str">
        <f>CONCATENATE(N1083,P1083)</f>
        <v>500grams</v>
      </c>
      <c r="S1083" s="198">
        <f>M1083*N1083</f>
        <v>3500</v>
      </c>
      <c r="T1083" s="199" t="str">
        <f>CONCATENATE(S1083,Q1083,P1083)</f>
        <v>3500grams</v>
      </c>
      <c r="U1083" s="200">
        <f>L1083*M1083</f>
        <v>401.8</v>
      </c>
      <c r="V1083" s="12"/>
      <c r="W1083" s="12"/>
    </row>
    <row r="1084" spans="1:23" x14ac:dyDescent="0.3">
      <c r="A1084" s="193">
        <v>409</v>
      </c>
      <c r="B1084" s="46" t="s">
        <v>73</v>
      </c>
      <c r="C1084" s="215"/>
      <c r="D1084" s="194"/>
      <c r="E1084" s="215"/>
      <c r="F1084" s="215"/>
      <c r="G1084" s="215"/>
      <c r="H1084" s="194" t="s">
        <v>2025</v>
      </c>
      <c r="I1084" s="170"/>
      <c r="J1084" s="46" t="s">
        <v>38</v>
      </c>
      <c r="K1084" s="170"/>
      <c r="L1084" s="197">
        <v>59.5</v>
      </c>
      <c r="M1084" s="197">
        <v>5</v>
      </c>
      <c r="N1084" s="290">
        <v>500</v>
      </c>
      <c r="O1084" s="46"/>
      <c r="P1084" s="46" t="s">
        <v>39</v>
      </c>
      <c r="Q1084" s="170"/>
      <c r="R1084" s="192" t="str">
        <f>CONCATENATE(N1084,P1084)</f>
        <v>500grams</v>
      </c>
      <c r="S1084" s="198">
        <f>M1084*N1084</f>
        <v>2500</v>
      </c>
      <c r="T1084" s="199" t="str">
        <f>CONCATENATE(S1084,Q1084,P1084)</f>
        <v>2500grams</v>
      </c>
      <c r="U1084" s="200">
        <f>L1084*M1084</f>
        <v>297.5</v>
      </c>
      <c r="V1084" s="12"/>
      <c r="W1084" s="12"/>
    </row>
    <row r="1085" spans="1:23" x14ac:dyDescent="0.3">
      <c r="A1085" s="193">
        <v>409</v>
      </c>
      <c r="B1085" s="46" t="s">
        <v>73</v>
      </c>
      <c r="C1085" s="215"/>
      <c r="D1085" s="194"/>
      <c r="E1085" s="215"/>
      <c r="F1085" s="215"/>
      <c r="G1085" s="215"/>
      <c r="H1085" s="194" t="s">
        <v>2026</v>
      </c>
      <c r="I1085" s="170"/>
      <c r="J1085" s="46" t="s">
        <v>38</v>
      </c>
      <c r="K1085" s="170"/>
      <c r="L1085" s="197">
        <v>57.4</v>
      </c>
      <c r="M1085" s="197">
        <v>8</v>
      </c>
      <c r="N1085" s="290">
        <v>500</v>
      </c>
      <c r="O1085" s="46"/>
      <c r="P1085" s="46" t="s">
        <v>39</v>
      </c>
      <c r="Q1085" s="170"/>
      <c r="R1085" s="192" t="str">
        <f>CONCATENATE(N1085,P1085)</f>
        <v>500grams</v>
      </c>
      <c r="S1085" s="198">
        <f>M1085*N1085</f>
        <v>4000</v>
      </c>
      <c r="T1085" s="199" t="str">
        <f>CONCATENATE(S1085,Q1085,P1085)</f>
        <v>4000grams</v>
      </c>
      <c r="U1085" s="200">
        <f>L1085*M1085</f>
        <v>459.2</v>
      </c>
      <c r="V1085" s="12"/>
      <c r="W1085" s="12"/>
    </row>
    <row r="1086" spans="1:23" x14ac:dyDescent="0.3">
      <c r="A1086" s="193">
        <v>409</v>
      </c>
      <c r="B1086" s="46" t="s">
        <v>73</v>
      </c>
      <c r="C1086" s="215"/>
      <c r="D1086" s="194"/>
      <c r="E1086" s="215"/>
      <c r="F1086" s="215"/>
      <c r="G1086" s="215"/>
      <c r="H1086" s="194" t="s">
        <v>2023</v>
      </c>
      <c r="I1086" s="170"/>
      <c r="J1086" s="46" t="s">
        <v>38</v>
      </c>
      <c r="K1086" s="170"/>
      <c r="L1086" s="197">
        <v>77</v>
      </c>
      <c r="M1086" s="197">
        <v>5</v>
      </c>
      <c r="N1086" s="290">
        <v>500</v>
      </c>
      <c r="O1086" s="46"/>
      <c r="P1086" s="46" t="s">
        <v>39</v>
      </c>
      <c r="Q1086" s="170"/>
      <c r="R1086" s="192" t="str">
        <f>CONCATENATE(N1086,P1086)</f>
        <v>500grams</v>
      </c>
      <c r="S1086" s="198">
        <f>M1086*N1086</f>
        <v>2500</v>
      </c>
      <c r="T1086" s="199" t="str">
        <f>CONCATENATE(S1086,Q1086,P1086)</f>
        <v>2500grams</v>
      </c>
      <c r="U1086" s="200">
        <f>L1086*M1086</f>
        <v>385</v>
      </c>
      <c r="V1086" s="12"/>
      <c r="W1086" s="12"/>
    </row>
    <row r="1087" spans="1:23" x14ac:dyDescent="0.3">
      <c r="A1087" s="193">
        <v>409</v>
      </c>
      <c r="B1087" s="46" t="s">
        <v>73</v>
      </c>
      <c r="C1087" s="215"/>
      <c r="D1087" s="194"/>
      <c r="E1087" s="215"/>
      <c r="F1087" s="215"/>
      <c r="G1087" s="215"/>
      <c r="H1087" s="194" t="s">
        <v>2022</v>
      </c>
      <c r="I1087" s="170"/>
      <c r="J1087" s="46" t="s">
        <v>38</v>
      </c>
      <c r="K1087" s="170"/>
      <c r="L1087" s="197">
        <v>57.4</v>
      </c>
      <c r="M1087" s="197">
        <v>5</v>
      </c>
      <c r="N1087" s="290">
        <v>500</v>
      </c>
      <c r="O1087" s="46"/>
      <c r="P1087" s="46" t="s">
        <v>39</v>
      </c>
      <c r="Q1087" s="170"/>
      <c r="R1087" s="192" t="str">
        <f>CONCATENATE(N1087,P1087)</f>
        <v>500grams</v>
      </c>
      <c r="S1087" s="198">
        <f>M1087*N1087</f>
        <v>2500</v>
      </c>
      <c r="T1087" s="199" t="str">
        <f>CONCATENATE(S1087,Q1087,P1087)</f>
        <v>2500grams</v>
      </c>
      <c r="U1087" s="200">
        <f>L1087*M1087</f>
        <v>287</v>
      </c>
      <c r="V1087" s="12"/>
      <c r="W1087" s="12"/>
    </row>
    <row r="1088" spans="1:23" x14ac:dyDescent="0.3">
      <c r="A1088" s="193">
        <v>409</v>
      </c>
      <c r="B1088" s="219" t="s">
        <v>73</v>
      </c>
      <c r="C1088" s="215"/>
      <c r="D1088" s="194"/>
      <c r="E1088" s="215"/>
      <c r="F1088" s="215"/>
      <c r="G1088" s="215"/>
      <c r="H1088" s="194" t="s">
        <v>2021</v>
      </c>
      <c r="I1088" s="170"/>
      <c r="J1088" s="46" t="s">
        <v>38</v>
      </c>
      <c r="K1088" s="170"/>
      <c r="L1088" s="216">
        <v>87</v>
      </c>
      <c r="M1088" s="216">
        <v>1</v>
      </c>
      <c r="N1088" s="293">
        <v>500</v>
      </c>
      <c r="O1088" s="219"/>
      <c r="P1088" s="219" t="s">
        <v>39</v>
      </c>
      <c r="Q1088" s="170"/>
      <c r="R1088" s="192" t="str">
        <f>CONCATENATE(N1088,P1088)</f>
        <v>500grams</v>
      </c>
      <c r="S1088" s="198">
        <f>M1088*N1088</f>
        <v>500</v>
      </c>
      <c r="T1088" s="199" t="str">
        <f>CONCATENATE(S1088,Q1088,P1088)</f>
        <v>500grams</v>
      </c>
      <c r="U1088" s="200">
        <f>L1088*M1088</f>
        <v>87</v>
      </c>
      <c r="V1088" s="12"/>
      <c r="W1088" s="12"/>
    </row>
    <row r="1089" spans="1:23" x14ac:dyDescent="0.3">
      <c r="A1089" s="193">
        <v>409</v>
      </c>
      <c r="B1089" s="46" t="s">
        <v>73</v>
      </c>
      <c r="C1089" s="215"/>
      <c r="D1089" s="194"/>
      <c r="E1089" s="215"/>
      <c r="F1089" s="215"/>
      <c r="G1089" s="215"/>
      <c r="H1089" s="194" t="s">
        <v>2020</v>
      </c>
      <c r="I1089" s="170"/>
      <c r="J1089" s="46" t="s">
        <v>38</v>
      </c>
      <c r="K1089" s="170"/>
      <c r="L1089" s="197">
        <v>57.4</v>
      </c>
      <c r="M1089" s="197">
        <v>4</v>
      </c>
      <c r="N1089" s="290">
        <v>500</v>
      </c>
      <c r="O1089" s="46"/>
      <c r="P1089" s="46" t="s">
        <v>39</v>
      </c>
      <c r="Q1089" s="170"/>
      <c r="R1089" s="192" t="str">
        <f>CONCATENATE(N1089,P1089)</f>
        <v>500grams</v>
      </c>
      <c r="S1089" s="198">
        <f>M1089*N1089</f>
        <v>2000</v>
      </c>
      <c r="T1089" s="199" t="str">
        <f>CONCATENATE(S1089,Q1089,P1089)</f>
        <v>2000grams</v>
      </c>
      <c r="U1089" s="200">
        <f>L1089*M1089</f>
        <v>229.6</v>
      </c>
      <c r="V1089" s="12"/>
      <c r="W1089" s="12"/>
    </row>
    <row r="1090" spans="1:23" x14ac:dyDescent="0.3">
      <c r="A1090" s="193">
        <v>410</v>
      </c>
      <c r="B1090" s="46" t="s">
        <v>1287</v>
      </c>
      <c r="C1090" s="215"/>
      <c r="D1090" s="194"/>
      <c r="E1090" s="215"/>
      <c r="F1090" s="215"/>
      <c r="G1090" s="215"/>
      <c r="H1090" s="194" t="s">
        <v>2020</v>
      </c>
      <c r="I1090" s="170"/>
      <c r="J1090" s="46" t="s">
        <v>870</v>
      </c>
      <c r="K1090" s="170"/>
      <c r="L1090" s="197">
        <v>195</v>
      </c>
      <c r="M1090" s="197">
        <v>6</v>
      </c>
      <c r="N1090" s="290">
        <v>1000</v>
      </c>
      <c r="O1090" s="46"/>
      <c r="P1090" s="46" t="s">
        <v>213</v>
      </c>
      <c r="Q1090" s="170"/>
      <c r="R1090" s="192" t="str">
        <f>CONCATENATE(N1090,P1090)</f>
        <v>1000kilos</v>
      </c>
      <c r="S1090" s="198">
        <f>M1090*N1090</f>
        <v>6000</v>
      </c>
      <c r="T1090" s="199" t="str">
        <f>CONCATENATE(S1090,Q1090,P1090)</f>
        <v>6000kilos</v>
      </c>
      <c r="U1090" s="200">
        <f>L1090*M1090</f>
        <v>1170</v>
      </c>
      <c r="V1090" s="12"/>
      <c r="W1090" s="12"/>
    </row>
    <row r="1091" spans="1:23" x14ac:dyDescent="0.3">
      <c r="A1091" s="193">
        <v>411</v>
      </c>
      <c r="B1091" s="46" t="s">
        <v>1288</v>
      </c>
      <c r="C1091" s="215"/>
      <c r="D1091" s="194"/>
      <c r="E1091" s="215"/>
      <c r="F1091" s="215"/>
      <c r="G1091" s="215"/>
      <c r="H1091" s="194" t="s">
        <v>1368</v>
      </c>
      <c r="I1091" s="170"/>
      <c r="J1091" s="46" t="s">
        <v>1289</v>
      </c>
      <c r="K1091" s="170"/>
      <c r="L1091" s="197">
        <v>218</v>
      </c>
      <c r="M1091" s="197">
        <v>2</v>
      </c>
      <c r="N1091" s="290">
        <v>1000</v>
      </c>
      <c r="O1091" s="46"/>
      <c r="P1091" s="46" t="s">
        <v>39</v>
      </c>
      <c r="Q1091" s="170"/>
      <c r="R1091" s="192" t="str">
        <f>CONCATENATE(N1091,P1091)</f>
        <v>1000grams</v>
      </c>
      <c r="S1091" s="198">
        <f>M1091*N1091</f>
        <v>2000</v>
      </c>
      <c r="T1091" s="199" t="str">
        <f>CONCATENATE(S1091,Q1091,P1091)</f>
        <v>2000grams</v>
      </c>
      <c r="U1091" s="200">
        <f>L1091*M1091</f>
        <v>436</v>
      </c>
      <c r="V1091" s="12"/>
      <c r="W1091" s="12"/>
    </row>
    <row r="1092" spans="1:23" x14ac:dyDescent="0.3">
      <c r="A1092" s="193">
        <v>411</v>
      </c>
      <c r="B1092" s="46" t="s">
        <v>1288</v>
      </c>
      <c r="C1092" s="215"/>
      <c r="D1092" s="194"/>
      <c r="E1092" s="215"/>
      <c r="F1092" s="215"/>
      <c r="G1092" s="215"/>
      <c r="H1092" s="194" t="s">
        <v>1368</v>
      </c>
      <c r="I1092" s="170"/>
      <c r="J1092" s="46" t="s">
        <v>1290</v>
      </c>
      <c r="K1092" s="170"/>
      <c r="L1092" s="197">
        <v>289</v>
      </c>
      <c r="M1092" s="197">
        <v>1</v>
      </c>
      <c r="N1092" s="290">
        <v>1000</v>
      </c>
      <c r="O1092" s="46"/>
      <c r="P1092" s="46" t="s">
        <v>39</v>
      </c>
      <c r="Q1092" s="170"/>
      <c r="R1092" s="192" t="str">
        <f>CONCATENATE(N1092,P1092)</f>
        <v>1000grams</v>
      </c>
      <c r="S1092" s="198">
        <f>M1092*N1092</f>
        <v>1000</v>
      </c>
      <c r="T1092" s="199" t="str">
        <f>CONCATENATE(S1092,Q1092,P1092)</f>
        <v>1000grams</v>
      </c>
      <c r="U1092" s="200">
        <f>L1092*M1092</f>
        <v>289</v>
      </c>
      <c r="V1092" s="12"/>
      <c r="W1092" s="12"/>
    </row>
    <row r="1093" spans="1:23" x14ac:dyDescent="0.3">
      <c r="A1093" s="193">
        <v>412</v>
      </c>
      <c r="B1093" s="46" t="s">
        <v>1291</v>
      </c>
      <c r="C1093" s="215"/>
      <c r="D1093" s="194"/>
      <c r="E1093" s="215"/>
      <c r="F1093" s="215"/>
      <c r="G1093" s="215"/>
      <c r="H1093" s="194" t="s">
        <v>1368</v>
      </c>
      <c r="I1093" s="170"/>
      <c r="J1093" s="46" t="s">
        <v>870</v>
      </c>
      <c r="K1093" s="170"/>
      <c r="L1093" s="197">
        <v>215</v>
      </c>
      <c r="M1093" s="197">
        <v>2</v>
      </c>
      <c r="N1093" s="290">
        <v>1000</v>
      </c>
      <c r="O1093" s="46"/>
      <c r="P1093" s="46" t="s">
        <v>39</v>
      </c>
      <c r="Q1093" s="170"/>
      <c r="R1093" s="192" t="str">
        <f>CONCATENATE(N1093,P1093)</f>
        <v>1000grams</v>
      </c>
      <c r="S1093" s="198">
        <f>M1093*N1093</f>
        <v>2000</v>
      </c>
      <c r="T1093" s="199" t="str">
        <f>CONCATENATE(S1093,Q1093,P1093)</f>
        <v>2000grams</v>
      </c>
      <c r="U1093" s="200">
        <f>L1093*M1093</f>
        <v>430</v>
      </c>
      <c r="V1093" s="12"/>
      <c r="W1093" s="12"/>
    </row>
    <row r="1094" spans="1:23" x14ac:dyDescent="0.3">
      <c r="A1094" s="193">
        <v>413</v>
      </c>
      <c r="B1094" s="46" t="s">
        <v>1292</v>
      </c>
      <c r="C1094" s="215"/>
      <c r="D1094" s="194"/>
      <c r="E1094" s="215"/>
      <c r="F1094" s="215"/>
      <c r="G1094" s="215"/>
      <c r="H1094" s="194" t="s">
        <v>2026</v>
      </c>
      <c r="I1094" s="170"/>
      <c r="J1094" s="46" t="s">
        <v>870</v>
      </c>
      <c r="K1094" s="170"/>
      <c r="L1094" s="197">
        <v>189.5</v>
      </c>
      <c r="M1094" s="197">
        <v>5</v>
      </c>
      <c r="N1094" s="290">
        <v>1000</v>
      </c>
      <c r="O1094" s="46"/>
      <c r="P1094" s="46" t="s">
        <v>39</v>
      </c>
      <c r="Q1094" s="170"/>
      <c r="R1094" s="192" t="str">
        <f>CONCATENATE(N1094,P1094)</f>
        <v>1000grams</v>
      </c>
      <c r="S1094" s="198">
        <f>M1094*N1094</f>
        <v>5000</v>
      </c>
      <c r="T1094" s="199" t="str">
        <f>CONCATENATE(S1094,Q1094,P1094)</f>
        <v>5000grams</v>
      </c>
      <c r="U1094" s="200">
        <f>L1094*M1094</f>
        <v>947.5</v>
      </c>
      <c r="V1094" s="12"/>
      <c r="W1094" s="12"/>
    </row>
    <row r="1095" spans="1:23" x14ac:dyDescent="0.3">
      <c r="A1095" s="193">
        <v>413</v>
      </c>
      <c r="B1095" s="46" t="s">
        <v>1292</v>
      </c>
      <c r="C1095" s="215"/>
      <c r="D1095" s="194"/>
      <c r="E1095" s="215"/>
      <c r="F1095" s="215"/>
      <c r="G1095" s="215"/>
      <c r="H1095" s="194" t="s">
        <v>1368</v>
      </c>
      <c r="I1095" s="170"/>
      <c r="J1095" s="46" t="s">
        <v>1289</v>
      </c>
      <c r="K1095" s="170"/>
      <c r="L1095" s="197">
        <v>208</v>
      </c>
      <c r="M1095" s="197">
        <v>2</v>
      </c>
      <c r="N1095" s="290">
        <v>1000</v>
      </c>
      <c r="O1095" s="46"/>
      <c r="P1095" s="46" t="s">
        <v>39</v>
      </c>
      <c r="Q1095" s="170"/>
      <c r="R1095" s="192" t="str">
        <f>CONCATENATE(N1095,P1095)</f>
        <v>1000grams</v>
      </c>
      <c r="S1095" s="198">
        <f>M1095*N1095</f>
        <v>2000</v>
      </c>
      <c r="T1095" s="199" t="str">
        <f>CONCATENATE(S1095,Q1095,P1095)</f>
        <v>2000grams</v>
      </c>
      <c r="U1095" s="200">
        <f>L1095*M1095</f>
        <v>416</v>
      </c>
      <c r="V1095" s="12"/>
      <c r="W1095" s="12"/>
    </row>
    <row r="1096" spans="1:23" x14ac:dyDescent="0.3">
      <c r="A1096" s="193">
        <v>413</v>
      </c>
      <c r="B1096" s="46" t="s">
        <v>1292</v>
      </c>
      <c r="C1096" s="215"/>
      <c r="D1096" s="194"/>
      <c r="E1096" s="215"/>
      <c r="F1096" s="215"/>
      <c r="G1096" s="215"/>
      <c r="H1096" s="194" t="s">
        <v>2023</v>
      </c>
      <c r="I1096" s="170"/>
      <c r="J1096" s="46" t="s">
        <v>870</v>
      </c>
      <c r="K1096" s="170"/>
      <c r="L1096" s="197">
        <v>189</v>
      </c>
      <c r="M1096" s="197">
        <v>9</v>
      </c>
      <c r="N1096" s="290">
        <v>1000</v>
      </c>
      <c r="O1096" s="46"/>
      <c r="P1096" s="46" t="s">
        <v>39</v>
      </c>
      <c r="Q1096" s="170"/>
      <c r="R1096" s="192" t="str">
        <f>CONCATENATE(N1096,P1096)</f>
        <v>1000grams</v>
      </c>
      <c r="S1096" s="198">
        <f>M1096*N1096</f>
        <v>9000</v>
      </c>
      <c r="T1096" s="199" t="str">
        <f>CONCATENATE(S1096,Q1096,P1096)</f>
        <v>9000grams</v>
      </c>
      <c r="U1096" s="200">
        <f>L1096*M1096</f>
        <v>1701</v>
      </c>
      <c r="V1096" s="12"/>
      <c r="W1096" s="12"/>
    </row>
    <row r="1097" spans="1:23" x14ac:dyDescent="0.3">
      <c r="A1097" s="193">
        <v>413</v>
      </c>
      <c r="B1097" s="46" t="s">
        <v>1292</v>
      </c>
      <c r="C1097" s="215"/>
      <c r="D1097" s="194"/>
      <c r="E1097" s="215"/>
      <c r="F1097" s="215"/>
      <c r="G1097" s="215"/>
      <c r="H1097" s="194" t="s">
        <v>2022</v>
      </c>
      <c r="I1097" s="170"/>
      <c r="J1097" s="46" t="s">
        <v>870</v>
      </c>
      <c r="K1097" s="170"/>
      <c r="L1097" s="197">
        <v>205</v>
      </c>
      <c r="M1097" s="197">
        <v>1</v>
      </c>
      <c r="N1097" s="290">
        <v>1000</v>
      </c>
      <c r="O1097" s="46"/>
      <c r="P1097" s="46" t="s">
        <v>39</v>
      </c>
      <c r="Q1097" s="170"/>
      <c r="R1097" s="192" t="str">
        <f>CONCATENATE(N1097,P1097)</f>
        <v>1000grams</v>
      </c>
      <c r="S1097" s="198">
        <f>M1097*N1097</f>
        <v>1000</v>
      </c>
      <c r="T1097" s="199" t="str">
        <f>CONCATENATE(S1097,Q1097,P1097)</f>
        <v>1000grams</v>
      </c>
      <c r="U1097" s="200">
        <f>L1097*M1097</f>
        <v>205</v>
      </c>
      <c r="V1097" s="12"/>
      <c r="W1097" s="12"/>
    </row>
    <row r="1098" spans="1:23" x14ac:dyDescent="0.3">
      <c r="A1098" s="193">
        <v>413</v>
      </c>
      <c r="B1098" s="46" t="s">
        <v>1292</v>
      </c>
      <c r="C1098" s="215"/>
      <c r="D1098" s="194"/>
      <c r="E1098" s="215"/>
      <c r="F1098" s="215"/>
      <c r="G1098" s="215"/>
      <c r="H1098" s="194" t="s">
        <v>2021</v>
      </c>
      <c r="I1098" s="237"/>
      <c r="J1098" s="46" t="s">
        <v>870</v>
      </c>
      <c r="K1098" s="170"/>
      <c r="L1098" s="216">
        <v>175</v>
      </c>
      <c r="M1098" s="216">
        <v>1</v>
      </c>
      <c r="N1098" s="293">
        <v>1000</v>
      </c>
      <c r="O1098" s="219"/>
      <c r="P1098" s="219" t="s">
        <v>39</v>
      </c>
      <c r="Q1098" s="170"/>
      <c r="R1098" s="192" t="str">
        <f>CONCATENATE(N1098,P1098)</f>
        <v>1000grams</v>
      </c>
      <c r="S1098" s="198">
        <f>M1098*N1098</f>
        <v>1000</v>
      </c>
      <c r="T1098" s="199" t="str">
        <f>CONCATENATE(S1098,Q1098,P1098)</f>
        <v>1000grams</v>
      </c>
      <c r="U1098" s="200">
        <f>L1098*M1098</f>
        <v>175</v>
      </c>
      <c r="V1098" s="12"/>
      <c r="W1098" s="12"/>
    </row>
    <row r="1099" spans="1:23" x14ac:dyDescent="0.3">
      <c r="A1099" s="193">
        <v>414</v>
      </c>
      <c r="B1099" s="46" t="s">
        <v>1293</v>
      </c>
      <c r="C1099" s="215"/>
      <c r="D1099" s="194"/>
      <c r="E1099" s="215"/>
      <c r="F1099" s="215"/>
      <c r="G1099" s="215"/>
      <c r="H1099" s="194" t="s">
        <v>2024</v>
      </c>
      <c r="I1099" s="239"/>
      <c r="J1099" s="46" t="s">
        <v>870</v>
      </c>
      <c r="K1099" s="170"/>
      <c r="L1099" s="197">
        <v>195</v>
      </c>
      <c r="M1099" s="197">
        <v>5</v>
      </c>
      <c r="N1099" s="290">
        <v>1000</v>
      </c>
      <c r="O1099" s="46"/>
      <c r="P1099" s="46" t="s">
        <v>39</v>
      </c>
      <c r="Q1099" s="170"/>
      <c r="R1099" s="192" t="str">
        <f>CONCATENATE(N1099,P1099)</f>
        <v>1000grams</v>
      </c>
      <c r="S1099" s="198">
        <f>M1099*N1099</f>
        <v>5000</v>
      </c>
      <c r="T1099" s="199" t="str">
        <f>CONCATENATE(S1099,Q1099,P1099)</f>
        <v>5000grams</v>
      </c>
      <c r="U1099" s="200">
        <f>L1099*M1099</f>
        <v>975</v>
      </c>
      <c r="V1099" s="12"/>
      <c r="W1099" s="12"/>
    </row>
    <row r="1100" spans="1:23" x14ac:dyDescent="0.3">
      <c r="A1100" s="193">
        <v>414</v>
      </c>
      <c r="B1100" s="46" t="s">
        <v>1293</v>
      </c>
      <c r="C1100" s="215"/>
      <c r="D1100" s="194"/>
      <c r="E1100" s="215"/>
      <c r="F1100" s="215"/>
      <c r="G1100" s="215"/>
      <c r="H1100" s="194" t="s">
        <v>1368</v>
      </c>
      <c r="I1100" s="239"/>
      <c r="J1100" s="46" t="s">
        <v>870</v>
      </c>
      <c r="K1100" s="170"/>
      <c r="L1100" s="197">
        <v>215</v>
      </c>
      <c r="M1100" s="197">
        <v>3</v>
      </c>
      <c r="N1100" s="290">
        <v>1000</v>
      </c>
      <c r="O1100" s="46"/>
      <c r="P1100" s="46" t="s">
        <v>39</v>
      </c>
      <c r="Q1100" s="170"/>
      <c r="R1100" s="192" t="str">
        <f>CONCATENATE(N1100,P1100)</f>
        <v>1000grams</v>
      </c>
      <c r="S1100" s="198">
        <f>M1100*N1100</f>
        <v>3000</v>
      </c>
      <c r="T1100" s="199" t="str">
        <f>CONCATENATE(S1100,Q1100,P1100)</f>
        <v>3000grams</v>
      </c>
      <c r="U1100" s="200">
        <f>L1100*M1100</f>
        <v>645</v>
      </c>
      <c r="V1100" s="12"/>
      <c r="W1100" s="12"/>
    </row>
    <row r="1101" spans="1:23" x14ac:dyDescent="0.3">
      <c r="A1101" s="193">
        <v>415</v>
      </c>
      <c r="B1101" s="46" t="s">
        <v>1294</v>
      </c>
      <c r="C1101" s="215"/>
      <c r="D1101" s="194"/>
      <c r="E1101" s="215"/>
      <c r="F1101" s="215"/>
      <c r="G1101" s="215"/>
      <c r="H1101" s="194" t="s">
        <v>29</v>
      </c>
      <c r="I1101" s="170"/>
      <c r="J1101" s="46" t="s">
        <v>1157</v>
      </c>
      <c r="K1101" s="170"/>
      <c r="L1101" s="197">
        <v>192</v>
      </c>
      <c r="M1101" s="197">
        <v>1</v>
      </c>
      <c r="N1101" s="290">
        <v>1</v>
      </c>
      <c r="O1101" s="46"/>
      <c r="P1101" s="46" t="s">
        <v>213</v>
      </c>
      <c r="Q1101" s="170"/>
      <c r="R1101" s="192" t="str">
        <f>CONCATENATE(N1101,P1101)</f>
        <v>1kilos</v>
      </c>
      <c r="S1101" s="198">
        <f>M1101*N1101</f>
        <v>1</v>
      </c>
      <c r="T1101" s="199" t="str">
        <f>CONCATENATE(S1101,Q1101,P1101)</f>
        <v>1kilos</v>
      </c>
      <c r="U1101" s="200">
        <f>L1101*M1101</f>
        <v>192</v>
      </c>
      <c r="V1101" s="12"/>
      <c r="W1101" s="12"/>
    </row>
    <row r="1102" spans="1:23" x14ac:dyDescent="0.3">
      <c r="A1102" s="479">
        <v>416</v>
      </c>
      <c r="B1102" s="214" t="s">
        <v>221</v>
      </c>
      <c r="C1102" s="215"/>
      <c r="D1102" s="194" t="str">
        <f ca="1">IFERROR(__xludf.DUMMYFUNCTION("IF(J315="""",""n/a"",IFERROR(SPLIT(J315,""/"")))"),"Purefoods")</f>
        <v>Purefoods</v>
      </c>
      <c r="E1102" s="214" t="str">
        <f ca="1">IFERROR(__xludf.DUMMYFUNCTION("""COMPUTED_VALUE"""),"pack")</f>
        <v>pack</v>
      </c>
      <c r="F1102" s="214" t="str">
        <f ca="1">IFERROR(__xludf.DUMMYFUNCTION("""COMPUTED_VALUE"""),"1000grams")</f>
        <v>1000grams</v>
      </c>
      <c r="G1102" s="215"/>
      <c r="H1102" s="183" t="s">
        <v>1895</v>
      </c>
      <c r="I1102" s="170"/>
      <c r="J1102" s="46" t="s">
        <v>222</v>
      </c>
      <c r="K1102" s="170"/>
      <c r="L1102" s="195">
        <v>181</v>
      </c>
      <c r="M1102" s="197">
        <v>5.6</v>
      </c>
      <c r="N1102" s="61">
        <v>1</v>
      </c>
      <c r="O1102" s="61" t="str">
        <f ca="1">E1102</f>
        <v>pack</v>
      </c>
      <c r="P1102" s="61" t="s">
        <v>39</v>
      </c>
      <c r="Q1102" s="170"/>
      <c r="R1102" s="192" t="str">
        <f>CONCATENATE(N1102,P1102)</f>
        <v>1grams</v>
      </c>
      <c r="S1102" s="198">
        <f>M1102*N1102</f>
        <v>5.6</v>
      </c>
      <c r="T1102" s="199" t="str">
        <f>CONCATENATE(S1102,Q1102,P1102)</f>
        <v>5.6grams</v>
      </c>
      <c r="U1102" s="200">
        <f>L1102*M1102</f>
        <v>1013.5999999999999</v>
      </c>
      <c r="V1102" s="12"/>
      <c r="W1102" s="12"/>
    </row>
    <row r="1103" spans="1:23" x14ac:dyDescent="0.3">
      <c r="A1103" s="479">
        <v>417</v>
      </c>
      <c r="B1103" s="194" t="s">
        <v>637</v>
      </c>
      <c r="C1103" s="170"/>
      <c r="D1103" s="194" t="str">
        <f ca="1">IFERROR(__xludf.DUMMYFUNCTION("IF(J316="""",""n/a"",IFERROR(SPLIT(J316,""/"")))"),"Purefoods")</f>
        <v>Purefoods</v>
      </c>
      <c r="E1103" s="194" t="str">
        <f ca="1">IFERROR(__xludf.DUMMYFUNCTION("""COMPUTED_VALUE"""),"pack")</f>
        <v>pack</v>
      </c>
      <c r="F1103" s="194" t="str">
        <f ca="1">IFERROR(__xludf.DUMMYFUNCTION("""COMPUTED_VALUE"""),"1000grams")</f>
        <v>1000grams</v>
      </c>
      <c r="G1103" s="170"/>
      <c r="H1103" s="183" t="s">
        <v>1897</v>
      </c>
      <c r="I1103" s="170"/>
      <c r="J1103" s="46" t="s">
        <v>222</v>
      </c>
      <c r="K1103" s="170"/>
      <c r="L1103" s="195">
        <v>0.17</v>
      </c>
      <c r="M1103" s="202">
        <v>24000</v>
      </c>
      <c r="N1103" s="228">
        <v>1000</v>
      </c>
      <c r="O1103" s="61" t="str">
        <f ca="1">E1103</f>
        <v>pack</v>
      </c>
      <c r="P1103" s="229" t="s">
        <v>39</v>
      </c>
      <c r="Q1103" s="170"/>
      <c r="R1103" s="192" t="str">
        <f>CONCATENATE(N1103,P1103)</f>
        <v>1000grams</v>
      </c>
      <c r="S1103" s="198">
        <f>M1103*N1103</f>
        <v>24000000</v>
      </c>
      <c r="T1103" s="199" t="str">
        <f>CONCATENATE(S1103,Q1103,P1103)</f>
        <v>24000000grams</v>
      </c>
      <c r="U1103" s="200">
        <f>L1103*M1103</f>
        <v>4080.0000000000005</v>
      </c>
      <c r="V1103" s="205"/>
      <c r="W1103" s="62"/>
    </row>
    <row r="1104" spans="1:23" x14ac:dyDescent="0.3">
      <c r="A1104" s="193">
        <v>418</v>
      </c>
      <c r="B1104" s="46" t="s">
        <v>1940</v>
      </c>
      <c r="C1104" s="215"/>
      <c r="D1104" s="194"/>
      <c r="E1104" s="215"/>
      <c r="F1104" s="215"/>
      <c r="G1104" s="215"/>
      <c r="H1104" s="400" t="s">
        <v>2027</v>
      </c>
      <c r="I1104" s="170"/>
      <c r="J1104" s="46" t="s">
        <v>870</v>
      </c>
      <c r="K1104" s="170"/>
      <c r="L1104" s="195">
        <v>189.5</v>
      </c>
      <c r="M1104" s="197">
        <v>9</v>
      </c>
      <c r="N1104" s="360">
        <v>1</v>
      </c>
      <c r="O1104" s="61"/>
      <c r="P1104" s="61" t="s">
        <v>213</v>
      </c>
      <c r="Q1104" s="170"/>
      <c r="R1104" s="192" t="str">
        <f>CONCATENATE(N1104,P1104)</f>
        <v>1kilos</v>
      </c>
      <c r="S1104" s="198">
        <f>M1104*N1104</f>
        <v>9</v>
      </c>
      <c r="T1104" s="199" t="str">
        <f>CONCATENATE(S1104,Q1104,P1104)</f>
        <v>9kilos</v>
      </c>
      <c r="U1104" s="200">
        <f>L1104*M1104</f>
        <v>1705.5</v>
      </c>
      <c r="V1104" s="12"/>
      <c r="W1104" s="12"/>
    </row>
    <row r="1105" spans="1:23" x14ac:dyDescent="0.3">
      <c r="A1105" s="193">
        <v>419</v>
      </c>
      <c r="B1105" s="46" t="s">
        <v>1295</v>
      </c>
      <c r="C1105" s="215"/>
      <c r="D1105" s="194"/>
      <c r="E1105" s="215"/>
      <c r="F1105" s="215"/>
      <c r="G1105" s="215"/>
      <c r="H1105" s="194" t="s">
        <v>2020</v>
      </c>
      <c r="I1105" s="170"/>
      <c r="J1105" s="46" t="s">
        <v>871</v>
      </c>
      <c r="K1105" s="170"/>
      <c r="L1105" s="197">
        <v>165</v>
      </c>
      <c r="M1105" s="197">
        <v>1</v>
      </c>
      <c r="N1105" s="290">
        <v>500</v>
      </c>
      <c r="O1105" s="46"/>
      <c r="P1105" s="46" t="s">
        <v>39</v>
      </c>
      <c r="Q1105" s="170"/>
      <c r="R1105" s="192" t="str">
        <f>CONCATENATE(N1105,P1105)</f>
        <v>500grams</v>
      </c>
      <c r="S1105" s="198">
        <f>M1105*N1105</f>
        <v>500</v>
      </c>
      <c r="T1105" s="199" t="str">
        <f>CONCATENATE(S1105,Q1105,P1105)</f>
        <v>500grams</v>
      </c>
      <c r="U1105" s="200">
        <f>L1105*M1105</f>
        <v>165</v>
      </c>
      <c r="V1105" s="12"/>
      <c r="W1105" s="12"/>
    </row>
    <row r="1106" spans="1:23" x14ac:dyDescent="0.3">
      <c r="A1106" s="193">
        <v>420</v>
      </c>
      <c r="B1106" s="46" t="s">
        <v>1296</v>
      </c>
      <c r="C1106" s="215"/>
      <c r="D1106" s="194"/>
      <c r="E1106" s="215"/>
      <c r="F1106" s="215"/>
      <c r="G1106" s="215"/>
      <c r="H1106" s="194" t="s">
        <v>2026</v>
      </c>
      <c r="I1106" s="170"/>
      <c r="J1106" s="46" t="s">
        <v>1297</v>
      </c>
      <c r="K1106" s="170"/>
      <c r="L1106" s="197">
        <v>22</v>
      </c>
      <c r="M1106" s="197">
        <v>2</v>
      </c>
      <c r="N1106" s="290">
        <v>1</v>
      </c>
      <c r="O1106" s="46"/>
      <c r="P1106" s="46" t="s">
        <v>304</v>
      </c>
      <c r="Q1106" s="170"/>
      <c r="R1106" s="192" t="str">
        <f>CONCATENATE(N1106,P1106)</f>
        <v>1packs</v>
      </c>
      <c r="S1106" s="198">
        <f>M1106*N1106</f>
        <v>2</v>
      </c>
      <c r="T1106" s="199" t="str">
        <f>CONCATENATE(S1106,Q1106,P1106)</f>
        <v>2packs</v>
      </c>
      <c r="U1106" s="200">
        <f>L1106*M1106</f>
        <v>44</v>
      </c>
      <c r="V1106" s="12"/>
      <c r="W1106" s="12"/>
    </row>
    <row r="1107" spans="1:23" x14ac:dyDescent="0.3">
      <c r="A1107" s="193">
        <v>420</v>
      </c>
      <c r="B1107" s="46" t="s">
        <v>1296</v>
      </c>
      <c r="C1107" s="488"/>
      <c r="D1107" s="194"/>
      <c r="E1107" s="488"/>
      <c r="F1107" s="488"/>
      <c r="G1107" s="488"/>
      <c r="H1107" s="194" t="s">
        <v>2023</v>
      </c>
      <c r="I1107" s="170"/>
      <c r="J1107" s="46" t="s">
        <v>1298</v>
      </c>
      <c r="K1107" s="170"/>
      <c r="L1107" s="197">
        <v>25</v>
      </c>
      <c r="M1107" s="197">
        <v>7</v>
      </c>
      <c r="N1107" s="290">
        <v>1</v>
      </c>
      <c r="O1107" s="46"/>
      <c r="P1107" s="46" t="s">
        <v>304</v>
      </c>
      <c r="Q1107" s="170"/>
      <c r="R1107" s="192" t="str">
        <f>CONCATENATE(N1107,P1107)</f>
        <v>1packs</v>
      </c>
      <c r="S1107" s="198">
        <f>M1107*N1107</f>
        <v>7</v>
      </c>
      <c r="T1107" s="199" t="str">
        <f>CONCATENATE(S1107,Q1107,P1107)</f>
        <v>7packs</v>
      </c>
      <c r="U1107" s="200">
        <f>L1107*M1107</f>
        <v>175</v>
      </c>
      <c r="V1107" s="12"/>
      <c r="W1107" s="12"/>
    </row>
    <row r="1108" spans="1:23" x14ac:dyDescent="0.3">
      <c r="A1108" s="193">
        <v>420</v>
      </c>
      <c r="B1108" s="219" t="s">
        <v>1299</v>
      </c>
      <c r="C1108" s="253"/>
      <c r="D1108" s="194"/>
      <c r="E1108" s="253"/>
      <c r="F1108" s="253"/>
      <c r="G1108" s="253"/>
      <c r="H1108" s="194" t="s">
        <v>2025</v>
      </c>
      <c r="I1108" s="239"/>
      <c r="J1108" s="46" t="s">
        <v>1300</v>
      </c>
      <c r="K1108" s="170"/>
      <c r="L1108" s="197">
        <v>25</v>
      </c>
      <c r="M1108" s="197">
        <v>6</v>
      </c>
      <c r="N1108" s="290">
        <v>100</v>
      </c>
      <c r="O1108" s="46"/>
      <c r="P1108" s="46" t="s">
        <v>92</v>
      </c>
      <c r="Q1108" s="170"/>
      <c r="R1108" s="192" t="str">
        <f>CONCATENATE(N1108,P1108)</f>
        <v>100pieces</v>
      </c>
      <c r="S1108" s="198">
        <f>M1108*N1108</f>
        <v>600</v>
      </c>
      <c r="T1108" s="199" t="str">
        <f>CONCATENATE(S1108,Q1108,P1108)</f>
        <v>600pieces</v>
      </c>
      <c r="U1108" s="200">
        <f>L1108*M1108</f>
        <v>150</v>
      </c>
      <c r="V1108" s="12"/>
      <c r="W1108" s="12"/>
    </row>
    <row r="1109" spans="1:23" x14ac:dyDescent="0.3">
      <c r="A1109" s="193">
        <v>421</v>
      </c>
      <c r="B1109" s="219" t="s">
        <v>1301</v>
      </c>
      <c r="C1109" s="253"/>
      <c r="D1109" s="194"/>
      <c r="E1109" s="253"/>
      <c r="F1109" s="253"/>
      <c r="G1109" s="253"/>
      <c r="H1109" s="194" t="s">
        <v>2021</v>
      </c>
      <c r="I1109" s="239"/>
      <c r="J1109" s="219" t="s">
        <v>719</v>
      </c>
      <c r="K1109" s="170"/>
      <c r="L1109" s="216">
        <v>21.5</v>
      </c>
      <c r="M1109" s="216">
        <v>1</v>
      </c>
      <c r="N1109" s="293">
        <v>19</v>
      </c>
      <c r="O1109" s="219"/>
      <c r="P1109" s="219" t="s">
        <v>39</v>
      </c>
      <c r="Q1109" s="170"/>
      <c r="R1109" s="192" t="str">
        <f>CONCATENATE(N1109,P1109)</f>
        <v>19grams</v>
      </c>
      <c r="S1109" s="198">
        <f>M1109*N1109</f>
        <v>19</v>
      </c>
      <c r="T1109" s="199" t="str">
        <f>CONCATENATE(S1109,Q1109,P1109)</f>
        <v>19grams</v>
      </c>
      <c r="U1109" s="200">
        <f>L1109*M1109</f>
        <v>21.5</v>
      </c>
      <c r="V1109" s="12"/>
      <c r="W1109" s="12"/>
    </row>
    <row r="1110" spans="1:23" x14ac:dyDescent="0.3">
      <c r="A1110" s="193">
        <v>422</v>
      </c>
      <c r="B1110" s="46" t="s">
        <v>1908</v>
      </c>
      <c r="C1110" s="253"/>
      <c r="D1110" s="194"/>
      <c r="E1110" s="253"/>
      <c r="F1110" s="253"/>
      <c r="G1110" s="253"/>
      <c r="H1110" s="400" t="s">
        <v>2027</v>
      </c>
      <c r="I1110" s="239"/>
      <c r="J1110" s="46" t="s">
        <v>1909</v>
      </c>
      <c r="K1110" s="170"/>
      <c r="L1110" s="195">
        <v>7.25</v>
      </c>
      <c r="M1110" s="197">
        <v>120</v>
      </c>
      <c r="N1110" s="360">
        <v>20</v>
      </c>
      <c r="O1110" s="61"/>
      <c r="P1110" s="61" t="s">
        <v>39</v>
      </c>
      <c r="Q1110" s="170"/>
      <c r="R1110" s="192" t="str">
        <f>CONCATENATE(N1110,P1110)</f>
        <v>20grams</v>
      </c>
      <c r="S1110" s="198">
        <f>M1110*N1110</f>
        <v>2400</v>
      </c>
      <c r="T1110" s="199" t="str">
        <f>CONCATENATE(S1110,Q1110,P1110)</f>
        <v>2400grams</v>
      </c>
      <c r="U1110" s="200">
        <f>L1110*M1110</f>
        <v>870</v>
      </c>
      <c r="V1110" s="12"/>
      <c r="W1110" s="12"/>
    </row>
    <row r="1111" spans="1:23" x14ac:dyDescent="0.3">
      <c r="A1111" s="193">
        <v>422</v>
      </c>
      <c r="B1111" s="46" t="s">
        <v>1908</v>
      </c>
      <c r="C1111" s="253"/>
      <c r="D1111" s="194"/>
      <c r="E1111" s="253"/>
      <c r="F1111" s="253"/>
      <c r="G1111" s="253"/>
      <c r="H1111" s="400" t="s">
        <v>2027</v>
      </c>
      <c r="I1111" s="239"/>
      <c r="J1111" s="46" t="s">
        <v>1917</v>
      </c>
      <c r="K1111" s="170"/>
      <c r="L1111" s="195">
        <v>2.3199999999999998</v>
      </c>
      <c r="M1111" s="197">
        <v>1008</v>
      </c>
      <c r="N1111" s="360">
        <v>1</v>
      </c>
      <c r="O1111" s="61"/>
      <c r="P1111" s="61" t="s">
        <v>92</v>
      </c>
      <c r="Q1111" s="170"/>
      <c r="R1111" s="192" t="str">
        <f>CONCATENATE(N1111,P1111)</f>
        <v>1pieces</v>
      </c>
      <c r="S1111" s="198">
        <f>M1111*N1111</f>
        <v>1008</v>
      </c>
      <c r="T1111" s="199" t="str">
        <f>CONCATENATE(S1111,Q1111,P1111)</f>
        <v>1008pieces</v>
      </c>
      <c r="U1111" s="200">
        <f>L1111*M1111</f>
        <v>2338.56</v>
      </c>
      <c r="V1111" s="12"/>
      <c r="W1111" s="12"/>
    </row>
    <row r="1112" spans="1:23" x14ac:dyDescent="0.3">
      <c r="A1112" s="193">
        <v>423</v>
      </c>
      <c r="B1112" s="46" t="s">
        <v>1302</v>
      </c>
      <c r="C1112" s="253"/>
      <c r="D1112" s="194"/>
      <c r="E1112" s="253"/>
      <c r="F1112" s="253"/>
      <c r="G1112" s="253"/>
      <c r="H1112" s="194" t="s">
        <v>2025</v>
      </c>
      <c r="I1112" s="239"/>
      <c r="J1112" s="46" t="s">
        <v>1303</v>
      </c>
      <c r="K1112" s="170"/>
      <c r="L1112" s="197">
        <v>21.65</v>
      </c>
      <c r="M1112" s="197">
        <v>8</v>
      </c>
      <c r="N1112" s="290">
        <v>40</v>
      </c>
      <c r="O1112" s="46"/>
      <c r="P1112" s="46" t="s">
        <v>39</v>
      </c>
      <c r="Q1112" s="170"/>
      <c r="R1112" s="192" t="str">
        <f>CONCATENATE(N1112,P1112)</f>
        <v>40grams</v>
      </c>
      <c r="S1112" s="198">
        <f>M1112*N1112</f>
        <v>320</v>
      </c>
      <c r="T1112" s="199" t="str">
        <f>CONCATENATE(S1112,Q1112,P1112)</f>
        <v>320grams</v>
      </c>
      <c r="U1112" s="200">
        <f>L1112*M1112</f>
        <v>173.2</v>
      </c>
      <c r="V1112" s="12"/>
      <c r="W1112" s="12"/>
    </row>
    <row r="1113" spans="1:23" x14ac:dyDescent="0.3">
      <c r="A1113" s="193">
        <v>423</v>
      </c>
      <c r="B1113" s="46" t="s">
        <v>1302</v>
      </c>
      <c r="C1113" s="253"/>
      <c r="D1113" s="194"/>
      <c r="E1113" s="253"/>
      <c r="F1113" s="253"/>
      <c r="G1113" s="253"/>
      <c r="H1113" s="194" t="s">
        <v>2025</v>
      </c>
      <c r="I1113" s="239"/>
      <c r="J1113" s="46" t="s">
        <v>1304</v>
      </c>
      <c r="K1113" s="170"/>
      <c r="L1113" s="197">
        <v>21.65</v>
      </c>
      <c r="M1113" s="197">
        <v>10</v>
      </c>
      <c r="N1113" s="290">
        <v>40</v>
      </c>
      <c r="O1113" s="46"/>
      <c r="P1113" s="46" t="s">
        <v>39</v>
      </c>
      <c r="Q1113" s="170"/>
      <c r="R1113" s="192" t="str">
        <f>CONCATENATE(N1113,P1113)</f>
        <v>40grams</v>
      </c>
      <c r="S1113" s="198">
        <f>M1113*N1113</f>
        <v>400</v>
      </c>
      <c r="T1113" s="199" t="str">
        <f>CONCATENATE(S1113,Q1113,P1113)</f>
        <v>400grams</v>
      </c>
      <c r="U1113" s="200">
        <f>L1113*M1113</f>
        <v>216.5</v>
      </c>
      <c r="V1113" s="12"/>
      <c r="W1113" s="12"/>
    </row>
    <row r="1114" spans="1:23" x14ac:dyDescent="0.3">
      <c r="A1114" s="193">
        <v>423</v>
      </c>
      <c r="B1114" s="46" t="s">
        <v>1302</v>
      </c>
      <c r="C1114" s="253"/>
      <c r="D1114" s="194"/>
      <c r="E1114" s="253"/>
      <c r="F1114" s="253"/>
      <c r="G1114" s="253"/>
      <c r="H1114" s="194" t="s">
        <v>2025</v>
      </c>
      <c r="I1114" s="239"/>
      <c r="J1114" s="46" t="s">
        <v>1305</v>
      </c>
      <c r="K1114" s="170"/>
      <c r="L1114" s="197">
        <v>21.65</v>
      </c>
      <c r="M1114" s="197">
        <v>17</v>
      </c>
      <c r="N1114" s="290">
        <v>40</v>
      </c>
      <c r="O1114" s="46"/>
      <c r="P1114" s="46" t="s">
        <v>39</v>
      </c>
      <c r="Q1114" s="170"/>
      <c r="R1114" s="192" t="str">
        <f>CONCATENATE(N1114,P1114)</f>
        <v>40grams</v>
      </c>
      <c r="S1114" s="198">
        <f>M1114*N1114</f>
        <v>680</v>
      </c>
      <c r="T1114" s="199" t="str">
        <f>CONCATENATE(S1114,Q1114,P1114)</f>
        <v>680grams</v>
      </c>
      <c r="U1114" s="200">
        <f>L1114*M1114</f>
        <v>368.04999999999995</v>
      </c>
      <c r="V1114" s="12"/>
      <c r="W1114" s="12"/>
    </row>
    <row r="1115" spans="1:23" x14ac:dyDescent="0.3">
      <c r="A1115" s="193">
        <v>423</v>
      </c>
      <c r="B1115" s="46" t="s">
        <v>1302</v>
      </c>
      <c r="C1115" s="253"/>
      <c r="D1115" s="194"/>
      <c r="E1115" s="253"/>
      <c r="F1115" s="253"/>
      <c r="G1115" s="253"/>
      <c r="H1115" s="194" t="s">
        <v>2025</v>
      </c>
      <c r="I1115" s="239"/>
      <c r="J1115" s="46" t="s">
        <v>1306</v>
      </c>
      <c r="K1115" s="170"/>
      <c r="L1115" s="197">
        <v>25.55</v>
      </c>
      <c r="M1115" s="197">
        <v>10</v>
      </c>
      <c r="N1115" s="290">
        <v>40</v>
      </c>
      <c r="O1115" s="46"/>
      <c r="P1115" s="46" t="s">
        <v>39</v>
      </c>
      <c r="Q1115" s="170"/>
      <c r="R1115" s="192" t="str">
        <f>CONCATENATE(N1115,P1115)</f>
        <v>40grams</v>
      </c>
      <c r="S1115" s="198">
        <f>M1115*N1115</f>
        <v>400</v>
      </c>
      <c r="T1115" s="199" t="str">
        <f>CONCATENATE(S1115,Q1115,P1115)</f>
        <v>400grams</v>
      </c>
      <c r="U1115" s="200">
        <f>L1115*M1115</f>
        <v>255.5</v>
      </c>
      <c r="V1115" s="12"/>
      <c r="W1115" s="12"/>
    </row>
    <row r="1116" spans="1:23" x14ac:dyDescent="0.3">
      <c r="A1116" s="193">
        <v>423</v>
      </c>
      <c r="B1116" s="46" t="s">
        <v>1302</v>
      </c>
      <c r="C1116" s="253"/>
      <c r="D1116" s="194"/>
      <c r="E1116" s="253"/>
      <c r="F1116" s="253"/>
      <c r="G1116" s="253"/>
      <c r="H1116" s="194" t="s">
        <v>2025</v>
      </c>
      <c r="I1116" s="239"/>
      <c r="J1116" s="46" t="s">
        <v>1307</v>
      </c>
      <c r="K1116" s="170"/>
      <c r="L1116" s="197">
        <v>21.65</v>
      </c>
      <c r="M1116" s="197">
        <v>5</v>
      </c>
      <c r="N1116" s="290">
        <v>40</v>
      </c>
      <c r="O1116" s="46"/>
      <c r="P1116" s="46" t="s">
        <v>39</v>
      </c>
      <c r="Q1116" s="170"/>
      <c r="R1116" s="192" t="str">
        <f>CONCATENATE(N1116,P1116)</f>
        <v>40grams</v>
      </c>
      <c r="S1116" s="198">
        <f>M1116*N1116</f>
        <v>200</v>
      </c>
      <c r="T1116" s="199" t="str">
        <f>CONCATENATE(S1116,Q1116,P1116)</f>
        <v>200grams</v>
      </c>
      <c r="U1116" s="200">
        <f>L1116*M1116</f>
        <v>108.25</v>
      </c>
      <c r="V1116" s="12"/>
      <c r="W1116" s="12"/>
    </row>
    <row r="1117" spans="1:23" x14ac:dyDescent="0.3">
      <c r="A1117" s="193">
        <v>423</v>
      </c>
      <c r="B1117" s="46" t="s">
        <v>1302</v>
      </c>
      <c r="C1117" s="253"/>
      <c r="D1117" s="194"/>
      <c r="E1117" s="253"/>
      <c r="F1117" s="253"/>
      <c r="G1117" s="253"/>
      <c r="H1117" s="194" t="s">
        <v>2025</v>
      </c>
      <c r="I1117" s="256"/>
      <c r="J1117" s="46" t="s">
        <v>1308</v>
      </c>
      <c r="K1117" s="170"/>
      <c r="L1117" s="197">
        <v>25.55</v>
      </c>
      <c r="M1117" s="197">
        <v>7</v>
      </c>
      <c r="N1117" s="290">
        <v>40</v>
      </c>
      <c r="O1117" s="46"/>
      <c r="P1117" s="46" t="s">
        <v>39</v>
      </c>
      <c r="Q1117" s="170"/>
      <c r="R1117" s="192" t="str">
        <f>CONCATENATE(N1117,P1117)</f>
        <v>40grams</v>
      </c>
      <c r="S1117" s="198">
        <f>M1117*N1117</f>
        <v>280</v>
      </c>
      <c r="T1117" s="199" t="str">
        <f>CONCATENATE(S1117,Q1117,P1117)</f>
        <v>280grams</v>
      </c>
      <c r="U1117" s="200">
        <f>L1117*M1117</f>
        <v>178.85</v>
      </c>
      <c r="V1117" s="12"/>
      <c r="W1117" s="12"/>
    </row>
    <row r="1118" spans="1:23" x14ac:dyDescent="0.3">
      <c r="A1118" s="193">
        <v>423</v>
      </c>
      <c r="B1118" s="46" t="s">
        <v>1302</v>
      </c>
      <c r="C1118" s="253"/>
      <c r="D1118" s="194"/>
      <c r="E1118" s="253"/>
      <c r="F1118" s="253"/>
      <c r="G1118" s="253"/>
      <c r="H1118" s="194" t="s">
        <v>2025</v>
      </c>
      <c r="I1118" s="170"/>
      <c r="J1118" s="46" t="s">
        <v>1309</v>
      </c>
      <c r="K1118" s="170"/>
      <c r="L1118" s="197">
        <v>21.65</v>
      </c>
      <c r="M1118" s="197">
        <v>10</v>
      </c>
      <c r="N1118" s="290">
        <v>40</v>
      </c>
      <c r="O1118" s="46"/>
      <c r="P1118" s="46" t="s">
        <v>39</v>
      </c>
      <c r="Q1118" s="170"/>
      <c r="R1118" s="192" t="str">
        <f>CONCATENATE(N1118,P1118)</f>
        <v>40grams</v>
      </c>
      <c r="S1118" s="198">
        <f>M1118*N1118</f>
        <v>400</v>
      </c>
      <c r="T1118" s="199" t="str">
        <f>CONCATENATE(S1118,Q1118,P1118)</f>
        <v>400grams</v>
      </c>
      <c r="U1118" s="200">
        <f>L1118*M1118</f>
        <v>216.5</v>
      </c>
      <c r="V1118" s="12"/>
      <c r="W1118" s="12"/>
    </row>
    <row r="1119" spans="1:23" x14ac:dyDescent="0.3">
      <c r="A1119" s="193">
        <v>423</v>
      </c>
      <c r="B1119" s="46" t="s">
        <v>1302</v>
      </c>
      <c r="C1119" s="253"/>
      <c r="D1119" s="194"/>
      <c r="E1119" s="253"/>
      <c r="F1119" s="253"/>
      <c r="G1119" s="253"/>
      <c r="H1119" s="194" t="s">
        <v>2020</v>
      </c>
      <c r="I1119" s="239"/>
      <c r="J1119" s="46" t="s">
        <v>1310</v>
      </c>
      <c r="K1119" s="170"/>
      <c r="L1119" s="197">
        <v>21.22</v>
      </c>
      <c r="M1119" s="197">
        <v>63</v>
      </c>
      <c r="N1119" s="290">
        <v>48</v>
      </c>
      <c r="O1119" s="46"/>
      <c r="P1119" s="46" t="s">
        <v>39</v>
      </c>
      <c r="Q1119" s="170"/>
      <c r="R1119" s="192" t="str">
        <f>CONCATENATE(N1119,P1119)</f>
        <v>48grams</v>
      </c>
      <c r="S1119" s="198">
        <f>M1119*N1119</f>
        <v>3024</v>
      </c>
      <c r="T1119" s="199" t="str">
        <f>CONCATENATE(S1119,Q1119,P1119)</f>
        <v>3024grams</v>
      </c>
      <c r="U1119" s="200">
        <f>L1119*M1119</f>
        <v>1336.86</v>
      </c>
      <c r="V1119" s="12"/>
      <c r="W1119" s="12"/>
    </row>
    <row r="1120" spans="1:23" x14ac:dyDescent="0.3">
      <c r="A1120" s="193">
        <v>423</v>
      </c>
      <c r="B1120" s="46" t="s">
        <v>1302</v>
      </c>
      <c r="C1120" s="253"/>
      <c r="D1120" s="194"/>
      <c r="E1120" s="253"/>
      <c r="F1120" s="253"/>
      <c r="G1120" s="253"/>
      <c r="H1120" s="194" t="s">
        <v>2023</v>
      </c>
      <c r="I1120" s="239"/>
      <c r="J1120" s="46" t="s">
        <v>1311</v>
      </c>
      <c r="K1120" s="170"/>
      <c r="L1120" s="197">
        <v>32.6</v>
      </c>
      <c r="M1120" s="197">
        <v>10</v>
      </c>
      <c r="N1120" s="290">
        <v>60</v>
      </c>
      <c r="O1120" s="46"/>
      <c r="P1120" s="46" t="s">
        <v>39</v>
      </c>
      <c r="Q1120" s="170"/>
      <c r="R1120" s="192" t="str">
        <f>CONCATENATE(N1120,P1120)</f>
        <v>60grams</v>
      </c>
      <c r="S1120" s="198">
        <f>M1120*N1120</f>
        <v>600</v>
      </c>
      <c r="T1120" s="199" t="str">
        <f>CONCATENATE(S1120,Q1120,P1120)</f>
        <v>600grams</v>
      </c>
      <c r="U1120" s="200">
        <f>L1120*M1120</f>
        <v>326</v>
      </c>
      <c r="V1120" s="12"/>
      <c r="W1120" s="12"/>
    </row>
    <row r="1121" spans="1:23" x14ac:dyDescent="0.3">
      <c r="A1121" s="193">
        <v>423</v>
      </c>
      <c r="B1121" s="46" t="s">
        <v>1302</v>
      </c>
      <c r="C1121" s="253"/>
      <c r="D1121" s="194"/>
      <c r="E1121" s="253"/>
      <c r="F1121" s="253"/>
      <c r="G1121" s="253"/>
      <c r="H1121" s="194" t="s">
        <v>2023</v>
      </c>
      <c r="I1121" s="239"/>
      <c r="J1121" s="46" t="s">
        <v>1312</v>
      </c>
      <c r="K1121" s="170"/>
      <c r="L1121" s="197">
        <v>21.5</v>
      </c>
      <c r="M1121" s="197">
        <v>7</v>
      </c>
      <c r="N1121" s="290">
        <v>60</v>
      </c>
      <c r="O1121" s="46"/>
      <c r="P1121" s="46" t="s">
        <v>39</v>
      </c>
      <c r="Q1121" s="170"/>
      <c r="R1121" s="192" t="str">
        <f>CONCATENATE(N1121,P1121)</f>
        <v>60grams</v>
      </c>
      <c r="S1121" s="198">
        <f>M1121*N1121</f>
        <v>420</v>
      </c>
      <c r="T1121" s="199" t="str">
        <f>CONCATENATE(S1121,Q1121,P1121)</f>
        <v>420grams</v>
      </c>
      <c r="U1121" s="200">
        <f>L1121*M1121</f>
        <v>150.5</v>
      </c>
      <c r="V1121" s="12"/>
      <c r="W1121" s="12"/>
    </row>
    <row r="1122" spans="1:23" x14ac:dyDescent="0.3">
      <c r="A1122" s="193">
        <v>423</v>
      </c>
      <c r="B1122" s="46" t="s">
        <v>1302</v>
      </c>
      <c r="C1122" s="490"/>
      <c r="D1122" s="194"/>
      <c r="E1122" s="490"/>
      <c r="F1122" s="490"/>
      <c r="G1122" s="490"/>
      <c r="H1122" s="194" t="s">
        <v>2026</v>
      </c>
      <c r="I1122" s="239"/>
      <c r="J1122" s="46" t="s">
        <v>1313</v>
      </c>
      <c r="K1122" s="170"/>
      <c r="L1122" s="197">
        <v>21.03</v>
      </c>
      <c r="M1122" s="197">
        <v>32</v>
      </c>
      <c r="N1122" s="290">
        <v>40</v>
      </c>
      <c r="O1122" s="46"/>
      <c r="P1122" s="46" t="s">
        <v>39</v>
      </c>
      <c r="Q1122" s="170"/>
      <c r="R1122" s="192" t="str">
        <f>CONCATENATE(N1122,P1122)</f>
        <v>40grams</v>
      </c>
      <c r="S1122" s="198">
        <f>M1122*N1122</f>
        <v>1280</v>
      </c>
      <c r="T1122" s="199" t="str">
        <f>CONCATENATE(S1122,Q1122,P1122)</f>
        <v>1280grams</v>
      </c>
      <c r="U1122" s="200">
        <f>L1122*M1122</f>
        <v>672.96</v>
      </c>
      <c r="V1122" s="12"/>
      <c r="W1122" s="12"/>
    </row>
    <row r="1123" spans="1:23" x14ac:dyDescent="0.3">
      <c r="A1123" s="193">
        <v>423</v>
      </c>
      <c r="B1123" s="219" t="s">
        <v>1302</v>
      </c>
      <c r="C1123" s="215"/>
      <c r="D1123" s="194"/>
      <c r="E1123" s="215"/>
      <c r="F1123" s="215"/>
      <c r="G1123" s="215"/>
      <c r="H1123" s="194" t="s">
        <v>2020</v>
      </c>
      <c r="I1123" s="239"/>
      <c r="J1123" s="46" t="s">
        <v>1314</v>
      </c>
      <c r="K1123" s="170"/>
      <c r="L1123" s="197">
        <v>21.22</v>
      </c>
      <c r="M1123" s="197">
        <v>37</v>
      </c>
      <c r="N1123" s="290">
        <v>40</v>
      </c>
      <c r="O1123" s="46"/>
      <c r="P1123" s="46" t="s">
        <v>39</v>
      </c>
      <c r="Q1123" s="170"/>
      <c r="R1123" s="192" t="str">
        <f>CONCATENATE(N1123,P1123)</f>
        <v>40grams</v>
      </c>
      <c r="S1123" s="198">
        <f>M1123*N1123</f>
        <v>1480</v>
      </c>
      <c r="T1123" s="199" t="str">
        <f>CONCATENATE(S1123,Q1123,P1123)</f>
        <v>1480grams</v>
      </c>
      <c r="U1123" s="200">
        <f>L1123*M1123</f>
        <v>785.14</v>
      </c>
      <c r="V1123" s="12"/>
      <c r="W1123" s="12"/>
    </row>
    <row r="1124" spans="1:23" x14ac:dyDescent="0.3">
      <c r="A1124" s="193">
        <v>423</v>
      </c>
      <c r="B1124" s="46" t="s">
        <v>1302</v>
      </c>
      <c r="C1124" s="215"/>
      <c r="D1124" s="194"/>
      <c r="E1124" s="215"/>
      <c r="F1124" s="215"/>
      <c r="G1124" s="215"/>
      <c r="H1124" s="194" t="s">
        <v>2020</v>
      </c>
      <c r="I1124" s="239"/>
      <c r="J1124" s="46" t="s">
        <v>1315</v>
      </c>
      <c r="K1124" s="170"/>
      <c r="L1124" s="197">
        <v>25.3</v>
      </c>
      <c r="M1124" s="197">
        <v>36</v>
      </c>
      <c r="N1124" s="290">
        <v>40</v>
      </c>
      <c r="O1124" s="46"/>
      <c r="P1124" s="46" t="s">
        <v>39</v>
      </c>
      <c r="Q1124" s="170"/>
      <c r="R1124" s="192" t="str">
        <f>CONCATENATE(N1124,P1124)</f>
        <v>40grams</v>
      </c>
      <c r="S1124" s="198">
        <f>M1124*N1124</f>
        <v>1440</v>
      </c>
      <c r="T1124" s="199" t="str">
        <f>CONCATENATE(S1124,Q1124,P1124)</f>
        <v>1440grams</v>
      </c>
      <c r="U1124" s="200">
        <f>L1124*M1124</f>
        <v>910.80000000000007</v>
      </c>
      <c r="V1124" s="12"/>
      <c r="W1124" s="12"/>
    </row>
    <row r="1125" spans="1:23" x14ac:dyDescent="0.3">
      <c r="A1125" s="193">
        <v>424</v>
      </c>
      <c r="B1125" s="219" t="s">
        <v>1316</v>
      </c>
      <c r="C1125" s="215"/>
      <c r="D1125" s="194"/>
      <c r="E1125" s="215"/>
      <c r="F1125" s="215"/>
      <c r="G1125" s="215"/>
      <c r="H1125" s="194" t="s">
        <v>2021</v>
      </c>
      <c r="I1125" s="239"/>
      <c r="J1125" s="219" t="s">
        <v>1317</v>
      </c>
      <c r="K1125" s="170"/>
      <c r="L1125" s="216">
        <v>88.1</v>
      </c>
      <c r="M1125" s="216">
        <v>1</v>
      </c>
      <c r="N1125" s="293">
        <v>500</v>
      </c>
      <c r="O1125" s="219"/>
      <c r="P1125" s="219" t="s">
        <v>39</v>
      </c>
      <c r="Q1125" s="170"/>
      <c r="R1125" s="192" t="str">
        <f>CONCATENATE(N1125,P1125)</f>
        <v>500grams</v>
      </c>
      <c r="S1125" s="198">
        <f>M1125*N1125</f>
        <v>500</v>
      </c>
      <c r="T1125" s="199" t="str">
        <f>CONCATENATE(S1125,Q1125,P1125)</f>
        <v>500grams</v>
      </c>
      <c r="U1125" s="200">
        <f>L1125*M1125</f>
        <v>88.1</v>
      </c>
      <c r="V1125" s="12"/>
      <c r="W1125" s="12"/>
    </row>
    <row r="1126" spans="1:23" x14ac:dyDescent="0.3">
      <c r="A1126" s="193">
        <v>425</v>
      </c>
      <c r="B1126" s="46" t="s">
        <v>1318</v>
      </c>
      <c r="C1126" s="215"/>
      <c r="D1126" s="194"/>
      <c r="E1126" s="215"/>
      <c r="F1126" s="215"/>
      <c r="G1126" s="215"/>
      <c r="H1126" s="194" t="s">
        <v>2024</v>
      </c>
      <c r="I1126" s="239"/>
      <c r="J1126" s="46" t="s">
        <v>1319</v>
      </c>
      <c r="K1126" s="170"/>
      <c r="L1126" s="197">
        <v>10.83</v>
      </c>
      <c r="M1126" s="197">
        <v>10</v>
      </c>
      <c r="N1126" s="290">
        <v>33</v>
      </c>
      <c r="O1126" s="60"/>
      <c r="P1126" s="60" t="s">
        <v>39</v>
      </c>
      <c r="Q1126" s="170"/>
      <c r="R1126" s="192" t="str">
        <f>CONCATENATE(N1126,P1126)</f>
        <v>33grams</v>
      </c>
      <c r="S1126" s="198">
        <f>M1126*N1126</f>
        <v>330</v>
      </c>
      <c r="T1126" s="199" t="str">
        <f>CONCATENATE(S1126,Q1126,P1126)</f>
        <v>330grams</v>
      </c>
      <c r="U1126" s="200">
        <f>L1126*M1126</f>
        <v>108.3</v>
      </c>
      <c r="V1126" s="12"/>
      <c r="W1126" s="12"/>
    </row>
    <row r="1127" spans="1:23" x14ac:dyDescent="0.3">
      <c r="A1127" s="193">
        <v>425</v>
      </c>
      <c r="B1127" s="46" t="s">
        <v>1318</v>
      </c>
      <c r="C1127" s="215"/>
      <c r="D1127" s="194"/>
      <c r="E1127" s="215"/>
      <c r="F1127" s="215"/>
      <c r="G1127" s="215"/>
      <c r="H1127" s="194" t="s">
        <v>2026</v>
      </c>
      <c r="I1127" s="239"/>
      <c r="J1127" s="46" t="s">
        <v>1320</v>
      </c>
      <c r="K1127" s="170"/>
      <c r="L1127" s="197">
        <v>65</v>
      </c>
      <c r="M1127" s="197">
        <v>2</v>
      </c>
      <c r="N1127" s="290">
        <v>6</v>
      </c>
      <c r="O1127" s="46"/>
      <c r="P1127" s="46" t="s">
        <v>92</v>
      </c>
      <c r="Q1127" s="170"/>
      <c r="R1127" s="192" t="str">
        <f>CONCATENATE(N1127,P1127)</f>
        <v>6pieces</v>
      </c>
      <c r="S1127" s="198">
        <f>M1127*N1127</f>
        <v>12</v>
      </c>
      <c r="T1127" s="199" t="str">
        <f>CONCATENATE(S1127,Q1127,P1127)</f>
        <v>12pieces</v>
      </c>
      <c r="U1127" s="200">
        <f>L1127*M1127</f>
        <v>130</v>
      </c>
      <c r="V1127" s="12"/>
      <c r="W1127" s="12"/>
    </row>
    <row r="1128" spans="1:23" x14ac:dyDescent="0.3">
      <c r="A1128" s="193">
        <v>425</v>
      </c>
      <c r="B1128" s="46" t="s">
        <v>1318</v>
      </c>
      <c r="C1128" s="215"/>
      <c r="D1128" s="194"/>
      <c r="E1128" s="215"/>
      <c r="F1128" s="215"/>
      <c r="G1128" s="215"/>
      <c r="H1128" s="194" t="s">
        <v>2026</v>
      </c>
      <c r="I1128" s="239"/>
      <c r="J1128" s="46" t="s">
        <v>1320</v>
      </c>
      <c r="K1128" s="170"/>
      <c r="L1128" s="197">
        <v>65</v>
      </c>
      <c r="M1128" s="197">
        <v>1</v>
      </c>
      <c r="N1128" s="290">
        <v>6</v>
      </c>
      <c r="O1128" s="46"/>
      <c r="P1128" s="46" t="s">
        <v>92</v>
      </c>
      <c r="Q1128" s="170"/>
      <c r="R1128" s="192" t="str">
        <f>CONCATENATE(N1128,P1128)</f>
        <v>6pieces</v>
      </c>
      <c r="S1128" s="198">
        <f>M1128*N1128</f>
        <v>6</v>
      </c>
      <c r="T1128" s="199" t="str">
        <f>CONCATENATE(S1128,Q1128,P1128)</f>
        <v>6pieces</v>
      </c>
      <c r="U1128" s="200">
        <f>L1128*M1128</f>
        <v>65</v>
      </c>
      <c r="V1128" s="12"/>
      <c r="W1128" s="12"/>
    </row>
    <row r="1129" spans="1:23" x14ac:dyDescent="0.3">
      <c r="A1129" s="193">
        <v>425</v>
      </c>
      <c r="B1129" s="46" t="s">
        <v>1318</v>
      </c>
      <c r="C1129" s="215"/>
      <c r="D1129" s="194"/>
      <c r="E1129" s="215"/>
      <c r="F1129" s="215"/>
      <c r="G1129" s="215"/>
      <c r="H1129" s="194" t="s">
        <v>2023</v>
      </c>
      <c r="I1129" s="239"/>
      <c r="J1129" s="46" t="s">
        <v>1320</v>
      </c>
      <c r="K1129" s="170"/>
      <c r="L1129" s="197">
        <v>64.5</v>
      </c>
      <c r="M1129" s="197">
        <v>1</v>
      </c>
      <c r="N1129" s="290">
        <v>6</v>
      </c>
      <c r="O1129" s="46"/>
      <c r="P1129" s="46" t="s">
        <v>92</v>
      </c>
      <c r="Q1129" s="170"/>
      <c r="R1129" s="192" t="str">
        <f>CONCATENATE(N1129,P1129)</f>
        <v>6pieces</v>
      </c>
      <c r="S1129" s="198">
        <f>M1129*N1129</f>
        <v>6</v>
      </c>
      <c r="T1129" s="199" t="str">
        <f>CONCATENATE(S1129,Q1129,P1129)</f>
        <v>6pieces</v>
      </c>
      <c r="U1129" s="200">
        <f>L1129*M1129</f>
        <v>64.5</v>
      </c>
      <c r="V1129" s="12"/>
      <c r="W1129" s="12"/>
    </row>
    <row r="1130" spans="1:23" x14ac:dyDescent="0.3">
      <c r="A1130" s="193">
        <v>426</v>
      </c>
      <c r="B1130" s="46" t="s">
        <v>1321</v>
      </c>
      <c r="C1130" s="215"/>
      <c r="D1130" s="194"/>
      <c r="E1130" s="215"/>
      <c r="F1130" s="215"/>
      <c r="G1130" s="215"/>
      <c r="H1130" s="194" t="s">
        <v>2026</v>
      </c>
      <c r="I1130" s="170"/>
      <c r="J1130" s="46" t="s">
        <v>1319</v>
      </c>
      <c r="K1130" s="170"/>
      <c r="L1130" s="197">
        <v>10.83</v>
      </c>
      <c r="M1130" s="197">
        <v>11</v>
      </c>
      <c r="N1130" s="290">
        <v>33</v>
      </c>
      <c r="O1130" s="46"/>
      <c r="P1130" s="46" t="s">
        <v>39</v>
      </c>
      <c r="Q1130" s="170"/>
      <c r="R1130" s="192" t="str">
        <f>CONCATENATE(N1130,P1130)</f>
        <v>33grams</v>
      </c>
      <c r="S1130" s="198">
        <f>M1130*N1130</f>
        <v>363</v>
      </c>
      <c r="T1130" s="199" t="str">
        <f>CONCATENATE(S1130,Q1130,P1130)</f>
        <v>363grams</v>
      </c>
      <c r="U1130" s="200">
        <f>L1130*M1130</f>
        <v>119.13</v>
      </c>
      <c r="V1130" s="12"/>
      <c r="W1130" s="12"/>
    </row>
    <row r="1131" spans="1:23" x14ac:dyDescent="0.3">
      <c r="A1131" s="479">
        <v>427</v>
      </c>
      <c r="B1131" s="194" t="s">
        <v>638</v>
      </c>
      <c r="C1131" s="170"/>
      <c r="D1131" s="194" t="str">
        <f ca="1">IFERROR(__xludf.DUMMYFUNCTION("IF(J317="""",""n/a"",IFERROR(SPLIT(J317,""/"")))"),"Australia Harvest")</f>
        <v>Australia Harvest</v>
      </c>
      <c r="E1131" s="194" t="str">
        <f ca="1">IFERROR(__xludf.DUMMYFUNCTION("""COMPUTED_VALUE"""),"pack")</f>
        <v>pack</v>
      </c>
      <c r="F1131" s="194" t="str">
        <f ca="1">IFERROR(__xludf.DUMMYFUNCTION("""COMPUTED_VALUE"""),"1000grams")</f>
        <v>1000grams</v>
      </c>
      <c r="G1131" s="170"/>
      <c r="H1131" s="206" t="s">
        <v>1898</v>
      </c>
      <c r="I1131" s="170"/>
      <c r="J1131" s="46" t="s">
        <v>639</v>
      </c>
      <c r="K1131" s="170"/>
      <c r="L1131" s="197">
        <v>0.14000000000000001</v>
      </c>
      <c r="M1131" s="385">
        <v>600</v>
      </c>
      <c r="N1131" s="208">
        <v>1000</v>
      </c>
      <c r="O1131" s="61" t="str">
        <f ca="1">E1131</f>
        <v>pack</v>
      </c>
      <c r="P1131" s="61" t="s">
        <v>39</v>
      </c>
      <c r="Q1131" s="170"/>
      <c r="R1131" s="192" t="str">
        <f>CONCATENATE(N1131,P1131)</f>
        <v>1000grams</v>
      </c>
      <c r="S1131" s="198">
        <f>M1131*N1131</f>
        <v>600000</v>
      </c>
      <c r="T1131" s="199" t="str">
        <f>CONCATENATE(S1131,Q1131,P1131)</f>
        <v>600000grams</v>
      </c>
      <c r="U1131" s="200">
        <f>L1131*M1131</f>
        <v>84.000000000000014</v>
      </c>
      <c r="V1131" s="12"/>
      <c r="W1131" s="12"/>
    </row>
    <row r="1132" spans="1:23" x14ac:dyDescent="0.3">
      <c r="A1132" s="193">
        <v>428</v>
      </c>
      <c r="B1132" s="46" t="s">
        <v>1322</v>
      </c>
      <c r="C1132" s="215"/>
      <c r="D1132" s="194"/>
      <c r="E1132" s="215"/>
      <c r="F1132" s="215"/>
      <c r="G1132" s="215"/>
      <c r="H1132" s="194" t="s">
        <v>2025</v>
      </c>
      <c r="I1132" s="170"/>
      <c r="J1132" s="46" t="s">
        <v>1323</v>
      </c>
      <c r="K1132" s="170"/>
      <c r="L1132" s="197">
        <v>71</v>
      </c>
      <c r="M1132" s="197">
        <v>1</v>
      </c>
      <c r="N1132" s="290">
        <v>13</v>
      </c>
      <c r="O1132" s="46"/>
      <c r="P1132" s="46" t="s">
        <v>39</v>
      </c>
      <c r="Q1132" s="170"/>
      <c r="R1132" s="192" t="str">
        <f>CONCATENATE(N1132,P1132)</f>
        <v>13grams</v>
      </c>
      <c r="S1132" s="198">
        <f>M1132*N1132</f>
        <v>13</v>
      </c>
      <c r="T1132" s="199" t="str">
        <f>CONCATENATE(S1132,Q1132,P1132)</f>
        <v>13grams</v>
      </c>
      <c r="U1132" s="200">
        <f>L1132*M1132</f>
        <v>71</v>
      </c>
      <c r="V1132" s="12"/>
      <c r="W1132" s="12"/>
    </row>
    <row r="1133" spans="1:23" x14ac:dyDescent="0.3">
      <c r="A1133" s="193">
        <v>428</v>
      </c>
      <c r="B1133" s="219" t="s">
        <v>1322</v>
      </c>
      <c r="C1133" s="215"/>
      <c r="D1133" s="194"/>
      <c r="E1133" s="215"/>
      <c r="F1133" s="215"/>
      <c r="G1133" s="215"/>
      <c r="H1133" s="194" t="s">
        <v>29</v>
      </c>
      <c r="I1133" s="170"/>
      <c r="J1133" s="219" t="s">
        <v>854</v>
      </c>
      <c r="K1133" s="170"/>
      <c r="L1133" s="197">
        <v>59.25</v>
      </c>
      <c r="M1133" s="197">
        <v>1</v>
      </c>
      <c r="N1133" s="290">
        <v>13</v>
      </c>
      <c r="O1133" s="46"/>
      <c r="P1133" s="46" t="s">
        <v>39</v>
      </c>
      <c r="Q1133" s="170"/>
      <c r="R1133" s="192" t="str">
        <f>CONCATENATE(N1133,P1133)</f>
        <v>13grams</v>
      </c>
      <c r="S1133" s="198">
        <f>M1133*N1133</f>
        <v>13</v>
      </c>
      <c r="T1133" s="199" t="str">
        <f>CONCATENATE(S1133,Q1133,P1133)</f>
        <v>13grams</v>
      </c>
      <c r="U1133" s="200">
        <f>L1133*M1133</f>
        <v>59.25</v>
      </c>
      <c r="V1133" s="12"/>
      <c r="W1133" s="12"/>
    </row>
    <row r="1134" spans="1:23" x14ac:dyDescent="0.3">
      <c r="A1134" s="193">
        <v>428</v>
      </c>
      <c r="B1134" s="219" t="s">
        <v>1322</v>
      </c>
      <c r="C1134" s="215"/>
      <c r="D1134" s="194"/>
      <c r="E1134" s="215"/>
      <c r="F1134" s="215"/>
      <c r="G1134" s="215"/>
      <c r="H1134" s="194" t="s">
        <v>2026</v>
      </c>
      <c r="I1134" s="170"/>
      <c r="J1134" s="219" t="s">
        <v>854</v>
      </c>
      <c r="K1134" s="170"/>
      <c r="L1134" s="197">
        <v>59.25</v>
      </c>
      <c r="M1134" s="197">
        <v>1</v>
      </c>
      <c r="N1134" s="290">
        <v>13</v>
      </c>
      <c r="O1134" s="46"/>
      <c r="P1134" s="46" t="s">
        <v>39</v>
      </c>
      <c r="Q1134" s="170"/>
      <c r="R1134" s="192" t="str">
        <f>CONCATENATE(N1134,P1134)</f>
        <v>13grams</v>
      </c>
      <c r="S1134" s="198">
        <f>M1134*N1134</f>
        <v>13</v>
      </c>
      <c r="T1134" s="199" t="str">
        <f>CONCATENATE(S1134,Q1134,P1134)</f>
        <v>13grams</v>
      </c>
      <c r="U1134" s="200">
        <f>L1134*M1134</f>
        <v>59.25</v>
      </c>
      <c r="V1134" s="12"/>
      <c r="W1134" s="12"/>
    </row>
    <row r="1135" spans="1:23" x14ac:dyDescent="0.3">
      <c r="A1135" s="193">
        <v>428</v>
      </c>
      <c r="B1135" s="219" t="s">
        <v>1322</v>
      </c>
      <c r="C1135" s="215"/>
      <c r="D1135" s="194"/>
      <c r="E1135" s="215"/>
      <c r="F1135" s="215"/>
      <c r="G1135" s="215"/>
      <c r="H1135" s="194" t="s">
        <v>2022</v>
      </c>
      <c r="I1135" s="170"/>
      <c r="J1135" s="219" t="s">
        <v>854</v>
      </c>
      <c r="K1135" s="170"/>
      <c r="L1135" s="197">
        <v>59.25</v>
      </c>
      <c r="M1135" s="197">
        <v>2</v>
      </c>
      <c r="N1135" s="290">
        <v>13</v>
      </c>
      <c r="O1135" s="46"/>
      <c r="P1135" s="46" t="s">
        <v>39</v>
      </c>
      <c r="Q1135" s="170"/>
      <c r="R1135" s="192" t="str">
        <f>CONCATENATE(N1135,P1135)</f>
        <v>13grams</v>
      </c>
      <c r="S1135" s="198">
        <f>M1135*N1135</f>
        <v>26</v>
      </c>
      <c r="T1135" s="199" t="str">
        <f>CONCATENATE(S1135,Q1135,P1135)</f>
        <v>26grams</v>
      </c>
      <c r="U1135" s="200">
        <f>L1135*M1135</f>
        <v>118.5</v>
      </c>
      <c r="V1135" s="12"/>
      <c r="W1135" s="12"/>
    </row>
    <row r="1136" spans="1:23" x14ac:dyDescent="0.3">
      <c r="A1136" s="193">
        <v>428</v>
      </c>
      <c r="B1136" s="219" t="s">
        <v>1322</v>
      </c>
      <c r="C1136" s="215"/>
      <c r="D1136" s="194"/>
      <c r="E1136" s="215"/>
      <c r="F1136" s="215"/>
      <c r="G1136" s="215"/>
      <c r="H1136" s="194" t="s">
        <v>2021</v>
      </c>
      <c r="I1136" s="170"/>
      <c r="J1136" s="219" t="s">
        <v>854</v>
      </c>
      <c r="K1136" s="170"/>
      <c r="L1136" s="216">
        <v>59.25</v>
      </c>
      <c r="M1136" s="216">
        <v>2</v>
      </c>
      <c r="N1136" s="293">
        <v>13</v>
      </c>
      <c r="O1136" s="219"/>
      <c r="P1136" s="219" t="s">
        <v>39</v>
      </c>
      <c r="Q1136" s="170"/>
      <c r="R1136" s="192" t="str">
        <f>CONCATENATE(N1136,P1136)</f>
        <v>13grams</v>
      </c>
      <c r="S1136" s="198">
        <f>M1136*N1136</f>
        <v>26</v>
      </c>
      <c r="T1136" s="199" t="str">
        <f>CONCATENATE(S1136,Q1136,P1136)</f>
        <v>26grams</v>
      </c>
      <c r="U1136" s="200">
        <f>L1136*M1136</f>
        <v>118.5</v>
      </c>
      <c r="V1136" s="12"/>
      <c r="W1136" s="12"/>
    </row>
    <row r="1137" spans="1:23" x14ac:dyDescent="0.3">
      <c r="A1137" s="193">
        <v>428</v>
      </c>
      <c r="B1137" s="46" t="s">
        <v>1322</v>
      </c>
      <c r="C1137" s="215"/>
      <c r="D1137" s="194"/>
      <c r="E1137" s="215"/>
      <c r="F1137" s="215"/>
      <c r="G1137" s="215"/>
      <c r="H1137" s="400" t="s">
        <v>2027</v>
      </c>
      <c r="I1137" s="170"/>
      <c r="J1137" s="46" t="s">
        <v>1941</v>
      </c>
      <c r="K1137" s="170"/>
      <c r="L1137" s="195">
        <v>54</v>
      </c>
      <c r="M1137" s="197">
        <v>1</v>
      </c>
      <c r="N1137" s="360">
        <v>1</v>
      </c>
      <c r="O1137" s="61"/>
      <c r="P1137" s="61" t="s">
        <v>39</v>
      </c>
      <c r="Q1137" s="170"/>
      <c r="R1137" s="192" t="str">
        <f>CONCATENATE(N1137,P1137)</f>
        <v>1grams</v>
      </c>
      <c r="S1137" s="198">
        <f>M1137*N1137</f>
        <v>1</v>
      </c>
      <c r="T1137" s="199" t="str">
        <f>CONCATENATE(S1137,Q1137,P1137)</f>
        <v>1grams</v>
      </c>
      <c r="U1137" s="200">
        <f>L1137*M1137</f>
        <v>54</v>
      </c>
      <c r="V1137" s="12"/>
      <c r="W1137" s="12"/>
    </row>
    <row r="1138" spans="1:23" x14ac:dyDescent="0.3">
      <c r="A1138" s="479">
        <v>429</v>
      </c>
      <c r="B1138" s="194" t="s">
        <v>640</v>
      </c>
      <c r="C1138" s="191"/>
      <c r="D1138" s="194" t="str">
        <f ca="1">IFERROR(__xludf.DUMMYFUNCTION("IF(J318="""",""n/a"",IFERROR(SPLIT(J318,""/"")))"),"Del Monte")</f>
        <v>Del Monte</v>
      </c>
      <c r="E1138" s="232" t="str">
        <f ca="1">IFERROR(__xludf.DUMMYFUNCTION("""COMPUTED_VALUE"""),"pack")</f>
        <v>pack</v>
      </c>
      <c r="F1138" s="232" t="str">
        <f ca="1">IFERROR(__xludf.DUMMYFUNCTION("""COMPUTED_VALUE"""),"900grams")</f>
        <v>900grams</v>
      </c>
      <c r="G1138" s="191"/>
      <c r="H1138" s="183" t="s">
        <v>1897</v>
      </c>
      <c r="I1138" s="170"/>
      <c r="J1138" s="46" t="s">
        <v>641</v>
      </c>
      <c r="K1138" s="170"/>
      <c r="L1138" s="197">
        <v>0.1</v>
      </c>
      <c r="M1138" s="202">
        <v>1800</v>
      </c>
      <c r="N1138" s="203">
        <v>900</v>
      </c>
      <c r="O1138" s="61" t="str">
        <f ca="1">E1138</f>
        <v>pack</v>
      </c>
      <c r="P1138" s="61" t="s">
        <v>39</v>
      </c>
      <c r="Q1138" s="170"/>
      <c r="R1138" s="192" t="str">
        <f>CONCATENATE(N1138,P1138)</f>
        <v>900grams</v>
      </c>
      <c r="S1138" s="198">
        <f>M1138*N1138</f>
        <v>1620000</v>
      </c>
      <c r="T1138" s="199" t="str">
        <f>CONCATENATE(S1138,Q1138,P1138)</f>
        <v>1620000grams</v>
      </c>
      <c r="U1138" s="200">
        <f>L1138*M1138</f>
        <v>180</v>
      </c>
      <c r="V1138" s="205"/>
      <c r="W1138" s="62"/>
    </row>
    <row r="1139" spans="1:23" x14ac:dyDescent="0.3">
      <c r="A1139" s="193">
        <v>429</v>
      </c>
      <c r="B1139" s="46" t="s">
        <v>640</v>
      </c>
      <c r="C1139" s="215"/>
      <c r="D1139" s="194"/>
      <c r="E1139" s="215"/>
      <c r="F1139" s="215"/>
      <c r="G1139" s="215"/>
      <c r="H1139" s="194" t="s">
        <v>2022</v>
      </c>
      <c r="I1139" s="170"/>
      <c r="J1139" s="46" t="s">
        <v>1241</v>
      </c>
      <c r="K1139" s="170"/>
      <c r="L1139" s="197">
        <v>98</v>
      </c>
      <c r="M1139" s="197">
        <v>5</v>
      </c>
      <c r="N1139" s="290">
        <v>900</v>
      </c>
      <c r="O1139" s="46"/>
      <c r="P1139" s="46" t="s">
        <v>39</v>
      </c>
      <c r="Q1139" s="170"/>
      <c r="R1139" s="192" t="str">
        <f>CONCATENATE(N1139,P1139)</f>
        <v>900grams</v>
      </c>
      <c r="S1139" s="198">
        <f>M1139*N1139</f>
        <v>4500</v>
      </c>
      <c r="T1139" s="199" t="str">
        <f>CONCATENATE(S1139,Q1139,P1139)</f>
        <v>4500grams</v>
      </c>
      <c r="U1139" s="200">
        <f>L1139*M1139</f>
        <v>490</v>
      </c>
      <c r="V1139" s="12"/>
      <c r="W1139" s="12"/>
    </row>
    <row r="1140" spans="1:23" x14ac:dyDescent="0.3">
      <c r="A1140" s="479">
        <v>430</v>
      </c>
      <c r="B1140" s="194" t="s">
        <v>180</v>
      </c>
      <c r="C1140" s="170"/>
      <c r="D1140" s="194" t="str">
        <f ca="1">IFERROR(__xludf.DUMMYFUNCTION("IF(J319="""",""n/a"",IFERROR(SPLIT(J319,""/"")))"),"Tulip")</f>
        <v>Tulip</v>
      </c>
      <c r="E1140" s="194" t="str">
        <f ca="1">IFERROR(__xludf.DUMMYFUNCTION("""COMPUTED_VALUE"""),"can")</f>
        <v>can</v>
      </c>
      <c r="F1140" s="194" t="str">
        <f ca="1">IFERROR(__xludf.DUMMYFUNCTION("""COMPUTED_VALUE"""),"24pcsx340 grams")</f>
        <v>24pcsx340 grams</v>
      </c>
      <c r="G1140" s="170"/>
      <c r="H1140" s="183" t="s">
        <v>1897</v>
      </c>
      <c r="I1140" s="170"/>
      <c r="J1140" s="46" t="s">
        <v>642</v>
      </c>
      <c r="K1140" s="170"/>
      <c r="L1140" s="195">
        <v>0.48</v>
      </c>
      <c r="M1140" s="202">
        <v>11560</v>
      </c>
      <c r="N1140" s="203">
        <v>340</v>
      </c>
      <c r="O1140" s="61" t="str">
        <f ca="1">E1140</f>
        <v>can</v>
      </c>
      <c r="P1140" s="61" t="s">
        <v>39</v>
      </c>
      <c r="Q1140" s="170"/>
      <c r="R1140" s="192" t="str">
        <f>CONCATENATE(N1140,P1140)</f>
        <v>340grams</v>
      </c>
      <c r="S1140" s="198">
        <f>M1140*N1140</f>
        <v>3930400</v>
      </c>
      <c r="T1140" s="199" t="str">
        <f>CONCATENATE(S1140,Q1140,P1140)</f>
        <v>3930400grams</v>
      </c>
      <c r="U1140" s="200">
        <f>L1140*M1140</f>
        <v>5548.8</v>
      </c>
      <c r="V1140" s="205"/>
      <c r="W1140" s="62"/>
    </row>
    <row r="1141" spans="1:23" x14ac:dyDescent="0.3">
      <c r="A1141" s="479">
        <v>430</v>
      </c>
      <c r="B1141" s="214" t="s">
        <v>180</v>
      </c>
      <c r="C1141" s="215"/>
      <c r="D1141" s="194" t="str">
        <f ca="1">IFERROR(__xludf.DUMMYFUNCTION("IF(J320="""",""n/a"",IFERROR(SPLIT(J320,""/"")))"),"Tulip")</f>
        <v>Tulip</v>
      </c>
      <c r="E1141" s="214" t="str">
        <f ca="1">IFERROR(__xludf.DUMMYFUNCTION("""COMPUTED_VALUE"""),"can24pcs")</f>
        <v>can24pcs</v>
      </c>
      <c r="F1141" s="214" t="str">
        <f ca="1">IFERROR(__xludf.DUMMYFUNCTION("""COMPUTED_VALUE"""),"340 grams")</f>
        <v>340 grams</v>
      </c>
      <c r="G1141" s="215"/>
      <c r="H1141" s="183" t="s">
        <v>1895</v>
      </c>
      <c r="I1141" s="170"/>
      <c r="J1141" s="46" t="s">
        <v>181</v>
      </c>
      <c r="K1141" s="170"/>
      <c r="L1141" s="195">
        <v>166.43</v>
      </c>
      <c r="M1141" s="197">
        <v>29</v>
      </c>
      <c r="N1141" s="61">
        <v>1</v>
      </c>
      <c r="O1141" s="61" t="str">
        <f ca="1">E1141</f>
        <v>can24pcs</v>
      </c>
      <c r="P1141" s="61" t="s">
        <v>39</v>
      </c>
      <c r="Q1141" s="170"/>
      <c r="R1141" s="192" t="str">
        <f>CONCATENATE(N1141,P1141)</f>
        <v>1grams</v>
      </c>
      <c r="S1141" s="198">
        <f>M1141*N1141</f>
        <v>29</v>
      </c>
      <c r="T1141" s="199" t="str">
        <f>CONCATENATE(S1141,Q1141,P1141)</f>
        <v>29grams</v>
      </c>
      <c r="U1141" s="200">
        <f>L1141*M1141</f>
        <v>4826.47</v>
      </c>
      <c r="V1141" s="12"/>
      <c r="W1141" s="12"/>
    </row>
    <row r="1142" spans="1:23" x14ac:dyDescent="0.3">
      <c r="A1142" s="479">
        <v>430</v>
      </c>
      <c r="B1142" s="194" t="s">
        <v>180</v>
      </c>
      <c r="C1142" s="170"/>
      <c r="D1142" s="194" t="str">
        <f ca="1">IFERROR(__xludf.DUMMYFUNCTION("IF(J321="""",""n/a"",IFERROR(SPLIT(J321,""/"")))"),"n/a")</f>
        <v>n/a</v>
      </c>
      <c r="E1142" s="170"/>
      <c r="F1142" s="170"/>
      <c r="G1142" s="170"/>
      <c r="H1142" s="206" t="s">
        <v>1898</v>
      </c>
      <c r="I1142" s="267"/>
      <c r="J1142" s="170"/>
      <c r="K1142" s="170"/>
      <c r="L1142" s="197">
        <v>0.44</v>
      </c>
      <c r="M1142" s="386">
        <v>8160</v>
      </c>
      <c r="N1142" s="208">
        <v>340</v>
      </c>
      <c r="O1142" s="170">
        <f>E1142</f>
        <v>0</v>
      </c>
      <c r="P1142" s="61" t="s">
        <v>39</v>
      </c>
      <c r="Q1142" s="170"/>
      <c r="R1142" s="192" t="str">
        <f>CONCATENATE(N1142,P1142)</f>
        <v>340grams</v>
      </c>
      <c r="S1142" s="198">
        <f>M1142*N1142</f>
        <v>2774400</v>
      </c>
      <c r="T1142" s="199" t="str">
        <f>CONCATENATE(S1142,Q1142,P1142)</f>
        <v>2774400grams</v>
      </c>
      <c r="U1142" s="200">
        <f>L1142*M1142</f>
        <v>3590.4</v>
      </c>
      <c r="V1142" s="12"/>
      <c r="W1142" s="12"/>
    </row>
    <row r="1143" spans="1:23" x14ac:dyDescent="0.3">
      <c r="A1143" s="193">
        <v>430</v>
      </c>
      <c r="B1143" s="46" t="s">
        <v>180</v>
      </c>
      <c r="C1143" s="215"/>
      <c r="D1143" s="194"/>
      <c r="E1143" s="215"/>
      <c r="F1143" s="215"/>
      <c r="G1143" s="215"/>
      <c r="H1143" s="194" t="s">
        <v>2026</v>
      </c>
      <c r="I1143" s="267"/>
      <c r="J1143" s="46" t="s">
        <v>642</v>
      </c>
      <c r="K1143" s="170"/>
      <c r="L1143" s="197">
        <v>170.6</v>
      </c>
      <c r="M1143" s="197">
        <v>2</v>
      </c>
      <c r="N1143" s="290">
        <v>340</v>
      </c>
      <c r="O1143" s="46"/>
      <c r="P1143" s="46" t="s">
        <v>39</v>
      </c>
      <c r="Q1143" s="170"/>
      <c r="R1143" s="192" t="str">
        <f>CONCATENATE(N1143,P1143)</f>
        <v>340grams</v>
      </c>
      <c r="S1143" s="198">
        <f>M1143*N1143</f>
        <v>680</v>
      </c>
      <c r="T1143" s="199" t="str">
        <f>CONCATENATE(S1143,Q1143,P1143)</f>
        <v>680grams</v>
      </c>
      <c r="U1143" s="200">
        <f>L1143*M1143</f>
        <v>341.2</v>
      </c>
      <c r="V1143" s="12"/>
      <c r="W1143" s="12"/>
    </row>
    <row r="1144" spans="1:23" x14ac:dyDescent="0.3">
      <c r="A1144" s="193">
        <v>430</v>
      </c>
      <c r="B1144" s="46" t="s">
        <v>180</v>
      </c>
      <c r="C1144" s="215"/>
      <c r="D1144" s="194"/>
      <c r="E1144" s="215"/>
      <c r="F1144" s="215"/>
      <c r="G1144" s="215"/>
      <c r="H1144" s="194" t="s">
        <v>2023</v>
      </c>
      <c r="I1144" s="267"/>
      <c r="J1144" s="46" t="s">
        <v>642</v>
      </c>
      <c r="K1144" s="170"/>
      <c r="L1144" s="216">
        <v>170.6</v>
      </c>
      <c r="M1144" s="197">
        <v>2</v>
      </c>
      <c r="N1144" s="293">
        <v>340</v>
      </c>
      <c r="O1144" s="219"/>
      <c r="P1144" s="219" t="s">
        <v>39</v>
      </c>
      <c r="Q1144" s="170"/>
      <c r="R1144" s="192" t="str">
        <f>CONCATENATE(N1144,P1144)</f>
        <v>340grams</v>
      </c>
      <c r="S1144" s="198">
        <f>M1144*N1144</f>
        <v>680</v>
      </c>
      <c r="T1144" s="199" t="str">
        <f>CONCATENATE(S1144,Q1144,P1144)</f>
        <v>680grams</v>
      </c>
      <c r="U1144" s="200">
        <f>L1144*M1144</f>
        <v>341.2</v>
      </c>
      <c r="V1144" s="12"/>
      <c r="W1144" s="12"/>
    </row>
    <row r="1145" spans="1:23" x14ac:dyDescent="0.3">
      <c r="A1145" s="479">
        <v>431</v>
      </c>
      <c r="B1145" s="194" t="s">
        <v>414</v>
      </c>
      <c r="C1145" s="170"/>
      <c r="D1145" s="194" t="str">
        <f ca="1">IFERROR(__xludf.DUMMYFUNCTION("IF(J322="""",""n/a"",IFERROR(SPLIT(J322,""/"")))"),"Regent")</f>
        <v>Regent</v>
      </c>
      <c r="E1145" s="194" t="str">
        <f ca="1">IFERROR(__xludf.DUMMYFUNCTION("""COMPUTED_VALUE"""),"pack (10pcsx34grams)")</f>
        <v>pack (10pcsx34grams)</v>
      </c>
      <c r="F1145" s="170"/>
      <c r="G1145" s="170"/>
      <c r="H1145" s="183" t="s">
        <v>1895</v>
      </c>
      <c r="I1145" s="267"/>
      <c r="J1145" s="46" t="s">
        <v>415</v>
      </c>
      <c r="K1145" s="170"/>
      <c r="L1145" s="195">
        <v>8.6999999999999993</v>
      </c>
      <c r="M1145" s="197">
        <v>201</v>
      </c>
      <c r="N1145" s="61">
        <v>1</v>
      </c>
      <c r="O1145" s="61" t="str">
        <f ca="1">E1145</f>
        <v>pack (10pcsx34grams)</v>
      </c>
      <c r="P1145" s="61" t="s">
        <v>92</v>
      </c>
      <c r="Q1145" s="170"/>
      <c r="R1145" s="192" t="str">
        <f>CONCATENATE(N1145,P1145)</f>
        <v>1pieces</v>
      </c>
      <c r="S1145" s="198">
        <f>M1145*N1145</f>
        <v>201</v>
      </c>
      <c r="T1145" s="199" t="str">
        <f>CONCATENATE(S1145,Q1145,P1145)</f>
        <v>201pieces</v>
      </c>
      <c r="U1145" s="200">
        <f>L1145*M1145</f>
        <v>1748.6999999999998</v>
      </c>
      <c r="V1145" s="12"/>
      <c r="W1145" s="12"/>
    </row>
    <row r="1146" spans="1:23" x14ac:dyDescent="0.3">
      <c r="A1146" s="193">
        <v>431</v>
      </c>
      <c r="B1146" s="46" t="s">
        <v>414</v>
      </c>
      <c r="C1146" s="215"/>
      <c r="D1146" s="194"/>
      <c r="E1146" s="215"/>
      <c r="F1146" s="215"/>
      <c r="G1146" s="215"/>
      <c r="H1146" s="194" t="s">
        <v>2023</v>
      </c>
      <c r="I1146" s="267"/>
      <c r="J1146" s="46" t="s">
        <v>415</v>
      </c>
      <c r="K1146" s="170"/>
      <c r="L1146" s="197">
        <v>6.5</v>
      </c>
      <c r="M1146" s="197">
        <v>80</v>
      </c>
      <c r="N1146" s="290">
        <v>10</v>
      </c>
      <c r="O1146" s="46"/>
      <c r="P1146" s="46" t="s">
        <v>92</v>
      </c>
      <c r="Q1146" s="170"/>
      <c r="R1146" s="192" t="str">
        <f>CONCATENATE(N1146,P1146)</f>
        <v>10pieces</v>
      </c>
      <c r="S1146" s="198">
        <f>M1146*N1146</f>
        <v>800</v>
      </c>
      <c r="T1146" s="199" t="str">
        <f>CONCATENATE(S1146,Q1146,P1146)</f>
        <v>800pieces</v>
      </c>
      <c r="U1146" s="200">
        <f>L1146*M1146</f>
        <v>520</v>
      </c>
      <c r="V1146" s="12"/>
      <c r="W1146" s="12"/>
    </row>
    <row r="1147" spans="1:23" x14ac:dyDescent="0.3">
      <c r="A1147" s="479">
        <v>432</v>
      </c>
      <c r="B1147" s="194" t="s">
        <v>643</v>
      </c>
      <c r="C1147" s="170"/>
      <c r="D1147" s="194" t="str">
        <f ca="1">IFERROR(__xludf.DUMMYFUNCTION("IF(J323="""",""n/a"",IFERROR(SPLIT(J323,""/"")))"),"n/a")</f>
        <v>n/a</v>
      </c>
      <c r="E1147" s="170"/>
      <c r="F1147" s="170"/>
      <c r="G1147" s="170"/>
      <c r="H1147" s="206" t="s">
        <v>1898</v>
      </c>
      <c r="I1147" s="267"/>
      <c r="J1147" s="170"/>
      <c r="K1147" s="170"/>
      <c r="L1147" s="197">
        <v>8.6999999999999993</v>
      </c>
      <c r="M1147" s="386">
        <v>30</v>
      </c>
      <c r="N1147" s="208">
        <v>10</v>
      </c>
      <c r="O1147" s="170">
        <f>E1147</f>
        <v>0</v>
      </c>
      <c r="P1147" s="61" t="s">
        <v>92</v>
      </c>
      <c r="Q1147" s="170"/>
      <c r="R1147" s="192" t="str">
        <f>CONCATENATE(N1147,P1147)</f>
        <v>10pieces</v>
      </c>
      <c r="S1147" s="198">
        <f>M1147*N1147</f>
        <v>300</v>
      </c>
      <c r="T1147" s="199" t="str">
        <f>CONCATENATE(S1147,Q1147,P1147)</f>
        <v>300pieces</v>
      </c>
      <c r="U1147" s="200">
        <f>L1147*M1147</f>
        <v>261</v>
      </c>
      <c r="V1147" s="12"/>
      <c r="W1147" s="12"/>
    </row>
    <row r="1148" spans="1:23" x14ac:dyDescent="0.3">
      <c r="A1148" s="479">
        <v>433</v>
      </c>
      <c r="B1148" s="194" t="s">
        <v>644</v>
      </c>
      <c r="C1148" s="170"/>
      <c r="D1148" s="194" t="str">
        <f ca="1">IFERROR(__xludf.DUMMYFUNCTION("IF(J324="""",""n/a"",IFERROR(SPLIT(J324,""/"")))"),"n/a")</f>
        <v>n/a</v>
      </c>
      <c r="E1148" s="170"/>
      <c r="F1148" s="170"/>
      <c r="G1148" s="170"/>
      <c r="H1148" s="206" t="s">
        <v>1898</v>
      </c>
      <c r="I1148" s="267"/>
      <c r="J1148" s="170"/>
      <c r="K1148" s="170"/>
      <c r="L1148" s="197">
        <v>0.42</v>
      </c>
      <c r="M1148" s="386">
        <v>6500</v>
      </c>
      <c r="N1148" s="208">
        <v>500</v>
      </c>
      <c r="O1148" s="170">
        <f>E1148</f>
        <v>0</v>
      </c>
      <c r="P1148" s="61" t="s">
        <v>32</v>
      </c>
      <c r="Q1148" s="170"/>
      <c r="R1148" s="192" t="str">
        <f>CONCATENATE(N1148,P1148)</f>
        <v>500ml</v>
      </c>
      <c r="S1148" s="198">
        <f>M1148*N1148</f>
        <v>3250000</v>
      </c>
      <c r="T1148" s="199" t="str">
        <f>CONCATENATE(S1148,Q1148,P1148)</f>
        <v>3250000ml</v>
      </c>
      <c r="U1148" s="200">
        <f>L1148*M1148</f>
        <v>2730</v>
      </c>
      <c r="V1148" s="12"/>
      <c r="W1148" s="12"/>
    </row>
    <row r="1149" spans="1:23" x14ac:dyDescent="0.3">
      <c r="A1149" s="479">
        <v>434</v>
      </c>
      <c r="B1149" s="194" t="s">
        <v>311</v>
      </c>
      <c r="C1149" s="170"/>
      <c r="D1149" s="194" t="str">
        <f ca="1">IFERROR(__xludf.DUMMYFUNCTION("IF(J325="""",""n/a"",IFERROR(SPLIT(J325,""/"")))"),"Kewpie")</f>
        <v>Kewpie</v>
      </c>
      <c r="E1149" s="194" t="str">
        <f ca="1">IFERROR(__xludf.DUMMYFUNCTION("""COMPUTED_VALUE"""),"bottle")</f>
        <v>bottle</v>
      </c>
      <c r="F1149" s="194" t="str">
        <f ca="1">IFERROR(__xludf.DUMMYFUNCTION("""COMPUTED_VALUE"""),"1000ml")</f>
        <v>1000ml</v>
      </c>
      <c r="G1149" s="170"/>
      <c r="H1149" s="183" t="s">
        <v>1895</v>
      </c>
      <c r="I1149" s="267"/>
      <c r="J1149" s="46" t="s">
        <v>312</v>
      </c>
      <c r="K1149" s="170"/>
      <c r="L1149" s="195">
        <v>390</v>
      </c>
      <c r="M1149" s="197">
        <v>0.7</v>
      </c>
      <c r="N1149" s="61">
        <v>1</v>
      </c>
      <c r="O1149" s="61" t="str">
        <f ca="1">E1149</f>
        <v>bottle</v>
      </c>
      <c r="P1149" s="61" t="s">
        <v>32</v>
      </c>
      <c r="Q1149" s="170"/>
      <c r="R1149" s="192" t="str">
        <f>CONCATENATE(N1149,P1149)</f>
        <v>1ml</v>
      </c>
      <c r="S1149" s="198">
        <f>M1149*N1149</f>
        <v>0.7</v>
      </c>
      <c r="T1149" s="199" t="str">
        <f>CONCATENATE(S1149,Q1149,P1149)</f>
        <v>0.7ml</v>
      </c>
      <c r="U1149" s="200">
        <f>L1149*M1149</f>
        <v>273</v>
      </c>
      <c r="V1149" s="12"/>
      <c r="W1149" s="12"/>
    </row>
    <row r="1150" spans="1:23" x14ac:dyDescent="0.3">
      <c r="A1150" s="479">
        <v>435</v>
      </c>
      <c r="B1150" s="194" t="s">
        <v>416</v>
      </c>
      <c r="C1150" s="170"/>
      <c r="D1150" s="194" t="str">
        <f ca="1">IFERROR(__xludf.DUMMYFUNCTION("IF(J326="""",""n/a"",IFERROR(SPLIT(J326,""/"")))"),"Regent")</f>
        <v>Regent</v>
      </c>
      <c r="E1150" s="194" t="str">
        <f ca="1">IFERROR(__xludf.DUMMYFUNCTION("""COMPUTED_VALUE"""),"pack (10pcsx34grams)")</f>
        <v>pack (10pcsx34grams)</v>
      </c>
      <c r="F1150" s="170"/>
      <c r="G1150" s="170"/>
      <c r="H1150" s="183" t="s">
        <v>1895</v>
      </c>
      <c r="I1150" s="267"/>
      <c r="J1150" s="46" t="s">
        <v>415</v>
      </c>
      <c r="K1150" s="170"/>
      <c r="L1150" s="195">
        <v>64</v>
      </c>
      <c r="M1150" s="197">
        <v>8</v>
      </c>
      <c r="N1150" s="61">
        <v>1</v>
      </c>
      <c r="O1150" s="61" t="str">
        <f ca="1">E1150</f>
        <v>pack (10pcsx34grams)</v>
      </c>
      <c r="P1150" s="61" t="s">
        <v>92</v>
      </c>
      <c r="Q1150" s="170"/>
      <c r="R1150" s="192" t="str">
        <f>CONCATENATE(N1150,P1150)</f>
        <v>1pieces</v>
      </c>
      <c r="S1150" s="198">
        <f>M1150*N1150</f>
        <v>8</v>
      </c>
      <c r="T1150" s="199" t="str">
        <f>CONCATENATE(S1150,Q1150,P1150)</f>
        <v>8pieces</v>
      </c>
      <c r="U1150" s="200">
        <f>L1150*M1150</f>
        <v>512</v>
      </c>
      <c r="V1150" s="12"/>
      <c r="W1150" s="12"/>
    </row>
    <row r="1151" spans="1:23" x14ac:dyDescent="0.3">
      <c r="A1151" s="479">
        <v>436</v>
      </c>
      <c r="B1151" s="194" t="s">
        <v>645</v>
      </c>
      <c r="C1151" s="170"/>
      <c r="D1151" s="194" t="str">
        <f ca="1">IFERROR(__xludf.DUMMYFUNCTION("IF(J327="""",""n/a"",IFERROR(SPLIT(J327,""/"")))"),"n/a")</f>
        <v>n/a</v>
      </c>
      <c r="E1151" s="170"/>
      <c r="F1151" s="170"/>
      <c r="G1151" s="170"/>
      <c r="H1151" s="183" t="s">
        <v>1897</v>
      </c>
      <c r="I1151" s="267"/>
      <c r="J1151" s="170"/>
      <c r="K1151" s="170"/>
      <c r="L1151" s="195">
        <v>330</v>
      </c>
      <c r="M1151" s="202">
        <v>14</v>
      </c>
      <c r="N1151" s="203">
        <v>1</v>
      </c>
      <c r="O1151" s="170">
        <f>E1151</f>
        <v>0</v>
      </c>
      <c r="P1151" s="61" t="s">
        <v>213</v>
      </c>
      <c r="Q1151" s="170"/>
      <c r="R1151" s="192" t="str">
        <f>CONCATENATE(N1151,P1151)</f>
        <v>1kilos</v>
      </c>
      <c r="S1151" s="198">
        <f>M1151*N1151</f>
        <v>14</v>
      </c>
      <c r="T1151" s="199" t="str">
        <f>CONCATENATE(S1151,Q1151,P1151)</f>
        <v>14kilos</v>
      </c>
      <c r="U1151" s="200">
        <f>L1151*M1151</f>
        <v>4620</v>
      </c>
      <c r="V1151" s="205"/>
      <c r="W1151" s="62"/>
    </row>
    <row r="1152" spans="1:23" x14ac:dyDescent="0.3">
      <c r="A1152" s="479">
        <v>436</v>
      </c>
      <c r="B1152" s="194" t="s">
        <v>645</v>
      </c>
      <c r="C1152" s="170"/>
      <c r="D1152" s="194" t="str">
        <f ca="1">IFERROR(__xludf.DUMMYFUNCTION("IF(J328="""",""n/a"",IFERROR(SPLIT(J328,""/"")))"),"Mt. Fuji")</f>
        <v>Mt. Fuji</v>
      </c>
      <c r="E1152" s="194" t="str">
        <f ca="1">IFERROR(__xludf.DUMMYFUNCTION("""COMPUTED_VALUE"""),"sack")</f>
        <v>sack</v>
      </c>
      <c r="F1152" s="194" t="str">
        <f ca="1">IFERROR(__xludf.DUMMYFUNCTION("""COMPUTED_VALUE"""),"25kilos")</f>
        <v>25kilos</v>
      </c>
      <c r="G1152" s="170"/>
      <c r="H1152" s="183" t="s">
        <v>1897</v>
      </c>
      <c r="I1152" s="267"/>
      <c r="J1152" s="46" t="s">
        <v>646</v>
      </c>
      <c r="K1152" s="170"/>
      <c r="L1152" s="202">
        <v>189</v>
      </c>
      <c r="M1152" s="202">
        <v>1</v>
      </c>
      <c r="N1152" s="203">
        <v>1</v>
      </c>
      <c r="O1152" s="61" t="str">
        <f ca="1">E1152</f>
        <v>sack</v>
      </c>
      <c r="P1152" s="61" t="s">
        <v>213</v>
      </c>
      <c r="Q1152" s="170"/>
      <c r="R1152" s="192" t="str">
        <f>CONCATENATE(N1152,P1152)</f>
        <v>1kilos</v>
      </c>
      <c r="S1152" s="198">
        <f>M1152*N1152</f>
        <v>1</v>
      </c>
      <c r="T1152" s="199" t="str">
        <f>CONCATENATE(S1152,Q1152,P1152)</f>
        <v>1kilos</v>
      </c>
      <c r="U1152" s="200">
        <f>L1152*M1152</f>
        <v>189</v>
      </c>
      <c r="V1152" s="12"/>
      <c r="W1152" s="12"/>
    </row>
    <row r="1153" spans="1:23" x14ac:dyDescent="0.3">
      <c r="A1153" s="479">
        <v>436</v>
      </c>
      <c r="B1153" s="194" t="s">
        <v>645</v>
      </c>
      <c r="C1153" s="239"/>
      <c r="D1153" s="194" t="str">
        <f ca="1">IFERROR(__xludf.DUMMYFUNCTION("IF(J329="""",""n/a"",IFERROR(SPLIT(J329,""/"")))"),"n/a")</f>
        <v>n/a</v>
      </c>
      <c r="E1153" s="239"/>
      <c r="F1153" s="239"/>
      <c r="G1153" s="239"/>
      <c r="H1153" s="206" t="s">
        <v>1898</v>
      </c>
      <c r="I1153" s="267"/>
      <c r="J1153" s="170"/>
      <c r="K1153" s="170"/>
      <c r="L1153" s="197">
        <v>103</v>
      </c>
      <c r="M1153" s="386">
        <v>2</v>
      </c>
      <c r="N1153" s="208">
        <v>1</v>
      </c>
      <c r="O1153" s="170">
        <f>E1153</f>
        <v>0</v>
      </c>
      <c r="P1153" s="61" t="s">
        <v>213</v>
      </c>
      <c r="Q1153" s="170"/>
      <c r="R1153" s="192" t="str">
        <f>CONCATENATE(N1153,P1153)</f>
        <v>1kilos</v>
      </c>
      <c r="S1153" s="198">
        <f>M1153*N1153</f>
        <v>2</v>
      </c>
      <c r="T1153" s="199" t="str">
        <f>CONCATENATE(S1153,Q1153,P1153)</f>
        <v>2kilos</v>
      </c>
      <c r="U1153" s="200">
        <f>L1153*M1153</f>
        <v>206</v>
      </c>
      <c r="V1153" s="12"/>
      <c r="W1153" s="12"/>
    </row>
    <row r="1154" spans="1:23" x14ac:dyDescent="0.3">
      <c r="A1154" s="479">
        <v>437</v>
      </c>
      <c r="B1154" s="194" t="s">
        <v>647</v>
      </c>
      <c r="C1154" s="239"/>
      <c r="D1154" s="194" t="str">
        <f ca="1">IFERROR(__xludf.DUMMYFUNCTION("IF(J330="""",""n/a"",IFERROR(SPLIT(J330,""/"")))"),"kewpien")</f>
        <v>kewpien</v>
      </c>
      <c r="E1154" s="244" t="str">
        <f ca="1">IFERROR(__xludf.DUMMYFUNCTION("""COMPUTED_VALUE"""),"500ml")</f>
        <v>500ml</v>
      </c>
      <c r="F1154" s="239"/>
      <c r="G1154" s="239"/>
      <c r="H1154" s="183" t="s">
        <v>1897</v>
      </c>
      <c r="I1154" s="267"/>
      <c r="J1154" s="46" t="s">
        <v>648</v>
      </c>
      <c r="K1154" s="170"/>
      <c r="L1154" s="202">
        <v>0.56000000000000005</v>
      </c>
      <c r="M1154" s="202">
        <v>1500</v>
      </c>
      <c r="N1154" s="203">
        <v>500</v>
      </c>
      <c r="O1154" s="61" t="str">
        <f ca="1">E1154</f>
        <v>500ml</v>
      </c>
      <c r="P1154" s="61" t="s">
        <v>32</v>
      </c>
      <c r="Q1154" s="170"/>
      <c r="R1154" s="192" t="str">
        <f>CONCATENATE(N1154,P1154)</f>
        <v>500ml</v>
      </c>
      <c r="S1154" s="198">
        <f>M1154*N1154</f>
        <v>750000</v>
      </c>
      <c r="T1154" s="199" t="str">
        <f>CONCATENATE(S1154,Q1154,P1154)</f>
        <v>750000ml</v>
      </c>
      <c r="U1154" s="200">
        <f>L1154*M1154</f>
        <v>840.00000000000011</v>
      </c>
      <c r="V1154" s="12"/>
      <c r="W1154" s="12"/>
    </row>
    <row r="1155" spans="1:23" x14ac:dyDescent="0.3">
      <c r="A1155" s="193">
        <v>438</v>
      </c>
      <c r="B1155" s="219" t="s">
        <v>1324</v>
      </c>
      <c r="C1155" s="253"/>
      <c r="D1155" s="194"/>
      <c r="E1155" s="253"/>
      <c r="F1155" s="253"/>
      <c r="G1155" s="253"/>
      <c r="H1155" s="194" t="s">
        <v>2023</v>
      </c>
      <c r="I1155" s="267"/>
      <c r="J1155" s="219" t="s">
        <v>1325</v>
      </c>
      <c r="K1155" s="170"/>
      <c r="L1155" s="216">
        <v>285</v>
      </c>
      <c r="M1155" s="216">
        <v>2</v>
      </c>
      <c r="N1155" s="293">
        <v>1000</v>
      </c>
      <c r="O1155" s="219"/>
      <c r="P1155" s="219" t="s">
        <v>304</v>
      </c>
      <c r="Q1155" s="170"/>
      <c r="R1155" s="192" t="str">
        <f>CONCATENATE(N1155,P1155)</f>
        <v>1000packs</v>
      </c>
      <c r="S1155" s="198">
        <f>M1155*N1155</f>
        <v>2000</v>
      </c>
      <c r="T1155" s="199" t="str">
        <f>CONCATENATE(S1155,Q1155,P1155)</f>
        <v>2000packs</v>
      </c>
      <c r="U1155" s="200">
        <f>L1155*M1155</f>
        <v>570</v>
      </c>
      <c r="V1155" s="12"/>
      <c r="W1155" s="12"/>
    </row>
    <row r="1156" spans="1:23" x14ac:dyDescent="0.3">
      <c r="A1156" s="193">
        <v>439</v>
      </c>
      <c r="B1156" s="46" t="s">
        <v>1942</v>
      </c>
      <c r="C1156" s="253"/>
      <c r="D1156" s="194"/>
      <c r="E1156" s="253"/>
      <c r="F1156" s="253"/>
      <c r="G1156" s="253"/>
      <c r="H1156" s="400" t="s">
        <v>2027</v>
      </c>
      <c r="I1156" s="267"/>
      <c r="J1156" s="170"/>
      <c r="K1156" s="170"/>
      <c r="L1156" s="195">
        <v>8.6999999999999993</v>
      </c>
      <c r="M1156" s="197">
        <v>47</v>
      </c>
      <c r="N1156" s="360">
        <v>1</v>
      </c>
      <c r="O1156" s="61"/>
      <c r="P1156" s="61" t="s">
        <v>92</v>
      </c>
      <c r="Q1156" s="170"/>
      <c r="R1156" s="192" t="str">
        <f>CONCATENATE(N1156,P1156)</f>
        <v>1pieces</v>
      </c>
      <c r="S1156" s="198">
        <f>M1156*N1156</f>
        <v>47</v>
      </c>
      <c r="T1156" s="199" t="str">
        <f>CONCATENATE(S1156,Q1156,P1156)</f>
        <v>47pieces</v>
      </c>
      <c r="U1156" s="200">
        <f>L1156*M1156</f>
        <v>408.9</v>
      </c>
      <c r="V1156" s="12"/>
      <c r="W1156" s="12"/>
    </row>
    <row r="1157" spans="1:23" x14ac:dyDescent="0.3">
      <c r="A1157" s="479">
        <v>440</v>
      </c>
      <c r="B1157" s="194" t="s">
        <v>364</v>
      </c>
      <c r="C1157" s="239"/>
      <c r="D1157" s="194" t="str">
        <f ca="1">IFERROR(__xludf.DUMMYFUNCTION("IF(J331="""",""n/a"",IFERROR(SPLIT(J331,""/"")))"),"Thai Jasmine")</f>
        <v>Thai Jasmine</v>
      </c>
      <c r="E1157" s="244" t="str">
        <f ca="1">IFERROR(__xludf.DUMMYFUNCTION("""COMPUTED_VALUE"""),"sack")</f>
        <v>sack</v>
      </c>
      <c r="F1157" s="244" t="str">
        <f ca="1">IFERROR(__xludf.DUMMYFUNCTION("""COMPUTED_VALUE"""),"25kilos")</f>
        <v>25kilos</v>
      </c>
      <c r="G1157" s="239"/>
      <c r="H1157" s="183" t="s">
        <v>1895</v>
      </c>
      <c r="I1157" s="267"/>
      <c r="J1157" s="46" t="s">
        <v>365</v>
      </c>
      <c r="K1157" s="170"/>
      <c r="L1157" s="195">
        <v>48.8</v>
      </c>
      <c r="M1157" s="197">
        <v>405</v>
      </c>
      <c r="N1157" s="61">
        <v>1</v>
      </c>
      <c r="O1157" s="61" t="str">
        <f ca="1">E1157</f>
        <v>sack</v>
      </c>
      <c r="P1157" s="61" t="s">
        <v>213</v>
      </c>
      <c r="Q1157" s="170"/>
      <c r="R1157" s="192" t="str">
        <f>CONCATENATE(N1157,P1157)</f>
        <v>1kilos</v>
      </c>
      <c r="S1157" s="198">
        <f>M1157*N1157</f>
        <v>405</v>
      </c>
      <c r="T1157" s="199" t="str">
        <f>CONCATENATE(S1157,Q1157,P1157)</f>
        <v>405kilos</v>
      </c>
      <c r="U1157" s="200">
        <f>L1157*M1157</f>
        <v>19764</v>
      </c>
      <c r="V1157" s="12"/>
      <c r="W1157" s="12"/>
    </row>
    <row r="1158" spans="1:23" x14ac:dyDescent="0.3">
      <c r="A1158" s="193">
        <v>440</v>
      </c>
      <c r="B1158" s="46" t="s">
        <v>364</v>
      </c>
      <c r="C1158" s="253"/>
      <c r="D1158" s="194"/>
      <c r="E1158" s="253"/>
      <c r="F1158" s="253"/>
      <c r="G1158" s="253"/>
      <c r="H1158" s="194" t="s">
        <v>2026</v>
      </c>
      <c r="I1158" s="267"/>
      <c r="J1158" s="46" t="s">
        <v>1326</v>
      </c>
      <c r="K1158" s="170"/>
      <c r="L1158" s="197">
        <v>80</v>
      </c>
      <c r="M1158" s="197">
        <v>3</v>
      </c>
      <c r="N1158" s="290">
        <v>5</v>
      </c>
      <c r="O1158" s="46"/>
      <c r="P1158" s="46" t="s">
        <v>213</v>
      </c>
      <c r="Q1158" s="170"/>
      <c r="R1158" s="192" t="str">
        <f>CONCATENATE(N1158,P1158)</f>
        <v>5kilos</v>
      </c>
      <c r="S1158" s="198">
        <f>M1158*N1158</f>
        <v>15</v>
      </c>
      <c r="T1158" s="199" t="str">
        <f>CONCATENATE(S1158,Q1158,P1158)</f>
        <v>15kilos</v>
      </c>
      <c r="U1158" s="200">
        <f>L1158*M1158</f>
        <v>240</v>
      </c>
      <c r="V1158" s="12"/>
      <c r="W1158" s="12"/>
    </row>
    <row r="1159" spans="1:23" x14ac:dyDescent="0.3">
      <c r="A1159" s="479">
        <v>441</v>
      </c>
      <c r="B1159" s="194" t="s">
        <v>649</v>
      </c>
      <c r="C1159" s="239"/>
      <c r="D1159" s="194" t="str">
        <f ca="1">IFERROR(__xludf.DUMMYFUNCTION("IF(J332="""",""n/a"",IFERROR(SPLIT(J332,""/"")))"),"n/a")</f>
        <v>n/a</v>
      </c>
      <c r="E1159" s="239"/>
      <c r="F1159" s="239"/>
      <c r="G1159" s="239"/>
      <c r="H1159" s="206" t="s">
        <v>1898</v>
      </c>
      <c r="I1159" s="237"/>
      <c r="J1159" s="170"/>
      <c r="K1159" s="237"/>
      <c r="L1159" s="197">
        <v>1860</v>
      </c>
      <c r="M1159" s="386">
        <v>0.5</v>
      </c>
      <c r="N1159" s="208">
        <v>1</v>
      </c>
      <c r="O1159" s="170">
        <f>E1159</f>
        <v>0</v>
      </c>
      <c r="P1159" s="61" t="s">
        <v>200</v>
      </c>
      <c r="Q1159" s="170"/>
      <c r="R1159" s="192" t="str">
        <f>CONCATENATE(N1159,P1159)</f>
        <v>1gal</v>
      </c>
      <c r="S1159" s="198">
        <f>M1159*N1159</f>
        <v>0.5</v>
      </c>
      <c r="T1159" s="199" t="str">
        <f>CONCATENATE(S1159,Q1159,P1159)</f>
        <v>0.5gal</v>
      </c>
      <c r="U1159" s="200">
        <f>L1159*M1159</f>
        <v>930</v>
      </c>
      <c r="V1159" s="12"/>
      <c r="W1159" s="12"/>
    </row>
    <row r="1160" spans="1:23" x14ac:dyDescent="0.3">
      <c r="A1160" s="193">
        <v>442</v>
      </c>
      <c r="B1160" s="46" t="s">
        <v>1943</v>
      </c>
      <c r="C1160" s="253"/>
      <c r="D1160" s="194"/>
      <c r="E1160" s="253"/>
      <c r="F1160" s="253"/>
      <c r="G1160" s="253"/>
      <c r="H1160" s="400" t="s">
        <v>2027</v>
      </c>
      <c r="I1160" s="237"/>
      <c r="J1160" s="46" t="s">
        <v>1944</v>
      </c>
      <c r="K1160" s="237"/>
      <c r="L1160" s="195">
        <v>24.26</v>
      </c>
      <c r="M1160" s="197">
        <v>48</v>
      </c>
      <c r="N1160" s="360">
        <v>1</v>
      </c>
      <c r="O1160" s="61"/>
      <c r="P1160" s="61" t="s">
        <v>92</v>
      </c>
      <c r="Q1160" s="170"/>
      <c r="R1160" s="192" t="str">
        <f>CONCATENATE(N1160,P1160)</f>
        <v>1pieces</v>
      </c>
      <c r="S1160" s="198">
        <f>M1160*N1160</f>
        <v>48</v>
      </c>
      <c r="T1160" s="199" t="str">
        <f>CONCATENATE(S1160,Q1160,P1160)</f>
        <v>48pieces</v>
      </c>
      <c r="U1160" s="200">
        <f>L1160*M1160</f>
        <v>1164.48</v>
      </c>
      <c r="V1160" s="12"/>
      <c r="W1160" s="12"/>
    </row>
    <row r="1161" spans="1:23" x14ac:dyDescent="0.3">
      <c r="A1161" s="479">
        <v>443</v>
      </c>
      <c r="B1161" s="194" t="s">
        <v>650</v>
      </c>
      <c r="C1161" s="239"/>
      <c r="D1161" s="194" t="str">
        <f ca="1">IFERROR(__xludf.DUMMYFUNCTION("IF(J333="""",""n/a"",IFERROR(SPLIT(J333,""/"")))"),"n/a")</f>
        <v>n/a</v>
      </c>
      <c r="E1161" s="239"/>
      <c r="F1161" s="239"/>
      <c r="G1161" s="239"/>
      <c r="H1161" s="206" t="s">
        <v>1898</v>
      </c>
      <c r="I1161" s="237"/>
      <c r="J1161" s="170"/>
      <c r="K1161" s="237"/>
      <c r="L1161" s="197">
        <v>6.48</v>
      </c>
      <c r="M1161" s="386">
        <v>4</v>
      </c>
      <c r="N1161" s="208">
        <v>10</v>
      </c>
      <c r="O1161" s="170">
        <f>E1161</f>
        <v>0</v>
      </c>
      <c r="P1161" s="61" t="s">
        <v>92</v>
      </c>
      <c r="Q1161" s="170"/>
      <c r="R1161" s="192" t="str">
        <f>CONCATENATE(N1161,P1161)</f>
        <v>10pieces</v>
      </c>
      <c r="S1161" s="198">
        <f>M1161*N1161</f>
        <v>40</v>
      </c>
      <c r="T1161" s="199" t="str">
        <f>CONCATENATE(S1161,Q1161,P1161)</f>
        <v>40pieces</v>
      </c>
      <c r="U1161" s="200">
        <f>L1161*M1161</f>
        <v>25.92</v>
      </c>
      <c r="V1161" s="12"/>
      <c r="W1161" s="12"/>
    </row>
    <row r="1162" spans="1:23" x14ac:dyDescent="0.3">
      <c r="A1162" s="193">
        <v>444</v>
      </c>
      <c r="B1162" s="46" t="s">
        <v>1327</v>
      </c>
      <c r="C1162" s="253"/>
      <c r="D1162" s="194"/>
      <c r="E1162" s="253"/>
      <c r="F1162" s="253"/>
      <c r="G1162" s="253"/>
      <c r="H1162" s="194" t="s">
        <v>2025</v>
      </c>
      <c r="I1162" s="237"/>
      <c r="J1162" s="170"/>
      <c r="K1162" s="237"/>
      <c r="L1162" s="197">
        <v>55</v>
      </c>
      <c r="M1162" s="197">
        <v>7</v>
      </c>
      <c r="N1162" s="290">
        <v>1</v>
      </c>
      <c r="O1162" s="46"/>
      <c r="P1162" s="46" t="s">
        <v>213</v>
      </c>
      <c r="Q1162" s="170"/>
      <c r="R1162" s="192" t="str">
        <f>CONCATENATE(N1162,P1162)</f>
        <v>1kilos</v>
      </c>
      <c r="S1162" s="198">
        <f>M1162*N1162</f>
        <v>7</v>
      </c>
      <c r="T1162" s="199" t="str">
        <f>CONCATENATE(S1162,Q1162,P1162)</f>
        <v>7kilos</v>
      </c>
      <c r="U1162" s="200">
        <f>L1162*M1162</f>
        <v>385</v>
      </c>
      <c r="V1162" s="12"/>
      <c r="W1162" s="12"/>
    </row>
    <row r="1163" spans="1:23" x14ac:dyDescent="0.3">
      <c r="A1163" s="193">
        <v>444</v>
      </c>
      <c r="B1163" s="46" t="s">
        <v>1327</v>
      </c>
      <c r="C1163" s="253"/>
      <c r="D1163" s="194"/>
      <c r="E1163" s="253"/>
      <c r="F1163" s="253"/>
      <c r="G1163" s="253"/>
      <c r="H1163" s="194" t="s">
        <v>1368</v>
      </c>
      <c r="I1163" s="237"/>
      <c r="J1163" s="170"/>
      <c r="K1163" s="237"/>
      <c r="L1163" s="197">
        <v>20</v>
      </c>
      <c r="M1163" s="197">
        <v>29</v>
      </c>
      <c r="N1163" s="290">
        <v>1000</v>
      </c>
      <c r="O1163" s="46"/>
      <c r="P1163" s="46" t="s">
        <v>39</v>
      </c>
      <c r="Q1163" s="170"/>
      <c r="R1163" s="192" t="str">
        <f>CONCATENATE(N1163,P1163)</f>
        <v>1000grams</v>
      </c>
      <c r="S1163" s="198">
        <f>M1163*N1163</f>
        <v>29000</v>
      </c>
      <c r="T1163" s="199" t="str">
        <f>CONCATENATE(S1163,Q1163,P1163)</f>
        <v>29000grams</v>
      </c>
      <c r="U1163" s="200">
        <f>L1163*M1163</f>
        <v>580</v>
      </c>
      <c r="V1163" s="12"/>
      <c r="W1163" s="12"/>
    </row>
    <row r="1164" spans="1:23" x14ac:dyDescent="0.3">
      <c r="A1164" s="193">
        <v>444</v>
      </c>
      <c r="B1164" s="46" t="s">
        <v>1327</v>
      </c>
      <c r="C1164" s="253"/>
      <c r="D1164" s="194"/>
      <c r="E1164" s="253"/>
      <c r="F1164" s="253"/>
      <c r="G1164" s="253"/>
      <c r="H1164" s="400" t="s">
        <v>2027</v>
      </c>
      <c r="I1164" s="239"/>
      <c r="J1164" s="46" t="s">
        <v>1945</v>
      </c>
      <c r="K1164" s="237"/>
      <c r="L1164" s="195">
        <v>170</v>
      </c>
      <c r="M1164" s="197">
        <v>7</v>
      </c>
      <c r="N1164" s="360">
        <v>1</v>
      </c>
      <c r="O1164" s="61"/>
      <c r="P1164" s="61" t="s">
        <v>213</v>
      </c>
      <c r="Q1164" s="170"/>
      <c r="R1164" s="192" t="str">
        <f>CONCATENATE(N1164,P1164)</f>
        <v>1kilos</v>
      </c>
      <c r="S1164" s="198">
        <f>M1164*N1164</f>
        <v>7</v>
      </c>
      <c r="T1164" s="199" t="str">
        <f>CONCATENATE(S1164,Q1164,P1164)</f>
        <v>7kilos</v>
      </c>
      <c r="U1164" s="200">
        <f>L1164*M1164</f>
        <v>1190</v>
      </c>
      <c r="V1164" s="12"/>
      <c r="W1164" s="12"/>
    </row>
    <row r="1165" spans="1:23" x14ac:dyDescent="0.3">
      <c r="A1165" s="193">
        <v>445</v>
      </c>
      <c r="B1165" s="46" t="s">
        <v>1328</v>
      </c>
      <c r="C1165" s="215"/>
      <c r="D1165" s="194"/>
      <c r="E1165" s="215"/>
      <c r="F1165" s="215"/>
      <c r="G1165" s="215"/>
      <c r="H1165" s="194" t="s">
        <v>1368</v>
      </c>
      <c r="I1165" s="170"/>
      <c r="J1165" s="170"/>
      <c r="K1165" s="237"/>
      <c r="L1165" s="197">
        <v>55</v>
      </c>
      <c r="M1165" s="197">
        <v>1</v>
      </c>
      <c r="N1165" s="290">
        <v>1000</v>
      </c>
      <c r="O1165" s="46"/>
      <c r="P1165" s="46" t="s">
        <v>39</v>
      </c>
      <c r="Q1165" s="170"/>
      <c r="R1165" s="192" t="str">
        <f>CONCATENATE(N1165,P1165)</f>
        <v>1000grams</v>
      </c>
      <c r="S1165" s="198">
        <f>M1165*N1165</f>
        <v>1000</v>
      </c>
      <c r="T1165" s="199" t="str">
        <f>CONCATENATE(S1165,Q1165,P1165)</f>
        <v>1000grams</v>
      </c>
      <c r="U1165" s="200">
        <f>L1165*M1165</f>
        <v>55</v>
      </c>
      <c r="V1165" s="12"/>
      <c r="W1165" s="12"/>
    </row>
    <row r="1166" spans="1:23" x14ac:dyDescent="0.3">
      <c r="A1166" s="193">
        <v>445</v>
      </c>
      <c r="B1166" s="46" t="s">
        <v>1328</v>
      </c>
      <c r="C1166" s="215"/>
      <c r="D1166" s="194"/>
      <c r="E1166" s="215"/>
      <c r="F1166" s="215"/>
      <c r="G1166" s="215"/>
      <c r="H1166" s="194" t="s">
        <v>2022</v>
      </c>
      <c r="I1166" s="239"/>
      <c r="J1166" s="46" t="s">
        <v>912</v>
      </c>
      <c r="K1166" s="239"/>
      <c r="L1166" s="197">
        <v>175</v>
      </c>
      <c r="M1166" s="197">
        <v>1</v>
      </c>
      <c r="N1166" s="290">
        <v>1000</v>
      </c>
      <c r="O1166" s="46"/>
      <c r="P1166" s="46" t="s">
        <v>39</v>
      </c>
      <c r="Q1166" s="170"/>
      <c r="R1166" s="192" t="str">
        <f>CONCATENATE(N1166,P1166)</f>
        <v>1000grams</v>
      </c>
      <c r="S1166" s="198">
        <f>M1166*N1166</f>
        <v>1000</v>
      </c>
      <c r="T1166" s="199" t="str">
        <f>CONCATENATE(S1166,Q1166,P1166)</f>
        <v>1000grams</v>
      </c>
      <c r="U1166" s="200">
        <f>L1166*M1166</f>
        <v>175</v>
      </c>
      <c r="V1166" s="12"/>
      <c r="W1166" s="12"/>
    </row>
    <row r="1167" spans="1:23" x14ac:dyDescent="0.3">
      <c r="A1167" s="193">
        <v>446</v>
      </c>
      <c r="B1167" s="46" t="s">
        <v>1329</v>
      </c>
      <c r="C1167" s="215"/>
      <c r="D1167" s="194"/>
      <c r="E1167" s="215"/>
      <c r="F1167" s="215"/>
      <c r="G1167" s="215"/>
      <c r="H1167" s="194" t="s">
        <v>1368</v>
      </c>
      <c r="I1167" s="239"/>
      <c r="J1167" s="170"/>
      <c r="K1167" s="239"/>
      <c r="L1167" s="197">
        <v>35</v>
      </c>
      <c r="M1167" s="197">
        <v>1</v>
      </c>
      <c r="N1167" s="290">
        <v>1000</v>
      </c>
      <c r="O1167" s="46"/>
      <c r="P1167" s="46" t="s">
        <v>39</v>
      </c>
      <c r="Q1167" s="170"/>
      <c r="R1167" s="192" t="str">
        <f>CONCATENATE(N1167,P1167)</f>
        <v>1000grams</v>
      </c>
      <c r="S1167" s="198">
        <f>M1167*N1167</f>
        <v>1000</v>
      </c>
      <c r="T1167" s="199" t="str">
        <f>CONCATENATE(S1167,Q1167,P1167)</f>
        <v>1000grams</v>
      </c>
      <c r="U1167" s="200">
        <f>L1167*M1167</f>
        <v>35</v>
      </c>
      <c r="V1167" s="12"/>
      <c r="W1167" s="12"/>
    </row>
    <row r="1168" spans="1:23" x14ac:dyDescent="0.3">
      <c r="A1168" s="193">
        <v>447</v>
      </c>
      <c r="B1168" s="46" t="s">
        <v>1330</v>
      </c>
      <c r="C1168" s="215"/>
      <c r="D1168" s="194"/>
      <c r="E1168" s="215"/>
      <c r="F1168" s="215"/>
      <c r="G1168" s="215"/>
      <c r="H1168" s="194" t="s">
        <v>2025</v>
      </c>
      <c r="I1168" s="239"/>
      <c r="J1168" s="170"/>
      <c r="K1168" s="239"/>
      <c r="L1168" s="197">
        <v>10</v>
      </c>
      <c r="M1168" s="197">
        <v>1</v>
      </c>
      <c r="N1168" s="290">
        <v>1</v>
      </c>
      <c r="O1168" s="46"/>
      <c r="P1168" s="46" t="s">
        <v>1331</v>
      </c>
      <c r="Q1168" s="170"/>
      <c r="R1168" s="192" t="str">
        <f>CONCATENATE(N1168,P1168)</f>
        <v>1bundle</v>
      </c>
      <c r="S1168" s="198">
        <f>M1168*N1168</f>
        <v>1</v>
      </c>
      <c r="T1168" s="199" t="str">
        <f>CONCATENATE(S1168,Q1168,P1168)</f>
        <v>1bundle</v>
      </c>
      <c r="U1168" s="200">
        <f>L1168*M1168</f>
        <v>10</v>
      </c>
      <c r="V1168" s="12"/>
      <c r="W1168" s="12"/>
    </row>
    <row r="1169" spans="1:23" x14ac:dyDescent="0.3">
      <c r="A1169" s="193">
        <v>447</v>
      </c>
      <c r="B1169" s="46" t="s">
        <v>1330</v>
      </c>
      <c r="C1169" s="215"/>
      <c r="D1169" s="194"/>
      <c r="E1169" s="215"/>
      <c r="F1169" s="215"/>
      <c r="G1169" s="215"/>
      <c r="H1169" s="194" t="s">
        <v>2026</v>
      </c>
      <c r="I1169" s="239"/>
      <c r="J1169" s="46" t="s">
        <v>216</v>
      </c>
      <c r="K1169" s="239"/>
      <c r="L1169" s="197">
        <v>75</v>
      </c>
      <c r="M1169" s="197">
        <v>2</v>
      </c>
      <c r="N1169" s="290">
        <v>1000</v>
      </c>
      <c r="O1169" s="46"/>
      <c r="P1169" s="46" t="s">
        <v>39</v>
      </c>
      <c r="Q1169" s="170"/>
      <c r="R1169" s="192" t="str">
        <f>CONCATENATE(N1169,P1169)</f>
        <v>1000grams</v>
      </c>
      <c r="S1169" s="198">
        <f>M1169*N1169</f>
        <v>2000</v>
      </c>
      <c r="T1169" s="199" t="str">
        <f>CONCATENATE(S1169,Q1169,P1169)</f>
        <v>2000grams</v>
      </c>
      <c r="U1169" s="200">
        <f>L1169*M1169</f>
        <v>150</v>
      </c>
      <c r="V1169" s="12"/>
      <c r="W1169" s="12"/>
    </row>
    <row r="1170" spans="1:23" x14ac:dyDescent="0.3">
      <c r="A1170" s="193">
        <v>447</v>
      </c>
      <c r="B1170" s="46" t="s">
        <v>1330</v>
      </c>
      <c r="C1170" s="215"/>
      <c r="D1170" s="194"/>
      <c r="E1170" s="215"/>
      <c r="F1170" s="215"/>
      <c r="G1170" s="215"/>
      <c r="H1170" s="194" t="s">
        <v>2023</v>
      </c>
      <c r="I1170" s="239"/>
      <c r="J1170" s="46" t="s">
        <v>216</v>
      </c>
      <c r="K1170" s="239"/>
      <c r="L1170" s="197">
        <v>95</v>
      </c>
      <c r="M1170" s="197">
        <v>2</v>
      </c>
      <c r="N1170" s="290">
        <v>1</v>
      </c>
      <c r="O1170" s="46"/>
      <c r="P1170" s="46" t="s">
        <v>1331</v>
      </c>
      <c r="Q1170" s="170"/>
      <c r="R1170" s="192" t="str">
        <f>CONCATENATE(N1170,P1170)</f>
        <v>1bundle</v>
      </c>
      <c r="S1170" s="198">
        <f>M1170*N1170</f>
        <v>2</v>
      </c>
      <c r="T1170" s="199" t="str">
        <f>CONCATENATE(S1170,Q1170,P1170)</f>
        <v>2bundle</v>
      </c>
      <c r="U1170" s="200">
        <f>L1170*M1170</f>
        <v>190</v>
      </c>
      <c r="V1170" s="12"/>
      <c r="W1170" s="12"/>
    </row>
    <row r="1171" spans="1:23" x14ac:dyDescent="0.3">
      <c r="A1171" s="193">
        <v>447</v>
      </c>
      <c r="B1171" s="46" t="s">
        <v>1330</v>
      </c>
      <c r="C1171" s="215"/>
      <c r="D1171" s="194"/>
      <c r="E1171" s="215"/>
      <c r="F1171" s="215"/>
      <c r="G1171" s="215"/>
      <c r="H1171" s="400" t="s">
        <v>2027</v>
      </c>
      <c r="I1171" s="239"/>
      <c r="J1171" s="46" t="s">
        <v>1945</v>
      </c>
      <c r="K1171" s="239"/>
      <c r="L1171" s="195">
        <v>95</v>
      </c>
      <c r="M1171" s="197">
        <v>2</v>
      </c>
      <c r="N1171" s="360">
        <v>1</v>
      </c>
      <c r="O1171" s="61"/>
      <c r="P1171" s="61" t="s">
        <v>213</v>
      </c>
      <c r="Q1171" s="170"/>
      <c r="R1171" s="192" t="str">
        <f>CONCATENATE(N1171,P1171)</f>
        <v>1kilos</v>
      </c>
      <c r="S1171" s="198">
        <f>M1171*N1171</f>
        <v>2</v>
      </c>
      <c r="T1171" s="199" t="str">
        <f>CONCATENATE(S1171,Q1171,P1171)</f>
        <v>2kilos</v>
      </c>
      <c r="U1171" s="200">
        <f>L1171*M1171</f>
        <v>190</v>
      </c>
      <c r="V1171" s="12"/>
      <c r="W1171" s="12"/>
    </row>
    <row r="1172" spans="1:23" x14ac:dyDescent="0.3">
      <c r="A1172" s="193">
        <v>448</v>
      </c>
      <c r="B1172" s="46" t="s">
        <v>1332</v>
      </c>
      <c r="C1172" s="215"/>
      <c r="D1172" s="194"/>
      <c r="E1172" s="215"/>
      <c r="F1172" s="215"/>
      <c r="G1172" s="215"/>
      <c r="H1172" s="194" t="s">
        <v>2025</v>
      </c>
      <c r="I1172" s="239"/>
      <c r="J1172" s="46" t="s">
        <v>1333</v>
      </c>
      <c r="K1172" s="239"/>
      <c r="L1172" s="197">
        <v>84.1</v>
      </c>
      <c r="M1172" s="197">
        <v>2</v>
      </c>
      <c r="N1172" s="290">
        <v>340</v>
      </c>
      <c r="O1172" s="46"/>
      <c r="P1172" s="46" t="s">
        <v>39</v>
      </c>
      <c r="Q1172" s="170"/>
      <c r="R1172" s="192" t="str">
        <f>CONCATENATE(N1172,P1172)</f>
        <v>340grams</v>
      </c>
      <c r="S1172" s="198">
        <f>M1172*N1172</f>
        <v>680</v>
      </c>
      <c r="T1172" s="199" t="str">
        <f>CONCATENATE(S1172,Q1172,P1172)</f>
        <v>680grams</v>
      </c>
      <c r="U1172" s="200">
        <f>L1172*M1172</f>
        <v>168.2</v>
      </c>
      <c r="V1172" s="12"/>
      <c r="W1172" s="12"/>
    </row>
    <row r="1173" spans="1:23" x14ac:dyDescent="0.3">
      <c r="A1173" s="193">
        <v>449</v>
      </c>
      <c r="B1173" s="46" t="s">
        <v>1334</v>
      </c>
      <c r="C1173" s="215"/>
      <c r="D1173" s="194"/>
      <c r="E1173" s="215"/>
      <c r="F1173" s="215"/>
      <c r="G1173" s="215"/>
      <c r="H1173" s="194" t="s">
        <v>2026</v>
      </c>
      <c r="I1173" s="239"/>
      <c r="J1173" s="46" t="s">
        <v>1335</v>
      </c>
      <c r="K1173" s="239"/>
      <c r="L1173" s="197">
        <v>340</v>
      </c>
      <c r="M1173" s="197">
        <v>2</v>
      </c>
      <c r="N1173" s="290">
        <v>500</v>
      </c>
      <c r="O1173" s="297"/>
      <c r="P1173" s="297" t="s">
        <v>39</v>
      </c>
      <c r="Q1173" s="170"/>
      <c r="R1173" s="192" t="str">
        <f>CONCATENATE(N1173,P1173)</f>
        <v>500grams</v>
      </c>
      <c r="S1173" s="198">
        <f>M1173*N1173</f>
        <v>1000</v>
      </c>
      <c r="T1173" s="199" t="str">
        <f>CONCATENATE(S1173,Q1173,P1173)</f>
        <v>1000grams</v>
      </c>
      <c r="U1173" s="200">
        <f>L1173*M1173</f>
        <v>680</v>
      </c>
      <c r="V1173" s="12"/>
      <c r="W1173" s="12"/>
    </row>
    <row r="1174" spans="1:23" x14ac:dyDescent="0.3">
      <c r="A1174" s="479">
        <v>450</v>
      </c>
      <c r="B1174" s="194" t="s">
        <v>182</v>
      </c>
      <c r="C1174" s="170"/>
      <c r="D1174" s="194" t="str">
        <f ca="1">IFERROR(__xludf.DUMMYFUNCTION("IF(J334="""",""n/a"",IFERROR(SPLIT(J334,""/"")))"),"J em J")</f>
        <v>J em J</v>
      </c>
      <c r="E1174" s="194" t="str">
        <f ca="1">IFERROR(__xludf.DUMMYFUNCTION("""COMPUTED_VALUE"""),"can")</f>
        <v>can</v>
      </c>
      <c r="F1174" s="194" t="str">
        <f ca="1">IFERROR(__xludf.DUMMYFUNCTION("""COMPUTED_VALUE"""),"425grams")</f>
        <v>425grams</v>
      </c>
      <c r="G1174" s="170"/>
      <c r="H1174" s="183" t="s">
        <v>1895</v>
      </c>
      <c r="I1174" s="215"/>
      <c r="J1174" s="46" t="s">
        <v>183</v>
      </c>
      <c r="K1174" s="239"/>
      <c r="L1174" s="195">
        <v>42</v>
      </c>
      <c r="M1174" s="197">
        <v>22.47</v>
      </c>
      <c r="N1174" s="61">
        <v>1</v>
      </c>
      <c r="O1174" s="61" t="str">
        <f ca="1">E1174</f>
        <v>can</v>
      </c>
      <c r="P1174" s="61" t="s">
        <v>39</v>
      </c>
      <c r="Q1174" s="170"/>
      <c r="R1174" s="192" t="str">
        <f>CONCATENATE(N1174,P1174)</f>
        <v>1grams</v>
      </c>
      <c r="S1174" s="198">
        <f>M1174*N1174</f>
        <v>22.47</v>
      </c>
      <c r="T1174" s="199" t="str">
        <f>CONCATENATE(S1174,Q1174,P1174)</f>
        <v>22.47grams</v>
      </c>
      <c r="U1174" s="200">
        <f>L1174*M1174</f>
        <v>943.74</v>
      </c>
      <c r="V1174" s="12"/>
      <c r="W1174" s="12"/>
    </row>
    <row r="1175" spans="1:23" x14ac:dyDescent="0.3">
      <c r="A1175" s="479">
        <v>450</v>
      </c>
      <c r="B1175" s="194" t="s">
        <v>182</v>
      </c>
      <c r="C1175" s="170"/>
      <c r="D1175" s="194" t="str">
        <f ca="1">IFERROR(__xludf.DUMMYFUNCTION("IF(J335="""",""n/a"",IFERROR(SPLIT(J335,""/"")))"),"n/a")</f>
        <v>n/a</v>
      </c>
      <c r="E1175" s="170"/>
      <c r="F1175" s="170"/>
      <c r="G1175" s="170"/>
      <c r="H1175" s="206" t="s">
        <v>1898</v>
      </c>
      <c r="I1175" s="170"/>
      <c r="J1175" s="170"/>
      <c r="K1175" s="239"/>
      <c r="L1175" s="197">
        <v>0.17</v>
      </c>
      <c r="M1175" s="386">
        <v>250</v>
      </c>
      <c r="N1175" s="208">
        <v>250</v>
      </c>
      <c r="O1175" s="170">
        <f>E1175</f>
        <v>0</v>
      </c>
      <c r="P1175" s="222" t="s">
        <v>39</v>
      </c>
      <c r="Q1175" s="170"/>
      <c r="R1175" s="192" t="str">
        <f>CONCATENATE(N1175,P1175)</f>
        <v>250grams</v>
      </c>
      <c r="S1175" s="198">
        <f>M1175*N1175</f>
        <v>62500</v>
      </c>
      <c r="T1175" s="199" t="str">
        <f>CONCATENATE(S1175,Q1175,P1175)</f>
        <v>62500grams</v>
      </c>
      <c r="U1175" s="200">
        <f>L1175*M1175</f>
        <v>42.5</v>
      </c>
      <c r="V1175" s="12"/>
      <c r="W1175" s="12"/>
    </row>
    <row r="1176" spans="1:23" x14ac:dyDescent="0.3">
      <c r="A1176" s="193">
        <v>450</v>
      </c>
      <c r="B1176" s="46" t="s">
        <v>182</v>
      </c>
      <c r="C1176" s="253"/>
      <c r="D1176" s="194"/>
      <c r="E1176" s="253"/>
      <c r="F1176" s="253"/>
      <c r="G1176" s="253"/>
      <c r="H1176" s="194" t="s">
        <v>2024</v>
      </c>
      <c r="I1176" s="170"/>
      <c r="J1176" s="46" t="s">
        <v>865</v>
      </c>
      <c r="K1176" s="239"/>
      <c r="L1176" s="197">
        <v>42.3</v>
      </c>
      <c r="M1176" s="197">
        <v>12</v>
      </c>
      <c r="N1176" s="290">
        <v>250</v>
      </c>
      <c r="O1176" s="46"/>
      <c r="P1176" s="46" t="s">
        <v>39</v>
      </c>
      <c r="Q1176" s="170"/>
      <c r="R1176" s="192" t="str">
        <f>CONCATENATE(N1176,P1176)</f>
        <v>250grams</v>
      </c>
      <c r="S1176" s="198">
        <f>M1176*N1176</f>
        <v>3000</v>
      </c>
      <c r="T1176" s="199" t="str">
        <f>CONCATENATE(S1176,Q1176,P1176)</f>
        <v>3000grams</v>
      </c>
      <c r="U1176" s="200">
        <f>L1176*M1176</f>
        <v>507.59999999999997</v>
      </c>
      <c r="V1176" s="12"/>
      <c r="W1176" s="12"/>
    </row>
    <row r="1177" spans="1:23" x14ac:dyDescent="0.3">
      <c r="A1177" s="193">
        <v>450</v>
      </c>
      <c r="B1177" s="46" t="s">
        <v>182</v>
      </c>
      <c r="C1177" s="253"/>
      <c r="D1177" s="194"/>
      <c r="E1177" s="253"/>
      <c r="F1177" s="253"/>
      <c r="G1177" s="253"/>
      <c r="H1177" s="194" t="s">
        <v>2026</v>
      </c>
      <c r="I1177" s="170"/>
      <c r="J1177" s="46" t="s">
        <v>1336</v>
      </c>
      <c r="K1177" s="239"/>
      <c r="L1177" s="197">
        <v>40.200000000000003</v>
      </c>
      <c r="M1177" s="197">
        <v>5</v>
      </c>
      <c r="N1177" s="290">
        <v>250</v>
      </c>
      <c r="O1177" s="46"/>
      <c r="P1177" s="46" t="s">
        <v>519</v>
      </c>
      <c r="Q1177" s="170"/>
      <c r="R1177" s="192" t="str">
        <f>CONCATENATE(N1177,P1177)</f>
        <v>250drained weight grams</v>
      </c>
      <c r="S1177" s="198">
        <f>M1177*N1177</f>
        <v>1250</v>
      </c>
      <c r="T1177" s="199" t="str">
        <f>CONCATENATE(S1177,Q1177,P1177)</f>
        <v>1250drained weight grams</v>
      </c>
      <c r="U1177" s="200">
        <f>L1177*M1177</f>
        <v>201</v>
      </c>
      <c r="V1177" s="12"/>
      <c r="W1177" s="12"/>
    </row>
    <row r="1178" spans="1:23" x14ac:dyDescent="0.3">
      <c r="A1178" s="193">
        <v>450</v>
      </c>
      <c r="B1178" s="46" t="s">
        <v>182</v>
      </c>
      <c r="C1178" s="253"/>
      <c r="D1178" s="194"/>
      <c r="E1178" s="253"/>
      <c r="F1178" s="253"/>
      <c r="G1178" s="253"/>
      <c r="H1178" s="194" t="s">
        <v>2023</v>
      </c>
      <c r="I1178" s="170"/>
      <c r="J1178" s="46" t="s">
        <v>1336</v>
      </c>
      <c r="K1178" s="239"/>
      <c r="L1178" s="216">
        <v>40.200000000000003</v>
      </c>
      <c r="M1178" s="197">
        <v>5</v>
      </c>
      <c r="N1178" s="293">
        <v>250</v>
      </c>
      <c r="O1178" s="318"/>
      <c r="P1178" s="318" t="s">
        <v>519</v>
      </c>
      <c r="Q1178" s="170"/>
      <c r="R1178" s="192" t="str">
        <f>CONCATENATE(N1178,P1178)</f>
        <v>250drained weight grams</v>
      </c>
      <c r="S1178" s="198">
        <f>M1178*N1178</f>
        <v>1250</v>
      </c>
      <c r="T1178" s="199" t="str">
        <f>CONCATENATE(S1178,Q1178,P1178)</f>
        <v>1250drained weight grams</v>
      </c>
      <c r="U1178" s="200">
        <f>L1178*M1178</f>
        <v>201</v>
      </c>
      <c r="V1178" s="12"/>
      <c r="W1178" s="12"/>
    </row>
    <row r="1179" spans="1:23" x14ac:dyDescent="0.3">
      <c r="A1179" s="193">
        <v>450</v>
      </c>
      <c r="B1179" s="46" t="s">
        <v>182</v>
      </c>
      <c r="C1179" s="253"/>
      <c r="D1179" s="194"/>
      <c r="E1179" s="253"/>
      <c r="F1179" s="253"/>
      <c r="G1179" s="253"/>
      <c r="H1179" s="194" t="s">
        <v>2022</v>
      </c>
      <c r="I1179" s="170"/>
      <c r="J1179" s="46" t="s">
        <v>1337</v>
      </c>
      <c r="K1179" s="239"/>
      <c r="L1179" s="197">
        <v>56.2</v>
      </c>
      <c r="M1179" s="197">
        <v>26</v>
      </c>
      <c r="N1179" s="290">
        <v>260</v>
      </c>
      <c r="O1179" s="46"/>
      <c r="P1179" s="46" t="s">
        <v>39</v>
      </c>
      <c r="Q1179" s="170"/>
      <c r="R1179" s="192" t="str">
        <f>CONCATENATE(N1179,P1179)</f>
        <v>260grams</v>
      </c>
      <c r="S1179" s="198">
        <f>M1179*N1179</f>
        <v>6760</v>
      </c>
      <c r="T1179" s="199" t="str">
        <f>CONCATENATE(S1179,Q1179,P1179)</f>
        <v>6760grams</v>
      </c>
      <c r="U1179" s="200">
        <f>L1179*M1179</f>
        <v>1461.2</v>
      </c>
      <c r="V1179" s="12"/>
      <c r="W1179" s="12"/>
    </row>
    <row r="1180" spans="1:23" x14ac:dyDescent="0.3">
      <c r="A1180" s="193">
        <v>450</v>
      </c>
      <c r="B1180" s="46" t="s">
        <v>182</v>
      </c>
      <c r="C1180" s="253"/>
      <c r="D1180" s="194"/>
      <c r="E1180" s="253"/>
      <c r="F1180" s="253"/>
      <c r="G1180" s="253"/>
      <c r="H1180" s="194" t="s">
        <v>2022</v>
      </c>
      <c r="I1180" s="170"/>
      <c r="J1180" s="46" t="s">
        <v>1338</v>
      </c>
      <c r="K1180" s="239"/>
      <c r="L1180" s="197">
        <v>50</v>
      </c>
      <c r="M1180" s="197">
        <v>3</v>
      </c>
      <c r="N1180" s="290">
        <v>223</v>
      </c>
      <c r="O1180" s="60"/>
      <c r="P1180" s="60" t="s">
        <v>39</v>
      </c>
      <c r="Q1180" s="170"/>
      <c r="R1180" s="192" t="str">
        <f>CONCATENATE(N1180,P1180)</f>
        <v>223grams</v>
      </c>
      <c r="S1180" s="198">
        <f>M1180*N1180</f>
        <v>669</v>
      </c>
      <c r="T1180" s="199" t="str">
        <f>CONCATENATE(S1180,Q1180,P1180)</f>
        <v>669grams</v>
      </c>
      <c r="U1180" s="200">
        <f>L1180*M1180</f>
        <v>150</v>
      </c>
      <c r="V1180" s="12"/>
      <c r="W1180" s="12"/>
    </row>
    <row r="1181" spans="1:23" x14ac:dyDescent="0.3">
      <c r="A1181" s="193">
        <v>450</v>
      </c>
      <c r="B1181" s="219" t="s">
        <v>182</v>
      </c>
      <c r="C1181" s="253"/>
      <c r="D1181" s="194"/>
      <c r="E1181" s="253"/>
      <c r="F1181" s="253"/>
      <c r="G1181" s="253"/>
      <c r="H1181" s="194" t="s">
        <v>2021</v>
      </c>
      <c r="I1181" s="237"/>
      <c r="J1181" s="219" t="s">
        <v>1336</v>
      </c>
      <c r="K1181" s="239"/>
      <c r="L1181" s="216">
        <v>42.5</v>
      </c>
      <c r="M1181" s="394">
        <v>1</v>
      </c>
      <c r="N1181" s="293">
        <v>425</v>
      </c>
      <c r="O1181" s="219"/>
      <c r="P1181" s="219" t="s">
        <v>39</v>
      </c>
      <c r="Q1181" s="170"/>
      <c r="R1181" s="192" t="str">
        <f>CONCATENATE(N1181,P1181)</f>
        <v>425grams</v>
      </c>
      <c r="S1181" s="198">
        <f>M1181*N1181</f>
        <v>425</v>
      </c>
      <c r="T1181" s="199" t="str">
        <f>CONCATENATE(S1181,Q1181,P1181)</f>
        <v>425grams</v>
      </c>
      <c r="U1181" s="200">
        <f>L1181*M1181</f>
        <v>42.5</v>
      </c>
      <c r="V1181" s="12"/>
      <c r="W1181" s="12"/>
    </row>
    <row r="1182" spans="1:23" x14ac:dyDescent="0.3">
      <c r="A1182" s="193">
        <v>451</v>
      </c>
      <c r="B1182" s="46" t="s">
        <v>1339</v>
      </c>
      <c r="C1182" s="253"/>
      <c r="D1182" s="194"/>
      <c r="E1182" s="253"/>
      <c r="F1182" s="253"/>
      <c r="G1182" s="253"/>
      <c r="H1182" s="194" t="s">
        <v>1368</v>
      </c>
      <c r="I1182" s="170"/>
      <c r="J1182" s="46" t="s">
        <v>1340</v>
      </c>
      <c r="K1182" s="239"/>
      <c r="L1182" s="197">
        <v>106.75</v>
      </c>
      <c r="M1182" s="197">
        <v>10</v>
      </c>
      <c r="N1182" s="290">
        <v>1</v>
      </c>
      <c r="O1182" s="46"/>
      <c r="P1182" s="46" t="s">
        <v>200</v>
      </c>
      <c r="Q1182" s="170"/>
      <c r="R1182" s="192" t="str">
        <f>CONCATENATE(N1182,P1182)</f>
        <v>1gal</v>
      </c>
      <c r="S1182" s="198">
        <f>M1182*N1182</f>
        <v>10</v>
      </c>
      <c r="T1182" s="199" t="str">
        <f>CONCATENATE(S1182,Q1182,P1182)</f>
        <v>10gal</v>
      </c>
      <c r="U1182" s="200">
        <f>L1182*M1182</f>
        <v>1067.5</v>
      </c>
      <c r="V1182" s="12"/>
      <c r="W1182" s="12"/>
    </row>
    <row r="1183" spans="1:23" x14ac:dyDescent="0.3">
      <c r="A1183" s="193">
        <v>451</v>
      </c>
      <c r="B1183" s="46" t="s">
        <v>1339</v>
      </c>
      <c r="C1183" s="253"/>
      <c r="D1183" s="194"/>
      <c r="E1183" s="253"/>
      <c r="F1183" s="253"/>
      <c r="G1183" s="253"/>
      <c r="H1183" s="194" t="s">
        <v>2020</v>
      </c>
      <c r="I1183" s="170"/>
      <c r="J1183" s="46" t="s">
        <v>1069</v>
      </c>
      <c r="K1183" s="239"/>
      <c r="L1183" s="197">
        <v>76</v>
      </c>
      <c r="M1183" s="197">
        <v>6</v>
      </c>
      <c r="N1183" s="290">
        <v>1</v>
      </c>
      <c r="O1183" s="46"/>
      <c r="P1183" s="46" t="s">
        <v>200</v>
      </c>
      <c r="Q1183" s="170"/>
      <c r="R1183" s="192" t="str">
        <f>CONCATENATE(N1183,P1183)</f>
        <v>1gal</v>
      </c>
      <c r="S1183" s="198">
        <f>M1183*N1183</f>
        <v>6</v>
      </c>
      <c r="T1183" s="199" t="str">
        <f>CONCATENATE(S1183,Q1183,P1183)</f>
        <v>6gal</v>
      </c>
      <c r="U1183" s="200">
        <f>L1183*M1183</f>
        <v>456</v>
      </c>
      <c r="V1183" s="12"/>
      <c r="W1183" s="12"/>
    </row>
    <row r="1184" spans="1:23" x14ac:dyDescent="0.3">
      <c r="A1184" s="193">
        <v>451</v>
      </c>
      <c r="B1184" s="46" t="s">
        <v>1339</v>
      </c>
      <c r="C1184" s="253"/>
      <c r="D1184" s="194"/>
      <c r="E1184" s="253"/>
      <c r="F1184" s="253"/>
      <c r="G1184" s="253"/>
      <c r="H1184" s="400" t="s">
        <v>2027</v>
      </c>
      <c r="I1184" s="170"/>
      <c r="J1184" s="46" t="s">
        <v>1929</v>
      </c>
      <c r="K1184" s="239"/>
      <c r="L1184" s="195">
        <v>88</v>
      </c>
      <c r="M1184" s="197">
        <v>4</v>
      </c>
      <c r="N1184" s="360">
        <v>1</v>
      </c>
      <c r="O1184" s="61"/>
      <c r="P1184" s="61" t="s">
        <v>200</v>
      </c>
      <c r="Q1184" s="170"/>
      <c r="R1184" s="192" t="str">
        <f>CONCATENATE(N1184,P1184)</f>
        <v>1gal</v>
      </c>
      <c r="S1184" s="198">
        <f>M1184*N1184</f>
        <v>4</v>
      </c>
      <c r="T1184" s="199" t="str">
        <f>CONCATENATE(S1184,Q1184,P1184)</f>
        <v>4gal</v>
      </c>
      <c r="U1184" s="200">
        <f>L1184*M1184</f>
        <v>352</v>
      </c>
      <c r="V1184" s="12"/>
      <c r="W1184" s="12"/>
    </row>
    <row r="1185" spans="1:23" x14ac:dyDescent="0.3">
      <c r="A1185" s="479">
        <v>452</v>
      </c>
      <c r="B1185" s="194" t="s">
        <v>223</v>
      </c>
      <c r="C1185" s="239"/>
      <c r="D1185" s="194" t="str">
        <f ca="1">IFERROR(__xludf.DUMMYFUNCTION("IF(J336="""",""n/a"",IFERROR(SPLIT(J336,""/"")))"),"Shanghai")</f>
        <v>Shanghai</v>
      </c>
      <c r="E1185" s="244" t="str">
        <f ca="1">IFERROR(__xludf.DUMMYFUNCTION("""COMPUTED_VALUE"""),"pack")</f>
        <v>pack</v>
      </c>
      <c r="F1185" s="244" t="str">
        <f ca="1">IFERROR(__xludf.DUMMYFUNCTION("""COMPUTED_VALUE"""),"1000grams")</f>
        <v>1000grams</v>
      </c>
      <c r="G1185" s="239"/>
      <c r="H1185" s="183" t="s">
        <v>1895</v>
      </c>
      <c r="I1185" s="170"/>
      <c r="J1185" s="46" t="s">
        <v>224</v>
      </c>
      <c r="K1185" s="239"/>
      <c r="L1185" s="195">
        <v>115</v>
      </c>
      <c r="M1185" s="197">
        <v>0.5</v>
      </c>
      <c r="N1185" s="61">
        <v>1</v>
      </c>
      <c r="O1185" s="61" t="str">
        <f ca="1">E1185</f>
        <v>pack</v>
      </c>
      <c r="P1185" s="61" t="s">
        <v>39</v>
      </c>
      <c r="Q1185" s="170"/>
      <c r="R1185" s="192" t="str">
        <f>CONCATENATE(N1185,P1185)</f>
        <v>1grams</v>
      </c>
      <c r="S1185" s="198">
        <f>M1185*N1185</f>
        <v>0.5</v>
      </c>
      <c r="T1185" s="199" t="str">
        <f>CONCATENATE(S1185,Q1185,P1185)</f>
        <v>0.5grams</v>
      </c>
      <c r="U1185" s="200">
        <f>L1185*M1185</f>
        <v>57.5</v>
      </c>
      <c r="V1185" s="12"/>
      <c r="W1185" s="12"/>
    </row>
    <row r="1186" spans="1:23" x14ac:dyDescent="0.3">
      <c r="A1186" s="193">
        <v>452</v>
      </c>
      <c r="B1186" s="46" t="s">
        <v>223</v>
      </c>
      <c r="C1186" s="215"/>
      <c r="D1186" s="194"/>
      <c r="E1186" s="215"/>
      <c r="F1186" s="215"/>
      <c r="G1186" s="215"/>
      <c r="H1186" s="194" t="s">
        <v>2023</v>
      </c>
      <c r="I1186" s="170"/>
      <c r="J1186" s="46" t="s">
        <v>224</v>
      </c>
      <c r="K1186" s="239"/>
      <c r="L1186" s="197">
        <v>120</v>
      </c>
      <c r="M1186" s="197">
        <v>3</v>
      </c>
      <c r="N1186" s="290">
        <v>1000</v>
      </c>
      <c r="O1186" s="46"/>
      <c r="P1186" s="46" t="s">
        <v>39</v>
      </c>
      <c r="Q1186" s="170"/>
      <c r="R1186" s="192" t="str">
        <f>CONCATENATE(N1186,P1186)</f>
        <v>1000grams</v>
      </c>
      <c r="S1186" s="198">
        <f>M1186*N1186</f>
        <v>3000</v>
      </c>
      <c r="T1186" s="199" t="str">
        <f>CONCATENATE(S1186,Q1186,P1186)</f>
        <v>3000grams</v>
      </c>
      <c r="U1186" s="200">
        <f>L1186*M1186</f>
        <v>360</v>
      </c>
      <c r="V1186" s="12"/>
      <c r="W1186" s="12"/>
    </row>
    <row r="1187" spans="1:23" x14ac:dyDescent="0.3">
      <c r="A1187" s="193">
        <v>452</v>
      </c>
      <c r="B1187" s="46" t="s">
        <v>223</v>
      </c>
      <c r="C1187" s="215"/>
      <c r="D1187" s="194"/>
      <c r="E1187" s="215"/>
      <c r="F1187" s="215"/>
      <c r="G1187" s="215"/>
      <c r="H1187" s="194" t="s">
        <v>2022</v>
      </c>
      <c r="I1187" s="239"/>
      <c r="J1187" s="46" t="s">
        <v>1341</v>
      </c>
      <c r="K1187" s="239"/>
      <c r="L1187" s="197">
        <v>120</v>
      </c>
      <c r="M1187" s="197">
        <v>3</v>
      </c>
      <c r="N1187" s="290">
        <v>1000</v>
      </c>
      <c r="O1187" s="46"/>
      <c r="P1187" s="46" t="s">
        <v>39</v>
      </c>
      <c r="Q1187" s="170"/>
      <c r="R1187" s="192" t="str">
        <f>CONCATENATE(N1187,P1187)</f>
        <v>1000grams</v>
      </c>
      <c r="S1187" s="198">
        <f>M1187*N1187</f>
        <v>3000</v>
      </c>
      <c r="T1187" s="199" t="str">
        <f>CONCATENATE(S1187,Q1187,P1187)</f>
        <v>3000grams</v>
      </c>
      <c r="U1187" s="200">
        <f>L1187*M1187</f>
        <v>360</v>
      </c>
      <c r="V1187" s="12"/>
      <c r="W1187" s="12"/>
    </row>
    <row r="1188" spans="1:23" x14ac:dyDescent="0.3">
      <c r="A1188" s="193">
        <v>452</v>
      </c>
      <c r="B1188" s="46" t="s">
        <v>223</v>
      </c>
      <c r="C1188" s="215"/>
      <c r="D1188" s="194"/>
      <c r="E1188" s="215"/>
      <c r="F1188" s="215"/>
      <c r="G1188" s="215"/>
      <c r="H1188" s="194" t="s">
        <v>2020</v>
      </c>
      <c r="I1188" s="239"/>
      <c r="J1188" s="46" t="s">
        <v>1098</v>
      </c>
      <c r="K1188" s="239"/>
      <c r="L1188" s="197">
        <v>55</v>
      </c>
      <c r="M1188" s="197">
        <v>2</v>
      </c>
      <c r="N1188" s="290">
        <v>2000</v>
      </c>
      <c r="O1188" s="46"/>
      <c r="P1188" s="46" t="s">
        <v>39</v>
      </c>
      <c r="Q1188" s="170"/>
      <c r="R1188" s="192" t="str">
        <f>CONCATENATE(N1188,P1188)</f>
        <v>2000grams</v>
      </c>
      <c r="S1188" s="198">
        <f>M1188*N1188</f>
        <v>4000</v>
      </c>
      <c r="T1188" s="199" t="str">
        <f>CONCATENATE(S1188,Q1188,P1188)</f>
        <v>4000grams</v>
      </c>
      <c r="U1188" s="200">
        <f>L1188*M1188</f>
        <v>110</v>
      </c>
      <c r="V1188" s="12"/>
      <c r="W1188" s="12"/>
    </row>
    <row r="1189" spans="1:23" x14ac:dyDescent="0.3">
      <c r="A1189" s="193">
        <v>452</v>
      </c>
      <c r="B1189" s="46" t="s">
        <v>223</v>
      </c>
      <c r="C1189" s="215"/>
      <c r="D1189" s="194"/>
      <c r="E1189" s="215"/>
      <c r="F1189" s="215"/>
      <c r="G1189" s="215"/>
      <c r="H1189" s="194" t="s">
        <v>2025</v>
      </c>
      <c r="I1189" s="239"/>
      <c r="J1189" s="46" t="s">
        <v>1236</v>
      </c>
      <c r="K1189" s="239"/>
      <c r="L1189" s="197">
        <v>56.35</v>
      </c>
      <c r="M1189" s="197">
        <v>9</v>
      </c>
      <c r="N1189" s="290">
        <v>220</v>
      </c>
      <c r="O1189" s="46"/>
      <c r="P1189" s="46" t="s">
        <v>39</v>
      </c>
      <c r="Q1189" s="170"/>
      <c r="R1189" s="192" t="str">
        <f>CONCATENATE(N1189,P1189)</f>
        <v>220grams</v>
      </c>
      <c r="S1189" s="198">
        <f>M1189*N1189</f>
        <v>1980</v>
      </c>
      <c r="T1189" s="199" t="str">
        <f>CONCATENATE(S1189,Q1189,P1189)</f>
        <v>1980grams</v>
      </c>
      <c r="U1189" s="200">
        <f>L1189*M1189</f>
        <v>507.15000000000003</v>
      </c>
      <c r="V1189" s="12"/>
      <c r="W1189" s="12"/>
    </row>
    <row r="1190" spans="1:23" x14ac:dyDescent="0.3">
      <c r="A1190" s="193">
        <v>453</v>
      </c>
      <c r="B1190" s="46" t="s">
        <v>1946</v>
      </c>
      <c r="C1190" s="215"/>
      <c r="D1190" s="194"/>
      <c r="E1190" s="215"/>
      <c r="F1190" s="215"/>
      <c r="G1190" s="215"/>
      <c r="H1190" s="400" t="s">
        <v>2027</v>
      </c>
      <c r="I1190" s="239"/>
      <c r="J1190" s="46" t="s">
        <v>1947</v>
      </c>
      <c r="K1190" s="239"/>
      <c r="L1190" s="195">
        <v>158.4</v>
      </c>
      <c r="M1190" s="197">
        <v>2</v>
      </c>
      <c r="N1190" s="360">
        <v>1</v>
      </c>
      <c r="O1190" s="61"/>
      <c r="P1190" s="61" t="s">
        <v>1948</v>
      </c>
      <c r="Q1190" s="170"/>
      <c r="R1190" s="192" t="str">
        <f>CONCATENATE(N1190,P1190)</f>
        <v>1bottle</v>
      </c>
      <c r="S1190" s="198">
        <f>M1190*N1190</f>
        <v>2</v>
      </c>
      <c r="T1190" s="199" t="str">
        <f>CONCATENATE(S1190,Q1190,P1190)</f>
        <v>2bottle</v>
      </c>
      <c r="U1190" s="200">
        <f>L1190*M1190</f>
        <v>316.8</v>
      </c>
      <c r="V1190" s="12"/>
      <c r="W1190" s="12"/>
    </row>
    <row r="1191" spans="1:23" x14ac:dyDescent="0.3">
      <c r="A1191" s="479">
        <v>454</v>
      </c>
      <c r="B1191" s="194" t="s">
        <v>143</v>
      </c>
      <c r="C1191" s="173"/>
      <c r="D1191" s="194" t="str">
        <f ca="1">IFERROR(__xludf.DUMMYFUNCTION("IF(J337="""",""n/a"",IFERROR(SPLIT(J337,""/"")))"),"Kopiko")</f>
        <v>Kopiko</v>
      </c>
      <c r="E1191" s="243" t="str">
        <f ca="1">IFERROR(__xludf.DUMMYFUNCTION("""COMPUTED_VALUE"""),"pack (30x30grams)")</f>
        <v>pack (30x30grams)</v>
      </c>
      <c r="F1191" s="173"/>
      <c r="G1191" s="173"/>
      <c r="H1191" s="183" t="s">
        <v>1897</v>
      </c>
      <c r="I1191" s="239"/>
      <c r="J1191" s="46" t="s">
        <v>651</v>
      </c>
      <c r="K1191" s="239"/>
      <c r="L1191" s="204">
        <v>7.37</v>
      </c>
      <c r="M1191" s="202">
        <v>139</v>
      </c>
      <c r="N1191" s="203">
        <v>1</v>
      </c>
      <c r="O1191" s="61" t="str">
        <f ca="1">E1191</f>
        <v>pack (30x30grams)</v>
      </c>
      <c r="P1191" s="61" t="s">
        <v>92</v>
      </c>
      <c r="Q1191" s="170"/>
      <c r="R1191" s="192" t="str">
        <f>CONCATENATE(N1191,P1191)</f>
        <v>1pieces</v>
      </c>
      <c r="S1191" s="198">
        <f>M1191*N1191</f>
        <v>139</v>
      </c>
      <c r="T1191" s="199" t="str">
        <f>CONCATENATE(S1191,Q1191,P1191)</f>
        <v>139pieces</v>
      </c>
      <c r="U1191" s="200">
        <f>L1191*M1191</f>
        <v>1024.43</v>
      </c>
      <c r="V1191" s="205"/>
      <c r="W1191" s="62"/>
    </row>
    <row r="1192" spans="1:23" x14ac:dyDescent="0.3">
      <c r="A1192" s="479">
        <v>454</v>
      </c>
      <c r="B1192" s="194" t="s">
        <v>143</v>
      </c>
      <c r="C1192" s="173"/>
      <c r="D1192" s="194" t="str">
        <f ca="1">IFERROR(__xludf.DUMMYFUNCTION("IF(J338="""",""n/a"",IFERROR(SPLIT(J338,""/"")))"),"Kopiko")</f>
        <v>Kopiko</v>
      </c>
      <c r="E1192" s="243" t="str">
        <f ca="1">IFERROR(__xludf.DUMMYFUNCTION("""COMPUTED_VALUE"""),"pack (10x30grams)")</f>
        <v>pack (10x30grams)</v>
      </c>
      <c r="F1192" s="173"/>
      <c r="G1192" s="173"/>
      <c r="H1192" s="183" t="s">
        <v>1895</v>
      </c>
      <c r="I1192" s="239"/>
      <c r="J1192" s="46" t="s">
        <v>144</v>
      </c>
      <c r="K1192" s="239"/>
      <c r="L1192" s="195">
        <v>7</v>
      </c>
      <c r="M1192" s="197">
        <v>240</v>
      </c>
      <c r="N1192" s="61">
        <v>1</v>
      </c>
      <c r="O1192" s="61" t="str">
        <f ca="1">E1192</f>
        <v>pack (10x30grams)</v>
      </c>
      <c r="P1192" s="61" t="s">
        <v>92</v>
      </c>
      <c r="Q1192" s="170"/>
      <c r="R1192" s="192" t="str">
        <f>CONCATENATE(N1192,P1192)</f>
        <v>1pieces</v>
      </c>
      <c r="S1192" s="198">
        <f>M1192*N1192</f>
        <v>240</v>
      </c>
      <c r="T1192" s="199" t="str">
        <f>CONCATENATE(S1192,Q1192,P1192)</f>
        <v>240pieces</v>
      </c>
      <c r="U1192" s="200">
        <f>L1192*M1192</f>
        <v>1680</v>
      </c>
      <c r="V1192" s="12"/>
      <c r="W1192" s="12"/>
    </row>
    <row r="1193" spans="1:23" x14ac:dyDescent="0.3">
      <c r="A1193" s="479">
        <v>454</v>
      </c>
      <c r="B1193" s="194" t="s">
        <v>143</v>
      </c>
      <c r="C1193" s="173"/>
      <c r="D1193" s="194" t="str">
        <f ca="1">IFERROR(__xludf.DUMMYFUNCTION("IF(J339="""",""n/a"",IFERROR(SPLIT(J339,""/"")))"),"n/a")</f>
        <v>n/a</v>
      </c>
      <c r="E1193" s="173"/>
      <c r="F1193" s="173"/>
      <c r="G1193" s="173"/>
      <c r="H1193" s="206" t="s">
        <v>1898</v>
      </c>
      <c r="I1193" s="239"/>
      <c r="J1193" s="170"/>
      <c r="K1193" s="239"/>
      <c r="L1193" s="197">
        <v>7.74</v>
      </c>
      <c r="M1193" s="385">
        <v>489</v>
      </c>
      <c r="N1193" s="208">
        <v>10</v>
      </c>
      <c r="O1193" s="170">
        <f>E1193</f>
        <v>0</v>
      </c>
      <c r="P1193" s="209" t="s">
        <v>92</v>
      </c>
      <c r="Q1193" s="170"/>
      <c r="R1193" s="192" t="str">
        <f>CONCATENATE(N1193,P1193)</f>
        <v>10pieces</v>
      </c>
      <c r="S1193" s="198">
        <f>M1193*N1193</f>
        <v>4890</v>
      </c>
      <c r="T1193" s="199" t="str">
        <f>CONCATENATE(S1193,Q1193,P1193)</f>
        <v>4890pieces</v>
      </c>
      <c r="U1193" s="200">
        <f>L1193*M1193</f>
        <v>3784.86</v>
      </c>
      <c r="V1193" s="12"/>
      <c r="W1193" s="12"/>
    </row>
    <row r="1194" spans="1:23" x14ac:dyDescent="0.3">
      <c r="A1194" s="193">
        <v>454</v>
      </c>
      <c r="B1194" s="46" t="s">
        <v>143</v>
      </c>
      <c r="C1194" s="215"/>
      <c r="D1194" s="194"/>
      <c r="E1194" s="215"/>
      <c r="F1194" s="215"/>
      <c r="G1194" s="215"/>
      <c r="H1194" s="400" t="s">
        <v>2027</v>
      </c>
      <c r="I1194" s="239"/>
      <c r="J1194" s="46" t="s">
        <v>1949</v>
      </c>
      <c r="K1194" s="239"/>
      <c r="L1194" s="195">
        <v>8.5</v>
      </c>
      <c r="M1194" s="197">
        <v>50</v>
      </c>
      <c r="N1194" s="360">
        <v>1</v>
      </c>
      <c r="O1194" s="61"/>
      <c r="P1194" s="61" t="s">
        <v>92</v>
      </c>
      <c r="Q1194" s="170"/>
      <c r="R1194" s="192" t="str">
        <f>CONCATENATE(N1194,P1194)</f>
        <v>1pieces</v>
      </c>
      <c r="S1194" s="198">
        <f>M1194*N1194</f>
        <v>50</v>
      </c>
      <c r="T1194" s="199" t="str">
        <f>CONCATENATE(S1194,Q1194,P1194)</f>
        <v>50pieces</v>
      </c>
      <c r="U1194" s="200">
        <f>L1194*M1194</f>
        <v>425</v>
      </c>
      <c r="V1194" s="12"/>
      <c r="W1194" s="12"/>
    </row>
    <row r="1195" spans="1:23" x14ac:dyDescent="0.3">
      <c r="A1195" s="479">
        <v>455</v>
      </c>
      <c r="B1195" s="194" t="s">
        <v>652</v>
      </c>
      <c r="C1195" s="170"/>
      <c r="D1195" s="194" t="str">
        <f ca="1">IFERROR(__xludf.DUMMYFUNCTION("IF(J340="""",""n/a"",IFERROR(SPLIT(J340,""/"")))"),"Kopiko")</f>
        <v>Kopiko</v>
      </c>
      <c r="E1195" s="194" t="str">
        <f ca="1">IFERROR(__xludf.DUMMYFUNCTION("""COMPUTED_VALUE"""),"pack (30x30grams)")</f>
        <v>pack (30x30grams)</v>
      </c>
      <c r="F1195" s="170"/>
      <c r="G1195" s="170"/>
      <c r="H1195" s="183" t="s">
        <v>1897</v>
      </c>
      <c r="I1195" s="170"/>
      <c r="J1195" s="46" t="s">
        <v>651</v>
      </c>
      <c r="K1195" s="239"/>
      <c r="L1195" s="204">
        <v>8.1999999999999993</v>
      </c>
      <c r="M1195" s="202">
        <v>170</v>
      </c>
      <c r="N1195" s="203">
        <v>1</v>
      </c>
      <c r="O1195" s="61" t="str">
        <f ca="1">E1195</f>
        <v>pack (30x30grams)</v>
      </c>
      <c r="P1195" s="61" t="s">
        <v>92</v>
      </c>
      <c r="Q1195" s="170"/>
      <c r="R1195" s="192" t="str">
        <f>CONCATENATE(N1195,P1195)</f>
        <v>1pieces</v>
      </c>
      <c r="S1195" s="198">
        <f>M1195*N1195</f>
        <v>170</v>
      </c>
      <c r="T1195" s="199" t="str">
        <f>CONCATENATE(S1195,Q1195,P1195)</f>
        <v>170pieces</v>
      </c>
      <c r="U1195" s="200">
        <f>L1195*M1195</f>
        <v>1393.9999999999998</v>
      </c>
      <c r="V1195" s="205"/>
      <c r="W1195" s="62"/>
    </row>
    <row r="1196" spans="1:23" x14ac:dyDescent="0.3">
      <c r="A1196" s="479">
        <v>455</v>
      </c>
      <c r="B1196" s="194" t="s">
        <v>652</v>
      </c>
      <c r="C1196" s="170"/>
      <c r="D1196" s="194" t="str">
        <f ca="1">IFERROR(__xludf.DUMMYFUNCTION("IF(J341="""",""n/a"",IFERROR(SPLIT(J341,""/"")))"),"n/a")</f>
        <v>n/a</v>
      </c>
      <c r="E1196" s="170"/>
      <c r="F1196" s="170"/>
      <c r="G1196" s="170"/>
      <c r="H1196" s="206" t="s">
        <v>1898</v>
      </c>
      <c r="I1196" s="170"/>
      <c r="J1196" s="170"/>
      <c r="K1196" s="239"/>
      <c r="L1196" s="197">
        <v>8.75</v>
      </c>
      <c r="M1196" s="385">
        <v>4</v>
      </c>
      <c r="N1196" s="208">
        <v>10</v>
      </c>
      <c r="O1196" s="170">
        <f>E1196</f>
        <v>0</v>
      </c>
      <c r="P1196" s="209" t="s">
        <v>92</v>
      </c>
      <c r="Q1196" s="170"/>
      <c r="R1196" s="192" t="str">
        <f>CONCATENATE(N1196,P1196)</f>
        <v>10pieces</v>
      </c>
      <c r="S1196" s="198">
        <f>M1196*N1196</f>
        <v>40</v>
      </c>
      <c r="T1196" s="199" t="str">
        <f>CONCATENATE(S1196,Q1196,P1196)</f>
        <v>40pieces</v>
      </c>
      <c r="U1196" s="200">
        <f>L1196*M1196</f>
        <v>35</v>
      </c>
      <c r="V1196" s="12"/>
      <c r="W1196" s="12"/>
    </row>
    <row r="1197" spans="1:23" x14ac:dyDescent="0.3">
      <c r="A1197" s="193">
        <v>455</v>
      </c>
      <c r="B1197" s="46" t="s">
        <v>652</v>
      </c>
      <c r="C1197" s="215"/>
      <c r="D1197" s="194"/>
      <c r="E1197" s="215"/>
      <c r="F1197" s="215"/>
      <c r="G1197" s="215"/>
      <c r="H1197" s="400" t="s">
        <v>2027</v>
      </c>
      <c r="I1197" s="170"/>
      <c r="J1197" s="46" t="s">
        <v>1949</v>
      </c>
      <c r="K1197" s="239"/>
      <c r="L1197" s="195">
        <v>8.9600000000000009</v>
      </c>
      <c r="M1197" s="197">
        <v>65</v>
      </c>
      <c r="N1197" s="360">
        <v>1</v>
      </c>
      <c r="O1197" s="61"/>
      <c r="P1197" s="61" t="s">
        <v>92</v>
      </c>
      <c r="Q1197" s="170"/>
      <c r="R1197" s="192" t="str">
        <f>CONCATENATE(N1197,P1197)</f>
        <v>1pieces</v>
      </c>
      <c r="S1197" s="198">
        <f>M1197*N1197</f>
        <v>65</v>
      </c>
      <c r="T1197" s="199" t="str">
        <f>CONCATENATE(S1197,Q1197,P1197)</f>
        <v>65pieces</v>
      </c>
      <c r="U1197" s="200">
        <f>L1197*M1197</f>
        <v>582.40000000000009</v>
      </c>
      <c r="V1197" s="12"/>
      <c r="W1197" s="12"/>
    </row>
    <row r="1198" spans="1:23" x14ac:dyDescent="0.3">
      <c r="A1198" s="479">
        <v>456</v>
      </c>
      <c r="B1198" s="194" t="s">
        <v>145</v>
      </c>
      <c r="C1198" s="239"/>
      <c r="D1198" s="194" t="str">
        <f ca="1">IFERROR(__xludf.DUMMYFUNCTION("IF(J342="""",""n/a"",IFERROR(SPLIT(J342,""/"")))"),"Kopiko")</f>
        <v>Kopiko</v>
      </c>
      <c r="E1198" s="244" t="str">
        <f ca="1">IFERROR(__xludf.DUMMYFUNCTION("""COMPUTED_VALUE"""),"pack (10x27.5grams)")</f>
        <v>pack (10x27.5grams)</v>
      </c>
      <c r="F1198" s="239"/>
      <c r="G1198" s="239"/>
      <c r="H1198" s="183" t="s">
        <v>1895</v>
      </c>
      <c r="I1198" s="170"/>
      <c r="J1198" s="46" t="s">
        <v>146</v>
      </c>
      <c r="K1198" s="239"/>
      <c r="L1198" s="195">
        <v>7</v>
      </c>
      <c r="M1198" s="197">
        <v>351</v>
      </c>
      <c r="N1198" s="61">
        <v>1</v>
      </c>
      <c r="O1198" s="61" t="str">
        <f ca="1">E1198</f>
        <v>pack (10x27.5grams)</v>
      </c>
      <c r="P1198" s="61" t="s">
        <v>92</v>
      </c>
      <c r="Q1198" s="170"/>
      <c r="R1198" s="192" t="str">
        <f>CONCATENATE(N1198,P1198)</f>
        <v>1pieces</v>
      </c>
      <c r="S1198" s="198">
        <f>M1198*N1198</f>
        <v>351</v>
      </c>
      <c r="T1198" s="199" t="str">
        <f>CONCATENATE(S1198,Q1198,P1198)</f>
        <v>351pieces</v>
      </c>
      <c r="U1198" s="200">
        <f>L1198*M1198</f>
        <v>2457</v>
      </c>
      <c r="V1198" s="12"/>
      <c r="W1198" s="12"/>
    </row>
    <row r="1199" spans="1:23" x14ac:dyDescent="0.3">
      <c r="A1199" s="479">
        <v>456</v>
      </c>
      <c r="B1199" s="194" t="s">
        <v>145</v>
      </c>
      <c r="C1199" s="170"/>
      <c r="D1199" s="194" t="str">
        <f ca="1">IFERROR(__xludf.DUMMYFUNCTION("IF(J343="""",""n/a"",IFERROR(SPLIT(J343,""/"")))"),"n/a")</f>
        <v>n/a</v>
      </c>
      <c r="E1199" s="170"/>
      <c r="F1199" s="170"/>
      <c r="G1199" s="170"/>
      <c r="H1199" s="206" t="s">
        <v>1898</v>
      </c>
      <c r="I1199" s="170"/>
      <c r="J1199" s="170"/>
      <c r="K1199" s="239"/>
      <c r="L1199" s="197">
        <v>7.7</v>
      </c>
      <c r="M1199" s="385">
        <v>311</v>
      </c>
      <c r="N1199" s="208">
        <v>10</v>
      </c>
      <c r="O1199" s="170">
        <f>E1199</f>
        <v>0</v>
      </c>
      <c r="P1199" s="209" t="s">
        <v>92</v>
      </c>
      <c r="Q1199" s="170"/>
      <c r="R1199" s="192" t="str">
        <f>CONCATENATE(N1199,P1199)</f>
        <v>10pieces</v>
      </c>
      <c r="S1199" s="198">
        <f>M1199*N1199</f>
        <v>3110</v>
      </c>
      <c r="T1199" s="199" t="str">
        <f>CONCATENATE(S1199,Q1199,P1199)</f>
        <v>3110pieces</v>
      </c>
      <c r="U1199" s="200">
        <f>L1199*M1199</f>
        <v>2394.7000000000003</v>
      </c>
      <c r="V1199" s="12"/>
      <c r="W1199" s="12"/>
    </row>
    <row r="1200" spans="1:23" x14ac:dyDescent="0.3">
      <c r="A1200" s="193">
        <v>456</v>
      </c>
      <c r="B1200" s="46" t="s">
        <v>145</v>
      </c>
      <c r="C1200" s="215"/>
      <c r="D1200" s="194"/>
      <c r="E1200" s="215"/>
      <c r="F1200" s="215"/>
      <c r="G1200" s="215"/>
      <c r="H1200" s="400" t="s">
        <v>2027</v>
      </c>
      <c r="I1200" s="170"/>
      <c r="J1200" s="46" t="s">
        <v>1949</v>
      </c>
      <c r="K1200" s="239"/>
      <c r="L1200" s="195">
        <v>8.35</v>
      </c>
      <c r="M1200" s="197">
        <v>170</v>
      </c>
      <c r="N1200" s="360">
        <v>1</v>
      </c>
      <c r="O1200" s="61"/>
      <c r="P1200" s="61" t="s">
        <v>92</v>
      </c>
      <c r="Q1200" s="170"/>
      <c r="R1200" s="192" t="str">
        <f>CONCATENATE(N1200,P1200)</f>
        <v>1pieces</v>
      </c>
      <c r="S1200" s="198">
        <f>M1200*N1200</f>
        <v>170</v>
      </c>
      <c r="T1200" s="199" t="str">
        <f>CONCATENATE(S1200,Q1200,P1200)</f>
        <v>170pieces</v>
      </c>
      <c r="U1200" s="200">
        <f>L1200*M1200</f>
        <v>1419.5</v>
      </c>
      <c r="V1200" s="12"/>
      <c r="W1200" s="12"/>
    </row>
    <row r="1201" spans="1:23" x14ac:dyDescent="0.3">
      <c r="A1201" s="479">
        <v>457</v>
      </c>
      <c r="B1201" s="194" t="s">
        <v>147</v>
      </c>
      <c r="C1201" s="170"/>
      <c r="D1201" s="194" t="str">
        <f ca="1">IFERROR(__xludf.DUMMYFUNCTION("IF(J344="""",""n/a"",IFERROR(SPLIT(J344,""/"")))"),"Kopikopack (20pcsx")</f>
        <v>Kopikopack (20pcsx</v>
      </c>
      <c r="E1201" s="194" t="str">
        <f ca="1">IFERROR(__xludf.DUMMYFUNCTION("""COMPUTED_VALUE"""),"25grams)")</f>
        <v>25grams)</v>
      </c>
      <c r="F1201" s="170"/>
      <c r="G1201" s="170"/>
      <c r="H1201" s="183" t="s">
        <v>1897</v>
      </c>
      <c r="I1201" s="170"/>
      <c r="J1201" s="46" t="s">
        <v>148</v>
      </c>
      <c r="K1201" s="237"/>
      <c r="L1201" s="204">
        <v>7.72</v>
      </c>
      <c r="M1201" s="202">
        <v>60</v>
      </c>
      <c r="N1201" s="203">
        <v>1</v>
      </c>
      <c r="O1201" s="61" t="str">
        <f ca="1">E1201</f>
        <v>25grams)</v>
      </c>
      <c r="P1201" s="61" t="s">
        <v>92</v>
      </c>
      <c r="Q1201" s="170"/>
      <c r="R1201" s="192" t="str">
        <f>CONCATENATE(N1201,P1201)</f>
        <v>1pieces</v>
      </c>
      <c r="S1201" s="198">
        <f>M1201*N1201</f>
        <v>60</v>
      </c>
      <c r="T1201" s="199" t="str">
        <f>CONCATENATE(S1201,Q1201,P1201)</f>
        <v>60pieces</v>
      </c>
      <c r="U1201" s="200">
        <f>L1201*M1201</f>
        <v>463.2</v>
      </c>
      <c r="V1201" s="205"/>
      <c r="W1201" s="62"/>
    </row>
    <row r="1202" spans="1:23" x14ac:dyDescent="0.3">
      <c r="A1202" s="479">
        <v>457</v>
      </c>
      <c r="B1202" s="214" t="s">
        <v>147</v>
      </c>
      <c r="C1202" s="253"/>
      <c r="D1202" s="194" t="str">
        <f ca="1">IFERROR(__xludf.DUMMYFUNCTION("IF(J345="""",""n/a"",IFERROR(SPLIT(J345,""/"")))"),"Kopikopack (20pcsx")</f>
        <v>Kopikopack (20pcsx</v>
      </c>
      <c r="E1202" s="252" t="str">
        <f ca="1">IFERROR(__xludf.DUMMYFUNCTION("""COMPUTED_VALUE"""),"25grams)")</f>
        <v>25grams)</v>
      </c>
      <c r="F1202" s="253"/>
      <c r="G1202" s="253"/>
      <c r="H1202" s="183" t="s">
        <v>1895</v>
      </c>
      <c r="I1202" s="170"/>
      <c r="J1202" s="46" t="s">
        <v>148</v>
      </c>
      <c r="K1202" s="237"/>
      <c r="L1202" s="195">
        <v>7.77</v>
      </c>
      <c r="M1202" s="197">
        <v>116</v>
      </c>
      <c r="N1202" s="61">
        <v>1</v>
      </c>
      <c r="O1202" s="61" t="str">
        <f ca="1">E1202</f>
        <v>25grams)</v>
      </c>
      <c r="P1202" s="61" t="s">
        <v>92</v>
      </c>
      <c r="Q1202" s="170"/>
      <c r="R1202" s="192" t="str">
        <f>CONCATENATE(N1202,P1202)</f>
        <v>1pieces</v>
      </c>
      <c r="S1202" s="198">
        <f>M1202*N1202</f>
        <v>116</v>
      </c>
      <c r="T1202" s="199" t="str">
        <f>CONCATENATE(S1202,Q1202,P1202)</f>
        <v>116pieces</v>
      </c>
      <c r="U1202" s="200">
        <f>L1202*M1202</f>
        <v>901.31999999999994</v>
      </c>
      <c r="V1202" s="12"/>
      <c r="W1202" s="12"/>
    </row>
    <row r="1203" spans="1:23" x14ac:dyDescent="0.3">
      <c r="A1203" s="193">
        <v>458</v>
      </c>
      <c r="B1203" s="46" t="s">
        <v>1342</v>
      </c>
      <c r="C1203" s="253"/>
      <c r="D1203" s="194"/>
      <c r="E1203" s="253"/>
      <c r="F1203" s="253"/>
      <c r="G1203" s="253"/>
      <c r="H1203" s="194" t="s">
        <v>1368</v>
      </c>
      <c r="I1203" s="170"/>
      <c r="J1203" s="170"/>
      <c r="K1203" s="237"/>
      <c r="L1203" s="197">
        <v>200</v>
      </c>
      <c r="M1203" s="197">
        <v>5</v>
      </c>
      <c r="N1203" s="290">
        <v>1000</v>
      </c>
      <c r="O1203" s="46"/>
      <c r="P1203" s="46" t="s">
        <v>39</v>
      </c>
      <c r="Q1203" s="170"/>
      <c r="R1203" s="192" t="str">
        <f>CONCATENATE(N1203,P1203)</f>
        <v>1000grams</v>
      </c>
      <c r="S1203" s="198">
        <f>M1203*N1203</f>
        <v>5000</v>
      </c>
      <c r="T1203" s="199" t="str">
        <f>CONCATENATE(S1203,Q1203,P1203)</f>
        <v>5000grams</v>
      </c>
      <c r="U1203" s="200">
        <f>L1203*M1203</f>
        <v>1000</v>
      </c>
      <c r="V1203" s="12"/>
      <c r="W1203" s="12"/>
    </row>
    <row r="1204" spans="1:23" x14ac:dyDescent="0.3">
      <c r="A1204" s="193">
        <v>459</v>
      </c>
      <c r="B1204" s="46" t="s">
        <v>1343</v>
      </c>
      <c r="C1204" s="491"/>
      <c r="D1204" s="194"/>
      <c r="E1204" s="491"/>
      <c r="F1204" s="491"/>
      <c r="G1204" s="491"/>
      <c r="H1204" s="194" t="s">
        <v>1368</v>
      </c>
      <c r="I1204" s="170"/>
      <c r="J1204" s="170"/>
      <c r="K1204" s="237"/>
      <c r="L1204" s="197">
        <v>70</v>
      </c>
      <c r="M1204" s="197">
        <v>1</v>
      </c>
      <c r="N1204" s="290">
        <v>1000</v>
      </c>
      <c r="O1204" s="46"/>
      <c r="P1204" s="46" t="s">
        <v>39</v>
      </c>
      <c r="Q1204" s="170"/>
      <c r="R1204" s="192" t="str">
        <f>CONCATENATE(N1204,P1204)</f>
        <v>1000grams</v>
      </c>
      <c r="S1204" s="198">
        <f>M1204*N1204</f>
        <v>1000</v>
      </c>
      <c r="T1204" s="199" t="str">
        <f>CONCATENATE(S1204,Q1204,P1204)</f>
        <v>1000grams</v>
      </c>
      <c r="U1204" s="200">
        <f>L1204*M1204</f>
        <v>70</v>
      </c>
      <c r="V1204" s="12"/>
      <c r="W1204" s="12"/>
    </row>
    <row r="1205" spans="1:23" x14ac:dyDescent="0.3">
      <c r="A1205" s="193">
        <v>459</v>
      </c>
      <c r="B1205" s="46" t="s">
        <v>1343</v>
      </c>
      <c r="C1205" s="215"/>
      <c r="D1205" s="194"/>
      <c r="E1205" s="215"/>
      <c r="F1205" s="215"/>
      <c r="G1205" s="215"/>
      <c r="H1205" s="194" t="s">
        <v>2023</v>
      </c>
      <c r="I1205" s="170"/>
      <c r="J1205" s="46" t="s">
        <v>216</v>
      </c>
      <c r="K1205" s="237"/>
      <c r="L1205" s="197">
        <v>46</v>
      </c>
      <c r="M1205" s="197">
        <v>2</v>
      </c>
      <c r="N1205" s="290">
        <v>1000</v>
      </c>
      <c r="O1205" s="46"/>
      <c r="P1205" s="46" t="s">
        <v>39</v>
      </c>
      <c r="Q1205" s="170"/>
      <c r="R1205" s="192" t="str">
        <f>CONCATENATE(N1205,P1205)</f>
        <v>1000grams</v>
      </c>
      <c r="S1205" s="198">
        <f>M1205*N1205</f>
        <v>2000</v>
      </c>
      <c r="T1205" s="199" t="str">
        <f>CONCATENATE(S1205,Q1205,P1205)</f>
        <v>2000grams</v>
      </c>
      <c r="U1205" s="200">
        <f>L1205*M1205</f>
        <v>92</v>
      </c>
      <c r="V1205" s="12"/>
      <c r="W1205" s="12"/>
    </row>
    <row r="1206" spans="1:23" x14ac:dyDescent="0.3">
      <c r="A1206" s="193">
        <v>459</v>
      </c>
      <c r="B1206" s="46" t="s">
        <v>1343</v>
      </c>
      <c r="C1206" s="215"/>
      <c r="D1206" s="194"/>
      <c r="E1206" s="215"/>
      <c r="F1206" s="215"/>
      <c r="G1206" s="215"/>
      <c r="H1206" s="400" t="s">
        <v>2027</v>
      </c>
      <c r="I1206" s="170"/>
      <c r="J1206" s="46" t="s">
        <v>1945</v>
      </c>
      <c r="K1206" s="237"/>
      <c r="L1206" s="195">
        <v>210</v>
      </c>
      <c r="M1206" s="197">
        <v>0</v>
      </c>
      <c r="N1206" s="360">
        <v>1</v>
      </c>
      <c r="O1206" s="61"/>
      <c r="P1206" s="61" t="s">
        <v>213</v>
      </c>
      <c r="Q1206" s="170"/>
      <c r="R1206" s="192" t="str">
        <f>CONCATENATE(N1206,P1206)</f>
        <v>1kilos</v>
      </c>
      <c r="S1206" s="198">
        <f>M1206*N1206</f>
        <v>0</v>
      </c>
      <c r="T1206" s="199" t="str">
        <f>CONCATENATE(S1206,Q1206,P1206)</f>
        <v>0kilos</v>
      </c>
      <c r="U1206" s="200">
        <f>L1206*M1206</f>
        <v>0</v>
      </c>
      <c r="V1206" s="12"/>
      <c r="W1206" s="12"/>
    </row>
    <row r="1207" spans="1:23" x14ac:dyDescent="0.3">
      <c r="A1207" s="193">
        <v>460</v>
      </c>
      <c r="B1207" s="219" t="s">
        <v>1344</v>
      </c>
      <c r="C1207" s="215"/>
      <c r="D1207" s="194"/>
      <c r="E1207" s="215"/>
      <c r="F1207" s="215"/>
      <c r="G1207" s="215"/>
      <c r="H1207" s="194" t="s">
        <v>2025</v>
      </c>
      <c r="I1207" s="170"/>
      <c r="J1207" s="170"/>
      <c r="K1207" s="237"/>
      <c r="L1207" s="197">
        <v>95</v>
      </c>
      <c r="M1207" s="197">
        <v>2</v>
      </c>
      <c r="N1207" s="290">
        <v>1</v>
      </c>
      <c r="O1207" s="46"/>
      <c r="P1207" s="46" t="s">
        <v>213</v>
      </c>
      <c r="Q1207" s="170"/>
      <c r="R1207" s="192" t="str">
        <f>CONCATENATE(N1207,P1207)</f>
        <v>1kilos</v>
      </c>
      <c r="S1207" s="198">
        <f>M1207*N1207</f>
        <v>2</v>
      </c>
      <c r="T1207" s="199" t="str">
        <f>CONCATENATE(S1207,Q1207,P1207)</f>
        <v>2kilos</v>
      </c>
      <c r="U1207" s="200">
        <f>L1207*M1207</f>
        <v>190</v>
      </c>
      <c r="V1207" s="12"/>
      <c r="W1207" s="12"/>
    </row>
    <row r="1208" spans="1:23" x14ac:dyDescent="0.3">
      <c r="A1208" s="193">
        <v>460</v>
      </c>
      <c r="B1208" s="46" t="s">
        <v>1344</v>
      </c>
      <c r="C1208" s="215"/>
      <c r="D1208" s="194"/>
      <c r="E1208" s="215"/>
      <c r="F1208" s="215"/>
      <c r="G1208" s="215"/>
      <c r="H1208" s="194" t="s">
        <v>2026</v>
      </c>
      <c r="I1208" s="237"/>
      <c r="J1208" s="170"/>
      <c r="K1208" s="237"/>
      <c r="L1208" s="197">
        <v>110</v>
      </c>
      <c r="M1208" s="197">
        <v>2</v>
      </c>
      <c r="N1208" s="290">
        <v>1000</v>
      </c>
      <c r="O1208" s="46"/>
      <c r="P1208" s="46" t="s">
        <v>39</v>
      </c>
      <c r="Q1208" s="170"/>
      <c r="R1208" s="192" t="str">
        <f>CONCATENATE(N1208,P1208)</f>
        <v>1000grams</v>
      </c>
      <c r="S1208" s="198">
        <f>M1208*N1208</f>
        <v>2000</v>
      </c>
      <c r="T1208" s="199" t="str">
        <f>CONCATENATE(S1208,Q1208,P1208)</f>
        <v>2000grams</v>
      </c>
      <c r="U1208" s="200">
        <f>L1208*M1208</f>
        <v>220</v>
      </c>
      <c r="V1208" s="12"/>
      <c r="W1208" s="12"/>
    </row>
    <row r="1209" spans="1:23" x14ac:dyDescent="0.3">
      <c r="A1209" s="193">
        <v>460</v>
      </c>
      <c r="B1209" s="46" t="s">
        <v>1344</v>
      </c>
      <c r="C1209" s="215"/>
      <c r="D1209" s="194"/>
      <c r="E1209" s="215"/>
      <c r="F1209" s="215"/>
      <c r="G1209" s="215"/>
      <c r="H1209" s="194" t="s">
        <v>1368</v>
      </c>
      <c r="I1209" s="237"/>
      <c r="J1209" s="170"/>
      <c r="K1209" s="237"/>
      <c r="L1209" s="197">
        <v>50</v>
      </c>
      <c r="M1209" s="197">
        <v>10</v>
      </c>
      <c r="N1209" s="290">
        <v>1000</v>
      </c>
      <c r="O1209" s="46"/>
      <c r="P1209" s="46" t="s">
        <v>39</v>
      </c>
      <c r="Q1209" s="170"/>
      <c r="R1209" s="192" t="str">
        <f>CONCATENATE(N1209,P1209)</f>
        <v>1000grams</v>
      </c>
      <c r="S1209" s="198">
        <f>M1209*N1209</f>
        <v>10000</v>
      </c>
      <c r="T1209" s="199" t="str">
        <f>CONCATENATE(S1209,Q1209,P1209)</f>
        <v>10000grams</v>
      </c>
      <c r="U1209" s="200">
        <f>L1209*M1209</f>
        <v>500</v>
      </c>
      <c r="V1209" s="12"/>
      <c r="W1209" s="12"/>
    </row>
    <row r="1210" spans="1:23" x14ac:dyDescent="0.3">
      <c r="A1210" s="479">
        <v>461</v>
      </c>
      <c r="B1210" s="194" t="s">
        <v>653</v>
      </c>
      <c r="C1210" s="170"/>
      <c r="D1210" s="194" t="str">
        <f ca="1">IFERROR(__xludf.DUMMYFUNCTION("IF(J346="""",""n/a"",IFERROR(SPLIT(J346,""/"")))"),"n/a")</f>
        <v>n/a</v>
      </c>
      <c r="E1210" s="170"/>
      <c r="F1210" s="170"/>
      <c r="G1210" s="170"/>
      <c r="H1210" s="206" t="s">
        <v>1898</v>
      </c>
      <c r="I1210" s="170"/>
      <c r="J1210" s="170"/>
      <c r="K1210" s="237"/>
      <c r="L1210" s="197">
        <v>33.61</v>
      </c>
      <c r="M1210" s="385">
        <v>24</v>
      </c>
      <c r="N1210" s="208">
        <v>24</v>
      </c>
      <c r="O1210" s="170">
        <f>E1210</f>
        <v>0</v>
      </c>
      <c r="P1210" s="61" t="s">
        <v>92</v>
      </c>
      <c r="Q1210" s="170"/>
      <c r="R1210" s="192" t="str">
        <f>CONCATENATE(N1210,P1210)</f>
        <v>24pieces</v>
      </c>
      <c r="S1210" s="198">
        <f>M1210*N1210</f>
        <v>576</v>
      </c>
      <c r="T1210" s="199" t="str">
        <f>CONCATENATE(S1210,Q1210,P1210)</f>
        <v>576pieces</v>
      </c>
      <c r="U1210" s="200">
        <f>L1210*M1210</f>
        <v>806.64</v>
      </c>
      <c r="V1210" s="12"/>
      <c r="W1210" s="12"/>
    </row>
    <row r="1211" spans="1:23" x14ac:dyDescent="0.3">
      <c r="A1211" s="193">
        <v>462</v>
      </c>
      <c r="B1211" s="46" t="s">
        <v>1345</v>
      </c>
      <c r="C1211" s="215"/>
      <c r="D1211" s="194"/>
      <c r="E1211" s="215"/>
      <c r="F1211" s="215"/>
      <c r="G1211" s="215"/>
      <c r="H1211" s="194" t="s">
        <v>2026</v>
      </c>
      <c r="I1211" s="170"/>
      <c r="J1211" s="46" t="s">
        <v>1346</v>
      </c>
      <c r="K1211" s="237"/>
      <c r="L1211" s="197">
        <v>130</v>
      </c>
      <c r="M1211" s="197">
        <v>1</v>
      </c>
      <c r="N1211" s="290">
        <v>340</v>
      </c>
      <c r="O1211" s="46"/>
      <c r="P1211" s="46" t="s">
        <v>39</v>
      </c>
      <c r="Q1211" s="170"/>
      <c r="R1211" s="192" t="str">
        <f>CONCATENATE(N1211,P1211)</f>
        <v>340grams</v>
      </c>
      <c r="S1211" s="198">
        <f>M1211*N1211</f>
        <v>340</v>
      </c>
      <c r="T1211" s="199" t="str">
        <f>CONCATENATE(S1211,Q1211,P1211)</f>
        <v>340grams</v>
      </c>
      <c r="U1211" s="200">
        <f>L1211*M1211</f>
        <v>130</v>
      </c>
      <c r="V1211" s="12"/>
      <c r="W1211" s="12"/>
    </row>
    <row r="1212" spans="1:23" x14ac:dyDescent="0.3">
      <c r="A1212" s="479">
        <v>463</v>
      </c>
      <c r="B1212" s="194" t="s">
        <v>75</v>
      </c>
      <c r="C1212" s="239"/>
      <c r="D1212" s="194" t="str">
        <f ca="1">IFERROR(__xludf.DUMMYFUNCTION("IF(J347="""",""n/a"",IFERROR(SPLIT(J347,""/"")))"),"Spring Shortening")</f>
        <v>Spring Shortening</v>
      </c>
      <c r="E1212" s="244" t="str">
        <f ca="1">IFERROR(__xludf.DUMMYFUNCTION("""COMPUTED_VALUE"""),"pail")</f>
        <v>pail</v>
      </c>
      <c r="F1212" s="244" t="str">
        <f ca="1">IFERROR(__xludf.DUMMYFUNCTION("""COMPUTED_VALUE"""),"11000grams")</f>
        <v>11000grams</v>
      </c>
      <c r="G1212" s="239"/>
      <c r="H1212" s="183" t="s">
        <v>1895</v>
      </c>
      <c r="I1212" s="170"/>
      <c r="J1212" s="46" t="s">
        <v>76</v>
      </c>
      <c r="K1212" s="237"/>
      <c r="L1212" s="195">
        <v>1440</v>
      </c>
      <c r="M1212" s="197">
        <v>0.14000000000000001</v>
      </c>
      <c r="N1212" s="61">
        <v>11000</v>
      </c>
      <c r="O1212" s="61" t="str">
        <f ca="1">E1212</f>
        <v>pail</v>
      </c>
      <c r="P1212" s="61" t="s">
        <v>39</v>
      </c>
      <c r="Q1212" s="170"/>
      <c r="R1212" s="192" t="str">
        <f>CONCATENATE(N1212,P1212)</f>
        <v>11000grams</v>
      </c>
      <c r="S1212" s="198">
        <f>M1212*N1212</f>
        <v>1540.0000000000002</v>
      </c>
      <c r="T1212" s="199" t="str">
        <f>CONCATENATE(S1212,Q1212,P1212)</f>
        <v>1540grams</v>
      </c>
      <c r="U1212" s="200">
        <f>L1212*M1212</f>
        <v>201.60000000000002</v>
      </c>
      <c r="V1212" s="12"/>
      <c r="W1212" s="12"/>
    </row>
    <row r="1213" spans="1:23" x14ac:dyDescent="0.3">
      <c r="A1213" s="193">
        <v>463</v>
      </c>
      <c r="B1213" s="219" t="s">
        <v>75</v>
      </c>
      <c r="C1213" s="215"/>
      <c r="D1213" s="194"/>
      <c r="E1213" s="215"/>
      <c r="F1213" s="215"/>
      <c r="G1213" s="215"/>
      <c r="H1213" s="194" t="s">
        <v>2021</v>
      </c>
      <c r="I1213" s="170"/>
      <c r="J1213" s="219" t="s">
        <v>1347</v>
      </c>
      <c r="K1213" s="237"/>
      <c r="L1213" s="216">
        <v>860</v>
      </c>
      <c r="M1213" s="216">
        <v>1</v>
      </c>
      <c r="N1213" s="293">
        <v>6800</v>
      </c>
      <c r="O1213" s="219"/>
      <c r="P1213" s="219" t="s">
        <v>39</v>
      </c>
      <c r="Q1213" s="170"/>
      <c r="R1213" s="192" t="str">
        <f>CONCATENATE(N1213,P1213)</f>
        <v>6800grams</v>
      </c>
      <c r="S1213" s="198">
        <f>M1213*N1213</f>
        <v>6800</v>
      </c>
      <c r="T1213" s="199" t="str">
        <f>CONCATENATE(S1213,Q1213,P1213)</f>
        <v>6800grams</v>
      </c>
      <c r="U1213" s="200">
        <f>L1213*M1213</f>
        <v>860</v>
      </c>
      <c r="V1213" s="12"/>
      <c r="W1213" s="12"/>
    </row>
    <row r="1214" spans="1:23" x14ac:dyDescent="0.3">
      <c r="A1214" s="193">
        <v>464</v>
      </c>
      <c r="B1214" s="46" t="s">
        <v>1348</v>
      </c>
      <c r="C1214" s="215"/>
      <c r="D1214" s="194"/>
      <c r="E1214" s="215"/>
      <c r="F1214" s="215"/>
      <c r="G1214" s="215"/>
      <c r="H1214" s="194" t="s">
        <v>29</v>
      </c>
      <c r="I1214" s="170"/>
      <c r="J1214" s="46" t="s">
        <v>1349</v>
      </c>
      <c r="K1214" s="237"/>
      <c r="L1214" s="197">
        <v>129</v>
      </c>
      <c r="M1214" s="197">
        <v>2</v>
      </c>
      <c r="N1214" s="290">
        <v>454</v>
      </c>
      <c r="O1214" s="46"/>
      <c r="P1214" s="46" t="s">
        <v>39</v>
      </c>
      <c r="Q1214" s="170"/>
      <c r="R1214" s="192" t="str">
        <f>CONCATENATE(N1214,P1214)</f>
        <v>454grams</v>
      </c>
      <c r="S1214" s="198">
        <f>M1214*N1214</f>
        <v>908</v>
      </c>
      <c r="T1214" s="199" t="str">
        <f>CONCATENATE(S1214,Q1214,P1214)</f>
        <v>908grams</v>
      </c>
      <c r="U1214" s="200">
        <f>L1214*M1214</f>
        <v>258</v>
      </c>
      <c r="V1214" s="12"/>
      <c r="W1214" s="12"/>
    </row>
    <row r="1215" spans="1:23" x14ac:dyDescent="0.3">
      <c r="A1215" s="193">
        <v>464</v>
      </c>
      <c r="B1215" s="46" t="s">
        <v>1348</v>
      </c>
      <c r="C1215" s="215"/>
      <c r="D1215" s="194"/>
      <c r="E1215" s="215"/>
      <c r="F1215" s="215"/>
      <c r="G1215" s="215"/>
      <c r="H1215" s="194" t="s">
        <v>1368</v>
      </c>
      <c r="I1215" s="239"/>
      <c r="J1215" s="46" t="s">
        <v>963</v>
      </c>
      <c r="K1215" s="237"/>
      <c r="L1215" s="197">
        <v>143.5</v>
      </c>
      <c r="M1215" s="197">
        <v>2</v>
      </c>
      <c r="N1215" s="290">
        <v>500</v>
      </c>
      <c r="O1215" s="46"/>
      <c r="P1215" s="46" t="s">
        <v>39</v>
      </c>
      <c r="Q1215" s="170"/>
      <c r="R1215" s="192" t="str">
        <f>CONCATENATE(N1215,P1215)</f>
        <v>500grams</v>
      </c>
      <c r="S1215" s="198">
        <f>M1215*N1215</f>
        <v>1000</v>
      </c>
      <c r="T1215" s="199" t="str">
        <f>CONCATENATE(S1215,Q1215,P1215)</f>
        <v>1000grams</v>
      </c>
      <c r="U1215" s="200">
        <f>L1215*M1215</f>
        <v>287</v>
      </c>
      <c r="V1215" s="12"/>
      <c r="W1215" s="12"/>
    </row>
    <row r="1216" spans="1:23" x14ac:dyDescent="0.3">
      <c r="A1216" s="193">
        <v>464</v>
      </c>
      <c r="B1216" s="46" t="s">
        <v>1348</v>
      </c>
      <c r="C1216" s="215"/>
      <c r="D1216" s="194"/>
      <c r="E1216" s="215"/>
      <c r="F1216" s="215"/>
      <c r="G1216" s="215"/>
      <c r="H1216" s="194" t="s">
        <v>2021</v>
      </c>
      <c r="I1216" s="239"/>
      <c r="J1216" s="219" t="s">
        <v>1349</v>
      </c>
      <c r="K1216" s="237"/>
      <c r="L1216" s="216">
        <v>137</v>
      </c>
      <c r="M1216" s="216">
        <v>1</v>
      </c>
      <c r="N1216" s="293">
        <v>454</v>
      </c>
      <c r="O1216" s="219"/>
      <c r="P1216" s="219" t="s">
        <v>39</v>
      </c>
      <c r="Q1216" s="170"/>
      <c r="R1216" s="192" t="str">
        <f>CONCATENATE(N1216,P1216)</f>
        <v>454grams</v>
      </c>
      <c r="S1216" s="198">
        <f>M1216*N1216</f>
        <v>454</v>
      </c>
      <c r="T1216" s="199" t="str">
        <f>CONCATENATE(S1216,Q1216,P1216)</f>
        <v>454grams</v>
      </c>
      <c r="U1216" s="200">
        <f>L1216*M1216</f>
        <v>137</v>
      </c>
      <c r="V1216" s="12"/>
      <c r="W1216" s="12"/>
    </row>
    <row r="1217" spans="1:23" x14ac:dyDescent="0.3">
      <c r="A1217" s="193">
        <v>464</v>
      </c>
      <c r="B1217" s="46" t="s">
        <v>1348</v>
      </c>
      <c r="C1217" s="215"/>
      <c r="D1217" s="194"/>
      <c r="E1217" s="215"/>
      <c r="F1217" s="215"/>
      <c r="G1217" s="215"/>
      <c r="H1217" s="194" t="s">
        <v>2025</v>
      </c>
      <c r="I1217" s="170"/>
      <c r="J1217" s="46" t="s">
        <v>963</v>
      </c>
      <c r="K1217" s="237"/>
      <c r="L1217" s="197">
        <v>117.5</v>
      </c>
      <c r="M1217" s="197">
        <v>1</v>
      </c>
      <c r="N1217" s="290">
        <v>500</v>
      </c>
      <c r="O1217" s="46"/>
      <c r="P1217" s="46" t="s">
        <v>39</v>
      </c>
      <c r="Q1217" s="170"/>
      <c r="R1217" s="192" t="str">
        <f>CONCATENATE(N1217,P1217)</f>
        <v>500grams</v>
      </c>
      <c r="S1217" s="198">
        <f>M1217*N1217</f>
        <v>500</v>
      </c>
      <c r="T1217" s="199" t="str">
        <f>CONCATENATE(S1217,Q1217,P1217)</f>
        <v>500grams</v>
      </c>
      <c r="U1217" s="200">
        <f>L1217*M1217</f>
        <v>117.5</v>
      </c>
      <c r="V1217" s="12"/>
      <c r="W1217" s="12"/>
    </row>
    <row r="1218" spans="1:23" x14ac:dyDescent="0.3">
      <c r="A1218" s="479">
        <v>465</v>
      </c>
      <c r="B1218" s="194" t="s">
        <v>654</v>
      </c>
      <c r="C1218" s="239"/>
      <c r="D1218" s="194" t="str">
        <f ca="1">IFERROR(__xludf.DUMMYFUNCTION("IF(J348="""",""n/a"",IFERROR(SPLIT(J348,""/"")))"),"Ideal")</f>
        <v>Ideal</v>
      </c>
      <c r="E1218" s="244" t="str">
        <f ca="1">IFERROR(__xludf.DUMMYFUNCTION("""COMPUTED_VALUE"""),"box")</f>
        <v>box</v>
      </c>
      <c r="F1218" s="244" t="str">
        <f ca="1">IFERROR(__xludf.DUMMYFUNCTION("""COMPUTED_VALUE"""),"500grams")</f>
        <v>500grams</v>
      </c>
      <c r="G1218" s="239"/>
      <c r="H1218" s="183" t="s">
        <v>1897</v>
      </c>
      <c r="I1218" s="170"/>
      <c r="J1218" s="46" t="s">
        <v>655</v>
      </c>
      <c r="K1218" s="237"/>
      <c r="L1218" s="202">
        <v>0.28999999999999998</v>
      </c>
      <c r="M1218" s="202">
        <v>1816</v>
      </c>
      <c r="N1218" s="203">
        <v>454</v>
      </c>
      <c r="O1218" s="61" t="str">
        <f ca="1">E1218</f>
        <v>box</v>
      </c>
      <c r="P1218" s="61" t="s">
        <v>39</v>
      </c>
      <c r="Q1218" s="170"/>
      <c r="R1218" s="192" t="str">
        <f>CONCATENATE(N1218,P1218)</f>
        <v>454grams</v>
      </c>
      <c r="S1218" s="198">
        <f>M1218*N1218</f>
        <v>824464</v>
      </c>
      <c r="T1218" s="199" t="str">
        <f>CONCATENATE(S1218,Q1218,P1218)</f>
        <v>824464grams</v>
      </c>
      <c r="U1218" s="200">
        <f>L1218*M1218</f>
        <v>526.64</v>
      </c>
      <c r="V1218" s="12"/>
      <c r="W1218" s="12"/>
    </row>
    <row r="1219" spans="1:23" x14ac:dyDescent="0.3">
      <c r="A1219" s="479">
        <v>466</v>
      </c>
      <c r="B1219" s="194" t="s">
        <v>656</v>
      </c>
      <c r="C1219" s="239"/>
      <c r="D1219" s="194" t="str">
        <f ca="1">IFERROR(__xludf.DUMMYFUNCTION("IF(J349="""",""n/a"",IFERROR(SPLIT(J349,""/"")))"),"n/a")</f>
        <v>n/a</v>
      </c>
      <c r="E1219" s="239"/>
      <c r="F1219" s="239"/>
      <c r="G1219" s="239"/>
      <c r="H1219" s="206" t="s">
        <v>1898</v>
      </c>
      <c r="I1219" s="170"/>
      <c r="J1219" s="170"/>
      <c r="K1219" s="237"/>
      <c r="L1219" s="197">
        <v>0.39</v>
      </c>
      <c r="M1219" s="386">
        <v>750</v>
      </c>
      <c r="N1219" s="208">
        <v>1000</v>
      </c>
      <c r="O1219" s="170">
        <f>E1219</f>
        <v>0</v>
      </c>
      <c r="P1219" s="61" t="s">
        <v>39</v>
      </c>
      <c r="Q1219" s="170"/>
      <c r="R1219" s="192" t="str">
        <f>CONCATENATE(N1219,P1219)</f>
        <v>1000grams</v>
      </c>
      <c r="S1219" s="198">
        <f>M1219*N1219</f>
        <v>750000</v>
      </c>
      <c r="T1219" s="199" t="str">
        <f>CONCATENATE(S1219,Q1219,P1219)</f>
        <v>750000grams</v>
      </c>
      <c r="U1219" s="200">
        <f>L1219*M1219</f>
        <v>292.5</v>
      </c>
      <c r="V1219" s="12"/>
      <c r="W1219" s="12"/>
    </row>
    <row r="1220" spans="1:23" x14ac:dyDescent="0.3">
      <c r="A1220" s="193">
        <v>466</v>
      </c>
      <c r="B1220" s="46" t="s">
        <v>656</v>
      </c>
      <c r="C1220" s="253"/>
      <c r="D1220" s="194"/>
      <c r="E1220" s="253"/>
      <c r="F1220" s="253"/>
      <c r="G1220" s="253"/>
      <c r="H1220" s="194" t="s">
        <v>2025</v>
      </c>
      <c r="I1220" s="170"/>
      <c r="J1220" s="46" t="s">
        <v>962</v>
      </c>
      <c r="K1220" s="237"/>
      <c r="L1220" s="197">
        <v>400</v>
      </c>
      <c r="M1220" s="197">
        <v>0</v>
      </c>
      <c r="N1220" s="290">
        <v>1</v>
      </c>
      <c r="O1220" s="46"/>
      <c r="P1220" s="46" t="s">
        <v>213</v>
      </c>
      <c r="Q1220" s="170"/>
      <c r="R1220" s="192" t="str">
        <f>CONCATENATE(N1220,P1220)</f>
        <v>1kilos</v>
      </c>
      <c r="S1220" s="198">
        <f>M1220*N1220</f>
        <v>0</v>
      </c>
      <c r="T1220" s="199" t="str">
        <f>CONCATENATE(S1220,Q1220,P1220)</f>
        <v>0kilos</v>
      </c>
      <c r="U1220" s="200">
        <f>L1220*M1220</f>
        <v>0</v>
      </c>
      <c r="V1220" s="12"/>
      <c r="W1220" s="12"/>
    </row>
    <row r="1221" spans="1:23" x14ac:dyDescent="0.3">
      <c r="A1221" s="193">
        <v>466</v>
      </c>
      <c r="B1221" s="46" t="s">
        <v>656</v>
      </c>
      <c r="C1221" s="253"/>
      <c r="D1221" s="194"/>
      <c r="E1221" s="253"/>
      <c r="F1221" s="253"/>
      <c r="G1221" s="253"/>
      <c r="H1221" s="194" t="s">
        <v>2026</v>
      </c>
      <c r="I1221" s="170"/>
      <c r="J1221" s="46" t="s">
        <v>851</v>
      </c>
      <c r="K1221" s="237"/>
      <c r="L1221" s="197">
        <v>125</v>
      </c>
      <c r="M1221" s="197">
        <v>1</v>
      </c>
      <c r="N1221" s="290">
        <v>250</v>
      </c>
      <c r="O1221" s="297"/>
      <c r="P1221" s="297" t="s">
        <v>39</v>
      </c>
      <c r="Q1221" s="170"/>
      <c r="R1221" s="192" t="str">
        <f>CONCATENATE(N1221,P1221)</f>
        <v>250grams</v>
      </c>
      <c r="S1221" s="198">
        <f>M1221*N1221</f>
        <v>250</v>
      </c>
      <c r="T1221" s="199" t="str">
        <f>CONCATENATE(S1221,Q1221,P1221)</f>
        <v>250grams</v>
      </c>
      <c r="U1221" s="200">
        <f>L1221*M1221</f>
        <v>125</v>
      </c>
      <c r="V1221" s="12"/>
      <c r="W1221" s="12"/>
    </row>
    <row r="1222" spans="1:23" x14ac:dyDescent="0.3">
      <c r="A1222" s="193">
        <v>466</v>
      </c>
      <c r="B1222" s="46" t="s">
        <v>656</v>
      </c>
      <c r="C1222" s="215"/>
      <c r="D1222" s="194"/>
      <c r="E1222" s="215"/>
      <c r="F1222" s="215"/>
      <c r="G1222" s="215"/>
      <c r="H1222" s="194" t="s">
        <v>2023</v>
      </c>
      <c r="I1222" s="239"/>
      <c r="J1222" s="46" t="s">
        <v>790</v>
      </c>
      <c r="K1222" s="237"/>
      <c r="L1222" s="197">
        <v>98</v>
      </c>
      <c r="M1222" s="197">
        <v>1</v>
      </c>
      <c r="N1222" s="290">
        <v>1000</v>
      </c>
      <c r="O1222" s="46"/>
      <c r="P1222" s="46" t="s">
        <v>39</v>
      </c>
      <c r="Q1222" s="170"/>
      <c r="R1222" s="192" t="str">
        <f>CONCATENATE(N1222,P1222)</f>
        <v>1000grams</v>
      </c>
      <c r="S1222" s="198">
        <f>M1222*N1222</f>
        <v>1000</v>
      </c>
      <c r="T1222" s="199" t="str">
        <f>CONCATENATE(S1222,Q1222,P1222)</f>
        <v>1000grams</v>
      </c>
      <c r="U1222" s="200">
        <f>L1222*M1222</f>
        <v>98</v>
      </c>
      <c r="V1222" s="12"/>
      <c r="W1222" s="12"/>
    </row>
    <row r="1223" spans="1:23" x14ac:dyDescent="0.3">
      <c r="A1223" s="193">
        <v>467</v>
      </c>
      <c r="B1223" s="46" t="s">
        <v>1950</v>
      </c>
      <c r="C1223" s="215"/>
      <c r="D1223" s="194"/>
      <c r="E1223" s="215"/>
      <c r="F1223" s="215"/>
      <c r="G1223" s="215"/>
      <c r="H1223" s="400" t="s">
        <v>2027</v>
      </c>
      <c r="I1223" s="239"/>
      <c r="J1223" s="170"/>
      <c r="K1223" s="237"/>
      <c r="L1223" s="195">
        <v>9.1999999999999993</v>
      </c>
      <c r="M1223" s="197">
        <v>13</v>
      </c>
      <c r="N1223" s="360">
        <v>1</v>
      </c>
      <c r="O1223" s="61"/>
      <c r="P1223" s="61" t="s">
        <v>92</v>
      </c>
      <c r="Q1223" s="170"/>
      <c r="R1223" s="192" t="str">
        <f>CONCATENATE(N1223,P1223)</f>
        <v>1pieces</v>
      </c>
      <c r="S1223" s="198">
        <f>M1223*N1223</f>
        <v>13</v>
      </c>
      <c r="T1223" s="199" t="str">
        <f>CONCATENATE(S1223,Q1223,P1223)</f>
        <v>13pieces</v>
      </c>
      <c r="U1223" s="200">
        <f>L1223*M1223</f>
        <v>119.6</v>
      </c>
      <c r="V1223" s="12"/>
      <c r="W1223" s="12"/>
    </row>
    <row r="1224" spans="1:23" x14ac:dyDescent="0.3">
      <c r="A1224" s="479">
        <v>468</v>
      </c>
      <c r="B1224" s="194" t="s">
        <v>259</v>
      </c>
      <c r="C1224" s="170"/>
      <c r="D1224" s="194" t="str">
        <f ca="1">IFERROR(__xludf.DUMMYFUNCTION("IF(J350="""",""n/a"",IFERROR(SPLIT(J350,""/"")))"),"Mang Tomas")</f>
        <v>Mang Tomas</v>
      </c>
      <c r="E1224" s="194" t="str">
        <f ca="1">IFERROR(__xludf.DUMMYFUNCTION("""COMPUTED_VALUE"""),"bottle")</f>
        <v>bottle</v>
      </c>
      <c r="F1224" s="194" t="str">
        <f ca="1">IFERROR(__xludf.DUMMYFUNCTION("""COMPUTED_VALUE"""),"550grams")</f>
        <v>550grams</v>
      </c>
      <c r="G1224" s="170"/>
      <c r="H1224" s="183" t="s">
        <v>1897</v>
      </c>
      <c r="I1224" s="239"/>
      <c r="J1224" s="46" t="s">
        <v>260</v>
      </c>
      <c r="K1224" s="237"/>
      <c r="L1224" s="197">
        <v>0.09</v>
      </c>
      <c r="M1224" s="202">
        <v>1650</v>
      </c>
      <c r="N1224" s="203">
        <v>550</v>
      </c>
      <c r="O1224" s="61" t="str">
        <f ca="1">E1224</f>
        <v>bottle</v>
      </c>
      <c r="P1224" s="61" t="s">
        <v>39</v>
      </c>
      <c r="Q1224" s="170"/>
      <c r="R1224" s="192" t="str">
        <f>CONCATENATE(N1224,P1224)</f>
        <v>550grams</v>
      </c>
      <c r="S1224" s="198">
        <f>M1224*N1224</f>
        <v>907500</v>
      </c>
      <c r="T1224" s="199" t="str">
        <f>CONCATENATE(S1224,Q1224,P1224)</f>
        <v>907500grams</v>
      </c>
      <c r="U1224" s="200">
        <f>L1224*M1224</f>
        <v>148.5</v>
      </c>
      <c r="V1224" s="205"/>
      <c r="W1224" s="62"/>
    </row>
    <row r="1225" spans="1:23" x14ac:dyDescent="0.3">
      <c r="A1225" s="479">
        <v>468</v>
      </c>
      <c r="B1225" s="194" t="s">
        <v>259</v>
      </c>
      <c r="C1225" s="170"/>
      <c r="D1225" s="194" t="str">
        <f ca="1">IFERROR(__xludf.DUMMYFUNCTION("IF(J351="""",""n/a"",IFERROR(SPLIT(J351,""/"")))"),"Mang Tomas")</f>
        <v>Mang Tomas</v>
      </c>
      <c r="E1225" s="194" t="str">
        <f ca="1">IFERROR(__xludf.DUMMYFUNCTION("""COMPUTED_VALUE"""),"bottle")</f>
        <v>bottle</v>
      </c>
      <c r="F1225" s="194" t="str">
        <f ca="1">IFERROR(__xludf.DUMMYFUNCTION("""COMPUTED_VALUE"""),"550grams")</f>
        <v>550grams</v>
      </c>
      <c r="G1225" s="170"/>
      <c r="H1225" s="183" t="s">
        <v>1895</v>
      </c>
      <c r="I1225" s="239"/>
      <c r="J1225" s="46" t="s">
        <v>260</v>
      </c>
      <c r="K1225" s="237"/>
      <c r="L1225" s="195">
        <v>48.7</v>
      </c>
      <c r="M1225" s="197">
        <v>20</v>
      </c>
      <c r="N1225" s="229">
        <v>1</v>
      </c>
      <c r="O1225" s="61" t="str">
        <f ca="1">E1225</f>
        <v>bottle</v>
      </c>
      <c r="P1225" s="197" t="s">
        <v>39</v>
      </c>
      <c r="Q1225" s="487"/>
      <c r="R1225" s="192" t="str">
        <f>CONCATENATE(N1225,P1225)</f>
        <v>1grams</v>
      </c>
      <c r="S1225" s="198">
        <f>M1225*N1225</f>
        <v>20</v>
      </c>
      <c r="T1225" s="199" t="str">
        <f>CONCATENATE(S1225,Q1225,P1225)</f>
        <v>20grams</v>
      </c>
      <c r="U1225" s="200">
        <f>L1225*M1225</f>
        <v>974</v>
      </c>
      <c r="V1225" s="12"/>
      <c r="W1225" s="12"/>
    </row>
    <row r="1226" spans="1:23" x14ac:dyDescent="0.3">
      <c r="A1226" s="193">
        <v>468</v>
      </c>
      <c r="B1226" s="46" t="s">
        <v>259</v>
      </c>
      <c r="C1226" s="215"/>
      <c r="D1226" s="194"/>
      <c r="E1226" s="215"/>
      <c r="F1226" s="215"/>
      <c r="G1226" s="215"/>
      <c r="H1226" s="194" t="s">
        <v>2026</v>
      </c>
      <c r="I1226" s="239"/>
      <c r="J1226" s="46" t="s">
        <v>260</v>
      </c>
      <c r="K1226" s="237"/>
      <c r="L1226" s="197">
        <v>48.7</v>
      </c>
      <c r="M1226" s="197">
        <v>1</v>
      </c>
      <c r="N1226" s="290">
        <v>550</v>
      </c>
      <c r="O1226" s="46"/>
      <c r="P1226" s="46" t="s">
        <v>39</v>
      </c>
      <c r="Q1226" s="12"/>
      <c r="R1226" s="192" t="str">
        <f>CONCATENATE(N1226,P1226)</f>
        <v>550grams</v>
      </c>
      <c r="S1226" s="198">
        <f>M1226*N1226</f>
        <v>550</v>
      </c>
      <c r="T1226" s="199" t="str">
        <f>CONCATENATE(S1226,Q1226,P1226)</f>
        <v>550grams</v>
      </c>
      <c r="U1226" s="200">
        <f>L1226*M1226</f>
        <v>48.7</v>
      </c>
      <c r="V1226" s="12"/>
      <c r="W1226" s="12"/>
    </row>
    <row r="1227" spans="1:23" x14ac:dyDescent="0.3">
      <c r="A1227" s="193">
        <v>468</v>
      </c>
      <c r="B1227" s="46" t="s">
        <v>259</v>
      </c>
      <c r="C1227" s="215"/>
      <c r="D1227" s="194"/>
      <c r="E1227" s="215"/>
      <c r="F1227" s="215"/>
      <c r="G1227" s="215"/>
      <c r="H1227" s="194" t="s">
        <v>2026</v>
      </c>
      <c r="I1227" s="239"/>
      <c r="J1227" s="46" t="s">
        <v>1350</v>
      </c>
      <c r="K1227" s="237"/>
      <c r="L1227" s="197">
        <v>35.1</v>
      </c>
      <c r="M1227" s="197">
        <v>1</v>
      </c>
      <c r="N1227" s="290">
        <v>325</v>
      </c>
      <c r="O1227" s="46"/>
      <c r="P1227" s="46" t="s">
        <v>39</v>
      </c>
      <c r="Q1227" s="12"/>
      <c r="R1227" s="192" t="str">
        <f>CONCATENATE(N1227,P1227)</f>
        <v>325grams</v>
      </c>
      <c r="S1227" s="198">
        <f>M1227*N1227</f>
        <v>325</v>
      </c>
      <c r="T1227" s="199" t="str">
        <f>CONCATENATE(S1227,Q1227,P1227)</f>
        <v>325grams</v>
      </c>
      <c r="U1227" s="200">
        <f>L1227*M1227</f>
        <v>35.1</v>
      </c>
      <c r="V1227" s="12"/>
      <c r="W1227" s="12"/>
    </row>
    <row r="1228" spans="1:23" x14ac:dyDescent="0.3">
      <c r="A1228" s="193">
        <v>468</v>
      </c>
      <c r="B1228" s="46" t="s">
        <v>259</v>
      </c>
      <c r="C1228" s="215"/>
      <c r="D1228" s="194"/>
      <c r="E1228" s="215"/>
      <c r="F1228" s="215"/>
      <c r="G1228" s="215"/>
      <c r="H1228" s="194" t="s">
        <v>2023</v>
      </c>
      <c r="I1228" s="239"/>
      <c r="J1228" s="46" t="s">
        <v>260</v>
      </c>
      <c r="K1228" s="237"/>
      <c r="L1228" s="197">
        <v>48.7</v>
      </c>
      <c r="M1228" s="197">
        <v>1</v>
      </c>
      <c r="N1228" s="290">
        <v>550</v>
      </c>
      <c r="O1228" s="46"/>
      <c r="P1228" s="46" t="s">
        <v>39</v>
      </c>
      <c r="Q1228" s="12"/>
      <c r="R1228" s="192" t="str">
        <f>CONCATENATE(N1228,P1228)</f>
        <v>550grams</v>
      </c>
      <c r="S1228" s="198">
        <f>M1228*N1228</f>
        <v>550</v>
      </c>
      <c r="T1228" s="199" t="str">
        <f>CONCATENATE(S1228,Q1228,P1228)</f>
        <v>550grams</v>
      </c>
      <c r="U1228" s="200">
        <f>L1228*M1228</f>
        <v>48.7</v>
      </c>
      <c r="V1228" s="12"/>
      <c r="W1228" s="12"/>
    </row>
    <row r="1229" spans="1:23" x14ac:dyDescent="0.3">
      <c r="A1229" s="193">
        <v>468</v>
      </c>
      <c r="B1229" s="46" t="s">
        <v>259</v>
      </c>
      <c r="C1229" s="215"/>
      <c r="D1229" s="194"/>
      <c r="E1229" s="215"/>
      <c r="F1229" s="215"/>
      <c r="G1229" s="215"/>
      <c r="H1229" s="194" t="s">
        <v>2022</v>
      </c>
      <c r="I1229" s="239"/>
      <c r="J1229" s="46" t="s">
        <v>1351</v>
      </c>
      <c r="K1229" s="237"/>
      <c r="L1229" s="197">
        <v>77.3</v>
      </c>
      <c r="M1229" s="197">
        <v>5</v>
      </c>
      <c r="N1229" s="290">
        <v>1000</v>
      </c>
      <c r="O1229" s="46"/>
      <c r="P1229" s="46" t="s">
        <v>213</v>
      </c>
      <c r="Q1229" s="12"/>
      <c r="R1229" s="192" t="str">
        <f>CONCATENATE(N1229,P1229)</f>
        <v>1000kilos</v>
      </c>
      <c r="S1229" s="198">
        <f>M1229*N1229</f>
        <v>5000</v>
      </c>
      <c r="T1229" s="199" t="str">
        <f>CONCATENATE(S1229,Q1229,P1229)</f>
        <v>5000kilos</v>
      </c>
      <c r="U1229" s="200">
        <f>L1229*M1229</f>
        <v>386.5</v>
      </c>
      <c r="V1229" s="12"/>
      <c r="W1229" s="12"/>
    </row>
    <row r="1230" spans="1:23" x14ac:dyDescent="0.3">
      <c r="A1230" s="193">
        <v>468</v>
      </c>
      <c r="B1230" s="46" t="s">
        <v>259</v>
      </c>
      <c r="C1230" s="215"/>
      <c r="D1230" s="194"/>
      <c r="E1230" s="215"/>
      <c r="F1230" s="215"/>
      <c r="G1230" s="215"/>
      <c r="H1230" s="194" t="s">
        <v>2022</v>
      </c>
      <c r="I1230" s="239"/>
      <c r="J1230" s="46" t="s">
        <v>1352</v>
      </c>
      <c r="K1230" s="237"/>
      <c r="L1230" s="197">
        <v>251</v>
      </c>
      <c r="M1230" s="197">
        <v>4</v>
      </c>
      <c r="N1230" s="290">
        <v>1</v>
      </c>
      <c r="O1230" s="46"/>
      <c r="P1230" s="46" t="s">
        <v>200</v>
      </c>
      <c r="Q1230" s="12"/>
      <c r="R1230" s="192" t="str">
        <f>CONCATENATE(N1230,P1230)</f>
        <v>1gal</v>
      </c>
      <c r="S1230" s="198">
        <f>M1230*N1230</f>
        <v>4</v>
      </c>
      <c r="T1230" s="199" t="str">
        <f>CONCATENATE(S1230,Q1230,P1230)</f>
        <v>4gal</v>
      </c>
      <c r="U1230" s="200">
        <f>L1230*M1230</f>
        <v>1004</v>
      </c>
      <c r="V1230" s="12"/>
      <c r="W1230" s="12"/>
    </row>
    <row r="1231" spans="1:23" x14ac:dyDescent="0.3">
      <c r="A1231" s="193">
        <v>468</v>
      </c>
      <c r="B1231" s="219" t="s">
        <v>259</v>
      </c>
      <c r="C1231" s="215"/>
      <c r="D1231" s="194"/>
      <c r="E1231" s="215"/>
      <c r="F1231" s="215"/>
      <c r="G1231" s="215"/>
      <c r="H1231" s="194" t="s">
        <v>2021</v>
      </c>
      <c r="I1231" s="239"/>
      <c r="J1231" s="219" t="s">
        <v>260</v>
      </c>
      <c r="K1231" s="237"/>
      <c r="L1231" s="216">
        <v>48.7</v>
      </c>
      <c r="M1231" s="216">
        <v>1</v>
      </c>
      <c r="N1231" s="293">
        <v>550</v>
      </c>
      <c r="O1231" s="219"/>
      <c r="P1231" s="219" t="s">
        <v>39</v>
      </c>
      <c r="Q1231" s="12"/>
      <c r="R1231" s="192" t="str">
        <f>CONCATENATE(N1231,P1231)</f>
        <v>550grams</v>
      </c>
      <c r="S1231" s="198">
        <f>M1231*N1231</f>
        <v>550</v>
      </c>
      <c r="T1231" s="199" t="str">
        <f>CONCATENATE(S1231,Q1231,P1231)</f>
        <v>550grams</v>
      </c>
      <c r="U1231" s="200">
        <f>L1231*M1231</f>
        <v>48.7</v>
      </c>
      <c r="V1231" s="12"/>
      <c r="W1231" s="12"/>
    </row>
    <row r="1232" spans="1:23" x14ac:dyDescent="0.3">
      <c r="A1232" s="193">
        <v>468</v>
      </c>
      <c r="B1232" s="46" t="s">
        <v>259</v>
      </c>
      <c r="C1232" s="215"/>
      <c r="D1232" s="194"/>
      <c r="E1232" s="215"/>
      <c r="F1232" s="215"/>
      <c r="G1232" s="215"/>
      <c r="H1232" s="194" t="s">
        <v>1368</v>
      </c>
      <c r="I1232" s="239"/>
      <c r="J1232" s="46" t="s">
        <v>1351</v>
      </c>
      <c r="K1232" s="237"/>
      <c r="L1232" s="197">
        <v>36.25</v>
      </c>
      <c r="M1232" s="197">
        <v>4</v>
      </c>
      <c r="N1232" s="290">
        <v>325</v>
      </c>
      <c r="O1232" s="46"/>
      <c r="P1232" s="46" t="s">
        <v>39</v>
      </c>
      <c r="Q1232" s="12"/>
      <c r="R1232" s="192" t="str">
        <f>CONCATENATE(N1232,P1232)</f>
        <v>325grams</v>
      </c>
      <c r="S1232" s="198">
        <f>M1232*N1232</f>
        <v>1300</v>
      </c>
      <c r="T1232" s="199" t="str">
        <f>CONCATENATE(S1232,Q1232,P1232)</f>
        <v>1300grams</v>
      </c>
      <c r="U1232" s="200">
        <f>L1232*M1232</f>
        <v>145</v>
      </c>
      <c r="V1232" s="12"/>
      <c r="W1232" s="12"/>
    </row>
    <row r="1233" spans="1:23" x14ac:dyDescent="0.3">
      <c r="A1233" s="193">
        <v>468</v>
      </c>
      <c r="B1233" s="46" t="s">
        <v>259</v>
      </c>
      <c r="C1233" s="215"/>
      <c r="D1233" s="194"/>
      <c r="E1233" s="215"/>
      <c r="F1233" s="215"/>
      <c r="G1233" s="215"/>
      <c r="H1233" s="194" t="s">
        <v>2025</v>
      </c>
      <c r="I1233" s="239"/>
      <c r="J1233" s="46" t="s">
        <v>1351</v>
      </c>
      <c r="K1233" s="237"/>
      <c r="L1233" s="197">
        <v>48.7</v>
      </c>
      <c r="M1233" s="197">
        <v>1</v>
      </c>
      <c r="N1233" s="290">
        <v>4</v>
      </c>
      <c r="O1233" s="46"/>
      <c r="P1233" s="46" t="s">
        <v>773</v>
      </c>
      <c r="Q1233" s="12"/>
      <c r="R1233" s="192" t="str">
        <f>CONCATENATE(N1233,P1233)</f>
        <v>4liters</v>
      </c>
      <c r="S1233" s="198">
        <f>M1233*N1233</f>
        <v>4</v>
      </c>
      <c r="T1233" s="199" t="str">
        <f>CONCATENATE(S1233,Q1233,P1233)</f>
        <v>4liters</v>
      </c>
      <c r="U1233" s="200">
        <f>L1233*M1233</f>
        <v>48.7</v>
      </c>
      <c r="V1233" s="12"/>
      <c r="W1233" s="12"/>
    </row>
    <row r="1234" spans="1:23" x14ac:dyDescent="0.3">
      <c r="A1234" s="193">
        <v>469</v>
      </c>
      <c r="B1234" s="46" t="s">
        <v>1353</v>
      </c>
      <c r="C1234" s="215"/>
      <c r="D1234" s="194"/>
      <c r="E1234" s="215"/>
      <c r="F1234" s="215"/>
      <c r="G1234" s="215"/>
      <c r="H1234" s="194" t="s">
        <v>2026</v>
      </c>
      <c r="I1234" s="170"/>
      <c r="J1234" s="170"/>
      <c r="K1234" s="237"/>
      <c r="L1234" s="197">
        <v>25</v>
      </c>
      <c r="M1234" s="197">
        <v>4</v>
      </c>
      <c r="N1234" s="290">
        <v>1</v>
      </c>
      <c r="O1234" s="46"/>
      <c r="P1234" s="46" t="s">
        <v>92</v>
      </c>
      <c r="Q1234" s="12"/>
      <c r="R1234" s="192" t="str">
        <f>CONCATENATE(N1234,P1234)</f>
        <v>1pieces</v>
      </c>
      <c r="S1234" s="198">
        <f>M1234*N1234</f>
        <v>4</v>
      </c>
      <c r="T1234" s="199" t="str">
        <f>CONCATENATE(S1234,Q1234,P1234)</f>
        <v>4pieces</v>
      </c>
      <c r="U1234" s="200">
        <f>L1234*M1234</f>
        <v>100</v>
      </c>
      <c r="V1234" s="12"/>
      <c r="W1234" s="12"/>
    </row>
    <row r="1235" spans="1:23" x14ac:dyDescent="0.3">
      <c r="A1235" s="193">
        <v>469</v>
      </c>
      <c r="B1235" s="46" t="s">
        <v>1353</v>
      </c>
      <c r="C1235" s="215"/>
      <c r="D1235" s="194"/>
      <c r="E1235" s="215"/>
      <c r="F1235" s="215"/>
      <c r="G1235" s="215"/>
      <c r="H1235" s="194" t="s">
        <v>1368</v>
      </c>
      <c r="I1235" s="170"/>
      <c r="J1235" s="46" t="s">
        <v>1354</v>
      </c>
      <c r="K1235" s="237"/>
      <c r="L1235" s="197">
        <v>25</v>
      </c>
      <c r="M1235" s="197">
        <v>2</v>
      </c>
      <c r="N1235" s="290">
        <v>1000</v>
      </c>
      <c r="O1235" s="46"/>
      <c r="P1235" s="46" t="s">
        <v>39</v>
      </c>
      <c r="Q1235" s="12"/>
      <c r="R1235" s="192" t="str">
        <f>CONCATENATE(N1235,P1235)</f>
        <v>1000grams</v>
      </c>
      <c r="S1235" s="198">
        <f>M1235*N1235</f>
        <v>2000</v>
      </c>
      <c r="T1235" s="199" t="str">
        <f>CONCATENATE(S1235,Q1235,P1235)</f>
        <v>2000grams</v>
      </c>
      <c r="U1235" s="200">
        <f>L1235*M1235</f>
        <v>50</v>
      </c>
      <c r="V1235" s="12"/>
      <c r="W1235" s="12"/>
    </row>
    <row r="1236" spans="1:23" x14ac:dyDescent="0.3">
      <c r="A1236" s="193">
        <v>469</v>
      </c>
      <c r="B1236" s="46" t="s">
        <v>1353</v>
      </c>
      <c r="C1236" s="215"/>
      <c r="D1236" s="194"/>
      <c r="E1236" s="215"/>
      <c r="F1236" s="215"/>
      <c r="G1236" s="215"/>
      <c r="H1236" s="194" t="s">
        <v>2023</v>
      </c>
      <c r="I1236" s="170"/>
      <c r="J1236" s="170"/>
      <c r="K1236" s="237"/>
      <c r="L1236" s="197">
        <v>28</v>
      </c>
      <c r="M1236" s="197">
        <v>1</v>
      </c>
      <c r="N1236" s="290">
        <v>1</v>
      </c>
      <c r="O1236" s="46"/>
      <c r="P1236" s="46" t="s">
        <v>92</v>
      </c>
      <c r="Q1236" s="12"/>
      <c r="R1236" s="192" t="str">
        <f>CONCATENATE(N1236,P1236)</f>
        <v>1pieces</v>
      </c>
      <c r="S1236" s="198">
        <f>M1236*N1236</f>
        <v>1</v>
      </c>
      <c r="T1236" s="199" t="str">
        <f>CONCATENATE(S1236,Q1236,P1236)</f>
        <v>1pieces</v>
      </c>
      <c r="U1236" s="200">
        <f>L1236*M1236</f>
        <v>28</v>
      </c>
      <c r="V1236" s="12"/>
      <c r="W1236" s="12"/>
    </row>
    <row r="1237" spans="1:23" x14ac:dyDescent="0.3">
      <c r="A1237" s="193">
        <v>469</v>
      </c>
      <c r="B1237" s="46" t="s">
        <v>1353</v>
      </c>
      <c r="C1237" s="215"/>
      <c r="D1237" s="194"/>
      <c r="E1237" s="215"/>
      <c r="F1237" s="215"/>
      <c r="G1237" s="215"/>
      <c r="H1237" s="400" t="s">
        <v>2027</v>
      </c>
      <c r="I1237" s="170"/>
      <c r="J1237" s="46" t="s">
        <v>1951</v>
      </c>
      <c r="K1237" s="237"/>
      <c r="L1237" s="195">
        <v>35</v>
      </c>
      <c r="M1237" s="197">
        <v>1</v>
      </c>
      <c r="N1237" s="360">
        <v>1</v>
      </c>
      <c r="O1237" s="61"/>
      <c r="P1237" s="61" t="s">
        <v>213</v>
      </c>
      <c r="Q1237" s="12"/>
      <c r="R1237" s="192" t="str">
        <f>CONCATENATE(N1237,P1237)</f>
        <v>1kilos</v>
      </c>
      <c r="S1237" s="198">
        <f>M1237*N1237</f>
        <v>1</v>
      </c>
      <c r="T1237" s="199" t="str">
        <f>CONCATENATE(S1237,Q1237,P1237)</f>
        <v>1kilos</v>
      </c>
      <c r="U1237" s="200">
        <f>L1237*M1237</f>
        <v>35</v>
      </c>
      <c r="V1237" s="12"/>
      <c r="W1237" s="12"/>
    </row>
    <row r="1238" spans="1:23" x14ac:dyDescent="0.3">
      <c r="A1238" s="193">
        <v>470</v>
      </c>
      <c r="B1238" s="46" t="s">
        <v>1355</v>
      </c>
      <c r="C1238" s="215"/>
      <c r="D1238" s="194"/>
      <c r="E1238" s="215"/>
      <c r="F1238" s="215"/>
      <c r="G1238" s="215"/>
      <c r="H1238" s="194" t="s">
        <v>1368</v>
      </c>
      <c r="I1238" s="170"/>
      <c r="J1238" s="46" t="s">
        <v>30</v>
      </c>
      <c r="K1238" s="237"/>
      <c r="L1238" s="197">
        <v>180</v>
      </c>
      <c r="M1238" s="197">
        <v>12</v>
      </c>
      <c r="N1238" s="290">
        <v>200</v>
      </c>
      <c r="O1238" s="46"/>
      <c r="P1238" s="46" t="s">
        <v>39</v>
      </c>
      <c r="Q1238" s="12"/>
      <c r="R1238" s="192" t="str">
        <f>CONCATENATE(N1238,P1238)</f>
        <v>200grams</v>
      </c>
      <c r="S1238" s="198">
        <f>M1238*N1238</f>
        <v>2400</v>
      </c>
      <c r="T1238" s="199" t="str">
        <f>CONCATENATE(S1238,Q1238,P1238)</f>
        <v>2400grams</v>
      </c>
      <c r="U1238" s="200">
        <f>L1238*M1238</f>
        <v>2160</v>
      </c>
      <c r="V1238" s="12"/>
      <c r="W1238" s="12"/>
    </row>
    <row r="1239" spans="1:23" x14ac:dyDescent="0.3">
      <c r="A1239" s="193">
        <v>471</v>
      </c>
      <c r="B1239" s="46" t="s">
        <v>1356</v>
      </c>
      <c r="C1239" s="215"/>
      <c r="D1239" s="194"/>
      <c r="E1239" s="215"/>
      <c r="F1239" s="215"/>
      <c r="G1239" s="215"/>
      <c r="H1239" s="194" t="s">
        <v>1368</v>
      </c>
      <c r="I1239" s="170"/>
      <c r="J1239" s="46" t="s">
        <v>30</v>
      </c>
      <c r="K1239" s="237"/>
      <c r="L1239" s="197">
        <v>180</v>
      </c>
      <c r="M1239" s="197">
        <v>24</v>
      </c>
      <c r="N1239" s="290">
        <v>200</v>
      </c>
      <c r="O1239" s="46"/>
      <c r="P1239" s="46" t="s">
        <v>39</v>
      </c>
      <c r="Q1239" s="12"/>
      <c r="R1239" s="192" t="str">
        <f>CONCATENATE(N1239,P1239)</f>
        <v>200grams</v>
      </c>
      <c r="S1239" s="198">
        <f>M1239*N1239</f>
        <v>4800</v>
      </c>
      <c r="T1239" s="199" t="str">
        <f>CONCATENATE(S1239,Q1239,P1239)</f>
        <v>4800grams</v>
      </c>
      <c r="U1239" s="200">
        <f>L1239*M1239</f>
        <v>4320</v>
      </c>
      <c r="V1239" s="12"/>
      <c r="W1239" s="12"/>
    </row>
    <row r="1240" spans="1:23" x14ac:dyDescent="0.3">
      <c r="A1240" s="193">
        <v>472</v>
      </c>
      <c r="B1240" s="46" t="s">
        <v>1357</v>
      </c>
      <c r="C1240" s="215"/>
      <c r="D1240" s="194"/>
      <c r="E1240" s="215"/>
      <c r="F1240" s="215"/>
      <c r="G1240" s="215"/>
      <c r="H1240" s="194" t="s">
        <v>2026</v>
      </c>
      <c r="I1240" s="170"/>
      <c r="J1240" s="46" t="s">
        <v>216</v>
      </c>
      <c r="K1240" s="237"/>
      <c r="L1240" s="197">
        <v>250</v>
      </c>
      <c r="M1240" s="197">
        <v>0</v>
      </c>
      <c r="N1240" s="290">
        <v>1000</v>
      </c>
      <c r="O1240" s="46"/>
      <c r="P1240" s="46" t="s">
        <v>39</v>
      </c>
      <c r="Q1240" s="12"/>
      <c r="R1240" s="192" t="str">
        <f>CONCATENATE(N1240,P1240)</f>
        <v>1000grams</v>
      </c>
      <c r="S1240" s="198">
        <f>M1240*N1240</f>
        <v>0</v>
      </c>
      <c r="T1240" s="199" t="str">
        <f>CONCATENATE(S1240,Q1240,P1240)</f>
        <v>0grams</v>
      </c>
      <c r="U1240" s="200">
        <f>L1240*M1240</f>
        <v>0</v>
      </c>
      <c r="V1240" s="12"/>
      <c r="W1240" s="12"/>
    </row>
    <row r="1241" spans="1:23" x14ac:dyDescent="0.3">
      <c r="A1241" s="193">
        <v>472</v>
      </c>
      <c r="B1241" s="46" t="s">
        <v>1357</v>
      </c>
      <c r="C1241" s="215"/>
      <c r="D1241" s="194"/>
      <c r="E1241" s="215"/>
      <c r="F1241" s="215"/>
      <c r="G1241" s="215"/>
      <c r="H1241" s="194" t="s">
        <v>2023</v>
      </c>
      <c r="I1241" s="170"/>
      <c r="J1241" s="46" t="s">
        <v>216</v>
      </c>
      <c r="K1241" s="237"/>
      <c r="L1241" s="197">
        <v>195</v>
      </c>
      <c r="M1241" s="197">
        <v>1</v>
      </c>
      <c r="N1241" s="290">
        <v>1000</v>
      </c>
      <c r="O1241" s="46"/>
      <c r="P1241" s="46" t="s">
        <v>39</v>
      </c>
      <c r="Q1241" s="12"/>
      <c r="R1241" s="192" t="str">
        <f>CONCATENATE(N1241,P1241)</f>
        <v>1000grams</v>
      </c>
      <c r="S1241" s="198">
        <f>M1241*N1241</f>
        <v>1000</v>
      </c>
      <c r="T1241" s="199" t="str">
        <f>CONCATENATE(S1241,Q1241,P1241)</f>
        <v>1000grams</v>
      </c>
      <c r="U1241" s="200">
        <f>L1241*M1241</f>
        <v>195</v>
      </c>
      <c r="V1241" s="12"/>
      <c r="W1241" s="12"/>
    </row>
    <row r="1242" spans="1:23" x14ac:dyDescent="0.3">
      <c r="A1242" s="193">
        <v>473</v>
      </c>
      <c r="B1242" s="46" t="s">
        <v>1358</v>
      </c>
      <c r="C1242" s="215"/>
      <c r="D1242" s="194"/>
      <c r="E1242" s="215"/>
      <c r="F1242" s="215"/>
      <c r="G1242" s="215"/>
      <c r="H1242" s="194" t="s">
        <v>2025</v>
      </c>
      <c r="I1242" s="170"/>
      <c r="J1242" s="46" t="s">
        <v>1359</v>
      </c>
      <c r="K1242" s="237"/>
      <c r="L1242" s="197">
        <v>320</v>
      </c>
      <c r="M1242" s="197">
        <v>0</v>
      </c>
      <c r="N1242" s="290">
        <v>1</v>
      </c>
      <c r="O1242" s="60"/>
      <c r="P1242" s="60" t="s">
        <v>773</v>
      </c>
      <c r="Q1242" s="12"/>
      <c r="R1242" s="192" t="str">
        <f>CONCATENATE(N1242,P1242)</f>
        <v>1liters</v>
      </c>
      <c r="S1242" s="198">
        <f>M1242*N1242</f>
        <v>0</v>
      </c>
      <c r="T1242" s="199" t="str">
        <f>CONCATENATE(S1242,Q1242,P1242)</f>
        <v>0liters</v>
      </c>
      <c r="U1242" s="200">
        <f>L1242*M1242</f>
        <v>0</v>
      </c>
      <c r="V1242" s="12"/>
      <c r="W1242" s="12"/>
    </row>
    <row r="1243" spans="1:23" x14ac:dyDescent="0.3">
      <c r="A1243" s="193">
        <v>473</v>
      </c>
      <c r="B1243" s="219" t="s">
        <v>1360</v>
      </c>
      <c r="C1243" s="215"/>
      <c r="D1243" s="194"/>
      <c r="E1243" s="215"/>
      <c r="F1243" s="215"/>
      <c r="G1243" s="215"/>
      <c r="H1243" s="194" t="s">
        <v>2021</v>
      </c>
      <c r="I1243" s="170"/>
      <c r="J1243" s="219" t="s">
        <v>1361</v>
      </c>
      <c r="K1243" s="237"/>
      <c r="L1243" s="216">
        <v>310</v>
      </c>
      <c r="M1243" s="216">
        <v>1</v>
      </c>
      <c r="N1243" s="293">
        <v>1800</v>
      </c>
      <c r="O1243" s="219"/>
      <c r="P1243" s="219" t="s">
        <v>32</v>
      </c>
      <c r="Q1243" s="12"/>
      <c r="R1243" s="192" t="str">
        <f>CONCATENATE(N1243,P1243)</f>
        <v>1800ml</v>
      </c>
      <c r="S1243" s="198">
        <f>M1243*N1243</f>
        <v>1800</v>
      </c>
      <c r="T1243" s="199" t="str">
        <f>CONCATENATE(S1243,Q1243,P1243)</f>
        <v>1800ml</v>
      </c>
      <c r="U1243" s="200">
        <f>L1243*M1243</f>
        <v>310</v>
      </c>
      <c r="V1243" s="12"/>
      <c r="W1243" s="12"/>
    </row>
    <row r="1244" spans="1:23" x14ac:dyDescent="0.3">
      <c r="A1244" s="193">
        <v>474</v>
      </c>
      <c r="B1244" s="46" t="s">
        <v>1952</v>
      </c>
      <c r="C1244" s="215"/>
      <c r="D1244" s="194"/>
      <c r="E1244" s="215"/>
      <c r="F1244" s="215"/>
      <c r="G1244" s="215"/>
      <c r="H1244" s="400" t="s">
        <v>2027</v>
      </c>
      <c r="I1244" s="170"/>
      <c r="J1244" s="46" t="s">
        <v>1953</v>
      </c>
      <c r="K1244" s="237"/>
      <c r="L1244" s="195">
        <v>87.5</v>
      </c>
      <c r="M1244" s="197">
        <v>1</v>
      </c>
      <c r="N1244" s="360">
        <v>1</v>
      </c>
      <c r="O1244" s="61"/>
      <c r="P1244" s="61" t="s">
        <v>213</v>
      </c>
      <c r="Q1244" s="12"/>
      <c r="R1244" s="192" t="str">
        <f>CONCATENATE(N1244,P1244)</f>
        <v>1kilos</v>
      </c>
      <c r="S1244" s="198">
        <f>M1244*N1244</f>
        <v>1</v>
      </c>
      <c r="T1244" s="199" t="str">
        <f>CONCATENATE(S1244,Q1244,P1244)</f>
        <v>1kilos</v>
      </c>
      <c r="U1244" s="200">
        <f>L1244*M1244</f>
        <v>87.5</v>
      </c>
      <c r="V1244" s="12"/>
      <c r="W1244" s="12"/>
    </row>
    <row r="1245" spans="1:23" x14ac:dyDescent="0.3">
      <c r="A1245" s="479">
        <v>475</v>
      </c>
      <c r="B1245" s="194" t="s">
        <v>77</v>
      </c>
      <c r="C1245" s="170"/>
      <c r="D1245" s="194" t="str">
        <f ca="1">IFERROR(__xludf.DUMMYFUNCTION("IF(J352="""",""n/a"",IFERROR(SPLIT(J352,""/"")))"),"Mr. Brown")</f>
        <v>Mr. Brown</v>
      </c>
      <c r="E1245" s="194" t="str">
        <f ca="1">IFERROR(__xludf.DUMMYFUNCTION("""COMPUTED_VALUE"""),"bottle")</f>
        <v>bottle</v>
      </c>
      <c r="F1245" s="194" t="str">
        <f ca="1">IFERROR(__xludf.DUMMYFUNCTION("""COMPUTED_VALUE"""),"350ml")</f>
        <v>350ml</v>
      </c>
      <c r="G1245" s="170"/>
      <c r="H1245" s="183" t="s">
        <v>1895</v>
      </c>
      <c r="I1245" s="170"/>
      <c r="J1245" s="46" t="s">
        <v>78</v>
      </c>
      <c r="K1245" s="237"/>
      <c r="L1245" s="195">
        <v>55</v>
      </c>
      <c r="M1245" s="197">
        <v>3</v>
      </c>
      <c r="N1245" s="61">
        <v>350</v>
      </c>
      <c r="O1245" s="61" t="str">
        <f ca="1">E1245</f>
        <v>bottle</v>
      </c>
      <c r="P1245" s="61" t="s">
        <v>32</v>
      </c>
      <c r="Q1245" s="487"/>
      <c r="R1245" s="192" t="str">
        <f>CONCATENATE(N1245,P1245)</f>
        <v>350ml</v>
      </c>
      <c r="S1245" s="198">
        <f>M1245*N1245</f>
        <v>1050</v>
      </c>
      <c r="T1245" s="199" t="str">
        <f>CONCATENATE(S1245,Q1245,P1245)</f>
        <v>1050ml</v>
      </c>
      <c r="U1245" s="200">
        <f>L1245*M1245</f>
        <v>165</v>
      </c>
      <c r="V1245" s="12"/>
      <c r="W1245" s="12"/>
    </row>
    <row r="1246" spans="1:23" x14ac:dyDescent="0.3">
      <c r="A1246" s="193">
        <v>475</v>
      </c>
      <c r="B1246" s="46" t="s">
        <v>77</v>
      </c>
      <c r="C1246" s="215"/>
      <c r="D1246" s="194"/>
      <c r="E1246" s="215"/>
      <c r="F1246" s="215"/>
      <c r="G1246" s="215"/>
      <c r="H1246" s="194" t="s">
        <v>2023</v>
      </c>
      <c r="I1246" s="170"/>
      <c r="J1246" s="46" t="s">
        <v>1362</v>
      </c>
      <c r="K1246" s="237"/>
      <c r="L1246" s="197">
        <v>65</v>
      </c>
      <c r="M1246" s="197">
        <v>1</v>
      </c>
      <c r="N1246" s="290">
        <v>350</v>
      </c>
      <c r="O1246" s="46"/>
      <c r="P1246" s="46" t="s">
        <v>32</v>
      </c>
      <c r="Q1246" s="12"/>
      <c r="R1246" s="192" t="str">
        <f>CONCATENATE(N1246,P1246)</f>
        <v>350ml</v>
      </c>
      <c r="S1246" s="198">
        <f>M1246*N1246</f>
        <v>350</v>
      </c>
      <c r="T1246" s="199" t="str">
        <f>CONCATENATE(S1246,Q1246,P1246)</f>
        <v>350ml</v>
      </c>
      <c r="U1246" s="200">
        <f>L1246*M1246</f>
        <v>65</v>
      </c>
      <c r="V1246" s="12"/>
      <c r="W1246" s="12"/>
    </row>
    <row r="1247" spans="1:23" x14ac:dyDescent="0.3">
      <c r="A1247" s="479">
        <v>476</v>
      </c>
      <c r="B1247" s="194" t="s">
        <v>657</v>
      </c>
      <c r="C1247" s="170"/>
      <c r="D1247" s="194" t="str">
        <f ca="1">IFERROR(__xludf.DUMMYFUNCTION("IF(J353="""",""n/a"",IFERROR(SPLIT(J353,""/"")))"),"Green Leaves")</f>
        <v>Green Leaves</v>
      </c>
      <c r="E1247" s="194" t="str">
        <f ca="1">IFERROR(__xludf.DUMMYFUNCTION("""COMPUTED_VALUE"""),"bottle")</f>
        <v>bottle</v>
      </c>
      <c r="F1247" s="194" t="str">
        <f ca="1">IFERROR(__xludf.DUMMYFUNCTION("""COMPUTED_VALUE"""),"375ml")</f>
        <v>375ml</v>
      </c>
      <c r="G1247" s="170"/>
      <c r="H1247" s="206" t="s">
        <v>1898</v>
      </c>
      <c r="I1247" s="170"/>
      <c r="J1247" s="46" t="s">
        <v>658</v>
      </c>
      <c r="K1247" s="237"/>
      <c r="L1247" s="197">
        <v>0.13</v>
      </c>
      <c r="M1247" s="385">
        <v>1125</v>
      </c>
      <c r="N1247" s="208">
        <v>375</v>
      </c>
      <c r="O1247" s="61" t="str">
        <f ca="1">E1247</f>
        <v>bottle</v>
      </c>
      <c r="P1247" s="61" t="s">
        <v>32</v>
      </c>
      <c r="Q1247" s="487"/>
      <c r="R1247" s="192" t="str">
        <f>CONCATENATE(N1247,P1247)</f>
        <v>375ml</v>
      </c>
      <c r="S1247" s="198">
        <f>M1247*N1247</f>
        <v>421875</v>
      </c>
      <c r="T1247" s="199" t="str">
        <f>CONCATENATE(S1247,Q1247,P1247)</f>
        <v>421875ml</v>
      </c>
      <c r="U1247" s="200">
        <f>L1247*M1247</f>
        <v>146.25</v>
      </c>
      <c r="V1247" s="12"/>
      <c r="W1247" s="12"/>
    </row>
    <row r="1248" spans="1:23" x14ac:dyDescent="0.3">
      <c r="A1248" s="479">
        <v>477</v>
      </c>
      <c r="B1248" s="194" t="s">
        <v>659</v>
      </c>
      <c r="C1248" s="170"/>
      <c r="D1248" s="194" t="str">
        <f ca="1">IFERROR(__xludf.DUMMYFUNCTION("IF(J354="""",""n/a"",IFERROR(SPLIT(J354,""/"")))"),"n/a")</f>
        <v>n/a</v>
      </c>
      <c r="E1248" s="170"/>
      <c r="F1248" s="170"/>
      <c r="G1248" s="170"/>
      <c r="H1248" s="206" t="s">
        <v>1898</v>
      </c>
      <c r="I1248" s="170"/>
      <c r="J1248" s="170"/>
      <c r="K1248" s="237"/>
      <c r="L1248" s="197">
        <v>4721.1099999999997</v>
      </c>
      <c r="M1248" s="386">
        <v>1.5</v>
      </c>
      <c r="N1248" s="208">
        <v>1</v>
      </c>
      <c r="O1248" s="170">
        <f>E1248</f>
        <v>0</v>
      </c>
      <c r="P1248" s="61" t="s">
        <v>200</v>
      </c>
      <c r="Q1248" s="487"/>
      <c r="R1248" s="192" t="str">
        <f>CONCATENATE(N1248,P1248)</f>
        <v>1gal</v>
      </c>
      <c r="S1248" s="198">
        <f>M1248*N1248</f>
        <v>1.5</v>
      </c>
      <c r="T1248" s="199" t="str">
        <f>CONCATENATE(S1248,Q1248,P1248)</f>
        <v>1.5gal</v>
      </c>
      <c r="U1248" s="200">
        <f>L1248*M1248</f>
        <v>7081.6649999999991</v>
      </c>
      <c r="V1248" s="12"/>
      <c r="W1248" s="12"/>
    </row>
    <row r="1249" spans="1:23" x14ac:dyDescent="0.3">
      <c r="A1249" s="193">
        <v>478</v>
      </c>
      <c r="B1249" s="46" t="s">
        <v>1363</v>
      </c>
      <c r="C1249" s="215"/>
      <c r="D1249" s="194"/>
      <c r="E1249" s="215"/>
      <c r="F1249" s="215"/>
      <c r="G1249" s="215"/>
      <c r="H1249" s="194" t="s">
        <v>2026</v>
      </c>
      <c r="I1249" s="170"/>
      <c r="J1249" s="170"/>
      <c r="K1249" s="237"/>
      <c r="L1249" s="197">
        <v>45</v>
      </c>
      <c r="M1249" s="197">
        <v>1</v>
      </c>
      <c r="N1249" s="290">
        <v>350</v>
      </c>
      <c r="O1249" s="46"/>
      <c r="P1249" s="46" t="s">
        <v>32</v>
      </c>
      <c r="Q1249" s="12"/>
      <c r="R1249" s="192" t="str">
        <f>CONCATENATE(N1249,P1249)</f>
        <v>350ml</v>
      </c>
      <c r="S1249" s="198">
        <f>M1249*N1249</f>
        <v>350</v>
      </c>
      <c r="T1249" s="199" t="str">
        <f>CONCATENATE(S1249,Q1249,P1249)</f>
        <v>350ml</v>
      </c>
      <c r="U1249" s="200">
        <f>L1249*M1249</f>
        <v>45</v>
      </c>
      <c r="V1249" s="12"/>
      <c r="W1249" s="12"/>
    </row>
    <row r="1250" spans="1:23" x14ac:dyDescent="0.3">
      <c r="A1250" s="193">
        <v>479</v>
      </c>
      <c r="B1250" s="46" t="s">
        <v>1364</v>
      </c>
      <c r="C1250" s="215"/>
      <c r="D1250" s="194"/>
      <c r="E1250" s="215"/>
      <c r="F1250" s="215"/>
      <c r="G1250" s="215"/>
      <c r="H1250" s="194" t="s">
        <v>2025</v>
      </c>
      <c r="I1250" s="170"/>
      <c r="J1250" s="46" t="s">
        <v>854</v>
      </c>
      <c r="K1250" s="237"/>
      <c r="L1250" s="197">
        <v>22</v>
      </c>
      <c r="M1250" s="197">
        <v>2</v>
      </c>
      <c r="N1250" s="290">
        <v>1</v>
      </c>
      <c r="O1250" s="46"/>
      <c r="P1250" s="46" t="s">
        <v>92</v>
      </c>
      <c r="Q1250" s="12"/>
      <c r="R1250" s="192" t="str">
        <f>CONCATENATE(N1250,P1250)</f>
        <v>1pieces</v>
      </c>
      <c r="S1250" s="198">
        <f>M1250*N1250</f>
        <v>2</v>
      </c>
      <c r="T1250" s="199" t="str">
        <f>CONCATENATE(S1250,Q1250,P1250)</f>
        <v>2pieces</v>
      </c>
      <c r="U1250" s="200">
        <f>L1250*M1250</f>
        <v>44</v>
      </c>
      <c r="V1250" s="12"/>
      <c r="W1250" s="12"/>
    </row>
    <row r="1251" spans="1:23" x14ac:dyDescent="0.3">
      <c r="A1251" s="193">
        <v>480</v>
      </c>
      <c r="B1251" s="219" t="s">
        <v>1365</v>
      </c>
      <c r="C1251" s="215"/>
      <c r="D1251" s="194"/>
      <c r="E1251" s="215"/>
      <c r="F1251" s="215"/>
      <c r="G1251" s="215"/>
      <c r="H1251" s="194" t="s">
        <v>2021</v>
      </c>
      <c r="I1251" s="170"/>
      <c r="J1251" s="219" t="s">
        <v>1366</v>
      </c>
      <c r="K1251" s="237"/>
      <c r="L1251" s="216">
        <v>100</v>
      </c>
      <c r="M1251" s="216">
        <v>1</v>
      </c>
      <c r="N1251" s="293">
        <v>1000</v>
      </c>
      <c r="O1251" s="219"/>
      <c r="P1251" s="219" t="s">
        <v>32</v>
      </c>
      <c r="Q1251" s="12"/>
      <c r="R1251" s="192" t="str">
        <f>CONCATENATE(N1251,P1251)</f>
        <v>1000ml</v>
      </c>
      <c r="S1251" s="198">
        <f>M1251*N1251</f>
        <v>1000</v>
      </c>
      <c r="T1251" s="199" t="str">
        <f>CONCATENATE(S1251,Q1251,P1251)</f>
        <v>1000ml</v>
      </c>
      <c r="U1251" s="200">
        <f>L1251*M1251</f>
        <v>100</v>
      </c>
      <c r="V1251" s="12"/>
      <c r="W1251" s="12"/>
    </row>
    <row r="1252" spans="1:23" x14ac:dyDescent="0.3">
      <c r="A1252" s="479">
        <v>481</v>
      </c>
      <c r="B1252" s="194" t="s">
        <v>660</v>
      </c>
      <c r="C1252" s="170"/>
      <c r="D1252" s="194" t="str">
        <f ca="1">IFERROR(__xludf.DUMMYFUNCTION("IF(J355="""",""n/a"",IFERROR(SPLIT(J355,""/"")))"),"Knorr")</f>
        <v>Knorr</v>
      </c>
      <c r="E1252" s="194" t="str">
        <f ca="1">IFERROR(__xludf.DUMMYFUNCTION("""COMPUTED_VALUE"""),"bottle")</f>
        <v>bottle</v>
      </c>
      <c r="F1252" s="194" t="str">
        <f ca="1">IFERROR(__xludf.DUMMYFUNCTION("""COMPUTED_VALUE"""),"500ml")</f>
        <v>500ml</v>
      </c>
      <c r="G1252" s="170"/>
      <c r="H1252" s="183" t="s">
        <v>1897</v>
      </c>
      <c r="I1252" s="170"/>
      <c r="J1252" s="46" t="s">
        <v>661</v>
      </c>
      <c r="K1252" s="237"/>
      <c r="L1252" s="197">
        <v>0.32</v>
      </c>
      <c r="M1252" s="202">
        <v>1000</v>
      </c>
      <c r="N1252" s="203">
        <v>500</v>
      </c>
      <c r="O1252" s="61" t="str">
        <f ca="1">E1252</f>
        <v>bottle</v>
      </c>
      <c r="P1252" s="61" t="s">
        <v>32</v>
      </c>
      <c r="Q1252" s="487"/>
      <c r="R1252" s="192" t="str">
        <f>CONCATENATE(N1252,P1252)</f>
        <v>500ml</v>
      </c>
      <c r="S1252" s="198">
        <f>M1252*N1252</f>
        <v>500000</v>
      </c>
      <c r="T1252" s="199" t="str">
        <f>CONCATENATE(S1252,Q1252,P1252)</f>
        <v>500000ml</v>
      </c>
      <c r="U1252" s="200">
        <f>L1252*M1252</f>
        <v>320</v>
      </c>
      <c r="V1252" s="205"/>
      <c r="W1252" s="62"/>
    </row>
    <row r="1253" spans="1:23" x14ac:dyDescent="0.3">
      <c r="A1253" s="479">
        <v>481</v>
      </c>
      <c r="B1253" s="194" t="s">
        <v>660</v>
      </c>
      <c r="C1253" s="170"/>
      <c r="D1253" s="194" t="str">
        <f ca="1">IFERROR(__xludf.DUMMYFUNCTION("IF(J356="""",""n/a"",IFERROR(SPLIT(J356,""/"")))"),"Knorr")</f>
        <v>Knorr</v>
      </c>
      <c r="E1253" s="194" t="str">
        <f ca="1">IFERROR(__xludf.DUMMYFUNCTION("""COMPUTED_VALUE"""),"bottle")</f>
        <v>bottle</v>
      </c>
      <c r="F1253" s="194" t="str">
        <f ca="1">IFERROR(__xludf.DUMMYFUNCTION("""COMPUTED_VALUE"""),"1000ml")</f>
        <v>1000ml</v>
      </c>
      <c r="G1253" s="170"/>
      <c r="H1253" s="183" t="s">
        <v>1895</v>
      </c>
      <c r="I1253" s="170"/>
      <c r="J1253" s="46" t="s">
        <v>262</v>
      </c>
      <c r="K1253" s="237"/>
      <c r="L1253" s="195">
        <v>301.8</v>
      </c>
      <c r="M1253" s="197">
        <v>2</v>
      </c>
      <c r="N1253" s="61">
        <v>1</v>
      </c>
      <c r="O1253" s="61" t="str">
        <f ca="1">E1253</f>
        <v>bottle</v>
      </c>
      <c r="P1253" s="61" t="s">
        <v>32</v>
      </c>
      <c r="Q1253" s="487"/>
      <c r="R1253" s="192" t="str">
        <f>CONCATENATE(N1253,P1253)</f>
        <v>1ml</v>
      </c>
      <c r="S1253" s="198">
        <f>M1253*N1253</f>
        <v>2</v>
      </c>
      <c r="T1253" s="199" t="str">
        <f>CONCATENATE(S1253,Q1253,P1253)</f>
        <v>2ml</v>
      </c>
      <c r="U1253" s="200">
        <f>L1253*M1253</f>
        <v>603.6</v>
      </c>
      <c r="V1253" s="12"/>
      <c r="W1253" s="12"/>
    </row>
    <row r="1254" spans="1:23" x14ac:dyDescent="0.3">
      <c r="A1254" s="193">
        <v>481</v>
      </c>
      <c r="B1254" s="46" t="s">
        <v>1367</v>
      </c>
      <c r="C1254" s="215"/>
      <c r="D1254" s="194"/>
      <c r="E1254" s="215"/>
      <c r="F1254" s="215"/>
      <c r="G1254" s="215"/>
      <c r="H1254" s="194" t="s">
        <v>2025</v>
      </c>
      <c r="I1254" s="170"/>
      <c r="J1254" s="46" t="s">
        <v>987</v>
      </c>
      <c r="K1254" s="237"/>
      <c r="L1254" s="197">
        <v>318</v>
      </c>
      <c r="M1254" s="197">
        <v>0</v>
      </c>
      <c r="N1254" s="290">
        <v>1</v>
      </c>
      <c r="O1254" s="46"/>
      <c r="P1254" s="46" t="s">
        <v>773</v>
      </c>
      <c r="Q1254" s="12"/>
      <c r="R1254" s="192" t="str">
        <f>CONCATENATE(N1254,P1254)</f>
        <v>1liters</v>
      </c>
      <c r="S1254" s="198">
        <f>M1254*N1254</f>
        <v>0</v>
      </c>
      <c r="T1254" s="199" t="str">
        <f>CONCATENATE(S1254,Q1254,P1254)</f>
        <v>0liters</v>
      </c>
      <c r="U1254" s="200">
        <f>L1254*M1254</f>
        <v>0</v>
      </c>
      <c r="V1254" s="12"/>
      <c r="W1254" s="12"/>
    </row>
    <row r="1255" spans="1:23" x14ac:dyDescent="0.3">
      <c r="A1255" s="193">
        <v>481</v>
      </c>
      <c r="B1255" s="46" t="s">
        <v>660</v>
      </c>
      <c r="C1255" s="215"/>
      <c r="D1255" s="194"/>
      <c r="E1255" s="215"/>
      <c r="F1255" s="215"/>
      <c r="G1255" s="215"/>
      <c r="H1255" s="194" t="s">
        <v>2026</v>
      </c>
      <c r="I1255" s="170"/>
      <c r="J1255" s="46" t="s">
        <v>262</v>
      </c>
      <c r="K1255" s="237"/>
      <c r="L1255" s="197">
        <v>301.8</v>
      </c>
      <c r="M1255" s="197">
        <v>1</v>
      </c>
      <c r="N1255" s="290">
        <v>1000</v>
      </c>
      <c r="O1255" s="46"/>
      <c r="P1255" s="46" t="s">
        <v>32</v>
      </c>
      <c r="Q1255" s="12"/>
      <c r="R1255" s="192" t="str">
        <f>CONCATENATE(N1255,P1255)</f>
        <v>1000ml</v>
      </c>
      <c r="S1255" s="198">
        <f>M1255*N1255</f>
        <v>1000</v>
      </c>
      <c r="T1255" s="199" t="str">
        <f>CONCATENATE(S1255,Q1255,P1255)</f>
        <v>1000ml</v>
      </c>
      <c r="U1255" s="200">
        <f>L1255*M1255</f>
        <v>301.8</v>
      </c>
      <c r="V1255" s="12"/>
      <c r="W1255" s="12"/>
    </row>
    <row r="1256" spans="1:23" x14ac:dyDescent="0.3">
      <c r="A1256" s="479">
        <v>482</v>
      </c>
      <c r="B1256" s="214" t="s">
        <v>184</v>
      </c>
      <c r="C1256" s="215"/>
      <c r="D1256" s="194" t="str">
        <f ca="1">IFERROR(__xludf.DUMMYFUNCTION("IF(J357="""",""n/a"",IFERROR(SPLIT(J357,""/"")))"),"CDO")</f>
        <v>CDO</v>
      </c>
      <c r="E1256" s="214" t="str">
        <f ca="1">IFERROR(__xludf.DUMMYFUNCTION("""COMPUTED_VALUE"""),"can")</f>
        <v>can</v>
      </c>
      <c r="F1256" s="214" t="str">
        <f ca="1">IFERROR(__xludf.DUMMYFUNCTION("""COMPUTED_VALUE"""),"85grams")</f>
        <v>85grams</v>
      </c>
      <c r="G1256" s="215"/>
      <c r="H1256" s="183" t="s">
        <v>1895</v>
      </c>
      <c r="I1256" s="215"/>
      <c r="J1256" s="46" t="s">
        <v>185</v>
      </c>
      <c r="K1256" s="237"/>
      <c r="L1256" s="195">
        <v>22.82</v>
      </c>
      <c r="M1256" s="197">
        <v>12</v>
      </c>
      <c r="N1256" s="61">
        <v>1</v>
      </c>
      <c r="O1256" s="61" t="str">
        <f ca="1">E1256</f>
        <v>can</v>
      </c>
      <c r="P1256" s="61" t="s">
        <v>39</v>
      </c>
      <c r="Q1256" s="487"/>
      <c r="R1256" s="192" t="str">
        <f>CONCATENATE(N1256,P1256)</f>
        <v>1grams</v>
      </c>
      <c r="S1256" s="198">
        <f>M1256*N1256</f>
        <v>12</v>
      </c>
      <c r="T1256" s="199" t="str">
        <f>CONCATENATE(S1256,Q1256,P1256)</f>
        <v>12grams</v>
      </c>
      <c r="U1256" s="200">
        <f>L1256*M1256</f>
        <v>273.84000000000003</v>
      </c>
      <c r="V1256" s="12"/>
      <c r="W1256" s="12"/>
    </row>
    <row r="1257" spans="1:23" x14ac:dyDescent="0.3">
      <c r="A1257" s="479">
        <v>482</v>
      </c>
      <c r="B1257" s="194" t="s">
        <v>184</v>
      </c>
      <c r="C1257" s="170"/>
      <c r="D1257" s="194" t="str">
        <f ca="1">IFERROR(__xludf.DUMMYFUNCTION("IF(J358="""",""n/a"",IFERROR(SPLIT(J358,""/"")))"),"n/a")</f>
        <v>n/a</v>
      </c>
      <c r="E1257" s="170"/>
      <c r="F1257" s="170"/>
      <c r="G1257" s="170"/>
      <c r="H1257" s="206" t="s">
        <v>1898</v>
      </c>
      <c r="I1257" s="170"/>
      <c r="J1257" s="170"/>
      <c r="K1257" s="237"/>
      <c r="L1257" s="197">
        <v>0.27</v>
      </c>
      <c r="M1257" s="385">
        <v>4080</v>
      </c>
      <c r="N1257" s="208">
        <v>85</v>
      </c>
      <c r="O1257" s="170">
        <f>E1257</f>
        <v>0</v>
      </c>
      <c r="P1257" s="61" t="s">
        <v>39</v>
      </c>
      <c r="Q1257" s="487"/>
      <c r="R1257" s="192" t="str">
        <f>CONCATENATE(N1257,P1257)</f>
        <v>85grams</v>
      </c>
      <c r="S1257" s="198">
        <f>M1257*N1257</f>
        <v>346800</v>
      </c>
      <c r="T1257" s="199" t="str">
        <f>CONCATENATE(S1257,Q1257,P1257)</f>
        <v>346800grams</v>
      </c>
      <c r="U1257" s="200">
        <f>L1257*M1257</f>
        <v>1101.6000000000001</v>
      </c>
      <c r="V1257" s="12"/>
      <c r="W1257" s="12"/>
    </row>
    <row r="1258" spans="1:23" x14ac:dyDescent="0.3">
      <c r="A1258" s="193">
        <v>482</v>
      </c>
      <c r="B1258" s="46" t="s">
        <v>184</v>
      </c>
      <c r="C1258" s="215"/>
      <c r="D1258" s="194"/>
      <c r="E1258" s="215"/>
      <c r="F1258" s="215"/>
      <c r="G1258" s="215"/>
      <c r="H1258" s="194" t="s">
        <v>2024</v>
      </c>
      <c r="I1258" s="170"/>
      <c r="J1258" s="46" t="s">
        <v>1368</v>
      </c>
      <c r="K1258" s="237"/>
      <c r="L1258" s="197">
        <v>22.9</v>
      </c>
      <c r="M1258" s="197">
        <v>6</v>
      </c>
      <c r="N1258" s="290">
        <v>85</v>
      </c>
      <c r="O1258" s="46"/>
      <c r="P1258" s="46" t="s">
        <v>39</v>
      </c>
      <c r="Q1258" s="12"/>
      <c r="R1258" s="192" t="str">
        <f>CONCATENATE(N1258,P1258)</f>
        <v>85grams</v>
      </c>
      <c r="S1258" s="198">
        <f>M1258*N1258</f>
        <v>510</v>
      </c>
      <c r="T1258" s="199" t="str">
        <f>CONCATENATE(S1258,Q1258,P1258)</f>
        <v>510grams</v>
      </c>
      <c r="U1258" s="200">
        <f>L1258*M1258</f>
        <v>137.39999999999998</v>
      </c>
      <c r="V1258" s="12"/>
      <c r="W1258" s="12"/>
    </row>
    <row r="1259" spans="1:23" x14ac:dyDescent="0.3">
      <c r="A1259" s="193">
        <v>482</v>
      </c>
      <c r="B1259" s="46" t="s">
        <v>184</v>
      </c>
      <c r="C1259" s="215"/>
      <c r="D1259" s="194"/>
      <c r="E1259" s="215"/>
      <c r="F1259" s="215"/>
      <c r="G1259" s="215"/>
      <c r="H1259" s="194" t="s">
        <v>2025</v>
      </c>
      <c r="I1259" s="170"/>
      <c r="J1259" s="46" t="s">
        <v>1250</v>
      </c>
      <c r="K1259" s="237"/>
      <c r="L1259" s="197">
        <v>23.7</v>
      </c>
      <c r="M1259" s="197">
        <v>10</v>
      </c>
      <c r="N1259" s="290">
        <v>85</v>
      </c>
      <c r="O1259" s="46"/>
      <c r="P1259" s="46" t="s">
        <v>39</v>
      </c>
      <c r="Q1259" s="12"/>
      <c r="R1259" s="192" t="str">
        <f>CONCATENATE(N1259,P1259)</f>
        <v>85grams</v>
      </c>
      <c r="S1259" s="198">
        <f>M1259*N1259</f>
        <v>850</v>
      </c>
      <c r="T1259" s="199" t="str">
        <f>CONCATENATE(S1259,Q1259,P1259)</f>
        <v>850grams</v>
      </c>
      <c r="U1259" s="200">
        <f>L1259*M1259</f>
        <v>237</v>
      </c>
      <c r="V1259" s="12"/>
      <c r="W1259" s="12"/>
    </row>
    <row r="1260" spans="1:23" x14ac:dyDescent="0.3">
      <c r="A1260" s="193">
        <v>482</v>
      </c>
      <c r="B1260" s="46" t="s">
        <v>184</v>
      </c>
      <c r="C1260" s="215"/>
      <c r="D1260" s="194"/>
      <c r="E1260" s="215"/>
      <c r="F1260" s="215"/>
      <c r="G1260" s="215"/>
      <c r="H1260" s="194" t="s">
        <v>2026</v>
      </c>
      <c r="I1260" s="170"/>
      <c r="J1260" s="46" t="s">
        <v>1369</v>
      </c>
      <c r="K1260" s="237"/>
      <c r="L1260" s="197">
        <v>25</v>
      </c>
      <c r="M1260" s="197">
        <v>3</v>
      </c>
      <c r="N1260" s="290">
        <v>85</v>
      </c>
      <c r="O1260" s="46"/>
      <c r="P1260" s="46" t="s">
        <v>39</v>
      </c>
      <c r="Q1260" s="12"/>
      <c r="R1260" s="192" t="str">
        <f>CONCATENATE(N1260,P1260)</f>
        <v>85grams</v>
      </c>
      <c r="S1260" s="198">
        <f>M1260*N1260</f>
        <v>255</v>
      </c>
      <c r="T1260" s="199" t="str">
        <f>CONCATENATE(S1260,Q1260,P1260)</f>
        <v>255grams</v>
      </c>
      <c r="U1260" s="200">
        <f>L1260*M1260</f>
        <v>75</v>
      </c>
      <c r="V1260" s="12"/>
      <c r="W1260" s="12"/>
    </row>
    <row r="1261" spans="1:23" x14ac:dyDescent="0.3">
      <c r="A1261" s="193">
        <v>482</v>
      </c>
      <c r="B1261" s="219" t="s">
        <v>184</v>
      </c>
      <c r="C1261" s="215"/>
      <c r="D1261" s="194"/>
      <c r="E1261" s="215"/>
      <c r="F1261" s="215"/>
      <c r="G1261" s="215"/>
      <c r="H1261" s="194" t="s">
        <v>2026</v>
      </c>
      <c r="I1261" s="170"/>
      <c r="J1261" s="46" t="s">
        <v>1370</v>
      </c>
      <c r="K1261" s="237"/>
      <c r="L1261" s="197">
        <v>23.7</v>
      </c>
      <c r="M1261" s="197">
        <v>4</v>
      </c>
      <c r="N1261" s="290">
        <v>85</v>
      </c>
      <c r="O1261" s="46"/>
      <c r="P1261" s="46" t="s">
        <v>39</v>
      </c>
      <c r="Q1261" s="12"/>
      <c r="R1261" s="192" t="str">
        <f>CONCATENATE(N1261,P1261)</f>
        <v>85grams</v>
      </c>
      <c r="S1261" s="198">
        <f>M1261*N1261</f>
        <v>340</v>
      </c>
      <c r="T1261" s="199" t="str">
        <f>CONCATENATE(S1261,Q1261,P1261)</f>
        <v>340grams</v>
      </c>
      <c r="U1261" s="200">
        <f>L1261*M1261</f>
        <v>94.8</v>
      </c>
      <c r="V1261" s="12"/>
      <c r="W1261" s="12"/>
    </row>
    <row r="1262" spans="1:23" x14ac:dyDescent="0.3">
      <c r="A1262" s="193">
        <v>482</v>
      </c>
      <c r="B1262" s="46" t="s">
        <v>184</v>
      </c>
      <c r="C1262" s="215"/>
      <c r="D1262" s="194"/>
      <c r="E1262" s="215"/>
      <c r="F1262" s="215"/>
      <c r="G1262" s="215"/>
      <c r="H1262" s="194" t="s">
        <v>2023</v>
      </c>
      <c r="I1262" s="170"/>
      <c r="J1262" s="46" t="s">
        <v>1370</v>
      </c>
      <c r="K1262" s="237"/>
      <c r="L1262" s="197">
        <v>25</v>
      </c>
      <c r="M1262" s="197">
        <v>15</v>
      </c>
      <c r="N1262" s="290">
        <v>85</v>
      </c>
      <c r="O1262" s="46"/>
      <c r="P1262" s="46" t="s">
        <v>39</v>
      </c>
      <c r="Q1262" s="12"/>
      <c r="R1262" s="192" t="str">
        <f>CONCATENATE(N1262,P1262)</f>
        <v>85grams</v>
      </c>
      <c r="S1262" s="198">
        <f>M1262*N1262</f>
        <v>1275</v>
      </c>
      <c r="T1262" s="199" t="str">
        <f>CONCATENATE(S1262,Q1262,P1262)</f>
        <v>1275grams</v>
      </c>
      <c r="U1262" s="200">
        <f>L1262*M1262</f>
        <v>375</v>
      </c>
      <c r="V1262" s="12"/>
      <c r="W1262" s="12"/>
    </row>
    <row r="1263" spans="1:23" x14ac:dyDescent="0.3">
      <c r="A1263" s="193">
        <v>482</v>
      </c>
      <c r="B1263" s="219" t="s">
        <v>184</v>
      </c>
      <c r="C1263" s="215"/>
      <c r="D1263" s="194"/>
      <c r="E1263" s="215"/>
      <c r="F1263" s="215"/>
      <c r="G1263" s="215"/>
      <c r="H1263" s="194" t="s">
        <v>2021</v>
      </c>
      <c r="I1263" s="170"/>
      <c r="J1263" s="219" t="s">
        <v>1369</v>
      </c>
      <c r="K1263" s="237"/>
      <c r="L1263" s="216">
        <v>27.2</v>
      </c>
      <c r="M1263" s="216">
        <v>19</v>
      </c>
      <c r="N1263" s="293">
        <v>85</v>
      </c>
      <c r="O1263" s="219"/>
      <c r="P1263" s="219" t="s">
        <v>39</v>
      </c>
      <c r="Q1263" s="12"/>
      <c r="R1263" s="192" t="str">
        <f>CONCATENATE(N1263,P1263)</f>
        <v>85grams</v>
      </c>
      <c r="S1263" s="198">
        <f>M1263*N1263</f>
        <v>1615</v>
      </c>
      <c r="T1263" s="199" t="str">
        <f>CONCATENATE(S1263,Q1263,P1263)</f>
        <v>1615grams</v>
      </c>
      <c r="U1263" s="200">
        <f>L1263*M1263</f>
        <v>516.79999999999995</v>
      </c>
      <c r="V1263" s="12"/>
      <c r="W1263" s="12"/>
    </row>
    <row r="1264" spans="1:23" x14ac:dyDescent="0.3">
      <c r="A1264" s="193">
        <v>482</v>
      </c>
      <c r="B1264" s="46" t="s">
        <v>184</v>
      </c>
      <c r="C1264" s="215"/>
      <c r="D1264" s="194"/>
      <c r="E1264" s="215"/>
      <c r="F1264" s="215"/>
      <c r="G1264" s="215"/>
      <c r="H1264" s="400" t="s">
        <v>2027</v>
      </c>
      <c r="I1264" s="170"/>
      <c r="J1264" s="46" t="s">
        <v>1250</v>
      </c>
      <c r="K1264" s="237"/>
      <c r="L1264" s="195">
        <v>26.15</v>
      </c>
      <c r="M1264" s="197">
        <v>6</v>
      </c>
      <c r="N1264" s="360">
        <v>1</v>
      </c>
      <c r="O1264" s="61"/>
      <c r="P1264" s="61" t="s">
        <v>39</v>
      </c>
      <c r="Q1264" s="12"/>
      <c r="R1264" s="192" t="str">
        <f>CONCATENATE(N1264,P1264)</f>
        <v>1grams</v>
      </c>
      <c r="S1264" s="198">
        <f>M1264*N1264</f>
        <v>6</v>
      </c>
      <c r="T1264" s="199" t="str">
        <f>CONCATENATE(S1264,Q1264,P1264)</f>
        <v>6grams</v>
      </c>
      <c r="U1264" s="200">
        <f>L1264*M1264</f>
        <v>156.89999999999998</v>
      </c>
      <c r="V1264" s="12"/>
      <c r="W1264" s="12"/>
    </row>
    <row r="1265" spans="1:23" x14ac:dyDescent="0.3">
      <c r="A1265" s="193">
        <v>483</v>
      </c>
      <c r="B1265" s="46" t="s">
        <v>1371</v>
      </c>
      <c r="C1265" s="215"/>
      <c r="D1265" s="194"/>
      <c r="E1265" s="215"/>
      <c r="F1265" s="215"/>
      <c r="G1265" s="215"/>
      <c r="H1265" s="194" t="s">
        <v>2025</v>
      </c>
      <c r="I1265" s="170"/>
      <c r="J1265" s="46" t="s">
        <v>1372</v>
      </c>
      <c r="K1265" s="237"/>
      <c r="L1265" s="197">
        <v>50</v>
      </c>
      <c r="M1265" s="197">
        <v>3</v>
      </c>
      <c r="N1265" s="290">
        <v>500</v>
      </c>
      <c r="O1265" s="46"/>
      <c r="P1265" s="46" t="s">
        <v>39</v>
      </c>
      <c r="Q1265" s="12"/>
      <c r="R1265" s="192" t="str">
        <f>CONCATENATE(N1265,P1265)</f>
        <v>500grams</v>
      </c>
      <c r="S1265" s="198">
        <f>M1265*N1265</f>
        <v>1500</v>
      </c>
      <c r="T1265" s="199" t="str">
        <f>CONCATENATE(S1265,Q1265,P1265)</f>
        <v>1500grams</v>
      </c>
      <c r="U1265" s="200">
        <f>L1265*M1265</f>
        <v>150</v>
      </c>
      <c r="V1265" s="12"/>
      <c r="W1265" s="12"/>
    </row>
    <row r="1266" spans="1:23" x14ac:dyDescent="0.3">
      <c r="A1266" s="193">
        <v>484</v>
      </c>
      <c r="B1266" s="46" t="s">
        <v>1373</v>
      </c>
      <c r="C1266" s="215"/>
      <c r="D1266" s="194"/>
      <c r="E1266" s="215"/>
      <c r="F1266" s="215"/>
      <c r="G1266" s="215"/>
      <c r="H1266" s="194" t="s">
        <v>29</v>
      </c>
      <c r="I1266" s="170"/>
      <c r="J1266" s="170"/>
      <c r="K1266" s="237"/>
      <c r="L1266" s="197">
        <v>47</v>
      </c>
      <c r="M1266" s="197">
        <v>2</v>
      </c>
      <c r="N1266" s="290">
        <v>800</v>
      </c>
      <c r="O1266" s="46"/>
      <c r="P1266" s="46" t="s">
        <v>39</v>
      </c>
      <c r="Q1266" s="12"/>
      <c r="R1266" s="192" t="str">
        <f>CONCATENATE(N1266,P1266)</f>
        <v>800grams</v>
      </c>
      <c r="S1266" s="198">
        <f>M1266*N1266</f>
        <v>1600</v>
      </c>
      <c r="T1266" s="199" t="str">
        <f>CONCATENATE(S1266,Q1266,P1266)</f>
        <v>1600grams</v>
      </c>
      <c r="U1266" s="200">
        <f>L1266*M1266</f>
        <v>94</v>
      </c>
      <c r="V1266" s="12"/>
      <c r="W1266" s="12"/>
    </row>
    <row r="1267" spans="1:23" x14ac:dyDescent="0.3">
      <c r="A1267" s="193">
        <v>485</v>
      </c>
      <c r="B1267" s="46" t="s">
        <v>1374</v>
      </c>
      <c r="C1267" s="215"/>
      <c r="D1267" s="194"/>
      <c r="E1267" s="215"/>
      <c r="F1267" s="215"/>
      <c r="G1267" s="215"/>
      <c r="H1267" s="194" t="s">
        <v>29</v>
      </c>
      <c r="I1267" s="170"/>
      <c r="J1267" s="170"/>
      <c r="K1267" s="237"/>
      <c r="L1267" s="197">
        <v>4497</v>
      </c>
      <c r="M1267" s="197">
        <v>1</v>
      </c>
      <c r="N1267" s="290">
        <v>50</v>
      </c>
      <c r="O1267" s="46"/>
      <c r="P1267" s="46" t="s">
        <v>213</v>
      </c>
      <c r="Q1267" s="12"/>
      <c r="R1267" s="192" t="str">
        <f>CONCATENATE(N1267,P1267)</f>
        <v>50kilos</v>
      </c>
      <c r="S1267" s="198">
        <f>M1267*N1267</f>
        <v>50</v>
      </c>
      <c r="T1267" s="199" t="str">
        <f>CONCATENATE(S1267,Q1267,P1267)</f>
        <v>50kilos</v>
      </c>
      <c r="U1267" s="200">
        <f>L1267*M1267</f>
        <v>4497</v>
      </c>
      <c r="V1267" s="12"/>
      <c r="W1267" s="12"/>
    </row>
    <row r="1268" spans="1:23" x14ac:dyDescent="0.3">
      <c r="A1268" s="193">
        <v>485</v>
      </c>
      <c r="B1268" s="219" t="s">
        <v>1374</v>
      </c>
      <c r="C1268" s="215"/>
      <c r="D1268" s="194"/>
      <c r="E1268" s="215"/>
      <c r="F1268" s="215"/>
      <c r="G1268" s="215"/>
      <c r="H1268" s="194" t="s">
        <v>2021</v>
      </c>
      <c r="I1268" s="170"/>
      <c r="J1268" s="219" t="s">
        <v>1375</v>
      </c>
      <c r="K1268" s="237"/>
      <c r="L1268" s="216">
        <v>4134</v>
      </c>
      <c r="M1268" s="216">
        <v>3</v>
      </c>
      <c r="N1268" s="293">
        <v>1</v>
      </c>
      <c r="O1268" s="219"/>
      <c r="P1268" s="219" t="s">
        <v>1376</v>
      </c>
      <c r="Q1268" s="12"/>
      <c r="R1268" s="192" t="str">
        <f>CONCATENATE(N1268,P1268)</f>
        <v>1cylinder</v>
      </c>
      <c r="S1268" s="198">
        <f>M1268*N1268</f>
        <v>3</v>
      </c>
      <c r="T1268" s="199" t="str">
        <f>CONCATENATE(S1268,Q1268,P1268)</f>
        <v>3cylinder</v>
      </c>
      <c r="U1268" s="200">
        <f>L1268*M1268</f>
        <v>12402</v>
      </c>
      <c r="V1268" s="12"/>
      <c r="W1268" s="12"/>
    </row>
    <row r="1269" spans="1:23" x14ac:dyDescent="0.3">
      <c r="A1269" s="193">
        <v>486</v>
      </c>
      <c r="B1269" s="46" t="s">
        <v>1377</v>
      </c>
      <c r="C1269" s="215"/>
      <c r="D1269" s="194"/>
      <c r="E1269" s="215"/>
      <c r="F1269" s="215"/>
      <c r="G1269" s="215"/>
      <c r="H1269" s="194" t="s">
        <v>1368</v>
      </c>
      <c r="I1269" s="170"/>
      <c r="J1269" s="170"/>
      <c r="K1269" s="237"/>
      <c r="L1269" s="197">
        <v>20</v>
      </c>
      <c r="M1269" s="197">
        <v>15</v>
      </c>
      <c r="N1269" s="290">
        <v>1000</v>
      </c>
      <c r="O1269" s="46"/>
      <c r="P1269" s="46" t="s">
        <v>39</v>
      </c>
      <c r="Q1269" s="12"/>
      <c r="R1269" s="192" t="str">
        <f>CONCATENATE(N1269,P1269)</f>
        <v>1000grams</v>
      </c>
      <c r="S1269" s="198">
        <f>M1269*N1269</f>
        <v>15000</v>
      </c>
      <c r="T1269" s="199" t="str">
        <f>CONCATENATE(S1269,Q1269,P1269)</f>
        <v>15000grams</v>
      </c>
      <c r="U1269" s="200">
        <f>L1269*M1269</f>
        <v>300</v>
      </c>
      <c r="V1269" s="12"/>
      <c r="W1269" s="12"/>
    </row>
    <row r="1270" spans="1:23" x14ac:dyDescent="0.3">
      <c r="A1270" s="193">
        <v>487</v>
      </c>
      <c r="B1270" s="46" t="s">
        <v>1378</v>
      </c>
      <c r="C1270" s="215"/>
      <c r="D1270" s="194"/>
      <c r="E1270" s="215"/>
      <c r="F1270" s="215"/>
      <c r="G1270" s="215"/>
      <c r="H1270" s="194" t="s">
        <v>2025</v>
      </c>
      <c r="I1270" s="170"/>
      <c r="J1270" s="46" t="s">
        <v>1379</v>
      </c>
      <c r="K1270" s="237"/>
      <c r="L1270" s="197">
        <v>55.2</v>
      </c>
      <c r="M1270" s="197">
        <v>1</v>
      </c>
      <c r="N1270" s="290">
        <v>10</v>
      </c>
      <c r="O1270" s="46"/>
      <c r="P1270" s="46" t="s">
        <v>92</v>
      </c>
      <c r="Q1270" s="12"/>
      <c r="R1270" s="192" t="str">
        <f>CONCATENATE(N1270,P1270)</f>
        <v>10pieces</v>
      </c>
      <c r="S1270" s="198">
        <f>M1270*N1270</f>
        <v>10</v>
      </c>
      <c r="T1270" s="199" t="str">
        <f>CONCATENATE(S1270,Q1270,P1270)</f>
        <v>10pieces</v>
      </c>
      <c r="U1270" s="200">
        <f>L1270*M1270</f>
        <v>55.2</v>
      </c>
      <c r="V1270" s="12"/>
      <c r="W1270" s="12"/>
    </row>
    <row r="1271" spans="1:23" x14ac:dyDescent="0.3">
      <c r="A1271" s="193">
        <v>488</v>
      </c>
      <c r="B1271" s="46" t="s">
        <v>1380</v>
      </c>
      <c r="C1271" s="215"/>
      <c r="D1271" s="194"/>
      <c r="E1271" s="215"/>
      <c r="F1271" s="215"/>
      <c r="G1271" s="215"/>
      <c r="H1271" s="194" t="s">
        <v>1368</v>
      </c>
      <c r="I1271" s="170"/>
      <c r="J1271" s="170"/>
      <c r="K1271" s="237"/>
      <c r="L1271" s="197">
        <v>20</v>
      </c>
      <c r="M1271" s="197">
        <v>21</v>
      </c>
      <c r="N1271" s="290">
        <v>1000</v>
      </c>
      <c r="O1271" s="46"/>
      <c r="P1271" s="46" t="s">
        <v>39</v>
      </c>
      <c r="Q1271" s="12"/>
      <c r="R1271" s="192" t="str">
        <f>CONCATENATE(N1271,P1271)</f>
        <v>1000grams</v>
      </c>
      <c r="S1271" s="198">
        <f>M1271*N1271</f>
        <v>21000</v>
      </c>
      <c r="T1271" s="199" t="str">
        <f>CONCATENATE(S1271,Q1271,P1271)</f>
        <v>21000grams</v>
      </c>
      <c r="U1271" s="200">
        <f>L1271*M1271</f>
        <v>420</v>
      </c>
      <c r="V1271" s="12"/>
      <c r="W1271" s="12"/>
    </row>
    <row r="1272" spans="1:23" x14ac:dyDescent="0.3">
      <c r="A1272" s="193">
        <v>488</v>
      </c>
      <c r="B1272" s="46" t="s">
        <v>1380</v>
      </c>
      <c r="C1272" s="215"/>
      <c r="D1272" s="194"/>
      <c r="E1272" s="215"/>
      <c r="F1272" s="215"/>
      <c r="G1272" s="215"/>
      <c r="H1272" s="194" t="s">
        <v>2025</v>
      </c>
      <c r="I1272" s="170"/>
      <c r="J1272" s="170"/>
      <c r="K1272" s="237"/>
      <c r="L1272" s="197">
        <v>1</v>
      </c>
      <c r="M1272" s="197">
        <v>900</v>
      </c>
      <c r="N1272" s="290">
        <v>1</v>
      </c>
      <c r="O1272" s="46"/>
      <c r="P1272" s="46" t="s">
        <v>92</v>
      </c>
      <c r="Q1272" s="12"/>
      <c r="R1272" s="192" t="str">
        <f>CONCATENATE(N1272,P1272)</f>
        <v>1pieces</v>
      </c>
      <c r="S1272" s="198">
        <f>M1272*N1272</f>
        <v>900</v>
      </c>
      <c r="T1272" s="199" t="str">
        <f>CONCATENATE(S1272,Q1272,P1272)</f>
        <v>900pieces</v>
      </c>
      <c r="U1272" s="200">
        <f>L1272*M1272</f>
        <v>900</v>
      </c>
      <c r="V1272" s="12"/>
      <c r="W1272" s="12"/>
    </row>
    <row r="1273" spans="1:23" x14ac:dyDescent="0.3">
      <c r="A1273" s="193">
        <v>488</v>
      </c>
      <c r="B1273" s="46" t="s">
        <v>1380</v>
      </c>
      <c r="C1273" s="215"/>
      <c r="D1273" s="194"/>
      <c r="E1273" s="215"/>
      <c r="F1273" s="215"/>
      <c r="G1273" s="215"/>
      <c r="H1273" s="194" t="s">
        <v>2022</v>
      </c>
      <c r="I1273" s="170"/>
      <c r="J1273" s="46" t="s">
        <v>912</v>
      </c>
      <c r="K1273" s="237"/>
      <c r="L1273" s="197">
        <v>180</v>
      </c>
      <c r="M1273" s="197">
        <v>1</v>
      </c>
      <c r="N1273" s="290">
        <v>1000</v>
      </c>
      <c r="O1273" s="46"/>
      <c r="P1273" s="46" t="s">
        <v>39</v>
      </c>
      <c r="Q1273" s="12"/>
      <c r="R1273" s="192" t="str">
        <f>CONCATENATE(N1273,P1273)</f>
        <v>1000grams</v>
      </c>
      <c r="S1273" s="198">
        <f>M1273*N1273</f>
        <v>1000</v>
      </c>
      <c r="T1273" s="199" t="str">
        <f>CONCATENATE(S1273,Q1273,P1273)</f>
        <v>1000grams</v>
      </c>
      <c r="U1273" s="200">
        <f>L1273*M1273</f>
        <v>180</v>
      </c>
      <c r="V1273" s="12"/>
      <c r="W1273" s="12"/>
    </row>
    <row r="1274" spans="1:23" x14ac:dyDescent="0.3">
      <c r="A1274" s="193">
        <v>488</v>
      </c>
      <c r="B1274" s="46" t="s">
        <v>1380</v>
      </c>
      <c r="C1274" s="215"/>
      <c r="D1274" s="194"/>
      <c r="E1274" s="215"/>
      <c r="F1274" s="215"/>
      <c r="G1274" s="215"/>
      <c r="H1274" s="194" t="s">
        <v>2022</v>
      </c>
      <c r="I1274" s="170"/>
      <c r="J1274" s="46" t="s">
        <v>912</v>
      </c>
      <c r="K1274" s="237"/>
      <c r="L1274" s="197">
        <v>42</v>
      </c>
      <c r="M1274" s="197">
        <v>6</v>
      </c>
      <c r="N1274" s="290">
        <v>200</v>
      </c>
      <c r="O1274" s="46"/>
      <c r="P1274" s="46" t="s">
        <v>39</v>
      </c>
      <c r="Q1274" s="12"/>
      <c r="R1274" s="192" t="str">
        <f>CONCATENATE(N1274,P1274)</f>
        <v>200grams</v>
      </c>
      <c r="S1274" s="198">
        <f>M1274*N1274</f>
        <v>1200</v>
      </c>
      <c r="T1274" s="199" t="str">
        <f>CONCATENATE(S1274,Q1274,P1274)</f>
        <v>1200grams</v>
      </c>
      <c r="U1274" s="200">
        <f>L1274*M1274</f>
        <v>252</v>
      </c>
      <c r="V1274" s="12"/>
      <c r="W1274" s="12"/>
    </row>
    <row r="1275" spans="1:23" x14ac:dyDescent="0.3">
      <c r="A1275" s="193">
        <v>489</v>
      </c>
      <c r="B1275" s="46" t="s">
        <v>1381</v>
      </c>
      <c r="C1275" s="215"/>
      <c r="D1275" s="194"/>
      <c r="E1275" s="215"/>
      <c r="F1275" s="215"/>
      <c r="G1275" s="215"/>
      <c r="H1275" s="194" t="s">
        <v>2023</v>
      </c>
      <c r="I1275" s="170"/>
      <c r="J1275" s="46" t="s">
        <v>1382</v>
      </c>
      <c r="K1275" s="237"/>
      <c r="L1275" s="197">
        <v>45</v>
      </c>
      <c r="M1275" s="197">
        <v>1</v>
      </c>
      <c r="N1275" s="290">
        <v>1</v>
      </c>
      <c r="O1275" s="46"/>
      <c r="P1275" s="46" t="s">
        <v>304</v>
      </c>
      <c r="Q1275" s="12"/>
      <c r="R1275" s="192" t="str">
        <f>CONCATENATE(N1275,P1275)</f>
        <v>1packs</v>
      </c>
      <c r="S1275" s="198">
        <f>M1275*N1275</f>
        <v>1</v>
      </c>
      <c r="T1275" s="199" t="str">
        <f>CONCATENATE(S1275,Q1275,P1275)</f>
        <v>1packs</v>
      </c>
      <c r="U1275" s="200">
        <f>L1275*M1275</f>
        <v>45</v>
      </c>
      <c r="V1275" s="12"/>
      <c r="W1275" s="12"/>
    </row>
    <row r="1276" spans="1:23" x14ac:dyDescent="0.3">
      <c r="A1276" s="193">
        <v>489</v>
      </c>
      <c r="B1276" s="219" t="s">
        <v>1381</v>
      </c>
      <c r="C1276" s="215"/>
      <c r="D1276" s="194"/>
      <c r="E1276" s="215"/>
      <c r="F1276" s="215"/>
      <c r="G1276" s="215"/>
      <c r="H1276" s="194" t="s">
        <v>2021</v>
      </c>
      <c r="I1276" s="170"/>
      <c r="J1276" s="219" t="s">
        <v>1383</v>
      </c>
      <c r="K1276" s="237"/>
      <c r="L1276" s="216">
        <v>1.8</v>
      </c>
      <c r="M1276" s="216">
        <v>50</v>
      </c>
      <c r="N1276" s="293">
        <v>1</v>
      </c>
      <c r="O1276" s="219"/>
      <c r="P1276" s="219" t="s">
        <v>92</v>
      </c>
      <c r="Q1276" s="12"/>
      <c r="R1276" s="192" t="str">
        <f>CONCATENATE(N1276,P1276)</f>
        <v>1pieces</v>
      </c>
      <c r="S1276" s="198">
        <f>M1276*N1276</f>
        <v>50</v>
      </c>
      <c r="T1276" s="199" t="str">
        <f>CONCATENATE(S1276,Q1276,P1276)</f>
        <v>50pieces</v>
      </c>
      <c r="U1276" s="200">
        <f>L1276*M1276</f>
        <v>90</v>
      </c>
      <c r="V1276" s="12"/>
      <c r="W1276" s="12"/>
    </row>
    <row r="1277" spans="1:23" x14ac:dyDescent="0.3">
      <c r="A1277" s="193">
        <v>490</v>
      </c>
      <c r="B1277" s="46" t="s">
        <v>1384</v>
      </c>
      <c r="C1277" s="215"/>
      <c r="D1277" s="194"/>
      <c r="E1277" s="215"/>
      <c r="F1277" s="215"/>
      <c r="G1277" s="215"/>
      <c r="H1277" s="194" t="s">
        <v>2026</v>
      </c>
      <c r="I1277" s="170"/>
      <c r="J1277" s="46" t="s">
        <v>301</v>
      </c>
      <c r="K1277" s="237"/>
      <c r="L1277" s="197">
        <v>25</v>
      </c>
      <c r="M1277" s="197">
        <v>2</v>
      </c>
      <c r="N1277" s="290">
        <v>1</v>
      </c>
      <c r="O1277" s="46"/>
      <c r="P1277" s="46" t="s">
        <v>304</v>
      </c>
      <c r="Q1277" s="12"/>
      <c r="R1277" s="192" t="str">
        <f>CONCATENATE(N1277,P1277)</f>
        <v>1packs</v>
      </c>
      <c r="S1277" s="198">
        <f>M1277*N1277</f>
        <v>2</v>
      </c>
      <c r="T1277" s="199" t="str">
        <f>CONCATENATE(S1277,Q1277,P1277)</f>
        <v>2packs</v>
      </c>
      <c r="U1277" s="200">
        <f>L1277*M1277</f>
        <v>50</v>
      </c>
      <c r="V1277" s="12"/>
      <c r="W1277" s="12"/>
    </row>
    <row r="1278" spans="1:23" x14ac:dyDescent="0.3">
      <c r="A1278" s="479">
        <v>491</v>
      </c>
      <c r="B1278" s="194" t="s">
        <v>186</v>
      </c>
      <c r="C1278" s="170"/>
      <c r="D1278" s="194" t="str">
        <f ca="1">IFERROR(__xludf.DUMMYFUNCTION("IF(J359="""",""n/a"",IFERROR(SPLIT(J359,""/"")))"),"Purefoods")</f>
        <v>Purefoods</v>
      </c>
      <c r="E1278" s="194" t="str">
        <f ca="1">IFERROR(__xludf.DUMMYFUNCTION("""COMPUTED_VALUE"""),"can")</f>
        <v>can</v>
      </c>
      <c r="F1278" s="194" t="str">
        <f ca="1">IFERROR(__xludf.DUMMYFUNCTION("""COMPUTED_VALUE"""),"340grams")</f>
        <v>340grams</v>
      </c>
      <c r="G1278" s="170"/>
      <c r="H1278" s="183" t="s">
        <v>1895</v>
      </c>
      <c r="I1278" s="215"/>
      <c r="J1278" s="46" t="s">
        <v>187</v>
      </c>
      <c r="K1278" s="237"/>
      <c r="L1278" s="195">
        <v>79</v>
      </c>
      <c r="M1278" s="197">
        <v>37.380000000000003</v>
      </c>
      <c r="N1278" s="61">
        <v>1</v>
      </c>
      <c r="O1278" s="61" t="str">
        <f ca="1">E1278</f>
        <v>can</v>
      </c>
      <c r="P1278" s="61" t="s">
        <v>39</v>
      </c>
      <c r="Q1278" s="487"/>
      <c r="R1278" s="192" t="str">
        <f>CONCATENATE(N1278,P1278)</f>
        <v>1grams</v>
      </c>
      <c r="S1278" s="198">
        <f>M1278*N1278</f>
        <v>37.380000000000003</v>
      </c>
      <c r="T1278" s="199" t="str">
        <f>CONCATENATE(S1278,Q1278,P1278)</f>
        <v>37.38grams</v>
      </c>
      <c r="U1278" s="200">
        <f>L1278*M1278</f>
        <v>2953.02</v>
      </c>
      <c r="V1278" s="12"/>
      <c r="W1278" s="12"/>
    </row>
    <row r="1279" spans="1:23" x14ac:dyDescent="0.3">
      <c r="A1279" s="193">
        <v>491</v>
      </c>
      <c r="B1279" s="46" t="s">
        <v>186</v>
      </c>
      <c r="C1279" s="215"/>
      <c r="D1279" s="194"/>
      <c r="E1279" s="215"/>
      <c r="F1279" s="215"/>
      <c r="G1279" s="215"/>
      <c r="H1279" s="194" t="s">
        <v>1368</v>
      </c>
      <c r="I1279" s="170"/>
      <c r="J1279" s="46" t="s">
        <v>1385</v>
      </c>
      <c r="K1279" s="237"/>
      <c r="L1279" s="197">
        <v>185</v>
      </c>
      <c r="M1279" s="197">
        <v>2</v>
      </c>
      <c r="N1279" s="290">
        <v>340</v>
      </c>
      <c r="O1279" s="46"/>
      <c r="P1279" s="46" t="s">
        <v>39</v>
      </c>
      <c r="Q1279" s="12"/>
      <c r="R1279" s="192" t="str">
        <f>CONCATENATE(N1279,P1279)</f>
        <v>340grams</v>
      </c>
      <c r="S1279" s="198">
        <f>M1279*N1279</f>
        <v>680</v>
      </c>
      <c r="T1279" s="199" t="str">
        <f>CONCATENATE(S1279,Q1279,P1279)</f>
        <v>680grams</v>
      </c>
      <c r="U1279" s="200">
        <f>L1279*M1279</f>
        <v>370</v>
      </c>
      <c r="V1279" s="12"/>
      <c r="W1279" s="12"/>
    </row>
    <row r="1280" spans="1:23" x14ac:dyDescent="0.3">
      <c r="A1280" s="193">
        <v>491</v>
      </c>
      <c r="B1280" s="46" t="s">
        <v>186</v>
      </c>
      <c r="C1280" s="215"/>
      <c r="D1280" s="194"/>
      <c r="E1280" s="215"/>
      <c r="F1280" s="215"/>
      <c r="G1280" s="215"/>
      <c r="H1280" s="194" t="s">
        <v>2020</v>
      </c>
      <c r="I1280" s="170"/>
      <c r="J1280" s="46" t="s">
        <v>1386</v>
      </c>
      <c r="K1280" s="237"/>
      <c r="L1280" s="197">
        <v>109.9</v>
      </c>
      <c r="M1280" s="197">
        <v>5</v>
      </c>
      <c r="N1280" s="290">
        <v>340</v>
      </c>
      <c r="O1280" s="46"/>
      <c r="P1280" s="46" t="s">
        <v>39</v>
      </c>
      <c r="Q1280" s="12"/>
      <c r="R1280" s="192" t="str">
        <f>CONCATENATE(N1280,P1280)</f>
        <v>340grams</v>
      </c>
      <c r="S1280" s="198">
        <f>M1280*N1280</f>
        <v>1700</v>
      </c>
      <c r="T1280" s="199" t="str">
        <f>CONCATENATE(S1280,Q1280,P1280)</f>
        <v>1700grams</v>
      </c>
      <c r="U1280" s="200">
        <f>L1280*M1280</f>
        <v>549.5</v>
      </c>
      <c r="V1280" s="12"/>
      <c r="W1280" s="12"/>
    </row>
    <row r="1281" spans="1:23" x14ac:dyDescent="0.3">
      <c r="A1281" s="193">
        <v>491</v>
      </c>
      <c r="B1281" s="46" t="s">
        <v>186</v>
      </c>
      <c r="C1281" s="215"/>
      <c r="D1281" s="194"/>
      <c r="E1281" s="215"/>
      <c r="F1281" s="215"/>
      <c r="G1281" s="215"/>
      <c r="H1281" s="194" t="s">
        <v>2025</v>
      </c>
      <c r="I1281" s="170"/>
      <c r="J1281" s="46" t="s">
        <v>1387</v>
      </c>
      <c r="K1281" s="237"/>
      <c r="L1281" s="197">
        <v>218</v>
      </c>
      <c r="M1281" s="197">
        <v>11</v>
      </c>
      <c r="N1281" s="290">
        <v>340</v>
      </c>
      <c r="O1281" s="46"/>
      <c r="P1281" s="46" t="s">
        <v>39</v>
      </c>
      <c r="Q1281" s="12"/>
      <c r="R1281" s="192" t="str">
        <f>CONCATENATE(N1281,P1281)</f>
        <v>340grams</v>
      </c>
      <c r="S1281" s="198">
        <f>M1281*N1281</f>
        <v>3740</v>
      </c>
      <c r="T1281" s="199" t="str">
        <f>CONCATENATE(S1281,Q1281,P1281)</f>
        <v>3740grams</v>
      </c>
      <c r="U1281" s="200">
        <f>L1281*M1281</f>
        <v>2398</v>
      </c>
      <c r="V1281" s="12"/>
      <c r="W1281" s="12"/>
    </row>
    <row r="1282" spans="1:23" x14ac:dyDescent="0.3">
      <c r="A1282" s="193">
        <v>491</v>
      </c>
      <c r="B1282" s="46" t="s">
        <v>186</v>
      </c>
      <c r="C1282" s="215"/>
      <c r="D1282" s="194"/>
      <c r="E1282" s="215"/>
      <c r="F1282" s="215"/>
      <c r="G1282" s="215"/>
      <c r="H1282" s="194" t="s">
        <v>2026</v>
      </c>
      <c r="I1282" s="170"/>
      <c r="J1282" s="46" t="s">
        <v>1388</v>
      </c>
      <c r="K1282" s="237"/>
      <c r="L1282" s="197">
        <v>208</v>
      </c>
      <c r="M1282" s="197">
        <v>2</v>
      </c>
      <c r="N1282" s="290">
        <v>340</v>
      </c>
      <c r="O1282" s="46"/>
      <c r="P1282" s="46" t="s">
        <v>39</v>
      </c>
      <c r="Q1282" s="12"/>
      <c r="R1282" s="192" t="str">
        <f>CONCATENATE(N1282,P1282)</f>
        <v>340grams</v>
      </c>
      <c r="S1282" s="198">
        <f>M1282*N1282</f>
        <v>680</v>
      </c>
      <c r="T1282" s="199" t="str">
        <f>CONCATENATE(S1282,Q1282,P1282)</f>
        <v>680grams</v>
      </c>
      <c r="U1282" s="200">
        <f>L1282*M1282</f>
        <v>416</v>
      </c>
      <c r="V1282" s="12"/>
      <c r="W1282" s="12"/>
    </row>
    <row r="1283" spans="1:23" x14ac:dyDescent="0.3">
      <c r="A1283" s="479">
        <v>492</v>
      </c>
      <c r="B1283" s="194" t="s">
        <v>662</v>
      </c>
      <c r="C1283" s="170"/>
      <c r="D1283" s="194" t="str">
        <f ca="1">IFERROR(__xludf.DUMMYFUNCTION("IF(J360="""",""n/a"",IFERROR(SPLIT(J360,""/"")))"),"n/a")</f>
        <v>n/a</v>
      </c>
      <c r="E1283" s="170"/>
      <c r="F1283" s="170"/>
      <c r="G1283" s="170"/>
      <c r="H1283" s="206" t="s">
        <v>1898</v>
      </c>
      <c r="I1283" s="170"/>
      <c r="J1283" s="170"/>
      <c r="K1283" s="237"/>
      <c r="L1283" s="197">
        <v>0.2</v>
      </c>
      <c r="M1283" s="386">
        <v>9360</v>
      </c>
      <c r="N1283" s="208">
        <v>360</v>
      </c>
      <c r="O1283" s="170">
        <f>E1283</f>
        <v>0</v>
      </c>
      <c r="P1283" s="61" t="s">
        <v>39</v>
      </c>
      <c r="Q1283" s="487"/>
      <c r="R1283" s="192" t="str">
        <f>CONCATENATE(N1283,P1283)</f>
        <v>360grams</v>
      </c>
      <c r="S1283" s="198">
        <f>M1283*N1283</f>
        <v>3369600</v>
      </c>
      <c r="T1283" s="199" t="str">
        <f>CONCATENATE(S1283,Q1283,P1283)</f>
        <v>3369600grams</v>
      </c>
      <c r="U1283" s="200">
        <f>L1283*M1283</f>
        <v>1872</v>
      </c>
      <c r="V1283" s="12"/>
      <c r="W1283" s="12"/>
    </row>
    <row r="1284" spans="1:23" x14ac:dyDescent="0.3">
      <c r="A1284" s="193">
        <v>492</v>
      </c>
      <c r="B1284" s="46" t="s">
        <v>662</v>
      </c>
      <c r="C1284" s="215"/>
      <c r="D1284" s="194"/>
      <c r="E1284" s="215"/>
      <c r="F1284" s="215"/>
      <c r="G1284" s="215"/>
      <c r="H1284" s="194" t="s">
        <v>2025</v>
      </c>
      <c r="I1284" s="170"/>
      <c r="J1284" s="46" t="s">
        <v>1389</v>
      </c>
      <c r="K1284" s="237"/>
      <c r="L1284" s="197">
        <v>144.80000000000001</v>
      </c>
      <c r="M1284" s="197">
        <v>4</v>
      </c>
      <c r="N1284" s="290">
        <v>340</v>
      </c>
      <c r="O1284" s="46"/>
      <c r="P1284" s="46" t="s">
        <v>39</v>
      </c>
      <c r="Q1284" s="12"/>
      <c r="R1284" s="192" t="str">
        <f>CONCATENATE(N1284,P1284)</f>
        <v>340grams</v>
      </c>
      <c r="S1284" s="198">
        <f>M1284*N1284</f>
        <v>1360</v>
      </c>
      <c r="T1284" s="199" t="str">
        <f>CONCATENATE(S1284,Q1284,P1284)</f>
        <v>1360grams</v>
      </c>
      <c r="U1284" s="200">
        <f>L1284*M1284</f>
        <v>579.20000000000005</v>
      </c>
      <c r="V1284" s="12"/>
      <c r="W1284" s="12"/>
    </row>
    <row r="1285" spans="1:23" x14ac:dyDescent="0.3">
      <c r="A1285" s="193">
        <v>492</v>
      </c>
      <c r="B1285" s="46" t="s">
        <v>662</v>
      </c>
      <c r="C1285" s="215"/>
      <c r="D1285" s="194"/>
      <c r="E1285" s="215"/>
      <c r="F1285" s="215"/>
      <c r="G1285" s="215"/>
      <c r="H1285" s="194" t="s">
        <v>2025</v>
      </c>
      <c r="I1285" s="170"/>
      <c r="J1285" s="46" t="s">
        <v>1390</v>
      </c>
      <c r="K1285" s="237"/>
      <c r="L1285" s="197">
        <v>89.8</v>
      </c>
      <c r="M1285" s="197">
        <v>17</v>
      </c>
      <c r="N1285" s="290">
        <v>340</v>
      </c>
      <c r="O1285" s="46"/>
      <c r="P1285" s="46" t="s">
        <v>39</v>
      </c>
      <c r="Q1285" s="12"/>
      <c r="R1285" s="192" t="str">
        <f>CONCATENATE(N1285,P1285)</f>
        <v>340grams</v>
      </c>
      <c r="S1285" s="198">
        <f>M1285*N1285</f>
        <v>5780</v>
      </c>
      <c r="T1285" s="199" t="str">
        <f>CONCATENATE(S1285,Q1285,P1285)</f>
        <v>5780grams</v>
      </c>
      <c r="U1285" s="200">
        <f>L1285*M1285</f>
        <v>1526.6</v>
      </c>
      <c r="V1285" s="12"/>
      <c r="W1285" s="12"/>
    </row>
    <row r="1286" spans="1:23" x14ac:dyDescent="0.3">
      <c r="A1286" s="193">
        <v>492</v>
      </c>
      <c r="B1286" s="46" t="s">
        <v>662</v>
      </c>
      <c r="C1286" s="215"/>
      <c r="D1286" s="194"/>
      <c r="E1286" s="215"/>
      <c r="F1286" s="215"/>
      <c r="G1286" s="215"/>
      <c r="H1286" s="194" t="s">
        <v>2025</v>
      </c>
      <c r="I1286" s="170"/>
      <c r="J1286" s="46" t="s">
        <v>1391</v>
      </c>
      <c r="K1286" s="237"/>
      <c r="L1286" s="197">
        <v>115.1</v>
      </c>
      <c r="M1286" s="197">
        <v>8</v>
      </c>
      <c r="N1286" s="290">
        <v>397</v>
      </c>
      <c r="O1286" s="46"/>
      <c r="P1286" s="46" t="s">
        <v>39</v>
      </c>
      <c r="Q1286" s="12"/>
      <c r="R1286" s="192" t="str">
        <f>CONCATENATE(N1286,P1286)</f>
        <v>397grams</v>
      </c>
      <c r="S1286" s="198">
        <f>M1286*N1286</f>
        <v>3176</v>
      </c>
      <c r="T1286" s="199" t="str">
        <f>CONCATENATE(S1286,Q1286,P1286)</f>
        <v>3176grams</v>
      </c>
      <c r="U1286" s="200">
        <f>L1286*M1286</f>
        <v>920.8</v>
      </c>
      <c r="V1286" s="12"/>
      <c r="W1286" s="12"/>
    </row>
    <row r="1287" spans="1:23" x14ac:dyDescent="0.3">
      <c r="A1287" s="193">
        <v>492</v>
      </c>
      <c r="B1287" s="46" t="s">
        <v>662</v>
      </c>
      <c r="C1287" s="215"/>
      <c r="D1287" s="194"/>
      <c r="E1287" s="215"/>
      <c r="F1287" s="215"/>
      <c r="G1287" s="215"/>
      <c r="H1287" s="194" t="s">
        <v>2026</v>
      </c>
      <c r="I1287" s="170"/>
      <c r="J1287" s="46" t="s">
        <v>1392</v>
      </c>
      <c r="K1287" s="237"/>
      <c r="L1287" s="197">
        <v>142.30000000000001</v>
      </c>
      <c r="M1287" s="197">
        <v>6</v>
      </c>
      <c r="N1287" s="290">
        <v>340</v>
      </c>
      <c r="O1287" s="46"/>
      <c r="P1287" s="46" t="s">
        <v>39</v>
      </c>
      <c r="Q1287" s="12"/>
      <c r="R1287" s="192" t="str">
        <f>CONCATENATE(N1287,P1287)</f>
        <v>340grams</v>
      </c>
      <c r="S1287" s="198">
        <f>M1287*N1287</f>
        <v>2040</v>
      </c>
      <c r="T1287" s="199" t="str">
        <f>CONCATENATE(S1287,Q1287,P1287)</f>
        <v>2040grams</v>
      </c>
      <c r="U1287" s="200">
        <f>L1287*M1287</f>
        <v>853.80000000000007</v>
      </c>
      <c r="V1287" s="12"/>
      <c r="W1287" s="12"/>
    </row>
    <row r="1288" spans="1:23" x14ac:dyDescent="0.3">
      <c r="A1288" s="193">
        <v>492</v>
      </c>
      <c r="B1288" s="219" t="s">
        <v>662</v>
      </c>
      <c r="C1288" s="215"/>
      <c r="D1288" s="194"/>
      <c r="E1288" s="215"/>
      <c r="F1288" s="215"/>
      <c r="G1288" s="215"/>
      <c r="H1288" s="194" t="s">
        <v>2026</v>
      </c>
      <c r="I1288" s="170"/>
      <c r="J1288" s="46" t="s">
        <v>1393</v>
      </c>
      <c r="K1288" s="237"/>
      <c r="L1288" s="197">
        <v>88.8</v>
      </c>
      <c r="M1288" s="197">
        <v>2</v>
      </c>
      <c r="N1288" s="290">
        <v>350</v>
      </c>
      <c r="O1288" s="46"/>
      <c r="P1288" s="46" t="s">
        <v>39</v>
      </c>
      <c r="Q1288" s="12"/>
      <c r="R1288" s="192" t="str">
        <f>CONCATENATE(N1288,P1288)</f>
        <v>350grams</v>
      </c>
      <c r="S1288" s="198">
        <f>M1288*N1288</f>
        <v>700</v>
      </c>
      <c r="T1288" s="199" t="str">
        <f>CONCATENATE(S1288,Q1288,P1288)</f>
        <v>700grams</v>
      </c>
      <c r="U1288" s="200">
        <f>L1288*M1288</f>
        <v>177.6</v>
      </c>
      <c r="V1288" s="12"/>
      <c r="W1288" s="12"/>
    </row>
    <row r="1289" spans="1:23" x14ac:dyDescent="0.3">
      <c r="A1289" s="193">
        <v>493</v>
      </c>
      <c r="B1289" s="46" t="s">
        <v>1394</v>
      </c>
      <c r="C1289" s="215"/>
      <c r="D1289" s="194"/>
      <c r="E1289" s="215"/>
      <c r="F1289" s="215"/>
      <c r="G1289" s="215"/>
      <c r="H1289" s="194" t="s">
        <v>2024</v>
      </c>
      <c r="I1289" s="170"/>
      <c r="J1289" s="46" t="s">
        <v>870</v>
      </c>
      <c r="K1289" s="237"/>
      <c r="L1289" s="197">
        <v>85.1</v>
      </c>
      <c r="M1289" s="197">
        <v>8</v>
      </c>
      <c r="N1289" s="290">
        <v>350</v>
      </c>
      <c r="O1289" s="46"/>
      <c r="P1289" s="46" t="s">
        <v>39</v>
      </c>
      <c r="Q1289" s="12"/>
      <c r="R1289" s="192" t="str">
        <f>CONCATENATE(N1289,P1289)</f>
        <v>350grams</v>
      </c>
      <c r="S1289" s="198">
        <f>M1289*N1289</f>
        <v>2800</v>
      </c>
      <c r="T1289" s="199" t="str">
        <f>CONCATENATE(S1289,Q1289,P1289)</f>
        <v>2800grams</v>
      </c>
      <c r="U1289" s="200">
        <f>L1289*M1289</f>
        <v>680.8</v>
      </c>
      <c r="V1289" s="12"/>
      <c r="W1289" s="12"/>
    </row>
    <row r="1290" spans="1:23" x14ac:dyDescent="0.3">
      <c r="A1290" s="193">
        <v>493</v>
      </c>
      <c r="B1290" s="46" t="s">
        <v>1394</v>
      </c>
      <c r="C1290" s="215"/>
      <c r="D1290" s="194"/>
      <c r="E1290" s="215"/>
      <c r="F1290" s="215"/>
      <c r="G1290" s="215"/>
      <c r="H1290" s="194" t="s">
        <v>2024</v>
      </c>
      <c r="I1290" s="170"/>
      <c r="J1290" s="46" t="s">
        <v>1368</v>
      </c>
      <c r="K1290" s="237"/>
      <c r="L1290" s="197">
        <v>82.5</v>
      </c>
      <c r="M1290" s="197">
        <v>6</v>
      </c>
      <c r="N1290" s="290">
        <v>350</v>
      </c>
      <c r="O1290" s="46"/>
      <c r="P1290" s="46" t="s">
        <v>39</v>
      </c>
      <c r="Q1290" s="12"/>
      <c r="R1290" s="192" t="str">
        <f>CONCATENATE(N1290,P1290)</f>
        <v>350grams</v>
      </c>
      <c r="S1290" s="198">
        <f>M1290*N1290</f>
        <v>2100</v>
      </c>
      <c r="T1290" s="199" t="str">
        <f>CONCATENATE(S1290,Q1290,P1290)</f>
        <v>2100grams</v>
      </c>
      <c r="U1290" s="200">
        <f>L1290*M1290</f>
        <v>495</v>
      </c>
      <c r="V1290" s="12"/>
      <c r="W1290" s="12"/>
    </row>
    <row r="1291" spans="1:23" x14ac:dyDescent="0.3">
      <c r="A1291" s="193">
        <v>493</v>
      </c>
      <c r="B1291" s="46" t="s">
        <v>1394</v>
      </c>
      <c r="C1291" s="215"/>
      <c r="D1291" s="194"/>
      <c r="E1291" s="215"/>
      <c r="F1291" s="215"/>
      <c r="G1291" s="215"/>
      <c r="H1291" s="194" t="s">
        <v>2026</v>
      </c>
      <c r="I1291" s="170"/>
      <c r="J1291" s="46" t="s">
        <v>1395</v>
      </c>
      <c r="K1291" s="237"/>
      <c r="L1291" s="197">
        <v>85.1</v>
      </c>
      <c r="M1291" s="197">
        <v>1</v>
      </c>
      <c r="N1291" s="290">
        <v>350</v>
      </c>
      <c r="O1291" s="46"/>
      <c r="P1291" s="46" t="s">
        <v>39</v>
      </c>
      <c r="Q1291" s="12"/>
      <c r="R1291" s="192" t="str">
        <f>CONCATENATE(N1291,P1291)</f>
        <v>350grams</v>
      </c>
      <c r="S1291" s="198">
        <f>M1291*N1291</f>
        <v>350</v>
      </c>
      <c r="T1291" s="199" t="str">
        <f>CONCATENATE(S1291,Q1291,P1291)</f>
        <v>350grams</v>
      </c>
      <c r="U1291" s="200">
        <f>L1291*M1291</f>
        <v>85.1</v>
      </c>
      <c r="V1291" s="12"/>
      <c r="W1291" s="12"/>
    </row>
    <row r="1292" spans="1:23" x14ac:dyDescent="0.3">
      <c r="A1292" s="479">
        <v>494</v>
      </c>
      <c r="B1292" s="194" t="s">
        <v>663</v>
      </c>
      <c r="C1292" s="170"/>
      <c r="D1292" s="194" t="str">
        <f ca="1">IFERROR(__xludf.DUMMYFUNCTION("IF(J361="""",""n/a"",IFERROR(SPLIT(J361,""/"")))"),"Purefoods")</f>
        <v>Purefoods</v>
      </c>
      <c r="E1292" s="194" t="str">
        <f ca="1">IFERROR(__xludf.DUMMYFUNCTION("""COMPUTED_VALUE"""),"can")</f>
        <v>can</v>
      </c>
      <c r="F1292" s="194" t="str">
        <f ca="1">IFERROR(__xludf.DUMMYFUNCTION("""COMPUTED_VALUE"""),"340grams")</f>
        <v>340grams</v>
      </c>
      <c r="G1292" s="170"/>
      <c r="H1292" s="183" t="s">
        <v>1897</v>
      </c>
      <c r="I1292" s="170"/>
      <c r="J1292" s="46" t="s">
        <v>187</v>
      </c>
      <c r="K1292" s="237"/>
      <c r="L1292" s="195">
        <v>0.2</v>
      </c>
      <c r="M1292" s="202">
        <v>11160</v>
      </c>
      <c r="N1292" s="203">
        <v>360</v>
      </c>
      <c r="O1292" s="61" t="str">
        <f ca="1">E1292</f>
        <v>can</v>
      </c>
      <c r="P1292" s="61" t="s">
        <v>39</v>
      </c>
      <c r="Q1292" s="515" t="s">
        <v>33</v>
      </c>
      <c r="R1292" s="192" t="str">
        <f>CONCATENATE(N1292,P1292)</f>
        <v>360grams</v>
      </c>
      <c r="S1292" s="198">
        <f>M1292*N1292</f>
        <v>4017600</v>
      </c>
      <c r="T1292" s="199" t="str">
        <f>CONCATENATE(S1292,Q1292,P1292)</f>
        <v>4017600 grams</v>
      </c>
      <c r="U1292" s="200">
        <f>L1292*M1292</f>
        <v>2232</v>
      </c>
      <c r="V1292" s="205"/>
      <c r="W1292" s="62"/>
    </row>
    <row r="1293" spans="1:23" x14ac:dyDescent="0.3">
      <c r="A1293" s="479">
        <v>495</v>
      </c>
      <c r="B1293" s="194" t="s">
        <v>664</v>
      </c>
      <c r="C1293" s="170"/>
      <c r="D1293" s="194" t="str">
        <f ca="1">IFERROR(__xludf.DUMMYFUNCTION("IF(J362="""",""n/a"",IFERROR(SPLIT(J362,""/"")))"),"Fresh")</f>
        <v>Fresh</v>
      </c>
      <c r="E1293" s="170"/>
      <c r="F1293" s="170"/>
      <c r="G1293" s="170"/>
      <c r="H1293" s="183" t="s">
        <v>1897</v>
      </c>
      <c r="I1293" s="170"/>
      <c r="J1293" s="46" t="s">
        <v>216</v>
      </c>
      <c r="K1293" s="237"/>
      <c r="L1293" s="217">
        <v>0.1</v>
      </c>
      <c r="M1293" s="202">
        <v>1000</v>
      </c>
      <c r="N1293" s="203">
        <v>1000</v>
      </c>
      <c r="O1293" s="170">
        <f>E1293</f>
        <v>0</v>
      </c>
      <c r="P1293" s="61" t="s">
        <v>39</v>
      </c>
      <c r="Q1293" s="487"/>
      <c r="R1293" s="192" t="str">
        <f>CONCATENATE(N1293,P1293)</f>
        <v>1000grams</v>
      </c>
      <c r="S1293" s="198">
        <f>M1293*N1293</f>
        <v>1000000</v>
      </c>
      <c r="T1293" s="199" t="str">
        <f>CONCATENATE(S1293,Q1293,P1293)</f>
        <v>1000000grams</v>
      </c>
      <c r="U1293" s="200">
        <f>L1293*M1293</f>
        <v>100</v>
      </c>
      <c r="V1293" s="12"/>
      <c r="W1293" s="12"/>
    </row>
    <row r="1294" spans="1:23" x14ac:dyDescent="0.3">
      <c r="A1294" s="193">
        <v>495</v>
      </c>
      <c r="B1294" s="46" t="s">
        <v>664</v>
      </c>
      <c r="C1294" s="215"/>
      <c r="D1294" s="194"/>
      <c r="E1294" s="215"/>
      <c r="F1294" s="215"/>
      <c r="G1294" s="215"/>
      <c r="H1294" s="194" t="s">
        <v>2025</v>
      </c>
      <c r="I1294" s="170"/>
      <c r="J1294" s="170"/>
      <c r="K1294" s="237"/>
      <c r="L1294" s="197">
        <v>140</v>
      </c>
      <c r="M1294" s="197">
        <v>1</v>
      </c>
      <c r="N1294" s="290">
        <v>1</v>
      </c>
      <c r="O1294" s="46"/>
      <c r="P1294" s="46" t="s">
        <v>213</v>
      </c>
      <c r="Q1294" s="12"/>
      <c r="R1294" s="192" t="str">
        <f>CONCATENATE(N1294,P1294)</f>
        <v>1kilos</v>
      </c>
      <c r="S1294" s="198">
        <f>M1294*N1294</f>
        <v>1</v>
      </c>
      <c r="T1294" s="199" t="str">
        <f>CONCATENATE(S1294,Q1294,P1294)</f>
        <v>1kilos</v>
      </c>
      <c r="U1294" s="200">
        <f>L1294*M1294</f>
        <v>140</v>
      </c>
      <c r="V1294" s="12"/>
      <c r="W1294" s="12"/>
    </row>
    <row r="1295" spans="1:23" x14ac:dyDescent="0.3">
      <c r="A1295" s="193">
        <v>496</v>
      </c>
      <c r="B1295" s="46" t="s">
        <v>1396</v>
      </c>
      <c r="C1295" s="215"/>
      <c r="D1295" s="194"/>
      <c r="E1295" s="215"/>
      <c r="F1295" s="215"/>
      <c r="G1295" s="215"/>
      <c r="H1295" s="194" t="s">
        <v>2026</v>
      </c>
      <c r="I1295" s="170"/>
      <c r="J1295" s="46" t="s">
        <v>1397</v>
      </c>
      <c r="K1295" s="237"/>
      <c r="L1295" s="197">
        <v>106.5</v>
      </c>
      <c r="M1295" s="197">
        <v>1</v>
      </c>
      <c r="N1295" s="290">
        <v>230</v>
      </c>
      <c r="O1295" s="46"/>
      <c r="P1295" s="46" t="s">
        <v>519</v>
      </c>
      <c r="Q1295" s="12"/>
      <c r="R1295" s="192" t="str">
        <f>CONCATENATE(N1295,P1295)</f>
        <v>230drained weight grams</v>
      </c>
      <c r="S1295" s="198">
        <f>M1295*N1295</f>
        <v>230</v>
      </c>
      <c r="T1295" s="199" t="str">
        <f>CONCATENATE(S1295,Q1295,P1295)</f>
        <v>230drained weight grams</v>
      </c>
      <c r="U1295" s="200">
        <f>L1295*M1295</f>
        <v>106.5</v>
      </c>
      <c r="V1295" s="12"/>
      <c r="W1295" s="12"/>
    </row>
    <row r="1296" spans="1:23" x14ac:dyDescent="0.3">
      <c r="A1296" s="479">
        <v>497</v>
      </c>
      <c r="B1296" s="194" t="s">
        <v>665</v>
      </c>
      <c r="C1296" s="170"/>
      <c r="D1296" s="194" t="str">
        <f ca="1">IFERROR(__xludf.DUMMYFUNCTION("IF(J363="""",""n/a"",IFERROR(SPLIT(J363,""/"")))"),"n/a")</f>
        <v>n/a</v>
      </c>
      <c r="E1296" s="170"/>
      <c r="F1296" s="170"/>
      <c r="G1296" s="170"/>
      <c r="H1296" s="206" t="s">
        <v>1898</v>
      </c>
      <c r="I1296" s="170"/>
      <c r="J1296" s="170"/>
      <c r="K1296" s="237"/>
      <c r="L1296" s="197">
        <v>0.19</v>
      </c>
      <c r="M1296" s="386">
        <v>690</v>
      </c>
      <c r="N1296" s="208">
        <v>565</v>
      </c>
      <c r="O1296" s="170">
        <f>E1296</f>
        <v>0</v>
      </c>
      <c r="P1296" s="61" t="s">
        <v>39</v>
      </c>
      <c r="Q1296" s="487"/>
      <c r="R1296" s="192" t="str">
        <f>CONCATENATE(N1296,P1296)</f>
        <v>565grams</v>
      </c>
      <c r="S1296" s="198">
        <f>M1296*N1296</f>
        <v>389850</v>
      </c>
      <c r="T1296" s="199" t="str">
        <f>CONCATENATE(S1296,Q1296,P1296)</f>
        <v>389850grams</v>
      </c>
      <c r="U1296" s="200">
        <f>L1296*M1296</f>
        <v>131.1</v>
      </c>
      <c r="V1296" s="12"/>
      <c r="W1296" s="12"/>
    </row>
    <row r="1297" spans="1:23" x14ac:dyDescent="0.3">
      <c r="A1297" s="193">
        <v>497</v>
      </c>
      <c r="B1297" s="46" t="s">
        <v>665</v>
      </c>
      <c r="C1297" s="215"/>
      <c r="D1297" s="194"/>
      <c r="E1297" s="215"/>
      <c r="F1297" s="215"/>
      <c r="G1297" s="215"/>
      <c r="H1297" s="194" t="s">
        <v>29</v>
      </c>
      <c r="I1297" s="170"/>
      <c r="J1297" s="46" t="s">
        <v>865</v>
      </c>
      <c r="K1297" s="237"/>
      <c r="L1297" s="197">
        <v>106.5</v>
      </c>
      <c r="M1297" s="197">
        <v>2</v>
      </c>
      <c r="N1297" s="290">
        <v>230</v>
      </c>
      <c r="O1297" s="46"/>
      <c r="P1297" s="46" t="s">
        <v>39</v>
      </c>
      <c r="Q1297" s="12"/>
      <c r="R1297" s="192" t="str">
        <f>CONCATENATE(N1297,P1297)</f>
        <v>230grams</v>
      </c>
      <c r="S1297" s="198">
        <f>M1297*N1297</f>
        <v>460</v>
      </c>
      <c r="T1297" s="199" t="str">
        <f>CONCATENATE(S1297,Q1297,P1297)</f>
        <v>460grams</v>
      </c>
      <c r="U1297" s="200">
        <f>L1297*M1297</f>
        <v>213</v>
      </c>
      <c r="V1297" s="12"/>
      <c r="W1297" s="12"/>
    </row>
    <row r="1298" spans="1:23" x14ac:dyDescent="0.3">
      <c r="A1298" s="193">
        <v>497</v>
      </c>
      <c r="B1298" s="46" t="s">
        <v>665</v>
      </c>
      <c r="C1298" s="215"/>
      <c r="D1298" s="194"/>
      <c r="E1298" s="215"/>
      <c r="F1298" s="215"/>
      <c r="G1298" s="215"/>
      <c r="H1298" s="194" t="s">
        <v>1368</v>
      </c>
      <c r="I1298" s="170"/>
      <c r="J1298" s="46" t="s">
        <v>1398</v>
      </c>
      <c r="K1298" s="237"/>
      <c r="L1298" s="197">
        <v>138.5</v>
      </c>
      <c r="M1298" s="197">
        <v>1</v>
      </c>
      <c r="N1298" s="290">
        <v>565</v>
      </c>
      <c r="O1298" s="46"/>
      <c r="P1298" s="46" t="s">
        <v>39</v>
      </c>
      <c r="Q1298" s="12"/>
      <c r="R1298" s="192" t="str">
        <f>CONCATENATE(N1298,P1298)</f>
        <v>565grams</v>
      </c>
      <c r="S1298" s="198">
        <f>M1298*N1298</f>
        <v>565</v>
      </c>
      <c r="T1298" s="199" t="str">
        <f>CONCATENATE(S1298,Q1298,P1298)</f>
        <v>565grams</v>
      </c>
      <c r="U1298" s="200">
        <f>L1298*M1298</f>
        <v>138.5</v>
      </c>
      <c r="V1298" s="12"/>
      <c r="W1298" s="12"/>
    </row>
    <row r="1299" spans="1:23" x14ac:dyDescent="0.3">
      <c r="A1299" s="193">
        <v>497</v>
      </c>
      <c r="B1299" s="46" t="s">
        <v>665</v>
      </c>
      <c r="C1299" s="215"/>
      <c r="D1299" s="194"/>
      <c r="E1299" s="215"/>
      <c r="F1299" s="215"/>
      <c r="G1299" s="215"/>
      <c r="H1299" s="194" t="s">
        <v>2020</v>
      </c>
      <c r="I1299" s="170"/>
      <c r="J1299" s="46" t="s">
        <v>865</v>
      </c>
      <c r="K1299" s="237"/>
      <c r="L1299" s="197">
        <v>80.25</v>
      </c>
      <c r="M1299" s="197">
        <v>1</v>
      </c>
      <c r="N1299" s="290">
        <v>565</v>
      </c>
      <c r="O1299" s="46"/>
      <c r="P1299" s="46" t="s">
        <v>39</v>
      </c>
      <c r="Q1299" s="12"/>
      <c r="R1299" s="192" t="str">
        <f>CONCATENATE(N1299,P1299)</f>
        <v>565grams</v>
      </c>
      <c r="S1299" s="198">
        <f>M1299*N1299</f>
        <v>565</v>
      </c>
      <c r="T1299" s="199" t="str">
        <f>CONCATENATE(S1299,Q1299,P1299)</f>
        <v>565grams</v>
      </c>
      <c r="U1299" s="200">
        <f>L1299*M1299</f>
        <v>80.25</v>
      </c>
      <c r="V1299" s="12"/>
      <c r="W1299" s="12"/>
    </row>
    <row r="1300" spans="1:23" x14ac:dyDescent="0.3">
      <c r="A1300" s="193">
        <v>498</v>
      </c>
      <c r="B1300" s="46" t="s">
        <v>1399</v>
      </c>
      <c r="C1300" s="215"/>
      <c r="D1300" s="194"/>
      <c r="E1300" s="215"/>
      <c r="F1300" s="215"/>
      <c r="G1300" s="215"/>
      <c r="H1300" s="194" t="s">
        <v>2020</v>
      </c>
      <c r="I1300" s="170"/>
      <c r="J1300" s="46" t="s">
        <v>1227</v>
      </c>
      <c r="K1300" s="237"/>
      <c r="L1300" s="197">
        <v>35</v>
      </c>
      <c r="M1300" s="197">
        <v>1</v>
      </c>
      <c r="N1300" s="290">
        <v>375</v>
      </c>
      <c r="O1300" s="46"/>
      <c r="P1300" s="46" t="s">
        <v>32</v>
      </c>
      <c r="Q1300" s="12"/>
      <c r="R1300" s="192" t="str">
        <f>CONCATENATE(N1300,P1300)</f>
        <v>375ml</v>
      </c>
      <c r="S1300" s="198">
        <f>M1300*N1300</f>
        <v>375</v>
      </c>
      <c r="T1300" s="199" t="str">
        <f>CONCATENATE(S1300,Q1300,P1300)</f>
        <v>375ml</v>
      </c>
      <c r="U1300" s="200">
        <f>L1300*M1300</f>
        <v>35</v>
      </c>
      <c r="V1300" s="12"/>
      <c r="W1300" s="12"/>
    </row>
    <row r="1301" spans="1:23" x14ac:dyDescent="0.3">
      <c r="A1301" s="193">
        <v>499</v>
      </c>
      <c r="B1301" s="46" t="s">
        <v>1400</v>
      </c>
      <c r="C1301" s="215"/>
      <c r="D1301" s="194"/>
      <c r="E1301" s="215"/>
      <c r="F1301" s="215"/>
      <c r="G1301" s="215"/>
      <c r="H1301" s="194" t="s">
        <v>2020</v>
      </c>
      <c r="I1301" s="170"/>
      <c r="J1301" s="46" t="s">
        <v>1401</v>
      </c>
      <c r="K1301" s="237"/>
      <c r="L1301" s="197">
        <v>154</v>
      </c>
      <c r="M1301" s="197">
        <v>1</v>
      </c>
      <c r="N1301" s="290">
        <v>340</v>
      </c>
      <c r="O1301" s="46"/>
      <c r="P1301" s="46" t="s">
        <v>39</v>
      </c>
      <c r="Q1301" s="12"/>
      <c r="R1301" s="192" t="str">
        <f>CONCATENATE(N1301,P1301)</f>
        <v>340grams</v>
      </c>
      <c r="S1301" s="198">
        <f>M1301*N1301</f>
        <v>340</v>
      </c>
      <c r="T1301" s="199" t="str">
        <f>CONCATENATE(S1301,Q1301,P1301)</f>
        <v>340grams</v>
      </c>
      <c r="U1301" s="200">
        <f>L1301*M1301</f>
        <v>154</v>
      </c>
      <c r="V1301" s="12"/>
      <c r="W1301" s="12"/>
    </row>
    <row r="1302" spans="1:23" x14ac:dyDescent="0.3">
      <c r="A1302" s="193">
        <v>500</v>
      </c>
      <c r="B1302" s="46" t="s">
        <v>1402</v>
      </c>
      <c r="C1302" s="215"/>
      <c r="D1302" s="194"/>
      <c r="E1302" s="215"/>
      <c r="F1302" s="215"/>
      <c r="G1302" s="215"/>
      <c r="H1302" s="194" t="s">
        <v>2024</v>
      </c>
      <c r="I1302" s="170"/>
      <c r="J1302" s="46" t="s">
        <v>1349</v>
      </c>
      <c r="K1302" s="237"/>
      <c r="L1302" s="197">
        <v>296.7</v>
      </c>
      <c r="M1302" s="197">
        <v>1</v>
      </c>
      <c r="N1302" s="290">
        <v>1</v>
      </c>
      <c r="O1302" s="46"/>
      <c r="P1302" s="46" t="s">
        <v>213</v>
      </c>
      <c r="Q1302" s="12"/>
      <c r="R1302" s="192" t="str">
        <f>CONCATENATE(N1302,P1302)</f>
        <v>1kilos</v>
      </c>
      <c r="S1302" s="198">
        <f>M1302*N1302</f>
        <v>1</v>
      </c>
      <c r="T1302" s="199" t="str">
        <f>CONCATENATE(S1302,Q1302,P1302)</f>
        <v>1kilos</v>
      </c>
      <c r="U1302" s="200">
        <f>L1302*M1302</f>
        <v>296.7</v>
      </c>
      <c r="V1302" s="12"/>
      <c r="W1302" s="12"/>
    </row>
    <row r="1303" spans="1:23" x14ac:dyDescent="0.3">
      <c r="A1303" s="193">
        <v>500</v>
      </c>
      <c r="B1303" s="46" t="s">
        <v>1402</v>
      </c>
      <c r="C1303" s="215"/>
      <c r="D1303" s="194"/>
      <c r="E1303" s="215"/>
      <c r="F1303" s="215"/>
      <c r="G1303" s="215"/>
      <c r="H1303" s="194" t="s">
        <v>2025</v>
      </c>
      <c r="I1303" s="170"/>
      <c r="J1303" s="46" t="s">
        <v>1349</v>
      </c>
      <c r="K1303" s="237"/>
      <c r="L1303" s="197">
        <v>380</v>
      </c>
      <c r="M1303" s="197">
        <v>5</v>
      </c>
      <c r="N1303" s="290">
        <v>5</v>
      </c>
      <c r="O1303" s="46"/>
      <c r="P1303" s="46" t="s">
        <v>213</v>
      </c>
      <c r="Q1303" s="12"/>
      <c r="R1303" s="192" t="str">
        <f>CONCATENATE(N1303,P1303)</f>
        <v>5kilos</v>
      </c>
      <c r="S1303" s="198">
        <f>M1303*N1303</f>
        <v>25</v>
      </c>
      <c r="T1303" s="199" t="str">
        <f>CONCATENATE(S1303,Q1303,P1303)</f>
        <v>25kilos</v>
      </c>
      <c r="U1303" s="200">
        <f>L1303*M1303</f>
        <v>1900</v>
      </c>
      <c r="V1303" s="12"/>
      <c r="W1303" s="12"/>
    </row>
    <row r="1304" spans="1:23" x14ac:dyDescent="0.3">
      <c r="A1304" s="193">
        <v>500</v>
      </c>
      <c r="B1304" s="309" t="s">
        <v>1402</v>
      </c>
      <c r="C1304" s="215"/>
      <c r="D1304" s="194"/>
      <c r="E1304" s="215"/>
      <c r="F1304" s="215"/>
      <c r="G1304" s="215"/>
      <c r="H1304" s="194" t="s">
        <v>2026</v>
      </c>
      <c r="I1304" s="170"/>
      <c r="J1304" s="46" t="s">
        <v>1349</v>
      </c>
      <c r="K1304" s="237"/>
      <c r="L1304" s="197">
        <v>59.34</v>
      </c>
      <c r="M1304" s="197">
        <v>8</v>
      </c>
      <c r="N1304" s="290">
        <v>5000</v>
      </c>
      <c r="O1304" s="46"/>
      <c r="P1304" s="46" t="s">
        <v>39</v>
      </c>
      <c r="Q1304" s="12"/>
      <c r="R1304" s="192" t="str">
        <f>CONCATENATE(N1304,P1304)</f>
        <v>5000grams</v>
      </c>
      <c r="S1304" s="198">
        <f>M1304*N1304</f>
        <v>40000</v>
      </c>
      <c r="T1304" s="199" t="str">
        <f>CONCATENATE(S1304,Q1304,P1304)</f>
        <v>40000grams</v>
      </c>
      <c r="U1304" s="200">
        <f>L1304*M1304</f>
        <v>474.72</v>
      </c>
      <c r="V1304" s="12"/>
      <c r="W1304" s="12"/>
    </row>
    <row r="1305" spans="1:23" x14ac:dyDescent="0.3">
      <c r="A1305" s="193">
        <v>500</v>
      </c>
      <c r="B1305" s="309" t="s">
        <v>1402</v>
      </c>
      <c r="C1305" s="215"/>
      <c r="D1305" s="194"/>
      <c r="E1305" s="215"/>
      <c r="F1305" s="215"/>
      <c r="G1305" s="215"/>
      <c r="H1305" s="194" t="s">
        <v>2022</v>
      </c>
      <c r="I1305" s="170"/>
      <c r="J1305" s="46" t="s">
        <v>1349</v>
      </c>
      <c r="K1305" s="237"/>
      <c r="L1305" s="197">
        <v>40</v>
      </c>
      <c r="M1305" s="197">
        <v>5</v>
      </c>
      <c r="N1305" s="290">
        <v>500</v>
      </c>
      <c r="O1305" s="46"/>
      <c r="P1305" s="46" t="s">
        <v>39</v>
      </c>
      <c r="Q1305" s="12"/>
      <c r="R1305" s="192" t="str">
        <f>CONCATENATE(N1305,P1305)</f>
        <v>500grams</v>
      </c>
      <c r="S1305" s="198">
        <f>M1305*N1305</f>
        <v>2500</v>
      </c>
      <c r="T1305" s="199" t="str">
        <f>CONCATENATE(S1305,Q1305,P1305)</f>
        <v>2500grams</v>
      </c>
      <c r="U1305" s="200">
        <f>L1305*M1305</f>
        <v>200</v>
      </c>
      <c r="V1305" s="12"/>
      <c r="W1305" s="12"/>
    </row>
    <row r="1306" spans="1:23" x14ac:dyDescent="0.3">
      <c r="A1306" s="193">
        <v>500</v>
      </c>
      <c r="B1306" s="309" t="s">
        <v>1402</v>
      </c>
      <c r="C1306" s="215"/>
      <c r="D1306" s="194"/>
      <c r="E1306" s="215"/>
      <c r="F1306" s="215"/>
      <c r="G1306" s="215"/>
      <c r="H1306" s="194" t="s">
        <v>2022</v>
      </c>
      <c r="I1306" s="170"/>
      <c r="J1306" s="46" t="s">
        <v>1349</v>
      </c>
      <c r="K1306" s="237"/>
      <c r="L1306" s="197">
        <v>80</v>
      </c>
      <c r="M1306" s="197">
        <v>5</v>
      </c>
      <c r="N1306" s="290">
        <v>500</v>
      </c>
      <c r="O1306" s="46"/>
      <c r="P1306" s="46" t="s">
        <v>39</v>
      </c>
      <c r="Q1306" s="12"/>
      <c r="R1306" s="192" t="str">
        <f>CONCATENATE(N1306,P1306)</f>
        <v>500grams</v>
      </c>
      <c r="S1306" s="198">
        <f>M1306*N1306</f>
        <v>2500</v>
      </c>
      <c r="T1306" s="199" t="str">
        <f>CONCATENATE(S1306,Q1306,P1306)</f>
        <v>2500grams</v>
      </c>
      <c r="U1306" s="200">
        <f>L1306*M1306</f>
        <v>400</v>
      </c>
      <c r="V1306" s="12"/>
      <c r="W1306" s="12"/>
    </row>
    <row r="1307" spans="1:23" x14ac:dyDescent="0.3">
      <c r="A1307" s="193">
        <v>500</v>
      </c>
      <c r="B1307" s="219" t="s">
        <v>1402</v>
      </c>
      <c r="C1307" s="215"/>
      <c r="D1307" s="194"/>
      <c r="E1307" s="215"/>
      <c r="F1307" s="215"/>
      <c r="G1307" s="215"/>
      <c r="H1307" s="194" t="s">
        <v>2021</v>
      </c>
      <c r="I1307" s="170"/>
      <c r="J1307" s="219" t="s">
        <v>1349</v>
      </c>
      <c r="K1307" s="237"/>
      <c r="L1307" s="216">
        <v>62</v>
      </c>
      <c r="M1307" s="216">
        <v>7</v>
      </c>
      <c r="N1307" s="293">
        <v>500</v>
      </c>
      <c r="O1307" s="219"/>
      <c r="P1307" s="219" t="s">
        <v>39</v>
      </c>
      <c r="Q1307" s="12"/>
      <c r="R1307" s="192" t="str">
        <f>CONCATENATE(N1307,P1307)</f>
        <v>500grams</v>
      </c>
      <c r="S1307" s="198">
        <f>M1307*N1307</f>
        <v>3500</v>
      </c>
      <c r="T1307" s="199" t="str">
        <f>CONCATENATE(S1307,Q1307,P1307)</f>
        <v>3500grams</v>
      </c>
      <c r="U1307" s="200">
        <f>L1307*M1307</f>
        <v>434</v>
      </c>
      <c r="V1307" s="12"/>
      <c r="W1307" s="12"/>
    </row>
    <row r="1308" spans="1:23" x14ac:dyDescent="0.3">
      <c r="A1308" s="479">
        <v>501</v>
      </c>
      <c r="B1308" s="194" t="s">
        <v>666</v>
      </c>
      <c r="C1308" s="170"/>
      <c r="D1308" s="194" t="str">
        <f ca="1">IFERROR(__xludf.DUMMYFUNCTION("IF(J364="""",""n/a"",IFERROR(SPLIT(J364,""/"")))"),"White king")</f>
        <v>White king</v>
      </c>
      <c r="E1308" s="194" t="str">
        <f ca="1">IFERROR(__xludf.DUMMYFUNCTION("""COMPUTED_VALUE"""),"pack")</f>
        <v>pack</v>
      </c>
      <c r="F1308" s="194" t="str">
        <f ca="1">IFERROR(__xludf.DUMMYFUNCTION("""COMPUTED_VALUE"""),"1000grams")</f>
        <v>1000grams</v>
      </c>
      <c r="G1308" s="170"/>
      <c r="H1308" s="183" t="s">
        <v>1897</v>
      </c>
      <c r="I1308" s="170"/>
      <c r="J1308" s="46" t="s">
        <v>667</v>
      </c>
      <c r="K1308" s="237"/>
      <c r="L1308" s="202">
        <v>0.06</v>
      </c>
      <c r="M1308" s="202">
        <v>1000</v>
      </c>
      <c r="N1308" s="203">
        <v>1000</v>
      </c>
      <c r="O1308" s="61" t="str">
        <f ca="1">E1308</f>
        <v>pack</v>
      </c>
      <c r="P1308" s="61" t="s">
        <v>39</v>
      </c>
      <c r="Q1308" s="487"/>
      <c r="R1308" s="192" t="str">
        <f>CONCATENATE(N1308,P1308)</f>
        <v>1000grams</v>
      </c>
      <c r="S1308" s="198">
        <f>M1308*N1308</f>
        <v>1000000</v>
      </c>
      <c r="T1308" s="199" t="str">
        <f>CONCATENATE(S1308,Q1308,P1308)</f>
        <v>1000000grams</v>
      </c>
      <c r="U1308" s="200">
        <f>L1308*M1308</f>
        <v>60</v>
      </c>
      <c r="V1308" s="12"/>
      <c r="W1308" s="12"/>
    </row>
    <row r="1309" spans="1:23" x14ac:dyDescent="0.3">
      <c r="A1309" s="479">
        <v>501</v>
      </c>
      <c r="B1309" s="194" t="s">
        <v>666</v>
      </c>
      <c r="C1309" s="170"/>
      <c r="D1309" s="194" t="str">
        <f ca="1">IFERROR(__xludf.DUMMYFUNCTION("IF(J365="""",""n/a"",IFERROR(SPLIT(J365,""/"")))"),"n/a")</f>
        <v>n/a</v>
      </c>
      <c r="E1309" s="170"/>
      <c r="F1309" s="170"/>
      <c r="G1309" s="170"/>
      <c r="H1309" s="206" t="s">
        <v>1898</v>
      </c>
      <c r="I1309" s="170"/>
      <c r="J1309" s="170"/>
      <c r="K1309" s="237"/>
      <c r="L1309" s="197">
        <v>0.06</v>
      </c>
      <c r="M1309" s="386">
        <v>15600</v>
      </c>
      <c r="N1309" s="208">
        <v>5000</v>
      </c>
      <c r="O1309" s="170">
        <f>E1309</f>
        <v>0</v>
      </c>
      <c r="P1309" s="61" t="s">
        <v>39</v>
      </c>
      <c r="Q1309" s="487"/>
      <c r="R1309" s="192" t="str">
        <f>CONCATENATE(N1309,P1309)</f>
        <v>5000grams</v>
      </c>
      <c r="S1309" s="198">
        <f>M1309*N1309</f>
        <v>78000000</v>
      </c>
      <c r="T1309" s="199" t="str">
        <f>CONCATENATE(S1309,Q1309,P1309)</f>
        <v>78000000grams</v>
      </c>
      <c r="U1309" s="200">
        <f>L1309*M1309</f>
        <v>936</v>
      </c>
      <c r="V1309" s="12"/>
      <c r="W1309" s="12"/>
    </row>
    <row r="1310" spans="1:23" x14ac:dyDescent="0.3">
      <c r="A1310" s="193">
        <v>502</v>
      </c>
      <c r="B1310" s="46" t="s">
        <v>1403</v>
      </c>
      <c r="C1310" s="215"/>
      <c r="D1310" s="194"/>
      <c r="E1310" s="215"/>
      <c r="F1310" s="215"/>
      <c r="G1310" s="215"/>
      <c r="H1310" s="194" t="s">
        <v>1368</v>
      </c>
      <c r="I1310" s="170"/>
      <c r="J1310" s="46" t="s">
        <v>1404</v>
      </c>
      <c r="K1310" s="237"/>
      <c r="L1310" s="197">
        <v>87</v>
      </c>
      <c r="M1310" s="197">
        <v>1</v>
      </c>
      <c r="N1310" s="290">
        <v>1000</v>
      </c>
      <c r="O1310" s="46"/>
      <c r="P1310" s="46" t="s">
        <v>39</v>
      </c>
      <c r="Q1310" s="12"/>
      <c r="R1310" s="192" t="str">
        <f>CONCATENATE(N1310,P1310)</f>
        <v>1000grams</v>
      </c>
      <c r="S1310" s="198">
        <f>M1310*N1310</f>
        <v>1000</v>
      </c>
      <c r="T1310" s="199" t="str">
        <f>CONCATENATE(S1310,Q1310,P1310)</f>
        <v>1000grams</v>
      </c>
      <c r="U1310" s="200">
        <f>L1310*M1310</f>
        <v>87</v>
      </c>
      <c r="V1310" s="12"/>
      <c r="W1310" s="12"/>
    </row>
    <row r="1311" spans="1:23" x14ac:dyDescent="0.3">
      <c r="A1311" s="193">
        <v>502</v>
      </c>
      <c r="B1311" s="46" t="s">
        <v>1403</v>
      </c>
      <c r="C1311" s="215"/>
      <c r="D1311" s="194"/>
      <c r="E1311" s="215"/>
      <c r="F1311" s="215"/>
      <c r="G1311" s="215"/>
      <c r="H1311" s="194" t="s">
        <v>2020</v>
      </c>
      <c r="I1311" s="170"/>
      <c r="J1311" s="46" t="s">
        <v>1405</v>
      </c>
      <c r="K1311" s="237"/>
      <c r="L1311" s="197">
        <v>39.700000000000003</v>
      </c>
      <c r="M1311" s="197">
        <v>2</v>
      </c>
      <c r="N1311" s="290">
        <v>400</v>
      </c>
      <c r="O1311" s="46"/>
      <c r="P1311" s="46" t="s">
        <v>39</v>
      </c>
      <c r="Q1311" s="12"/>
      <c r="R1311" s="192" t="str">
        <f>CONCATENATE(N1311,P1311)</f>
        <v>400grams</v>
      </c>
      <c r="S1311" s="198">
        <f>M1311*N1311</f>
        <v>800</v>
      </c>
      <c r="T1311" s="199" t="str">
        <f>CONCATENATE(S1311,Q1311,P1311)</f>
        <v>800grams</v>
      </c>
      <c r="U1311" s="200">
        <f>L1311*M1311</f>
        <v>79.400000000000006</v>
      </c>
      <c r="V1311" s="12"/>
      <c r="W1311" s="12"/>
    </row>
    <row r="1312" spans="1:23" x14ac:dyDescent="0.3">
      <c r="A1312" s="479">
        <v>503</v>
      </c>
      <c r="B1312" s="194" t="s">
        <v>325</v>
      </c>
      <c r="C1312" s="170"/>
      <c r="D1312" s="194" t="str">
        <f ca="1">IFERROR(__xludf.DUMMYFUNCTION("IF(J366="""",""n/a"",IFERROR(SPLIT(J366,""/"")))"),"Ideal")</f>
        <v>Ideal</v>
      </c>
      <c r="E1312" s="194" t="str">
        <f ca="1">IFERROR(__xludf.DUMMYFUNCTION("""COMPUTED_VALUE"""),"pack")</f>
        <v>pack</v>
      </c>
      <c r="F1312" s="194" t="str">
        <f ca="1">IFERROR(__xludf.DUMMYFUNCTION("""COMPUTED_VALUE"""),"1000grams")</f>
        <v>1000grams</v>
      </c>
      <c r="G1312" s="170"/>
      <c r="H1312" s="183" t="s">
        <v>1895</v>
      </c>
      <c r="I1312" s="170"/>
      <c r="J1312" s="46" t="s">
        <v>326</v>
      </c>
      <c r="K1312" s="237"/>
      <c r="L1312" s="195">
        <v>59.3</v>
      </c>
      <c r="M1312" s="197">
        <v>7</v>
      </c>
      <c r="N1312" s="170"/>
      <c r="O1312" s="61" t="str">
        <f ca="1">E1312</f>
        <v>pack</v>
      </c>
      <c r="P1312" s="61" t="s">
        <v>39</v>
      </c>
      <c r="Q1312" s="487"/>
      <c r="R1312" s="192" t="str">
        <f>CONCATENATE(N1312,P1312)</f>
        <v>grams</v>
      </c>
      <c r="S1312" s="198">
        <f>M1312*N1312</f>
        <v>0</v>
      </c>
      <c r="T1312" s="199" t="str">
        <f>CONCATENATE(S1312,Q1312,P1312)</f>
        <v>0grams</v>
      </c>
      <c r="U1312" s="200">
        <f>L1312*M1312</f>
        <v>415.09999999999997</v>
      </c>
      <c r="V1312" s="12"/>
      <c r="W1312" s="12"/>
    </row>
    <row r="1313" spans="1:23" x14ac:dyDescent="0.3">
      <c r="A1313" s="193">
        <v>503</v>
      </c>
      <c r="B1313" s="46" t="s">
        <v>325</v>
      </c>
      <c r="C1313" s="215"/>
      <c r="D1313" s="194"/>
      <c r="E1313" s="215"/>
      <c r="F1313" s="215"/>
      <c r="G1313" s="215"/>
      <c r="H1313" s="400" t="s">
        <v>2027</v>
      </c>
      <c r="I1313" s="170"/>
      <c r="J1313" s="46" t="s">
        <v>1954</v>
      </c>
      <c r="K1313" s="237"/>
      <c r="L1313" s="195">
        <v>70</v>
      </c>
      <c r="M1313" s="197">
        <v>2</v>
      </c>
      <c r="N1313" s="360">
        <v>1</v>
      </c>
      <c r="O1313" s="61"/>
      <c r="P1313" s="61" t="s">
        <v>213</v>
      </c>
      <c r="Q1313" s="12"/>
      <c r="R1313" s="192" t="str">
        <f>CONCATENATE(N1313,P1313)</f>
        <v>1kilos</v>
      </c>
      <c r="S1313" s="198">
        <f>M1313*N1313</f>
        <v>2</v>
      </c>
      <c r="T1313" s="199" t="str">
        <f>CONCATENATE(S1313,Q1313,P1313)</f>
        <v>2kilos</v>
      </c>
      <c r="U1313" s="200">
        <f>L1313*M1313</f>
        <v>140</v>
      </c>
      <c r="V1313" s="12"/>
      <c r="W1313" s="12"/>
    </row>
    <row r="1314" spans="1:23" x14ac:dyDescent="0.3">
      <c r="A1314" s="193">
        <v>504</v>
      </c>
      <c r="B1314" s="46" t="s">
        <v>1955</v>
      </c>
      <c r="C1314" s="215"/>
      <c r="D1314" s="194"/>
      <c r="E1314" s="215"/>
      <c r="F1314" s="215"/>
      <c r="G1314" s="215"/>
      <c r="H1314" s="400" t="s">
        <v>2027</v>
      </c>
      <c r="I1314" s="170"/>
      <c r="J1314" s="46" t="s">
        <v>1956</v>
      </c>
      <c r="K1314" s="237"/>
      <c r="L1314" s="195">
        <v>68</v>
      </c>
      <c r="M1314" s="197">
        <v>5</v>
      </c>
      <c r="N1314" s="360">
        <v>1</v>
      </c>
      <c r="O1314" s="61"/>
      <c r="P1314" s="61" t="s">
        <v>1922</v>
      </c>
      <c r="Q1314" s="12"/>
      <c r="R1314" s="192" t="str">
        <f>CONCATENATE(N1314,P1314)</f>
        <v>1can</v>
      </c>
      <c r="S1314" s="198">
        <f>M1314*N1314</f>
        <v>5</v>
      </c>
      <c r="T1314" s="199" t="str">
        <f>CONCATENATE(S1314,Q1314,P1314)</f>
        <v>5can</v>
      </c>
      <c r="U1314" s="200">
        <f>L1314*M1314</f>
        <v>340</v>
      </c>
      <c r="V1314" s="12"/>
      <c r="W1314" s="12"/>
    </row>
    <row r="1315" spans="1:23" x14ac:dyDescent="0.3">
      <c r="A1315" s="193">
        <v>505</v>
      </c>
      <c r="B1315" s="46" t="s">
        <v>1406</v>
      </c>
      <c r="C1315" s="215"/>
      <c r="D1315" s="194"/>
      <c r="E1315" s="215"/>
      <c r="F1315" s="215"/>
      <c r="G1315" s="215"/>
      <c r="H1315" s="194" t="s">
        <v>2025</v>
      </c>
      <c r="I1315" s="170"/>
      <c r="J1315" s="46" t="s">
        <v>1407</v>
      </c>
      <c r="K1315" s="237"/>
      <c r="L1315" s="197">
        <v>73.5</v>
      </c>
      <c r="M1315" s="197">
        <v>1</v>
      </c>
      <c r="N1315" s="290">
        <v>425</v>
      </c>
      <c r="O1315" s="46"/>
      <c r="P1315" s="46" t="s">
        <v>39</v>
      </c>
      <c r="Q1315" s="12"/>
      <c r="R1315" s="192" t="str">
        <f>CONCATENATE(N1315,P1315)</f>
        <v>425grams</v>
      </c>
      <c r="S1315" s="198">
        <f>M1315*N1315</f>
        <v>425</v>
      </c>
      <c r="T1315" s="199" t="str">
        <f>CONCATENATE(S1315,Q1315,P1315)</f>
        <v>425grams</v>
      </c>
      <c r="U1315" s="200">
        <f>L1315*M1315</f>
        <v>73.5</v>
      </c>
      <c r="V1315" s="12"/>
      <c r="W1315" s="12"/>
    </row>
    <row r="1316" spans="1:23" x14ac:dyDescent="0.3">
      <c r="A1316" s="193">
        <v>505</v>
      </c>
      <c r="B1316" s="46" t="s">
        <v>1406</v>
      </c>
      <c r="C1316" s="215"/>
      <c r="D1316" s="194"/>
      <c r="E1316" s="215"/>
      <c r="F1316" s="215"/>
      <c r="G1316" s="215"/>
      <c r="H1316" s="194" t="s">
        <v>1368</v>
      </c>
      <c r="I1316" s="170"/>
      <c r="J1316" s="46" t="s">
        <v>1408</v>
      </c>
      <c r="K1316" s="237"/>
      <c r="L1316" s="197">
        <v>64.400000000000006</v>
      </c>
      <c r="M1316" s="197">
        <v>5</v>
      </c>
      <c r="N1316" s="290">
        <v>425</v>
      </c>
      <c r="O1316" s="46"/>
      <c r="P1316" s="46" t="s">
        <v>39</v>
      </c>
      <c r="Q1316" s="12"/>
      <c r="R1316" s="192" t="str">
        <f>CONCATENATE(N1316,P1316)</f>
        <v>425grams</v>
      </c>
      <c r="S1316" s="198">
        <f>M1316*N1316</f>
        <v>2125</v>
      </c>
      <c r="T1316" s="199" t="str">
        <f>CONCATENATE(S1316,Q1316,P1316)</f>
        <v>2125grams</v>
      </c>
      <c r="U1316" s="200">
        <f>L1316*M1316</f>
        <v>322</v>
      </c>
      <c r="V1316" s="12"/>
      <c r="W1316" s="12"/>
    </row>
    <row r="1317" spans="1:23" x14ac:dyDescent="0.3">
      <c r="A1317" s="193">
        <v>505</v>
      </c>
      <c r="B1317" s="46" t="s">
        <v>1406</v>
      </c>
      <c r="C1317" s="215"/>
      <c r="D1317" s="194"/>
      <c r="E1317" s="215"/>
      <c r="F1317" s="215"/>
      <c r="G1317" s="215"/>
      <c r="H1317" s="194" t="s">
        <v>2020</v>
      </c>
      <c r="I1317" s="170"/>
      <c r="J1317" s="46" t="s">
        <v>1409</v>
      </c>
      <c r="K1317" s="237"/>
      <c r="L1317" s="197">
        <v>73.599999999999994</v>
      </c>
      <c r="M1317" s="197">
        <v>6</v>
      </c>
      <c r="N1317" s="290">
        <v>425</v>
      </c>
      <c r="O1317" s="46"/>
      <c r="P1317" s="46" t="s">
        <v>39</v>
      </c>
      <c r="Q1317" s="12"/>
      <c r="R1317" s="192" t="str">
        <f>CONCATENATE(N1317,P1317)</f>
        <v>425grams</v>
      </c>
      <c r="S1317" s="198">
        <f>M1317*N1317</f>
        <v>2550</v>
      </c>
      <c r="T1317" s="199" t="str">
        <f>CONCATENATE(S1317,Q1317,P1317)</f>
        <v>2550grams</v>
      </c>
      <c r="U1317" s="200">
        <f>L1317*M1317</f>
        <v>441.59999999999997</v>
      </c>
      <c r="V1317" s="12"/>
      <c r="W1317" s="12"/>
    </row>
    <row r="1318" spans="1:23" x14ac:dyDescent="0.3">
      <c r="A1318" s="479">
        <v>506</v>
      </c>
      <c r="B1318" s="194" t="s">
        <v>188</v>
      </c>
      <c r="C1318" s="170"/>
      <c r="D1318" s="194" t="str">
        <f ca="1">IFERROR(__xludf.DUMMYFUNCTION("IF(J367="""",""n/a"",IFERROR(SPLIT(J367,""/"")))"),"Unipack")</f>
        <v>Unipack</v>
      </c>
      <c r="E1318" s="194" t="str">
        <f ca="1">IFERROR(__xludf.DUMMYFUNCTION("""COMPUTED_VALUE"""),"can")</f>
        <v>can</v>
      </c>
      <c r="F1318" s="194" t="str">
        <f ca="1">IFERROR(__xludf.DUMMYFUNCTION("""COMPUTED_VALUE"""),"425grams")</f>
        <v>425grams</v>
      </c>
      <c r="G1318" s="170"/>
      <c r="H1318" s="183" t="s">
        <v>1897</v>
      </c>
      <c r="I1318" s="170"/>
      <c r="J1318" s="46" t="s">
        <v>189</v>
      </c>
      <c r="K1318" s="237"/>
      <c r="L1318" s="195">
        <v>0.17</v>
      </c>
      <c r="M1318" s="202">
        <v>14450</v>
      </c>
      <c r="N1318" s="203">
        <v>425</v>
      </c>
      <c r="O1318" s="61" t="str">
        <f ca="1">E1318</f>
        <v>can</v>
      </c>
      <c r="P1318" s="61" t="s">
        <v>39</v>
      </c>
      <c r="Q1318" s="515" t="s">
        <v>33</v>
      </c>
      <c r="R1318" s="192" t="str">
        <f>CONCATENATE(N1318,P1318)</f>
        <v>425grams</v>
      </c>
      <c r="S1318" s="198">
        <f>M1318*N1318</f>
        <v>6141250</v>
      </c>
      <c r="T1318" s="199" t="str">
        <f>CONCATENATE(S1318,Q1318,P1318)</f>
        <v>6141250 grams</v>
      </c>
      <c r="U1318" s="200">
        <f>L1318*M1318</f>
        <v>2456.5</v>
      </c>
      <c r="V1318" s="205"/>
      <c r="W1318" s="62"/>
    </row>
    <row r="1319" spans="1:23" x14ac:dyDescent="0.3">
      <c r="A1319" s="479">
        <v>506</v>
      </c>
      <c r="B1319" s="194" t="s">
        <v>188</v>
      </c>
      <c r="C1319" s="170"/>
      <c r="D1319" s="194" t="str">
        <f ca="1">IFERROR(__xludf.DUMMYFUNCTION("IF(J368="""",""n/a"",IFERROR(SPLIT(J368,""/"")))"),"Unipack")</f>
        <v>Unipack</v>
      </c>
      <c r="E1319" s="194" t="str">
        <f ca="1">IFERROR(__xludf.DUMMYFUNCTION("""COMPUTED_VALUE"""),"can")</f>
        <v>can</v>
      </c>
      <c r="F1319" s="194" t="str">
        <f ca="1">IFERROR(__xludf.DUMMYFUNCTION("""COMPUTED_VALUE"""),"425grams")</f>
        <v>425grams</v>
      </c>
      <c r="G1319" s="170"/>
      <c r="H1319" s="183" t="s">
        <v>1895</v>
      </c>
      <c r="I1319" s="215"/>
      <c r="J1319" s="46" t="s">
        <v>189</v>
      </c>
      <c r="K1319" s="237"/>
      <c r="L1319" s="195">
        <v>71.09</v>
      </c>
      <c r="M1319" s="197">
        <v>80</v>
      </c>
      <c r="N1319" s="61">
        <v>1</v>
      </c>
      <c r="O1319" s="61" t="str">
        <f ca="1">E1319</f>
        <v>can</v>
      </c>
      <c r="P1319" s="61" t="s">
        <v>39</v>
      </c>
      <c r="Q1319" s="487"/>
      <c r="R1319" s="192" t="str">
        <f>CONCATENATE(N1319,P1319)</f>
        <v>1grams</v>
      </c>
      <c r="S1319" s="198">
        <f>M1319*N1319</f>
        <v>80</v>
      </c>
      <c r="T1319" s="199" t="str">
        <f>CONCATENATE(S1319,Q1319,P1319)</f>
        <v>80grams</v>
      </c>
      <c r="U1319" s="200">
        <f>L1319*M1319</f>
        <v>5687.2000000000007</v>
      </c>
      <c r="V1319" s="12"/>
      <c r="W1319" s="12"/>
    </row>
    <row r="1320" spans="1:23" x14ac:dyDescent="0.3">
      <c r="A1320" s="193">
        <v>506</v>
      </c>
      <c r="B1320" s="46" t="s">
        <v>188</v>
      </c>
      <c r="C1320" s="215"/>
      <c r="D1320" s="194"/>
      <c r="E1320" s="215"/>
      <c r="F1320" s="215"/>
      <c r="G1320" s="215"/>
      <c r="H1320" s="194" t="s">
        <v>2024</v>
      </c>
      <c r="I1320" s="170"/>
      <c r="J1320" s="46" t="s">
        <v>1410</v>
      </c>
      <c r="K1320" s="237"/>
      <c r="L1320" s="197">
        <v>67.400000000000006</v>
      </c>
      <c r="M1320" s="197">
        <v>10</v>
      </c>
      <c r="N1320" s="290">
        <v>425</v>
      </c>
      <c r="O1320" s="46"/>
      <c r="P1320" s="46" t="s">
        <v>39</v>
      </c>
      <c r="Q1320" s="12"/>
      <c r="R1320" s="192" t="str">
        <f>CONCATENATE(N1320,P1320)</f>
        <v>425grams</v>
      </c>
      <c r="S1320" s="198">
        <f>M1320*N1320</f>
        <v>4250</v>
      </c>
      <c r="T1320" s="199" t="str">
        <f>CONCATENATE(S1320,Q1320,P1320)</f>
        <v>4250grams</v>
      </c>
      <c r="U1320" s="200">
        <f>L1320*M1320</f>
        <v>674</v>
      </c>
      <c r="V1320" s="12"/>
      <c r="W1320" s="12"/>
    </row>
    <row r="1321" spans="1:23" x14ac:dyDescent="0.3">
      <c r="A1321" s="193">
        <v>506</v>
      </c>
      <c r="B1321" s="219" t="s">
        <v>188</v>
      </c>
      <c r="C1321" s="215"/>
      <c r="D1321" s="194"/>
      <c r="E1321" s="215"/>
      <c r="F1321" s="215"/>
      <c r="G1321" s="215"/>
      <c r="H1321" s="194" t="s">
        <v>2026</v>
      </c>
      <c r="I1321" s="170"/>
      <c r="J1321" s="46" t="s">
        <v>189</v>
      </c>
      <c r="K1321" s="237"/>
      <c r="L1321" s="197">
        <v>73.599999999999994</v>
      </c>
      <c r="M1321" s="197">
        <v>9</v>
      </c>
      <c r="N1321" s="290">
        <v>425</v>
      </c>
      <c r="O1321" s="46"/>
      <c r="P1321" s="46" t="s">
        <v>39</v>
      </c>
      <c r="Q1321" s="12"/>
      <c r="R1321" s="192" t="str">
        <f>CONCATENATE(N1321,P1321)</f>
        <v>425grams</v>
      </c>
      <c r="S1321" s="198">
        <f>M1321*N1321</f>
        <v>3825</v>
      </c>
      <c r="T1321" s="199" t="str">
        <f>CONCATENATE(S1321,Q1321,P1321)</f>
        <v>3825grams</v>
      </c>
      <c r="U1321" s="200">
        <f>L1321*M1321</f>
        <v>662.4</v>
      </c>
      <c r="V1321" s="12"/>
      <c r="W1321" s="12"/>
    </row>
    <row r="1322" spans="1:23" x14ac:dyDescent="0.3">
      <c r="A1322" s="193">
        <v>506</v>
      </c>
      <c r="B1322" s="46" t="s">
        <v>188</v>
      </c>
      <c r="C1322" s="215"/>
      <c r="D1322" s="194"/>
      <c r="E1322" s="215"/>
      <c r="F1322" s="215"/>
      <c r="G1322" s="215"/>
      <c r="H1322" s="194" t="s">
        <v>2023</v>
      </c>
      <c r="I1322" s="170"/>
      <c r="J1322" s="46" t="s">
        <v>189</v>
      </c>
      <c r="K1322" s="237"/>
      <c r="L1322" s="197">
        <v>73.599999999999994</v>
      </c>
      <c r="M1322" s="197">
        <v>7</v>
      </c>
      <c r="N1322" s="290">
        <v>425</v>
      </c>
      <c r="O1322" s="46"/>
      <c r="P1322" s="46" t="s">
        <v>39</v>
      </c>
      <c r="Q1322" s="12"/>
      <c r="R1322" s="192" t="str">
        <f>CONCATENATE(N1322,P1322)</f>
        <v>425grams</v>
      </c>
      <c r="S1322" s="198">
        <f>M1322*N1322</f>
        <v>2975</v>
      </c>
      <c r="T1322" s="199" t="str">
        <f>CONCATENATE(S1322,Q1322,P1322)</f>
        <v>2975grams</v>
      </c>
      <c r="U1322" s="200">
        <f>L1322*M1322</f>
        <v>515.19999999999993</v>
      </c>
      <c r="V1322" s="12"/>
      <c r="W1322" s="12"/>
    </row>
    <row r="1323" spans="1:23" x14ac:dyDescent="0.3">
      <c r="A1323" s="193">
        <v>506</v>
      </c>
      <c r="B1323" s="46" t="s">
        <v>188</v>
      </c>
      <c r="C1323" s="215"/>
      <c r="D1323" s="194"/>
      <c r="E1323" s="215"/>
      <c r="F1323" s="215"/>
      <c r="G1323" s="215"/>
      <c r="H1323" s="194" t="s">
        <v>2022</v>
      </c>
      <c r="I1323" s="170"/>
      <c r="J1323" s="46" t="s">
        <v>1408</v>
      </c>
      <c r="K1323" s="237"/>
      <c r="L1323" s="197">
        <v>72</v>
      </c>
      <c r="M1323" s="197">
        <v>10</v>
      </c>
      <c r="N1323" s="290">
        <v>425</v>
      </c>
      <c r="O1323" s="46"/>
      <c r="P1323" s="46" t="s">
        <v>39</v>
      </c>
      <c r="Q1323" s="12"/>
      <c r="R1323" s="192" t="str">
        <f>CONCATENATE(N1323,P1323)</f>
        <v>425grams</v>
      </c>
      <c r="S1323" s="198">
        <f>M1323*N1323</f>
        <v>4250</v>
      </c>
      <c r="T1323" s="199" t="str">
        <f>CONCATENATE(S1323,Q1323,P1323)</f>
        <v>4250grams</v>
      </c>
      <c r="U1323" s="200">
        <f>L1323*M1323</f>
        <v>720</v>
      </c>
      <c r="V1323" s="12"/>
      <c r="W1323" s="12"/>
    </row>
    <row r="1324" spans="1:23" x14ac:dyDescent="0.3">
      <c r="A1324" s="193">
        <v>506</v>
      </c>
      <c r="B1324" s="46" t="s">
        <v>188</v>
      </c>
      <c r="C1324" s="215"/>
      <c r="D1324" s="194"/>
      <c r="E1324" s="215"/>
      <c r="F1324" s="215"/>
      <c r="G1324" s="215"/>
      <c r="H1324" s="194" t="s">
        <v>2022</v>
      </c>
      <c r="I1324" s="170"/>
      <c r="J1324" s="46" t="s">
        <v>1411</v>
      </c>
      <c r="K1324" s="237"/>
      <c r="L1324" s="197">
        <v>73.099999999999994</v>
      </c>
      <c r="M1324" s="197">
        <v>3</v>
      </c>
      <c r="N1324" s="290">
        <v>425</v>
      </c>
      <c r="O1324" s="46"/>
      <c r="P1324" s="46" t="s">
        <v>39</v>
      </c>
      <c r="Q1324" s="12"/>
      <c r="R1324" s="192" t="str">
        <f>CONCATENATE(N1324,P1324)</f>
        <v>425grams</v>
      </c>
      <c r="S1324" s="198">
        <f>M1324*N1324</f>
        <v>1275</v>
      </c>
      <c r="T1324" s="199" t="str">
        <f>CONCATENATE(S1324,Q1324,P1324)</f>
        <v>1275grams</v>
      </c>
      <c r="U1324" s="200">
        <f>L1324*M1324</f>
        <v>219.29999999999998</v>
      </c>
      <c r="V1324" s="12"/>
      <c r="W1324" s="12"/>
    </row>
    <row r="1325" spans="1:23" x14ac:dyDescent="0.3">
      <c r="A1325" s="479">
        <v>507</v>
      </c>
      <c r="B1325" s="194" t="s">
        <v>417</v>
      </c>
      <c r="C1325" s="170"/>
      <c r="D1325" s="194" t="str">
        <f ca="1">IFERROR(__xludf.DUMMYFUNCTION("IF(J369="""",""n/a"",IFERROR(SPLIT(J369,""/"")))"),"Rebisco")</f>
        <v>Rebisco</v>
      </c>
      <c r="E1325" s="194" t="str">
        <f ca="1">IFERROR(__xludf.DUMMYFUNCTION("""COMPUTED_VALUE"""),"box (10pcsx28grams)")</f>
        <v>box (10pcsx28grams)</v>
      </c>
      <c r="F1325" s="170"/>
      <c r="G1325" s="170"/>
      <c r="H1325" s="183" t="s">
        <v>1895</v>
      </c>
      <c r="I1325" s="170"/>
      <c r="J1325" s="46" t="s">
        <v>418</v>
      </c>
      <c r="K1325" s="237"/>
      <c r="L1325" s="195">
        <v>5.59</v>
      </c>
      <c r="M1325" s="197">
        <v>400</v>
      </c>
      <c r="N1325" s="61">
        <v>1</v>
      </c>
      <c r="O1325" s="61" t="str">
        <f ca="1">E1325</f>
        <v>box (10pcsx28grams)</v>
      </c>
      <c r="P1325" s="61" t="s">
        <v>92</v>
      </c>
      <c r="Q1325" s="487"/>
      <c r="R1325" s="192" t="str">
        <f>CONCATENATE(N1325,P1325)</f>
        <v>1pieces</v>
      </c>
      <c r="S1325" s="198">
        <f>M1325*N1325</f>
        <v>400</v>
      </c>
      <c r="T1325" s="199" t="str">
        <f>CONCATENATE(S1325,Q1325,P1325)</f>
        <v>400pieces</v>
      </c>
      <c r="U1325" s="200">
        <f>L1325*M1325</f>
        <v>2236</v>
      </c>
      <c r="V1325" s="12"/>
      <c r="W1325" s="12"/>
    </row>
    <row r="1326" spans="1:23" x14ac:dyDescent="0.3">
      <c r="A1326" s="479">
        <v>508</v>
      </c>
      <c r="B1326" s="194" t="s">
        <v>668</v>
      </c>
      <c r="C1326" s="170"/>
      <c r="D1326" s="194" t="str">
        <f ca="1">IFERROR(__xludf.DUMMYFUNCTION("IF(J370="""",""n/a"",IFERROR(SPLIT(J370,""/"")))"),"n/a")</f>
        <v>n/a</v>
      </c>
      <c r="E1326" s="170"/>
      <c r="F1326" s="170"/>
      <c r="G1326" s="170"/>
      <c r="H1326" s="206" t="s">
        <v>1898</v>
      </c>
      <c r="I1326" s="170"/>
      <c r="J1326" s="170"/>
      <c r="K1326" s="237"/>
      <c r="L1326" s="197">
        <v>6.9</v>
      </c>
      <c r="M1326" s="386">
        <v>20</v>
      </c>
      <c r="N1326" s="208">
        <v>10</v>
      </c>
      <c r="O1326" s="170">
        <f>E1326</f>
        <v>0</v>
      </c>
      <c r="P1326" s="61" t="s">
        <v>92</v>
      </c>
      <c r="Q1326" s="487"/>
      <c r="R1326" s="192" t="str">
        <f>CONCATENATE(N1326,P1326)</f>
        <v>10pieces</v>
      </c>
      <c r="S1326" s="198">
        <f>M1326*N1326</f>
        <v>200</v>
      </c>
      <c r="T1326" s="199" t="str">
        <f>CONCATENATE(S1326,Q1326,P1326)</f>
        <v>200pieces</v>
      </c>
      <c r="U1326" s="200">
        <f>L1326*M1326</f>
        <v>138</v>
      </c>
      <c r="V1326" s="12"/>
      <c r="W1326" s="12"/>
    </row>
    <row r="1327" spans="1:23" x14ac:dyDescent="0.3">
      <c r="A1327" s="193">
        <v>509</v>
      </c>
      <c r="B1327" s="46" t="s">
        <v>1957</v>
      </c>
      <c r="C1327" s="315"/>
      <c r="D1327" s="316"/>
      <c r="E1327" s="315"/>
      <c r="F1327" s="315"/>
      <c r="G1327" s="315"/>
      <c r="H1327" s="400" t="s">
        <v>2027</v>
      </c>
      <c r="I1327" s="12"/>
      <c r="J1327" s="46" t="s">
        <v>1934</v>
      </c>
      <c r="K1327" s="12"/>
      <c r="L1327" s="195">
        <v>5.2</v>
      </c>
      <c r="M1327" s="197">
        <v>52</v>
      </c>
      <c r="N1327" s="360">
        <v>1</v>
      </c>
      <c r="O1327" s="61"/>
      <c r="P1327" s="61" t="s">
        <v>92</v>
      </c>
      <c r="Q1327" s="12"/>
      <c r="R1327" s="192" t="str">
        <f>CONCATENATE(N1327,P1327)</f>
        <v>1pieces</v>
      </c>
      <c r="S1327" s="198">
        <f>M1327*N1327</f>
        <v>52</v>
      </c>
      <c r="T1327" s="199" t="str">
        <f>CONCATENATE(S1327,Q1327,P1327)</f>
        <v>52pieces</v>
      </c>
      <c r="U1327" s="200">
        <f>L1327*M1327</f>
        <v>270.40000000000003</v>
      </c>
      <c r="V1327" s="12"/>
      <c r="W1327" s="12"/>
    </row>
    <row r="1328" spans="1:23" x14ac:dyDescent="0.3">
      <c r="A1328" s="479">
        <v>510</v>
      </c>
      <c r="B1328" s="194" t="s">
        <v>419</v>
      </c>
      <c r="C1328" s="487"/>
      <c r="D1328" s="485" t="str">
        <f ca="1">IFERROR(__xludf.DUMMYFUNCTION("IF(J371="""",""n/a"",IFERROR(SPLIT(J371,""/"")))"),"Jack n jill")</f>
        <v>Jack n jill</v>
      </c>
      <c r="E1328" s="485" t="str">
        <f ca="1">IFERROR(__xludf.DUMMYFUNCTION("""COMPUTED_VALUE"""),"pack (10pcsx28grams)")</f>
        <v>pack (10pcsx28grams)</v>
      </c>
      <c r="F1328" s="487"/>
      <c r="G1328" s="487"/>
      <c r="H1328" s="183" t="s">
        <v>1895</v>
      </c>
      <c r="I1328" s="487"/>
      <c r="J1328" s="46" t="s">
        <v>420</v>
      </c>
      <c r="K1328" s="487"/>
      <c r="L1328" s="195">
        <v>5.5</v>
      </c>
      <c r="M1328" s="197">
        <v>300</v>
      </c>
      <c r="N1328" s="61">
        <v>1</v>
      </c>
      <c r="O1328" s="61" t="str">
        <f ca="1">E1328</f>
        <v>pack (10pcsx28grams)</v>
      </c>
      <c r="P1328" s="61" t="s">
        <v>92</v>
      </c>
      <c r="Q1328" s="487"/>
      <c r="R1328" s="192" t="str">
        <f>CONCATENATE(N1328,P1328)</f>
        <v>1pieces</v>
      </c>
      <c r="S1328" s="198">
        <f>M1328*N1328</f>
        <v>300</v>
      </c>
      <c r="T1328" s="199" t="str">
        <f>CONCATENATE(S1328,Q1328,P1328)</f>
        <v>300pieces</v>
      </c>
      <c r="U1328" s="200">
        <f>L1328*M1328</f>
        <v>1650</v>
      </c>
      <c r="V1328" s="12"/>
      <c r="W1328" s="12"/>
    </row>
    <row r="1329" spans="1:23" x14ac:dyDescent="0.3">
      <c r="A1329" s="479">
        <v>511</v>
      </c>
      <c r="B1329" s="194" t="s">
        <v>263</v>
      </c>
      <c r="C1329" s="487"/>
      <c r="D1329" s="485" t="str">
        <f ca="1">IFERROR(__xludf.DUMMYFUNCTION("IF(J372="""",""n/a"",IFERROR(SPLIT(J372,""/"")))"),"Maggi")</f>
        <v>Maggi</v>
      </c>
      <c r="E1329" s="485" t="str">
        <f ca="1">IFERROR(__xludf.DUMMYFUNCTION("""COMPUTED_VALUE"""),"sachet")</f>
        <v>sachet</v>
      </c>
      <c r="F1329" s="485" t="str">
        <f ca="1">IFERROR(__xludf.DUMMYFUNCTION("""COMPUTED_VALUE"""),"8grams")</f>
        <v>8grams</v>
      </c>
      <c r="G1329" s="487"/>
      <c r="H1329" s="183" t="s">
        <v>1897</v>
      </c>
      <c r="I1329" s="487"/>
      <c r="J1329" s="46" t="s">
        <v>264</v>
      </c>
      <c r="K1329" s="487"/>
      <c r="L1329" s="197">
        <v>0.6</v>
      </c>
      <c r="M1329" s="202">
        <v>7920</v>
      </c>
      <c r="N1329" s="203">
        <v>8</v>
      </c>
      <c r="O1329" s="61" t="str">
        <f ca="1">E1329</f>
        <v>sachet</v>
      </c>
      <c r="P1329" s="61" t="s">
        <v>39</v>
      </c>
      <c r="Q1329" s="515" t="s">
        <v>33</v>
      </c>
      <c r="R1329" s="192" t="str">
        <f>CONCATENATE(N1329,P1329)</f>
        <v>8grams</v>
      </c>
      <c r="S1329" s="198">
        <f>M1329*N1329</f>
        <v>63360</v>
      </c>
      <c r="T1329" s="199" t="str">
        <f>CONCATENATE(S1329,Q1329,P1329)</f>
        <v>63360 grams</v>
      </c>
      <c r="U1329" s="200">
        <f>L1329*M1329</f>
        <v>4752</v>
      </c>
      <c r="V1329" s="205"/>
      <c r="W1329" s="62"/>
    </row>
    <row r="1330" spans="1:23" x14ac:dyDescent="0.3">
      <c r="A1330" s="479">
        <v>511</v>
      </c>
      <c r="B1330" s="194" t="s">
        <v>263</v>
      </c>
      <c r="C1330" s="487"/>
      <c r="D1330" s="485" t="str">
        <f ca="1">IFERROR(__xludf.DUMMYFUNCTION("IF(J373="""",""n/a"",IFERROR(SPLIT(J373,""/"")))"),"Maggi")</f>
        <v>Maggi</v>
      </c>
      <c r="E1330" s="485" t="str">
        <f ca="1">IFERROR(__xludf.DUMMYFUNCTION("""COMPUTED_VALUE"""),"sachet")</f>
        <v>sachet</v>
      </c>
      <c r="F1330" s="485" t="str">
        <f ca="1">IFERROR(__xludf.DUMMYFUNCTION("""COMPUTED_VALUE"""),"8grams")</f>
        <v>8grams</v>
      </c>
      <c r="G1330" s="487"/>
      <c r="H1330" s="183" t="s">
        <v>1895</v>
      </c>
      <c r="I1330" s="487"/>
      <c r="J1330" s="46" t="s">
        <v>264</v>
      </c>
      <c r="K1330" s="487"/>
      <c r="L1330" s="195">
        <v>4.82</v>
      </c>
      <c r="M1330" s="197">
        <v>2676</v>
      </c>
      <c r="N1330" s="61">
        <v>1</v>
      </c>
      <c r="O1330" s="61" t="str">
        <f ca="1">E1330</f>
        <v>sachet</v>
      </c>
      <c r="P1330" s="61" t="s">
        <v>39</v>
      </c>
      <c r="Q1330" s="487"/>
      <c r="R1330" s="192" t="str">
        <f>CONCATENATE(N1330,P1330)</f>
        <v>1grams</v>
      </c>
      <c r="S1330" s="198">
        <f>M1330*N1330</f>
        <v>2676</v>
      </c>
      <c r="T1330" s="199" t="str">
        <f>CONCATENATE(S1330,Q1330,P1330)</f>
        <v>2676grams</v>
      </c>
      <c r="U1330" s="200">
        <f>L1330*M1330</f>
        <v>12898.320000000002</v>
      </c>
      <c r="V1330" s="12"/>
      <c r="W1330" s="12"/>
    </row>
    <row r="1331" spans="1:23" x14ac:dyDescent="0.3">
      <c r="A1331" s="479">
        <v>511</v>
      </c>
      <c r="B1331" s="194" t="s">
        <v>263</v>
      </c>
      <c r="C1331" s="487"/>
      <c r="D1331" s="485" t="str">
        <f ca="1">IFERROR(__xludf.DUMMYFUNCTION("IF(J374="""",""n/a"",IFERROR(SPLIT(J374,""/"")))"),"n/a")</f>
        <v>n/a</v>
      </c>
      <c r="E1331" s="487"/>
      <c r="F1331" s="487"/>
      <c r="G1331" s="487"/>
      <c r="H1331" s="206" t="s">
        <v>1898</v>
      </c>
      <c r="I1331" s="487"/>
      <c r="J1331" s="170"/>
      <c r="K1331" s="487"/>
      <c r="L1331" s="197">
        <v>0.6</v>
      </c>
      <c r="M1331" s="386">
        <v>2432</v>
      </c>
      <c r="N1331" s="208">
        <v>8</v>
      </c>
      <c r="O1331" s="170">
        <f>E1331</f>
        <v>0</v>
      </c>
      <c r="P1331" s="61" t="s">
        <v>39</v>
      </c>
      <c r="Q1331" s="487"/>
      <c r="R1331" s="192" t="str">
        <f>CONCATENATE(N1331,P1331)</f>
        <v>8grams</v>
      </c>
      <c r="S1331" s="198">
        <f>M1331*N1331</f>
        <v>19456</v>
      </c>
      <c r="T1331" s="199" t="str">
        <f>CONCATENATE(S1331,Q1331,P1331)</f>
        <v>19456grams</v>
      </c>
      <c r="U1331" s="200">
        <f>L1331*M1331</f>
        <v>1459.2</v>
      </c>
      <c r="V1331" s="12"/>
      <c r="W1331" s="12"/>
    </row>
    <row r="1332" spans="1:23" x14ac:dyDescent="0.3">
      <c r="A1332" s="193">
        <v>511</v>
      </c>
      <c r="B1332" s="46" t="s">
        <v>263</v>
      </c>
      <c r="C1332" s="315"/>
      <c r="D1332" s="316"/>
      <c r="E1332" s="315"/>
      <c r="F1332" s="315"/>
      <c r="G1332" s="315"/>
      <c r="H1332" s="194" t="s">
        <v>29</v>
      </c>
      <c r="I1332" s="12"/>
      <c r="J1332" s="46" t="s">
        <v>1412</v>
      </c>
      <c r="K1332" s="12"/>
      <c r="L1332" s="197">
        <v>4.91</v>
      </c>
      <c r="M1332" s="197">
        <v>48</v>
      </c>
      <c r="N1332" s="290">
        <v>8</v>
      </c>
      <c r="O1332" s="46"/>
      <c r="P1332" s="46" t="s">
        <v>39</v>
      </c>
      <c r="Q1332" s="12"/>
      <c r="R1332" s="192" t="str">
        <f>CONCATENATE(N1332,P1332)</f>
        <v>8grams</v>
      </c>
      <c r="S1332" s="198">
        <f>M1332*N1332</f>
        <v>384</v>
      </c>
      <c r="T1332" s="199" t="str">
        <f>CONCATENATE(S1332,Q1332,P1332)</f>
        <v>384grams</v>
      </c>
      <c r="U1332" s="200">
        <f>L1332*M1332</f>
        <v>235.68</v>
      </c>
      <c r="V1332" s="12"/>
      <c r="W1332" s="12"/>
    </row>
    <row r="1333" spans="1:23" x14ac:dyDescent="0.3">
      <c r="A1333" s="193">
        <v>511</v>
      </c>
      <c r="B1333" s="219" t="s">
        <v>263</v>
      </c>
      <c r="C1333" s="315"/>
      <c r="D1333" s="316"/>
      <c r="E1333" s="315"/>
      <c r="F1333" s="315"/>
      <c r="G1333" s="315"/>
      <c r="H1333" s="194" t="s">
        <v>2025</v>
      </c>
      <c r="I1333" s="12"/>
      <c r="J1333" s="46" t="s">
        <v>1412</v>
      </c>
      <c r="K1333" s="12"/>
      <c r="L1333" s="197">
        <v>63</v>
      </c>
      <c r="M1333" s="197">
        <v>1</v>
      </c>
      <c r="N1333" s="290">
        <v>150</v>
      </c>
      <c r="O1333" s="46"/>
      <c r="P1333" s="46" t="s">
        <v>39</v>
      </c>
      <c r="Q1333" s="12"/>
      <c r="R1333" s="192" t="str">
        <f>CONCATENATE(N1333,P1333)</f>
        <v>150grams</v>
      </c>
      <c r="S1333" s="198">
        <f>M1333*N1333</f>
        <v>150</v>
      </c>
      <c r="T1333" s="199" t="str">
        <f>CONCATENATE(S1333,Q1333,P1333)</f>
        <v>150grams</v>
      </c>
      <c r="U1333" s="200">
        <f>L1333*M1333</f>
        <v>63</v>
      </c>
      <c r="V1333" s="12"/>
      <c r="W1333" s="12"/>
    </row>
    <row r="1334" spans="1:23" x14ac:dyDescent="0.3">
      <c r="A1334" s="193">
        <v>511</v>
      </c>
      <c r="B1334" s="46" t="s">
        <v>263</v>
      </c>
      <c r="C1334" s="315"/>
      <c r="D1334" s="316"/>
      <c r="E1334" s="315"/>
      <c r="F1334" s="315"/>
      <c r="G1334" s="315"/>
      <c r="H1334" s="194" t="s">
        <v>2026</v>
      </c>
      <c r="I1334" s="12"/>
      <c r="J1334" s="46" t="s">
        <v>1412</v>
      </c>
      <c r="K1334" s="12"/>
      <c r="L1334" s="197">
        <v>71.7</v>
      </c>
      <c r="M1334" s="197">
        <v>7</v>
      </c>
      <c r="N1334" s="290">
        <v>150</v>
      </c>
      <c r="O1334" s="46"/>
      <c r="P1334" s="46" t="s">
        <v>39</v>
      </c>
      <c r="Q1334" s="12"/>
      <c r="R1334" s="192" t="str">
        <f>CONCATENATE(N1334,P1334)</f>
        <v>150grams</v>
      </c>
      <c r="S1334" s="198">
        <f>M1334*N1334</f>
        <v>1050</v>
      </c>
      <c r="T1334" s="199" t="str">
        <f>CONCATENATE(S1334,Q1334,P1334)</f>
        <v>1050grams</v>
      </c>
      <c r="U1334" s="200">
        <f>L1334*M1334</f>
        <v>501.90000000000003</v>
      </c>
      <c r="V1334" s="12"/>
      <c r="W1334" s="12"/>
    </row>
    <row r="1335" spans="1:23" x14ac:dyDescent="0.3">
      <c r="A1335" s="193">
        <v>511</v>
      </c>
      <c r="B1335" s="46" t="s">
        <v>263</v>
      </c>
      <c r="C1335" s="315"/>
      <c r="D1335" s="316"/>
      <c r="E1335" s="315"/>
      <c r="F1335" s="315"/>
      <c r="G1335" s="315"/>
      <c r="H1335" s="194" t="s">
        <v>2023</v>
      </c>
      <c r="I1335" s="12"/>
      <c r="J1335" s="46" t="s">
        <v>1412</v>
      </c>
      <c r="K1335" s="12"/>
      <c r="L1335" s="197">
        <v>4.92</v>
      </c>
      <c r="M1335" s="197">
        <v>700</v>
      </c>
      <c r="N1335" s="290">
        <v>8</v>
      </c>
      <c r="O1335" s="46"/>
      <c r="P1335" s="46" t="s">
        <v>39</v>
      </c>
      <c r="Q1335" s="12"/>
      <c r="R1335" s="192" t="str">
        <f>CONCATENATE(N1335,P1335)</f>
        <v>8grams</v>
      </c>
      <c r="S1335" s="198">
        <f>M1335*N1335</f>
        <v>5600</v>
      </c>
      <c r="T1335" s="199" t="str">
        <f>CONCATENATE(S1335,Q1335,P1335)</f>
        <v>5600grams</v>
      </c>
      <c r="U1335" s="200">
        <f>L1335*M1335</f>
        <v>3444</v>
      </c>
      <c r="V1335" s="12"/>
      <c r="W1335" s="12"/>
    </row>
    <row r="1336" spans="1:23" x14ac:dyDescent="0.3">
      <c r="A1336" s="193">
        <v>511</v>
      </c>
      <c r="B1336" s="46" t="s">
        <v>263</v>
      </c>
      <c r="C1336" s="315"/>
      <c r="D1336" s="316"/>
      <c r="E1336" s="315"/>
      <c r="F1336" s="315"/>
      <c r="G1336" s="315"/>
      <c r="H1336" s="194" t="s">
        <v>2022</v>
      </c>
      <c r="I1336" s="12"/>
      <c r="J1336" s="46" t="s">
        <v>1412</v>
      </c>
      <c r="K1336" s="12"/>
      <c r="L1336" s="197">
        <v>71.709999999999994</v>
      </c>
      <c r="M1336" s="197">
        <v>4</v>
      </c>
      <c r="N1336" s="290">
        <v>150</v>
      </c>
      <c r="O1336" s="46"/>
      <c r="P1336" s="46" t="s">
        <v>39</v>
      </c>
      <c r="Q1336" s="12"/>
      <c r="R1336" s="192" t="str">
        <f>CONCATENATE(N1336,P1336)</f>
        <v>150grams</v>
      </c>
      <c r="S1336" s="198">
        <f>M1336*N1336</f>
        <v>600</v>
      </c>
      <c r="T1336" s="199" t="str">
        <f>CONCATENATE(S1336,Q1336,P1336)</f>
        <v>600grams</v>
      </c>
      <c r="U1336" s="200">
        <f>L1336*M1336</f>
        <v>286.83999999999997</v>
      </c>
      <c r="V1336" s="12"/>
      <c r="W1336" s="12"/>
    </row>
    <row r="1337" spans="1:23" x14ac:dyDescent="0.3">
      <c r="A1337" s="193">
        <v>511</v>
      </c>
      <c r="B1337" s="219" t="s">
        <v>263</v>
      </c>
      <c r="C1337" s="315"/>
      <c r="D1337" s="316"/>
      <c r="E1337" s="315"/>
      <c r="F1337" s="315"/>
      <c r="G1337" s="315"/>
      <c r="H1337" s="194" t="s">
        <v>2021</v>
      </c>
      <c r="I1337" s="12"/>
      <c r="J1337" s="46" t="s">
        <v>1412</v>
      </c>
      <c r="K1337" s="12"/>
      <c r="L1337" s="216">
        <v>74.5</v>
      </c>
      <c r="M1337" s="216">
        <v>1</v>
      </c>
      <c r="N1337" s="293">
        <v>150</v>
      </c>
      <c r="O1337" s="219"/>
      <c r="P1337" s="219" t="s">
        <v>39</v>
      </c>
      <c r="Q1337" s="12"/>
      <c r="R1337" s="192" t="str">
        <f>CONCATENATE(N1337,P1337)</f>
        <v>150grams</v>
      </c>
      <c r="S1337" s="198">
        <f>M1337*N1337</f>
        <v>150</v>
      </c>
      <c r="T1337" s="199" t="str">
        <f>CONCATENATE(S1337,Q1337,P1337)</f>
        <v>150grams</v>
      </c>
      <c r="U1337" s="200">
        <f>L1337*M1337</f>
        <v>74.5</v>
      </c>
      <c r="V1337" s="12"/>
      <c r="W1337" s="12"/>
    </row>
    <row r="1338" spans="1:23" x14ac:dyDescent="0.3">
      <c r="A1338" s="193">
        <v>511</v>
      </c>
      <c r="B1338" s="46" t="s">
        <v>263</v>
      </c>
      <c r="C1338" s="315"/>
      <c r="D1338" s="316"/>
      <c r="E1338" s="315"/>
      <c r="F1338" s="315"/>
      <c r="G1338" s="315"/>
      <c r="H1338" s="194" t="s">
        <v>2020</v>
      </c>
      <c r="I1338" s="12"/>
      <c r="J1338" s="46" t="s">
        <v>1412</v>
      </c>
      <c r="K1338" s="12"/>
      <c r="L1338" s="197">
        <v>71.7</v>
      </c>
      <c r="M1338" s="197">
        <v>2</v>
      </c>
      <c r="N1338" s="290">
        <v>150</v>
      </c>
      <c r="O1338" s="46"/>
      <c r="P1338" s="46" t="s">
        <v>39</v>
      </c>
      <c r="Q1338" s="12"/>
      <c r="R1338" s="192" t="str">
        <f>CONCATENATE(N1338,P1338)</f>
        <v>150grams</v>
      </c>
      <c r="S1338" s="198">
        <f>M1338*N1338</f>
        <v>300</v>
      </c>
      <c r="T1338" s="199" t="str">
        <f>CONCATENATE(S1338,Q1338,P1338)</f>
        <v>300grams</v>
      </c>
      <c r="U1338" s="200">
        <f>L1338*M1338</f>
        <v>143.4</v>
      </c>
      <c r="V1338" s="12"/>
      <c r="W1338" s="12"/>
    </row>
    <row r="1339" spans="1:23" x14ac:dyDescent="0.3">
      <c r="A1339" s="193">
        <v>511</v>
      </c>
      <c r="B1339" s="46" t="s">
        <v>263</v>
      </c>
      <c r="C1339" s="315"/>
      <c r="D1339" s="316"/>
      <c r="E1339" s="315"/>
      <c r="F1339" s="315"/>
      <c r="G1339" s="315"/>
      <c r="H1339" s="400" t="s">
        <v>2027</v>
      </c>
      <c r="I1339" s="12"/>
      <c r="J1339" s="46" t="s">
        <v>1958</v>
      </c>
      <c r="K1339" s="12"/>
      <c r="L1339" s="195">
        <v>4.92</v>
      </c>
      <c r="M1339" s="197">
        <v>144</v>
      </c>
      <c r="N1339" s="360">
        <v>1</v>
      </c>
      <c r="O1339" s="61"/>
      <c r="P1339" s="61" t="s">
        <v>92</v>
      </c>
      <c r="Q1339" s="12"/>
      <c r="R1339" s="192" t="str">
        <f>CONCATENATE(N1339,P1339)</f>
        <v>1pieces</v>
      </c>
      <c r="S1339" s="198">
        <f>M1339*N1339</f>
        <v>144</v>
      </c>
      <c r="T1339" s="199" t="str">
        <f>CONCATENATE(S1339,Q1339,P1339)</f>
        <v>144pieces</v>
      </c>
      <c r="U1339" s="200">
        <f>L1339*M1339</f>
        <v>708.48</v>
      </c>
      <c r="V1339" s="12"/>
      <c r="W1339" s="12"/>
    </row>
    <row r="1340" spans="1:23" x14ac:dyDescent="0.3">
      <c r="A1340" s="193">
        <v>512</v>
      </c>
      <c r="B1340" s="46" t="s">
        <v>1413</v>
      </c>
      <c r="C1340" s="315"/>
      <c r="D1340" s="316"/>
      <c r="E1340" s="315"/>
      <c r="F1340" s="315"/>
      <c r="G1340" s="315"/>
      <c r="H1340" s="194" t="s">
        <v>2025</v>
      </c>
      <c r="I1340" s="12"/>
      <c r="J1340" s="46" t="s">
        <v>1372</v>
      </c>
      <c r="K1340" s="12"/>
      <c r="L1340" s="197">
        <v>90</v>
      </c>
      <c r="M1340" s="197">
        <v>3</v>
      </c>
      <c r="N1340" s="290">
        <v>1</v>
      </c>
      <c r="O1340" s="46"/>
      <c r="P1340" s="46" t="s">
        <v>213</v>
      </c>
      <c r="Q1340" s="12"/>
      <c r="R1340" s="192" t="str">
        <f>CONCATENATE(N1340,P1340)</f>
        <v>1kilos</v>
      </c>
      <c r="S1340" s="198">
        <f>M1340*N1340</f>
        <v>3</v>
      </c>
      <c r="T1340" s="199" t="str">
        <f>CONCATENATE(S1340,Q1340,P1340)</f>
        <v>3kilos</v>
      </c>
      <c r="U1340" s="200">
        <f>L1340*M1340</f>
        <v>270</v>
      </c>
      <c r="V1340" s="12"/>
      <c r="W1340" s="12"/>
    </row>
    <row r="1341" spans="1:23" x14ac:dyDescent="0.3">
      <c r="A1341" s="479">
        <v>513</v>
      </c>
      <c r="B1341" s="194" t="s">
        <v>366</v>
      </c>
      <c r="C1341" s="487"/>
      <c r="D1341" s="485" t="str">
        <f ca="1">IFERROR(__xludf.DUMMYFUNCTION("IF(J375="""",""n/a"",IFERROR(SPLIT(J375,""/"")))"),"Amparos")</f>
        <v>Amparos</v>
      </c>
      <c r="E1341" s="485" t="str">
        <f ca="1">IFERROR(__xludf.DUMMYFUNCTION("""COMPUTED_VALUE"""),"pack")</f>
        <v>pack</v>
      </c>
      <c r="F1341" s="485" t="str">
        <f ca="1">IFERROR(__xludf.DUMMYFUNCTION("""COMPUTED_VALUE"""),"1kilos")</f>
        <v>1kilos</v>
      </c>
      <c r="G1341" s="487"/>
      <c r="H1341" s="183" t="s">
        <v>1897</v>
      </c>
      <c r="I1341" s="487"/>
      <c r="J1341" s="46" t="s">
        <v>367</v>
      </c>
      <c r="K1341" s="487"/>
      <c r="L1341" s="195">
        <v>85</v>
      </c>
      <c r="M1341" s="202">
        <v>3</v>
      </c>
      <c r="N1341" s="203">
        <v>1</v>
      </c>
      <c r="O1341" s="61" t="str">
        <f ca="1">E1341</f>
        <v>pack</v>
      </c>
      <c r="P1341" s="61" t="s">
        <v>213</v>
      </c>
      <c r="Q1341" s="487"/>
      <c r="R1341" s="192" t="str">
        <f>CONCATENATE(N1341,P1341)</f>
        <v>1kilos</v>
      </c>
      <c r="S1341" s="198">
        <f>M1341*N1341</f>
        <v>3</v>
      </c>
      <c r="T1341" s="199" t="str">
        <f>CONCATENATE(S1341,Q1341,P1341)</f>
        <v>3kilos</v>
      </c>
      <c r="U1341" s="200">
        <f>L1341*M1341</f>
        <v>255</v>
      </c>
      <c r="V1341" s="12"/>
      <c r="W1341" s="12"/>
    </row>
    <row r="1342" spans="1:23" x14ac:dyDescent="0.3">
      <c r="A1342" s="479">
        <v>513</v>
      </c>
      <c r="B1342" s="194" t="s">
        <v>366</v>
      </c>
      <c r="C1342" s="487"/>
      <c r="D1342" s="485" t="str">
        <f ca="1">IFERROR(__xludf.DUMMYFUNCTION("IF(J376="""",""n/a"",IFERROR(SPLIT(J376,""/"")))"),"Amparos")</f>
        <v>Amparos</v>
      </c>
      <c r="E1342" s="485" t="str">
        <f ca="1">IFERROR(__xludf.DUMMYFUNCTION("""COMPUTED_VALUE"""),"pack")</f>
        <v>pack</v>
      </c>
      <c r="F1342" s="485" t="str">
        <f ca="1">IFERROR(__xludf.DUMMYFUNCTION("""COMPUTED_VALUE"""),"1kilos")</f>
        <v>1kilos</v>
      </c>
      <c r="G1342" s="487"/>
      <c r="H1342" s="183" t="s">
        <v>1895</v>
      </c>
      <c r="I1342" s="487"/>
      <c r="J1342" s="46" t="s">
        <v>367</v>
      </c>
      <c r="K1342" s="487"/>
      <c r="L1342" s="195">
        <v>85</v>
      </c>
      <c r="M1342" s="197">
        <v>10</v>
      </c>
      <c r="N1342" s="61">
        <v>1</v>
      </c>
      <c r="O1342" s="61" t="str">
        <f ca="1">E1342</f>
        <v>pack</v>
      </c>
      <c r="P1342" s="61" t="s">
        <v>213</v>
      </c>
      <c r="Q1342" s="487"/>
      <c r="R1342" s="192" t="str">
        <f>CONCATENATE(N1342,P1342)</f>
        <v>1kilos</v>
      </c>
      <c r="S1342" s="198">
        <f>M1342*N1342</f>
        <v>10</v>
      </c>
      <c r="T1342" s="199" t="str">
        <f>CONCATENATE(S1342,Q1342,P1342)</f>
        <v>10kilos</v>
      </c>
      <c r="U1342" s="200">
        <f>L1342*M1342</f>
        <v>850</v>
      </c>
      <c r="V1342" s="12"/>
      <c r="W1342" s="12"/>
    </row>
    <row r="1343" spans="1:23" x14ac:dyDescent="0.3">
      <c r="A1343" s="479">
        <v>513</v>
      </c>
      <c r="B1343" s="194" t="s">
        <v>366</v>
      </c>
      <c r="C1343" s="487"/>
      <c r="D1343" s="485" t="str">
        <f ca="1">IFERROR(__xludf.DUMMYFUNCTION("IF(J377="""",""n/a"",IFERROR(SPLIT(J377,""/"")))"),"n/a")</f>
        <v>n/a</v>
      </c>
      <c r="E1343" s="487"/>
      <c r="F1343" s="487"/>
      <c r="G1343" s="487"/>
      <c r="H1343" s="206" t="s">
        <v>1898</v>
      </c>
      <c r="I1343" s="487"/>
      <c r="J1343" s="170"/>
      <c r="K1343" s="487"/>
      <c r="L1343" s="197">
        <v>85</v>
      </c>
      <c r="M1343" s="386">
        <v>19.5</v>
      </c>
      <c r="N1343" s="208">
        <v>1</v>
      </c>
      <c r="O1343" s="170">
        <f>E1343</f>
        <v>0</v>
      </c>
      <c r="P1343" s="61" t="s">
        <v>213</v>
      </c>
      <c r="Q1343" s="487"/>
      <c r="R1343" s="192" t="str">
        <f>CONCATENATE(N1343,P1343)</f>
        <v>1kilos</v>
      </c>
      <c r="S1343" s="198">
        <f>M1343*N1343</f>
        <v>19.5</v>
      </c>
      <c r="T1343" s="199" t="str">
        <f>CONCATENATE(S1343,Q1343,P1343)</f>
        <v>19.5kilos</v>
      </c>
      <c r="U1343" s="200">
        <f>L1343*M1343</f>
        <v>1657.5</v>
      </c>
      <c r="V1343" s="12"/>
      <c r="W1343" s="12"/>
    </row>
    <row r="1344" spans="1:23" x14ac:dyDescent="0.3">
      <c r="A1344" s="193">
        <v>513</v>
      </c>
      <c r="B1344" s="46" t="s">
        <v>366</v>
      </c>
      <c r="C1344" s="315"/>
      <c r="D1344" s="316"/>
      <c r="E1344" s="315"/>
      <c r="F1344" s="315"/>
      <c r="G1344" s="315"/>
      <c r="H1344" s="194" t="s">
        <v>2024</v>
      </c>
      <c r="I1344" s="12"/>
      <c r="J1344" s="170"/>
      <c r="K1344" s="12"/>
      <c r="L1344" s="197">
        <v>85</v>
      </c>
      <c r="M1344" s="197">
        <v>4</v>
      </c>
      <c r="N1344" s="290">
        <v>1</v>
      </c>
      <c r="O1344" s="46"/>
      <c r="P1344" s="46" t="s">
        <v>213</v>
      </c>
      <c r="Q1344" s="12"/>
      <c r="R1344" s="192" t="str">
        <f>CONCATENATE(N1344,P1344)</f>
        <v>1kilos</v>
      </c>
      <c r="S1344" s="198">
        <f>M1344*N1344</f>
        <v>4</v>
      </c>
      <c r="T1344" s="199" t="str">
        <f>CONCATENATE(S1344,Q1344,P1344)</f>
        <v>4kilos</v>
      </c>
      <c r="U1344" s="200">
        <f>L1344*M1344</f>
        <v>340</v>
      </c>
      <c r="V1344" s="12"/>
      <c r="W1344" s="12"/>
    </row>
    <row r="1345" spans="1:23" x14ac:dyDescent="0.3">
      <c r="A1345" s="193">
        <v>513</v>
      </c>
      <c r="B1345" s="46" t="s">
        <v>366</v>
      </c>
      <c r="C1345" s="315"/>
      <c r="D1345" s="316"/>
      <c r="E1345" s="315"/>
      <c r="F1345" s="315"/>
      <c r="G1345" s="315"/>
      <c r="H1345" s="194" t="s">
        <v>2026</v>
      </c>
      <c r="I1345" s="12"/>
      <c r="J1345" s="46" t="s">
        <v>1335</v>
      </c>
      <c r="K1345" s="12"/>
      <c r="L1345" s="197">
        <v>100</v>
      </c>
      <c r="M1345" s="197">
        <v>1</v>
      </c>
      <c r="N1345" s="290">
        <v>1</v>
      </c>
      <c r="O1345" s="297"/>
      <c r="P1345" s="297" t="s">
        <v>213</v>
      </c>
      <c r="Q1345" s="12"/>
      <c r="R1345" s="192" t="str">
        <f>CONCATENATE(N1345,P1345)</f>
        <v>1kilos</v>
      </c>
      <c r="S1345" s="198">
        <f>M1345*N1345</f>
        <v>1</v>
      </c>
      <c r="T1345" s="199" t="str">
        <f>CONCATENATE(S1345,Q1345,P1345)</f>
        <v>1kilos</v>
      </c>
      <c r="U1345" s="200">
        <f>L1345*M1345</f>
        <v>100</v>
      </c>
      <c r="V1345" s="12"/>
      <c r="W1345" s="12"/>
    </row>
    <row r="1346" spans="1:23" x14ac:dyDescent="0.3">
      <c r="A1346" s="193">
        <v>513</v>
      </c>
      <c r="B1346" s="46" t="s">
        <v>366</v>
      </c>
      <c r="C1346" s="315"/>
      <c r="D1346" s="316"/>
      <c r="E1346" s="315"/>
      <c r="F1346" s="315"/>
      <c r="G1346" s="315"/>
      <c r="H1346" s="194" t="s">
        <v>2023</v>
      </c>
      <c r="I1346" s="12"/>
      <c r="J1346" s="46" t="s">
        <v>1335</v>
      </c>
      <c r="K1346" s="12"/>
      <c r="L1346" s="197">
        <v>85</v>
      </c>
      <c r="M1346" s="197">
        <v>4</v>
      </c>
      <c r="N1346" s="290">
        <v>1</v>
      </c>
      <c r="O1346" s="297"/>
      <c r="P1346" s="297" t="s">
        <v>213</v>
      </c>
      <c r="Q1346" s="12"/>
      <c r="R1346" s="192" t="str">
        <f>CONCATENATE(N1346,P1346)</f>
        <v>1kilos</v>
      </c>
      <c r="S1346" s="198">
        <f>M1346*N1346</f>
        <v>4</v>
      </c>
      <c r="T1346" s="199" t="str">
        <f>CONCATENATE(S1346,Q1346,P1346)</f>
        <v>4kilos</v>
      </c>
      <c r="U1346" s="200">
        <f>L1346*M1346</f>
        <v>340</v>
      </c>
      <c r="V1346" s="12"/>
      <c r="W1346" s="12"/>
    </row>
    <row r="1347" spans="1:23" x14ac:dyDescent="0.3">
      <c r="A1347" s="193">
        <v>513</v>
      </c>
      <c r="B1347" s="46" t="s">
        <v>366</v>
      </c>
      <c r="C1347" s="315"/>
      <c r="D1347" s="316"/>
      <c r="E1347" s="315"/>
      <c r="F1347" s="315"/>
      <c r="G1347" s="315"/>
      <c r="H1347" s="194" t="s">
        <v>2022</v>
      </c>
      <c r="I1347" s="12"/>
      <c r="J1347" s="46" t="s">
        <v>867</v>
      </c>
      <c r="K1347" s="12"/>
      <c r="L1347" s="197">
        <v>120</v>
      </c>
      <c r="M1347" s="197">
        <v>3</v>
      </c>
      <c r="N1347" s="290">
        <v>1000</v>
      </c>
      <c r="O1347" s="46"/>
      <c r="P1347" s="46" t="s">
        <v>39</v>
      </c>
      <c r="Q1347" s="12"/>
      <c r="R1347" s="192" t="str">
        <f>CONCATENATE(N1347,P1347)</f>
        <v>1000grams</v>
      </c>
      <c r="S1347" s="198">
        <f>M1347*N1347</f>
        <v>3000</v>
      </c>
      <c r="T1347" s="199" t="str">
        <f>CONCATENATE(S1347,Q1347,P1347)</f>
        <v>3000grams</v>
      </c>
      <c r="U1347" s="200">
        <f>L1347*M1347</f>
        <v>360</v>
      </c>
      <c r="V1347" s="12"/>
      <c r="W1347" s="12"/>
    </row>
    <row r="1348" spans="1:23" x14ac:dyDescent="0.3">
      <c r="A1348" s="193">
        <v>513</v>
      </c>
      <c r="B1348" s="219" t="s">
        <v>366</v>
      </c>
      <c r="C1348" s="315"/>
      <c r="D1348" s="316"/>
      <c r="E1348" s="315"/>
      <c r="F1348" s="315"/>
      <c r="G1348" s="315"/>
      <c r="H1348" s="194" t="s">
        <v>2021</v>
      </c>
      <c r="I1348" s="12"/>
      <c r="J1348" s="219" t="s">
        <v>1414</v>
      </c>
      <c r="K1348" s="12"/>
      <c r="L1348" s="216">
        <v>85</v>
      </c>
      <c r="M1348" s="216">
        <v>2</v>
      </c>
      <c r="N1348" s="293">
        <v>1</v>
      </c>
      <c r="O1348" s="219"/>
      <c r="P1348" s="219" t="s">
        <v>213</v>
      </c>
      <c r="Q1348" s="12"/>
      <c r="R1348" s="192" t="str">
        <f>CONCATENATE(N1348,P1348)</f>
        <v>1kilos</v>
      </c>
      <c r="S1348" s="198">
        <f>M1348*N1348</f>
        <v>2</v>
      </c>
      <c r="T1348" s="199" t="str">
        <f>CONCATENATE(S1348,Q1348,P1348)</f>
        <v>2kilos</v>
      </c>
      <c r="U1348" s="200">
        <f>L1348*M1348</f>
        <v>170</v>
      </c>
      <c r="V1348" s="12"/>
      <c r="W1348" s="12"/>
    </row>
    <row r="1349" spans="1:23" x14ac:dyDescent="0.3">
      <c r="A1349" s="193">
        <v>514</v>
      </c>
      <c r="B1349" s="46" t="s">
        <v>1415</v>
      </c>
      <c r="C1349" s="315"/>
      <c r="D1349" s="316"/>
      <c r="E1349" s="315"/>
      <c r="F1349" s="315"/>
      <c r="G1349" s="315"/>
      <c r="H1349" s="194" t="s">
        <v>1368</v>
      </c>
      <c r="I1349" s="12"/>
      <c r="J1349" s="170"/>
      <c r="K1349" s="12"/>
      <c r="L1349" s="197">
        <v>35</v>
      </c>
      <c r="M1349" s="197">
        <v>1</v>
      </c>
      <c r="N1349" s="290">
        <v>1000</v>
      </c>
      <c r="O1349" s="46"/>
      <c r="P1349" s="46" t="s">
        <v>39</v>
      </c>
      <c r="Q1349" s="12"/>
      <c r="R1349" s="192" t="str">
        <f>CONCATENATE(N1349,P1349)</f>
        <v>1000grams</v>
      </c>
      <c r="S1349" s="198">
        <f>M1349*N1349</f>
        <v>1000</v>
      </c>
      <c r="T1349" s="199" t="str">
        <f>CONCATENATE(S1349,Q1349,P1349)</f>
        <v>1000grams</v>
      </c>
      <c r="U1349" s="200">
        <f>L1349*M1349</f>
        <v>35</v>
      </c>
      <c r="V1349" s="12"/>
      <c r="W1349" s="12"/>
    </row>
    <row r="1350" spans="1:23" x14ac:dyDescent="0.3">
      <c r="A1350" s="193">
        <v>515</v>
      </c>
      <c r="B1350" s="46" t="s">
        <v>1416</v>
      </c>
      <c r="C1350" s="315"/>
      <c r="D1350" s="316"/>
      <c r="E1350" s="315"/>
      <c r="F1350" s="315"/>
      <c r="G1350" s="315"/>
      <c r="H1350" s="194" t="s">
        <v>2023</v>
      </c>
      <c r="I1350" s="12"/>
      <c r="J1350" s="46" t="s">
        <v>1417</v>
      </c>
      <c r="K1350" s="12"/>
      <c r="L1350" s="396">
        <v>47</v>
      </c>
      <c r="M1350" s="197">
        <v>1</v>
      </c>
      <c r="N1350" s="290">
        <v>1000</v>
      </c>
      <c r="O1350" s="46"/>
      <c r="P1350" s="46" t="s">
        <v>39</v>
      </c>
      <c r="Q1350" s="12"/>
      <c r="R1350" s="192" t="str">
        <f>CONCATENATE(N1350,P1350)</f>
        <v>1000grams</v>
      </c>
      <c r="S1350" s="198">
        <f>M1350*N1350</f>
        <v>1000</v>
      </c>
      <c r="T1350" s="199" t="str">
        <f>CONCATENATE(S1350,Q1350,P1350)</f>
        <v>1000grams</v>
      </c>
      <c r="U1350" s="200">
        <f>L1350*M1350</f>
        <v>47</v>
      </c>
      <c r="V1350" s="12"/>
      <c r="W1350" s="12"/>
    </row>
    <row r="1351" spans="1:23" x14ac:dyDescent="0.3">
      <c r="A1351" s="479">
        <v>516</v>
      </c>
      <c r="B1351" s="194" t="s">
        <v>669</v>
      </c>
      <c r="C1351" s="487"/>
      <c r="D1351" s="485" t="str">
        <f ca="1">IFERROR(__xludf.DUMMYFUNCTION("IF(J378="""",""n/a"",IFERROR(SPLIT(J378,""/"")))"),"n/a")</f>
        <v>n/a</v>
      </c>
      <c r="E1351" s="487"/>
      <c r="F1351" s="487"/>
      <c r="G1351" s="487"/>
      <c r="H1351" s="206" t="s">
        <v>1898</v>
      </c>
      <c r="I1351" s="487"/>
      <c r="J1351" s="170"/>
      <c r="K1351" s="487"/>
      <c r="L1351" s="197">
        <v>18.579999999999998</v>
      </c>
      <c r="M1351" s="385">
        <v>50</v>
      </c>
      <c r="N1351" s="208">
        <v>50</v>
      </c>
      <c r="O1351" s="170">
        <f>E1351</f>
        <v>0</v>
      </c>
      <c r="P1351" s="61" t="s">
        <v>92</v>
      </c>
      <c r="Q1351" s="487"/>
      <c r="R1351" s="192" t="str">
        <f>CONCATENATE(N1351,P1351)</f>
        <v>50pieces</v>
      </c>
      <c r="S1351" s="198">
        <f>M1351*N1351</f>
        <v>2500</v>
      </c>
      <c r="T1351" s="199" t="str">
        <f>CONCATENATE(S1351,Q1351,P1351)</f>
        <v>2500pieces</v>
      </c>
      <c r="U1351" s="200">
        <f>L1351*M1351</f>
        <v>928.99999999999989</v>
      </c>
      <c r="V1351" s="12"/>
      <c r="W1351" s="12"/>
    </row>
    <row r="1352" spans="1:23" x14ac:dyDescent="0.3">
      <c r="A1352" s="479">
        <v>517</v>
      </c>
      <c r="B1352" s="194" t="s">
        <v>421</v>
      </c>
      <c r="C1352" s="487"/>
      <c r="D1352" s="485" t="str">
        <f ca="1">IFERROR(__xludf.DUMMYFUNCTION("IF(J379="""",""n/a"",IFERROR(SPLIT(J379,""/"")))"),"Jack n Jill")</f>
        <v>Jack n Jill</v>
      </c>
      <c r="E1352" s="485" t="str">
        <f ca="1">IFERROR(__xludf.DUMMYFUNCTION("""COMPUTED_VALUE"""),"bundle (18x90grams)")</f>
        <v>bundle (18x90grams)</v>
      </c>
      <c r="F1352" s="487"/>
      <c r="G1352" s="487"/>
      <c r="H1352" s="183" t="s">
        <v>1895</v>
      </c>
      <c r="I1352" s="487"/>
      <c r="J1352" s="46" t="s">
        <v>422</v>
      </c>
      <c r="K1352" s="487"/>
      <c r="L1352" s="195">
        <v>21.69</v>
      </c>
      <c r="M1352" s="197">
        <v>40</v>
      </c>
      <c r="N1352" s="61">
        <v>1</v>
      </c>
      <c r="O1352" s="61" t="str">
        <f ca="1">E1352</f>
        <v>bundle (18x90grams)</v>
      </c>
      <c r="P1352" s="61" t="s">
        <v>92</v>
      </c>
      <c r="Q1352" s="487"/>
      <c r="R1352" s="192" t="str">
        <f>CONCATENATE(N1352,P1352)</f>
        <v>1pieces</v>
      </c>
      <c r="S1352" s="198">
        <f>M1352*N1352</f>
        <v>40</v>
      </c>
      <c r="T1352" s="199" t="str">
        <f>CONCATENATE(S1352,Q1352,P1352)</f>
        <v>40pieces</v>
      </c>
      <c r="U1352" s="200">
        <f>L1352*M1352</f>
        <v>867.6</v>
      </c>
      <c r="V1352" s="12"/>
      <c r="W1352" s="12"/>
    </row>
    <row r="1353" spans="1:23" x14ac:dyDescent="0.3">
      <c r="A1353" s="193">
        <v>518</v>
      </c>
      <c r="B1353" s="46" t="s">
        <v>1418</v>
      </c>
      <c r="C1353" s="315"/>
      <c r="D1353" s="316"/>
      <c r="E1353" s="315"/>
      <c r="F1353" s="315"/>
      <c r="G1353" s="315"/>
      <c r="H1353" s="194" t="s">
        <v>1368</v>
      </c>
      <c r="I1353" s="12"/>
      <c r="J1353" s="170"/>
      <c r="K1353" s="12"/>
      <c r="L1353" s="197">
        <v>100</v>
      </c>
      <c r="M1353" s="197">
        <v>1</v>
      </c>
      <c r="N1353" s="290">
        <v>1000</v>
      </c>
      <c r="O1353" s="46"/>
      <c r="P1353" s="46" t="s">
        <v>39</v>
      </c>
      <c r="Q1353" s="12"/>
      <c r="R1353" s="192" t="str">
        <f>CONCATENATE(N1353,P1353)</f>
        <v>1000grams</v>
      </c>
      <c r="S1353" s="198">
        <f>M1353*N1353</f>
        <v>1000</v>
      </c>
      <c r="T1353" s="199" t="str">
        <f>CONCATENATE(S1353,Q1353,P1353)</f>
        <v>1000grams</v>
      </c>
      <c r="U1353" s="200">
        <f>L1353*M1353</f>
        <v>100</v>
      </c>
      <c r="V1353" s="12"/>
      <c r="W1353" s="12"/>
    </row>
    <row r="1354" spans="1:23" x14ac:dyDescent="0.3">
      <c r="A1354" s="479">
        <v>519</v>
      </c>
      <c r="B1354" s="194" t="s">
        <v>670</v>
      </c>
      <c r="C1354" s="487"/>
      <c r="D1354" s="485" t="str">
        <f ca="1">IFERROR(__xludf.DUMMYFUNCTION("IF(J380="""",""n/a"",IFERROR(SPLIT(J380,""/"")))"),"n/a")</f>
        <v>n/a</v>
      </c>
      <c r="E1354" s="487"/>
      <c r="F1354" s="487"/>
      <c r="G1354" s="487"/>
      <c r="H1354" s="206" t="s">
        <v>1898</v>
      </c>
      <c r="I1354" s="487"/>
      <c r="J1354" s="170"/>
      <c r="K1354" s="487"/>
      <c r="L1354" s="197">
        <v>6.96</v>
      </c>
      <c r="M1354" s="385">
        <v>1</v>
      </c>
      <c r="N1354" s="208">
        <v>6</v>
      </c>
      <c r="O1354" s="170">
        <f>E1354</f>
        <v>0</v>
      </c>
      <c r="P1354" s="209" t="s">
        <v>92</v>
      </c>
      <c r="Q1354" s="487"/>
      <c r="R1354" s="192" t="str">
        <f>CONCATENATE(N1354,P1354)</f>
        <v>6pieces</v>
      </c>
      <c r="S1354" s="198">
        <f>M1354*N1354</f>
        <v>6</v>
      </c>
      <c r="T1354" s="199" t="str">
        <f>CONCATENATE(S1354,Q1354,P1354)</f>
        <v>6pieces</v>
      </c>
      <c r="U1354" s="200">
        <f>L1354*M1354</f>
        <v>6.96</v>
      </c>
      <c r="V1354" s="12"/>
      <c r="W1354" s="12"/>
    </row>
    <row r="1355" spans="1:23" x14ac:dyDescent="0.3">
      <c r="A1355" s="479">
        <v>520</v>
      </c>
      <c r="B1355" s="194" t="s">
        <v>79</v>
      </c>
      <c r="C1355" s="487"/>
      <c r="D1355" s="485" t="str">
        <f ca="1">IFERROR(__xludf.DUMMYFUNCTION("IF(J381="""",""n/a"",IFERROR(SPLIT(J381,""/"")))"),"Freeto")</f>
        <v>Freeto</v>
      </c>
      <c r="E1355" s="485" t="str">
        <f ca="1">IFERROR(__xludf.DUMMYFUNCTION("""COMPUTED_VALUE"""),"pail")</f>
        <v>pail</v>
      </c>
      <c r="F1355" s="485" t="str">
        <f ca="1">IFERROR(__xludf.DUMMYFUNCTION("""COMPUTED_VALUE"""),"11000grams")</f>
        <v>11000grams</v>
      </c>
      <c r="G1355" s="487"/>
      <c r="H1355" s="183" t="s">
        <v>1895</v>
      </c>
      <c r="I1355" s="487"/>
      <c r="J1355" s="46" t="s">
        <v>80</v>
      </c>
      <c r="K1355" s="487"/>
      <c r="L1355" s="195">
        <v>1120</v>
      </c>
      <c r="M1355" s="197">
        <v>1</v>
      </c>
      <c r="N1355" s="61">
        <v>11000</v>
      </c>
      <c r="O1355" s="61" t="str">
        <f ca="1">E1355</f>
        <v>pail</v>
      </c>
      <c r="P1355" s="61" t="s">
        <v>39</v>
      </c>
      <c r="Q1355" s="487"/>
      <c r="R1355" s="192" t="str">
        <f>CONCATENATE(N1355,P1355)</f>
        <v>11000grams</v>
      </c>
      <c r="S1355" s="198">
        <f>M1355*N1355</f>
        <v>11000</v>
      </c>
      <c r="T1355" s="199" t="str">
        <f>CONCATENATE(S1355,Q1355,P1355)</f>
        <v>11000grams</v>
      </c>
      <c r="U1355" s="200">
        <f>L1355*M1355</f>
        <v>1120</v>
      </c>
      <c r="V1355" s="12"/>
      <c r="W1355" s="12"/>
    </row>
    <row r="1356" spans="1:23" x14ac:dyDescent="0.3">
      <c r="A1356" s="193">
        <v>520</v>
      </c>
      <c r="B1356" s="46" t="s">
        <v>79</v>
      </c>
      <c r="C1356" s="315"/>
      <c r="D1356" s="316"/>
      <c r="E1356" s="315"/>
      <c r="F1356" s="315"/>
      <c r="G1356" s="315"/>
      <c r="H1356" s="194" t="s">
        <v>29</v>
      </c>
      <c r="I1356" s="12"/>
      <c r="J1356" s="46" t="s">
        <v>1157</v>
      </c>
      <c r="K1356" s="12"/>
      <c r="L1356" s="197">
        <v>317.8</v>
      </c>
      <c r="M1356" s="197">
        <v>1</v>
      </c>
      <c r="N1356" s="290">
        <v>1000</v>
      </c>
      <c r="O1356" s="46"/>
      <c r="P1356" s="46" t="s">
        <v>39</v>
      </c>
      <c r="Q1356" s="12"/>
      <c r="R1356" s="192" t="str">
        <f>CONCATENATE(N1356,P1356)</f>
        <v>1000grams</v>
      </c>
      <c r="S1356" s="198">
        <f>M1356*N1356</f>
        <v>1000</v>
      </c>
      <c r="T1356" s="199" t="str">
        <f>CONCATENATE(S1356,Q1356,P1356)</f>
        <v>1000grams</v>
      </c>
      <c r="U1356" s="200">
        <f>L1356*M1356</f>
        <v>317.8</v>
      </c>
      <c r="V1356" s="12"/>
      <c r="W1356" s="12"/>
    </row>
    <row r="1357" spans="1:23" x14ac:dyDescent="0.3">
      <c r="A1357" s="193">
        <v>520</v>
      </c>
      <c r="B1357" s="46" t="s">
        <v>79</v>
      </c>
      <c r="C1357" s="315"/>
      <c r="D1357" s="316"/>
      <c r="E1357" s="315"/>
      <c r="F1357" s="315"/>
      <c r="G1357" s="315"/>
      <c r="H1357" s="194" t="s">
        <v>2025</v>
      </c>
      <c r="I1357" s="12"/>
      <c r="J1357" s="46" t="s">
        <v>1157</v>
      </c>
      <c r="K1357" s="12"/>
      <c r="L1357" s="197">
        <v>517.45000000000005</v>
      </c>
      <c r="M1357" s="197">
        <v>1</v>
      </c>
      <c r="N1357" s="290">
        <v>2</v>
      </c>
      <c r="O1357" s="46"/>
      <c r="P1357" s="46" t="s">
        <v>213</v>
      </c>
      <c r="Q1357" s="12"/>
      <c r="R1357" s="192" t="str">
        <f>CONCATENATE(N1357,P1357)</f>
        <v>2kilos</v>
      </c>
      <c r="S1357" s="198">
        <f>M1357*N1357</f>
        <v>2</v>
      </c>
      <c r="T1357" s="199" t="str">
        <f>CONCATENATE(S1357,Q1357,P1357)</f>
        <v>2kilos</v>
      </c>
      <c r="U1357" s="200">
        <f>L1357*M1357</f>
        <v>517.45000000000005</v>
      </c>
      <c r="V1357" s="12"/>
      <c r="W1357" s="12"/>
    </row>
    <row r="1358" spans="1:23" x14ac:dyDescent="0.3">
      <c r="A1358" s="193">
        <v>520</v>
      </c>
      <c r="B1358" s="46" t="s">
        <v>79</v>
      </c>
      <c r="C1358" s="315"/>
      <c r="D1358" s="316"/>
      <c r="E1358" s="315"/>
      <c r="F1358" s="315"/>
      <c r="G1358" s="315"/>
      <c r="H1358" s="194" t="s">
        <v>2026</v>
      </c>
      <c r="I1358" s="12"/>
      <c r="J1358" s="46" t="s">
        <v>538</v>
      </c>
      <c r="K1358" s="12"/>
      <c r="L1358" s="197">
        <v>317.8</v>
      </c>
      <c r="M1358" s="197">
        <v>1</v>
      </c>
      <c r="N1358" s="290">
        <v>1000</v>
      </c>
      <c r="O1358" s="46"/>
      <c r="P1358" s="46" t="s">
        <v>39</v>
      </c>
      <c r="Q1358" s="12"/>
      <c r="R1358" s="192" t="str">
        <f>CONCATENATE(N1358,P1358)</f>
        <v>1000grams</v>
      </c>
      <c r="S1358" s="198">
        <f>M1358*N1358</f>
        <v>1000</v>
      </c>
      <c r="T1358" s="199" t="str">
        <f>CONCATENATE(S1358,Q1358,P1358)</f>
        <v>1000grams</v>
      </c>
      <c r="U1358" s="200">
        <f>L1358*M1358</f>
        <v>317.8</v>
      </c>
      <c r="V1358" s="12"/>
      <c r="W1358" s="12"/>
    </row>
    <row r="1359" spans="1:23" x14ac:dyDescent="0.3">
      <c r="A1359" s="193">
        <v>520</v>
      </c>
      <c r="B1359" s="46" t="s">
        <v>79</v>
      </c>
      <c r="C1359" s="315"/>
      <c r="D1359" s="316"/>
      <c r="E1359" s="315"/>
      <c r="F1359" s="315"/>
      <c r="G1359" s="315"/>
      <c r="H1359" s="194" t="s">
        <v>2026</v>
      </c>
      <c r="I1359" s="12"/>
      <c r="J1359" s="46" t="s">
        <v>1419</v>
      </c>
      <c r="K1359" s="12"/>
      <c r="L1359" s="197">
        <v>65</v>
      </c>
      <c r="M1359" s="197">
        <v>2</v>
      </c>
      <c r="N1359" s="290">
        <v>200</v>
      </c>
      <c r="O1359" s="46"/>
      <c r="P1359" s="46" t="s">
        <v>39</v>
      </c>
      <c r="Q1359" s="12"/>
      <c r="R1359" s="192" t="str">
        <f>CONCATENATE(N1359,P1359)</f>
        <v>200grams</v>
      </c>
      <c r="S1359" s="198">
        <f>M1359*N1359</f>
        <v>400</v>
      </c>
      <c r="T1359" s="199" t="str">
        <f>CONCATENATE(S1359,Q1359,P1359)</f>
        <v>400grams</v>
      </c>
      <c r="U1359" s="200">
        <f>L1359*M1359</f>
        <v>130</v>
      </c>
      <c r="V1359" s="12"/>
      <c r="W1359" s="12"/>
    </row>
    <row r="1360" spans="1:23" x14ac:dyDescent="0.3">
      <c r="A1360" s="193">
        <v>520</v>
      </c>
      <c r="B1360" s="46" t="s">
        <v>79</v>
      </c>
      <c r="C1360" s="315"/>
      <c r="D1360" s="316"/>
      <c r="E1360" s="315"/>
      <c r="F1360" s="315"/>
      <c r="G1360" s="315"/>
      <c r="H1360" s="194" t="s">
        <v>1368</v>
      </c>
      <c r="I1360" s="12"/>
      <c r="J1360" s="46" t="s">
        <v>792</v>
      </c>
      <c r="K1360" s="12"/>
      <c r="L1360" s="197">
        <v>90</v>
      </c>
      <c r="M1360" s="197">
        <v>0</v>
      </c>
      <c r="N1360" s="290">
        <v>1</v>
      </c>
      <c r="O1360" s="46"/>
      <c r="P1360" s="46" t="s">
        <v>213</v>
      </c>
      <c r="Q1360" s="12"/>
      <c r="R1360" s="192" t="str">
        <f>CONCATENATE(N1360,P1360)</f>
        <v>1kilos</v>
      </c>
      <c r="S1360" s="198">
        <f>M1360*N1360</f>
        <v>0</v>
      </c>
      <c r="T1360" s="199" t="str">
        <f>CONCATENATE(S1360,Q1360,P1360)</f>
        <v>0kilos</v>
      </c>
      <c r="U1360" s="200">
        <f>L1360*M1360</f>
        <v>0</v>
      </c>
      <c r="V1360" s="12"/>
      <c r="W1360" s="12"/>
    </row>
    <row r="1361" spans="1:23" x14ac:dyDescent="0.3">
      <c r="A1361" s="193">
        <v>520</v>
      </c>
      <c r="B1361" s="46" t="s">
        <v>79</v>
      </c>
      <c r="C1361" s="315"/>
      <c r="D1361" s="316"/>
      <c r="E1361" s="315"/>
      <c r="F1361" s="315"/>
      <c r="G1361" s="315"/>
      <c r="H1361" s="194" t="s">
        <v>2023</v>
      </c>
      <c r="I1361" s="12"/>
      <c r="J1361" s="46" t="s">
        <v>1420</v>
      </c>
      <c r="K1361" s="12"/>
      <c r="L1361" s="197">
        <v>47</v>
      </c>
      <c r="M1361" s="197">
        <v>1</v>
      </c>
      <c r="N1361" s="290">
        <v>200</v>
      </c>
      <c r="O1361" s="46"/>
      <c r="P1361" s="46" t="s">
        <v>39</v>
      </c>
      <c r="Q1361" s="12"/>
      <c r="R1361" s="192" t="str">
        <f>CONCATENATE(N1361,P1361)</f>
        <v>200grams</v>
      </c>
      <c r="S1361" s="198">
        <f>M1361*N1361</f>
        <v>200</v>
      </c>
      <c r="T1361" s="199" t="str">
        <f>CONCATENATE(S1361,Q1361,P1361)</f>
        <v>200grams</v>
      </c>
      <c r="U1361" s="200">
        <f>L1361*M1361</f>
        <v>47</v>
      </c>
      <c r="V1361" s="12"/>
      <c r="W1361" s="12"/>
    </row>
    <row r="1362" spans="1:23" x14ac:dyDescent="0.3">
      <c r="A1362" s="193">
        <v>520</v>
      </c>
      <c r="B1362" s="46" t="s">
        <v>79</v>
      </c>
      <c r="C1362" s="315"/>
      <c r="D1362" s="316"/>
      <c r="E1362" s="315"/>
      <c r="F1362" s="315"/>
      <c r="G1362" s="315"/>
      <c r="H1362" s="194" t="s">
        <v>2023</v>
      </c>
      <c r="I1362" s="12"/>
      <c r="J1362" s="46" t="s">
        <v>1157</v>
      </c>
      <c r="K1362" s="12"/>
      <c r="L1362" s="197">
        <v>299.2</v>
      </c>
      <c r="M1362" s="197">
        <v>2</v>
      </c>
      <c r="N1362" s="290">
        <v>1</v>
      </c>
      <c r="O1362" s="46"/>
      <c r="P1362" s="46" t="s">
        <v>213</v>
      </c>
      <c r="Q1362" s="12"/>
      <c r="R1362" s="192" t="str">
        <f>CONCATENATE(N1362,P1362)</f>
        <v>1kilos</v>
      </c>
      <c r="S1362" s="198">
        <f>M1362*N1362</f>
        <v>2</v>
      </c>
      <c r="T1362" s="199" t="str">
        <f>CONCATENATE(S1362,Q1362,P1362)</f>
        <v>2kilos</v>
      </c>
      <c r="U1362" s="200">
        <f>L1362*M1362</f>
        <v>598.4</v>
      </c>
      <c r="V1362" s="12"/>
      <c r="W1362" s="12"/>
    </row>
    <row r="1363" spans="1:23" x14ac:dyDescent="0.3">
      <c r="A1363" s="193">
        <v>520</v>
      </c>
      <c r="B1363" s="219" t="s">
        <v>79</v>
      </c>
      <c r="C1363" s="315"/>
      <c r="D1363" s="316"/>
      <c r="E1363" s="315"/>
      <c r="F1363" s="315"/>
      <c r="G1363" s="315"/>
      <c r="H1363" s="194" t="s">
        <v>2021</v>
      </c>
      <c r="I1363" s="12"/>
      <c r="J1363" s="219" t="s">
        <v>1421</v>
      </c>
      <c r="K1363" s="12"/>
      <c r="L1363" s="216">
        <v>49.09</v>
      </c>
      <c r="M1363" s="216">
        <v>9</v>
      </c>
      <c r="N1363" s="293">
        <v>500</v>
      </c>
      <c r="O1363" s="219"/>
      <c r="P1363" s="219" t="s">
        <v>39</v>
      </c>
      <c r="Q1363" s="12"/>
      <c r="R1363" s="192" t="str">
        <f>CONCATENATE(N1363,P1363)</f>
        <v>500grams</v>
      </c>
      <c r="S1363" s="198">
        <f>M1363*N1363</f>
        <v>4500</v>
      </c>
      <c r="T1363" s="199" t="str">
        <f>CONCATENATE(S1363,Q1363,P1363)</f>
        <v>4500grams</v>
      </c>
      <c r="U1363" s="200">
        <f>L1363*M1363</f>
        <v>441.81000000000006</v>
      </c>
      <c r="V1363" s="12"/>
      <c r="W1363" s="12"/>
    </row>
    <row r="1364" spans="1:23" x14ac:dyDescent="0.3">
      <c r="A1364" s="193">
        <v>520</v>
      </c>
      <c r="B1364" s="46" t="s">
        <v>79</v>
      </c>
      <c r="C1364" s="315"/>
      <c r="D1364" s="316"/>
      <c r="E1364" s="315"/>
      <c r="F1364" s="315"/>
      <c r="G1364" s="315"/>
      <c r="H1364" s="400" t="s">
        <v>2027</v>
      </c>
      <c r="I1364" s="12"/>
      <c r="J1364" s="46" t="s">
        <v>1157</v>
      </c>
      <c r="K1364" s="12"/>
      <c r="L1364" s="195">
        <v>270.2</v>
      </c>
      <c r="M1364" s="197">
        <v>1</v>
      </c>
      <c r="N1364" s="360">
        <v>1</v>
      </c>
      <c r="O1364" s="61"/>
      <c r="P1364" s="61" t="s">
        <v>213</v>
      </c>
      <c r="Q1364" s="12"/>
      <c r="R1364" s="192" t="str">
        <f>CONCATENATE(N1364,P1364)</f>
        <v>1kilos</v>
      </c>
      <c r="S1364" s="198">
        <f>M1364*N1364</f>
        <v>1</v>
      </c>
      <c r="T1364" s="199" t="str">
        <f>CONCATENATE(S1364,Q1364,P1364)</f>
        <v>1kilos</v>
      </c>
      <c r="U1364" s="200">
        <f>L1364*M1364</f>
        <v>270.2</v>
      </c>
      <c r="V1364" s="12"/>
      <c r="W1364" s="12"/>
    </row>
    <row r="1365" spans="1:23" x14ac:dyDescent="0.3">
      <c r="A1365" s="193">
        <v>521</v>
      </c>
      <c r="B1365" s="219" t="s">
        <v>1422</v>
      </c>
      <c r="C1365" s="315"/>
      <c r="D1365" s="316"/>
      <c r="E1365" s="315"/>
      <c r="F1365" s="315"/>
      <c r="G1365" s="315"/>
      <c r="H1365" s="194" t="s">
        <v>2021</v>
      </c>
      <c r="I1365" s="12"/>
      <c r="J1365" s="219" t="s">
        <v>854</v>
      </c>
      <c r="K1365" s="12"/>
      <c r="L1365" s="216">
        <v>57.1</v>
      </c>
      <c r="M1365" s="216">
        <v>2</v>
      </c>
      <c r="N1365" s="293">
        <v>7</v>
      </c>
      <c r="O1365" s="219"/>
      <c r="P1365" s="219" t="s">
        <v>39</v>
      </c>
      <c r="Q1365" s="12"/>
      <c r="R1365" s="192" t="str">
        <f>CONCATENATE(N1365,P1365)</f>
        <v>7grams</v>
      </c>
      <c r="S1365" s="198">
        <f>M1365*N1365</f>
        <v>14</v>
      </c>
      <c r="T1365" s="199" t="str">
        <f>CONCATENATE(S1365,Q1365,P1365)</f>
        <v>14grams</v>
      </c>
      <c r="U1365" s="200">
        <f>L1365*M1365</f>
        <v>114.2</v>
      </c>
      <c r="V1365" s="12"/>
      <c r="W1365" s="12"/>
    </row>
    <row r="1366" spans="1:23" x14ac:dyDescent="0.3">
      <c r="A1366" s="193">
        <v>522</v>
      </c>
      <c r="B1366" s="219" t="s">
        <v>1423</v>
      </c>
      <c r="C1366" s="315"/>
      <c r="D1366" s="316"/>
      <c r="E1366" s="315"/>
      <c r="F1366" s="315"/>
      <c r="G1366" s="315"/>
      <c r="H1366" s="194" t="s">
        <v>2023</v>
      </c>
      <c r="I1366" s="12"/>
      <c r="J1366" s="219" t="s">
        <v>1424</v>
      </c>
      <c r="K1366" s="12"/>
      <c r="L1366" s="216">
        <v>24.6</v>
      </c>
      <c r="M1366" s="216">
        <v>8</v>
      </c>
      <c r="N1366" s="293">
        <v>84</v>
      </c>
      <c r="O1366" s="219"/>
      <c r="P1366" s="219" t="s">
        <v>39</v>
      </c>
      <c r="Q1366" s="12"/>
      <c r="R1366" s="192" t="str">
        <f>CONCATENATE(N1366,P1366)</f>
        <v>84grams</v>
      </c>
      <c r="S1366" s="198">
        <f>M1366*N1366</f>
        <v>672</v>
      </c>
      <c r="T1366" s="199" t="str">
        <f>CONCATENATE(S1366,Q1366,P1366)</f>
        <v>672grams</v>
      </c>
      <c r="U1366" s="200">
        <f>L1366*M1366</f>
        <v>196.8</v>
      </c>
      <c r="V1366" s="12"/>
      <c r="W1366" s="12"/>
    </row>
    <row r="1367" spans="1:23" x14ac:dyDescent="0.3">
      <c r="A1367" s="479">
        <v>523</v>
      </c>
      <c r="B1367" s="194" t="s">
        <v>671</v>
      </c>
      <c r="C1367" s="487"/>
      <c r="D1367" s="485" t="str">
        <f ca="1">IFERROR(__xludf.DUMMYFUNCTION("IF(J382="""",""n/a"",IFERROR(SPLIT(J382,""/"")))"),"Mello")</f>
        <v>Mello</v>
      </c>
      <c r="E1367" s="485">
        <f ca="1">IFERROR(__xludf.DUMMYFUNCTION("""COMPUTED_VALUE"""),680)</f>
        <v>680</v>
      </c>
      <c r="F1367" s="487"/>
      <c r="G1367" s="487"/>
      <c r="H1367" s="206" t="s">
        <v>1898</v>
      </c>
      <c r="I1367" s="487"/>
      <c r="J1367" s="46" t="s">
        <v>672</v>
      </c>
      <c r="K1367" s="487"/>
      <c r="L1367" s="197">
        <v>0.18</v>
      </c>
      <c r="M1367" s="386">
        <v>680</v>
      </c>
      <c r="N1367" s="208">
        <v>680</v>
      </c>
      <c r="O1367" s="61">
        <f ca="1">E1367</f>
        <v>680</v>
      </c>
      <c r="P1367" s="61" t="s">
        <v>39</v>
      </c>
      <c r="Q1367" s="487"/>
      <c r="R1367" s="192" t="str">
        <f>CONCATENATE(N1367,P1367)</f>
        <v>680grams</v>
      </c>
      <c r="S1367" s="198">
        <f>M1367*N1367</f>
        <v>462400</v>
      </c>
      <c r="T1367" s="199" t="str">
        <f>CONCATENATE(S1367,Q1367,P1367)</f>
        <v>462400grams</v>
      </c>
      <c r="U1367" s="200">
        <f>L1367*M1367</f>
        <v>122.39999999999999</v>
      </c>
      <c r="V1367" s="12"/>
      <c r="W1367" s="12"/>
    </row>
    <row r="1368" spans="1:23" x14ac:dyDescent="0.3">
      <c r="A1368" s="193">
        <v>524</v>
      </c>
      <c r="B1368" s="46" t="s">
        <v>1959</v>
      </c>
      <c r="C1368" s="315"/>
      <c r="D1368" s="316"/>
      <c r="E1368" s="315"/>
      <c r="F1368" s="315"/>
      <c r="G1368" s="315"/>
      <c r="H1368" s="400" t="s">
        <v>2027</v>
      </c>
      <c r="I1368" s="12"/>
      <c r="J1368" s="46" t="s">
        <v>1960</v>
      </c>
      <c r="K1368" s="12"/>
      <c r="L1368" s="195">
        <v>19.899999999999999</v>
      </c>
      <c r="M1368" s="197">
        <v>8</v>
      </c>
      <c r="N1368" s="360">
        <v>1</v>
      </c>
      <c r="O1368" s="61"/>
      <c r="P1368" s="61" t="s">
        <v>92</v>
      </c>
      <c r="Q1368" s="12"/>
      <c r="R1368" s="192" t="str">
        <f>CONCATENATE(N1368,P1368)</f>
        <v>1pieces</v>
      </c>
      <c r="S1368" s="198">
        <f>M1368*N1368</f>
        <v>8</v>
      </c>
      <c r="T1368" s="199" t="str">
        <f>CONCATENATE(S1368,Q1368,P1368)</f>
        <v>8pieces</v>
      </c>
      <c r="U1368" s="200">
        <f>L1368*M1368</f>
        <v>159.19999999999999</v>
      </c>
      <c r="V1368" s="12"/>
      <c r="W1368" s="12"/>
    </row>
    <row r="1369" spans="1:23" x14ac:dyDescent="0.3">
      <c r="A1369" s="479">
        <v>525</v>
      </c>
      <c r="B1369" s="194" t="s">
        <v>673</v>
      </c>
      <c r="C1369" s="487"/>
      <c r="D1369" s="485" t="str">
        <f ca="1">IFERROR(__xludf.DUMMYFUNCTION("IF(J383="""",""n/a"",IFERROR(SPLIT(J383,""/"")))"),"Best Foods")</f>
        <v>Best Foods</v>
      </c>
      <c r="E1369" s="485" t="str">
        <f ca="1">IFERROR(__xludf.DUMMYFUNCTION("""COMPUTED_VALUE"""),"gallon")</f>
        <v>gallon</v>
      </c>
      <c r="F1369" s="485" t="str">
        <f ca="1">IFERROR(__xludf.DUMMYFUNCTION("""COMPUTED_VALUE"""),"3500ml")</f>
        <v>3500ml</v>
      </c>
      <c r="G1369" s="487"/>
      <c r="H1369" s="183" t="s">
        <v>1897</v>
      </c>
      <c r="I1369" s="487"/>
      <c r="J1369" s="46" t="s">
        <v>228</v>
      </c>
      <c r="K1369" s="487"/>
      <c r="L1369" s="197">
        <v>420.6</v>
      </c>
      <c r="M1369" s="202">
        <v>3</v>
      </c>
      <c r="N1369" s="203">
        <v>1</v>
      </c>
      <c r="O1369" s="61" t="str">
        <f ca="1">E1369</f>
        <v>gallon</v>
      </c>
      <c r="P1369" s="61" t="s">
        <v>32</v>
      </c>
      <c r="Q1369" s="515" t="s">
        <v>33</v>
      </c>
      <c r="R1369" s="192" t="str">
        <f>CONCATENATE(N1369,P1369)</f>
        <v>1ml</v>
      </c>
      <c r="S1369" s="198">
        <f>M1369*N1369</f>
        <v>3</v>
      </c>
      <c r="T1369" s="199" t="str">
        <f>CONCATENATE(S1369,Q1369,P1369)</f>
        <v>3 ml</v>
      </c>
      <c r="U1369" s="200">
        <f>L1369*M1369</f>
        <v>1261.8000000000002</v>
      </c>
      <c r="V1369" s="205"/>
      <c r="W1369" s="62"/>
    </row>
    <row r="1370" spans="1:23" x14ac:dyDescent="0.3">
      <c r="A1370" s="193">
        <v>525</v>
      </c>
      <c r="B1370" s="46" t="s">
        <v>673</v>
      </c>
      <c r="C1370" s="315"/>
      <c r="D1370" s="316"/>
      <c r="E1370" s="315"/>
      <c r="F1370" s="315"/>
      <c r="G1370" s="315"/>
      <c r="H1370" s="194" t="s">
        <v>2024</v>
      </c>
      <c r="I1370" s="12"/>
      <c r="J1370" s="46" t="s">
        <v>1425</v>
      </c>
      <c r="K1370" s="12"/>
      <c r="L1370" s="197">
        <v>11.9</v>
      </c>
      <c r="M1370" s="197">
        <v>13</v>
      </c>
      <c r="N1370" s="290">
        <v>24</v>
      </c>
      <c r="O1370" s="46"/>
      <c r="P1370" s="46" t="s">
        <v>39</v>
      </c>
      <c r="Q1370" s="12"/>
      <c r="R1370" s="192" t="str">
        <f>CONCATENATE(N1370,P1370)</f>
        <v>24grams</v>
      </c>
      <c r="S1370" s="198">
        <f>M1370*N1370</f>
        <v>312</v>
      </c>
      <c r="T1370" s="199" t="str">
        <f>CONCATENATE(S1370,Q1370,P1370)</f>
        <v>312grams</v>
      </c>
      <c r="U1370" s="200">
        <f>L1370*M1370</f>
        <v>154.70000000000002</v>
      </c>
      <c r="V1370" s="12"/>
      <c r="W1370" s="12"/>
    </row>
    <row r="1371" spans="1:23" x14ac:dyDescent="0.3">
      <c r="A1371" s="193">
        <v>526</v>
      </c>
      <c r="B1371" s="46" t="s">
        <v>1426</v>
      </c>
      <c r="C1371" s="315"/>
      <c r="D1371" s="316"/>
      <c r="E1371" s="315"/>
      <c r="F1371" s="315"/>
      <c r="G1371" s="315"/>
      <c r="H1371" s="194" t="s">
        <v>2024</v>
      </c>
      <c r="I1371" s="12"/>
      <c r="J1371" s="46" t="s">
        <v>1427</v>
      </c>
      <c r="K1371" s="12"/>
      <c r="L1371" s="197">
        <v>11</v>
      </c>
      <c r="M1371" s="197">
        <v>9</v>
      </c>
      <c r="N1371" s="290">
        <v>27</v>
      </c>
      <c r="O1371" s="297"/>
      <c r="P1371" s="297" t="s">
        <v>32</v>
      </c>
      <c r="Q1371" s="12"/>
      <c r="R1371" s="192" t="str">
        <f>CONCATENATE(N1371,P1371)</f>
        <v>27ml</v>
      </c>
      <c r="S1371" s="198">
        <f>M1371*N1371</f>
        <v>243</v>
      </c>
      <c r="T1371" s="199" t="str">
        <f>CONCATENATE(S1371,Q1371,P1371)</f>
        <v>243ml</v>
      </c>
      <c r="U1371" s="200">
        <f>L1371*M1371</f>
        <v>99</v>
      </c>
      <c r="V1371" s="12"/>
      <c r="W1371" s="12"/>
    </row>
    <row r="1372" spans="1:23" x14ac:dyDescent="0.3">
      <c r="A1372" s="193">
        <v>526</v>
      </c>
      <c r="B1372" s="46" t="s">
        <v>1426</v>
      </c>
      <c r="C1372" s="315"/>
      <c r="D1372" s="316"/>
      <c r="E1372" s="315"/>
      <c r="F1372" s="315"/>
      <c r="G1372" s="315"/>
      <c r="H1372" s="194" t="s">
        <v>2025</v>
      </c>
      <c r="I1372" s="12"/>
      <c r="J1372" s="46" t="s">
        <v>1428</v>
      </c>
      <c r="K1372" s="12"/>
      <c r="L1372" s="197">
        <v>428</v>
      </c>
      <c r="M1372" s="197">
        <v>2</v>
      </c>
      <c r="N1372" s="290">
        <v>3500</v>
      </c>
      <c r="O1372" s="297"/>
      <c r="P1372" s="297" t="s">
        <v>32</v>
      </c>
      <c r="Q1372" s="12"/>
      <c r="R1372" s="192" t="str">
        <f>CONCATENATE(N1372,P1372)</f>
        <v>3500ml</v>
      </c>
      <c r="S1372" s="198">
        <f>M1372*N1372</f>
        <v>7000</v>
      </c>
      <c r="T1372" s="199" t="str">
        <f>CONCATENATE(S1372,Q1372,P1372)</f>
        <v>7000ml</v>
      </c>
      <c r="U1372" s="200">
        <f>L1372*M1372</f>
        <v>856</v>
      </c>
      <c r="V1372" s="12"/>
      <c r="W1372" s="12"/>
    </row>
    <row r="1373" spans="1:23" x14ac:dyDescent="0.3">
      <c r="A1373" s="193">
        <v>526</v>
      </c>
      <c r="B1373" s="46" t="s">
        <v>1426</v>
      </c>
      <c r="C1373" s="315"/>
      <c r="D1373" s="316"/>
      <c r="E1373" s="315"/>
      <c r="F1373" s="315"/>
      <c r="G1373" s="315"/>
      <c r="H1373" s="194" t="s">
        <v>1368</v>
      </c>
      <c r="I1373" s="12"/>
      <c r="J1373" s="46" t="s">
        <v>1428</v>
      </c>
      <c r="K1373" s="12"/>
      <c r="L1373" s="197">
        <v>435</v>
      </c>
      <c r="M1373" s="197">
        <v>1</v>
      </c>
      <c r="N1373" s="290">
        <v>3500</v>
      </c>
      <c r="O1373" s="297"/>
      <c r="P1373" s="297" t="s">
        <v>32</v>
      </c>
      <c r="Q1373" s="12"/>
      <c r="R1373" s="192" t="str">
        <f>CONCATENATE(N1373,P1373)</f>
        <v>3500ml</v>
      </c>
      <c r="S1373" s="198">
        <f>M1373*N1373</f>
        <v>3500</v>
      </c>
      <c r="T1373" s="199" t="str">
        <f>CONCATENATE(S1373,Q1373,P1373)</f>
        <v>3500ml</v>
      </c>
      <c r="U1373" s="200">
        <f>L1373*M1373</f>
        <v>435</v>
      </c>
      <c r="V1373" s="12"/>
      <c r="W1373" s="12"/>
    </row>
    <row r="1374" spans="1:23" x14ac:dyDescent="0.3">
      <c r="A1374" s="193">
        <v>526</v>
      </c>
      <c r="B1374" s="46" t="s">
        <v>1426</v>
      </c>
      <c r="C1374" s="315"/>
      <c r="D1374" s="316"/>
      <c r="E1374" s="315"/>
      <c r="F1374" s="315"/>
      <c r="G1374" s="315"/>
      <c r="H1374" s="194" t="s">
        <v>2023</v>
      </c>
      <c r="I1374" s="12"/>
      <c r="J1374" s="46" t="s">
        <v>1428</v>
      </c>
      <c r="K1374" s="12"/>
      <c r="L1374" s="197">
        <v>490.7</v>
      </c>
      <c r="M1374" s="197">
        <v>3</v>
      </c>
      <c r="N1374" s="290">
        <v>3500</v>
      </c>
      <c r="O1374" s="46"/>
      <c r="P1374" s="46" t="s">
        <v>32</v>
      </c>
      <c r="Q1374" s="12"/>
      <c r="R1374" s="192" t="str">
        <f>CONCATENATE(N1374,P1374)</f>
        <v>3500ml</v>
      </c>
      <c r="S1374" s="198">
        <f>M1374*N1374</f>
        <v>10500</v>
      </c>
      <c r="T1374" s="199" t="str">
        <f>CONCATENATE(S1374,Q1374,P1374)</f>
        <v>10500ml</v>
      </c>
      <c r="U1374" s="200">
        <f>L1374*M1374</f>
        <v>1472.1</v>
      </c>
      <c r="V1374" s="12"/>
      <c r="W1374" s="12"/>
    </row>
    <row r="1375" spans="1:23" x14ac:dyDescent="0.3">
      <c r="A1375" s="193">
        <v>526</v>
      </c>
      <c r="B1375" s="46" t="s">
        <v>1426</v>
      </c>
      <c r="C1375" s="315"/>
      <c r="D1375" s="316"/>
      <c r="E1375" s="315"/>
      <c r="F1375" s="315"/>
      <c r="G1375" s="315"/>
      <c r="H1375" s="194" t="s">
        <v>2022</v>
      </c>
      <c r="I1375" s="12"/>
      <c r="J1375" s="46" t="s">
        <v>1428</v>
      </c>
      <c r="K1375" s="12"/>
      <c r="L1375" s="197">
        <v>420</v>
      </c>
      <c r="M1375" s="197">
        <v>4</v>
      </c>
      <c r="N1375" s="290">
        <v>3500</v>
      </c>
      <c r="O1375" s="46"/>
      <c r="P1375" s="46" t="s">
        <v>32</v>
      </c>
      <c r="Q1375" s="12"/>
      <c r="R1375" s="192" t="str">
        <f>CONCATENATE(N1375,P1375)</f>
        <v>3500ml</v>
      </c>
      <c r="S1375" s="198">
        <f>M1375*N1375</f>
        <v>14000</v>
      </c>
      <c r="T1375" s="199" t="str">
        <f>CONCATENATE(S1375,Q1375,P1375)</f>
        <v>14000ml</v>
      </c>
      <c r="U1375" s="200">
        <f>L1375*M1375</f>
        <v>1680</v>
      </c>
      <c r="V1375" s="12"/>
      <c r="W1375" s="12"/>
    </row>
    <row r="1376" spans="1:23" x14ac:dyDescent="0.3">
      <c r="A1376" s="193">
        <v>526</v>
      </c>
      <c r="B1376" s="46" t="s">
        <v>1426</v>
      </c>
      <c r="C1376" s="315"/>
      <c r="D1376" s="316"/>
      <c r="E1376" s="315"/>
      <c r="F1376" s="315"/>
      <c r="G1376" s="315"/>
      <c r="H1376" s="194" t="s">
        <v>2022</v>
      </c>
      <c r="I1376" s="12"/>
      <c r="J1376" s="46" t="s">
        <v>1427</v>
      </c>
      <c r="K1376" s="12"/>
      <c r="L1376" s="197">
        <v>1217</v>
      </c>
      <c r="M1376" s="197">
        <v>2</v>
      </c>
      <c r="N1376" s="290">
        <v>3500</v>
      </c>
      <c r="O1376" s="297"/>
      <c r="P1376" s="297" t="s">
        <v>32</v>
      </c>
      <c r="Q1376" s="12"/>
      <c r="R1376" s="192" t="str">
        <f>CONCATENATE(N1376,P1376)</f>
        <v>3500ml</v>
      </c>
      <c r="S1376" s="198">
        <f>M1376*N1376</f>
        <v>7000</v>
      </c>
      <c r="T1376" s="199" t="str">
        <f>CONCATENATE(S1376,Q1376,P1376)</f>
        <v>7000ml</v>
      </c>
      <c r="U1376" s="200">
        <f>L1376*M1376</f>
        <v>2434</v>
      </c>
      <c r="V1376" s="12"/>
      <c r="W1376" s="12"/>
    </row>
    <row r="1377" spans="1:23" x14ac:dyDescent="0.3">
      <c r="A1377" s="479">
        <v>527</v>
      </c>
      <c r="B1377" s="194" t="s">
        <v>265</v>
      </c>
      <c r="C1377" s="487"/>
      <c r="D1377" s="485" t="str">
        <f ca="1">IFERROR(__xludf.DUMMYFUNCTION("IF(J384="""",""n/a"",IFERROR(SPLIT(J384,""/"")))"),"Mc Cormik")</f>
        <v>Mc Cormik</v>
      </c>
      <c r="E1377" s="485" t="str">
        <f ca="1">IFERROR(__xludf.DUMMYFUNCTION("""COMPUTED_VALUE"""),"bottle")</f>
        <v>bottle</v>
      </c>
      <c r="F1377" s="485" t="str">
        <f ca="1">IFERROR(__xludf.DUMMYFUNCTION("""COMPUTED_VALUE"""),"35grams")</f>
        <v>35grams</v>
      </c>
      <c r="G1377" s="487"/>
      <c r="H1377" s="183" t="s">
        <v>1895</v>
      </c>
      <c r="I1377" s="487"/>
      <c r="J1377" s="46" t="s">
        <v>266</v>
      </c>
      <c r="K1377" s="487"/>
      <c r="L1377" s="195">
        <v>87.5</v>
      </c>
      <c r="M1377" s="197">
        <v>1.43</v>
      </c>
      <c r="N1377" s="61">
        <v>1</v>
      </c>
      <c r="O1377" s="61" t="str">
        <f ca="1">E1377</f>
        <v>bottle</v>
      </c>
      <c r="P1377" s="61" t="s">
        <v>39</v>
      </c>
      <c r="Q1377" s="487"/>
      <c r="R1377" s="192" t="str">
        <f>CONCATENATE(N1377,P1377)</f>
        <v>1grams</v>
      </c>
      <c r="S1377" s="198">
        <f>M1377*N1377</f>
        <v>1.43</v>
      </c>
      <c r="T1377" s="199" t="str">
        <f>CONCATENATE(S1377,Q1377,P1377)</f>
        <v>1.43grams</v>
      </c>
      <c r="U1377" s="200">
        <f>L1377*M1377</f>
        <v>125.125</v>
      </c>
      <c r="V1377" s="12"/>
      <c r="W1377" s="12"/>
    </row>
    <row r="1378" spans="1:23" x14ac:dyDescent="0.3">
      <c r="A1378" s="479">
        <v>528</v>
      </c>
      <c r="B1378" s="194" t="s">
        <v>267</v>
      </c>
      <c r="C1378" s="487"/>
      <c r="D1378" s="485" t="str">
        <f ca="1">IFERROR(__xludf.DUMMYFUNCTION("IF(J385="""",""n/a"",IFERROR(SPLIT(J385,""/"")))"),"Mc Cormick")</f>
        <v>Mc Cormick</v>
      </c>
      <c r="E1378" s="485" t="str">
        <f ca="1">IFERROR(__xludf.DUMMYFUNCTION("""COMPUTED_VALUE"""),"bottle")</f>
        <v>bottle</v>
      </c>
      <c r="F1378" s="485" t="str">
        <f ca="1">IFERROR(__xludf.DUMMYFUNCTION("""COMPUTED_VALUE"""),"45grams")</f>
        <v>45grams</v>
      </c>
      <c r="G1378" s="487"/>
      <c r="H1378" s="183" t="s">
        <v>1895</v>
      </c>
      <c r="I1378" s="487"/>
      <c r="J1378" s="46" t="s">
        <v>268</v>
      </c>
      <c r="K1378" s="487"/>
      <c r="L1378" s="195">
        <v>102.5</v>
      </c>
      <c r="M1378" s="197">
        <v>1.67</v>
      </c>
      <c r="N1378" s="61">
        <v>1</v>
      </c>
      <c r="O1378" s="61" t="str">
        <f ca="1">E1378</f>
        <v>bottle</v>
      </c>
      <c r="P1378" s="61" t="s">
        <v>39</v>
      </c>
      <c r="Q1378" s="487"/>
      <c r="R1378" s="192" t="str">
        <f>CONCATENATE(N1378,P1378)</f>
        <v>1grams</v>
      </c>
      <c r="S1378" s="198">
        <f>M1378*N1378</f>
        <v>1.67</v>
      </c>
      <c r="T1378" s="199" t="str">
        <f>CONCATENATE(S1378,Q1378,P1378)</f>
        <v>1.67grams</v>
      </c>
      <c r="U1378" s="200">
        <f>L1378*M1378</f>
        <v>171.17499999999998</v>
      </c>
      <c r="V1378" s="12"/>
      <c r="W1378" s="12"/>
    </row>
    <row r="1379" spans="1:23" x14ac:dyDescent="0.3">
      <c r="A1379" s="479">
        <v>529</v>
      </c>
      <c r="B1379" s="194" t="s">
        <v>674</v>
      </c>
      <c r="C1379" s="487"/>
      <c r="D1379" s="485" t="str">
        <f ca="1">IFERROR(__xludf.DUMMYFUNCTION("IF(J386="""",""n/a"",IFERROR(SPLIT(J386,""/"")))"),"Mc Cormick")</f>
        <v>Mc Cormick</v>
      </c>
      <c r="E1379" s="485" t="str">
        <f ca="1">IFERROR(__xludf.DUMMYFUNCTION("""COMPUTED_VALUE"""),"bottle")</f>
        <v>bottle</v>
      </c>
      <c r="F1379" s="485" t="str">
        <f ca="1">IFERROR(__xludf.DUMMYFUNCTION("""COMPUTED_VALUE"""),"30grams")</f>
        <v>30grams</v>
      </c>
      <c r="G1379" s="487"/>
      <c r="H1379" s="183" t="s">
        <v>1897</v>
      </c>
      <c r="I1379" s="487"/>
      <c r="J1379" s="46" t="s">
        <v>675</v>
      </c>
      <c r="K1379" s="487"/>
      <c r="L1379" s="197">
        <v>2.71</v>
      </c>
      <c r="M1379" s="202">
        <v>30</v>
      </c>
      <c r="N1379" s="203">
        <v>30</v>
      </c>
      <c r="O1379" s="61" t="str">
        <f ca="1">E1379</f>
        <v>bottle</v>
      </c>
      <c r="P1379" s="61" t="s">
        <v>39</v>
      </c>
      <c r="Q1379" s="487"/>
      <c r="R1379" s="192" t="str">
        <f>CONCATENATE(N1379,P1379)</f>
        <v>30grams</v>
      </c>
      <c r="S1379" s="198">
        <f>M1379*N1379</f>
        <v>900</v>
      </c>
      <c r="T1379" s="199" t="str">
        <f>CONCATENATE(S1379,Q1379,P1379)</f>
        <v>900grams</v>
      </c>
      <c r="U1379" s="200">
        <f>L1379*M1379</f>
        <v>81.3</v>
      </c>
      <c r="V1379" s="205"/>
      <c r="W1379" s="62"/>
    </row>
    <row r="1380" spans="1:23" x14ac:dyDescent="0.3">
      <c r="A1380" s="479">
        <v>530</v>
      </c>
      <c r="B1380" s="194" t="s">
        <v>676</v>
      </c>
      <c r="C1380" s="487"/>
      <c r="D1380" s="485" t="str">
        <f ca="1">IFERROR(__xludf.DUMMYFUNCTION("IF(J387="""",""n/a"",IFERROR(SPLIT(J387,""/"")))"),"n/a")</f>
        <v>n/a</v>
      </c>
      <c r="E1380" s="487"/>
      <c r="F1380" s="487"/>
      <c r="G1380" s="487"/>
      <c r="H1380" s="206" t="s">
        <v>1898</v>
      </c>
      <c r="I1380" s="487"/>
      <c r="J1380" s="170"/>
      <c r="K1380" s="487"/>
      <c r="L1380" s="197">
        <v>0.5</v>
      </c>
      <c r="M1380" s="386">
        <v>400</v>
      </c>
      <c r="N1380" s="208">
        <v>200</v>
      </c>
      <c r="O1380" s="170">
        <f>E1380</f>
        <v>0</v>
      </c>
      <c r="P1380" s="61" t="s">
        <v>39</v>
      </c>
      <c r="Q1380" s="487"/>
      <c r="R1380" s="192" t="str">
        <f>CONCATENATE(N1380,P1380)</f>
        <v>200grams</v>
      </c>
      <c r="S1380" s="198">
        <f>M1380*N1380</f>
        <v>80000</v>
      </c>
      <c r="T1380" s="199" t="str">
        <f>CONCATENATE(S1380,Q1380,P1380)</f>
        <v>80000grams</v>
      </c>
      <c r="U1380" s="200">
        <f>L1380*M1380</f>
        <v>200</v>
      </c>
      <c r="V1380" s="12"/>
      <c r="W1380" s="12"/>
    </row>
    <row r="1381" spans="1:23" x14ac:dyDescent="0.3">
      <c r="A1381" s="479">
        <v>531</v>
      </c>
      <c r="B1381" s="194" t="s">
        <v>677</v>
      </c>
      <c r="C1381" s="487"/>
      <c r="D1381" s="485" t="str">
        <f ca="1">IFERROR(__xludf.DUMMYFUNCTION("IF(J388="""",""n/a"",IFERROR(SPLIT(J388,""/"")))"),"n/a")</f>
        <v>n/a</v>
      </c>
      <c r="E1381" s="487"/>
      <c r="F1381" s="487"/>
      <c r="G1381" s="487"/>
      <c r="H1381" s="206" t="s">
        <v>1898</v>
      </c>
      <c r="I1381" s="487"/>
      <c r="J1381" s="170"/>
      <c r="K1381" s="487"/>
      <c r="L1381" s="197">
        <v>8.4600000000000009</v>
      </c>
      <c r="M1381" s="386">
        <v>7</v>
      </c>
      <c r="N1381" s="208">
        <v>7</v>
      </c>
      <c r="O1381" s="170">
        <f>E1381</f>
        <v>0</v>
      </c>
      <c r="P1381" s="61" t="s">
        <v>39</v>
      </c>
      <c r="Q1381" s="487"/>
      <c r="R1381" s="192" t="str">
        <f>CONCATENATE(N1381,P1381)</f>
        <v>7grams</v>
      </c>
      <c r="S1381" s="198">
        <f>M1381*N1381</f>
        <v>49</v>
      </c>
      <c r="T1381" s="199" t="str">
        <f>CONCATENATE(S1381,Q1381,P1381)</f>
        <v>49grams</v>
      </c>
      <c r="U1381" s="200">
        <f>L1381*M1381</f>
        <v>59.220000000000006</v>
      </c>
      <c r="V1381" s="12"/>
      <c r="W1381" s="12"/>
    </row>
    <row r="1382" spans="1:23" x14ac:dyDescent="0.3">
      <c r="A1382" s="479">
        <v>532</v>
      </c>
      <c r="B1382" s="194" t="s">
        <v>269</v>
      </c>
      <c r="C1382" s="487"/>
      <c r="D1382" s="485" t="str">
        <f ca="1">IFERROR(__xludf.DUMMYFUNCTION("IF(J389="""",""n/a"",IFERROR(SPLIT(J389,""/"")))"),"Mc Cormick")</f>
        <v>Mc Cormick</v>
      </c>
      <c r="E1382" s="485" t="str">
        <f ca="1">IFERROR(__xludf.DUMMYFUNCTION("""COMPUTED_VALUE"""),"bottle")</f>
        <v>bottle</v>
      </c>
      <c r="F1382" s="485" t="str">
        <f ca="1">IFERROR(__xludf.DUMMYFUNCTION("""COMPUTED_VALUE"""),"23grams")</f>
        <v>23grams</v>
      </c>
      <c r="G1382" s="487"/>
      <c r="H1382" s="183" t="s">
        <v>1895</v>
      </c>
      <c r="I1382" s="487"/>
      <c r="J1382" s="46" t="s">
        <v>270</v>
      </c>
      <c r="K1382" s="487"/>
      <c r="L1382" s="195">
        <v>110.25</v>
      </c>
      <c r="M1382" s="197">
        <v>0.87</v>
      </c>
      <c r="N1382" s="61">
        <v>1</v>
      </c>
      <c r="O1382" s="61" t="str">
        <f ca="1">E1382</f>
        <v>bottle</v>
      </c>
      <c r="P1382" s="61" t="s">
        <v>39</v>
      </c>
      <c r="Q1382" s="487"/>
      <c r="R1382" s="192" t="str">
        <f>CONCATENATE(N1382,P1382)</f>
        <v>1grams</v>
      </c>
      <c r="S1382" s="198">
        <f>M1382*N1382</f>
        <v>0.87</v>
      </c>
      <c r="T1382" s="199" t="str">
        <f>CONCATENATE(S1382,Q1382,P1382)</f>
        <v>0.87grams</v>
      </c>
      <c r="U1382" s="200">
        <f>L1382*M1382</f>
        <v>95.917500000000004</v>
      </c>
      <c r="V1382" s="12"/>
      <c r="W1382" s="12"/>
    </row>
    <row r="1383" spans="1:23" x14ac:dyDescent="0.3">
      <c r="A1383" s="479">
        <v>533</v>
      </c>
      <c r="B1383" s="194" t="s">
        <v>271</v>
      </c>
      <c r="C1383" s="487"/>
      <c r="D1383" s="485" t="str">
        <f ca="1">IFERROR(__xludf.DUMMYFUNCTION("IF(J390="""",""n/a"",IFERROR(SPLIT(J390,""/"")))"),"Mc Cormick")</f>
        <v>Mc Cormick</v>
      </c>
      <c r="E1383" s="485" t="str">
        <f ca="1">IFERROR(__xludf.DUMMYFUNCTION("""COMPUTED_VALUE"""),"bottle")</f>
        <v>bottle</v>
      </c>
      <c r="F1383" s="485" t="str">
        <f ca="1">IFERROR(__xludf.DUMMYFUNCTION("""COMPUTED_VALUE"""),"11grams")</f>
        <v>11grams</v>
      </c>
      <c r="G1383" s="487"/>
      <c r="H1383" s="183" t="s">
        <v>1895</v>
      </c>
      <c r="I1383" s="487"/>
      <c r="J1383" s="46" t="s">
        <v>272</v>
      </c>
      <c r="K1383" s="487"/>
      <c r="L1383" s="195">
        <v>67.5</v>
      </c>
      <c r="M1383" s="197">
        <v>2</v>
      </c>
      <c r="N1383" s="61">
        <v>1</v>
      </c>
      <c r="O1383" s="61" t="str">
        <f ca="1">E1383</f>
        <v>bottle</v>
      </c>
      <c r="P1383" s="61" t="s">
        <v>39</v>
      </c>
      <c r="Q1383" s="487"/>
      <c r="R1383" s="192" t="str">
        <f>CONCATENATE(N1383,P1383)</f>
        <v>1grams</v>
      </c>
      <c r="S1383" s="198">
        <f>M1383*N1383</f>
        <v>2</v>
      </c>
      <c r="T1383" s="199" t="str">
        <f>CONCATENATE(S1383,Q1383,P1383)</f>
        <v>2grams</v>
      </c>
      <c r="U1383" s="200">
        <f>L1383*M1383</f>
        <v>135</v>
      </c>
      <c r="V1383" s="12"/>
      <c r="W1383" s="12"/>
    </row>
    <row r="1384" spans="1:23" x14ac:dyDescent="0.3">
      <c r="A1384" s="479">
        <v>534</v>
      </c>
      <c r="B1384" s="194" t="s">
        <v>678</v>
      </c>
      <c r="C1384" s="487"/>
      <c r="D1384" s="485" t="str">
        <f ca="1">IFERROR(__xludf.DUMMYFUNCTION("IF(J391="""",""n/a"",IFERROR(SPLIT(J391,""/"")))"),"n/a")</f>
        <v>n/a</v>
      </c>
      <c r="E1384" s="487"/>
      <c r="F1384" s="487"/>
      <c r="G1384" s="487"/>
      <c r="H1384" s="206" t="s">
        <v>1898</v>
      </c>
      <c r="I1384" s="487"/>
      <c r="J1384" s="170"/>
      <c r="K1384" s="487"/>
      <c r="L1384" s="197">
        <v>1.33</v>
      </c>
      <c r="M1384" s="386">
        <v>200</v>
      </c>
      <c r="N1384" s="208">
        <v>40</v>
      </c>
      <c r="O1384" s="170">
        <f>E1384</f>
        <v>0</v>
      </c>
      <c r="P1384" s="61" t="s">
        <v>39</v>
      </c>
      <c r="Q1384" s="487"/>
      <c r="R1384" s="192" t="str">
        <f>CONCATENATE(N1384,P1384)</f>
        <v>40grams</v>
      </c>
      <c r="S1384" s="198">
        <f>M1384*N1384</f>
        <v>8000</v>
      </c>
      <c r="T1384" s="199" t="str">
        <f>CONCATENATE(S1384,Q1384,P1384)</f>
        <v>8000grams</v>
      </c>
      <c r="U1384" s="200">
        <f>L1384*M1384</f>
        <v>266</v>
      </c>
      <c r="V1384" s="12"/>
      <c r="W1384" s="12"/>
    </row>
    <row r="1385" spans="1:23" x14ac:dyDescent="0.3">
      <c r="A1385" s="479">
        <v>535</v>
      </c>
      <c r="B1385" s="194" t="s">
        <v>273</v>
      </c>
      <c r="C1385" s="487"/>
      <c r="D1385" s="485" t="str">
        <f ca="1">IFERROR(__xludf.DUMMYFUNCTION("IF(J392="""",""n/a"",IFERROR(SPLIT(J392,""/"")))"),"Mc Cormick")</f>
        <v>Mc Cormick</v>
      </c>
      <c r="E1385" s="485" t="str">
        <f ca="1">IFERROR(__xludf.DUMMYFUNCTION("""COMPUTED_VALUE"""),"bottle")</f>
        <v>bottle</v>
      </c>
      <c r="F1385" s="485" t="str">
        <f ca="1">IFERROR(__xludf.DUMMYFUNCTION("""COMPUTED_VALUE"""),"14grams")</f>
        <v>14grams</v>
      </c>
      <c r="G1385" s="487"/>
      <c r="H1385" s="183" t="s">
        <v>1895</v>
      </c>
      <c r="I1385" s="487"/>
      <c r="J1385" s="46" t="s">
        <v>274</v>
      </c>
      <c r="K1385" s="487"/>
      <c r="L1385" s="195">
        <v>69.5</v>
      </c>
      <c r="M1385" s="197">
        <v>2.57</v>
      </c>
      <c r="N1385" s="61">
        <v>1</v>
      </c>
      <c r="O1385" s="61" t="str">
        <f ca="1">E1385</f>
        <v>bottle</v>
      </c>
      <c r="P1385" s="61" t="s">
        <v>39</v>
      </c>
      <c r="Q1385" s="487"/>
      <c r="R1385" s="192" t="str">
        <f>CONCATENATE(N1385,P1385)</f>
        <v>1grams</v>
      </c>
      <c r="S1385" s="198">
        <f>M1385*N1385</f>
        <v>2.57</v>
      </c>
      <c r="T1385" s="199" t="str">
        <f>CONCATENATE(S1385,Q1385,P1385)</f>
        <v>2.57grams</v>
      </c>
      <c r="U1385" s="200">
        <f>L1385*M1385</f>
        <v>178.61499999999998</v>
      </c>
      <c r="V1385" s="12"/>
      <c r="W1385" s="12"/>
    </row>
    <row r="1386" spans="1:23" x14ac:dyDescent="0.3">
      <c r="A1386" s="479">
        <v>536</v>
      </c>
      <c r="B1386" s="194" t="s">
        <v>275</v>
      </c>
      <c r="C1386" s="487"/>
      <c r="D1386" s="485" t="str">
        <f ca="1">IFERROR(__xludf.DUMMYFUNCTION("IF(J393="""",""n/a"",IFERROR(SPLIT(J393,""/"")))"),"Mc Cormick")</f>
        <v>Mc Cormick</v>
      </c>
      <c r="E1386" s="485" t="str">
        <f ca="1">IFERROR(__xludf.DUMMYFUNCTION("""COMPUTED_VALUE"""),"bottle")</f>
        <v>bottle</v>
      </c>
      <c r="F1386" s="485" t="str">
        <f ca="1">IFERROR(__xludf.DUMMYFUNCTION("""COMPUTED_VALUE"""),"31grams")</f>
        <v>31grams</v>
      </c>
      <c r="G1386" s="487"/>
      <c r="H1386" s="183" t="s">
        <v>1895</v>
      </c>
      <c r="I1386" s="487"/>
      <c r="J1386" s="46" t="s">
        <v>276</v>
      </c>
      <c r="K1386" s="487"/>
      <c r="L1386" s="195">
        <v>99</v>
      </c>
      <c r="M1386" s="197">
        <v>0.81</v>
      </c>
      <c r="N1386" s="61">
        <v>1</v>
      </c>
      <c r="O1386" s="61" t="str">
        <f ca="1">E1386</f>
        <v>bottle</v>
      </c>
      <c r="P1386" s="61" t="s">
        <v>39</v>
      </c>
      <c r="Q1386" s="487"/>
      <c r="R1386" s="192" t="str">
        <f>CONCATENATE(N1386,P1386)</f>
        <v>1grams</v>
      </c>
      <c r="S1386" s="198">
        <f>M1386*N1386</f>
        <v>0.81</v>
      </c>
      <c r="T1386" s="199" t="str">
        <f>CONCATENATE(S1386,Q1386,P1386)</f>
        <v>0.81grams</v>
      </c>
      <c r="U1386" s="200">
        <f>L1386*M1386</f>
        <v>80.190000000000012</v>
      </c>
      <c r="V1386" s="12"/>
      <c r="W1386" s="12"/>
    </row>
    <row r="1387" spans="1:23" x14ac:dyDescent="0.3">
      <c r="A1387" s="193">
        <v>537</v>
      </c>
      <c r="B1387" s="46" t="s">
        <v>1429</v>
      </c>
      <c r="C1387" s="315"/>
      <c r="D1387" s="316"/>
      <c r="E1387" s="315"/>
      <c r="F1387" s="315"/>
      <c r="G1387" s="315"/>
      <c r="H1387" s="194" t="s">
        <v>2022</v>
      </c>
      <c r="I1387" s="12"/>
      <c r="J1387" s="46" t="s">
        <v>1430</v>
      </c>
      <c r="K1387" s="12"/>
      <c r="L1387" s="197">
        <v>7.33</v>
      </c>
      <c r="M1387" s="197">
        <v>370</v>
      </c>
      <c r="N1387" s="319"/>
      <c r="O1387" s="46"/>
      <c r="P1387" s="46" t="s">
        <v>92</v>
      </c>
      <c r="Q1387" s="12"/>
      <c r="R1387" s="192" t="str">
        <f>CONCATENATE(N1387,P1387)</f>
        <v>pieces</v>
      </c>
      <c r="S1387" s="198">
        <f>M1387*N1387</f>
        <v>0</v>
      </c>
      <c r="T1387" s="199" t="str">
        <f>CONCATENATE(S1387,Q1387,P1387)</f>
        <v>0pieces</v>
      </c>
      <c r="U1387" s="200">
        <f>L1387*M1387</f>
        <v>2712.1</v>
      </c>
      <c r="V1387" s="12"/>
      <c r="W1387" s="12"/>
    </row>
    <row r="1388" spans="1:23" x14ac:dyDescent="0.3">
      <c r="A1388" s="193">
        <v>537</v>
      </c>
      <c r="B1388" s="46" t="s">
        <v>1429</v>
      </c>
      <c r="C1388" s="315"/>
      <c r="D1388" s="316"/>
      <c r="E1388" s="315"/>
      <c r="F1388" s="315"/>
      <c r="G1388" s="315"/>
      <c r="H1388" s="194" t="s">
        <v>2022</v>
      </c>
      <c r="I1388" s="12"/>
      <c r="J1388" s="46" t="s">
        <v>1431</v>
      </c>
      <c r="K1388" s="12"/>
      <c r="L1388" s="197">
        <v>7.9</v>
      </c>
      <c r="M1388" s="197">
        <v>250</v>
      </c>
      <c r="N1388" s="319"/>
      <c r="O1388" s="46"/>
      <c r="P1388" s="46" t="s">
        <v>92</v>
      </c>
      <c r="Q1388" s="12"/>
      <c r="R1388" s="192" t="str">
        <f>CONCATENATE(N1388,P1388)</f>
        <v>pieces</v>
      </c>
      <c r="S1388" s="198">
        <f>M1388*N1388</f>
        <v>0</v>
      </c>
      <c r="T1388" s="199" t="str">
        <f>CONCATENATE(S1388,Q1388,P1388)</f>
        <v>0pieces</v>
      </c>
      <c r="U1388" s="200">
        <f>L1388*M1388</f>
        <v>1975</v>
      </c>
      <c r="V1388" s="12"/>
      <c r="W1388" s="12"/>
    </row>
    <row r="1389" spans="1:23" x14ac:dyDescent="0.3">
      <c r="A1389" s="479">
        <v>538</v>
      </c>
      <c r="B1389" s="194" t="s">
        <v>679</v>
      </c>
      <c r="C1389" s="487"/>
      <c r="D1389" s="485" t="str">
        <f ca="1">IFERROR(__xludf.DUMMYFUNCTION("IF(J394="""",""n/a"",IFERROR(SPLIT(J394,""/"")))"),"n/a")</f>
        <v>n/a</v>
      </c>
      <c r="E1389" s="487"/>
      <c r="F1389" s="487"/>
      <c r="G1389" s="487"/>
      <c r="H1389" s="206" t="s">
        <v>1898</v>
      </c>
      <c r="I1389" s="487"/>
      <c r="J1389" s="170"/>
      <c r="K1389" s="487"/>
      <c r="L1389" s="197">
        <v>0.12</v>
      </c>
      <c r="M1389" s="386">
        <v>15100</v>
      </c>
      <c r="N1389" s="208">
        <v>250</v>
      </c>
      <c r="O1389" s="170">
        <f>E1389</f>
        <v>0</v>
      </c>
      <c r="P1389" s="61" t="s">
        <v>39</v>
      </c>
      <c r="Q1389" s="487"/>
      <c r="R1389" s="192" t="str">
        <f>CONCATENATE(N1389,P1389)</f>
        <v>250grams</v>
      </c>
      <c r="S1389" s="198">
        <f>M1389*N1389</f>
        <v>3775000</v>
      </c>
      <c r="T1389" s="199" t="str">
        <f>CONCATENATE(S1389,Q1389,P1389)</f>
        <v>3775000grams</v>
      </c>
      <c r="U1389" s="200">
        <f>L1389*M1389</f>
        <v>1812</v>
      </c>
      <c r="V1389" s="12"/>
      <c r="W1389" s="12"/>
    </row>
    <row r="1390" spans="1:23" x14ac:dyDescent="0.3">
      <c r="A1390" s="193">
        <v>538</v>
      </c>
      <c r="B1390" s="46" t="s">
        <v>1432</v>
      </c>
      <c r="C1390" s="315"/>
      <c r="D1390" s="316"/>
      <c r="E1390" s="315"/>
      <c r="F1390" s="315"/>
      <c r="G1390" s="315"/>
      <c r="H1390" s="194" t="s">
        <v>2026</v>
      </c>
      <c r="I1390" s="12"/>
      <c r="J1390" s="46" t="s">
        <v>1368</v>
      </c>
      <c r="K1390" s="12"/>
      <c r="L1390" s="197">
        <v>31</v>
      </c>
      <c r="M1390" s="197">
        <v>4</v>
      </c>
      <c r="N1390" s="290">
        <v>210</v>
      </c>
      <c r="O1390" s="46"/>
      <c r="P1390" s="46" t="s">
        <v>39</v>
      </c>
      <c r="Q1390" s="12"/>
      <c r="R1390" s="192" t="str">
        <f>CONCATENATE(N1390,P1390)</f>
        <v>210grams</v>
      </c>
      <c r="S1390" s="198">
        <f>M1390*N1390</f>
        <v>840</v>
      </c>
      <c r="T1390" s="199" t="str">
        <f>CONCATENATE(S1390,Q1390,P1390)</f>
        <v>840grams</v>
      </c>
      <c r="U1390" s="200">
        <f>L1390*M1390</f>
        <v>124</v>
      </c>
      <c r="V1390" s="12"/>
      <c r="W1390" s="12"/>
    </row>
    <row r="1391" spans="1:23" x14ac:dyDescent="0.3">
      <c r="A1391" s="193">
        <v>538</v>
      </c>
      <c r="B1391" s="46" t="s">
        <v>1432</v>
      </c>
      <c r="C1391" s="315"/>
      <c r="D1391" s="316"/>
      <c r="E1391" s="315"/>
      <c r="F1391" s="315"/>
      <c r="G1391" s="315"/>
      <c r="H1391" s="194" t="s">
        <v>2020</v>
      </c>
      <c r="I1391" s="12"/>
      <c r="J1391" s="46" t="s">
        <v>910</v>
      </c>
      <c r="K1391" s="12"/>
      <c r="L1391" s="197">
        <v>31.9</v>
      </c>
      <c r="M1391" s="197">
        <v>8</v>
      </c>
      <c r="N1391" s="290">
        <v>250</v>
      </c>
      <c r="O1391" s="46"/>
      <c r="P1391" s="46" t="s">
        <v>39</v>
      </c>
      <c r="Q1391" s="12"/>
      <c r="R1391" s="192" t="str">
        <f>CONCATENATE(N1391,P1391)</f>
        <v>250grams</v>
      </c>
      <c r="S1391" s="198">
        <f>M1391*N1391</f>
        <v>2000</v>
      </c>
      <c r="T1391" s="199" t="str">
        <f>CONCATENATE(S1391,Q1391,P1391)</f>
        <v>2000grams</v>
      </c>
      <c r="U1391" s="200">
        <f>L1391*M1391</f>
        <v>255.2</v>
      </c>
      <c r="V1391" s="12"/>
      <c r="W1391" s="12"/>
    </row>
    <row r="1392" spans="1:23" x14ac:dyDescent="0.3">
      <c r="A1392" s="193">
        <v>538</v>
      </c>
      <c r="B1392" s="46" t="s">
        <v>1432</v>
      </c>
      <c r="C1392" s="315"/>
      <c r="D1392" s="316"/>
      <c r="E1392" s="315"/>
      <c r="F1392" s="315"/>
      <c r="G1392" s="315"/>
      <c r="H1392" s="194" t="s">
        <v>2025</v>
      </c>
      <c r="I1392" s="12"/>
      <c r="J1392" s="46" t="s">
        <v>910</v>
      </c>
      <c r="K1392" s="12"/>
      <c r="L1392" s="197">
        <v>31.9</v>
      </c>
      <c r="M1392" s="197">
        <v>8</v>
      </c>
      <c r="N1392" s="290">
        <v>250</v>
      </c>
      <c r="O1392" s="46"/>
      <c r="P1392" s="46" t="s">
        <v>39</v>
      </c>
      <c r="Q1392" s="12"/>
      <c r="R1392" s="192" t="str">
        <f>CONCATENATE(N1392,P1392)</f>
        <v>250grams</v>
      </c>
      <c r="S1392" s="198">
        <f>M1392*N1392</f>
        <v>2000</v>
      </c>
      <c r="T1392" s="199" t="str">
        <f>CONCATENATE(S1392,Q1392,P1392)</f>
        <v>2000grams</v>
      </c>
      <c r="U1392" s="200">
        <f>L1392*M1392</f>
        <v>255.2</v>
      </c>
      <c r="V1392" s="12"/>
      <c r="W1392" s="12"/>
    </row>
    <row r="1393" spans="1:23" x14ac:dyDescent="0.3">
      <c r="A1393" s="193">
        <v>538</v>
      </c>
      <c r="B1393" s="46" t="s">
        <v>1432</v>
      </c>
      <c r="C1393" s="315"/>
      <c r="D1393" s="316"/>
      <c r="E1393" s="315"/>
      <c r="F1393" s="315"/>
      <c r="G1393" s="315"/>
      <c r="H1393" s="194" t="s">
        <v>1368</v>
      </c>
      <c r="I1393" s="12"/>
      <c r="J1393" s="46" t="s">
        <v>910</v>
      </c>
      <c r="K1393" s="12"/>
      <c r="L1393" s="197">
        <v>35.75</v>
      </c>
      <c r="M1393" s="197">
        <v>10</v>
      </c>
      <c r="N1393" s="290">
        <v>250</v>
      </c>
      <c r="O1393" s="46"/>
      <c r="P1393" s="46" t="s">
        <v>39</v>
      </c>
      <c r="Q1393" s="12"/>
      <c r="R1393" s="192" t="str">
        <f>CONCATENATE(N1393,P1393)</f>
        <v>250grams</v>
      </c>
      <c r="S1393" s="198">
        <f>M1393*N1393</f>
        <v>2500</v>
      </c>
      <c r="T1393" s="199" t="str">
        <f>CONCATENATE(S1393,Q1393,P1393)</f>
        <v>2500grams</v>
      </c>
      <c r="U1393" s="200">
        <f>L1393*M1393</f>
        <v>357.5</v>
      </c>
      <c r="V1393" s="12"/>
      <c r="W1393" s="12"/>
    </row>
    <row r="1394" spans="1:23" x14ac:dyDescent="0.3">
      <c r="A1394" s="193">
        <v>539</v>
      </c>
      <c r="B1394" s="46" t="s">
        <v>1433</v>
      </c>
      <c r="C1394" s="315"/>
      <c r="D1394" s="316"/>
      <c r="E1394" s="315"/>
      <c r="F1394" s="315"/>
      <c r="G1394" s="315"/>
      <c r="H1394" s="194" t="s">
        <v>2022</v>
      </c>
      <c r="I1394" s="12"/>
      <c r="J1394" s="219" t="s">
        <v>854</v>
      </c>
      <c r="K1394" s="12"/>
      <c r="L1394" s="197">
        <v>89</v>
      </c>
      <c r="M1394" s="197">
        <v>1</v>
      </c>
      <c r="N1394" s="290">
        <v>60</v>
      </c>
      <c r="O1394" s="46"/>
      <c r="P1394" s="46" t="s">
        <v>39</v>
      </c>
      <c r="Q1394" s="12"/>
      <c r="R1394" s="192" t="str">
        <f>CONCATENATE(N1394,P1394)</f>
        <v>60grams</v>
      </c>
      <c r="S1394" s="198">
        <f>M1394*N1394</f>
        <v>60</v>
      </c>
      <c r="T1394" s="199" t="str">
        <f>CONCATENATE(S1394,Q1394,P1394)</f>
        <v>60grams</v>
      </c>
      <c r="U1394" s="200">
        <f>L1394*M1394</f>
        <v>89</v>
      </c>
      <c r="V1394" s="12"/>
      <c r="W1394" s="12"/>
    </row>
    <row r="1395" spans="1:23" x14ac:dyDescent="0.3">
      <c r="A1395" s="193">
        <v>540</v>
      </c>
      <c r="B1395" s="46" t="s">
        <v>1434</v>
      </c>
      <c r="C1395" s="315"/>
      <c r="D1395" s="316"/>
      <c r="E1395" s="315"/>
      <c r="F1395" s="315"/>
      <c r="G1395" s="315"/>
      <c r="H1395" s="194" t="s">
        <v>2026</v>
      </c>
      <c r="I1395" s="12"/>
      <c r="J1395" s="170"/>
      <c r="K1395" s="12"/>
      <c r="L1395" s="197">
        <v>80</v>
      </c>
      <c r="M1395" s="197">
        <v>5</v>
      </c>
      <c r="N1395" s="290">
        <v>1000</v>
      </c>
      <c r="O1395" s="46"/>
      <c r="P1395" s="46" t="s">
        <v>39</v>
      </c>
      <c r="Q1395" s="12"/>
      <c r="R1395" s="192" t="str">
        <f>CONCATENATE(N1395,P1395)</f>
        <v>1000grams</v>
      </c>
      <c r="S1395" s="198">
        <f>M1395*N1395</f>
        <v>5000</v>
      </c>
      <c r="T1395" s="199" t="str">
        <f>CONCATENATE(S1395,Q1395,P1395)</f>
        <v>5000grams</v>
      </c>
      <c r="U1395" s="200">
        <f>L1395*M1395</f>
        <v>400</v>
      </c>
      <c r="V1395" s="12"/>
      <c r="W1395" s="12"/>
    </row>
    <row r="1396" spans="1:23" x14ac:dyDescent="0.3">
      <c r="A1396" s="479">
        <v>541</v>
      </c>
      <c r="B1396" s="194" t="s">
        <v>347</v>
      </c>
      <c r="C1396" s="487"/>
      <c r="D1396" s="485" t="str">
        <f ca="1">IFERROR(__xludf.DUMMYFUNCTION("IF(J395="""",""n/a"",IFERROR(SPLIT(J395,""/"")))"),"Bestbuy")</f>
        <v>Bestbuy</v>
      </c>
      <c r="E1396" s="485" t="str">
        <f ca="1">IFERROR(__xludf.DUMMYFUNCTION("""COMPUTED_VALUE"""),"pack by 10s'")</f>
        <v>pack by 10s'</v>
      </c>
      <c r="F1396" s="487"/>
      <c r="G1396" s="487"/>
      <c r="H1396" s="183" t="s">
        <v>1895</v>
      </c>
      <c r="I1396" s="487"/>
      <c r="J1396" s="46" t="s">
        <v>348</v>
      </c>
      <c r="K1396" s="487"/>
      <c r="L1396" s="195">
        <v>77</v>
      </c>
      <c r="M1396" s="197">
        <v>18</v>
      </c>
      <c r="N1396" s="61">
        <v>1</v>
      </c>
      <c r="O1396" s="61" t="str">
        <f ca="1">E1396</f>
        <v>pack by 10s'</v>
      </c>
      <c r="P1396" s="61" t="s">
        <v>92</v>
      </c>
      <c r="Q1396" s="487"/>
      <c r="R1396" s="192" t="str">
        <f>CONCATENATE(N1396,P1396)</f>
        <v>1pieces</v>
      </c>
      <c r="S1396" s="198">
        <f>M1396*N1396</f>
        <v>18</v>
      </c>
      <c r="T1396" s="199" t="str">
        <f>CONCATENATE(S1396,Q1396,P1396)</f>
        <v>18pieces</v>
      </c>
      <c r="U1396" s="200">
        <f>L1396*M1396</f>
        <v>1386</v>
      </c>
      <c r="V1396" s="12"/>
      <c r="W1396" s="12"/>
    </row>
    <row r="1397" spans="1:23" x14ac:dyDescent="0.3">
      <c r="A1397" s="479">
        <v>542</v>
      </c>
      <c r="B1397" s="194" t="s">
        <v>349</v>
      </c>
      <c r="C1397" s="487"/>
      <c r="D1397" s="485" t="str">
        <f ca="1">IFERROR(__xludf.DUMMYFUNCTION("IF(J396="""",""n/a"",IFERROR(SPLIT(J396,""/"")))"),"Gold Label")</f>
        <v>Gold Label</v>
      </c>
      <c r="E1397" s="485" t="str">
        <f ca="1">IFERROR(__xludf.DUMMYFUNCTION("""COMPUTED_VALUE"""),"pack by 10s'")</f>
        <v>pack by 10s'</v>
      </c>
      <c r="F1397" s="487"/>
      <c r="G1397" s="487"/>
      <c r="H1397" s="183" t="s">
        <v>1897</v>
      </c>
      <c r="I1397" s="487"/>
      <c r="J1397" s="46" t="s">
        <v>350</v>
      </c>
      <c r="K1397" s="487"/>
      <c r="L1397" s="202">
        <v>6.8</v>
      </c>
      <c r="M1397" s="202">
        <v>8</v>
      </c>
      <c r="N1397" s="203">
        <v>1</v>
      </c>
      <c r="O1397" s="61" t="str">
        <f ca="1">E1397</f>
        <v>pack by 10s'</v>
      </c>
      <c r="P1397" s="61" t="s">
        <v>92</v>
      </c>
      <c r="Q1397" s="487"/>
      <c r="R1397" s="192" t="str">
        <f>CONCATENATE(N1397,P1397)</f>
        <v>1pieces</v>
      </c>
      <c r="S1397" s="198">
        <f>M1397*N1397</f>
        <v>8</v>
      </c>
      <c r="T1397" s="199" t="str">
        <f>CONCATENATE(S1397,Q1397,P1397)</f>
        <v>8pieces</v>
      </c>
      <c r="U1397" s="200">
        <f>L1397*M1397</f>
        <v>54.4</v>
      </c>
      <c r="V1397" s="12"/>
      <c r="W1397" s="12"/>
    </row>
    <row r="1398" spans="1:23" x14ac:dyDescent="0.3">
      <c r="A1398" s="479">
        <v>542</v>
      </c>
      <c r="B1398" s="194" t="s">
        <v>349</v>
      </c>
      <c r="C1398" s="487"/>
      <c r="D1398" s="485" t="str">
        <f ca="1">IFERROR(__xludf.DUMMYFUNCTION("IF(J397="""",""n/a"",IFERROR(SPLIT(J397,""/"")))"),"Gold Label")</f>
        <v>Gold Label</v>
      </c>
      <c r="E1398" s="485" t="str">
        <f ca="1">IFERROR(__xludf.DUMMYFUNCTION("""COMPUTED_VALUE"""),"pack by 10s'")</f>
        <v>pack by 10s'</v>
      </c>
      <c r="F1398" s="487"/>
      <c r="G1398" s="487"/>
      <c r="H1398" s="183" t="s">
        <v>1895</v>
      </c>
      <c r="I1398" s="487"/>
      <c r="J1398" s="46" t="s">
        <v>350</v>
      </c>
      <c r="K1398" s="487"/>
      <c r="L1398" s="195">
        <v>51.9</v>
      </c>
      <c r="M1398" s="197">
        <v>5.19</v>
      </c>
      <c r="N1398" s="61">
        <v>1</v>
      </c>
      <c r="O1398" s="61" t="str">
        <f ca="1">E1398</f>
        <v>pack by 10s'</v>
      </c>
      <c r="P1398" s="61" t="s">
        <v>92</v>
      </c>
      <c r="Q1398" s="487"/>
      <c r="R1398" s="192" t="str">
        <f>CONCATENATE(N1398,P1398)</f>
        <v>1pieces</v>
      </c>
      <c r="S1398" s="198">
        <f>M1398*N1398</f>
        <v>5.19</v>
      </c>
      <c r="T1398" s="199" t="str">
        <f>CONCATENATE(S1398,Q1398,P1398)</f>
        <v>5.19pieces</v>
      </c>
      <c r="U1398" s="200">
        <f>L1398*M1398</f>
        <v>269.36099999999999</v>
      </c>
      <c r="V1398" s="12"/>
      <c r="W1398" s="12"/>
    </row>
    <row r="1399" spans="1:23" x14ac:dyDescent="0.3">
      <c r="A1399" s="193">
        <v>543</v>
      </c>
      <c r="B1399" s="46" t="s">
        <v>1435</v>
      </c>
      <c r="C1399" s="315"/>
      <c r="D1399" s="316"/>
      <c r="E1399" s="315"/>
      <c r="F1399" s="315"/>
      <c r="G1399" s="315"/>
      <c r="H1399" s="194" t="s">
        <v>2023</v>
      </c>
      <c r="I1399" s="12"/>
      <c r="J1399" s="219" t="s">
        <v>1436</v>
      </c>
      <c r="K1399" s="12"/>
      <c r="L1399" s="216">
        <v>2.99</v>
      </c>
      <c r="M1399" s="216">
        <v>10</v>
      </c>
      <c r="N1399" s="293">
        <v>1</v>
      </c>
      <c r="O1399" s="219"/>
      <c r="P1399" s="219" t="s">
        <v>92</v>
      </c>
      <c r="Q1399" s="12"/>
      <c r="R1399" s="192" t="str">
        <f>CONCATENATE(N1399,P1399)</f>
        <v>1pieces</v>
      </c>
      <c r="S1399" s="198">
        <f>M1399*N1399</f>
        <v>10</v>
      </c>
      <c r="T1399" s="199" t="str">
        <f>CONCATENATE(S1399,Q1399,P1399)</f>
        <v>10pieces</v>
      </c>
      <c r="U1399" s="200">
        <f>L1399*M1399</f>
        <v>29.900000000000002</v>
      </c>
      <c r="V1399" s="12"/>
      <c r="W1399" s="12"/>
    </row>
    <row r="1400" spans="1:23" x14ac:dyDescent="0.3">
      <c r="A1400" s="193">
        <v>543</v>
      </c>
      <c r="B1400" s="46" t="s">
        <v>1435</v>
      </c>
      <c r="C1400" s="315"/>
      <c r="D1400" s="316"/>
      <c r="E1400" s="315"/>
      <c r="F1400" s="315"/>
      <c r="G1400" s="315"/>
      <c r="H1400" s="194" t="s">
        <v>2023</v>
      </c>
      <c r="I1400" s="12"/>
      <c r="J1400" s="219" t="s">
        <v>1436</v>
      </c>
      <c r="K1400" s="12"/>
      <c r="L1400" s="216">
        <v>12</v>
      </c>
      <c r="M1400" s="216">
        <v>120</v>
      </c>
      <c r="N1400" s="293">
        <v>1</v>
      </c>
      <c r="O1400" s="219"/>
      <c r="P1400" s="219" t="s">
        <v>92</v>
      </c>
      <c r="Q1400" s="12"/>
      <c r="R1400" s="192" t="str">
        <f>CONCATENATE(N1400,P1400)</f>
        <v>1pieces</v>
      </c>
      <c r="S1400" s="198">
        <f>M1400*N1400</f>
        <v>120</v>
      </c>
      <c r="T1400" s="199" t="str">
        <f>CONCATENATE(S1400,Q1400,P1400)</f>
        <v>120pieces</v>
      </c>
      <c r="U1400" s="200">
        <f>L1400*M1400</f>
        <v>1440</v>
      </c>
      <c r="V1400" s="12"/>
      <c r="W1400" s="12"/>
    </row>
    <row r="1401" spans="1:23" x14ac:dyDescent="0.3">
      <c r="A1401" s="193">
        <v>543</v>
      </c>
      <c r="B1401" s="46" t="s">
        <v>1435</v>
      </c>
      <c r="C1401" s="315"/>
      <c r="D1401" s="316"/>
      <c r="E1401" s="315"/>
      <c r="F1401" s="315"/>
      <c r="G1401" s="315"/>
      <c r="H1401" s="194" t="s">
        <v>2021</v>
      </c>
      <c r="I1401" s="12"/>
      <c r="J1401" s="219" t="s">
        <v>1437</v>
      </c>
      <c r="K1401" s="12"/>
      <c r="L1401" s="216">
        <v>6.16</v>
      </c>
      <c r="M1401" s="216">
        <v>20</v>
      </c>
      <c r="N1401" s="293">
        <v>1</v>
      </c>
      <c r="O1401" s="219"/>
      <c r="P1401" s="219" t="s">
        <v>92</v>
      </c>
      <c r="Q1401" s="12"/>
      <c r="R1401" s="192" t="str">
        <f>CONCATENATE(N1401,P1401)</f>
        <v>1pieces</v>
      </c>
      <c r="S1401" s="198">
        <f>M1401*N1401</f>
        <v>20</v>
      </c>
      <c r="T1401" s="199" t="str">
        <f>CONCATENATE(S1401,Q1401,P1401)</f>
        <v>20pieces</v>
      </c>
      <c r="U1401" s="200">
        <f>L1401*M1401</f>
        <v>123.2</v>
      </c>
      <c r="V1401" s="12"/>
      <c r="W1401" s="12"/>
    </row>
    <row r="1402" spans="1:23" x14ac:dyDescent="0.3">
      <c r="A1402" s="193">
        <v>543</v>
      </c>
      <c r="B1402" s="46" t="s">
        <v>1435</v>
      </c>
      <c r="C1402" s="315"/>
      <c r="D1402" s="316"/>
      <c r="E1402" s="315"/>
      <c r="F1402" s="315"/>
      <c r="G1402" s="315"/>
      <c r="H1402" s="194" t="s">
        <v>29</v>
      </c>
      <c r="I1402" s="12"/>
      <c r="J1402" s="46" t="s">
        <v>1438</v>
      </c>
      <c r="K1402" s="12"/>
      <c r="L1402" s="197">
        <v>36.5</v>
      </c>
      <c r="M1402" s="197">
        <v>4</v>
      </c>
      <c r="N1402" s="290">
        <v>1</v>
      </c>
      <c r="O1402" s="46"/>
      <c r="P1402" s="46" t="s">
        <v>304</v>
      </c>
      <c r="Q1402" s="12"/>
      <c r="R1402" s="192" t="str">
        <f>CONCATENATE(N1402,P1402)</f>
        <v>1packs</v>
      </c>
      <c r="S1402" s="198">
        <f>M1402*N1402</f>
        <v>4</v>
      </c>
      <c r="T1402" s="199" t="str">
        <f>CONCATENATE(S1402,Q1402,P1402)</f>
        <v>4packs</v>
      </c>
      <c r="U1402" s="200">
        <f>L1402*M1402</f>
        <v>146</v>
      </c>
      <c r="V1402" s="12"/>
      <c r="W1402" s="12"/>
    </row>
    <row r="1403" spans="1:23" x14ac:dyDescent="0.3">
      <c r="A1403" s="193">
        <v>543</v>
      </c>
      <c r="B1403" s="46" t="s">
        <v>1435</v>
      </c>
      <c r="C1403" s="315"/>
      <c r="D1403" s="316"/>
      <c r="E1403" s="315"/>
      <c r="F1403" s="315"/>
      <c r="G1403" s="315"/>
      <c r="H1403" s="194" t="s">
        <v>2023</v>
      </c>
      <c r="I1403" s="12"/>
      <c r="J1403" s="46" t="s">
        <v>1439</v>
      </c>
      <c r="K1403" s="12"/>
      <c r="L1403" s="197">
        <v>3.65</v>
      </c>
      <c r="M1403" s="197">
        <v>15</v>
      </c>
      <c r="N1403" s="290">
        <v>10</v>
      </c>
      <c r="O1403" s="46"/>
      <c r="P1403" s="46" t="s">
        <v>92</v>
      </c>
      <c r="Q1403" s="12"/>
      <c r="R1403" s="192" t="str">
        <f>CONCATENATE(N1403,P1403)</f>
        <v>10pieces</v>
      </c>
      <c r="S1403" s="198">
        <f>M1403*N1403</f>
        <v>150</v>
      </c>
      <c r="T1403" s="199" t="str">
        <f>CONCATENATE(S1403,Q1403,P1403)</f>
        <v>150pieces</v>
      </c>
      <c r="U1403" s="200">
        <f>L1403*M1403</f>
        <v>54.75</v>
      </c>
      <c r="V1403" s="12"/>
      <c r="W1403" s="12"/>
    </row>
    <row r="1404" spans="1:23" x14ac:dyDescent="0.3">
      <c r="A1404" s="193">
        <v>543</v>
      </c>
      <c r="B1404" s="46" t="s">
        <v>1435</v>
      </c>
      <c r="C1404" s="315"/>
      <c r="D1404" s="316"/>
      <c r="E1404" s="315"/>
      <c r="F1404" s="315"/>
      <c r="G1404" s="315"/>
      <c r="H1404" s="194" t="s">
        <v>2021</v>
      </c>
      <c r="I1404" s="12"/>
      <c r="J1404" s="219" t="s">
        <v>1440</v>
      </c>
      <c r="K1404" s="12"/>
      <c r="L1404" s="216">
        <v>3.46</v>
      </c>
      <c r="M1404" s="216">
        <v>100</v>
      </c>
      <c r="N1404" s="293">
        <v>1</v>
      </c>
      <c r="O1404" s="219"/>
      <c r="P1404" s="219" t="s">
        <v>92</v>
      </c>
      <c r="Q1404" s="12"/>
      <c r="R1404" s="192" t="str">
        <f>CONCATENATE(N1404,P1404)</f>
        <v>1pieces</v>
      </c>
      <c r="S1404" s="198">
        <f>M1404*N1404</f>
        <v>100</v>
      </c>
      <c r="T1404" s="199" t="str">
        <f>CONCATENATE(S1404,Q1404,P1404)</f>
        <v>100pieces</v>
      </c>
      <c r="U1404" s="200">
        <f>L1404*M1404</f>
        <v>346</v>
      </c>
      <c r="V1404" s="12"/>
      <c r="W1404" s="12"/>
    </row>
    <row r="1405" spans="1:23" x14ac:dyDescent="0.3">
      <c r="A1405" s="193">
        <v>543</v>
      </c>
      <c r="B1405" s="46" t="s">
        <v>1435</v>
      </c>
      <c r="C1405" s="315"/>
      <c r="D1405" s="316"/>
      <c r="E1405" s="315"/>
      <c r="F1405" s="315"/>
      <c r="G1405" s="315"/>
      <c r="H1405" s="194" t="s">
        <v>2023</v>
      </c>
      <c r="I1405" s="12"/>
      <c r="J1405" s="46" t="s">
        <v>1441</v>
      </c>
      <c r="K1405" s="12"/>
      <c r="L1405" s="197">
        <v>2.6</v>
      </c>
      <c r="M1405" s="197">
        <v>13</v>
      </c>
      <c r="N1405" s="290">
        <v>10</v>
      </c>
      <c r="O1405" s="46"/>
      <c r="P1405" s="46" t="s">
        <v>92</v>
      </c>
      <c r="Q1405" s="12"/>
      <c r="R1405" s="192" t="str">
        <f>CONCATENATE(N1405,P1405)</f>
        <v>10pieces</v>
      </c>
      <c r="S1405" s="198">
        <f>M1405*N1405</f>
        <v>130</v>
      </c>
      <c r="T1405" s="199" t="str">
        <f>CONCATENATE(S1405,Q1405,P1405)</f>
        <v>130pieces</v>
      </c>
      <c r="U1405" s="200">
        <f>L1405*M1405</f>
        <v>33.800000000000004</v>
      </c>
      <c r="V1405" s="12"/>
      <c r="W1405" s="12"/>
    </row>
    <row r="1406" spans="1:23" x14ac:dyDescent="0.3">
      <c r="A1406" s="193">
        <v>543</v>
      </c>
      <c r="B1406" s="46" t="s">
        <v>1435</v>
      </c>
      <c r="C1406" s="315"/>
      <c r="D1406" s="316"/>
      <c r="E1406" s="315"/>
      <c r="F1406" s="315"/>
      <c r="G1406" s="315"/>
      <c r="H1406" s="194" t="s">
        <v>2021</v>
      </c>
      <c r="I1406" s="12"/>
      <c r="J1406" s="219" t="s">
        <v>1442</v>
      </c>
      <c r="K1406" s="12"/>
      <c r="L1406" s="216">
        <v>9.1999999999999993</v>
      </c>
      <c r="M1406" s="216">
        <v>77</v>
      </c>
      <c r="N1406" s="293">
        <v>1</v>
      </c>
      <c r="O1406" s="219"/>
      <c r="P1406" s="219" t="s">
        <v>92</v>
      </c>
      <c r="Q1406" s="12"/>
      <c r="R1406" s="192" t="str">
        <f>CONCATENATE(N1406,P1406)</f>
        <v>1pieces</v>
      </c>
      <c r="S1406" s="198">
        <f>M1406*N1406</f>
        <v>77</v>
      </c>
      <c r="T1406" s="199" t="str">
        <f>CONCATENATE(S1406,Q1406,P1406)</f>
        <v>77pieces</v>
      </c>
      <c r="U1406" s="200">
        <f>L1406*M1406</f>
        <v>708.4</v>
      </c>
      <c r="V1406" s="12"/>
      <c r="W1406" s="12"/>
    </row>
    <row r="1407" spans="1:23" x14ac:dyDescent="0.3">
      <c r="A1407" s="193">
        <v>543</v>
      </c>
      <c r="B1407" s="46" t="s">
        <v>1435</v>
      </c>
      <c r="C1407" s="315"/>
      <c r="D1407" s="316"/>
      <c r="E1407" s="315"/>
      <c r="F1407" s="315"/>
      <c r="G1407" s="315"/>
      <c r="H1407" s="194" t="s">
        <v>2021</v>
      </c>
      <c r="I1407" s="12"/>
      <c r="J1407" s="219" t="s">
        <v>1443</v>
      </c>
      <c r="K1407" s="12"/>
      <c r="L1407" s="216">
        <v>10</v>
      </c>
      <c r="M1407" s="216">
        <v>48</v>
      </c>
      <c r="N1407" s="293">
        <v>1</v>
      </c>
      <c r="O1407" s="219"/>
      <c r="P1407" s="219" t="s">
        <v>92</v>
      </c>
      <c r="Q1407" s="12"/>
      <c r="R1407" s="192" t="str">
        <f>CONCATENATE(N1407,P1407)</f>
        <v>1pieces</v>
      </c>
      <c r="S1407" s="198">
        <f>M1407*N1407</f>
        <v>48</v>
      </c>
      <c r="T1407" s="199" t="str">
        <f>CONCATENATE(S1407,Q1407,P1407)</f>
        <v>48pieces</v>
      </c>
      <c r="U1407" s="200">
        <f>L1407*M1407</f>
        <v>480</v>
      </c>
      <c r="V1407" s="12"/>
      <c r="W1407" s="12"/>
    </row>
    <row r="1408" spans="1:23" x14ac:dyDescent="0.3">
      <c r="A1408" s="193">
        <v>543</v>
      </c>
      <c r="B1408" s="46" t="s">
        <v>1435</v>
      </c>
      <c r="C1408" s="315"/>
      <c r="D1408" s="316"/>
      <c r="E1408" s="315"/>
      <c r="F1408" s="315"/>
      <c r="G1408" s="315"/>
      <c r="H1408" s="194" t="s">
        <v>2021</v>
      </c>
      <c r="I1408" s="12"/>
      <c r="J1408" s="219" t="s">
        <v>1444</v>
      </c>
      <c r="K1408" s="12"/>
      <c r="L1408" s="216">
        <v>10.199999999999999</v>
      </c>
      <c r="M1408" s="216">
        <v>130</v>
      </c>
      <c r="N1408" s="293">
        <v>1</v>
      </c>
      <c r="O1408" s="219"/>
      <c r="P1408" s="219" t="s">
        <v>92</v>
      </c>
      <c r="Q1408" s="12"/>
      <c r="R1408" s="192" t="str">
        <f>CONCATENATE(N1408,P1408)</f>
        <v>1pieces</v>
      </c>
      <c r="S1408" s="198">
        <f>M1408*N1408</f>
        <v>130</v>
      </c>
      <c r="T1408" s="199" t="str">
        <f>CONCATENATE(S1408,Q1408,P1408)</f>
        <v>130pieces</v>
      </c>
      <c r="U1408" s="200">
        <f>L1408*M1408</f>
        <v>1326</v>
      </c>
      <c r="V1408" s="12"/>
      <c r="W1408" s="12"/>
    </row>
    <row r="1409" spans="1:23" x14ac:dyDescent="0.3">
      <c r="A1409" s="193">
        <v>543</v>
      </c>
      <c r="B1409" s="46" t="s">
        <v>1435</v>
      </c>
      <c r="C1409" s="315"/>
      <c r="D1409" s="316"/>
      <c r="E1409" s="315"/>
      <c r="F1409" s="315"/>
      <c r="G1409" s="315"/>
      <c r="H1409" s="194" t="s">
        <v>2025</v>
      </c>
      <c r="I1409" s="12"/>
      <c r="J1409" s="46" t="s">
        <v>1445</v>
      </c>
      <c r="K1409" s="12"/>
      <c r="L1409" s="197">
        <v>7</v>
      </c>
      <c r="M1409" s="197">
        <v>10</v>
      </c>
      <c r="N1409" s="290">
        <v>1</v>
      </c>
      <c r="O1409" s="46"/>
      <c r="P1409" s="46" t="s">
        <v>92</v>
      </c>
      <c r="Q1409" s="12"/>
      <c r="R1409" s="192" t="str">
        <f>CONCATENATE(N1409,P1409)</f>
        <v>1pieces</v>
      </c>
      <c r="S1409" s="198">
        <f>M1409*N1409</f>
        <v>10</v>
      </c>
      <c r="T1409" s="199" t="str">
        <f>CONCATENATE(S1409,Q1409,P1409)</f>
        <v>10pieces</v>
      </c>
      <c r="U1409" s="200">
        <f>L1409*M1409</f>
        <v>70</v>
      </c>
      <c r="V1409" s="12"/>
      <c r="W1409" s="12"/>
    </row>
    <row r="1410" spans="1:23" x14ac:dyDescent="0.3">
      <c r="A1410" s="193">
        <v>544</v>
      </c>
      <c r="B1410" s="46" t="s">
        <v>1446</v>
      </c>
      <c r="C1410" s="315"/>
      <c r="D1410" s="316"/>
      <c r="E1410" s="315"/>
      <c r="F1410" s="315"/>
      <c r="G1410" s="315"/>
      <c r="H1410" s="194" t="s">
        <v>2025</v>
      </c>
      <c r="I1410" s="12"/>
      <c r="J1410" s="46" t="s">
        <v>1447</v>
      </c>
      <c r="K1410" s="12"/>
      <c r="L1410" s="197">
        <v>10</v>
      </c>
      <c r="M1410" s="197">
        <v>5</v>
      </c>
      <c r="N1410" s="290">
        <v>1</v>
      </c>
      <c r="O1410" s="46"/>
      <c r="P1410" s="46" t="s">
        <v>92</v>
      </c>
      <c r="Q1410" s="12"/>
      <c r="R1410" s="192" t="str">
        <f>CONCATENATE(N1410,P1410)</f>
        <v>1pieces</v>
      </c>
      <c r="S1410" s="198">
        <f>M1410*N1410</f>
        <v>5</v>
      </c>
      <c r="T1410" s="199" t="str">
        <f>CONCATENATE(S1410,Q1410,P1410)</f>
        <v>5pieces</v>
      </c>
      <c r="U1410" s="200">
        <f>L1410*M1410</f>
        <v>50</v>
      </c>
      <c r="V1410" s="12"/>
      <c r="W1410" s="12"/>
    </row>
    <row r="1411" spans="1:23" x14ac:dyDescent="0.3">
      <c r="A1411" s="193">
        <v>544</v>
      </c>
      <c r="B1411" s="46" t="s">
        <v>1446</v>
      </c>
      <c r="C1411" s="315"/>
      <c r="D1411" s="316"/>
      <c r="E1411" s="315"/>
      <c r="F1411" s="315"/>
      <c r="G1411" s="315"/>
      <c r="H1411" s="194" t="s">
        <v>2022</v>
      </c>
      <c r="I1411" s="12"/>
      <c r="J1411" s="46" t="s">
        <v>1448</v>
      </c>
      <c r="K1411" s="12"/>
      <c r="L1411" s="197">
        <v>3.65</v>
      </c>
      <c r="M1411" s="197">
        <v>50</v>
      </c>
      <c r="N1411" s="290">
        <v>1</v>
      </c>
      <c r="O1411" s="46"/>
      <c r="P1411" s="46" t="s">
        <v>92</v>
      </c>
      <c r="Q1411" s="12"/>
      <c r="R1411" s="192" t="str">
        <f>CONCATENATE(N1411,P1411)</f>
        <v>1pieces</v>
      </c>
      <c r="S1411" s="198">
        <f>M1411*N1411</f>
        <v>50</v>
      </c>
      <c r="T1411" s="199" t="str">
        <f>CONCATENATE(S1411,Q1411,P1411)</f>
        <v>50pieces</v>
      </c>
      <c r="U1411" s="200">
        <f>L1411*M1411</f>
        <v>182.5</v>
      </c>
      <c r="V1411" s="12"/>
      <c r="W1411" s="12"/>
    </row>
    <row r="1412" spans="1:23" x14ac:dyDescent="0.3">
      <c r="A1412" s="193">
        <v>544</v>
      </c>
      <c r="B1412" s="46" t="s">
        <v>1446</v>
      </c>
      <c r="C1412" s="315"/>
      <c r="D1412" s="316"/>
      <c r="E1412" s="315"/>
      <c r="F1412" s="315"/>
      <c r="G1412" s="315"/>
      <c r="H1412" s="194" t="s">
        <v>2022</v>
      </c>
      <c r="I1412" s="12"/>
      <c r="J1412" s="46" t="s">
        <v>1449</v>
      </c>
      <c r="K1412" s="12"/>
      <c r="L1412" s="197">
        <v>4.45</v>
      </c>
      <c r="M1412" s="197">
        <v>90</v>
      </c>
      <c r="N1412" s="290">
        <v>1</v>
      </c>
      <c r="O1412" s="46"/>
      <c r="P1412" s="46" t="s">
        <v>92</v>
      </c>
      <c r="Q1412" s="12"/>
      <c r="R1412" s="192" t="str">
        <f>CONCATENATE(N1412,P1412)</f>
        <v>1pieces</v>
      </c>
      <c r="S1412" s="198">
        <f>M1412*N1412</f>
        <v>90</v>
      </c>
      <c r="T1412" s="199" t="str">
        <f>CONCATENATE(S1412,Q1412,P1412)</f>
        <v>90pieces</v>
      </c>
      <c r="U1412" s="200">
        <f>L1412*M1412</f>
        <v>400.5</v>
      </c>
      <c r="V1412" s="12"/>
      <c r="W1412" s="12"/>
    </row>
    <row r="1413" spans="1:23" x14ac:dyDescent="0.3">
      <c r="A1413" s="193">
        <v>544</v>
      </c>
      <c r="B1413" s="46" t="s">
        <v>1446</v>
      </c>
      <c r="C1413" s="315"/>
      <c r="D1413" s="316"/>
      <c r="E1413" s="315"/>
      <c r="F1413" s="315"/>
      <c r="G1413" s="315"/>
      <c r="H1413" s="194" t="s">
        <v>2022</v>
      </c>
      <c r="I1413" s="12"/>
      <c r="J1413" s="46" t="s">
        <v>1449</v>
      </c>
      <c r="K1413" s="12"/>
      <c r="L1413" s="197">
        <v>4.95</v>
      </c>
      <c r="M1413" s="197">
        <v>180</v>
      </c>
      <c r="N1413" s="290">
        <v>1</v>
      </c>
      <c r="O1413" s="46"/>
      <c r="P1413" s="46" t="s">
        <v>92</v>
      </c>
      <c r="Q1413" s="12"/>
      <c r="R1413" s="192" t="str">
        <f>CONCATENATE(N1413,P1413)</f>
        <v>1pieces</v>
      </c>
      <c r="S1413" s="198">
        <f>M1413*N1413</f>
        <v>180</v>
      </c>
      <c r="T1413" s="199" t="str">
        <f>CONCATENATE(S1413,Q1413,P1413)</f>
        <v>180pieces</v>
      </c>
      <c r="U1413" s="200">
        <f>L1413*M1413</f>
        <v>891</v>
      </c>
      <c r="V1413" s="12"/>
      <c r="W1413" s="12"/>
    </row>
    <row r="1414" spans="1:23" x14ac:dyDescent="0.3">
      <c r="A1414" s="193">
        <v>544</v>
      </c>
      <c r="B1414" s="46" t="s">
        <v>1446</v>
      </c>
      <c r="C1414" s="315"/>
      <c r="D1414" s="316"/>
      <c r="E1414" s="315"/>
      <c r="F1414" s="315"/>
      <c r="G1414" s="315"/>
      <c r="H1414" s="194" t="s">
        <v>2022</v>
      </c>
      <c r="I1414" s="12"/>
      <c r="J1414" s="46" t="s">
        <v>1450</v>
      </c>
      <c r="K1414" s="12"/>
      <c r="L1414" s="197">
        <v>2.5</v>
      </c>
      <c r="M1414" s="197">
        <v>561</v>
      </c>
      <c r="N1414" s="290">
        <v>1</v>
      </c>
      <c r="O1414" s="46"/>
      <c r="P1414" s="46" t="s">
        <v>92</v>
      </c>
      <c r="Q1414" s="12"/>
      <c r="R1414" s="192" t="str">
        <f>CONCATENATE(N1414,P1414)</f>
        <v>1pieces</v>
      </c>
      <c r="S1414" s="198">
        <f>M1414*N1414</f>
        <v>561</v>
      </c>
      <c r="T1414" s="199" t="str">
        <f>CONCATENATE(S1414,Q1414,P1414)</f>
        <v>561pieces</v>
      </c>
      <c r="U1414" s="200">
        <f>L1414*M1414</f>
        <v>1402.5</v>
      </c>
      <c r="V1414" s="12"/>
      <c r="W1414" s="12"/>
    </row>
    <row r="1415" spans="1:23" x14ac:dyDescent="0.3">
      <c r="A1415" s="193">
        <v>544</v>
      </c>
      <c r="B1415" s="46" t="s">
        <v>1446</v>
      </c>
      <c r="C1415" s="315"/>
      <c r="D1415" s="316"/>
      <c r="E1415" s="315"/>
      <c r="F1415" s="315"/>
      <c r="G1415" s="315"/>
      <c r="H1415" s="194" t="s">
        <v>2022</v>
      </c>
      <c r="I1415" s="12"/>
      <c r="J1415" s="46" t="s">
        <v>1451</v>
      </c>
      <c r="K1415" s="12"/>
      <c r="L1415" s="197">
        <v>2.96</v>
      </c>
      <c r="M1415" s="197">
        <v>567</v>
      </c>
      <c r="N1415" s="290">
        <v>1</v>
      </c>
      <c r="O1415" s="46"/>
      <c r="P1415" s="46" t="s">
        <v>92</v>
      </c>
      <c r="Q1415" s="12"/>
      <c r="R1415" s="192" t="str">
        <f>CONCATENATE(N1415,P1415)</f>
        <v>1pieces</v>
      </c>
      <c r="S1415" s="198">
        <f>M1415*N1415</f>
        <v>567</v>
      </c>
      <c r="T1415" s="199" t="str">
        <f>CONCATENATE(S1415,Q1415,P1415)</f>
        <v>567pieces</v>
      </c>
      <c r="U1415" s="200">
        <f>L1415*M1415</f>
        <v>1678.32</v>
      </c>
      <c r="V1415" s="12"/>
      <c r="W1415" s="12"/>
    </row>
    <row r="1416" spans="1:23" x14ac:dyDescent="0.3">
      <c r="A1416" s="193">
        <v>545</v>
      </c>
      <c r="B1416" s="46" t="s">
        <v>1452</v>
      </c>
      <c r="C1416" s="315"/>
      <c r="D1416" s="316"/>
      <c r="E1416" s="315"/>
      <c r="F1416" s="315"/>
      <c r="G1416" s="315"/>
      <c r="H1416" s="194" t="s">
        <v>1368</v>
      </c>
      <c r="I1416" s="12"/>
      <c r="J1416" s="170"/>
      <c r="K1416" s="12"/>
      <c r="L1416" s="197">
        <v>36</v>
      </c>
      <c r="M1416" s="197">
        <v>6</v>
      </c>
      <c r="N1416" s="290">
        <v>1</v>
      </c>
      <c r="O1416" s="46"/>
      <c r="P1416" s="46" t="s">
        <v>213</v>
      </c>
      <c r="Q1416" s="12"/>
      <c r="R1416" s="192" t="str">
        <f>CONCATENATE(N1416,P1416)</f>
        <v>1kilos</v>
      </c>
      <c r="S1416" s="198">
        <f>M1416*N1416</f>
        <v>6</v>
      </c>
      <c r="T1416" s="199" t="str">
        <f>CONCATENATE(S1416,Q1416,P1416)</f>
        <v>6kilos</v>
      </c>
      <c r="U1416" s="200">
        <f>L1416*M1416</f>
        <v>216</v>
      </c>
      <c r="V1416" s="12"/>
      <c r="W1416" s="12"/>
    </row>
    <row r="1417" spans="1:23" x14ac:dyDescent="0.3">
      <c r="A1417" s="193">
        <v>546</v>
      </c>
      <c r="B1417" s="219" t="s">
        <v>1453</v>
      </c>
      <c r="C1417" s="315"/>
      <c r="D1417" s="316"/>
      <c r="E1417" s="315"/>
      <c r="F1417" s="315"/>
      <c r="G1417" s="315"/>
      <c r="H1417" s="194" t="s">
        <v>2021</v>
      </c>
      <c r="I1417" s="12"/>
      <c r="J1417" s="219" t="s">
        <v>1454</v>
      </c>
      <c r="K1417" s="12"/>
      <c r="L1417" s="216">
        <v>38</v>
      </c>
      <c r="M1417" s="216">
        <v>98</v>
      </c>
      <c r="N1417" s="293">
        <v>250</v>
      </c>
      <c r="O1417" s="219"/>
      <c r="P1417" s="219" t="s">
        <v>32</v>
      </c>
      <c r="Q1417" s="12"/>
      <c r="R1417" s="192" t="str">
        <f>CONCATENATE(N1417,P1417)</f>
        <v>250ml</v>
      </c>
      <c r="S1417" s="198">
        <f>M1417*N1417</f>
        <v>24500</v>
      </c>
      <c r="T1417" s="199" t="str">
        <f>CONCATENATE(S1417,Q1417,P1417)</f>
        <v>24500ml</v>
      </c>
      <c r="U1417" s="200">
        <f>L1417*M1417</f>
        <v>3724</v>
      </c>
      <c r="V1417" s="12"/>
      <c r="W1417" s="12"/>
    </row>
    <row r="1418" spans="1:23" x14ac:dyDescent="0.3">
      <c r="A1418" s="193">
        <v>546</v>
      </c>
      <c r="B1418" s="219" t="s">
        <v>1453</v>
      </c>
      <c r="C1418" s="315"/>
      <c r="D1418" s="316"/>
      <c r="E1418" s="315"/>
      <c r="F1418" s="315"/>
      <c r="G1418" s="315"/>
      <c r="H1418" s="194" t="s">
        <v>2022</v>
      </c>
      <c r="I1418" s="12"/>
      <c r="J1418" s="46" t="s">
        <v>1455</v>
      </c>
      <c r="K1418" s="12"/>
      <c r="L1418" s="197">
        <v>99</v>
      </c>
      <c r="M1418" s="197">
        <v>1</v>
      </c>
      <c r="N1418" s="290">
        <v>1</v>
      </c>
      <c r="O1418" s="46"/>
      <c r="P1418" s="46" t="s">
        <v>773</v>
      </c>
      <c r="Q1418" s="12"/>
      <c r="R1418" s="192" t="str">
        <f>CONCATENATE(N1418,P1418)</f>
        <v>1liters</v>
      </c>
      <c r="S1418" s="198">
        <f>M1418*N1418</f>
        <v>1</v>
      </c>
      <c r="T1418" s="199" t="str">
        <f>CONCATENATE(S1418,Q1418,P1418)</f>
        <v>1liters</v>
      </c>
      <c r="U1418" s="200">
        <f>L1418*M1418</f>
        <v>99</v>
      </c>
      <c r="V1418" s="12"/>
      <c r="W1418" s="12"/>
    </row>
    <row r="1419" spans="1:23" x14ac:dyDescent="0.3">
      <c r="A1419" s="193">
        <v>547</v>
      </c>
      <c r="B1419" s="46" t="s">
        <v>1456</v>
      </c>
      <c r="C1419" s="315"/>
      <c r="D1419" s="316"/>
      <c r="E1419" s="315"/>
      <c r="F1419" s="315"/>
      <c r="G1419" s="315"/>
      <c r="H1419" s="194" t="s">
        <v>2020</v>
      </c>
      <c r="I1419" s="12"/>
      <c r="J1419" s="46" t="s">
        <v>125</v>
      </c>
      <c r="K1419" s="12"/>
      <c r="L1419" s="197">
        <v>12.9</v>
      </c>
      <c r="M1419" s="197">
        <v>34</v>
      </c>
      <c r="N1419" s="290">
        <v>33</v>
      </c>
      <c r="O1419" s="46"/>
      <c r="P1419" s="46" t="s">
        <v>39</v>
      </c>
      <c r="Q1419" s="12"/>
      <c r="R1419" s="192" t="str">
        <f>CONCATENATE(N1419,P1419)</f>
        <v>33grams</v>
      </c>
      <c r="S1419" s="198">
        <f>M1419*N1419</f>
        <v>1122</v>
      </c>
      <c r="T1419" s="199" t="str">
        <f>CONCATENATE(S1419,Q1419,P1419)</f>
        <v>1122grams</v>
      </c>
      <c r="U1419" s="200">
        <f>L1419*M1419</f>
        <v>438.6</v>
      </c>
      <c r="V1419" s="12"/>
      <c r="W1419" s="12"/>
    </row>
    <row r="1420" spans="1:23" x14ac:dyDescent="0.3">
      <c r="A1420" s="193">
        <v>547</v>
      </c>
      <c r="B1420" s="219" t="s">
        <v>1456</v>
      </c>
      <c r="C1420" s="315"/>
      <c r="D1420" s="316"/>
      <c r="E1420" s="315"/>
      <c r="F1420" s="315"/>
      <c r="G1420" s="315"/>
      <c r="H1420" s="194" t="s">
        <v>2021</v>
      </c>
      <c r="I1420" s="12"/>
      <c r="J1420" s="219" t="s">
        <v>1457</v>
      </c>
      <c r="K1420" s="12"/>
      <c r="L1420" s="216">
        <v>11.1</v>
      </c>
      <c r="M1420" s="216">
        <v>1</v>
      </c>
      <c r="N1420" s="293">
        <v>1</v>
      </c>
      <c r="O1420" s="219"/>
      <c r="P1420" s="219" t="s">
        <v>39</v>
      </c>
      <c r="Q1420" s="12"/>
      <c r="R1420" s="192" t="str">
        <f>CONCATENATE(N1420,P1420)</f>
        <v>1grams</v>
      </c>
      <c r="S1420" s="198">
        <f>M1420*N1420</f>
        <v>1</v>
      </c>
      <c r="T1420" s="199" t="str">
        <f>CONCATENATE(S1420,Q1420,P1420)</f>
        <v>1grams</v>
      </c>
      <c r="U1420" s="200">
        <f>L1420*M1420</f>
        <v>11.1</v>
      </c>
      <c r="V1420" s="12"/>
      <c r="W1420" s="12"/>
    </row>
    <row r="1421" spans="1:23" x14ac:dyDescent="0.3">
      <c r="A1421" s="193">
        <v>547</v>
      </c>
      <c r="B1421" s="219" t="s">
        <v>1456</v>
      </c>
      <c r="C1421" s="315"/>
      <c r="D1421" s="316"/>
      <c r="E1421" s="315"/>
      <c r="F1421" s="315"/>
      <c r="G1421" s="315"/>
      <c r="H1421" s="194" t="s">
        <v>2020</v>
      </c>
      <c r="I1421" s="12"/>
      <c r="J1421" s="219" t="s">
        <v>1457</v>
      </c>
      <c r="K1421" s="12"/>
      <c r="L1421" s="197">
        <v>11.1</v>
      </c>
      <c r="M1421" s="197">
        <v>33</v>
      </c>
      <c r="N1421" s="290">
        <v>33</v>
      </c>
      <c r="O1421" s="46"/>
      <c r="P1421" s="46" t="s">
        <v>39</v>
      </c>
      <c r="Q1421" s="12"/>
      <c r="R1421" s="192" t="str">
        <f>CONCATENATE(N1421,P1421)</f>
        <v>33grams</v>
      </c>
      <c r="S1421" s="198">
        <f>M1421*N1421</f>
        <v>1089</v>
      </c>
      <c r="T1421" s="199" t="str">
        <f>CONCATENATE(S1421,Q1421,P1421)</f>
        <v>1089grams</v>
      </c>
      <c r="U1421" s="200">
        <f>L1421*M1421</f>
        <v>366.3</v>
      </c>
      <c r="V1421" s="12"/>
      <c r="W1421" s="12"/>
    </row>
    <row r="1422" spans="1:23" x14ac:dyDescent="0.3">
      <c r="A1422" s="193">
        <v>547</v>
      </c>
      <c r="B1422" s="46" t="s">
        <v>1456</v>
      </c>
      <c r="C1422" s="315"/>
      <c r="D1422" s="316"/>
      <c r="E1422" s="315"/>
      <c r="F1422" s="315"/>
      <c r="G1422" s="315"/>
      <c r="H1422" s="194" t="s">
        <v>2023</v>
      </c>
      <c r="I1422" s="12"/>
      <c r="J1422" s="219" t="s">
        <v>1457</v>
      </c>
      <c r="K1422" s="12"/>
      <c r="L1422" s="197">
        <v>11.1</v>
      </c>
      <c r="M1422" s="197">
        <v>296</v>
      </c>
      <c r="N1422" s="290">
        <v>33</v>
      </c>
      <c r="O1422" s="46"/>
      <c r="P1422" s="46" t="s">
        <v>39</v>
      </c>
      <c r="Q1422" s="12"/>
      <c r="R1422" s="192" t="str">
        <f>CONCATENATE(N1422,P1422)</f>
        <v>33grams</v>
      </c>
      <c r="S1422" s="198">
        <f>M1422*N1422</f>
        <v>9768</v>
      </c>
      <c r="T1422" s="199" t="str">
        <f>CONCATENATE(S1422,Q1422,P1422)</f>
        <v>9768grams</v>
      </c>
      <c r="U1422" s="200">
        <f>L1422*M1422</f>
        <v>3285.6</v>
      </c>
      <c r="V1422" s="12"/>
      <c r="W1422" s="12"/>
    </row>
    <row r="1423" spans="1:23" x14ac:dyDescent="0.3">
      <c r="A1423" s="193">
        <v>547</v>
      </c>
      <c r="B1423" s="46" t="s">
        <v>1456</v>
      </c>
      <c r="C1423" s="315"/>
      <c r="D1423" s="316"/>
      <c r="E1423" s="315"/>
      <c r="F1423" s="315"/>
      <c r="G1423" s="315"/>
      <c r="H1423" s="400" t="s">
        <v>2027</v>
      </c>
      <c r="I1423" s="12"/>
      <c r="J1423" s="46" t="s">
        <v>1961</v>
      </c>
      <c r="K1423" s="12"/>
      <c r="L1423" s="195">
        <v>11.2</v>
      </c>
      <c r="M1423" s="197">
        <v>64</v>
      </c>
      <c r="N1423" s="360">
        <v>33</v>
      </c>
      <c r="O1423" s="61"/>
      <c r="P1423" s="61" t="s">
        <v>39</v>
      </c>
      <c r="Q1423" s="12"/>
      <c r="R1423" s="192" t="str">
        <f>CONCATENATE(N1423,P1423)</f>
        <v>33grams</v>
      </c>
      <c r="S1423" s="198">
        <f>M1423*N1423</f>
        <v>2112</v>
      </c>
      <c r="T1423" s="199" t="str">
        <f>CONCATENATE(S1423,Q1423,P1423)</f>
        <v>2112grams</v>
      </c>
      <c r="U1423" s="200">
        <f>L1423*M1423</f>
        <v>716.8</v>
      </c>
      <c r="V1423" s="12"/>
      <c r="W1423" s="12"/>
    </row>
    <row r="1424" spans="1:23" x14ac:dyDescent="0.3">
      <c r="A1424" s="193">
        <v>548</v>
      </c>
      <c r="B1424" s="46" t="s">
        <v>1458</v>
      </c>
      <c r="C1424" s="315"/>
      <c r="D1424" s="316"/>
      <c r="E1424" s="315"/>
      <c r="F1424" s="315"/>
      <c r="G1424" s="315"/>
      <c r="H1424" s="194" t="s">
        <v>2022</v>
      </c>
      <c r="I1424" s="12"/>
      <c r="J1424" s="219" t="s">
        <v>1457</v>
      </c>
      <c r="K1424" s="12"/>
      <c r="L1424" s="197">
        <v>11.1</v>
      </c>
      <c r="M1424" s="197">
        <v>2</v>
      </c>
      <c r="N1424" s="290">
        <v>33</v>
      </c>
      <c r="O1424" s="46"/>
      <c r="P1424" s="46" t="s">
        <v>39</v>
      </c>
      <c r="Q1424" s="12"/>
      <c r="R1424" s="192" t="str">
        <f>CONCATENATE(N1424,P1424)</f>
        <v>33grams</v>
      </c>
      <c r="S1424" s="198">
        <f>M1424*N1424</f>
        <v>66</v>
      </c>
      <c r="T1424" s="199" t="str">
        <f>CONCATENATE(S1424,Q1424,P1424)</f>
        <v>66grams</v>
      </c>
      <c r="U1424" s="200">
        <f>L1424*M1424</f>
        <v>22.2</v>
      </c>
      <c r="V1424" s="12"/>
      <c r="W1424" s="12"/>
    </row>
    <row r="1425" spans="1:23" x14ac:dyDescent="0.3">
      <c r="A1425" s="479">
        <v>549</v>
      </c>
      <c r="B1425" s="194" t="s">
        <v>680</v>
      </c>
      <c r="C1425" s="487"/>
      <c r="D1425" s="485" t="str">
        <f ca="1">IFERROR(__xludf.DUMMYFUNCTION("IF(J398="""",""n/a"",IFERROR(SPLIT(J398,""/"")))"),"Milk Shake")</f>
        <v>Milk Shake</v>
      </c>
      <c r="E1425" s="485" t="str">
        <f ca="1">IFERROR(__xludf.DUMMYFUNCTION("""COMPUTED_VALUE"""),"Injoy")</f>
        <v>Injoy</v>
      </c>
      <c r="F1425" s="485">
        <f ca="1">IFERROR(__xludf.DUMMYFUNCTION("""COMPUTED_VALUE"""),1000)</f>
        <v>1000</v>
      </c>
      <c r="G1425" s="487"/>
      <c r="H1425" s="206" t="s">
        <v>1898</v>
      </c>
      <c r="I1425" s="487"/>
      <c r="J1425" s="46" t="s">
        <v>681</v>
      </c>
      <c r="K1425" s="487"/>
      <c r="L1425" s="197">
        <v>0.15</v>
      </c>
      <c r="M1425" s="386">
        <v>1000</v>
      </c>
      <c r="N1425" s="208">
        <v>1000</v>
      </c>
      <c r="O1425" s="61" t="str">
        <f ca="1">E1425</f>
        <v>Injoy</v>
      </c>
      <c r="P1425" s="61" t="s">
        <v>39</v>
      </c>
      <c r="Q1425" s="487"/>
      <c r="R1425" s="192" t="str">
        <f>CONCATENATE(N1425,P1425)</f>
        <v>1000grams</v>
      </c>
      <c r="S1425" s="198">
        <f>M1425*N1425</f>
        <v>1000000</v>
      </c>
      <c r="T1425" s="199" t="str">
        <f>CONCATENATE(S1425,Q1425,P1425)</f>
        <v>1000000grams</v>
      </c>
      <c r="U1425" s="200">
        <f>L1425*M1425</f>
        <v>150</v>
      </c>
      <c r="V1425" s="12"/>
      <c r="W1425" s="12"/>
    </row>
    <row r="1426" spans="1:23" x14ac:dyDescent="0.3">
      <c r="A1426" s="193">
        <v>550</v>
      </c>
      <c r="B1426" s="219" t="s">
        <v>1459</v>
      </c>
      <c r="C1426" s="315"/>
      <c r="D1426" s="316"/>
      <c r="E1426" s="315"/>
      <c r="F1426" s="315"/>
      <c r="G1426" s="315"/>
      <c r="H1426" s="194" t="s">
        <v>2021</v>
      </c>
      <c r="I1426" s="12"/>
      <c r="J1426" s="219" t="s">
        <v>1457</v>
      </c>
      <c r="K1426" s="12"/>
      <c r="L1426" s="216">
        <v>27.5</v>
      </c>
      <c r="M1426" s="216">
        <v>9</v>
      </c>
      <c r="N1426" s="293">
        <v>200</v>
      </c>
      <c r="O1426" s="219"/>
      <c r="P1426" s="219" t="s">
        <v>32</v>
      </c>
      <c r="Q1426" s="12"/>
      <c r="R1426" s="192" t="str">
        <f>CONCATENATE(N1426,P1426)</f>
        <v>200ml</v>
      </c>
      <c r="S1426" s="198">
        <f>M1426*N1426</f>
        <v>1800</v>
      </c>
      <c r="T1426" s="199" t="str">
        <f>CONCATENATE(S1426,Q1426,P1426)</f>
        <v>1800ml</v>
      </c>
      <c r="U1426" s="200">
        <f>L1426*M1426</f>
        <v>247.5</v>
      </c>
      <c r="V1426" s="12"/>
      <c r="W1426" s="12"/>
    </row>
    <row r="1427" spans="1:23" x14ac:dyDescent="0.3">
      <c r="A1427" s="479">
        <v>551</v>
      </c>
      <c r="B1427" s="194" t="s">
        <v>682</v>
      </c>
      <c r="C1427" s="487"/>
      <c r="D1427" s="485" t="str">
        <f ca="1">IFERROR(__xludf.DUMMYFUNCTION("IF(J399="""",""n/a"",IFERROR(SPLIT(J399,""/"")))"),"n/a")</f>
        <v>n/a</v>
      </c>
      <c r="E1427" s="487"/>
      <c r="F1427" s="487"/>
      <c r="G1427" s="487"/>
      <c r="H1427" s="206" t="s">
        <v>1898</v>
      </c>
      <c r="I1427" s="487"/>
      <c r="J1427" s="170"/>
      <c r="K1427" s="487"/>
      <c r="L1427" s="197">
        <v>7.13</v>
      </c>
      <c r="M1427" s="385">
        <v>101</v>
      </c>
      <c r="N1427" s="208">
        <v>100</v>
      </c>
      <c r="O1427" s="170">
        <f>E1427</f>
        <v>0</v>
      </c>
      <c r="P1427" s="61" t="s">
        <v>92</v>
      </c>
      <c r="Q1427" s="487"/>
      <c r="R1427" s="192" t="str">
        <f>CONCATENATE(N1427,P1427)</f>
        <v>100pieces</v>
      </c>
      <c r="S1427" s="198">
        <f>M1427*N1427</f>
        <v>10100</v>
      </c>
      <c r="T1427" s="199" t="str">
        <f>CONCATENATE(S1427,Q1427,P1427)</f>
        <v>10100pieces</v>
      </c>
      <c r="U1427" s="200">
        <f>L1427*M1427</f>
        <v>720.13</v>
      </c>
      <c r="V1427" s="12"/>
      <c r="W1427" s="12"/>
    </row>
    <row r="1428" spans="1:23" x14ac:dyDescent="0.3">
      <c r="A1428" s="479">
        <v>552</v>
      </c>
      <c r="B1428" s="194" t="s">
        <v>149</v>
      </c>
      <c r="C1428" s="487"/>
      <c r="D1428" s="485" t="str">
        <f ca="1">IFERROR(__xludf.DUMMYFUNCTION("IF(J400="""",""n/a"",IFERROR(SPLIT(J400,""/"")))"),"Nestle")</f>
        <v>Nestle</v>
      </c>
      <c r="E1428" s="485" t="str">
        <f ca="1">IFERROR(__xludf.DUMMYFUNCTION("""COMPUTED_VALUE"""),"pack (12x24grams)")</f>
        <v>pack (12x24grams)</v>
      </c>
      <c r="F1428" s="487"/>
      <c r="G1428" s="487"/>
      <c r="H1428" s="183" t="s">
        <v>1897</v>
      </c>
      <c r="I1428" s="487"/>
      <c r="J1428" s="46" t="s">
        <v>150</v>
      </c>
      <c r="K1428" s="487"/>
      <c r="L1428" s="204">
        <v>8.7200000000000006</v>
      </c>
      <c r="M1428" s="202">
        <v>537</v>
      </c>
      <c r="N1428" s="203">
        <v>1</v>
      </c>
      <c r="O1428" s="61" t="str">
        <f ca="1">E1428</f>
        <v>pack (12x24grams)</v>
      </c>
      <c r="P1428" s="61" t="s">
        <v>92</v>
      </c>
      <c r="Q1428" s="487"/>
      <c r="R1428" s="192" t="str">
        <f>CONCATENATE(N1428,P1428)</f>
        <v>1pieces</v>
      </c>
      <c r="S1428" s="198">
        <f>M1428*N1428</f>
        <v>537</v>
      </c>
      <c r="T1428" s="199" t="str">
        <f>CONCATENATE(S1428,Q1428,P1428)</f>
        <v>537pieces</v>
      </c>
      <c r="U1428" s="200">
        <f>L1428*M1428</f>
        <v>4682.6400000000003</v>
      </c>
      <c r="V1428" s="205"/>
      <c r="W1428" s="62"/>
    </row>
    <row r="1429" spans="1:23" x14ac:dyDescent="0.3">
      <c r="A1429" s="479">
        <v>552</v>
      </c>
      <c r="B1429" s="481" t="s">
        <v>149</v>
      </c>
      <c r="C1429" s="487"/>
      <c r="D1429" s="485" t="str">
        <f ca="1">IFERROR(__xludf.DUMMYFUNCTION("IF(J401="""",""n/a"",IFERROR(SPLIT(J401,""/"")))"),"Nestle")</f>
        <v>Nestle</v>
      </c>
      <c r="E1429" s="485" t="str">
        <f ca="1">IFERROR(__xludf.DUMMYFUNCTION("""COMPUTED_VALUE"""),"pack (12x24grams)")</f>
        <v>pack (12x24grams)</v>
      </c>
      <c r="F1429" s="487"/>
      <c r="G1429" s="487"/>
      <c r="H1429" s="183" t="s">
        <v>1895</v>
      </c>
      <c r="I1429" s="487"/>
      <c r="J1429" s="46" t="s">
        <v>150</v>
      </c>
      <c r="K1429" s="487"/>
      <c r="L1429" s="195">
        <v>8.7200000000000006</v>
      </c>
      <c r="M1429" s="197">
        <v>624</v>
      </c>
      <c r="N1429" s="61">
        <v>1</v>
      </c>
      <c r="O1429" s="61" t="str">
        <f ca="1">E1429</f>
        <v>pack (12x24grams)</v>
      </c>
      <c r="P1429" s="61" t="s">
        <v>92</v>
      </c>
      <c r="Q1429" s="487"/>
      <c r="R1429" s="192" t="str">
        <f>CONCATENATE(N1429,P1429)</f>
        <v>1pieces</v>
      </c>
      <c r="S1429" s="198">
        <f>M1429*N1429</f>
        <v>624</v>
      </c>
      <c r="T1429" s="199" t="str">
        <f>CONCATENATE(S1429,Q1429,P1429)</f>
        <v>624pieces</v>
      </c>
      <c r="U1429" s="200">
        <f>L1429*M1429</f>
        <v>5441.2800000000007</v>
      </c>
      <c r="V1429" s="12"/>
      <c r="W1429" s="12"/>
    </row>
    <row r="1430" spans="1:23" x14ac:dyDescent="0.3">
      <c r="A1430" s="479">
        <v>552</v>
      </c>
      <c r="B1430" s="481" t="s">
        <v>149</v>
      </c>
      <c r="C1430" s="487"/>
      <c r="D1430" s="485" t="str">
        <f ca="1">IFERROR(__xludf.DUMMYFUNCTION("IF(J402="""",""n/a"",IFERROR(SPLIT(J402,""/"")))"),"n/a")</f>
        <v>n/a</v>
      </c>
      <c r="E1430" s="487"/>
      <c r="F1430" s="487"/>
      <c r="G1430" s="487"/>
      <c r="H1430" s="206" t="s">
        <v>1898</v>
      </c>
      <c r="I1430" s="487"/>
      <c r="J1430" s="170"/>
      <c r="K1430" s="487"/>
      <c r="L1430" s="197">
        <v>8.25</v>
      </c>
      <c r="M1430" s="385">
        <v>655</v>
      </c>
      <c r="N1430" s="208">
        <v>12</v>
      </c>
      <c r="O1430" s="170">
        <f>E1430</f>
        <v>0</v>
      </c>
      <c r="P1430" s="209" t="s">
        <v>92</v>
      </c>
      <c r="Q1430" s="487"/>
      <c r="R1430" s="192" t="str">
        <f>CONCATENATE(N1430,P1430)</f>
        <v>12pieces</v>
      </c>
      <c r="S1430" s="198">
        <f>M1430*N1430</f>
        <v>7860</v>
      </c>
      <c r="T1430" s="199" t="str">
        <f>CONCATENATE(S1430,Q1430,P1430)</f>
        <v>7860pieces</v>
      </c>
      <c r="U1430" s="200">
        <f>L1430*M1430</f>
        <v>5403.75</v>
      </c>
      <c r="V1430" s="12"/>
      <c r="W1430" s="12"/>
    </row>
    <row r="1431" spans="1:23" x14ac:dyDescent="0.3">
      <c r="A1431" s="193">
        <v>552</v>
      </c>
      <c r="B1431" s="46" t="s">
        <v>149</v>
      </c>
      <c r="C1431" s="315"/>
      <c r="D1431" s="316"/>
      <c r="E1431" s="315"/>
      <c r="F1431" s="315"/>
      <c r="G1431" s="315"/>
      <c r="H1431" s="400" t="s">
        <v>2027</v>
      </c>
      <c r="I1431" s="12"/>
      <c r="J1431" s="46" t="s">
        <v>30</v>
      </c>
      <c r="K1431" s="12"/>
      <c r="L1431" s="195">
        <v>8.9</v>
      </c>
      <c r="M1431" s="197">
        <v>48</v>
      </c>
      <c r="N1431" s="360">
        <v>1</v>
      </c>
      <c r="O1431" s="61"/>
      <c r="P1431" s="61" t="s">
        <v>92</v>
      </c>
      <c r="Q1431" s="12"/>
      <c r="R1431" s="192" t="str">
        <f>CONCATENATE(N1431,P1431)</f>
        <v>1pieces</v>
      </c>
      <c r="S1431" s="198">
        <f>M1431*N1431</f>
        <v>48</v>
      </c>
      <c r="T1431" s="199" t="str">
        <f>CONCATENATE(S1431,Q1431,P1431)</f>
        <v>48pieces</v>
      </c>
      <c r="U1431" s="200">
        <f>L1431*M1431</f>
        <v>427.20000000000005</v>
      </c>
      <c r="V1431" s="12"/>
      <c r="W1431" s="12"/>
    </row>
    <row r="1432" spans="1:23" x14ac:dyDescent="0.3">
      <c r="A1432" s="479">
        <v>553</v>
      </c>
      <c r="B1432" s="194" t="s">
        <v>103</v>
      </c>
      <c r="C1432" s="487"/>
      <c r="D1432" s="485" t="str">
        <f ca="1">IFERROR(__xludf.DUMMYFUNCTION("IF(J403="""",""n/a"",IFERROR(SPLIT(J403,""/"")))"),"Below Zero")</f>
        <v>Below Zero</v>
      </c>
      <c r="E1432" s="485" t="str">
        <f ca="1">IFERROR(__xludf.DUMMYFUNCTION("""COMPUTED_VALUE"""),"box (24pcsx500ml)")</f>
        <v>box (24pcsx500ml)</v>
      </c>
      <c r="F1432" s="487"/>
      <c r="G1432" s="487"/>
      <c r="H1432" s="183" t="s">
        <v>1895</v>
      </c>
      <c r="I1432" s="487"/>
      <c r="J1432" s="46" t="s">
        <v>104</v>
      </c>
      <c r="K1432" s="487"/>
      <c r="L1432" s="195">
        <v>7.5</v>
      </c>
      <c r="M1432" s="197">
        <v>3519</v>
      </c>
      <c r="N1432" s="61">
        <v>1</v>
      </c>
      <c r="O1432" s="61" t="str">
        <f ca="1">E1432</f>
        <v>box (24pcsx500ml)</v>
      </c>
      <c r="P1432" s="61" t="s">
        <v>92</v>
      </c>
      <c r="Q1432" s="487"/>
      <c r="R1432" s="192" t="str">
        <f>CONCATENATE(N1432,P1432)</f>
        <v>1pieces</v>
      </c>
      <c r="S1432" s="198">
        <f>M1432*N1432</f>
        <v>3519</v>
      </c>
      <c r="T1432" s="199" t="str">
        <f>CONCATENATE(S1432,Q1432,P1432)</f>
        <v>3519pieces</v>
      </c>
      <c r="U1432" s="200">
        <f>L1432*M1432</f>
        <v>26392.5</v>
      </c>
      <c r="V1432" s="12"/>
      <c r="W1432" s="12"/>
    </row>
    <row r="1433" spans="1:23" x14ac:dyDescent="0.3">
      <c r="A1433" s="479">
        <v>553</v>
      </c>
      <c r="B1433" s="194" t="s">
        <v>103</v>
      </c>
      <c r="C1433" s="487"/>
      <c r="D1433" s="485" t="str">
        <f ca="1">IFERROR(__xludf.DUMMYFUNCTION("IF(J404="""",""n/a"",IFERROR(SPLIT(J404,""/"")))"),"n/a")</f>
        <v>n/a</v>
      </c>
      <c r="E1433" s="487"/>
      <c r="F1433" s="487"/>
      <c r="G1433" s="487"/>
      <c r="H1433" s="206" t="s">
        <v>1898</v>
      </c>
      <c r="I1433" s="487"/>
      <c r="J1433" s="170"/>
      <c r="K1433" s="487"/>
      <c r="L1433" s="197">
        <v>7.5</v>
      </c>
      <c r="M1433" s="385">
        <v>47</v>
      </c>
      <c r="N1433" s="208">
        <v>24</v>
      </c>
      <c r="O1433" s="170">
        <f>E1433</f>
        <v>0</v>
      </c>
      <c r="P1433" s="209" t="s">
        <v>92</v>
      </c>
      <c r="Q1433" s="487"/>
      <c r="R1433" s="192" t="str">
        <f>CONCATENATE(N1433,P1433)</f>
        <v>24pieces</v>
      </c>
      <c r="S1433" s="198">
        <f>M1433*N1433</f>
        <v>1128</v>
      </c>
      <c r="T1433" s="199" t="str">
        <f>CONCATENATE(S1433,Q1433,P1433)</f>
        <v>1128pieces</v>
      </c>
      <c r="U1433" s="200">
        <f>L1433*M1433</f>
        <v>352.5</v>
      </c>
      <c r="V1433" s="12"/>
      <c r="W1433" s="12"/>
    </row>
    <row r="1434" spans="1:23" x14ac:dyDescent="0.3">
      <c r="A1434" s="193">
        <v>553</v>
      </c>
      <c r="B1434" s="46" t="s">
        <v>103</v>
      </c>
      <c r="C1434" s="315"/>
      <c r="D1434" s="316"/>
      <c r="E1434" s="315"/>
      <c r="F1434" s="315"/>
      <c r="G1434" s="315"/>
      <c r="H1434" s="194" t="s">
        <v>29</v>
      </c>
      <c r="I1434" s="12"/>
      <c r="J1434" s="46" t="s">
        <v>1460</v>
      </c>
      <c r="K1434" s="12"/>
      <c r="L1434" s="197">
        <v>10.16</v>
      </c>
      <c r="M1434" s="197">
        <v>154</v>
      </c>
      <c r="N1434" s="290">
        <v>500</v>
      </c>
      <c r="O1434" s="61"/>
      <c r="P1434" s="61" t="s">
        <v>32</v>
      </c>
      <c r="Q1434" s="12"/>
      <c r="R1434" s="192" t="str">
        <f>CONCATENATE(N1434,P1434)</f>
        <v>500ml</v>
      </c>
      <c r="S1434" s="198">
        <f>M1434*N1434</f>
        <v>77000</v>
      </c>
      <c r="T1434" s="199" t="str">
        <f>CONCATENATE(S1434,Q1434,P1434)</f>
        <v>77000ml</v>
      </c>
      <c r="U1434" s="200">
        <f>L1434*M1434</f>
        <v>1564.64</v>
      </c>
      <c r="V1434" s="12"/>
      <c r="W1434" s="12"/>
    </row>
    <row r="1435" spans="1:23" x14ac:dyDescent="0.3">
      <c r="A1435" s="193">
        <v>553</v>
      </c>
      <c r="B1435" s="46" t="s">
        <v>103</v>
      </c>
      <c r="C1435" s="315"/>
      <c r="D1435" s="316"/>
      <c r="E1435" s="315"/>
      <c r="F1435" s="315"/>
      <c r="G1435" s="315"/>
      <c r="H1435" s="194" t="s">
        <v>2024</v>
      </c>
      <c r="I1435" s="12"/>
      <c r="J1435" s="46" t="s">
        <v>1460</v>
      </c>
      <c r="K1435" s="12"/>
      <c r="L1435" s="197">
        <v>7.72</v>
      </c>
      <c r="M1435" s="197">
        <v>65</v>
      </c>
      <c r="N1435" s="290">
        <v>350</v>
      </c>
      <c r="O1435" s="61"/>
      <c r="P1435" s="61" t="s">
        <v>32</v>
      </c>
      <c r="Q1435" s="12"/>
      <c r="R1435" s="192" t="str">
        <f>CONCATENATE(N1435,P1435)</f>
        <v>350ml</v>
      </c>
      <c r="S1435" s="198">
        <f>M1435*N1435</f>
        <v>22750</v>
      </c>
      <c r="T1435" s="199" t="str">
        <f>CONCATENATE(S1435,Q1435,P1435)</f>
        <v>22750ml</v>
      </c>
      <c r="U1435" s="200">
        <f>L1435*M1435</f>
        <v>501.8</v>
      </c>
      <c r="V1435" s="12"/>
      <c r="W1435" s="12"/>
    </row>
    <row r="1436" spans="1:23" x14ac:dyDescent="0.3">
      <c r="A1436" s="193">
        <v>553</v>
      </c>
      <c r="B1436" s="46" t="s">
        <v>103</v>
      </c>
      <c r="C1436" s="315"/>
      <c r="D1436" s="316"/>
      <c r="E1436" s="315"/>
      <c r="F1436" s="315"/>
      <c r="G1436" s="315"/>
      <c r="H1436" s="194" t="s">
        <v>2024</v>
      </c>
      <c r="I1436" s="12"/>
      <c r="J1436" s="46" t="s">
        <v>1461</v>
      </c>
      <c r="K1436" s="12"/>
      <c r="L1436" s="197">
        <v>39</v>
      </c>
      <c r="M1436" s="197">
        <v>49</v>
      </c>
      <c r="N1436" s="290">
        <v>330</v>
      </c>
      <c r="O1436" s="61"/>
      <c r="P1436" s="61" t="s">
        <v>32</v>
      </c>
      <c r="Q1436" s="12"/>
      <c r="R1436" s="192" t="str">
        <f>CONCATENATE(N1436,P1436)</f>
        <v>330ml</v>
      </c>
      <c r="S1436" s="198">
        <f>M1436*N1436</f>
        <v>16170</v>
      </c>
      <c r="T1436" s="199" t="str">
        <f>CONCATENATE(S1436,Q1436,P1436)</f>
        <v>16170ml</v>
      </c>
      <c r="U1436" s="200">
        <f>L1436*M1436</f>
        <v>1911</v>
      </c>
      <c r="V1436" s="12"/>
      <c r="W1436" s="12"/>
    </row>
    <row r="1437" spans="1:23" x14ac:dyDescent="0.3">
      <c r="A1437" s="193">
        <v>553</v>
      </c>
      <c r="B1437" s="46" t="s">
        <v>103</v>
      </c>
      <c r="C1437" s="315"/>
      <c r="D1437" s="316"/>
      <c r="E1437" s="315"/>
      <c r="F1437" s="315"/>
      <c r="G1437" s="315"/>
      <c r="H1437" s="194" t="s">
        <v>2024</v>
      </c>
      <c r="I1437" s="12"/>
      <c r="J1437" s="46" t="s">
        <v>1460</v>
      </c>
      <c r="K1437" s="12"/>
      <c r="L1437" s="197">
        <v>10.16</v>
      </c>
      <c r="M1437" s="197">
        <v>24</v>
      </c>
      <c r="N1437" s="290">
        <v>500</v>
      </c>
      <c r="O1437" s="61"/>
      <c r="P1437" s="61" t="s">
        <v>32</v>
      </c>
      <c r="Q1437" s="12"/>
      <c r="R1437" s="192" t="str">
        <f>CONCATENATE(N1437,P1437)</f>
        <v>500ml</v>
      </c>
      <c r="S1437" s="198">
        <f>M1437*N1437</f>
        <v>12000</v>
      </c>
      <c r="T1437" s="199" t="str">
        <f>CONCATENATE(S1437,Q1437,P1437)</f>
        <v>12000ml</v>
      </c>
      <c r="U1437" s="200">
        <f>L1437*M1437</f>
        <v>243.84</v>
      </c>
      <c r="V1437" s="12"/>
      <c r="W1437" s="12"/>
    </row>
    <row r="1438" spans="1:23" x14ac:dyDescent="0.3">
      <c r="A1438" s="193">
        <v>553</v>
      </c>
      <c r="B1438" s="46" t="s">
        <v>103</v>
      </c>
      <c r="C1438" s="315"/>
      <c r="D1438" s="316"/>
      <c r="E1438" s="315"/>
      <c r="F1438" s="315"/>
      <c r="G1438" s="315"/>
      <c r="H1438" s="194" t="s">
        <v>2024</v>
      </c>
      <c r="I1438" s="12"/>
      <c r="J1438" s="46" t="s">
        <v>1462</v>
      </c>
      <c r="K1438" s="12"/>
      <c r="L1438" s="197">
        <v>90</v>
      </c>
      <c r="M1438" s="197">
        <v>11</v>
      </c>
      <c r="N1438" s="290">
        <v>250</v>
      </c>
      <c r="O1438" s="61"/>
      <c r="P1438" s="61" t="s">
        <v>32</v>
      </c>
      <c r="Q1438" s="12"/>
      <c r="R1438" s="192" t="str">
        <f>CONCATENATE(N1438,P1438)</f>
        <v>250ml</v>
      </c>
      <c r="S1438" s="198">
        <f>M1438*N1438</f>
        <v>2750</v>
      </c>
      <c r="T1438" s="199" t="str">
        <f>CONCATENATE(S1438,Q1438,P1438)</f>
        <v>2750ml</v>
      </c>
      <c r="U1438" s="200">
        <f>L1438*M1438</f>
        <v>990</v>
      </c>
      <c r="V1438" s="12"/>
      <c r="W1438" s="12"/>
    </row>
    <row r="1439" spans="1:23" x14ac:dyDescent="0.3">
      <c r="A1439" s="193">
        <v>553</v>
      </c>
      <c r="B1439" s="46" t="s">
        <v>103</v>
      </c>
      <c r="C1439" s="315"/>
      <c r="D1439" s="316"/>
      <c r="E1439" s="315"/>
      <c r="F1439" s="315"/>
      <c r="G1439" s="315"/>
      <c r="H1439" s="194" t="s">
        <v>2024</v>
      </c>
      <c r="I1439" s="12"/>
      <c r="J1439" s="46" t="s">
        <v>1462</v>
      </c>
      <c r="K1439" s="12"/>
      <c r="L1439" s="197">
        <v>114</v>
      </c>
      <c r="M1439" s="197">
        <v>6</v>
      </c>
      <c r="N1439" s="290">
        <v>500</v>
      </c>
      <c r="O1439" s="61"/>
      <c r="P1439" s="61" t="s">
        <v>32</v>
      </c>
      <c r="Q1439" s="12"/>
      <c r="R1439" s="192" t="str">
        <f>CONCATENATE(N1439,P1439)</f>
        <v>500ml</v>
      </c>
      <c r="S1439" s="198">
        <f>M1439*N1439</f>
        <v>3000</v>
      </c>
      <c r="T1439" s="199" t="str">
        <f>CONCATENATE(S1439,Q1439,P1439)</f>
        <v>3000ml</v>
      </c>
      <c r="U1439" s="200">
        <f>L1439*M1439</f>
        <v>684</v>
      </c>
      <c r="V1439" s="12"/>
      <c r="W1439" s="12"/>
    </row>
    <row r="1440" spans="1:23" x14ac:dyDescent="0.3">
      <c r="A1440" s="193">
        <v>553</v>
      </c>
      <c r="B1440" s="46" t="s">
        <v>103</v>
      </c>
      <c r="C1440" s="315"/>
      <c r="D1440" s="316"/>
      <c r="E1440" s="315"/>
      <c r="F1440" s="315"/>
      <c r="G1440" s="315"/>
      <c r="H1440" s="194" t="s">
        <v>2025</v>
      </c>
      <c r="I1440" s="12"/>
      <c r="J1440" s="46" t="s">
        <v>1462</v>
      </c>
      <c r="K1440" s="12"/>
      <c r="L1440" s="197">
        <v>85</v>
      </c>
      <c r="M1440" s="197">
        <v>27</v>
      </c>
      <c r="N1440" s="290">
        <v>250</v>
      </c>
      <c r="O1440" s="61"/>
      <c r="P1440" s="61" t="s">
        <v>32</v>
      </c>
      <c r="Q1440" s="12"/>
      <c r="R1440" s="192" t="str">
        <f>CONCATENATE(N1440,P1440)</f>
        <v>250ml</v>
      </c>
      <c r="S1440" s="198">
        <f>M1440*N1440</f>
        <v>6750</v>
      </c>
      <c r="T1440" s="199" t="str">
        <f>CONCATENATE(S1440,Q1440,P1440)</f>
        <v>6750ml</v>
      </c>
      <c r="U1440" s="200">
        <f>L1440*M1440</f>
        <v>2295</v>
      </c>
      <c r="V1440" s="12"/>
      <c r="W1440" s="12"/>
    </row>
    <row r="1441" spans="1:23" x14ac:dyDescent="0.3">
      <c r="A1441" s="193">
        <v>553</v>
      </c>
      <c r="B1441" s="46" t="s">
        <v>103</v>
      </c>
      <c r="C1441" s="315"/>
      <c r="D1441" s="316"/>
      <c r="E1441" s="315"/>
      <c r="F1441" s="315"/>
      <c r="G1441" s="315"/>
      <c r="H1441" s="194" t="s">
        <v>2026</v>
      </c>
      <c r="I1441" s="12"/>
      <c r="J1441" s="46" t="s">
        <v>1460</v>
      </c>
      <c r="K1441" s="12"/>
      <c r="L1441" s="197">
        <v>7.72</v>
      </c>
      <c r="M1441" s="197">
        <v>75</v>
      </c>
      <c r="N1441" s="290">
        <v>350</v>
      </c>
      <c r="O1441" s="61"/>
      <c r="P1441" s="61" t="s">
        <v>32</v>
      </c>
      <c r="Q1441" s="12"/>
      <c r="R1441" s="192" t="str">
        <f>CONCATENATE(N1441,P1441)</f>
        <v>350ml</v>
      </c>
      <c r="S1441" s="198">
        <f>M1441*N1441</f>
        <v>26250</v>
      </c>
      <c r="T1441" s="199" t="str">
        <f>CONCATENATE(S1441,Q1441,P1441)</f>
        <v>26250ml</v>
      </c>
      <c r="U1441" s="200">
        <f>L1441*M1441</f>
        <v>579</v>
      </c>
      <c r="V1441" s="12"/>
      <c r="W1441" s="12"/>
    </row>
    <row r="1442" spans="1:23" x14ac:dyDescent="0.3">
      <c r="A1442" s="193">
        <v>553</v>
      </c>
      <c r="B1442" s="46" t="s">
        <v>103</v>
      </c>
      <c r="C1442" s="315"/>
      <c r="D1442" s="316"/>
      <c r="E1442" s="315"/>
      <c r="F1442" s="315"/>
      <c r="G1442" s="315"/>
      <c r="H1442" s="194" t="s">
        <v>2022</v>
      </c>
      <c r="I1442" s="12"/>
      <c r="J1442" s="46" t="s">
        <v>1463</v>
      </c>
      <c r="K1442" s="12"/>
      <c r="L1442" s="197">
        <v>9.08</v>
      </c>
      <c r="M1442" s="197">
        <v>243</v>
      </c>
      <c r="N1442" s="290">
        <v>350</v>
      </c>
      <c r="O1442" s="61"/>
      <c r="P1442" s="61" t="s">
        <v>32</v>
      </c>
      <c r="Q1442" s="12"/>
      <c r="R1442" s="192" t="str">
        <f>CONCATENATE(N1442,P1442)</f>
        <v>350ml</v>
      </c>
      <c r="S1442" s="198">
        <f>M1442*N1442</f>
        <v>85050</v>
      </c>
      <c r="T1442" s="199" t="str">
        <f>CONCATENATE(S1442,Q1442,P1442)</f>
        <v>85050ml</v>
      </c>
      <c r="U1442" s="200">
        <f>L1442*M1442</f>
        <v>2206.44</v>
      </c>
      <c r="V1442" s="12"/>
      <c r="W1442" s="12"/>
    </row>
    <row r="1443" spans="1:23" x14ac:dyDescent="0.3">
      <c r="A1443" s="193">
        <v>553</v>
      </c>
      <c r="B1443" s="46" t="s">
        <v>103</v>
      </c>
      <c r="C1443" s="315"/>
      <c r="D1443" s="316"/>
      <c r="E1443" s="315"/>
      <c r="F1443" s="315"/>
      <c r="G1443" s="315"/>
      <c r="H1443" s="194" t="s">
        <v>2022</v>
      </c>
      <c r="I1443" s="12"/>
      <c r="J1443" s="46" t="s">
        <v>1463</v>
      </c>
      <c r="K1443" s="12"/>
      <c r="L1443" s="197">
        <v>7.85</v>
      </c>
      <c r="M1443" s="197">
        <v>420</v>
      </c>
      <c r="N1443" s="290">
        <v>500</v>
      </c>
      <c r="O1443" s="61"/>
      <c r="P1443" s="61" t="s">
        <v>32</v>
      </c>
      <c r="Q1443" s="12"/>
      <c r="R1443" s="192" t="str">
        <f>CONCATENATE(N1443,P1443)</f>
        <v>500ml</v>
      </c>
      <c r="S1443" s="198">
        <f>M1443*N1443</f>
        <v>210000</v>
      </c>
      <c r="T1443" s="199" t="str">
        <f>CONCATENATE(S1443,Q1443,P1443)</f>
        <v>210000ml</v>
      </c>
      <c r="U1443" s="200">
        <f>L1443*M1443</f>
        <v>3297</v>
      </c>
      <c r="V1443" s="12"/>
      <c r="W1443" s="12"/>
    </row>
    <row r="1444" spans="1:23" x14ac:dyDescent="0.3">
      <c r="A1444" s="193">
        <v>553</v>
      </c>
      <c r="B1444" s="219" t="s">
        <v>103</v>
      </c>
      <c r="C1444" s="315"/>
      <c r="D1444" s="316"/>
      <c r="E1444" s="315"/>
      <c r="F1444" s="315"/>
      <c r="G1444" s="315"/>
      <c r="H1444" s="194" t="s">
        <v>2021</v>
      </c>
      <c r="I1444" s="12"/>
      <c r="J1444" s="219" t="s">
        <v>1464</v>
      </c>
      <c r="K1444" s="12"/>
      <c r="L1444" s="216">
        <v>10.42</v>
      </c>
      <c r="M1444" s="216">
        <v>99</v>
      </c>
      <c r="N1444" s="293">
        <v>500</v>
      </c>
      <c r="O1444" s="209"/>
      <c r="P1444" s="209" t="s">
        <v>32</v>
      </c>
      <c r="Q1444" s="12"/>
      <c r="R1444" s="192" t="str">
        <f>CONCATENATE(N1444,P1444)</f>
        <v>500ml</v>
      </c>
      <c r="S1444" s="198">
        <f>M1444*N1444</f>
        <v>49500</v>
      </c>
      <c r="T1444" s="199" t="str">
        <f>CONCATENATE(S1444,Q1444,P1444)</f>
        <v>49500ml</v>
      </c>
      <c r="U1444" s="200">
        <f>L1444*M1444</f>
        <v>1031.58</v>
      </c>
      <c r="V1444" s="12"/>
      <c r="W1444" s="12"/>
    </row>
    <row r="1445" spans="1:23" x14ac:dyDescent="0.3">
      <c r="A1445" s="193">
        <v>553</v>
      </c>
      <c r="B1445" s="46" t="s">
        <v>1465</v>
      </c>
      <c r="C1445" s="315"/>
      <c r="D1445" s="316"/>
      <c r="E1445" s="315"/>
      <c r="F1445" s="315"/>
      <c r="G1445" s="315"/>
      <c r="H1445" s="194" t="s">
        <v>2020</v>
      </c>
      <c r="I1445" s="12"/>
      <c r="J1445" s="46" t="s">
        <v>1463</v>
      </c>
      <c r="K1445" s="12"/>
      <c r="L1445" s="197">
        <v>9.9</v>
      </c>
      <c r="M1445" s="197">
        <v>411</v>
      </c>
      <c r="N1445" s="290">
        <v>500</v>
      </c>
      <c r="O1445" s="61"/>
      <c r="P1445" s="61" t="s">
        <v>32</v>
      </c>
      <c r="Q1445" s="12"/>
      <c r="R1445" s="192" t="str">
        <f>CONCATENATE(N1445,P1445)</f>
        <v>500ml</v>
      </c>
      <c r="S1445" s="198">
        <f>M1445*N1445</f>
        <v>205500</v>
      </c>
      <c r="T1445" s="199" t="str">
        <f>CONCATENATE(S1445,Q1445,P1445)</f>
        <v>205500ml</v>
      </c>
      <c r="U1445" s="200">
        <f>L1445*M1445</f>
        <v>4068.9</v>
      </c>
      <c r="V1445" s="12"/>
      <c r="W1445" s="12"/>
    </row>
    <row r="1446" spans="1:23" x14ac:dyDescent="0.3">
      <c r="A1446" s="193">
        <v>553</v>
      </c>
      <c r="B1446" s="46" t="s">
        <v>1465</v>
      </c>
      <c r="C1446" s="315"/>
      <c r="D1446" s="316"/>
      <c r="E1446" s="315"/>
      <c r="F1446" s="315"/>
      <c r="G1446" s="315"/>
      <c r="H1446" s="194" t="s">
        <v>1368</v>
      </c>
      <c r="I1446" s="12"/>
      <c r="J1446" s="46" t="s">
        <v>1463</v>
      </c>
      <c r="K1446" s="12"/>
      <c r="L1446" s="197">
        <v>9.9</v>
      </c>
      <c r="M1446" s="197">
        <v>455</v>
      </c>
      <c r="N1446" s="290">
        <v>500</v>
      </c>
      <c r="O1446" s="61"/>
      <c r="P1446" s="61" t="s">
        <v>32</v>
      </c>
      <c r="Q1446" s="12"/>
      <c r="R1446" s="192" t="str">
        <f>CONCATENATE(N1446,P1446)</f>
        <v>500ml</v>
      </c>
      <c r="S1446" s="198">
        <f>M1446*N1446</f>
        <v>227500</v>
      </c>
      <c r="T1446" s="199" t="str">
        <f>CONCATENATE(S1446,Q1446,P1446)</f>
        <v>227500ml</v>
      </c>
      <c r="U1446" s="200">
        <f>L1446*M1446</f>
        <v>4504.5</v>
      </c>
      <c r="V1446" s="12"/>
      <c r="W1446" s="12"/>
    </row>
    <row r="1447" spans="1:23" x14ac:dyDescent="0.3">
      <c r="A1447" s="193">
        <v>553</v>
      </c>
      <c r="B1447" s="46" t="s">
        <v>103</v>
      </c>
      <c r="C1447" s="315"/>
      <c r="D1447" s="316"/>
      <c r="E1447" s="315"/>
      <c r="F1447" s="315"/>
      <c r="G1447" s="315"/>
      <c r="H1447" s="194" t="s">
        <v>2025</v>
      </c>
      <c r="I1447" s="12"/>
      <c r="J1447" s="46" t="s">
        <v>1460</v>
      </c>
      <c r="K1447" s="12"/>
      <c r="L1447" s="197">
        <v>7.72</v>
      </c>
      <c r="M1447" s="197">
        <v>85</v>
      </c>
      <c r="N1447" s="290">
        <v>350</v>
      </c>
      <c r="O1447" s="61"/>
      <c r="P1447" s="61" t="s">
        <v>32</v>
      </c>
      <c r="Q1447" s="12"/>
      <c r="R1447" s="192" t="str">
        <f>CONCATENATE(N1447,P1447)</f>
        <v>350ml</v>
      </c>
      <c r="S1447" s="198">
        <f>M1447*N1447</f>
        <v>29750</v>
      </c>
      <c r="T1447" s="199" t="str">
        <f>CONCATENATE(S1447,Q1447,P1447)</f>
        <v>29750ml</v>
      </c>
      <c r="U1447" s="200">
        <f>L1447*M1447</f>
        <v>656.19999999999993</v>
      </c>
      <c r="V1447" s="12"/>
      <c r="W1447" s="12"/>
    </row>
    <row r="1448" spans="1:23" x14ac:dyDescent="0.3">
      <c r="A1448" s="193">
        <v>553</v>
      </c>
      <c r="B1448" s="46" t="s">
        <v>103</v>
      </c>
      <c r="C1448" s="315"/>
      <c r="D1448" s="316"/>
      <c r="E1448" s="315"/>
      <c r="F1448" s="315"/>
      <c r="G1448" s="315"/>
      <c r="H1448" s="194" t="s">
        <v>2025</v>
      </c>
      <c r="I1448" s="12"/>
      <c r="J1448" s="46" t="s">
        <v>1461</v>
      </c>
      <c r="K1448" s="12"/>
      <c r="L1448" s="197">
        <v>75</v>
      </c>
      <c r="M1448" s="197">
        <v>2</v>
      </c>
      <c r="N1448" s="290">
        <v>1</v>
      </c>
      <c r="O1448" s="61"/>
      <c r="P1448" s="61" t="s">
        <v>773</v>
      </c>
      <c r="Q1448" s="12"/>
      <c r="R1448" s="192" t="str">
        <f>CONCATENATE(N1448,P1448)</f>
        <v>1liters</v>
      </c>
      <c r="S1448" s="198">
        <f>M1448*N1448</f>
        <v>2</v>
      </c>
      <c r="T1448" s="199" t="str">
        <f>CONCATENATE(S1448,Q1448,P1448)</f>
        <v>2liters</v>
      </c>
      <c r="U1448" s="200">
        <f>L1448*M1448</f>
        <v>150</v>
      </c>
      <c r="V1448" s="12"/>
      <c r="W1448" s="12"/>
    </row>
    <row r="1449" spans="1:23" x14ac:dyDescent="0.3">
      <c r="A1449" s="193">
        <v>553</v>
      </c>
      <c r="B1449" s="46" t="s">
        <v>103</v>
      </c>
      <c r="C1449" s="315"/>
      <c r="D1449" s="316"/>
      <c r="E1449" s="315"/>
      <c r="F1449" s="315"/>
      <c r="G1449" s="315"/>
      <c r="H1449" s="400" t="s">
        <v>2027</v>
      </c>
      <c r="I1449" s="12"/>
      <c r="J1449" s="46" t="s">
        <v>1962</v>
      </c>
      <c r="K1449" s="12"/>
      <c r="L1449" s="195">
        <v>10.5</v>
      </c>
      <c r="M1449" s="197">
        <v>112</v>
      </c>
      <c r="N1449" s="360">
        <v>1</v>
      </c>
      <c r="O1449" s="61"/>
      <c r="P1449" s="61" t="s">
        <v>92</v>
      </c>
      <c r="Q1449" s="12"/>
      <c r="R1449" s="192" t="str">
        <f>CONCATENATE(N1449,P1449)</f>
        <v>1pieces</v>
      </c>
      <c r="S1449" s="198">
        <f>M1449*N1449</f>
        <v>112</v>
      </c>
      <c r="T1449" s="199" t="str">
        <f>CONCATENATE(S1449,Q1449,P1449)</f>
        <v>112pieces</v>
      </c>
      <c r="U1449" s="200">
        <f>L1449*M1449</f>
        <v>1176</v>
      </c>
      <c r="V1449" s="12"/>
      <c r="W1449" s="12"/>
    </row>
    <row r="1450" spans="1:23" x14ac:dyDescent="0.3">
      <c r="A1450" s="479">
        <v>554</v>
      </c>
      <c r="B1450" s="194" t="s">
        <v>105</v>
      </c>
      <c r="C1450" s="487"/>
      <c r="D1450" s="485" t="str">
        <f ca="1">IFERROR(__xludf.DUMMYFUNCTION("IF(J405="""",""n/a"",IFERROR(SPLIT(J405,""/"")))"),"Coca-Cola (pcsx250ml)")</f>
        <v>Coca-Cola (pcsx250ml)</v>
      </c>
      <c r="E1450" s="487"/>
      <c r="F1450" s="487"/>
      <c r="G1450" s="487"/>
      <c r="H1450" s="183" t="s">
        <v>1895</v>
      </c>
      <c r="I1450" s="487"/>
      <c r="J1450" s="46" t="s">
        <v>106</v>
      </c>
      <c r="K1450" s="487"/>
      <c r="L1450" s="195">
        <v>14.35</v>
      </c>
      <c r="M1450" s="197">
        <v>240</v>
      </c>
      <c r="N1450" s="61">
        <v>1</v>
      </c>
      <c r="O1450" s="170">
        <f>E1450</f>
        <v>0</v>
      </c>
      <c r="P1450" s="61" t="s">
        <v>92</v>
      </c>
      <c r="Q1450" s="487"/>
      <c r="R1450" s="192" t="str">
        <f>CONCATENATE(N1450,P1450)</f>
        <v>1pieces</v>
      </c>
      <c r="S1450" s="198">
        <f>M1450*N1450</f>
        <v>240</v>
      </c>
      <c r="T1450" s="199" t="str">
        <f>CONCATENATE(S1450,Q1450,P1450)</f>
        <v>240pieces</v>
      </c>
      <c r="U1450" s="200">
        <f>L1450*M1450</f>
        <v>3444</v>
      </c>
      <c r="V1450" s="12"/>
      <c r="W1450" s="12"/>
    </row>
    <row r="1451" spans="1:23" x14ac:dyDescent="0.3">
      <c r="A1451" s="193">
        <v>555</v>
      </c>
      <c r="B1451" s="194" t="s">
        <v>683</v>
      </c>
      <c r="C1451" s="487"/>
      <c r="D1451" s="485" t="str">
        <f ca="1">IFERROR(__xludf.DUMMYFUNCTION("IF(J406="""",""n/a"",IFERROR(SPLIT(J406,""/"")))"),"n/a")</f>
        <v>n/a</v>
      </c>
      <c r="E1451" s="487"/>
      <c r="F1451" s="487"/>
      <c r="G1451" s="487"/>
      <c r="H1451" s="206" t="s">
        <v>1898</v>
      </c>
      <c r="I1451" s="487"/>
      <c r="J1451" s="170"/>
      <c r="K1451" s="487"/>
      <c r="L1451" s="197">
        <v>0.19</v>
      </c>
      <c r="M1451" s="386">
        <v>400</v>
      </c>
      <c r="N1451" s="208">
        <v>1800</v>
      </c>
      <c r="O1451" s="170">
        <f>E1451</f>
        <v>0</v>
      </c>
      <c r="P1451" s="61" t="s">
        <v>39</v>
      </c>
      <c r="Q1451" s="487"/>
      <c r="R1451" s="192" t="str">
        <f>CONCATENATE(N1451,P1451)</f>
        <v>1800grams</v>
      </c>
      <c r="S1451" s="198">
        <f>M1451*N1451</f>
        <v>720000</v>
      </c>
      <c r="T1451" s="199" t="str">
        <f>CONCATENATE(S1451,Q1451,P1451)</f>
        <v>720000grams</v>
      </c>
      <c r="U1451" s="200">
        <f>L1451*M1451</f>
        <v>76</v>
      </c>
      <c r="V1451" s="12"/>
      <c r="W1451" s="12"/>
    </row>
    <row r="1452" spans="1:23" x14ac:dyDescent="0.3">
      <c r="A1452" s="479">
        <v>556</v>
      </c>
      <c r="B1452" s="194" t="s">
        <v>684</v>
      </c>
      <c r="C1452" s="487"/>
      <c r="D1452" s="485" t="str">
        <f ca="1">IFERROR(__xludf.DUMMYFUNCTION("IF(J407="""",""n/a"",IFERROR(SPLIT(J407,""/"")))"),"n/a")</f>
        <v>n/a</v>
      </c>
      <c r="E1452" s="487"/>
      <c r="F1452" s="487"/>
      <c r="G1452" s="487"/>
      <c r="H1452" s="206" t="s">
        <v>1898</v>
      </c>
      <c r="I1452" s="487"/>
      <c r="J1452" s="170"/>
      <c r="K1452" s="487"/>
      <c r="L1452" s="197">
        <v>0.16</v>
      </c>
      <c r="M1452" s="386">
        <v>150</v>
      </c>
      <c r="N1452" s="208">
        <v>1000</v>
      </c>
      <c r="O1452" s="170">
        <f>E1452</f>
        <v>0</v>
      </c>
      <c r="P1452" s="61" t="s">
        <v>39</v>
      </c>
      <c r="Q1452" s="487"/>
      <c r="R1452" s="192" t="str">
        <f>CONCATENATE(N1452,P1452)</f>
        <v>1000grams</v>
      </c>
      <c r="S1452" s="198">
        <f>M1452*N1452</f>
        <v>150000</v>
      </c>
      <c r="T1452" s="199" t="str">
        <f>CONCATENATE(S1452,Q1452,P1452)</f>
        <v>150000grams</v>
      </c>
      <c r="U1452" s="200">
        <f>L1452*M1452</f>
        <v>24</v>
      </c>
      <c r="V1452" s="12"/>
      <c r="W1452" s="12"/>
    </row>
    <row r="1453" spans="1:23" x14ac:dyDescent="0.3">
      <c r="A1453" s="479">
        <v>557</v>
      </c>
      <c r="B1453" s="194" t="s">
        <v>313</v>
      </c>
      <c r="C1453" s="487"/>
      <c r="D1453" s="485" t="str">
        <f ca="1">IFERROR(__xludf.DUMMYFUNCTION("IF(J408="""",""n/a"",IFERROR(SPLIT(J408,""/"")))"),"marukume")</f>
        <v>marukume</v>
      </c>
      <c r="E1453" s="487"/>
      <c r="F1453" s="487"/>
      <c r="G1453" s="487"/>
      <c r="H1453" s="183" t="s">
        <v>1895</v>
      </c>
      <c r="I1453" s="487"/>
      <c r="J1453" s="46" t="s">
        <v>314</v>
      </c>
      <c r="K1453" s="487"/>
      <c r="L1453" s="195">
        <v>198</v>
      </c>
      <c r="M1453" s="197">
        <v>2</v>
      </c>
      <c r="N1453" s="61">
        <v>1</v>
      </c>
      <c r="O1453" s="170">
        <f>E1453</f>
        <v>0</v>
      </c>
      <c r="P1453" s="61" t="s">
        <v>39</v>
      </c>
      <c r="Q1453" s="487"/>
      <c r="R1453" s="192" t="str">
        <f>CONCATENATE(N1453,P1453)</f>
        <v>1grams</v>
      </c>
      <c r="S1453" s="198">
        <f>M1453*N1453</f>
        <v>2</v>
      </c>
      <c r="T1453" s="199" t="str">
        <f>CONCATENATE(S1453,Q1453,P1453)</f>
        <v>2grams</v>
      </c>
      <c r="U1453" s="200">
        <f>L1453*M1453</f>
        <v>396</v>
      </c>
      <c r="V1453" s="12"/>
      <c r="W1453" s="12"/>
    </row>
    <row r="1454" spans="1:23" x14ac:dyDescent="0.3">
      <c r="A1454" s="479">
        <v>558</v>
      </c>
      <c r="B1454" s="194" t="s">
        <v>327</v>
      </c>
      <c r="C1454" s="487"/>
      <c r="D1454" s="485" t="str">
        <f ca="1">IFERROR(__xludf.DUMMYFUNCTION("IF(J409="""",""n/a"",IFERROR(SPLIT(J409,""/"")))"),"Excellent")</f>
        <v>Excellent</v>
      </c>
      <c r="E1454" s="485" t="str">
        <f ca="1">IFERROR(__xludf.DUMMYFUNCTION("""COMPUTED_VALUE"""),"pack")</f>
        <v>pack</v>
      </c>
      <c r="F1454" s="485" t="str">
        <f ca="1">IFERROR(__xludf.DUMMYFUNCTION("""COMPUTED_VALUE"""),"10x100grams")</f>
        <v>10x100grams</v>
      </c>
      <c r="G1454" s="487"/>
      <c r="H1454" s="183" t="s">
        <v>1895</v>
      </c>
      <c r="I1454" s="487"/>
      <c r="J1454" s="46" t="s">
        <v>328</v>
      </c>
      <c r="K1454" s="487"/>
      <c r="L1454" s="195">
        <v>236.7</v>
      </c>
      <c r="M1454" s="197">
        <v>4</v>
      </c>
      <c r="N1454" s="61">
        <v>1</v>
      </c>
      <c r="O1454" s="61" t="str">
        <f ca="1">E1454</f>
        <v>pack</v>
      </c>
      <c r="P1454" s="61" t="s">
        <v>39</v>
      </c>
      <c r="Q1454" s="487"/>
      <c r="R1454" s="192" t="str">
        <f>CONCATENATE(N1454,P1454)</f>
        <v>1grams</v>
      </c>
      <c r="S1454" s="198">
        <f>M1454*N1454</f>
        <v>4</v>
      </c>
      <c r="T1454" s="199" t="str">
        <f>CONCATENATE(S1454,Q1454,P1454)</f>
        <v>4grams</v>
      </c>
      <c r="U1454" s="200">
        <f>L1454*M1454</f>
        <v>946.8</v>
      </c>
      <c r="V1454" s="12"/>
      <c r="W1454" s="12"/>
    </row>
    <row r="1455" spans="1:23" x14ac:dyDescent="0.3">
      <c r="A1455" s="479">
        <v>558</v>
      </c>
      <c r="B1455" s="194" t="s">
        <v>327</v>
      </c>
      <c r="C1455" s="487"/>
      <c r="D1455" s="485" t="str">
        <f ca="1">IFERROR(__xludf.DUMMYFUNCTION("IF(J410="""",""n/a"",IFERROR(SPLIT(J410,""/"")))"),"n/a")</f>
        <v>n/a</v>
      </c>
      <c r="E1455" s="487"/>
      <c r="F1455" s="487"/>
      <c r="G1455" s="487"/>
      <c r="H1455" s="206" t="s">
        <v>1898</v>
      </c>
      <c r="I1455" s="487"/>
      <c r="J1455" s="170"/>
      <c r="K1455" s="487"/>
      <c r="L1455" s="197">
        <v>0.24</v>
      </c>
      <c r="M1455" s="386">
        <v>2800</v>
      </c>
      <c r="N1455" s="208">
        <v>1000</v>
      </c>
      <c r="O1455" s="170">
        <f>E1455</f>
        <v>0</v>
      </c>
      <c r="P1455" s="61" t="s">
        <v>39</v>
      </c>
      <c r="Q1455" s="487"/>
      <c r="R1455" s="192" t="str">
        <f>CONCATENATE(N1455,P1455)</f>
        <v>1000grams</v>
      </c>
      <c r="S1455" s="198">
        <f>M1455*N1455</f>
        <v>2800000</v>
      </c>
      <c r="T1455" s="199" t="str">
        <f>CONCATENATE(S1455,Q1455,P1455)</f>
        <v>2800000grams</v>
      </c>
      <c r="U1455" s="200">
        <f>L1455*M1455</f>
        <v>672</v>
      </c>
      <c r="V1455" s="12"/>
      <c r="W1455" s="12"/>
    </row>
    <row r="1456" spans="1:23" x14ac:dyDescent="0.3">
      <c r="A1456" s="193">
        <v>558</v>
      </c>
      <c r="B1456" s="46" t="s">
        <v>327</v>
      </c>
      <c r="C1456" s="315"/>
      <c r="D1456" s="316"/>
      <c r="E1456" s="315"/>
      <c r="F1456" s="315"/>
      <c r="G1456" s="315"/>
      <c r="H1456" s="194" t="s">
        <v>2025</v>
      </c>
      <c r="I1456" s="12"/>
      <c r="J1456" s="46" t="s">
        <v>1056</v>
      </c>
      <c r="K1456" s="12"/>
      <c r="L1456" s="197">
        <v>23.6</v>
      </c>
      <c r="M1456" s="197">
        <v>8</v>
      </c>
      <c r="N1456" s="290">
        <v>100</v>
      </c>
      <c r="O1456" s="46"/>
      <c r="P1456" s="46" t="s">
        <v>39</v>
      </c>
      <c r="Q1456" s="12"/>
      <c r="R1456" s="192" t="str">
        <f>CONCATENATE(N1456,P1456)</f>
        <v>100grams</v>
      </c>
      <c r="S1456" s="198">
        <f>M1456*N1456</f>
        <v>800</v>
      </c>
      <c r="T1456" s="199" t="str">
        <f>CONCATENATE(S1456,Q1456,P1456)</f>
        <v>800grams</v>
      </c>
      <c r="U1456" s="200">
        <f>L1456*M1456</f>
        <v>188.8</v>
      </c>
      <c r="V1456" s="12"/>
      <c r="W1456" s="12"/>
    </row>
    <row r="1457" spans="1:23" x14ac:dyDescent="0.3">
      <c r="A1457" s="193">
        <v>558</v>
      </c>
      <c r="B1457" s="46" t="s">
        <v>327</v>
      </c>
      <c r="C1457" s="315"/>
      <c r="D1457" s="316"/>
      <c r="E1457" s="315"/>
      <c r="F1457" s="315"/>
      <c r="G1457" s="315"/>
      <c r="H1457" s="194" t="s">
        <v>2026</v>
      </c>
      <c r="I1457" s="12"/>
      <c r="J1457" s="46" t="s">
        <v>1056</v>
      </c>
      <c r="K1457" s="12"/>
      <c r="L1457" s="197">
        <v>236.7</v>
      </c>
      <c r="M1457" s="197">
        <v>1</v>
      </c>
      <c r="N1457" s="290">
        <v>1</v>
      </c>
      <c r="O1457" s="46"/>
      <c r="P1457" s="46" t="s">
        <v>1466</v>
      </c>
      <c r="Q1457" s="12"/>
      <c r="R1457" s="192" t="str">
        <f>CONCATENATE(N1457,P1457)</f>
        <v>1kl</v>
      </c>
      <c r="S1457" s="198">
        <f>M1457*N1457</f>
        <v>1</v>
      </c>
      <c r="T1457" s="199" t="str">
        <f>CONCATENATE(S1457,Q1457,P1457)</f>
        <v>1kl</v>
      </c>
      <c r="U1457" s="200">
        <f>L1457*M1457</f>
        <v>236.7</v>
      </c>
      <c r="V1457" s="12"/>
      <c r="W1457" s="12"/>
    </row>
    <row r="1458" spans="1:23" x14ac:dyDescent="0.3">
      <c r="A1458" s="193">
        <v>558</v>
      </c>
      <c r="B1458" s="46" t="s">
        <v>327</v>
      </c>
      <c r="C1458" s="315"/>
      <c r="D1458" s="316"/>
      <c r="E1458" s="315"/>
      <c r="F1458" s="315"/>
      <c r="G1458" s="315"/>
      <c r="H1458" s="194" t="s">
        <v>1368</v>
      </c>
      <c r="I1458" s="12"/>
      <c r="J1458" s="46" t="s">
        <v>1467</v>
      </c>
      <c r="K1458" s="12"/>
      <c r="L1458" s="197">
        <v>20</v>
      </c>
      <c r="M1458" s="197">
        <v>4</v>
      </c>
      <c r="N1458" s="290">
        <v>100</v>
      </c>
      <c r="O1458" s="46"/>
      <c r="P1458" s="46" t="s">
        <v>39</v>
      </c>
      <c r="Q1458" s="12"/>
      <c r="R1458" s="192" t="str">
        <f>CONCATENATE(N1458,P1458)</f>
        <v>100grams</v>
      </c>
      <c r="S1458" s="198">
        <f>M1458*N1458</f>
        <v>400</v>
      </c>
      <c r="T1458" s="199" t="str">
        <f>CONCATENATE(S1458,Q1458,P1458)</f>
        <v>400grams</v>
      </c>
      <c r="U1458" s="200">
        <f>L1458*M1458</f>
        <v>80</v>
      </c>
      <c r="V1458" s="12"/>
      <c r="W1458" s="12"/>
    </row>
    <row r="1459" spans="1:23" x14ac:dyDescent="0.3">
      <c r="A1459" s="193">
        <v>558</v>
      </c>
      <c r="B1459" s="46" t="s">
        <v>327</v>
      </c>
      <c r="C1459" s="315"/>
      <c r="D1459" s="316"/>
      <c r="E1459" s="315"/>
      <c r="F1459" s="315"/>
      <c r="G1459" s="315"/>
      <c r="H1459" s="194" t="s">
        <v>2023</v>
      </c>
      <c r="I1459" s="12"/>
      <c r="J1459" s="46" t="s">
        <v>1468</v>
      </c>
      <c r="K1459" s="12"/>
      <c r="L1459" s="396">
        <v>125</v>
      </c>
      <c r="M1459" s="197">
        <v>2</v>
      </c>
      <c r="N1459" s="290">
        <v>1</v>
      </c>
      <c r="O1459" s="46"/>
      <c r="P1459" s="46" t="s">
        <v>213</v>
      </c>
      <c r="Q1459" s="12"/>
      <c r="R1459" s="192" t="str">
        <f>CONCATENATE(N1459,P1459)</f>
        <v>1kilos</v>
      </c>
      <c r="S1459" s="198">
        <f>M1459*N1459</f>
        <v>2</v>
      </c>
      <c r="T1459" s="199" t="str">
        <f>CONCATENATE(S1459,Q1459,P1459)</f>
        <v>2kilos</v>
      </c>
      <c r="U1459" s="200">
        <f>L1459*M1459</f>
        <v>250</v>
      </c>
      <c r="V1459" s="12"/>
      <c r="W1459" s="12"/>
    </row>
    <row r="1460" spans="1:23" x14ac:dyDescent="0.3">
      <c r="A1460" s="193">
        <v>558</v>
      </c>
      <c r="B1460" s="46" t="s">
        <v>327</v>
      </c>
      <c r="C1460" s="315"/>
      <c r="D1460" s="316"/>
      <c r="E1460" s="315"/>
      <c r="F1460" s="315"/>
      <c r="G1460" s="315"/>
      <c r="H1460" s="194" t="s">
        <v>2022</v>
      </c>
      <c r="I1460" s="12"/>
      <c r="J1460" s="46" t="s">
        <v>867</v>
      </c>
      <c r="K1460" s="12"/>
      <c r="L1460" s="197">
        <v>120</v>
      </c>
      <c r="M1460" s="197">
        <v>1</v>
      </c>
      <c r="N1460" s="290">
        <v>1</v>
      </c>
      <c r="O1460" s="46"/>
      <c r="P1460" s="46" t="s">
        <v>213</v>
      </c>
      <c r="Q1460" s="12"/>
      <c r="R1460" s="192" t="str">
        <f>CONCATENATE(N1460,P1460)</f>
        <v>1kilos</v>
      </c>
      <c r="S1460" s="198">
        <f>M1460*N1460</f>
        <v>1</v>
      </c>
      <c r="T1460" s="199" t="str">
        <f>CONCATENATE(S1460,Q1460,P1460)</f>
        <v>1kilos</v>
      </c>
      <c r="U1460" s="200">
        <f>L1460*M1460</f>
        <v>120</v>
      </c>
      <c r="V1460" s="12"/>
      <c r="W1460" s="12"/>
    </row>
    <row r="1461" spans="1:23" x14ac:dyDescent="0.3">
      <c r="A1461" s="193">
        <v>558</v>
      </c>
      <c r="B1461" s="46" t="s">
        <v>327</v>
      </c>
      <c r="C1461" s="315"/>
      <c r="D1461" s="316"/>
      <c r="E1461" s="315"/>
      <c r="F1461" s="315"/>
      <c r="G1461" s="315"/>
      <c r="H1461" s="400" t="s">
        <v>2027</v>
      </c>
      <c r="I1461" s="12"/>
      <c r="J1461" s="46" t="s">
        <v>1963</v>
      </c>
      <c r="K1461" s="12"/>
      <c r="L1461" s="195">
        <v>125</v>
      </c>
      <c r="M1461" s="197">
        <v>1</v>
      </c>
      <c r="N1461" s="360">
        <v>1</v>
      </c>
      <c r="O1461" s="61"/>
      <c r="P1461" s="61" t="s">
        <v>213</v>
      </c>
      <c r="Q1461" s="12"/>
      <c r="R1461" s="192" t="str">
        <f>CONCATENATE(N1461,P1461)</f>
        <v>1kilos</v>
      </c>
      <c r="S1461" s="198">
        <f>M1461*N1461</f>
        <v>1</v>
      </c>
      <c r="T1461" s="199" t="str">
        <f>CONCATENATE(S1461,Q1461,P1461)</f>
        <v>1kilos</v>
      </c>
      <c r="U1461" s="200">
        <f>L1461*M1461</f>
        <v>125</v>
      </c>
      <c r="V1461" s="12"/>
      <c r="W1461" s="12"/>
    </row>
    <row r="1462" spans="1:23" x14ac:dyDescent="0.3">
      <c r="A1462" s="479">
        <v>559</v>
      </c>
      <c r="B1462" s="194" t="s">
        <v>685</v>
      </c>
      <c r="C1462" s="487"/>
      <c r="D1462" s="485" t="str">
        <f ca="1">IFERROR(__xludf.DUMMYFUNCTION("IF(J411="""",""n/a"",IFERROR(SPLIT(J411,""/"")))"),"Unicorn")</f>
        <v>Unicorn</v>
      </c>
      <c r="E1462" s="485" t="str">
        <f ca="1">IFERROR(__xludf.DUMMYFUNCTION("""COMPUTED_VALUE"""),"pack")</f>
        <v>pack</v>
      </c>
      <c r="F1462" s="485" t="str">
        <f ca="1">IFERROR(__xludf.DUMMYFUNCTION("""COMPUTED_VALUE"""),"1000grams")</f>
        <v>1000grams</v>
      </c>
      <c r="G1462" s="487"/>
      <c r="H1462" s="183" t="s">
        <v>1897</v>
      </c>
      <c r="I1462" s="487"/>
      <c r="J1462" s="46" t="s">
        <v>686</v>
      </c>
      <c r="K1462" s="487"/>
      <c r="L1462" s="202">
        <v>0.13</v>
      </c>
      <c r="M1462" s="202">
        <v>3000</v>
      </c>
      <c r="N1462" s="203">
        <v>1000</v>
      </c>
      <c r="O1462" s="61" t="str">
        <f ca="1">E1462</f>
        <v>pack</v>
      </c>
      <c r="P1462" s="61" t="s">
        <v>39</v>
      </c>
      <c r="Q1462" s="487"/>
      <c r="R1462" s="192" t="str">
        <f>CONCATENATE(N1462,P1462)</f>
        <v>1000grams</v>
      </c>
      <c r="S1462" s="198">
        <f>M1462*N1462</f>
        <v>3000000</v>
      </c>
      <c r="T1462" s="199" t="str">
        <f>CONCATENATE(S1462,Q1462,P1462)</f>
        <v>3000000grams</v>
      </c>
      <c r="U1462" s="200">
        <f>L1462*M1462</f>
        <v>390</v>
      </c>
      <c r="V1462" s="12"/>
      <c r="W1462" s="12"/>
    </row>
    <row r="1463" spans="1:23" x14ac:dyDescent="0.3">
      <c r="A1463" s="479">
        <v>560</v>
      </c>
      <c r="B1463" s="194" t="s">
        <v>423</v>
      </c>
      <c r="C1463" s="487"/>
      <c r="D1463" s="485" t="str">
        <f ca="1">IFERROR(__xludf.DUMMYFUNCTION("IF(J412="""",""n/a"",IFERROR(SPLIT(J412,""/"")))"),"Oishi")</f>
        <v>Oishi</v>
      </c>
      <c r="E1463" s="485" t="str">
        <f ca="1">IFERROR(__xludf.DUMMYFUNCTION("""COMPUTED_VALUE"""),"pack")</f>
        <v>pack</v>
      </c>
      <c r="F1463" s="485" t="str">
        <f ca="1">IFERROR(__xludf.DUMMYFUNCTION("""COMPUTED_VALUE"""),"pc")</f>
        <v>pc</v>
      </c>
      <c r="G1463" s="485" t="str">
        <f ca="1">IFERROR(__xludf.DUMMYFUNCTION("""COMPUTED_VALUE"""),"60grams")</f>
        <v>60grams</v>
      </c>
      <c r="H1463" s="183" t="s">
        <v>1895</v>
      </c>
      <c r="I1463" s="487"/>
      <c r="J1463" s="46" t="s">
        <v>424</v>
      </c>
      <c r="K1463" s="487"/>
      <c r="L1463" s="195">
        <v>16.329999999999998</v>
      </c>
      <c r="M1463" s="197">
        <v>50</v>
      </c>
      <c r="N1463" s="61">
        <v>1</v>
      </c>
      <c r="O1463" s="61" t="str">
        <f ca="1">E1463</f>
        <v>pack</v>
      </c>
      <c r="P1463" s="61" t="s">
        <v>92</v>
      </c>
      <c r="Q1463" s="487"/>
      <c r="R1463" s="192" t="str">
        <f>CONCATENATE(N1463,P1463)</f>
        <v>1pieces</v>
      </c>
      <c r="S1463" s="198">
        <f>M1463*N1463</f>
        <v>50</v>
      </c>
      <c r="T1463" s="199" t="str">
        <f>CONCATENATE(S1463,Q1463,P1463)</f>
        <v>50pieces</v>
      </c>
      <c r="U1463" s="200">
        <f>L1463*M1463</f>
        <v>816.49999999999989</v>
      </c>
      <c r="V1463" s="12"/>
      <c r="W1463" s="12"/>
    </row>
    <row r="1464" spans="1:23" x14ac:dyDescent="0.3">
      <c r="A1464" s="479">
        <v>561</v>
      </c>
      <c r="B1464" s="194" t="s">
        <v>687</v>
      </c>
      <c r="C1464" s="487"/>
      <c r="D1464" s="485" t="str">
        <f ca="1">IFERROR(__xludf.DUMMYFUNCTION("IF(J413="""",""n/a"",IFERROR(SPLIT(J413,""/"")))"),"n/a")</f>
        <v>n/a</v>
      </c>
      <c r="E1464" s="487"/>
      <c r="F1464" s="487"/>
      <c r="G1464" s="487"/>
      <c r="H1464" s="206" t="s">
        <v>1898</v>
      </c>
      <c r="I1464" s="487"/>
      <c r="J1464" s="170"/>
      <c r="K1464" s="487"/>
      <c r="L1464" s="197">
        <v>15.04</v>
      </c>
      <c r="M1464" s="386">
        <v>113</v>
      </c>
      <c r="N1464" s="208">
        <v>1</v>
      </c>
      <c r="O1464" s="170">
        <f>E1464</f>
        <v>0</v>
      </c>
      <c r="P1464" s="61" t="s">
        <v>92</v>
      </c>
      <c r="Q1464" s="487"/>
      <c r="R1464" s="192" t="str">
        <f>CONCATENATE(N1464,P1464)</f>
        <v>1pieces</v>
      </c>
      <c r="S1464" s="198">
        <f>M1464*N1464</f>
        <v>113</v>
      </c>
      <c r="T1464" s="199" t="str">
        <f>CONCATENATE(S1464,Q1464,P1464)</f>
        <v>113pieces</v>
      </c>
      <c r="U1464" s="200">
        <f>L1464*M1464</f>
        <v>1699.52</v>
      </c>
      <c r="V1464" s="12"/>
      <c r="W1464" s="12"/>
    </row>
    <row r="1465" spans="1:23" x14ac:dyDescent="0.3">
      <c r="A1465" s="193">
        <v>562</v>
      </c>
      <c r="B1465" s="46" t="s">
        <v>1469</v>
      </c>
      <c r="C1465" s="315"/>
      <c r="D1465" s="316"/>
      <c r="E1465" s="315"/>
      <c r="F1465" s="315"/>
      <c r="G1465" s="315"/>
      <c r="H1465" s="194" t="s">
        <v>2025</v>
      </c>
      <c r="I1465" s="12"/>
      <c r="J1465" s="46" t="s">
        <v>1470</v>
      </c>
      <c r="K1465" s="12"/>
      <c r="L1465" s="197">
        <v>50</v>
      </c>
      <c r="M1465" s="197">
        <v>3</v>
      </c>
      <c r="N1465" s="290">
        <v>400</v>
      </c>
      <c r="O1465" s="46"/>
      <c r="P1465" s="46" t="s">
        <v>39</v>
      </c>
      <c r="Q1465" s="12"/>
      <c r="R1465" s="192" t="str">
        <f>CONCATENATE(N1465,P1465)</f>
        <v>400grams</v>
      </c>
      <c r="S1465" s="198">
        <f>M1465*N1465</f>
        <v>1200</v>
      </c>
      <c r="T1465" s="199" t="str">
        <f>CONCATENATE(S1465,Q1465,P1465)</f>
        <v>1200grams</v>
      </c>
      <c r="U1465" s="200">
        <f>L1465*M1465</f>
        <v>150</v>
      </c>
      <c r="V1465" s="12"/>
      <c r="W1465" s="12"/>
    </row>
    <row r="1466" spans="1:23" x14ac:dyDescent="0.3">
      <c r="A1466" s="479">
        <v>563</v>
      </c>
      <c r="B1466" s="194" t="s">
        <v>454</v>
      </c>
      <c r="C1466" s="487"/>
      <c r="D1466" s="485" t="str">
        <f ca="1">IFERROR(__xludf.DUMMYFUNCTION("IF(J414="""",""n/a"",IFERROR(SPLIT(J414,""/"")))"),"Fresh")</f>
        <v>Fresh</v>
      </c>
      <c r="E1466" s="487"/>
      <c r="F1466" s="487"/>
      <c r="G1466" s="487"/>
      <c r="H1466" s="183" t="s">
        <v>1897</v>
      </c>
      <c r="I1466" s="487"/>
      <c r="J1466" s="46" t="s">
        <v>216</v>
      </c>
      <c r="K1466" s="487"/>
      <c r="L1466" s="217">
        <v>0.14000000000000001</v>
      </c>
      <c r="M1466" s="202">
        <v>5000</v>
      </c>
      <c r="N1466" s="203">
        <v>1000</v>
      </c>
      <c r="O1466" s="170">
        <f>E1466</f>
        <v>0</v>
      </c>
      <c r="P1466" s="61" t="s">
        <v>39</v>
      </c>
      <c r="Q1466" s="487"/>
      <c r="R1466" s="192" t="str">
        <f>CONCATENATE(N1466,P1466)</f>
        <v>1000grams</v>
      </c>
      <c r="S1466" s="198">
        <f>M1466*N1466</f>
        <v>5000000</v>
      </c>
      <c r="T1466" s="199" t="str">
        <f>CONCATENATE(S1466,Q1466,P1466)</f>
        <v>5000000grams</v>
      </c>
      <c r="U1466" s="200">
        <f>L1466*M1466</f>
        <v>700.00000000000011</v>
      </c>
      <c r="V1466" s="12"/>
      <c r="W1466" s="12"/>
    </row>
    <row r="1467" spans="1:23" x14ac:dyDescent="0.3">
      <c r="A1467" s="479">
        <v>563</v>
      </c>
      <c r="B1467" s="194" t="s">
        <v>454</v>
      </c>
      <c r="C1467" s="487"/>
      <c r="D1467" s="485" t="str">
        <f ca="1">IFERROR(__xludf.DUMMYFUNCTION("IF(J415="""",""n/a"",IFERROR(SPLIT(J415,""/"")))"),"Fresh")</f>
        <v>Fresh</v>
      </c>
      <c r="E1467" s="487"/>
      <c r="F1467" s="487"/>
      <c r="G1467" s="487"/>
      <c r="H1467" s="183" t="s">
        <v>1895</v>
      </c>
      <c r="I1467" s="487"/>
      <c r="J1467" s="46" t="s">
        <v>216</v>
      </c>
      <c r="K1467" s="487"/>
      <c r="L1467" s="195">
        <v>120</v>
      </c>
      <c r="M1467" s="197">
        <v>15</v>
      </c>
      <c r="N1467" s="61">
        <v>1</v>
      </c>
      <c r="O1467" s="170">
        <f>E1467</f>
        <v>0</v>
      </c>
      <c r="P1467" s="61" t="s">
        <v>39</v>
      </c>
      <c r="Q1467" s="487"/>
      <c r="R1467" s="192" t="str">
        <f>CONCATENATE(N1467,P1467)</f>
        <v>1grams</v>
      </c>
      <c r="S1467" s="198">
        <f>M1467*N1467</f>
        <v>15</v>
      </c>
      <c r="T1467" s="199" t="str">
        <f>CONCATENATE(S1467,Q1467,P1467)</f>
        <v>15grams</v>
      </c>
      <c r="U1467" s="200">
        <f>L1467*M1467</f>
        <v>1800</v>
      </c>
      <c r="V1467" s="12"/>
      <c r="W1467" s="12"/>
    </row>
    <row r="1468" spans="1:23" x14ac:dyDescent="0.3">
      <c r="A1468" s="479">
        <v>563</v>
      </c>
      <c r="B1468" s="194" t="s">
        <v>454</v>
      </c>
      <c r="C1468" s="487"/>
      <c r="D1468" s="485" t="str">
        <f ca="1">IFERROR(__xludf.DUMMYFUNCTION("IF(J416="""",""n/a"",IFERROR(SPLIT(J416,""/"")))"),"n/a")</f>
        <v>n/a</v>
      </c>
      <c r="E1468" s="487"/>
      <c r="F1468" s="487"/>
      <c r="G1468" s="487"/>
      <c r="H1468" s="206" t="s">
        <v>1898</v>
      </c>
      <c r="I1468" s="487"/>
      <c r="J1468" s="170"/>
      <c r="K1468" s="487"/>
      <c r="L1468" s="197">
        <v>0.14000000000000001</v>
      </c>
      <c r="M1468" s="386">
        <v>9000</v>
      </c>
      <c r="N1468" s="208">
        <v>1000</v>
      </c>
      <c r="O1468" s="170">
        <f>E1468</f>
        <v>0</v>
      </c>
      <c r="P1468" s="61" t="s">
        <v>39</v>
      </c>
      <c r="Q1468" s="487"/>
      <c r="R1468" s="192" t="str">
        <f>CONCATENATE(N1468,P1468)</f>
        <v>1000grams</v>
      </c>
      <c r="S1468" s="198">
        <f>M1468*N1468</f>
        <v>9000000</v>
      </c>
      <c r="T1468" s="199" t="str">
        <f>CONCATENATE(S1468,Q1468,P1468)</f>
        <v>9000000grams</v>
      </c>
      <c r="U1468" s="200">
        <f>L1468*M1468</f>
        <v>1260.0000000000002</v>
      </c>
      <c r="V1468" s="12"/>
      <c r="W1468" s="12"/>
    </row>
    <row r="1469" spans="1:23" x14ac:dyDescent="0.3">
      <c r="A1469" s="193">
        <v>563</v>
      </c>
      <c r="B1469" s="46" t="s">
        <v>454</v>
      </c>
      <c r="C1469" s="315"/>
      <c r="D1469" s="316"/>
      <c r="E1469" s="315"/>
      <c r="F1469" s="315"/>
      <c r="G1469" s="315"/>
      <c r="H1469" s="194" t="s">
        <v>29</v>
      </c>
      <c r="I1469" s="12"/>
      <c r="J1469" s="170"/>
      <c r="K1469" s="12"/>
      <c r="L1469" s="197">
        <v>85</v>
      </c>
      <c r="M1469" s="197">
        <v>2</v>
      </c>
      <c r="N1469" s="290">
        <v>1</v>
      </c>
      <c r="O1469" s="46"/>
      <c r="P1469" s="46" t="s">
        <v>213</v>
      </c>
      <c r="Q1469" s="12"/>
      <c r="R1469" s="192" t="str">
        <f>CONCATENATE(N1469,P1469)</f>
        <v>1kilos</v>
      </c>
      <c r="S1469" s="198">
        <f>M1469*N1469</f>
        <v>2</v>
      </c>
      <c r="T1469" s="199" t="str">
        <f>CONCATENATE(S1469,Q1469,P1469)</f>
        <v>2kilos</v>
      </c>
      <c r="U1469" s="200">
        <f>L1469*M1469</f>
        <v>170</v>
      </c>
      <c r="V1469" s="12"/>
      <c r="W1469" s="12"/>
    </row>
    <row r="1470" spans="1:23" x14ac:dyDescent="0.3">
      <c r="A1470" s="193">
        <v>563</v>
      </c>
      <c r="B1470" s="46" t="s">
        <v>454</v>
      </c>
      <c r="C1470" s="315"/>
      <c r="D1470" s="316"/>
      <c r="E1470" s="315"/>
      <c r="F1470" s="315"/>
      <c r="G1470" s="315"/>
      <c r="H1470" s="194" t="s">
        <v>2025</v>
      </c>
      <c r="I1470" s="12"/>
      <c r="J1470" s="46" t="s">
        <v>1191</v>
      </c>
      <c r="K1470" s="12"/>
      <c r="L1470" s="197">
        <v>88</v>
      </c>
      <c r="M1470" s="197">
        <v>6</v>
      </c>
      <c r="N1470" s="290">
        <v>1</v>
      </c>
      <c r="O1470" s="46"/>
      <c r="P1470" s="46" t="s">
        <v>213</v>
      </c>
      <c r="Q1470" s="12"/>
      <c r="R1470" s="192" t="str">
        <f>CONCATENATE(N1470,P1470)</f>
        <v>1kilos</v>
      </c>
      <c r="S1470" s="198">
        <f>M1470*N1470</f>
        <v>6</v>
      </c>
      <c r="T1470" s="199" t="str">
        <f>CONCATENATE(S1470,Q1470,P1470)</f>
        <v>6kilos</v>
      </c>
      <c r="U1470" s="200">
        <f>L1470*M1470</f>
        <v>528</v>
      </c>
      <c r="V1470" s="12"/>
      <c r="W1470" s="12"/>
    </row>
    <row r="1471" spans="1:23" x14ac:dyDescent="0.3">
      <c r="A1471" s="193">
        <v>563</v>
      </c>
      <c r="B1471" s="46" t="s">
        <v>454</v>
      </c>
      <c r="C1471" s="315"/>
      <c r="D1471" s="316"/>
      <c r="E1471" s="315"/>
      <c r="F1471" s="315"/>
      <c r="G1471" s="315"/>
      <c r="H1471" s="194" t="s">
        <v>2026</v>
      </c>
      <c r="I1471" s="12"/>
      <c r="J1471" s="170"/>
      <c r="K1471" s="12"/>
      <c r="L1471" s="197">
        <v>90</v>
      </c>
      <c r="M1471" s="197">
        <v>1</v>
      </c>
      <c r="N1471" s="290">
        <v>1</v>
      </c>
      <c r="O1471" s="46"/>
      <c r="P1471" s="46" t="s">
        <v>213</v>
      </c>
      <c r="Q1471" s="12"/>
      <c r="R1471" s="192" t="str">
        <f>CONCATENATE(N1471,P1471)</f>
        <v>1kilos</v>
      </c>
      <c r="S1471" s="198">
        <f>M1471*N1471</f>
        <v>1</v>
      </c>
      <c r="T1471" s="199" t="str">
        <f>CONCATENATE(S1471,Q1471,P1471)</f>
        <v>1kilos</v>
      </c>
      <c r="U1471" s="200">
        <f>L1471*M1471</f>
        <v>90</v>
      </c>
      <c r="V1471" s="12"/>
      <c r="W1471" s="12"/>
    </row>
    <row r="1472" spans="1:23" x14ac:dyDescent="0.3">
      <c r="A1472" s="193">
        <v>563</v>
      </c>
      <c r="B1472" s="46" t="s">
        <v>454</v>
      </c>
      <c r="C1472" s="315"/>
      <c r="D1472" s="316"/>
      <c r="E1472" s="315"/>
      <c r="F1472" s="315"/>
      <c r="G1472" s="315"/>
      <c r="H1472" s="194" t="s">
        <v>1368</v>
      </c>
      <c r="I1472" s="12"/>
      <c r="J1472" s="170"/>
      <c r="K1472" s="12"/>
      <c r="L1472" s="197">
        <v>100</v>
      </c>
      <c r="M1472" s="197">
        <v>7</v>
      </c>
      <c r="N1472" s="290">
        <v>1</v>
      </c>
      <c r="O1472" s="46"/>
      <c r="P1472" s="46" t="s">
        <v>213</v>
      </c>
      <c r="Q1472" s="12"/>
      <c r="R1472" s="192" t="str">
        <f>CONCATENATE(N1472,P1472)</f>
        <v>1kilos</v>
      </c>
      <c r="S1472" s="198">
        <f>M1472*N1472</f>
        <v>7</v>
      </c>
      <c r="T1472" s="199" t="str">
        <f>CONCATENATE(S1472,Q1472,P1472)</f>
        <v>7kilos</v>
      </c>
      <c r="U1472" s="200">
        <f>L1472*M1472</f>
        <v>700</v>
      </c>
      <c r="V1472" s="12"/>
      <c r="W1472" s="12"/>
    </row>
    <row r="1473" spans="1:23" x14ac:dyDescent="0.3">
      <c r="A1473" s="193">
        <v>563</v>
      </c>
      <c r="B1473" s="46" t="s">
        <v>454</v>
      </c>
      <c r="C1473" s="315"/>
      <c r="D1473" s="316"/>
      <c r="E1473" s="315"/>
      <c r="F1473" s="315"/>
      <c r="G1473" s="315"/>
      <c r="H1473" s="194" t="s">
        <v>2023</v>
      </c>
      <c r="I1473" s="12"/>
      <c r="J1473" s="170"/>
      <c r="K1473" s="12"/>
      <c r="L1473" s="197">
        <v>95</v>
      </c>
      <c r="M1473" s="197">
        <v>1</v>
      </c>
      <c r="N1473" s="290">
        <v>1</v>
      </c>
      <c r="O1473" s="46"/>
      <c r="P1473" s="46" t="s">
        <v>213</v>
      </c>
      <c r="Q1473" s="12"/>
      <c r="R1473" s="192" t="str">
        <f>CONCATENATE(N1473,P1473)</f>
        <v>1kilos</v>
      </c>
      <c r="S1473" s="198">
        <f>M1473*N1473</f>
        <v>1</v>
      </c>
      <c r="T1473" s="199" t="str">
        <f>CONCATENATE(S1473,Q1473,P1473)</f>
        <v>1kilos</v>
      </c>
      <c r="U1473" s="200">
        <f>L1473*M1473</f>
        <v>95</v>
      </c>
      <c r="V1473" s="12"/>
      <c r="W1473" s="12"/>
    </row>
    <row r="1474" spans="1:23" x14ac:dyDescent="0.3">
      <c r="A1474" s="193">
        <v>563</v>
      </c>
      <c r="B1474" s="46" t="s">
        <v>454</v>
      </c>
      <c r="C1474" s="315"/>
      <c r="D1474" s="316"/>
      <c r="E1474" s="315"/>
      <c r="F1474" s="315"/>
      <c r="G1474" s="315"/>
      <c r="H1474" s="194" t="s">
        <v>2021</v>
      </c>
      <c r="I1474" s="12"/>
      <c r="J1474" s="215"/>
      <c r="K1474" s="12"/>
      <c r="L1474" s="216">
        <v>130</v>
      </c>
      <c r="M1474" s="216">
        <v>1</v>
      </c>
      <c r="N1474" s="290">
        <v>1</v>
      </c>
      <c r="O1474" s="46"/>
      <c r="P1474" s="46" t="s">
        <v>213</v>
      </c>
      <c r="Q1474" s="12"/>
      <c r="R1474" s="192" t="str">
        <f>CONCATENATE(N1474,P1474)</f>
        <v>1kilos</v>
      </c>
      <c r="S1474" s="198">
        <f>M1474*N1474</f>
        <v>1</v>
      </c>
      <c r="T1474" s="199" t="str">
        <f>CONCATENATE(S1474,Q1474,P1474)</f>
        <v>1kilos</v>
      </c>
      <c r="U1474" s="200">
        <f>L1474*M1474</f>
        <v>130</v>
      </c>
      <c r="V1474" s="12"/>
      <c r="W1474" s="12"/>
    </row>
    <row r="1475" spans="1:23" x14ac:dyDescent="0.3">
      <c r="A1475" s="193">
        <v>563</v>
      </c>
      <c r="B1475" s="46" t="s">
        <v>454</v>
      </c>
      <c r="C1475" s="315"/>
      <c r="D1475" s="316"/>
      <c r="E1475" s="315"/>
      <c r="F1475" s="315"/>
      <c r="G1475" s="315"/>
      <c r="H1475" s="194" t="s">
        <v>2020</v>
      </c>
      <c r="I1475" s="12"/>
      <c r="J1475" s="46" t="s">
        <v>1471</v>
      </c>
      <c r="K1475" s="12"/>
      <c r="L1475" s="197">
        <v>100</v>
      </c>
      <c r="M1475" s="197">
        <v>7</v>
      </c>
      <c r="N1475" s="290">
        <v>1</v>
      </c>
      <c r="O1475" s="46"/>
      <c r="P1475" s="46" t="s">
        <v>213</v>
      </c>
      <c r="Q1475" s="12"/>
      <c r="R1475" s="192" t="str">
        <f>CONCATENATE(N1475,P1475)</f>
        <v>1kilos</v>
      </c>
      <c r="S1475" s="198">
        <f>M1475*N1475</f>
        <v>7</v>
      </c>
      <c r="T1475" s="199" t="str">
        <f>CONCATENATE(S1475,Q1475,P1475)</f>
        <v>7kilos</v>
      </c>
      <c r="U1475" s="200">
        <f>L1475*M1475</f>
        <v>700</v>
      </c>
      <c r="V1475" s="12"/>
      <c r="W1475" s="12"/>
    </row>
    <row r="1476" spans="1:23" x14ac:dyDescent="0.3">
      <c r="A1476" s="193">
        <v>563</v>
      </c>
      <c r="B1476" s="46" t="s">
        <v>454</v>
      </c>
      <c r="C1476" s="315"/>
      <c r="D1476" s="316"/>
      <c r="E1476" s="315"/>
      <c r="F1476" s="315"/>
      <c r="G1476" s="315"/>
      <c r="H1476" s="400" t="s">
        <v>2027</v>
      </c>
      <c r="I1476" s="12"/>
      <c r="J1476" s="46" t="s">
        <v>1945</v>
      </c>
      <c r="K1476" s="12"/>
      <c r="L1476" s="195">
        <v>140</v>
      </c>
      <c r="M1476" s="197">
        <v>0</v>
      </c>
      <c r="N1476" s="360">
        <v>1</v>
      </c>
      <c r="O1476" s="61"/>
      <c r="P1476" s="61" t="s">
        <v>213</v>
      </c>
      <c r="Q1476" s="12"/>
      <c r="R1476" s="192" t="str">
        <f>CONCATENATE(N1476,P1476)</f>
        <v>1kilos</v>
      </c>
      <c r="S1476" s="198">
        <f>M1476*N1476</f>
        <v>0</v>
      </c>
      <c r="T1476" s="199" t="str">
        <f>CONCATENATE(S1476,Q1476,P1476)</f>
        <v>0kilos</v>
      </c>
      <c r="U1476" s="200">
        <f>L1476*M1476</f>
        <v>0</v>
      </c>
      <c r="V1476" s="12"/>
      <c r="W1476" s="12"/>
    </row>
    <row r="1477" spans="1:23" x14ac:dyDescent="0.3">
      <c r="A1477" s="479">
        <v>564</v>
      </c>
      <c r="B1477" s="194" t="s">
        <v>203</v>
      </c>
      <c r="C1477" s="487"/>
      <c r="D1477" s="485" t="str">
        <f ca="1">IFERROR(__xludf.DUMMYFUNCTION("IF(J417="""",""n/a"",IFERROR(SPLIT(J417,""/"")))"),"Universal")</f>
        <v>Universal</v>
      </c>
      <c r="E1477" s="485" t="str">
        <f ca="1">IFERROR(__xludf.DUMMYFUNCTION("""COMPUTED_VALUE"""),"large")</f>
        <v>large</v>
      </c>
      <c r="F1477" s="485" t="str">
        <f ca="1">IFERROR(__xludf.DUMMYFUNCTION("""COMPUTED_VALUE"""),"piece")</f>
        <v>piece</v>
      </c>
      <c r="G1477" s="487"/>
      <c r="H1477" s="183" t="s">
        <v>1897</v>
      </c>
      <c r="I1477" s="487"/>
      <c r="J1477" s="46" t="s">
        <v>204</v>
      </c>
      <c r="K1477" s="487"/>
      <c r="L1477" s="195">
        <v>125</v>
      </c>
      <c r="M1477" s="202">
        <v>4</v>
      </c>
      <c r="N1477" s="203">
        <v>1</v>
      </c>
      <c r="O1477" s="61" t="str">
        <f ca="1">E1477</f>
        <v>large</v>
      </c>
      <c r="P1477" s="61" t="s">
        <v>92</v>
      </c>
      <c r="Q1477" s="487"/>
      <c r="R1477" s="192" t="str">
        <f>CONCATENATE(N1477,P1477)</f>
        <v>1pieces</v>
      </c>
      <c r="S1477" s="198">
        <f>M1477*N1477</f>
        <v>4</v>
      </c>
      <c r="T1477" s="199" t="str">
        <f>CONCATENATE(S1477,Q1477,P1477)</f>
        <v>4pieces</v>
      </c>
      <c r="U1477" s="200">
        <f>L1477*M1477</f>
        <v>500</v>
      </c>
      <c r="V1477" s="205"/>
      <c r="W1477" s="62"/>
    </row>
    <row r="1478" spans="1:23" x14ac:dyDescent="0.3">
      <c r="A1478" s="479">
        <v>564</v>
      </c>
      <c r="B1478" s="194" t="s">
        <v>203</v>
      </c>
      <c r="C1478" s="487"/>
      <c r="D1478" s="485" t="str">
        <f ca="1">IFERROR(__xludf.DUMMYFUNCTION("IF(J418="""",""n/a"",IFERROR(SPLIT(J418,""/"")))"),"Universal")</f>
        <v>Universal</v>
      </c>
      <c r="E1478" s="485" t="str">
        <f ca="1">IFERROR(__xludf.DUMMYFUNCTION("""COMPUTED_VALUE"""),"large")</f>
        <v>large</v>
      </c>
      <c r="F1478" s="485" t="str">
        <f ca="1">IFERROR(__xludf.DUMMYFUNCTION("""COMPUTED_VALUE"""),"piece")</f>
        <v>piece</v>
      </c>
      <c r="G1478" s="487"/>
      <c r="H1478" s="183" t="s">
        <v>1895</v>
      </c>
      <c r="I1478" s="487"/>
      <c r="J1478" s="46" t="s">
        <v>204</v>
      </c>
      <c r="K1478" s="487"/>
      <c r="L1478" s="195">
        <v>77</v>
      </c>
      <c r="M1478" s="197">
        <v>6</v>
      </c>
      <c r="N1478" s="61">
        <v>1</v>
      </c>
      <c r="O1478" s="61" t="str">
        <f ca="1">E1478</f>
        <v>large</v>
      </c>
      <c r="P1478" s="61" t="s">
        <v>92</v>
      </c>
      <c r="Q1478" s="487"/>
      <c r="R1478" s="192" t="str">
        <f>CONCATENATE(N1478,P1478)</f>
        <v>1pieces</v>
      </c>
      <c r="S1478" s="198">
        <f>M1478*N1478</f>
        <v>6</v>
      </c>
      <c r="T1478" s="199" t="str">
        <f>CONCATENATE(S1478,Q1478,P1478)</f>
        <v>6pieces</v>
      </c>
      <c r="U1478" s="200">
        <f>L1478*M1478</f>
        <v>462</v>
      </c>
      <c r="V1478" s="12"/>
      <c r="W1478" s="12"/>
    </row>
    <row r="1479" spans="1:23" x14ac:dyDescent="0.3">
      <c r="A1479" s="193">
        <v>564</v>
      </c>
      <c r="B1479" s="46" t="s">
        <v>203</v>
      </c>
      <c r="C1479" s="315"/>
      <c r="D1479" s="316"/>
      <c r="E1479" s="315"/>
      <c r="F1479" s="315"/>
      <c r="G1479" s="315"/>
      <c r="H1479" s="194" t="s">
        <v>2026</v>
      </c>
      <c r="I1479" s="12"/>
      <c r="J1479" s="46" t="s">
        <v>1472</v>
      </c>
      <c r="K1479" s="12"/>
      <c r="L1479" s="197">
        <v>77.45</v>
      </c>
      <c r="M1479" s="197">
        <v>6</v>
      </c>
      <c r="N1479" s="290">
        <v>1</v>
      </c>
      <c r="O1479" s="60"/>
      <c r="P1479" s="60" t="s">
        <v>92</v>
      </c>
      <c r="Q1479" s="12"/>
      <c r="R1479" s="192" t="str">
        <f>CONCATENATE(N1479,P1479)</f>
        <v>1pieces</v>
      </c>
      <c r="S1479" s="198">
        <f>M1479*N1479</f>
        <v>6</v>
      </c>
      <c r="T1479" s="199" t="str">
        <f>CONCATENATE(S1479,Q1479,P1479)</f>
        <v>6pieces</v>
      </c>
      <c r="U1479" s="200">
        <f>L1479*M1479</f>
        <v>464.70000000000005</v>
      </c>
      <c r="V1479" s="12"/>
      <c r="W1479" s="12"/>
    </row>
    <row r="1480" spans="1:23" x14ac:dyDescent="0.3">
      <c r="A1480" s="193">
        <v>564</v>
      </c>
      <c r="B1480" s="46" t="s">
        <v>203</v>
      </c>
      <c r="C1480" s="315"/>
      <c r="D1480" s="316"/>
      <c r="E1480" s="315"/>
      <c r="F1480" s="315"/>
      <c r="G1480" s="315"/>
      <c r="H1480" s="194" t="s">
        <v>2023</v>
      </c>
      <c r="I1480" s="12"/>
      <c r="J1480" s="46" t="s">
        <v>1472</v>
      </c>
      <c r="K1480" s="12"/>
      <c r="L1480" s="197">
        <v>110</v>
      </c>
      <c r="M1480" s="197">
        <v>6</v>
      </c>
      <c r="N1480" s="290">
        <v>1</v>
      </c>
      <c r="O1480" s="46"/>
      <c r="P1480" s="46" t="s">
        <v>92</v>
      </c>
      <c r="Q1480" s="12"/>
      <c r="R1480" s="192" t="str">
        <f>CONCATENATE(N1480,P1480)</f>
        <v>1pieces</v>
      </c>
      <c r="S1480" s="198">
        <f>M1480*N1480</f>
        <v>6</v>
      </c>
      <c r="T1480" s="199" t="str">
        <f>CONCATENATE(S1480,Q1480,P1480)</f>
        <v>6pieces</v>
      </c>
      <c r="U1480" s="200">
        <f>L1480*M1480</f>
        <v>660</v>
      </c>
      <c r="V1480" s="12"/>
      <c r="W1480" s="12"/>
    </row>
    <row r="1481" spans="1:23" x14ac:dyDescent="0.3">
      <c r="A1481" s="193">
        <v>564</v>
      </c>
      <c r="B1481" s="46" t="s">
        <v>203</v>
      </c>
      <c r="C1481" s="315"/>
      <c r="D1481" s="316"/>
      <c r="E1481" s="315"/>
      <c r="F1481" s="315"/>
      <c r="G1481" s="315"/>
      <c r="H1481" s="194" t="s">
        <v>2025</v>
      </c>
      <c r="I1481" s="12"/>
      <c r="J1481" s="170"/>
      <c r="K1481" s="12"/>
      <c r="L1481" s="197">
        <v>120</v>
      </c>
      <c r="M1481" s="197">
        <v>1</v>
      </c>
      <c r="N1481" s="290">
        <v>1</v>
      </c>
      <c r="O1481" s="46"/>
      <c r="P1481" s="46" t="s">
        <v>92</v>
      </c>
      <c r="Q1481" s="12"/>
      <c r="R1481" s="192" t="str">
        <f>CONCATENATE(N1481,P1481)</f>
        <v>1pieces</v>
      </c>
      <c r="S1481" s="198">
        <f>M1481*N1481</f>
        <v>1</v>
      </c>
      <c r="T1481" s="199" t="str">
        <f>CONCATENATE(S1481,Q1481,P1481)</f>
        <v>1pieces</v>
      </c>
      <c r="U1481" s="200">
        <f>L1481*M1481</f>
        <v>120</v>
      </c>
      <c r="V1481" s="12"/>
      <c r="W1481" s="12"/>
    </row>
    <row r="1482" spans="1:23" x14ac:dyDescent="0.3">
      <c r="A1482" s="479">
        <v>565</v>
      </c>
      <c r="B1482" s="194" t="s">
        <v>107</v>
      </c>
      <c r="C1482" s="487"/>
      <c r="D1482" s="485" t="str">
        <f ca="1">IFERROR(__xludf.DUMMYFUNCTION("IF(J419="""",""n/a"",IFERROR(SPLIT(J419,""/"")))"),"Pepsi (12x290ml)")</f>
        <v>Pepsi (12x290ml)</v>
      </c>
      <c r="E1482" s="487"/>
      <c r="F1482" s="487"/>
      <c r="G1482" s="487"/>
      <c r="H1482" s="183" t="s">
        <v>1895</v>
      </c>
      <c r="I1482" s="487"/>
      <c r="J1482" s="46" t="s">
        <v>108</v>
      </c>
      <c r="K1482" s="487"/>
      <c r="L1482" s="195">
        <v>16.079999999999998</v>
      </c>
      <c r="M1482" s="197">
        <v>125</v>
      </c>
      <c r="N1482" s="61">
        <v>1</v>
      </c>
      <c r="O1482" s="170">
        <f>E1482</f>
        <v>0</v>
      </c>
      <c r="P1482" s="61" t="s">
        <v>92</v>
      </c>
      <c r="Q1482" s="487"/>
      <c r="R1482" s="192" t="str">
        <f>CONCATENATE(N1482,P1482)</f>
        <v>1pieces</v>
      </c>
      <c r="S1482" s="198">
        <f>M1482*N1482</f>
        <v>125</v>
      </c>
      <c r="T1482" s="199" t="str">
        <f>CONCATENATE(S1482,Q1482,P1482)</f>
        <v>125pieces</v>
      </c>
      <c r="U1482" s="200">
        <f>L1482*M1482</f>
        <v>2009.9999999999998</v>
      </c>
      <c r="V1482" s="12"/>
      <c r="W1482" s="12"/>
    </row>
    <row r="1483" spans="1:23" x14ac:dyDescent="0.3">
      <c r="A1483" s="479">
        <v>566</v>
      </c>
      <c r="B1483" s="194" t="s">
        <v>688</v>
      </c>
      <c r="C1483" s="487"/>
      <c r="D1483" s="485" t="str">
        <f ca="1">IFERROR(__xludf.DUMMYFUNCTION("IF(J420="""",""n/a"",IFERROR(SPLIT(J420,""/"")))"),"pepsi")</f>
        <v>pepsi</v>
      </c>
      <c r="E1483" s="485" t="str">
        <f ca="1">IFERROR(__xludf.DUMMYFUNCTION("""COMPUTED_VALUE"""),"290ml")</f>
        <v>290ml</v>
      </c>
      <c r="F1483" s="487"/>
      <c r="G1483" s="487"/>
      <c r="H1483" s="183" t="s">
        <v>1897</v>
      </c>
      <c r="I1483" s="487"/>
      <c r="J1483" s="46" t="s">
        <v>689</v>
      </c>
      <c r="K1483" s="487"/>
      <c r="L1483" s="204">
        <v>16.14</v>
      </c>
      <c r="M1483" s="202">
        <v>48</v>
      </c>
      <c r="N1483" s="203">
        <v>1</v>
      </c>
      <c r="O1483" s="61" t="str">
        <f ca="1">E1483</f>
        <v>290ml</v>
      </c>
      <c r="P1483" s="61" t="s">
        <v>92</v>
      </c>
      <c r="Q1483" s="487"/>
      <c r="R1483" s="192" t="str">
        <f>CONCATENATE(N1483,P1483)</f>
        <v>1pieces</v>
      </c>
      <c r="S1483" s="198">
        <f>M1483*N1483</f>
        <v>48</v>
      </c>
      <c r="T1483" s="199" t="str">
        <f>CONCATENATE(S1483,Q1483,P1483)</f>
        <v>48pieces</v>
      </c>
      <c r="U1483" s="200">
        <f>L1483*M1483</f>
        <v>774.72</v>
      </c>
      <c r="V1483" s="205"/>
      <c r="W1483" s="62"/>
    </row>
    <row r="1484" spans="1:23" x14ac:dyDescent="0.3">
      <c r="A1484" s="479">
        <v>567</v>
      </c>
      <c r="B1484" s="194" t="s">
        <v>690</v>
      </c>
      <c r="C1484" s="487"/>
      <c r="D1484" s="485" t="str">
        <f ca="1">IFERROR(__xludf.DUMMYFUNCTION("IF(J421="""",""n/a"",IFERROR(SPLIT(J421,""/"")))"),"n/a")</f>
        <v>n/a</v>
      </c>
      <c r="E1484" s="487"/>
      <c r="F1484" s="487"/>
      <c r="G1484" s="487"/>
      <c r="H1484" s="206" t="s">
        <v>1898</v>
      </c>
      <c r="I1484" s="487"/>
      <c r="J1484" s="170"/>
      <c r="K1484" s="487"/>
      <c r="L1484" s="197">
        <v>17.809999999999999</v>
      </c>
      <c r="M1484" s="385">
        <v>48</v>
      </c>
      <c r="N1484" s="208">
        <v>48</v>
      </c>
      <c r="O1484" s="170">
        <f>E1484</f>
        <v>0</v>
      </c>
      <c r="P1484" s="61" t="s">
        <v>92</v>
      </c>
      <c r="Q1484" s="487"/>
      <c r="R1484" s="192" t="str">
        <f>CONCATENATE(N1484,P1484)</f>
        <v>48pieces</v>
      </c>
      <c r="S1484" s="198">
        <f>M1484*N1484</f>
        <v>2304</v>
      </c>
      <c r="T1484" s="199" t="str">
        <f>CONCATENATE(S1484,Q1484,P1484)</f>
        <v>2304pieces</v>
      </c>
      <c r="U1484" s="200">
        <f>L1484*M1484</f>
        <v>854.87999999999988</v>
      </c>
      <c r="V1484" s="12"/>
      <c r="W1484" s="12"/>
    </row>
    <row r="1485" spans="1:23" x14ac:dyDescent="0.3">
      <c r="A1485" s="193">
        <v>568</v>
      </c>
      <c r="B1485" s="46" t="s">
        <v>1964</v>
      </c>
      <c r="C1485" s="315"/>
      <c r="D1485" s="316"/>
      <c r="E1485" s="315"/>
      <c r="F1485" s="315"/>
      <c r="G1485" s="315"/>
      <c r="H1485" s="400" t="s">
        <v>2027</v>
      </c>
      <c r="I1485" s="12"/>
      <c r="J1485" s="170"/>
      <c r="K1485" s="12"/>
      <c r="L1485" s="195">
        <v>15.15</v>
      </c>
      <c r="M1485" s="197">
        <v>3</v>
      </c>
      <c r="N1485" s="360">
        <v>1</v>
      </c>
      <c r="O1485" s="61"/>
      <c r="P1485" s="61" t="s">
        <v>92</v>
      </c>
      <c r="Q1485" s="12"/>
      <c r="R1485" s="192" t="str">
        <f>CONCATENATE(N1485,P1485)</f>
        <v>1pieces</v>
      </c>
      <c r="S1485" s="198">
        <f>M1485*N1485</f>
        <v>3</v>
      </c>
      <c r="T1485" s="199" t="str">
        <f>CONCATENATE(S1485,Q1485,P1485)</f>
        <v>3pieces</v>
      </c>
      <c r="U1485" s="200">
        <f>L1485*M1485</f>
        <v>45.45</v>
      </c>
      <c r="V1485" s="12"/>
      <c r="W1485" s="12"/>
    </row>
    <row r="1486" spans="1:23" x14ac:dyDescent="0.3">
      <c r="A1486" s="193">
        <v>569</v>
      </c>
      <c r="B1486" s="46" t="s">
        <v>1965</v>
      </c>
      <c r="C1486" s="315"/>
      <c r="D1486" s="316"/>
      <c r="E1486" s="315"/>
      <c r="F1486" s="315"/>
      <c r="G1486" s="315"/>
      <c r="H1486" s="400" t="s">
        <v>2027</v>
      </c>
      <c r="I1486" s="12"/>
      <c r="J1486" s="46" t="s">
        <v>1966</v>
      </c>
      <c r="K1486" s="12"/>
      <c r="L1486" s="195">
        <v>14.45</v>
      </c>
      <c r="M1486" s="197">
        <v>11</v>
      </c>
      <c r="N1486" s="360">
        <v>1</v>
      </c>
      <c r="O1486" s="61"/>
      <c r="P1486" s="61" t="s">
        <v>92</v>
      </c>
      <c r="Q1486" s="12"/>
      <c r="R1486" s="192" t="str">
        <f>CONCATENATE(N1486,P1486)</f>
        <v>1pieces</v>
      </c>
      <c r="S1486" s="198">
        <f>M1486*N1486</f>
        <v>11</v>
      </c>
      <c r="T1486" s="199" t="str">
        <f>CONCATENATE(S1486,Q1486,P1486)</f>
        <v>11pieces</v>
      </c>
      <c r="U1486" s="200">
        <f>L1486*M1486</f>
        <v>158.94999999999999</v>
      </c>
      <c r="V1486" s="12"/>
      <c r="W1486" s="12"/>
    </row>
    <row r="1487" spans="1:23" x14ac:dyDescent="0.3">
      <c r="A1487" s="479">
        <v>570</v>
      </c>
      <c r="B1487" s="194" t="s">
        <v>109</v>
      </c>
      <c r="C1487" s="487"/>
      <c r="D1487" s="485" t="str">
        <f ca="1">IFERROR(__xludf.DUMMYFUNCTION("IF(J422="""",""n/a"",IFERROR(SPLIT(J422,""/"")))"),"Pepsi")</f>
        <v>Pepsi</v>
      </c>
      <c r="E1487" s="485" t="str">
        <f ca="1">IFERROR(__xludf.DUMMYFUNCTION("""COMPUTED_VALUE"""),"case (24x330ml)")</f>
        <v>case (24x330ml)</v>
      </c>
      <c r="F1487" s="487"/>
      <c r="G1487" s="487"/>
      <c r="H1487" s="183" t="s">
        <v>1895</v>
      </c>
      <c r="I1487" s="487"/>
      <c r="J1487" s="46" t="s">
        <v>110</v>
      </c>
      <c r="K1487" s="487"/>
      <c r="L1487" s="195">
        <v>30.07</v>
      </c>
      <c r="M1487" s="197">
        <v>71</v>
      </c>
      <c r="N1487" s="61">
        <v>1</v>
      </c>
      <c r="O1487" s="61" t="str">
        <f ca="1">E1487</f>
        <v>case (24x330ml)</v>
      </c>
      <c r="P1487" s="61" t="s">
        <v>92</v>
      </c>
      <c r="Q1487" s="487"/>
      <c r="R1487" s="192" t="str">
        <f>CONCATENATE(N1487,P1487)</f>
        <v>1pieces</v>
      </c>
      <c r="S1487" s="198">
        <f>M1487*N1487</f>
        <v>71</v>
      </c>
      <c r="T1487" s="199" t="str">
        <f>CONCATENATE(S1487,Q1487,P1487)</f>
        <v>71pieces</v>
      </c>
      <c r="U1487" s="200">
        <f>L1487*M1487</f>
        <v>2134.9699999999998</v>
      </c>
      <c r="V1487" s="12"/>
      <c r="W1487" s="12"/>
    </row>
    <row r="1488" spans="1:23" x14ac:dyDescent="0.3">
      <c r="A1488" s="193">
        <v>571</v>
      </c>
      <c r="B1488" s="46" t="s">
        <v>1967</v>
      </c>
      <c r="C1488" s="315"/>
      <c r="D1488" s="316"/>
      <c r="E1488" s="315"/>
      <c r="F1488" s="315"/>
      <c r="G1488" s="315"/>
      <c r="H1488" s="400" t="s">
        <v>2027</v>
      </c>
      <c r="I1488" s="12"/>
      <c r="J1488" s="46" t="s">
        <v>1968</v>
      </c>
      <c r="K1488" s="12"/>
      <c r="L1488" s="195">
        <v>200</v>
      </c>
      <c r="M1488" s="197">
        <v>3</v>
      </c>
      <c r="N1488" s="360">
        <v>1</v>
      </c>
      <c r="O1488" s="61"/>
      <c r="P1488" s="61" t="s">
        <v>200</v>
      </c>
      <c r="Q1488" s="12"/>
      <c r="R1488" s="192" t="str">
        <f>CONCATENATE(N1488,P1488)</f>
        <v>1gal</v>
      </c>
      <c r="S1488" s="198">
        <f>M1488*N1488</f>
        <v>3</v>
      </c>
      <c r="T1488" s="199" t="str">
        <f>CONCATENATE(S1488,Q1488,P1488)</f>
        <v>3gal</v>
      </c>
      <c r="U1488" s="200">
        <f>L1488*M1488</f>
        <v>600</v>
      </c>
      <c r="V1488" s="12"/>
      <c r="W1488" s="12"/>
    </row>
    <row r="1489" spans="1:23" x14ac:dyDescent="0.3">
      <c r="A1489" s="479">
        <v>572</v>
      </c>
      <c r="B1489" s="194" t="s">
        <v>692</v>
      </c>
      <c r="C1489" s="487"/>
      <c r="D1489" s="485" t="str">
        <f ca="1">IFERROR(__xludf.DUMMYFUNCTION("IF(J424="""",""n/a"",IFERROR(SPLIT(J424,""/"")))"),"Quinriv")</f>
        <v>Quinriv</v>
      </c>
      <c r="E1489" s="485" t="str">
        <f ca="1">IFERROR(__xludf.DUMMYFUNCTION("""COMPUTED_VALUE"""),"gallon")</f>
        <v>gallon</v>
      </c>
      <c r="F1489" s="487"/>
      <c r="G1489" s="487"/>
      <c r="H1489" s="183" t="s">
        <v>1897</v>
      </c>
      <c r="I1489" s="487"/>
      <c r="J1489" s="46" t="s">
        <v>693</v>
      </c>
      <c r="K1489" s="487"/>
      <c r="L1489" s="195">
        <v>309</v>
      </c>
      <c r="M1489" s="202">
        <v>3</v>
      </c>
      <c r="N1489" s="203">
        <v>1</v>
      </c>
      <c r="O1489" s="61" t="str">
        <f ca="1">E1489</f>
        <v>gallon</v>
      </c>
      <c r="P1489" s="61" t="s">
        <v>200</v>
      </c>
      <c r="Q1489" s="515" t="s">
        <v>33</v>
      </c>
      <c r="R1489" s="192" t="str">
        <f>CONCATENATE(N1489,P1489)</f>
        <v>1gal</v>
      </c>
      <c r="S1489" s="198">
        <f>M1489*N1489</f>
        <v>3</v>
      </c>
      <c r="T1489" s="199" t="str">
        <f>CONCATENATE(S1489,Q1489,P1489)</f>
        <v>3 gal</v>
      </c>
      <c r="U1489" s="200">
        <f>L1489*M1489</f>
        <v>927</v>
      </c>
      <c r="V1489" s="205"/>
      <c r="W1489" s="62"/>
    </row>
    <row r="1490" spans="1:23" x14ac:dyDescent="0.3">
      <c r="A1490" s="479">
        <v>573</v>
      </c>
      <c r="B1490" s="194" t="s">
        <v>691</v>
      </c>
      <c r="C1490" s="487"/>
      <c r="D1490" s="485" t="str">
        <f ca="1">IFERROR(__xludf.DUMMYFUNCTION("IF(J423="""",""n/a"",IFERROR(SPLIT(J423,""/"")))"),"n/a")</f>
        <v>n/a</v>
      </c>
      <c r="E1490" s="487"/>
      <c r="F1490" s="487"/>
      <c r="G1490" s="487"/>
      <c r="H1490" s="206" t="s">
        <v>1898</v>
      </c>
      <c r="I1490" s="487"/>
      <c r="J1490" s="170"/>
      <c r="K1490" s="487"/>
      <c r="L1490" s="197">
        <v>309</v>
      </c>
      <c r="M1490" s="386">
        <v>7</v>
      </c>
      <c r="N1490" s="208">
        <v>1</v>
      </c>
      <c r="O1490" s="170">
        <f>E1490</f>
        <v>0</v>
      </c>
      <c r="P1490" s="61" t="s">
        <v>200</v>
      </c>
      <c r="Q1490" s="487"/>
      <c r="R1490" s="192" t="str">
        <f>CONCATENATE(N1490,P1490)</f>
        <v>1gal</v>
      </c>
      <c r="S1490" s="198">
        <f>M1490*N1490</f>
        <v>7</v>
      </c>
      <c r="T1490" s="199" t="str">
        <f>CONCATENATE(S1490,Q1490,P1490)</f>
        <v>7gal</v>
      </c>
      <c r="U1490" s="200">
        <f>L1490*M1490</f>
        <v>2163</v>
      </c>
      <c r="V1490" s="12"/>
      <c r="W1490" s="12"/>
    </row>
    <row r="1491" spans="1:23" x14ac:dyDescent="0.3">
      <c r="A1491" s="193">
        <v>574</v>
      </c>
      <c r="B1491" s="46" t="s">
        <v>1969</v>
      </c>
      <c r="C1491" s="315"/>
      <c r="D1491" s="316"/>
      <c r="E1491" s="315"/>
      <c r="F1491" s="315"/>
      <c r="G1491" s="315"/>
      <c r="H1491" s="400" t="s">
        <v>2027</v>
      </c>
      <c r="I1491" s="12"/>
      <c r="J1491" s="46" t="s">
        <v>1970</v>
      </c>
      <c r="K1491" s="12"/>
      <c r="L1491" s="195">
        <v>15.15</v>
      </c>
      <c r="M1491" s="197">
        <v>4</v>
      </c>
      <c r="N1491" s="360">
        <v>1</v>
      </c>
      <c r="O1491" s="61"/>
      <c r="P1491" s="61" t="s">
        <v>92</v>
      </c>
      <c r="Q1491" s="12"/>
      <c r="R1491" s="192" t="str">
        <f>CONCATENATE(N1491,P1491)</f>
        <v>1pieces</v>
      </c>
      <c r="S1491" s="198">
        <f>M1491*N1491</f>
        <v>4</v>
      </c>
      <c r="T1491" s="199" t="str">
        <f>CONCATENATE(S1491,Q1491,P1491)</f>
        <v>4pieces</v>
      </c>
      <c r="U1491" s="200">
        <f>L1491*M1491</f>
        <v>60.6</v>
      </c>
      <c r="V1491" s="12"/>
      <c r="W1491" s="12"/>
    </row>
    <row r="1492" spans="1:23" x14ac:dyDescent="0.3">
      <c r="A1492" s="479">
        <v>575</v>
      </c>
      <c r="B1492" s="194" t="s">
        <v>694</v>
      </c>
      <c r="C1492" s="487"/>
      <c r="D1492" s="485" t="str">
        <f ca="1">IFERROR(__xludf.DUMMYFUNCTION("IF(J425="""",""n/a"",IFERROR(SPLIT(J425,""/"")))"),"Mr Gulaman")</f>
        <v>Mr Gulaman</v>
      </c>
      <c r="E1492" s="485" t="str">
        <f ca="1">IFERROR(__xludf.DUMMYFUNCTION("""COMPUTED_VALUE"""),"box")</f>
        <v>box</v>
      </c>
      <c r="F1492" s="485" t="str">
        <f ca="1">IFERROR(__xludf.DUMMYFUNCTION("""COMPUTED_VALUE"""),"(10sachetx25grams)")</f>
        <v>(10sachetx25grams)</v>
      </c>
      <c r="G1492" s="487"/>
      <c r="H1492" s="183" t="s">
        <v>1897</v>
      </c>
      <c r="I1492" s="487"/>
      <c r="J1492" s="46" t="s">
        <v>69</v>
      </c>
      <c r="K1492" s="487"/>
      <c r="L1492" s="195">
        <v>0.45</v>
      </c>
      <c r="M1492" s="202">
        <v>300</v>
      </c>
      <c r="N1492" s="202">
        <v>25</v>
      </c>
      <c r="O1492" s="61" t="str">
        <f ca="1">E1492</f>
        <v>box</v>
      </c>
      <c r="P1492" s="197" t="s">
        <v>39</v>
      </c>
      <c r="Q1492" s="487"/>
      <c r="R1492" s="192" t="str">
        <f>CONCATENATE(N1492,P1492)</f>
        <v>25grams</v>
      </c>
      <c r="S1492" s="198">
        <f>M1492*N1492</f>
        <v>7500</v>
      </c>
      <c r="T1492" s="199" t="str">
        <f>CONCATENATE(S1492,Q1492,P1492)</f>
        <v>7500grams</v>
      </c>
      <c r="U1492" s="200">
        <f>L1492*M1492</f>
        <v>135</v>
      </c>
      <c r="V1492" s="205"/>
      <c r="W1492" s="62"/>
    </row>
    <row r="1493" spans="1:23" x14ac:dyDescent="0.3">
      <c r="A1493" s="479">
        <v>575</v>
      </c>
      <c r="B1493" s="194" t="s">
        <v>694</v>
      </c>
      <c r="C1493" s="487"/>
      <c r="D1493" s="485" t="str">
        <f ca="1">IFERROR(__xludf.DUMMYFUNCTION("IF(J426="""",""n/a"",IFERROR(SPLIT(J426,""/"")))"),"n/a")</f>
        <v>n/a</v>
      </c>
      <c r="E1493" s="487"/>
      <c r="F1493" s="487"/>
      <c r="G1493" s="487"/>
      <c r="H1493" s="206" t="s">
        <v>1898</v>
      </c>
      <c r="I1493" s="487"/>
      <c r="J1493" s="170"/>
      <c r="K1493" s="487"/>
      <c r="L1493" s="197">
        <v>0.26</v>
      </c>
      <c r="M1493" s="385">
        <v>460</v>
      </c>
      <c r="N1493" s="208">
        <v>230</v>
      </c>
      <c r="O1493" s="170">
        <f>E1493</f>
        <v>0</v>
      </c>
      <c r="P1493" s="61" t="s">
        <v>39</v>
      </c>
      <c r="Q1493" s="487"/>
      <c r="R1493" s="192" t="str">
        <f>CONCATENATE(N1493,P1493)</f>
        <v>230grams</v>
      </c>
      <c r="S1493" s="198">
        <f>M1493*N1493</f>
        <v>105800</v>
      </c>
      <c r="T1493" s="199" t="str">
        <f>CONCATENATE(S1493,Q1493,P1493)</f>
        <v>105800grams</v>
      </c>
      <c r="U1493" s="200">
        <f>L1493*M1493</f>
        <v>119.60000000000001</v>
      </c>
      <c r="V1493" s="12"/>
      <c r="W1493" s="12"/>
    </row>
    <row r="1494" spans="1:23" x14ac:dyDescent="0.3">
      <c r="A1494" s="193">
        <v>575</v>
      </c>
      <c r="B1494" s="46" t="s">
        <v>694</v>
      </c>
      <c r="C1494" s="315"/>
      <c r="D1494" s="316"/>
      <c r="E1494" s="315"/>
      <c r="F1494" s="315"/>
      <c r="G1494" s="315"/>
      <c r="H1494" s="194" t="s">
        <v>29</v>
      </c>
      <c r="I1494" s="12"/>
      <c r="J1494" s="46" t="s">
        <v>865</v>
      </c>
      <c r="K1494" s="12"/>
      <c r="L1494" s="197">
        <v>38.5</v>
      </c>
      <c r="M1494" s="197">
        <v>3</v>
      </c>
      <c r="N1494" s="290">
        <v>156</v>
      </c>
      <c r="O1494" s="46"/>
      <c r="P1494" s="46" t="s">
        <v>39</v>
      </c>
      <c r="Q1494" s="12"/>
      <c r="R1494" s="192" t="str">
        <f>CONCATENATE(N1494,P1494)</f>
        <v>156grams</v>
      </c>
      <c r="S1494" s="198">
        <f>M1494*N1494</f>
        <v>468</v>
      </c>
      <c r="T1494" s="199" t="str">
        <f>CONCATENATE(S1494,Q1494,P1494)</f>
        <v>468grams</v>
      </c>
      <c r="U1494" s="200">
        <f>L1494*M1494</f>
        <v>115.5</v>
      </c>
      <c r="V1494" s="12"/>
      <c r="W1494" s="12"/>
    </row>
    <row r="1495" spans="1:23" x14ac:dyDescent="0.3">
      <c r="A1495" s="193">
        <v>575</v>
      </c>
      <c r="B1495" s="46" t="s">
        <v>694</v>
      </c>
      <c r="C1495" s="315"/>
      <c r="D1495" s="316"/>
      <c r="E1495" s="315"/>
      <c r="F1495" s="315"/>
      <c r="G1495" s="315"/>
      <c r="H1495" s="194" t="s">
        <v>2024</v>
      </c>
      <c r="I1495" s="12"/>
      <c r="J1495" s="46" t="s">
        <v>865</v>
      </c>
      <c r="K1495" s="12"/>
      <c r="L1495" s="197">
        <v>47.9</v>
      </c>
      <c r="M1495" s="197">
        <v>12</v>
      </c>
      <c r="N1495" s="290">
        <v>156</v>
      </c>
      <c r="O1495" s="46"/>
      <c r="P1495" s="46" t="s">
        <v>39</v>
      </c>
      <c r="Q1495" s="12"/>
      <c r="R1495" s="192" t="str">
        <f>CONCATENATE(N1495,P1495)</f>
        <v>156grams</v>
      </c>
      <c r="S1495" s="198">
        <f>M1495*N1495</f>
        <v>1872</v>
      </c>
      <c r="T1495" s="199" t="str">
        <f>CONCATENATE(S1495,Q1495,P1495)</f>
        <v>1872grams</v>
      </c>
      <c r="U1495" s="200">
        <f>L1495*M1495</f>
        <v>574.79999999999995</v>
      </c>
      <c r="V1495" s="12"/>
      <c r="W1495" s="12"/>
    </row>
    <row r="1496" spans="1:23" x14ac:dyDescent="0.3">
      <c r="A1496" s="193">
        <v>575</v>
      </c>
      <c r="B1496" s="46" t="s">
        <v>694</v>
      </c>
      <c r="C1496" s="315"/>
      <c r="D1496" s="316"/>
      <c r="E1496" s="315"/>
      <c r="F1496" s="315"/>
      <c r="G1496" s="315"/>
      <c r="H1496" s="194" t="s">
        <v>2025</v>
      </c>
      <c r="I1496" s="12"/>
      <c r="J1496" s="46" t="s">
        <v>865</v>
      </c>
      <c r="K1496" s="12"/>
      <c r="L1496" s="197">
        <v>61</v>
      </c>
      <c r="M1496" s="197">
        <v>1</v>
      </c>
      <c r="N1496" s="290">
        <v>230</v>
      </c>
      <c r="O1496" s="46"/>
      <c r="P1496" s="46" t="s">
        <v>519</v>
      </c>
      <c r="Q1496" s="12"/>
      <c r="R1496" s="192" t="str">
        <f>CONCATENATE(N1496,P1496)</f>
        <v>230drained weight grams</v>
      </c>
      <c r="S1496" s="198">
        <f>M1496*N1496</f>
        <v>230</v>
      </c>
      <c r="T1496" s="199" t="str">
        <f>CONCATENATE(S1496,Q1496,P1496)</f>
        <v>230drained weight grams</v>
      </c>
      <c r="U1496" s="200">
        <f>L1496*M1496</f>
        <v>61</v>
      </c>
      <c r="V1496" s="12"/>
      <c r="W1496" s="12"/>
    </row>
    <row r="1497" spans="1:23" x14ac:dyDescent="0.3">
      <c r="A1497" s="479">
        <v>576</v>
      </c>
      <c r="B1497" s="194" t="s">
        <v>695</v>
      </c>
      <c r="C1497" s="487"/>
      <c r="D1497" s="485" t="str">
        <f ca="1">IFERROR(__xludf.DUMMYFUNCTION("IF(J427="""",""n/a"",IFERROR(SPLIT(J427,""/"")))"),"Jolly")</f>
        <v>Jolly</v>
      </c>
      <c r="E1497" s="485" t="str">
        <f ca="1">IFERROR(__xludf.DUMMYFUNCTION("""COMPUTED_VALUE"""),"can")</f>
        <v>can</v>
      </c>
      <c r="F1497" s="485" t="str">
        <f ca="1">IFERROR(__xludf.DUMMYFUNCTION("""COMPUTED_VALUE"""),"284grams")</f>
        <v>284grams</v>
      </c>
      <c r="G1497" s="485" t="str">
        <f ca="1">IFERROR(__xludf.DUMMYFUNCTION("""COMPUTED_VALUE"""),"156 drained weight")</f>
        <v>156 drained weight</v>
      </c>
      <c r="H1497" s="183" t="s">
        <v>1897</v>
      </c>
      <c r="I1497" s="487"/>
      <c r="J1497" s="46" t="s">
        <v>696</v>
      </c>
      <c r="K1497" s="487"/>
      <c r="L1497" s="195">
        <v>0.31</v>
      </c>
      <c r="M1497" s="202">
        <v>780</v>
      </c>
      <c r="N1497" s="203">
        <v>156</v>
      </c>
      <c r="O1497" s="61" t="str">
        <f ca="1">E1497</f>
        <v>can</v>
      </c>
      <c r="P1497" s="221" t="s">
        <v>519</v>
      </c>
      <c r="Q1497" s="487"/>
      <c r="R1497" s="192" t="str">
        <f>CONCATENATE(N1497,P1497)</f>
        <v>156drained weight grams</v>
      </c>
      <c r="S1497" s="198">
        <f>M1497*N1497</f>
        <v>121680</v>
      </c>
      <c r="T1497" s="199" t="str">
        <f>CONCATENATE(S1497,Q1497,P1497)</f>
        <v>121680drained weight grams</v>
      </c>
      <c r="U1497" s="200">
        <f>L1497*M1497</f>
        <v>241.8</v>
      </c>
      <c r="V1497" s="205"/>
      <c r="W1497" s="62"/>
    </row>
    <row r="1498" spans="1:23" x14ac:dyDescent="0.3">
      <c r="A1498" s="479">
        <v>576</v>
      </c>
      <c r="B1498" s="194" t="s">
        <v>695</v>
      </c>
      <c r="C1498" s="487"/>
      <c r="D1498" s="485" t="str">
        <f ca="1">IFERROR(__xludf.DUMMYFUNCTION("IF(J428="""",""n/a"",IFERROR(SPLIT(J428,""/"")))"),"n/a")</f>
        <v>n/a</v>
      </c>
      <c r="E1498" s="487"/>
      <c r="F1498" s="487"/>
      <c r="G1498" s="487"/>
      <c r="H1498" s="206" t="s">
        <v>1898</v>
      </c>
      <c r="I1498" s="487"/>
      <c r="J1498" s="170"/>
      <c r="K1498" s="487"/>
      <c r="L1498" s="197">
        <v>0.37</v>
      </c>
      <c r="M1498" s="386">
        <v>156</v>
      </c>
      <c r="N1498" s="208">
        <v>156</v>
      </c>
      <c r="O1498" s="170">
        <f>E1498</f>
        <v>0</v>
      </c>
      <c r="P1498" s="197" t="s">
        <v>39</v>
      </c>
      <c r="Q1498" s="487"/>
      <c r="R1498" s="192" t="str">
        <f>CONCATENATE(N1498,P1498)</f>
        <v>156grams</v>
      </c>
      <c r="S1498" s="198">
        <f>M1498*N1498</f>
        <v>24336</v>
      </c>
      <c r="T1498" s="199" t="str">
        <f>CONCATENATE(S1498,Q1498,P1498)</f>
        <v>24336grams</v>
      </c>
      <c r="U1498" s="200">
        <f>L1498*M1498</f>
        <v>57.72</v>
      </c>
      <c r="V1498" s="12"/>
      <c r="W1498" s="12"/>
    </row>
    <row r="1499" spans="1:23" x14ac:dyDescent="0.3">
      <c r="A1499" s="193">
        <v>576</v>
      </c>
      <c r="B1499" s="46" t="s">
        <v>695</v>
      </c>
      <c r="C1499" s="315"/>
      <c r="D1499" s="316"/>
      <c r="E1499" s="315"/>
      <c r="F1499" s="315"/>
      <c r="G1499" s="315"/>
      <c r="H1499" s="194" t="s">
        <v>2025</v>
      </c>
      <c r="I1499" s="12"/>
      <c r="J1499" s="46" t="s">
        <v>865</v>
      </c>
      <c r="K1499" s="12"/>
      <c r="L1499" s="197">
        <v>63.8</v>
      </c>
      <c r="M1499" s="197">
        <v>10</v>
      </c>
      <c r="N1499" s="290">
        <v>200</v>
      </c>
      <c r="O1499" s="46"/>
      <c r="P1499" s="46" t="s">
        <v>519</v>
      </c>
      <c r="Q1499" s="12"/>
      <c r="R1499" s="192" t="str">
        <f>CONCATENATE(N1499,P1499)</f>
        <v>200drained weight grams</v>
      </c>
      <c r="S1499" s="198">
        <f>M1499*N1499</f>
        <v>2000</v>
      </c>
      <c r="T1499" s="199" t="str">
        <f>CONCATENATE(S1499,Q1499,P1499)</f>
        <v>2000drained weight grams</v>
      </c>
      <c r="U1499" s="200">
        <f>L1499*M1499</f>
        <v>638</v>
      </c>
      <c r="V1499" s="12"/>
      <c r="W1499" s="12"/>
    </row>
    <row r="1500" spans="1:23" x14ac:dyDescent="0.3">
      <c r="A1500" s="193">
        <v>576</v>
      </c>
      <c r="B1500" s="46" t="s">
        <v>695</v>
      </c>
      <c r="C1500" s="315"/>
      <c r="D1500" s="316"/>
      <c r="E1500" s="315"/>
      <c r="F1500" s="315"/>
      <c r="G1500" s="315"/>
      <c r="H1500" s="400" t="s">
        <v>2027</v>
      </c>
      <c r="I1500" s="12"/>
      <c r="J1500" s="46" t="s">
        <v>865</v>
      </c>
      <c r="K1500" s="12"/>
      <c r="L1500" s="195">
        <v>23.3</v>
      </c>
      <c r="M1500" s="197">
        <v>2</v>
      </c>
      <c r="N1500" s="360">
        <v>1</v>
      </c>
      <c r="O1500" s="61"/>
      <c r="P1500" s="61" t="s">
        <v>39</v>
      </c>
      <c r="Q1500" s="12"/>
      <c r="R1500" s="192" t="str">
        <f>CONCATENATE(N1500,P1500)</f>
        <v>1grams</v>
      </c>
      <c r="S1500" s="198">
        <f>M1500*N1500</f>
        <v>2</v>
      </c>
      <c r="T1500" s="199" t="str">
        <f>CONCATENATE(S1500,Q1500,P1500)</f>
        <v>2grams</v>
      </c>
      <c r="U1500" s="200">
        <f>L1500*M1500</f>
        <v>46.6</v>
      </c>
      <c r="V1500" s="12"/>
      <c r="W1500" s="12"/>
    </row>
    <row r="1501" spans="1:23" x14ac:dyDescent="0.3">
      <c r="A1501" s="193">
        <v>577</v>
      </c>
      <c r="B1501" s="46" t="s">
        <v>1473</v>
      </c>
      <c r="C1501" s="315"/>
      <c r="D1501" s="316"/>
      <c r="E1501" s="315"/>
      <c r="F1501" s="315"/>
      <c r="G1501" s="315"/>
      <c r="H1501" s="194" t="s">
        <v>2025</v>
      </c>
      <c r="I1501" s="12"/>
      <c r="J1501" s="46" t="s">
        <v>854</v>
      </c>
      <c r="K1501" s="12"/>
      <c r="L1501" s="197">
        <v>95.5</v>
      </c>
      <c r="M1501" s="197">
        <v>1</v>
      </c>
      <c r="N1501" s="290">
        <v>200</v>
      </c>
      <c r="O1501" s="46"/>
      <c r="P1501" s="46" t="s">
        <v>39</v>
      </c>
      <c r="Q1501" s="12"/>
      <c r="R1501" s="192" t="str">
        <f>CONCATENATE(N1501,P1501)</f>
        <v>200grams</v>
      </c>
      <c r="S1501" s="198">
        <f>M1501*N1501</f>
        <v>200</v>
      </c>
      <c r="T1501" s="199" t="str">
        <f>CONCATENATE(S1501,Q1501,P1501)</f>
        <v>200grams</v>
      </c>
      <c r="U1501" s="200">
        <f>L1501*M1501</f>
        <v>95.5</v>
      </c>
      <c r="V1501" s="12"/>
      <c r="W1501" s="12"/>
    </row>
    <row r="1502" spans="1:23" x14ac:dyDescent="0.3">
      <c r="A1502" s="193">
        <v>577</v>
      </c>
      <c r="B1502" s="46" t="s">
        <v>1473</v>
      </c>
      <c r="C1502" s="315"/>
      <c r="D1502" s="316"/>
      <c r="E1502" s="315"/>
      <c r="F1502" s="315"/>
      <c r="G1502" s="315"/>
      <c r="H1502" s="194" t="s">
        <v>2020</v>
      </c>
      <c r="I1502" s="12"/>
      <c r="J1502" s="46" t="s">
        <v>854</v>
      </c>
      <c r="K1502" s="12"/>
      <c r="L1502" s="197">
        <v>79</v>
      </c>
      <c r="M1502" s="197">
        <v>1</v>
      </c>
      <c r="N1502" s="290">
        <v>200</v>
      </c>
      <c r="O1502" s="46"/>
      <c r="P1502" s="46" t="s">
        <v>39</v>
      </c>
      <c r="Q1502" s="12"/>
      <c r="R1502" s="192" t="str">
        <f>CONCATENATE(N1502,P1502)</f>
        <v>200grams</v>
      </c>
      <c r="S1502" s="198">
        <f>M1502*N1502</f>
        <v>200</v>
      </c>
      <c r="T1502" s="199" t="str">
        <f>CONCATENATE(S1502,Q1502,P1502)</f>
        <v>200grams</v>
      </c>
      <c r="U1502" s="200">
        <f>L1502*M1502</f>
        <v>79</v>
      </c>
      <c r="V1502" s="12"/>
      <c r="W1502" s="12"/>
    </row>
    <row r="1503" spans="1:23" x14ac:dyDescent="0.3">
      <c r="A1503" s="479">
        <v>578</v>
      </c>
      <c r="B1503" s="194" t="s">
        <v>697</v>
      </c>
      <c r="C1503" s="487"/>
      <c r="D1503" s="485" t="str">
        <f ca="1">IFERROR(__xludf.DUMMYFUNCTION("IF(J429="""",""n/a"",IFERROR(SPLIT(J429,""/"")))"),"n/a")</f>
        <v>n/a</v>
      </c>
      <c r="E1503" s="487"/>
      <c r="F1503" s="487"/>
      <c r="G1503" s="487"/>
      <c r="H1503" s="206" t="s">
        <v>1898</v>
      </c>
      <c r="I1503" s="487"/>
      <c r="J1503" s="170"/>
      <c r="K1503" s="487"/>
      <c r="L1503" s="197">
        <v>0.09</v>
      </c>
      <c r="M1503" s="385">
        <v>600</v>
      </c>
      <c r="N1503" s="208">
        <v>800</v>
      </c>
      <c r="O1503" s="170">
        <f>E1503</f>
        <v>0</v>
      </c>
      <c r="P1503" s="61" t="s">
        <v>39</v>
      </c>
      <c r="Q1503" s="487"/>
      <c r="R1503" s="192" t="str">
        <f>CONCATENATE(N1503,P1503)</f>
        <v>800grams</v>
      </c>
      <c r="S1503" s="198">
        <f>M1503*N1503</f>
        <v>480000</v>
      </c>
      <c r="T1503" s="199" t="str">
        <f>CONCATENATE(S1503,Q1503,P1503)</f>
        <v>480000grams</v>
      </c>
      <c r="U1503" s="200">
        <f>L1503*M1503</f>
        <v>54</v>
      </c>
      <c r="V1503" s="12"/>
      <c r="W1503" s="12"/>
    </row>
    <row r="1504" spans="1:23" x14ac:dyDescent="0.3">
      <c r="A1504" s="193">
        <v>579</v>
      </c>
      <c r="B1504" s="46" t="s">
        <v>1971</v>
      </c>
      <c r="C1504" s="315"/>
      <c r="D1504" s="316"/>
      <c r="E1504" s="315"/>
      <c r="F1504" s="315"/>
      <c r="G1504" s="315"/>
      <c r="H1504" s="400" t="s">
        <v>2027</v>
      </c>
      <c r="I1504" s="12"/>
      <c r="J1504" s="46" t="s">
        <v>1972</v>
      </c>
      <c r="K1504" s="12"/>
      <c r="L1504" s="195">
        <v>3.9</v>
      </c>
      <c r="M1504" s="197">
        <v>31</v>
      </c>
      <c r="N1504" s="360">
        <v>1</v>
      </c>
      <c r="O1504" s="61"/>
      <c r="P1504" s="61" t="s">
        <v>92</v>
      </c>
      <c r="Q1504" s="12"/>
      <c r="R1504" s="192" t="str">
        <f>CONCATENATE(N1504,P1504)</f>
        <v>1pieces</v>
      </c>
      <c r="S1504" s="198">
        <f>M1504*N1504</f>
        <v>31</v>
      </c>
      <c r="T1504" s="199" t="str">
        <f>CONCATENATE(S1504,Q1504,P1504)</f>
        <v>31pieces</v>
      </c>
      <c r="U1504" s="200">
        <f>L1504*M1504</f>
        <v>120.89999999999999</v>
      </c>
      <c r="V1504" s="12"/>
      <c r="W1504" s="12"/>
    </row>
    <row r="1505" spans="1:23" x14ac:dyDescent="0.3">
      <c r="A1505" s="193">
        <v>580</v>
      </c>
      <c r="B1505" s="46" t="s">
        <v>1474</v>
      </c>
      <c r="C1505" s="315"/>
      <c r="D1505" s="316"/>
      <c r="E1505" s="315"/>
      <c r="F1505" s="315"/>
      <c r="G1505" s="315"/>
      <c r="H1505" s="194" t="s">
        <v>2022</v>
      </c>
      <c r="I1505" s="12"/>
      <c r="J1505" s="307" t="s">
        <v>1475</v>
      </c>
      <c r="K1505" s="12"/>
      <c r="L1505" s="197">
        <v>180</v>
      </c>
      <c r="M1505" s="197">
        <v>1</v>
      </c>
      <c r="N1505" s="290">
        <v>896</v>
      </c>
      <c r="O1505" s="46"/>
      <c r="P1505" s="46" t="s">
        <v>39</v>
      </c>
      <c r="Q1505" s="12"/>
      <c r="R1505" s="192" t="str">
        <f>CONCATENATE(N1505,P1505)</f>
        <v>896grams</v>
      </c>
      <c r="S1505" s="198">
        <f>M1505*N1505</f>
        <v>896</v>
      </c>
      <c r="T1505" s="199" t="str">
        <f>CONCATENATE(S1505,Q1505,P1505)</f>
        <v>896grams</v>
      </c>
      <c r="U1505" s="200">
        <f>L1505*M1505</f>
        <v>180</v>
      </c>
      <c r="V1505" s="12"/>
      <c r="W1505" s="12"/>
    </row>
    <row r="1506" spans="1:23" x14ac:dyDescent="0.3">
      <c r="A1506" s="479">
        <v>581</v>
      </c>
      <c r="B1506" s="194" t="s">
        <v>151</v>
      </c>
      <c r="C1506" s="487"/>
      <c r="D1506" s="485" t="str">
        <f ca="1">IFERROR(__xludf.DUMMYFUNCTION("IF(J430="""",""n/a"",IFERROR(SPLIT(J430,""/"")))"),"Nescafe")</f>
        <v>Nescafe</v>
      </c>
      <c r="E1506" s="485" t="str">
        <f ca="1">IFERROR(__xludf.DUMMYFUNCTION("""COMPUTED_VALUE"""),"pack (30pcsx26grams)")</f>
        <v>pack (30pcsx26grams)</v>
      </c>
      <c r="F1506" s="487"/>
      <c r="G1506" s="487"/>
      <c r="H1506" s="183" t="s">
        <v>1897</v>
      </c>
      <c r="I1506" s="487"/>
      <c r="J1506" s="46" t="s">
        <v>152</v>
      </c>
      <c r="K1506" s="487"/>
      <c r="L1506" s="204">
        <v>7.49</v>
      </c>
      <c r="M1506" s="202">
        <v>443</v>
      </c>
      <c r="N1506" s="203">
        <v>1</v>
      </c>
      <c r="O1506" s="61" t="str">
        <f ca="1">E1506</f>
        <v>pack (30pcsx26grams)</v>
      </c>
      <c r="P1506" s="61" t="s">
        <v>92</v>
      </c>
      <c r="Q1506" s="487"/>
      <c r="R1506" s="192" t="str">
        <f>CONCATENATE(N1506,P1506)</f>
        <v>1pieces</v>
      </c>
      <c r="S1506" s="198">
        <f>M1506*N1506</f>
        <v>443</v>
      </c>
      <c r="T1506" s="199" t="str">
        <f>CONCATENATE(S1506,Q1506,P1506)</f>
        <v>443pieces</v>
      </c>
      <c r="U1506" s="200">
        <f>L1506*M1506</f>
        <v>3318.07</v>
      </c>
      <c r="V1506" s="205"/>
      <c r="W1506" s="62"/>
    </row>
    <row r="1507" spans="1:23" x14ac:dyDescent="0.3">
      <c r="A1507" s="479">
        <v>581</v>
      </c>
      <c r="B1507" s="194" t="s">
        <v>151</v>
      </c>
      <c r="C1507" s="487"/>
      <c r="D1507" s="485" t="str">
        <f ca="1">IFERROR(__xludf.DUMMYFUNCTION("IF(J431="""",""n/a"",IFERROR(SPLIT(J431,""/"")))"),"Nescafe")</f>
        <v>Nescafe</v>
      </c>
      <c r="E1507" s="485" t="str">
        <f ca="1">IFERROR(__xludf.DUMMYFUNCTION("""COMPUTED_VALUE"""),"pack (30pcsx26grams)")</f>
        <v>pack (30pcsx26grams)</v>
      </c>
      <c r="F1507" s="487"/>
      <c r="G1507" s="487"/>
      <c r="H1507" s="183" t="s">
        <v>1895</v>
      </c>
      <c r="I1507" s="487"/>
      <c r="J1507" s="46" t="s">
        <v>152</v>
      </c>
      <c r="K1507" s="487"/>
      <c r="L1507" s="195">
        <v>7.5</v>
      </c>
      <c r="M1507" s="197">
        <v>1411</v>
      </c>
      <c r="N1507" s="61">
        <v>1</v>
      </c>
      <c r="O1507" s="61" t="str">
        <f ca="1">E1507</f>
        <v>pack (30pcsx26grams)</v>
      </c>
      <c r="P1507" s="61" t="s">
        <v>92</v>
      </c>
      <c r="Q1507" s="487"/>
      <c r="R1507" s="192" t="str">
        <f>CONCATENATE(N1507,P1507)</f>
        <v>1pieces</v>
      </c>
      <c r="S1507" s="198">
        <f>M1507*N1507</f>
        <v>1411</v>
      </c>
      <c r="T1507" s="199" t="str">
        <f>CONCATENATE(S1507,Q1507,P1507)</f>
        <v>1411pieces</v>
      </c>
      <c r="U1507" s="200">
        <f>L1507*M1507</f>
        <v>10582.5</v>
      </c>
      <c r="V1507" s="12"/>
      <c r="W1507" s="12"/>
    </row>
    <row r="1508" spans="1:23" x14ac:dyDescent="0.3">
      <c r="A1508" s="479">
        <v>581</v>
      </c>
      <c r="B1508" s="194" t="s">
        <v>151</v>
      </c>
      <c r="C1508" s="487"/>
      <c r="D1508" s="485" t="str">
        <f ca="1">IFERROR(__xludf.DUMMYFUNCTION("IF(J432="""",""n/a"",IFERROR(SPLIT(J432,""/"")))"),"n/a")</f>
        <v>n/a</v>
      </c>
      <c r="E1508" s="487"/>
      <c r="F1508" s="487"/>
      <c r="G1508" s="487"/>
      <c r="H1508" s="206" t="s">
        <v>1898</v>
      </c>
      <c r="I1508" s="487"/>
      <c r="J1508" s="170"/>
      <c r="K1508" s="487"/>
      <c r="L1508" s="197">
        <v>7.65</v>
      </c>
      <c r="M1508" s="385">
        <v>379</v>
      </c>
      <c r="N1508" s="208">
        <v>10</v>
      </c>
      <c r="O1508" s="170">
        <f>E1508</f>
        <v>0</v>
      </c>
      <c r="P1508" s="209" t="s">
        <v>92</v>
      </c>
      <c r="Q1508" s="487"/>
      <c r="R1508" s="192" t="str">
        <f>CONCATENATE(N1508,P1508)</f>
        <v>10pieces</v>
      </c>
      <c r="S1508" s="198">
        <f>M1508*N1508</f>
        <v>3790</v>
      </c>
      <c r="T1508" s="199" t="str">
        <f>CONCATENATE(S1508,Q1508,P1508)</f>
        <v>3790pieces</v>
      </c>
      <c r="U1508" s="200">
        <f>L1508*M1508</f>
        <v>2899.35</v>
      </c>
      <c r="V1508" s="12"/>
      <c r="W1508" s="12"/>
    </row>
    <row r="1509" spans="1:23" x14ac:dyDescent="0.3">
      <c r="A1509" s="193">
        <v>581</v>
      </c>
      <c r="B1509" s="46" t="s">
        <v>151</v>
      </c>
      <c r="C1509" s="315"/>
      <c r="D1509" s="316"/>
      <c r="E1509" s="315"/>
      <c r="F1509" s="315"/>
      <c r="G1509" s="315"/>
      <c r="H1509" s="400" t="s">
        <v>2027</v>
      </c>
      <c r="I1509" s="12"/>
      <c r="J1509" s="46" t="s">
        <v>30</v>
      </c>
      <c r="K1509" s="12"/>
      <c r="L1509" s="195">
        <v>7.25</v>
      </c>
      <c r="M1509" s="197">
        <v>98</v>
      </c>
      <c r="N1509" s="360">
        <v>1</v>
      </c>
      <c r="O1509" s="61"/>
      <c r="P1509" s="61" t="s">
        <v>92</v>
      </c>
      <c r="Q1509" s="12"/>
      <c r="R1509" s="192" t="str">
        <f>CONCATENATE(N1509,P1509)</f>
        <v>1pieces</v>
      </c>
      <c r="S1509" s="198">
        <f>M1509*N1509</f>
        <v>98</v>
      </c>
      <c r="T1509" s="199" t="str">
        <f>CONCATENATE(S1509,Q1509,P1509)</f>
        <v>98pieces</v>
      </c>
      <c r="U1509" s="200">
        <f>L1509*M1509</f>
        <v>710.5</v>
      </c>
      <c r="V1509" s="12"/>
      <c r="W1509" s="12"/>
    </row>
    <row r="1510" spans="1:23" x14ac:dyDescent="0.3">
      <c r="A1510" s="479">
        <v>582</v>
      </c>
      <c r="B1510" s="194" t="s">
        <v>698</v>
      </c>
      <c r="C1510" s="487"/>
      <c r="D1510" s="485" t="str">
        <f ca="1">IFERROR(__xludf.DUMMYFUNCTION("IF(J433="""",""n/a"",IFERROR(SPLIT(J433,""/"")))"),"n/a")</f>
        <v>n/a</v>
      </c>
      <c r="E1510" s="487"/>
      <c r="F1510" s="487"/>
      <c r="G1510" s="487"/>
      <c r="H1510" s="206" t="s">
        <v>1898</v>
      </c>
      <c r="I1510" s="487"/>
      <c r="J1510" s="170"/>
      <c r="K1510" s="487"/>
      <c r="L1510" s="197">
        <v>8.51</v>
      </c>
      <c r="M1510" s="385">
        <v>100</v>
      </c>
      <c r="N1510" s="208">
        <v>10</v>
      </c>
      <c r="O1510" s="170">
        <f>E1510</f>
        <v>0</v>
      </c>
      <c r="P1510" s="209" t="s">
        <v>92</v>
      </c>
      <c r="Q1510" s="487"/>
      <c r="R1510" s="192" t="str">
        <f>CONCATENATE(N1510,P1510)</f>
        <v>10pieces</v>
      </c>
      <c r="S1510" s="198">
        <f>M1510*N1510</f>
        <v>1000</v>
      </c>
      <c r="T1510" s="199" t="str">
        <f>CONCATENATE(S1510,Q1510,P1510)</f>
        <v>1000pieces</v>
      </c>
      <c r="U1510" s="200">
        <f>L1510*M1510</f>
        <v>851</v>
      </c>
      <c r="V1510" s="12"/>
      <c r="W1510" s="12"/>
    </row>
    <row r="1511" spans="1:23" x14ac:dyDescent="0.3">
      <c r="A1511" s="479">
        <v>583</v>
      </c>
      <c r="B1511" s="194" t="s">
        <v>699</v>
      </c>
      <c r="C1511" s="487"/>
      <c r="D1511" s="485" t="str">
        <f ca="1">IFERROR(__xludf.DUMMYFUNCTION("IF(J434="""",""n/a"",IFERROR(SPLIT(J434,""/"")))"),"Nestle ")</f>
        <v xml:space="preserve">Nestle </v>
      </c>
      <c r="E1511" s="485" t="str">
        <f ca="1">IFERROR(__xludf.DUMMYFUNCTION("""COMPUTED_VALUE"""),"(pcsx25.5grams)")</f>
        <v>(pcsx25.5grams)</v>
      </c>
      <c r="F1511" s="487"/>
      <c r="G1511" s="487"/>
      <c r="H1511" s="183" t="s">
        <v>1897</v>
      </c>
      <c r="I1511" s="487"/>
      <c r="J1511" s="46" t="s">
        <v>700</v>
      </c>
      <c r="K1511" s="487"/>
      <c r="L1511" s="204">
        <v>8.34</v>
      </c>
      <c r="M1511" s="202">
        <v>249</v>
      </c>
      <c r="N1511" s="203">
        <v>1</v>
      </c>
      <c r="O1511" s="61" t="str">
        <f ca="1">E1511</f>
        <v>(pcsx25.5grams)</v>
      </c>
      <c r="P1511" s="61" t="s">
        <v>92</v>
      </c>
      <c r="Q1511" s="487"/>
      <c r="R1511" s="192" t="str">
        <f>CONCATENATE(N1511,P1511)</f>
        <v>1pieces</v>
      </c>
      <c r="S1511" s="198">
        <f>M1511*N1511</f>
        <v>249</v>
      </c>
      <c r="T1511" s="199" t="str">
        <f>CONCATENATE(S1511,Q1511,P1511)</f>
        <v>249pieces</v>
      </c>
      <c r="U1511" s="200">
        <f>L1511*M1511</f>
        <v>2076.66</v>
      </c>
      <c r="V1511" s="205"/>
      <c r="W1511" s="62"/>
    </row>
    <row r="1512" spans="1:23" x14ac:dyDescent="0.3">
      <c r="A1512" s="193">
        <v>583</v>
      </c>
      <c r="B1512" s="46" t="s">
        <v>699</v>
      </c>
      <c r="C1512" s="315"/>
      <c r="D1512" s="316"/>
      <c r="E1512" s="315"/>
      <c r="F1512" s="315"/>
      <c r="G1512" s="315"/>
      <c r="H1512" s="400" t="s">
        <v>2027</v>
      </c>
      <c r="I1512" s="12"/>
      <c r="J1512" s="46" t="s">
        <v>30</v>
      </c>
      <c r="K1512" s="12"/>
      <c r="L1512" s="195">
        <v>7.1</v>
      </c>
      <c r="M1512" s="197">
        <v>140</v>
      </c>
      <c r="N1512" s="360">
        <v>1</v>
      </c>
      <c r="O1512" s="61"/>
      <c r="P1512" s="61" t="s">
        <v>92</v>
      </c>
      <c r="Q1512" s="12"/>
      <c r="R1512" s="192" t="str">
        <f>CONCATENATE(N1512,P1512)</f>
        <v>1pieces</v>
      </c>
      <c r="S1512" s="198">
        <f>M1512*N1512</f>
        <v>140</v>
      </c>
      <c r="T1512" s="199" t="str">
        <f>CONCATENATE(S1512,Q1512,P1512)</f>
        <v>140pieces</v>
      </c>
      <c r="U1512" s="200">
        <f>L1512*M1512</f>
        <v>994</v>
      </c>
      <c r="V1512" s="12"/>
      <c r="W1512" s="12"/>
    </row>
    <row r="1513" spans="1:23" x14ac:dyDescent="0.3">
      <c r="A1513" s="479">
        <v>584</v>
      </c>
      <c r="B1513" s="214" t="s">
        <v>153</v>
      </c>
      <c r="C1513" s="489"/>
      <c r="D1513" s="485" t="str">
        <f ca="1">IFERROR(__xludf.DUMMYFUNCTION("IF(J435="""",""n/a"",IFERROR(SPLIT(J435,""/"")))"),"Nescafe")</f>
        <v>Nescafe</v>
      </c>
      <c r="E1513" s="493" t="str">
        <f ca="1">IFERROR(__xludf.DUMMYFUNCTION("""COMPUTED_VALUE""")," (pcsx")</f>
        <v xml:space="preserve"> (pcsx</v>
      </c>
      <c r="F1513" s="493" t="str">
        <f ca="1">IFERROR(__xludf.DUMMYFUNCTION("""COMPUTED_VALUE"""),"25.5grams)")</f>
        <v>25.5grams)</v>
      </c>
      <c r="G1513" s="489"/>
      <c r="H1513" s="183" t="s">
        <v>1895</v>
      </c>
      <c r="I1513" s="487"/>
      <c r="J1513" s="46" t="s">
        <v>154</v>
      </c>
      <c r="K1513" s="487"/>
      <c r="L1513" s="195">
        <v>8.34</v>
      </c>
      <c r="M1513" s="197">
        <v>166</v>
      </c>
      <c r="N1513" s="61">
        <v>1</v>
      </c>
      <c r="O1513" s="61" t="str">
        <f ca="1">E1513</f>
        <v xml:space="preserve"> (pcsx</v>
      </c>
      <c r="P1513" s="61" t="s">
        <v>92</v>
      </c>
      <c r="Q1513" s="487"/>
      <c r="R1513" s="192" t="str">
        <f>CONCATENATE(N1513,P1513)</f>
        <v>1pieces</v>
      </c>
      <c r="S1513" s="198">
        <f>M1513*N1513</f>
        <v>166</v>
      </c>
      <c r="T1513" s="199" t="str">
        <f>CONCATENATE(S1513,Q1513,P1513)</f>
        <v>166pieces</v>
      </c>
      <c r="U1513" s="200">
        <f>L1513*M1513</f>
        <v>1384.44</v>
      </c>
      <c r="V1513" s="12"/>
      <c r="W1513" s="12"/>
    </row>
    <row r="1514" spans="1:23" x14ac:dyDescent="0.3">
      <c r="A1514" s="479">
        <v>584</v>
      </c>
      <c r="B1514" s="194" t="s">
        <v>153</v>
      </c>
      <c r="C1514" s="487"/>
      <c r="D1514" s="485" t="str">
        <f ca="1">IFERROR(__xludf.DUMMYFUNCTION("IF(J436="""",""n/a"",IFERROR(SPLIT(J436,""/"")))"),"n/a")</f>
        <v>n/a</v>
      </c>
      <c r="E1514" s="487"/>
      <c r="F1514" s="487"/>
      <c r="G1514" s="487"/>
      <c r="H1514" s="206" t="s">
        <v>1898</v>
      </c>
      <c r="I1514" s="487"/>
      <c r="J1514" s="170"/>
      <c r="K1514" s="487"/>
      <c r="L1514" s="197">
        <v>8.5</v>
      </c>
      <c r="M1514" s="385">
        <v>428</v>
      </c>
      <c r="N1514" s="208">
        <v>1</v>
      </c>
      <c r="O1514" s="170">
        <f>E1514</f>
        <v>0</v>
      </c>
      <c r="P1514" s="209" t="s">
        <v>92</v>
      </c>
      <c r="Q1514" s="487"/>
      <c r="R1514" s="192" t="str">
        <f>CONCATENATE(N1514,P1514)</f>
        <v>1pieces</v>
      </c>
      <c r="S1514" s="198">
        <f>M1514*N1514</f>
        <v>428</v>
      </c>
      <c r="T1514" s="199" t="str">
        <f>CONCATENATE(S1514,Q1514,P1514)</f>
        <v>428pieces</v>
      </c>
      <c r="U1514" s="200">
        <f>L1514*M1514</f>
        <v>3638</v>
      </c>
      <c r="V1514" s="12"/>
      <c r="W1514" s="12"/>
    </row>
    <row r="1515" spans="1:23" x14ac:dyDescent="0.3">
      <c r="A1515" s="193">
        <v>585</v>
      </c>
      <c r="B1515" s="46" t="s">
        <v>1476</v>
      </c>
      <c r="C1515" s="315"/>
      <c r="D1515" s="316"/>
      <c r="E1515" s="315"/>
      <c r="F1515" s="315"/>
      <c r="G1515" s="315"/>
      <c r="H1515" s="194" t="s">
        <v>1368</v>
      </c>
      <c r="I1515" s="12"/>
      <c r="J1515" s="46" t="s">
        <v>1272</v>
      </c>
      <c r="K1515" s="12"/>
      <c r="L1515" s="197">
        <v>49.75</v>
      </c>
      <c r="M1515" s="197">
        <v>6</v>
      </c>
      <c r="N1515" s="290">
        <v>1</v>
      </c>
      <c r="O1515" s="46"/>
      <c r="P1515" s="46" t="s">
        <v>92</v>
      </c>
      <c r="Q1515" s="12"/>
      <c r="R1515" s="192" t="str">
        <f>CONCATENATE(N1515,P1515)</f>
        <v>1pieces</v>
      </c>
      <c r="S1515" s="198">
        <f>M1515*N1515</f>
        <v>6</v>
      </c>
      <c r="T1515" s="199" t="str">
        <f>CONCATENATE(S1515,Q1515,P1515)</f>
        <v>6pieces</v>
      </c>
      <c r="U1515" s="200">
        <f>L1515*M1515</f>
        <v>298.5</v>
      </c>
      <c r="V1515" s="12"/>
      <c r="W1515" s="12"/>
    </row>
    <row r="1516" spans="1:23" x14ac:dyDescent="0.3">
      <c r="A1516" s="479">
        <v>586</v>
      </c>
      <c r="B1516" s="194" t="s">
        <v>277</v>
      </c>
      <c r="C1516" s="487"/>
      <c r="D1516" s="485" t="str">
        <f ca="1">IFERROR(__xludf.DUMMYFUNCTION("IF(J437="""",""n/a"",IFERROR(SPLIT(J437,""/"")))"),"Knorr")</f>
        <v>Knorr</v>
      </c>
      <c r="E1516" s="485" t="str">
        <f ca="1">IFERROR(__xludf.DUMMYFUNCTION("""COMPUTED_VALUE"""),"sachet")</f>
        <v>sachet</v>
      </c>
      <c r="F1516" s="485" t="str">
        <f ca="1">IFERROR(__xludf.DUMMYFUNCTION("""COMPUTED_VALUE"""),"53grams")</f>
        <v>53grams</v>
      </c>
      <c r="G1516" s="487"/>
      <c r="H1516" s="183" t="s">
        <v>1895</v>
      </c>
      <c r="I1516" s="487"/>
      <c r="J1516" s="46" t="s">
        <v>278</v>
      </c>
      <c r="K1516" s="487"/>
      <c r="L1516" s="195">
        <v>52.6</v>
      </c>
      <c r="M1516" s="197">
        <v>9.34</v>
      </c>
      <c r="N1516" s="61">
        <v>1</v>
      </c>
      <c r="O1516" s="61" t="str">
        <f ca="1">E1516</f>
        <v>sachet</v>
      </c>
      <c r="P1516" s="61" t="s">
        <v>39</v>
      </c>
      <c r="Q1516" s="487"/>
      <c r="R1516" s="192" t="str">
        <f>CONCATENATE(N1516,P1516)</f>
        <v>1grams</v>
      </c>
      <c r="S1516" s="198">
        <f>M1516*N1516</f>
        <v>9.34</v>
      </c>
      <c r="T1516" s="199" t="str">
        <f>CONCATENATE(S1516,Q1516,P1516)</f>
        <v>9.34grams</v>
      </c>
      <c r="U1516" s="200">
        <f>L1516*M1516</f>
        <v>491.28399999999999</v>
      </c>
      <c r="V1516" s="12"/>
      <c r="W1516" s="12"/>
    </row>
    <row r="1517" spans="1:23" x14ac:dyDescent="0.3">
      <c r="A1517" s="193">
        <v>587</v>
      </c>
      <c r="B1517" s="46" t="s">
        <v>1477</v>
      </c>
      <c r="C1517" s="315"/>
      <c r="D1517" s="316"/>
      <c r="E1517" s="315"/>
      <c r="F1517" s="315"/>
      <c r="G1517" s="315"/>
      <c r="H1517" s="194" t="s">
        <v>2026</v>
      </c>
      <c r="I1517" s="12"/>
      <c r="J1517" s="170"/>
      <c r="K1517" s="12"/>
      <c r="L1517" s="197">
        <v>60</v>
      </c>
      <c r="M1517" s="197">
        <v>1</v>
      </c>
      <c r="N1517" s="290">
        <v>1</v>
      </c>
      <c r="O1517" s="46"/>
      <c r="P1517" s="46" t="s">
        <v>213</v>
      </c>
      <c r="Q1517" s="12"/>
      <c r="R1517" s="192" t="str">
        <f>CONCATENATE(N1517,P1517)</f>
        <v>1kilos</v>
      </c>
      <c r="S1517" s="198">
        <f>M1517*N1517</f>
        <v>1</v>
      </c>
      <c r="T1517" s="199" t="str">
        <f>CONCATENATE(S1517,Q1517,P1517)</f>
        <v>1kilos</v>
      </c>
      <c r="U1517" s="200">
        <f>L1517*M1517</f>
        <v>60</v>
      </c>
      <c r="V1517" s="12"/>
      <c r="W1517" s="12"/>
    </row>
    <row r="1518" spans="1:23" x14ac:dyDescent="0.3">
      <c r="A1518" s="479">
        <v>588</v>
      </c>
      <c r="B1518" s="194" t="s">
        <v>425</v>
      </c>
      <c r="C1518" s="487"/>
      <c r="D1518" s="485" t="str">
        <f ca="1">IFERROR(__xludf.DUMMYFUNCTION("IF(J438="""",""n/a"",IFERROR(SPLIT(J438,""/"")))"),"Jack &amp; Jill")</f>
        <v>Jack &amp; Jill</v>
      </c>
      <c r="E1518" s="485" t="str">
        <f ca="1">IFERROR(__xludf.DUMMYFUNCTION("""COMPUTED_VALUE"""),"box")</f>
        <v>box</v>
      </c>
      <c r="F1518" s="485" t="str">
        <f ca="1">IFERROR(__xludf.DUMMYFUNCTION("""COMPUTED_VALUE""")," (80pcsx 38grams)")</f>
        <v xml:space="preserve"> (80pcsx 38grams)</v>
      </c>
      <c r="G1518" s="487"/>
      <c r="H1518" s="183" t="s">
        <v>1895</v>
      </c>
      <c r="I1518" s="487"/>
      <c r="J1518" s="46" t="s">
        <v>426</v>
      </c>
      <c r="K1518" s="487"/>
      <c r="L1518" s="195">
        <v>15.51</v>
      </c>
      <c r="M1518" s="197">
        <v>160</v>
      </c>
      <c r="N1518" s="61">
        <v>1</v>
      </c>
      <c r="O1518" s="61" t="str">
        <f ca="1">E1518</f>
        <v>box</v>
      </c>
      <c r="P1518" s="61" t="s">
        <v>92</v>
      </c>
      <c r="Q1518" s="487"/>
      <c r="R1518" s="192" t="str">
        <f>CONCATENATE(N1518,P1518)</f>
        <v>1pieces</v>
      </c>
      <c r="S1518" s="198">
        <f>M1518*N1518</f>
        <v>160</v>
      </c>
      <c r="T1518" s="199" t="str">
        <f>CONCATENATE(S1518,Q1518,P1518)</f>
        <v>160pieces</v>
      </c>
      <c r="U1518" s="200">
        <f>L1518*M1518</f>
        <v>2481.6</v>
      </c>
      <c r="V1518" s="12"/>
      <c r="W1518" s="12"/>
    </row>
    <row r="1519" spans="1:23" x14ac:dyDescent="0.3">
      <c r="A1519" s="479">
        <v>588</v>
      </c>
      <c r="B1519" s="194" t="s">
        <v>425</v>
      </c>
      <c r="C1519" s="487"/>
      <c r="D1519" s="485" t="str">
        <f ca="1">IFERROR(__xludf.DUMMYFUNCTION("IF(J439="""",""n/a"",IFERROR(SPLIT(J439,""/"")))"),"n/a")</f>
        <v>n/a</v>
      </c>
      <c r="E1519" s="487"/>
      <c r="F1519" s="487"/>
      <c r="G1519" s="487"/>
      <c r="H1519" s="206" t="s">
        <v>1898</v>
      </c>
      <c r="I1519" s="487"/>
      <c r="J1519" s="170"/>
      <c r="K1519" s="487"/>
      <c r="L1519" s="197">
        <v>66.12</v>
      </c>
      <c r="M1519" s="385">
        <v>18</v>
      </c>
      <c r="N1519" s="207">
        <v>18</v>
      </c>
      <c r="O1519" s="170">
        <f>E1519</f>
        <v>0</v>
      </c>
      <c r="P1519" s="209" t="s">
        <v>92</v>
      </c>
      <c r="Q1519" s="487"/>
      <c r="R1519" s="192" t="str">
        <f>CONCATENATE(N1519,P1519)</f>
        <v>18pieces</v>
      </c>
      <c r="S1519" s="198">
        <f>M1519*N1519</f>
        <v>324</v>
      </c>
      <c r="T1519" s="199" t="str">
        <f>CONCATENATE(S1519,Q1519,P1519)</f>
        <v>324pieces</v>
      </c>
      <c r="U1519" s="200">
        <f>L1519*M1519</f>
        <v>1190.1600000000001</v>
      </c>
      <c r="V1519" s="12"/>
      <c r="W1519" s="12"/>
    </row>
    <row r="1520" spans="1:23" x14ac:dyDescent="0.3">
      <c r="A1520" s="193">
        <v>589</v>
      </c>
      <c r="B1520" s="219" t="s">
        <v>1478</v>
      </c>
      <c r="C1520" s="315"/>
      <c r="D1520" s="316"/>
      <c r="E1520" s="315"/>
      <c r="F1520" s="315"/>
      <c r="G1520" s="315"/>
      <c r="H1520" s="194" t="s">
        <v>2023</v>
      </c>
      <c r="I1520" s="12"/>
      <c r="J1520" s="219" t="s">
        <v>854</v>
      </c>
      <c r="K1520" s="12"/>
      <c r="L1520" s="197">
        <v>105</v>
      </c>
      <c r="M1520" s="197">
        <v>1</v>
      </c>
      <c r="N1520" s="290">
        <v>37</v>
      </c>
      <c r="O1520" s="46"/>
      <c r="P1520" s="46" t="s">
        <v>39</v>
      </c>
      <c r="Q1520" s="12"/>
      <c r="R1520" s="192" t="str">
        <f>CONCATENATE(N1520,P1520)</f>
        <v>37grams</v>
      </c>
      <c r="S1520" s="198">
        <f>M1520*N1520</f>
        <v>37</v>
      </c>
      <c r="T1520" s="199" t="str">
        <f>CONCATENATE(S1520,Q1520,P1520)</f>
        <v>37grams</v>
      </c>
      <c r="U1520" s="200">
        <f>L1520*M1520</f>
        <v>105</v>
      </c>
      <c r="V1520" s="12"/>
      <c r="W1520" s="12"/>
    </row>
    <row r="1521" spans="1:23" x14ac:dyDescent="0.3">
      <c r="A1521" s="193">
        <v>589</v>
      </c>
      <c r="B1521" s="219" t="s">
        <v>1478</v>
      </c>
      <c r="C1521" s="315"/>
      <c r="D1521" s="316"/>
      <c r="E1521" s="315"/>
      <c r="F1521" s="315"/>
      <c r="G1521" s="315"/>
      <c r="H1521" s="194" t="s">
        <v>2021</v>
      </c>
      <c r="I1521" s="12"/>
      <c r="J1521" s="219" t="s">
        <v>854</v>
      </c>
      <c r="K1521" s="12"/>
      <c r="L1521" s="216">
        <v>125.25</v>
      </c>
      <c r="M1521" s="216">
        <v>2</v>
      </c>
      <c r="N1521" s="293">
        <v>37</v>
      </c>
      <c r="O1521" s="219"/>
      <c r="P1521" s="219" t="s">
        <v>39</v>
      </c>
      <c r="Q1521" s="12"/>
      <c r="R1521" s="192" t="str">
        <f>CONCATENATE(N1521,P1521)</f>
        <v>37grams</v>
      </c>
      <c r="S1521" s="198">
        <f>M1521*N1521</f>
        <v>74</v>
      </c>
      <c r="T1521" s="199" t="str">
        <f>CONCATENATE(S1521,Q1521,P1521)</f>
        <v>74grams</v>
      </c>
      <c r="U1521" s="200">
        <f>L1521*M1521</f>
        <v>250.5</v>
      </c>
      <c r="V1521" s="12"/>
      <c r="W1521" s="12"/>
    </row>
    <row r="1522" spans="1:23" x14ac:dyDescent="0.3">
      <c r="A1522" s="193">
        <v>590</v>
      </c>
      <c r="B1522" s="46" t="s">
        <v>1973</v>
      </c>
      <c r="C1522" s="315"/>
      <c r="D1522" s="316"/>
      <c r="E1522" s="315"/>
      <c r="F1522" s="315"/>
      <c r="G1522" s="315"/>
      <c r="H1522" s="400" t="s">
        <v>2027</v>
      </c>
      <c r="I1522" s="12"/>
      <c r="J1522" s="46" t="s">
        <v>1960</v>
      </c>
      <c r="K1522" s="12"/>
      <c r="L1522" s="195">
        <v>23.85</v>
      </c>
      <c r="M1522" s="197">
        <v>2</v>
      </c>
      <c r="N1522" s="360">
        <v>1</v>
      </c>
      <c r="O1522" s="61"/>
      <c r="P1522" s="61" t="s">
        <v>92</v>
      </c>
      <c r="Q1522" s="12"/>
      <c r="R1522" s="192" t="str">
        <f>CONCATENATE(N1522,P1522)</f>
        <v>1pieces</v>
      </c>
      <c r="S1522" s="198">
        <f>M1522*N1522</f>
        <v>2</v>
      </c>
      <c r="T1522" s="199" t="str">
        <f>CONCATENATE(S1522,Q1522,P1522)</f>
        <v>2pieces</v>
      </c>
      <c r="U1522" s="200">
        <f>L1522*M1522</f>
        <v>47.7</v>
      </c>
      <c r="V1522" s="12"/>
      <c r="W1522" s="12"/>
    </row>
    <row r="1523" spans="1:23" x14ac:dyDescent="0.3">
      <c r="A1523" s="193">
        <v>591</v>
      </c>
      <c r="B1523" s="46" t="s">
        <v>1974</v>
      </c>
      <c r="C1523" s="315"/>
      <c r="D1523" s="316"/>
      <c r="E1523" s="315"/>
      <c r="F1523" s="315"/>
      <c r="G1523" s="315"/>
      <c r="H1523" s="400" t="s">
        <v>2027</v>
      </c>
      <c r="I1523" s="12"/>
      <c r="J1523" s="46" t="s">
        <v>1960</v>
      </c>
      <c r="K1523" s="12"/>
      <c r="L1523" s="195">
        <v>15.7</v>
      </c>
      <c r="M1523" s="197">
        <v>6</v>
      </c>
      <c r="N1523" s="360">
        <v>1</v>
      </c>
      <c r="O1523" s="61"/>
      <c r="P1523" s="61" t="s">
        <v>92</v>
      </c>
      <c r="Q1523" s="12"/>
      <c r="R1523" s="192" t="str">
        <f>CONCATENATE(N1523,P1523)</f>
        <v>1pieces</v>
      </c>
      <c r="S1523" s="198">
        <f>M1523*N1523</f>
        <v>6</v>
      </c>
      <c r="T1523" s="199" t="str">
        <f>CONCATENATE(S1523,Q1523,P1523)</f>
        <v>6pieces</v>
      </c>
      <c r="U1523" s="200">
        <f>L1523*M1523</f>
        <v>94.199999999999989</v>
      </c>
      <c r="V1523" s="12"/>
      <c r="W1523" s="12"/>
    </row>
    <row r="1524" spans="1:23" x14ac:dyDescent="0.3">
      <c r="A1524" s="193">
        <v>592</v>
      </c>
      <c r="B1524" s="46" t="s">
        <v>1479</v>
      </c>
      <c r="C1524" s="315"/>
      <c r="D1524" s="316"/>
      <c r="E1524" s="315"/>
      <c r="F1524" s="315"/>
      <c r="G1524" s="315"/>
      <c r="H1524" s="194" t="s">
        <v>2025</v>
      </c>
      <c r="I1524" s="12"/>
      <c r="J1524" s="170"/>
      <c r="K1524" s="12"/>
      <c r="L1524" s="197">
        <v>55</v>
      </c>
      <c r="M1524" s="197">
        <v>1</v>
      </c>
      <c r="N1524" s="290">
        <v>1</v>
      </c>
      <c r="O1524" s="46"/>
      <c r="P1524" s="46" t="s">
        <v>213</v>
      </c>
      <c r="Q1524" s="12"/>
      <c r="R1524" s="192" t="str">
        <f>CONCATENATE(N1524,P1524)</f>
        <v>1kilos</v>
      </c>
      <c r="S1524" s="198">
        <f>M1524*N1524</f>
        <v>1</v>
      </c>
      <c r="T1524" s="199" t="str">
        <f>CONCATENATE(S1524,Q1524,P1524)</f>
        <v>1kilos</v>
      </c>
      <c r="U1524" s="200">
        <f>L1524*M1524</f>
        <v>55</v>
      </c>
      <c r="V1524" s="12"/>
      <c r="W1524" s="12"/>
    </row>
    <row r="1525" spans="1:23" x14ac:dyDescent="0.3">
      <c r="A1525" s="193">
        <v>592</v>
      </c>
      <c r="B1525" s="46" t="s">
        <v>1479</v>
      </c>
      <c r="C1525" s="315"/>
      <c r="D1525" s="316"/>
      <c r="E1525" s="315"/>
      <c r="F1525" s="315"/>
      <c r="G1525" s="315"/>
      <c r="H1525" s="194" t="s">
        <v>2026</v>
      </c>
      <c r="I1525" s="12"/>
      <c r="J1525" s="170"/>
      <c r="K1525" s="12"/>
      <c r="L1525" s="197">
        <v>120</v>
      </c>
      <c r="M1525" s="197">
        <v>0</v>
      </c>
      <c r="N1525" s="290">
        <v>1</v>
      </c>
      <c r="O1525" s="46"/>
      <c r="P1525" s="46" t="s">
        <v>213</v>
      </c>
      <c r="Q1525" s="12"/>
      <c r="R1525" s="192" t="str">
        <f>CONCATENATE(N1525,P1525)</f>
        <v>1kilos</v>
      </c>
      <c r="S1525" s="198">
        <f>M1525*N1525</f>
        <v>0</v>
      </c>
      <c r="T1525" s="199" t="str">
        <f>CONCATENATE(S1525,Q1525,P1525)</f>
        <v>0kilos</v>
      </c>
      <c r="U1525" s="200">
        <f>L1525*M1525</f>
        <v>0</v>
      </c>
      <c r="V1525" s="12"/>
      <c r="W1525" s="12"/>
    </row>
    <row r="1526" spans="1:23" x14ac:dyDescent="0.3">
      <c r="A1526" s="193">
        <v>592</v>
      </c>
      <c r="B1526" s="46" t="s">
        <v>1479</v>
      </c>
      <c r="C1526" s="315"/>
      <c r="D1526" s="316"/>
      <c r="E1526" s="315"/>
      <c r="F1526" s="315"/>
      <c r="G1526" s="315"/>
      <c r="H1526" s="194" t="s">
        <v>1368</v>
      </c>
      <c r="I1526" s="12"/>
      <c r="J1526" s="170"/>
      <c r="K1526" s="12"/>
      <c r="L1526" s="197">
        <v>50</v>
      </c>
      <c r="M1526" s="197">
        <v>2</v>
      </c>
      <c r="N1526" s="290">
        <v>1</v>
      </c>
      <c r="O1526" s="46"/>
      <c r="P1526" s="46" t="s">
        <v>213</v>
      </c>
      <c r="Q1526" s="12"/>
      <c r="R1526" s="192" t="str">
        <f>CONCATENATE(N1526,P1526)</f>
        <v>1kilos</v>
      </c>
      <c r="S1526" s="198">
        <f>M1526*N1526</f>
        <v>2</v>
      </c>
      <c r="T1526" s="199" t="str">
        <f>CONCATENATE(S1526,Q1526,P1526)</f>
        <v>2kilos</v>
      </c>
      <c r="U1526" s="200">
        <f>L1526*M1526</f>
        <v>100</v>
      </c>
      <c r="V1526" s="12"/>
      <c r="W1526" s="12"/>
    </row>
    <row r="1527" spans="1:23" x14ac:dyDescent="0.3">
      <c r="A1527" s="193">
        <v>592</v>
      </c>
      <c r="B1527" s="46" t="s">
        <v>1479</v>
      </c>
      <c r="C1527" s="315"/>
      <c r="D1527" s="316"/>
      <c r="E1527" s="315"/>
      <c r="F1527" s="315"/>
      <c r="G1527" s="315"/>
      <c r="H1527" s="194" t="s">
        <v>2023</v>
      </c>
      <c r="I1527" s="12"/>
      <c r="J1527" s="215"/>
      <c r="K1527" s="12"/>
      <c r="L1527" s="216">
        <v>105</v>
      </c>
      <c r="M1527" s="216">
        <v>1</v>
      </c>
      <c r="N1527" s="290">
        <v>1</v>
      </c>
      <c r="O1527" s="46"/>
      <c r="P1527" s="46" t="s">
        <v>213</v>
      </c>
      <c r="Q1527" s="12"/>
      <c r="R1527" s="192" t="str">
        <f>CONCATENATE(N1527,P1527)</f>
        <v>1kilos</v>
      </c>
      <c r="S1527" s="198">
        <f>M1527*N1527</f>
        <v>1</v>
      </c>
      <c r="T1527" s="199" t="str">
        <f>CONCATENATE(S1527,Q1527,P1527)</f>
        <v>1kilos</v>
      </c>
      <c r="U1527" s="200">
        <f>L1527*M1527</f>
        <v>105</v>
      </c>
      <c r="V1527" s="12"/>
      <c r="W1527" s="12"/>
    </row>
    <row r="1528" spans="1:23" x14ac:dyDescent="0.3">
      <c r="A1528" s="193">
        <v>592</v>
      </c>
      <c r="B1528" s="46" t="s">
        <v>1479</v>
      </c>
      <c r="C1528" s="315"/>
      <c r="D1528" s="316"/>
      <c r="E1528" s="315"/>
      <c r="F1528" s="315"/>
      <c r="G1528" s="315"/>
      <c r="H1528" s="194" t="s">
        <v>2020</v>
      </c>
      <c r="I1528" s="12"/>
      <c r="J1528" s="46" t="s">
        <v>1480</v>
      </c>
      <c r="K1528" s="12"/>
      <c r="L1528" s="197">
        <v>60</v>
      </c>
      <c r="M1528" s="197">
        <v>1</v>
      </c>
      <c r="N1528" s="290">
        <v>1</v>
      </c>
      <c r="O1528" s="46"/>
      <c r="P1528" s="46" t="s">
        <v>213</v>
      </c>
      <c r="Q1528" s="12"/>
      <c r="R1528" s="192" t="str">
        <f>CONCATENATE(N1528,P1528)</f>
        <v>1kilos</v>
      </c>
      <c r="S1528" s="198">
        <f>M1528*N1528</f>
        <v>1</v>
      </c>
      <c r="T1528" s="199" t="str">
        <f>CONCATENATE(S1528,Q1528,P1528)</f>
        <v>1kilos</v>
      </c>
      <c r="U1528" s="200">
        <f>L1528*M1528</f>
        <v>60</v>
      </c>
      <c r="V1528" s="12"/>
      <c r="W1528" s="12"/>
    </row>
    <row r="1529" spans="1:23" x14ac:dyDescent="0.3">
      <c r="A1529" s="193">
        <v>592</v>
      </c>
      <c r="B1529" s="46" t="s">
        <v>1479</v>
      </c>
      <c r="C1529" s="315"/>
      <c r="D1529" s="316"/>
      <c r="E1529" s="315"/>
      <c r="F1529" s="315"/>
      <c r="G1529" s="315"/>
      <c r="H1529" s="400" t="s">
        <v>2027</v>
      </c>
      <c r="I1529" s="12"/>
      <c r="J1529" s="46" t="s">
        <v>1945</v>
      </c>
      <c r="K1529" s="12"/>
      <c r="L1529" s="195">
        <v>55</v>
      </c>
      <c r="M1529" s="197">
        <v>1</v>
      </c>
      <c r="N1529" s="360">
        <v>1</v>
      </c>
      <c r="O1529" s="61"/>
      <c r="P1529" s="61" t="s">
        <v>213</v>
      </c>
      <c r="Q1529" s="12"/>
      <c r="R1529" s="192" t="str">
        <f>CONCATENATE(N1529,P1529)</f>
        <v>1kilos</v>
      </c>
      <c r="S1529" s="198">
        <f>M1529*N1529</f>
        <v>1</v>
      </c>
      <c r="T1529" s="199" t="str">
        <f>CONCATENATE(S1529,Q1529,P1529)</f>
        <v>1kilos</v>
      </c>
      <c r="U1529" s="200">
        <f>L1529*M1529</f>
        <v>55</v>
      </c>
      <c r="V1529" s="12"/>
      <c r="W1529" s="12"/>
    </row>
    <row r="1530" spans="1:23" x14ac:dyDescent="0.3">
      <c r="A1530" s="193">
        <v>593</v>
      </c>
      <c r="B1530" s="46" t="s">
        <v>1481</v>
      </c>
      <c r="C1530" s="315"/>
      <c r="D1530" s="316"/>
      <c r="E1530" s="315"/>
      <c r="F1530" s="315"/>
      <c r="G1530" s="315"/>
      <c r="H1530" s="194" t="s">
        <v>2025</v>
      </c>
      <c r="I1530" s="12"/>
      <c r="J1530" s="46" t="s">
        <v>963</v>
      </c>
      <c r="K1530" s="12"/>
      <c r="L1530" s="197">
        <v>294</v>
      </c>
      <c r="M1530" s="197">
        <v>1</v>
      </c>
      <c r="N1530" s="290">
        <v>500</v>
      </c>
      <c r="O1530" s="46"/>
      <c r="P1530" s="46" t="s">
        <v>39</v>
      </c>
      <c r="Q1530" s="12"/>
      <c r="R1530" s="192" t="str">
        <f>CONCATENATE(N1530,P1530)</f>
        <v>500grams</v>
      </c>
      <c r="S1530" s="198">
        <f>M1530*N1530</f>
        <v>500</v>
      </c>
      <c r="T1530" s="199" t="str">
        <f>CONCATENATE(S1530,Q1530,P1530)</f>
        <v>500grams</v>
      </c>
      <c r="U1530" s="200">
        <f>L1530*M1530</f>
        <v>294</v>
      </c>
      <c r="V1530" s="12"/>
      <c r="W1530" s="12"/>
    </row>
    <row r="1531" spans="1:23" x14ac:dyDescent="0.3">
      <c r="A1531" s="193">
        <v>593</v>
      </c>
      <c r="B1531" s="46" t="s">
        <v>1481</v>
      </c>
      <c r="C1531" s="315"/>
      <c r="D1531" s="316"/>
      <c r="E1531" s="315"/>
      <c r="F1531" s="315"/>
      <c r="G1531" s="315"/>
      <c r="H1531" s="194" t="s">
        <v>2026</v>
      </c>
      <c r="I1531" s="12"/>
      <c r="J1531" s="46" t="s">
        <v>963</v>
      </c>
      <c r="K1531" s="12"/>
      <c r="L1531" s="197">
        <v>534.75</v>
      </c>
      <c r="M1531" s="197">
        <v>1</v>
      </c>
      <c r="N1531" s="290">
        <v>500</v>
      </c>
      <c r="O1531" s="60"/>
      <c r="P1531" s="60" t="s">
        <v>32</v>
      </c>
      <c r="Q1531" s="12"/>
      <c r="R1531" s="192" t="str">
        <f>CONCATENATE(N1531,P1531)</f>
        <v>500ml</v>
      </c>
      <c r="S1531" s="198">
        <f>M1531*N1531</f>
        <v>500</v>
      </c>
      <c r="T1531" s="199" t="str">
        <f>CONCATENATE(S1531,Q1531,P1531)</f>
        <v>500ml</v>
      </c>
      <c r="U1531" s="200">
        <f>L1531*M1531</f>
        <v>534.75</v>
      </c>
      <c r="V1531" s="12"/>
      <c r="W1531" s="12"/>
    </row>
    <row r="1532" spans="1:23" x14ac:dyDescent="0.3">
      <c r="A1532" s="193">
        <v>593</v>
      </c>
      <c r="B1532" s="219" t="s">
        <v>1481</v>
      </c>
      <c r="C1532" s="315"/>
      <c r="D1532" s="316"/>
      <c r="E1532" s="315"/>
      <c r="F1532" s="315"/>
      <c r="G1532" s="315"/>
      <c r="H1532" s="194" t="s">
        <v>2021</v>
      </c>
      <c r="I1532" s="12"/>
      <c r="J1532" s="219" t="s">
        <v>880</v>
      </c>
      <c r="K1532" s="12"/>
      <c r="L1532" s="216">
        <v>244.5</v>
      </c>
      <c r="M1532" s="216">
        <v>1</v>
      </c>
      <c r="N1532" s="293">
        <v>250</v>
      </c>
      <c r="O1532" s="219"/>
      <c r="P1532" s="219" t="s">
        <v>32</v>
      </c>
      <c r="Q1532" s="12"/>
      <c r="R1532" s="192" t="str">
        <f>CONCATENATE(N1532,P1532)</f>
        <v>250ml</v>
      </c>
      <c r="S1532" s="198">
        <f>M1532*N1532</f>
        <v>250</v>
      </c>
      <c r="T1532" s="199" t="str">
        <f>CONCATENATE(S1532,Q1532,P1532)</f>
        <v>250ml</v>
      </c>
      <c r="U1532" s="200">
        <f>L1532*M1532</f>
        <v>244.5</v>
      </c>
      <c r="V1532" s="12"/>
      <c r="W1532" s="12"/>
    </row>
    <row r="1533" spans="1:23" x14ac:dyDescent="0.3">
      <c r="A1533" s="479">
        <v>594</v>
      </c>
      <c r="B1533" s="194" t="s">
        <v>703</v>
      </c>
      <c r="C1533" s="487"/>
      <c r="D1533" s="485" t="str">
        <f ca="1">IFERROR(__xludf.DUMMYFUNCTION("IF(J442="""",""n/a"",IFERROR(SPLIT(J442,""/"")))"),"Dona Elena")</f>
        <v>Dona Elena</v>
      </c>
      <c r="E1533" s="485" t="str">
        <f ca="1">IFERROR(__xludf.DUMMYFUNCTION("""COMPUTED_VALUE"""),"bottle")</f>
        <v>bottle</v>
      </c>
      <c r="F1533" s="485" t="str">
        <f ca="1">IFERROR(__xludf.DUMMYFUNCTION("""COMPUTED_VALUE"""),"250ml")</f>
        <v>250ml</v>
      </c>
      <c r="G1533" s="487"/>
      <c r="H1533" s="183" t="s">
        <v>1897</v>
      </c>
      <c r="I1533" s="487"/>
      <c r="J1533" s="46" t="s">
        <v>704</v>
      </c>
      <c r="K1533" s="487"/>
      <c r="L1533" s="197">
        <v>1.1200000000000001</v>
      </c>
      <c r="M1533" s="202">
        <v>250</v>
      </c>
      <c r="N1533" s="203">
        <v>250</v>
      </c>
      <c r="O1533" s="61" t="str">
        <f ca="1">E1533</f>
        <v>bottle</v>
      </c>
      <c r="P1533" s="61" t="s">
        <v>32</v>
      </c>
      <c r="Q1533" s="487"/>
      <c r="R1533" s="192" t="str">
        <f>CONCATENATE(N1533,P1533)</f>
        <v>250ml</v>
      </c>
      <c r="S1533" s="198">
        <f>M1533*N1533</f>
        <v>62500</v>
      </c>
      <c r="T1533" s="199" t="str">
        <f>CONCATENATE(S1533,Q1533,P1533)</f>
        <v>62500ml</v>
      </c>
      <c r="U1533" s="200">
        <f>L1533*M1533</f>
        <v>280</v>
      </c>
      <c r="V1533" s="62"/>
      <c r="W1533" s="62"/>
    </row>
    <row r="1534" spans="1:23" x14ac:dyDescent="0.3">
      <c r="A1534" s="193">
        <v>594</v>
      </c>
      <c r="B1534" s="46" t="s">
        <v>703</v>
      </c>
      <c r="C1534" s="315"/>
      <c r="D1534" s="316"/>
      <c r="E1534" s="315"/>
      <c r="F1534" s="315"/>
      <c r="G1534" s="315"/>
      <c r="H1534" s="194" t="s">
        <v>29</v>
      </c>
      <c r="I1534" s="12"/>
      <c r="J1534" s="46" t="s">
        <v>963</v>
      </c>
      <c r="K1534" s="12"/>
      <c r="L1534" s="197">
        <v>279.7</v>
      </c>
      <c r="M1534" s="197">
        <v>1</v>
      </c>
      <c r="N1534" s="290">
        <v>250</v>
      </c>
      <c r="O1534" s="46"/>
      <c r="P1534" s="46" t="s">
        <v>32</v>
      </c>
      <c r="Q1534" s="12"/>
      <c r="R1534" s="192" t="str">
        <f>CONCATENATE(N1534,P1534)</f>
        <v>250ml</v>
      </c>
      <c r="S1534" s="198">
        <f>M1534*N1534</f>
        <v>250</v>
      </c>
      <c r="T1534" s="199" t="str">
        <f>CONCATENATE(S1534,Q1534,P1534)</f>
        <v>250ml</v>
      </c>
      <c r="U1534" s="200">
        <f>L1534*M1534</f>
        <v>279.7</v>
      </c>
      <c r="V1534" s="12"/>
      <c r="W1534" s="12"/>
    </row>
    <row r="1535" spans="1:23" x14ac:dyDescent="0.3">
      <c r="A1535" s="193">
        <v>594</v>
      </c>
      <c r="B1535" s="46" t="s">
        <v>703</v>
      </c>
      <c r="C1535" s="315"/>
      <c r="D1535" s="316"/>
      <c r="E1535" s="315"/>
      <c r="F1535" s="315"/>
      <c r="G1535" s="315"/>
      <c r="H1535" s="194" t="s">
        <v>2023</v>
      </c>
      <c r="I1535" s="12"/>
      <c r="J1535" s="46" t="s">
        <v>963</v>
      </c>
      <c r="K1535" s="12"/>
      <c r="L1535" s="197">
        <v>263.5</v>
      </c>
      <c r="M1535" s="197">
        <v>1</v>
      </c>
      <c r="N1535" s="290">
        <v>250</v>
      </c>
      <c r="O1535" s="46"/>
      <c r="P1535" s="46" t="s">
        <v>32</v>
      </c>
      <c r="Q1535" s="12"/>
      <c r="R1535" s="192" t="str">
        <f>CONCATENATE(N1535,P1535)</f>
        <v>250ml</v>
      </c>
      <c r="S1535" s="198">
        <f>M1535*N1535</f>
        <v>250</v>
      </c>
      <c r="T1535" s="199" t="str">
        <f>CONCATENATE(S1535,Q1535,P1535)</f>
        <v>250ml</v>
      </c>
      <c r="U1535" s="200">
        <f>L1535*M1535</f>
        <v>263.5</v>
      </c>
      <c r="V1535" s="12"/>
      <c r="W1535" s="12"/>
    </row>
    <row r="1536" spans="1:23" x14ac:dyDescent="0.3">
      <c r="A1536" s="193">
        <v>594</v>
      </c>
      <c r="B1536" s="46" t="s">
        <v>703</v>
      </c>
      <c r="C1536" s="315"/>
      <c r="D1536" s="316"/>
      <c r="E1536" s="315"/>
      <c r="F1536" s="315"/>
      <c r="G1536" s="315"/>
      <c r="H1536" s="194" t="s">
        <v>2022</v>
      </c>
      <c r="I1536" s="12"/>
      <c r="J1536" s="46" t="s">
        <v>963</v>
      </c>
      <c r="K1536" s="12"/>
      <c r="L1536" s="197">
        <v>290</v>
      </c>
      <c r="M1536" s="197">
        <v>4</v>
      </c>
      <c r="N1536" s="290">
        <v>250</v>
      </c>
      <c r="O1536" s="46"/>
      <c r="P1536" s="46" t="s">
        <v>39</v>
      </c>
      <c r="Q1536" s="12"/>
      <c r="R1536" s="192" t="str">
        <f>CONCATENATE(N1536,P1536)</f>
        <v>250grams</v>
      </c>
      <c r="S1536" s="198">
        <f>M1536*N1536</f>
        <v>1000</v>
      </c>
      <c r="T1536" s="199" t="str">
        <f>CONCATENATE(S1536,Q1536,P1536)</f>
        <v>1000grams</v>
      </c>
      <c r="U1536" s="200">
        <f>L1536*M1536</f>
        <v>1160</v>
      </c>
      <c r="V1536" s="12"/>
      <c r="W1536" s="12"/>
    </row>
    <row r="1537" spans="1:23" x14ac:dyDescent="0.3">
      <c r="A1537" s="193">
        <v>594</v>
      </c>
      <c r="B1537" s="219" t="s">
        <v>703</v>
      </c>
      <c r="C1537" s="315"/>
      <c r="D1537" s="316"/>
      <c r="E1537" s="315"/>
      <c r="F1537" s="315"/>
      <c r="G1537" s="315"/>
      <c r="H1537" s="194" t="s">
        <v>2021</v>
      </c>
      <c r="I1537" s="12"/>
      <c r="J1537" s="219" t="s">
        <v>963</v>
      </c>
      <c r="K1537" s="12"/>
      <c r="L1537" s="216">
        <v>279.10000000000002</v>
      </c>
      <c r="M1537" s="216">
        <v>1</v>
      </c>
      <c r="N1537" s="293">
        <v>250</v>
      </c>
      <c r="O1537" s="219"/>
      <c r="P1537" s="219" t="s">
        <v>32</v>
      </c>
      <c r="Q1537" s="12"/>
      <c r="R1537" s="192" t="str">
        <f>CONCATENATE(N1537,P1537)</f>
        <v>250ml</v>
      </c>
      <c r="S1537" s="198">
        <f>M1537*N1537</f>
        <v>250</v>
      </c>
      <c r="T1537" s="199" t="str">
        <f>CONCATENATE(S1537,Q1537,P1537)</f>
        <v>250ml</v>
      </c>
      <c r="U1537" s="200">
        <f>L1537*M1537</f>
        <v>279.10000000000002</v>
      </c>
      <c r="V1537" s="12"/>
      <c r="W1537" s="12"/>
    </row>
    <row r="1538" spans="1:23" x14ac:dyDescent="0.3">
      <c r="A1538" s="193">
        <v>595</v>
      </c>
      <c r="B1538" s="46" t="s">
        <v>1975</v>
      </c>
      <c r="C1538" s="315"/>
      <c r="D1538" s="316"/>
      <c r="E1538" s="315"/>
      <c r="F1538" s="315"/>
      <c r="G1538" s="315"/>
      <c r="H1538" s="400" t="s">
        <v>2027</v>
      </c>
      <c r="I1538" s="12"/>
      <c r="J1538" s="46" t="s">
        <v>1945</v>
      </c>
      <c r="K1538" s="12"/>
      <c r="L1538" s="195">
        <v>123</v>
      </c>
      <c r="M1538" s="197">
        <v>1</v>
      </c>
      <c r="N1538" s="360">
        <v>1</v>
      </c>
      <c r="O1538" s="61"/>
      <c r="P1538" s="61" t="s">
        <v>213</v>
      </c>
      <c r="Q1538" s="12"/>
      <c r="R1538" s="192" t="str">
        <f>CONCATENATE(N1538,P1538)</f>
        <v>1kilos</v>
      </c>
      <c r="S1538" s="198">
        <f>M1538*N1538</f>
        <v>1</v>
      </c>
      <c r="T1538" s="199" t="str">
        <f>CONCATENATE(S1538,Q1538,P1538)</f>
        <v>1kilos</v>
      </c>
      <c r="U1538" s="200">
        <f>L1538*M1538</f>
        <v>123</v>
      </c>
      <c r="V1538" s="12"/>
      <c r="W1538" s="12"/>
    </row>
    <row r="1539" spans="1:23" x14ac:dyDescent="0.3">
      <c r="A1539" s="193">
        <v>596</v>
      </c>
      <c r="B1539" s="46" t="s">
        <v>1482</v>
      </c>
      <c r="C1539" s="315"/>
      <c r="D1539" s="316"/>
      <c r="E1539" s="315"/>
      <c r="F1539" s="315"/>
      <c r="G1539" s="315"/>
      <c r="H1539" s="194" t="s">
        <v>2025</v>
      </c>
      <c r="I1539" s="12"/>
      <c r="J1539" s="170"/>
      <c r="K1539" s="12"/>
      <c r="L1539" s="197">
        <v>100</v>
      </c>
      <c r="M1539" s="197">
        <v>0</v>
      </c>
      <c r="N1539" s="290">
        <v>1</v>
      </c>
      <c r="O1539" s="60"/>
      <c r="P1539" s="60" t="s">
        <v>213</v>
      </c>
      <c r="Q1539" s="12"/>
      <c r="R1539" s="192" t="str">
        <f>CONCATENATE(N1539,P1539)</f>
        <v>1kilos</v>
      </c>
      <c r="S1539" s="198">
        <f>M1539*N1539</f>
        <v>0</v>
      </c>
      <c r="T1539" s="199" t="str">
        <f>CONCATENATE(S1539,Q1539,P1539)</f>
        <v>0kilos</v>
      </c>
      <c r="U1539" s="200">
        <f>L1539*M1539</f>
        <v>0</v>
      </c>
      <c r="V1539" s="12"/>
      <c r="W1539" s="12"/>
    </row>
    <row r="1540" spans="1:23" x14ac:dyDescent="0.3">
      <c r="A1540" s="193">
        <v>596</v>
      </c>
      <c r="B1540" s="46" t="s">
        <v>1482</v>
      </c>
      <c r="C1540" s="315"/>
      <c r="D1540" s="316"/>
      <c r="E1540" s="315"/>
      <c r="F1540" s="315"/>
      <c r="G1540" s="315"/>
      <c r="H1540" s="194" t="s">
        <v>2026</v>
      </c>
      <c r="I1540" s="12"/>
      <c r="J1540" s="170"/>
      <c r="K1540" s="12"/>
      <c r="L1540" s="197">
        <v>110</v>
      </c>
      <c r="M1540" s="197">
        <v>0</v>
      </c>
      <c r="N1540" s="290">
        <v>1</v>
      </c>
      <c r="O1540" s="46"/>
      <c r="P1540" s="46" t="s">
        <v>213</v>
      </c>
      <c r="Q1540" s="12"/>
      <c r="R1540" s="192" t="str">
        <f>CONCATENATE(N1540,P1540)</f>
        <v>1kilos</v>
      </c>
      <c r="S1540" s="198">
        <f>M1540*N1540</f>
        <v>0</v>
      </c>
      <c r="T1540" s="199" t="str">
        <f>CONCATENATE(S1540,Q1540,P1540)</f>
        <v>0kilos</v>
      </c>
      <c r="U1540" s="200">
        <f>L1540*M1540</f>
        <v>0</v>
      </c>
      <c r="V1540" s="12"/>
      <c r="W1540" s="12"/>
    </row>
    <row r="1541" spans="1:23" x14ac:dyDescent="0.3">
      <c r="A1541" s="193">
        <v>596</v>
      </c>
      <c r="B1541" s="46" t="s">
        <v>1482</v>
      </c>
      <c r="C1541" s="315"/>
      <c r="D1541" s="316"/>
      <c r="E1541" s="315"/>
      <c r="F1541" s="315"/>
      <c r="G1541" s="315"/>
      <c r="H1541" s="400" t="s">
        <v>2027</v>
      </c>
      <c r="I1541" s="12"/>
      <c r="J1541" s="46" t="s">
        <v>1945</v>
      </c>
      <c r="K1541" s="12"/>
      <c r="L1541" s="195">
        <v>195</v>
      </c>
      <c r="M1541" s="197">
        <v>0</v>
      </c>
      <c r="N1541" s="360">
        <v>1</v>
      </c>
      <c r="O1541" s="61"/>
      <c r="P1541" s="61" t="s">
        <v>213</v>
      </c>
      <c r="Q1541" s="12"/>
      <c r="R1541" s="192" t="str">
        <f>CONCATENATE(N1541,P1541)</f>
        <v>1kilos</v>
      </c>
      <c r="S1541" s="198">
        <f>M1541*N1541</f>
        <v>0</v>
      </c>
      <c r="T1541" s="199" t="str">
        <f>CONCATENATE(S1541,Q1541,P1541)</f>
        <v>0kilos</v>
      </c>
      <c r="U1541" s="200">
        <f>L1541*M1541</f>
        <v>0</v>
      </c>
      <c r="V1541" s="12"/>
      <c r="W1541" s="12"/>
    </row>
    <row r="1542" spans="1:23" x14ac:dyDescent="0.3">
      <c r="A1542" s="193">
        <v>597</v>
      </c>
      <c r="B1542" s="219" t="s">
        <v>1483</v>
      </c>
      <c r="C1542" s="315"/>
      <c r="D1542" s="316"/>
      <c r="E1542" s="315"/>
      <c r="F1542" s="315"/>
      <c r="G1542" s="315"/>
      <c r="H1542" s="194" t="s">
        <v>2021</v>
      </c>
      <c r="I1542" s="12"/>
      <c r="J1542" s="219" t="s">
        <v>1074</v>
      </c>
      <c r="K1542" s="12"/>
      <c r="L1542" s="216">
        <v>14.35</v>
      </c>
      <c r="M1542" s="216">
        <v>1</v>
      </c>
      <c r="N1542" s="293">
        <v>30</v>
      </c>
      <c r="O1542" s="219"/>
      <c r="P1542" s="219" t="s">
        <v>39</v>
      </c>
      <c r="Q1542" s="12"/>
      <c r="R1542" s="192" t="str">
        <f>CONCATENATE(N1542,P1542)</f>
        <v>30grams</v>
      </c>
      <c r="S1542" s="198">
        <f>M1542*N1542</f>
        <v>30</v>
      </c>
      <c r="T1542" s="199" t="str">
        <f>CONCATENATE(S1542,Q1542,P1542)</f>
        <v>30grams</v>
      </c>
      <c r="U1542" s="200">
        <f>L1542*M1542</f>
        <v>14.35</v>
      </c>
      <c r="V1542" s="12"/>
      <c r="W1542" s="12"/>
    </row>
    <row r="1543" spans="1:23" x14ac:dyDescent="0.3">
      <c r="A1543" s="193">
        <v>598</v>
      </c>
      <c r="B1543" s="46" t="s">
        <v>1484</v>
      </c>
      <c r="C1543" s="315"/>
      <c r="D1543" s="316"/>
      <c r="E1543" s="315"/>
      <c r="F1543" s="315"/>
      <c r="G1543" s="315"/>
      <c r="H1543" s="194" t="s">
        <v>2025</v>
      </c>
      <c r="I1543" s="12"/>
      <c r="J1543" s="170"/>
      <c r="K1543" s="12"/>
      <c r="L1543" s="197">
        <v>95</v>
      </c>
      <c r="M1543" s="197">
        <v>1</v>
      </c>
      <c r="N1543" s="290">
        <v>1</v>
      </c>
      <c r="O1543" s="46"/>
      <c r="P1543" s="46" t="s">
        <v>213</v>
      </c>
      <c r="Q1543" s="12"/>
      <c r="R1543" s="192" t="str">
        <f>CONCATENATE(N1543,P1543)</f>
        <v>1kilos</v>
      </c>
      <c r="S1543" s="198">
        <f>M1543*N1543</f>
        <v>1</v>
      </c>
      <c r="T1543" s="199" t="str">
        <f>CONCATENATE(S1543,Q1543,P1543)</f>
        <v>1kilos</v>
      </c>
      <c r="U1543" s="200">
        <f>L1543*M1543</f>
        <v>95</v>
      </c>
      <c r="V1543" s="12"/>
      <c r="W1543" s="12"/>
    </row>
    <row r="1544" spans="1:23" x14ac:dyDescent="0.3">
      <c r="A1544" s="193">
        <v>598</v>
      </c>
      <c r="B1544" s="46" t="s">
        <v>1484</v>
      </c>
      <c r="C1544" s="315"/>
      <c r="D1544" s="316"/>
      <c r="E1544" s="315"/>
      <c r="F1544" s="315"/>
      <c r="G1544" s="315"/>
      <c r="H1544" s="194" t="s">
        <v>2026</v>
      </c>
      <c r="I1544" s="12"/>
      <c r="J1544" s="170"/>
      <c r="K1544" s="12"/>
      <c r="L1544" s="197">
        <v>280</v>
      </c>
      <c r="M1544" s="197">
        <v>1</v>
      </c>
      <c r="N1544" s="290">
        <v>1</v>
      </c>
      <c r="O1544" s="46"/>
      <c r="P1544" s="46" t="s">
        <v>213</v>
      </c>
      <c r="Q1544" s="12"/>
      <c r="R1544" s="192" t="str">
        <f>CONCATENATE(N1544,P1544)</f>
        <v>1kilos</v>
      </c>
      <c r="S1544" s="198">
        <f>M1544*N1544</f>
        <v>1</v>
      </c>
      <c r="T1544" s="199" t="str">
        <f>CONCATENATE(S1544,Q1544,P1544)</f>
        <v>1kilos</v>
      </c>
      <c r="U1544" s="200">
        <f>L1544*M1544</f>
        <v>280</v>
      </c>
      <c r="V1544" s="12"/>
      <c r="W1544" s="12"/>
    </row>
    <row r="1545" spans="1:23" x14ac:dyDescent="0.3">
      <c r="A1545" s="479">
        <v>599</v>
      </c>
      <c r="B1545" s="194" t="s">
        <v>705</v>
      </c>
      <c r="C1545" s="487"/>
      <c r="D1545" s="485" t="str">
        <f ca="1">IFERROR(__xludf.DUMMYFUNCTION("IF(J443="""",""n/a"",IFERROR(SPLIT(J443,""/"")))"),"Fresh")</f>
        <v>Fresh</v>
      </c>
      <c r="E1545" s="487"/>
      <c r="F1545" s="487"/>
      <c r="G1545" s="487"/>
      <c r="H1545" s="183" t="s">
        <v>1897</v>
      </c>
      <c r="I1545" s="487"/>
      <c r="J1545" s="46" t="s">
        <v>216</v>
      </c>
      <c r="K1545" s="487"/>
      <c r="L1545" s="217">
        <v>0.11</v>
      </c>
      <c r="M1545" s="202">
        <v>3000</v>
      </c>
      <c r="N1545" s="203">
        <v>1000</v>
      </c>
      <c r="O1545" s="170">
        <f>E1545</f>
        <v>0</v>
      </c>
      <c r="P1545" s="61" t="s">
        <v>39</v>
      </c>
      <c r="Q1545" s="487"/>
      <c r="R1545" s="192" t="str">
        <f>CONCATENATE(N1545,P1545)</f>
        <v>1000grams</v>
      </c>
      <c r="S1545" s="198">
        <f>M1545*N1545</f>
        <v>3000000</v>
      </c>
      <c r="T1545" s="199" t="str">
        <f>CONCATENATE(S1545,Q1545,P1545)</f>
        <v>3000000grams</v>
      </c>
      <c r="U1545" s="200">
        <f>L1545*M1545</f>
        <v>330</v>
      </c>
      <c r="V1545" s="12"/>
      <c r="W1545" s="12"/>
    </row>
    <row r="1546" spans="1:23" x14ac:dyDescent="0.3">
      <c r="A1546" s="479">
        <v>599</v>
      </c>
      <c r="B1546" s="194" t="s">
        <v>705</v>
      </c>
      <c r="C1546" s="487"/>
      <c r="D1546" s="485" t="str">
        <f ca="1">IFERROR(__xludf.DUMMYFUNCTION("IF(J444="""",""n/a"",IFERROR(SPLIT(J444,""/"")))"),"Fresh")</f>
        <v>Fresh</v>
      </c>
      <c r="E1546" s="487"/>
      <c r="F1546" s="487"/>
      <c r="G1546" s="487"/>
      <c r="H1546" s="183" t="s">
        <v>1895</v>
      </c>
      <c r="I1546" s="487"/>
      <c r="J1546" s="46" t="s">
        <v>216</v>
      </c>
      <c r="K1546" s="487"/>
      <c r="L1546" s="195">
        <v>110</v>
      </c>
      <c r="M1546" s="197">
        <v>10</v>
      </c>
      <c r="N1546" s="61">
        <v>1</v>
      </c>
      <c r="O1546" s="170">
        <f>E1546</f>
        <v>0</v>
      </c>
      <c r="P1546" s="61" t="s">
        <v>39</v>
      </c>
      <c r="Q1546" s="487"/>
      <c r="R1546" s="192" t="str">
        <f>CONCATENATE(N1546,P1546)</f>
        <v>1grams</v>
      </c>
      <c r="S1546" s="198">
        <f>M1546*N1546</f>
        <v>10</v>
      </c>
      <c r="T1546" s="199" t="str">
        <f>CONCATENATE(S1546,Q1546,P1546)</f>
        <v>10grams</v>
      </c>
      <c r="U1546" s="200">
        <f>L1546*M1546</f>
        <v>1100</v>
      </c>
      <c r="V1546" s="12"/>
      <c r="W1546" s="12"/>
    </row>
    <row r="1547" spans="1:23" x14ac:dyDescent="0.3">
      <c r="A1547" s="479">
        <v>599</v>
      </c>
      <c r="B1547" s="194" t="s">
        <v>705</v>
      </c>
      <c r="C1547" s="487"/>
      <c r="D1547" s="485" t="str">
        <f ca="1">IFERROR(__xludf.DUMMYFUNCTION("IF(J445="""",""n/a"",IFERROR(SPLIT(J445,""/"")))"),"Fresh")</f>
        <v>Fresh</v>
      </c>
      <c r="E1547" s="487"/>
      <c r="F1547" s="487"/>
      <c r="G1547" s="487"/>
      <c r="H1547" s="183" t="s">
        <v>1895</v>
      </c>
      <c r="I1547" s="487"/>
      <c r="J1547" s="46" t="s">
        <v>216</v>
      </c>
      <c r="K1547" s="487"/>
      <c r="L1547" s="195">
        <v>110</v>
      </c>
      <c r="M1547" s="197">
        <v>10</v>
      </c>
      <c r="N1547" s="61">
        <v>1</v>
      </c>
      <c r="O1547" s="170">
        <f>E1547</f>
        <v>0</v>
      </c>
      <c r="P1547" s="61" t="s">
        <v>39</v>
      </c>
      <c r="Q1547" s="487"/>
      <c r="R1547" s="192" t="str">
        <f>CONCATENATE(N1547,P1547)</f>
        <v>1grams</v>
      </c>
      <c r="S1547" s="198">
        <f>M1547*N1547</f>
        <v>10</v>
      </c>
      <c r="T1547" s="199" t="str">
        <f>CONCATENATE(S1547,Q1547,P1547)</f>
        <v>10grams</v>
      </c>
      <c r="U1547" s="200">
        <f>L1547*M1547</f>
        <v>1100</v>
      </c>
      <c r="V1547" s="12"/>
      <c r="W1547" s="12"/>
    </row>
    <row r="1548" spans="1:23" x14ac:dyDescent="0.3">
      <c r="A1548" s="193">
        <v>599</v>
      </c>
      <c r="B1548" s="46" t="s">
        <v>705</v>
      </c>
      <c r="C1548" s="315"/>
      <c r="D1548" s="316"/>
      <c r="E1548" s="315"/>
      <c r="F1548" s="315"/>
      <c r="G1548" s="315"/>
      <c r="H1548" s="194" t="s">
        <v>2022</v>
      </c>
      <c r="I1548" s="12"/>
      <c r="J1548" s="46" t="s">
        <v>912</v>
      </c>
      <c r="K1548" s="12"/>
      <c r="L1548" s="197">
        <v>110</v>
      </c>
      <c r="M1548" s="197">
        <v>1</v>
      </c>
      <c r="N1548" s="290">
        <v>1</v>
      </c>
      <c r="O1548" s="46"/>
      <c r="P1548" s="46" t="s">
        <v>213</v>
      </c>
      <c r="Q1548" s="12"/>
      <c r="R1548" s="192" t="str">
        <f>CONCATENATE(N1548,P1548)</f>
        <v>1kilos</v>
      </c>
      <c r="S1548" s="198">
        <f>M1548*N1548</f>
        <v>1</v>
      </c>
      <c r="T1548" s="199" t="str">
        <f>CONCATENATE(S1548,Q1548,P1548)</f>
        <v>1kilos</v>
      </c>
      <c r="U1548" s="200">
        <f>L1548*M1548</f>
        <v>110</v>
      </c>
      <c r="V1548" s="12"/>
      <c r="W1548" s="12"/>
    </row>
    <row r="1549" spans="1:23" x14ac:dyDescent="0.3">
      <c r="A1549" s="193">
        <v>599</v>
      </c>
      <c r="B1549" s="46" t="s">
        <v>705</v>
      </c>
      <c r="C1549" s="315"/>
      <c r="D1549" s="316"/>
      <c r="E1549" s="315"/>
      <c r="F1549" s="315"/>
      <c r="G1549" s="315"/>
      <c r="H1549" s="194" t="s">
        <v>2025</v>
      </c>
      <c r="I1549" s="12"/>
      <c r="J1549" s="170"/>
      <c r="K1549" s="12"/>
      <c r="L1549" s="197">
        <v>85</v>
      </c>
      <c r="M1549" s="197">
        <v>2</v>
      </c>
      <c r="N1549" s="290">
        <v>1</v>
      </c>
      <c r="O1549" s="46"/>
      <c r="P1549" s="46" t="s">
        <v>213</v>
      </c>
      <c r="Q1549" s="12"/>
      <c r="R1549" s="192" t="str">
        <f>CONCATENATE(N1549,P1549)</f>
        <v>1kilos</v>
      </c>
      <c r="S1549" s="198">
        <f>M1549*N1549</f>
        <v>2</v>
      </c>
      <c r="T1549" s="199" t="str">
        <f>CONCATENATE(S1549,Q1549,P1549)</f>
        <v>2kilos</v>
      </c>
      <c r="U1549" s="200">
        <f>L1549*M1549</f>
        <v>170</v>
      </c>
      <c r="V1549" s="12"/>
      <c r="W1549" s="12"/>
    </row>
    <row r="1550" spans="1:23" x14ac:dyDescent="0.3">
      <c r="A1550" s="193">
        <v>599</v>
      </c>
      <c r="B1550" s="46" t="s">
        <v>705</v>
      </c>
      <c r="C1550" s="315"/>
      <c r="D1550" s="316"/>
      <c r="E1550" s="315"/>
      <c r="F1550" s="315"/>
      <c r="G1550" s="315"/>
      <c r="H1550" s="194" t="s">
        <v>2023</v>
      </c>
      <c r="I1550" s="12"/>
      <c r="J1550" s="170"/>
      <c r="K1550" s="12"/>
      <c r="L1550" s="197">
        <v>140</v>
      </c>
      <c r="M1550" s="197">
        <v>2</v>
      </c>
      <c r="N1550" s="290">
        <v>1</v>
      </c>
      <c r="O1550" s="46"/>
      <c r="P1550" s="46" t="s">
        <v>213</v>
      </c>
      <c r="Q1550" s="12"/>
      <c r="R1550" s="192" t="str">
        <f>CONCATENATE(N1550,P1550)</f>
        <v>1kilos</v>
      </c>
      <c r="S1550" s="198">
        <f>M1550*N1550</f>
        <v>2</v>
      </c>
      <c r="T1550" s="199" t="str">
        <f>CONCATENATE(S1550,Q1550,P1550)</f>
        <v>2kilos</v>
      </c>
      <c r="U1550" s="200">
        <f>L1550*M1550</f>
        <v>280</v>
      </c>
      <c r="V1550" s="12"/>
      <c r="W1550" s="12"/>
    </row>
    <row r="1551" spans="1:23" x14ac:dyDescent="0.3">
      <c r="A1551" s="479">
        <v>600</v>
      </c>
      <c r="B1551" s="194" t="s">
        <v>701</v>
      </c>
      <c r="C1551" s="487"/>
      <c r="D1551" s="485" t="str">
        <f ca="1">IFERROR(__xludf.DUMMYFUNCTION("IF(J440="""",""n/a"",IFERROR(SPLIT(J440,""/"")))"),"Oishi")</f>
        <v>Oishi</v>
      </c>
      <c r="E1551" s="485" t="str">
        <f ca="1">IFERROR(__xludf.DUMMYFUNCTION("""COMPUTED_VALUE"""),"80grams")</f>
        <v>80grams</v>
      </c>
      <c r="F1551" s="487"/>
      <c r="G1551" s="487"/>
      <c r="H1551" s="183" t="s">
        <v>1897</v>
      </c>
      <c r="I1551" s="487"/>
      <c r="J1551" s="46" t="s">
        <v>702</v>
      </c>
      <c r="K1551" s="487"/>
      <c r="L1551" s="217">
        <v>22.38</v>
      </c>
      <c r="M1551" s="217">
        <v>34</v>
      </c>
      <c r="N1551" s="203">
        <v>1</v>
      </c>
      <c r="O1551" s="61" t="str">
        <f ca="1">E1551</f>
        <v>80grams</v>
      </c>
      <c r="P1551" s="61" t="s">
        <v>92</v>
      </c>
      <c r="Q1551" s="487"/>
      <c r="R1551" s="192" t="str">
        <f>CONCATENATE(N1551,P1551)</f>
        <v>1pieces</v>
      </c>
      <c r="S1551" s="198">
        <f>M1551*N1551</f>
        <v>34</v>
      </c>
      <c r="T1551" s="199" t="str">
        <f>CONCATENATE(S1551,Q1551,P1551)</f>
        <v>34pieces</v>
      </c>
      <c r="U1551" s="200">
        <f>L1551*M1551</f>
        <v>760.92</v>
      </c>
      <c r="V1551" s="12"/>
      <c r="W1551" s="12"/>
    </row>
    <row r="1552" spans="1:23" x14ac:dyDescent="0.3">
      <c r="A1552" s="479">
        <v>600</v>
      </c>
      <c r="B1552" s="194" t="s">
        <v>701</v>
      </c>
      <c r="C1552" s="487"/>
      <c r="D1552" s="485" t="str">
        <f ca="1">IFERROR(__xludf.DUMMYFUNCTION("IF(J441="""",""n/a"",IFERROR(SPLIT(J441,""/"")))"),"n/a")</f>
        <v>n/a</v>
      </c>
      <c r="E1552" s="487"/>
      <c r="F1552" s="487"/>
      <c r="G1552" s="487"/>
      <c r="H1552" s="206" t="s">
        <v>1898</v>
      </c>
      <c r="I1552" s="487"/>
      <c r="J1552" s="170"/>
      <c r="K1552" s="487"/>
      <c r="L1552" s="197">
        <v>22.38</v>
      </c>
      <c r="M1552" s="386">
        <v>16</v>
      </c>
      <c r="N1552" s="208">
        <v>30</v>
      </c>
      <c r="O1552" s="170">
        <f>E1552</f>
        <v>0</v>
      </c>
      <c r="P1552" s="209" t="s">
        <v>304</v>
      </c>
      <c r="Q1552" s="487"/>
      <c r="R1552" s="192" t="str">
        <f>CONCATENATE(N1552,P1552)</f>
        <v>30packs</v>
      </c>
      <c r="S1552" s="198">
        <f>M1552*N1552</f>
        <v>480</v>
      </c>
      <c r="T1552" s="199" t="str">
        <f>CONCATENATE(S1552,Q1552,P1552)</f>
        <v>480packs</v>
      </c>
      <c r="U1552" s="200">
        <f>L1552*M1552</f>
        <v>358.08</v>
      </c>
      <c r="V1552" s="12"/>
      <c r="W1552" s="12"/>
    </row>
    <row r="1553" spans="1:23" x14ac:dyDescent="0.3">
      <c r="A1553" s="193">
        <v>600</v>
      </c>
      <c r="B1553" s="46" t="s">
        <v>701</v>
      </c>
      <c r="C1553" s="315"/>
      <c r="D1553" s="316"/>
      <c r="E1553" s="315"/>
      <c r="F1553" s="315"/>
      <c r="G1553" s="315"/>
      <c r="H1553" s="400" t="s">
        <v>2027</v>
      </c>
      <c r="I1553" s="12"/>
      <c r="J1553" s="46" t="s">
        <v>1960</v>
      </c>
      <c r="K1553" s="12"/>
      <c r="L1553" s="195">
        <v>22.38</v>
      </c>
      <c r="M1553" s="197">
        <v>30</v>
      </c>
      <c r="N1553" s="360">
        <v>1</v>
      </c>
      <c r="O1553" s="61"/>
      <c r="P1553" s="61" t="s">
        <v>92</v>
      </c>
      <c r="Q1553" s="12"/>
      <c r="R1553" s="192" t="str">
        <f>CONCATENATE(N1553,P1553)</f>
        <v>1pieces</v>
      </c>
      <c r="S1553" s="198">
        <f>M1553*N1553</f>
        <v>30</v>
      </c>
      <c r="T1553" s="199" t="str">
        <f>CONCATENATE(S1553,Q1553,P1553)</f>
        <v>30pieces</v>
      </c>
      <c r="U1553" s="200">
        <f>L1553*M1553</f>
        <v>671.4</v>
      </c>
      <c r="V1553" s="12"/>
      <c r="W1553" s="12"/>
    </row>
    <row r="1554" spans="1:23" x14ac:dyDescent="0.3">
      <c r="A1554" s="479">
        <v>601</v>
      </c>
      <c r="B1554" s="194" t="s">
        <v>706</v>
      </c>
      <c r="C1554" s="487"/>
      <c r="D1554" s="485" t="str">
        <f ca="1">IFERROR(__xludf.DUMMYFUNCTION("IF(J446="""",""n/a"",IFERROR(SPLIT(J446,""/"")))"),"Tang")</f>
        <v>Tang</v>
      </c>
      <c r="E1554" s="485" t="str">
        <f ca="1">IFERROR(__xludf.DUMMYFUNCTION("""COMPUTED_VALUE"""),"pack")</f>
        <v>pack</v>
      </c>
      <c r="F1554" s="485" t="str">
        <f ca="1">IFERROR(__xludf.DUMMYFUNCTION("""COMPUTED_VALUE"""),"19grams")</f>
        <v>19grams</v>
      </c>
      <c r="G1554" s="487"/>
      <c r="H1554" s="183" t="s">
        <v>1895</v>
      </c>
      <c r="I1554" s="487"/>
      <c r="J1554" s="46" t="s">
        <v>156</v>
      </c>
      <c r="K1554" s="487"/>
      <c r="L1554" s="195">
        <v>19</v>
      </c>
      <c r="M1554" s="197">
        <v>30</v>
      </c>
      <c r="N1554" s="61">
        <v>1</v>
      </c>
      <c r="O1554" s="61" t="str">
        <f ca="1">E1554</f>
        <v>pack</v>
      </c>
      <c r="P1554" s="61" t="s">
        <v>39</v>
      </c>
      <c r="Q1554" s="487"/>
      <c r="R1554" s="192" t="str">
        <f>CONCATENATE(N1554,P1554)</f>
        <v>1grams</v>
      </c>
      <c r="S1554" s="198">
        <f>M1554*N1554</f>
        <v>30</v>
      </c>
      <c r="T1554" s="199" t="str">
        <f>CONCATENATE(S1554,Q1554,P1554)</f>
        <v>30grams</v>
      </c>
      <c r="U1554" s="200">
        <f>L1554*M1554</f>
        <v>570</v>
      </c>
      <c r="V1554" s="12"/>
      <c r="W1554" s="12"/>
    </row>
    <row r="1555" spans="1:23" x14ac:dyDescent="0.3">
      <c r="A1555" s="193">
        <v>602</v>
      </c>
      <c r="B1555" s="219" t="s">
        <v>1485</v>
      </c>
      <c r="C1555" s="315"/>
      <c r="D1555" s="316"/>
      <c r="E1555" s="315"/>
      <c r="F1555" s="315"/>
      <c r="G1555" s="315"/>
      <c r="H1555" s="194" t="s">
        <v>2021</v>
      </c>
      <c r="I1555" s="12"/>
      <c r="J1555" s="219" t="s">
        <v>1486</v>
      </c>
      <c r="K1555" s="12"/>
      <c r="L1555" s="216">
        <v>135</v>
      </c>
      <c r="M1555" s="216">
        <v>1</v>
      </c>
      <c r="N1555" s="293">
        <v>320</v>
      </c>
      <c r="O1555" s="219"/>
      <c r="P1555" s="219" t="s">
        <v>39</v>
      </c>
      <c r="Q1555" s="12"/>
      <c r="R1555" s="192" t="str">
        <f>CONCATENATE(N1555,P1555)</f>
        <v>320grams</v>
      </c>
      <c r="S1555" s="198">
        <f>M1555*N1555</f>
        <v>320</v>
      </c>
      <c r="T1555" s="199" t="str">
        <f>CONCATENATE(S1555,Q1555,P1555)</f>
        <v>320grams</v>
      </c>
      <c r="U1555" s="200">
        <f>L1555*M1555</f>
        <v>135</v>
      </c>
      <c r="V1555" s="12"/>
      <c r="W1555" s="12"/>
    </row>
    <row r="1556" spans="1:23" x14ac:dyDescent="0.3">
      <c r="A1556" s="193">
        <v>603</v>
      </c>
      <c r="B1556" s="46" t="s">
        <v>1487</v>
      </c>
      <c r="C1556" s="315"/>
      <c r="D1556" s="316"/>
      <c r="E1556" s="315"/>
      <c r="F1556" s="315"/>
      <c r="G1556" s="315"/>
      <c r="H1556" s="194" t="s">
        <v>2025</v>
      </c>
      <c r="I1556" s="12"/>
      <c r="J1556" s="170"/>
      <c r="K1556" s="12"/>
      <c r="L1556" s="197">
        <v>45</v>
      </c>
      <c r="M1556" s="197">
        <v>8</v>
      </c>
      <c r="N1556" s="290">
        <v>1</v>
      </c>
      <c r="O1556" s="46"/>
      <c r="P1556" s="46" t="s">
        <v>92</v>
      </c>
      <c r="Q1556" s="12"/>
      <c r="R1556" s="192" t="str">
        <f>CONCATENATE(N1556,P1556)</f>
        <v>1pieces</v>
      </c>
      <c r="S1556" s="198">
        <f>M1556*N1556</f>
        <v>8</v>
      </c>
      <c r="T1556" s="199" t="str">
        <f>CONCATENATE(S1556,Q1556,P1556)</f>
        <v>8pieces</v>
      </c>
      <c r="U1556" s="200">
        <f>L1556*M1556</f>
        <v>360</v>
      </c>
      <c r="V1556" s="12"/>
      <c r="W1556" s="12"/>
    </row>
    <row r="1557" spans="1:23" x14ac:dyDescent="0.3">
      <c r="A1557" s="193">
        <v>604</v>
      </c>
      <c r="B1557" s="219" t="s">
        <v>1488</v>
      </c>
      <c r="C1557" s="315"/>
      <c r="D1557" s="316"/>
      <c r="E1557" s="315"/>
      <c r="F1557" s="315"/>
      <c r="G1557" s="315"/>
      <c r="H1557" s="194" t="s">
        <v>2021</v>
      </c>
      <c r="I1557" s="12"/>
      <c r="J1557" s="219" t="s">
        <v>1074</v>
      </c>
      <c r="K1557" s="12"/>
      <c r="L1557" s="216">
        <v>21.1</v>
      </c>
      <c r="M1557" s="216">
        <v>3</v>
      </c>
      <c r="N1557" s="293">
        <v>10</v>
      </c>
      <c r="O1557" s="219"/>
      <c r="P1557" s="219" t="s">
        <v>39</v>
      </c>
      <c r="Q1557" s="12"/>
      <c r="R1557" s="192" t="str">
        <f>CONCATENATE(N1557,P1557)</f>
        <v>10grams</v>
      </c>
      <c r="S1557" s="198">
        <f>M1557*N1557</f>
        <v>30</v>
      </c>
      <c r="T1557" s="199" t="str">
        <f>CONCATENATE(S1557,Q1557,P1557)</f>
        <v>30grams</v>
      </c>
      <c r="U1557" s="200">
        <f>L1557*M1557</f>
        <v>63.300000000000004</v>
      </c>
      <c r="V1557" s="12"/>
      <c r="W1557" s="12"/>
    </row>
    <row r="1558" spans="1:23" x14ac:dyDescent="0.3">
      <c r="A1558" s="479">
        <v>605</v>
      </c>
      <c r="B1558" s="194" t="s">
        <v>427</v>
      </c>
      <c r="C1558" s="487"/>
      <c r="D1558" s="485" t="str">
        <f ca="1">IFERROR(__xludf.DUMMYFUNCTION("IF(J447="""",""n/a"",IFERROR(SPLIT(J447,""/"")))"),"Mondelez")</f>
        <v>Mondelez</v>
      </c>
      <c r="E1558" s="485" t="str">
        <f ca="1">IFERROR(__xludf.DUMMYFUNCTION("""COMPUTED_VALUE"""),"pack (9pcsx27.6grams)")</f>
        <v>pack (9pcsx27.6grams)</v>
      </c>
      <c r="F1558" s="487"/>
      <c r="G1558" s="487"/>
      <c r="H1558" s="183" t="s">
        <v>1895</v>
      </c>
      <c r="I1558" s="487"/>
      <c r="J1558" s="46" t="s">
        <v>428</v>
      </c>
      <c r="K1558" s="487"/>
      <c r="L1558" s="195">
        <v>8.51</v>
      </c>
      <c r="M1558" s="197">
        <v>250</v>
      </c>
      <c r="N1558" s="61">
        <v>1</v>
      </c>
      <c r="O1558" s="61" t="str">
        <f ca="1">E1558</f>
        <v>pack (9pcsx27.6grams)</v>
      </c>
      <c r="P1558" s="61" t="s">
        <v>92</v>
      </c>
      <c r="Q1558" s="487"/>
      <c r="R1558" s="192" t="str">
        <f>CONCATENATE(N1558,P1558)</f>
        <v>1pieces</v>
      </c>
      <c r="S1558" s="198">
        <f>M1558*N1558</f>
        <v>250</v>
      </c>
      <c r="T1558" s="199" t="str">
        <f>CONCATENATE(S1558,Q1558,P1558)</f>
        <v>250pieces</v>
      </c>
      <c r="U1558" s="200">
        <f>L1558*M1558</f>
        <v>2127.5</v>
      </c>
      <c r="V1558" s="12"/>
      <c r="W1558" s="12"/>
    </row>
    <row r="1559" spans="1:23" x14ac:dyDescent="0.3">
      <c r="A1559" s="479">
        <v>606</v>
      </c>
      <c r="B1559" s="194" t="s">
        <v>707</v>
      </c>
      <c r="C1559" s="487"/>
      <c r="D1559" s="485" t="str">
        <f ca="1">IFERROR(__xludf.DUMMYFUNCTION("IF(J448="""",""n/a"",IFERROR(SPLIT(J448,""/"")))"),"n/a")</f>
        <v>n/a</v>
      </c>
      <c r="E1559" s="487"/>
      <c r="F1559" s="487"/>
      <c r="G1559" s="487"/>
      <c r="H1559" s="206" t="s">
        <v>1898</v>
      </c>
      <c r="I1559" s="487"/>
      <c r="J1559" s="170"/>
      <c r="K1559" s="487"/>
      <c r="L1559" s="197">
        <v>185.45</v>
      </c>
      <c r="M1559" s="386">
        <v>2</v>
      </c>
      <c r="N1559" s="208">
        <v>1</v>
      </c>
      <c r="O1559" s="170">
        <f>E1559</f>
        <v>0</v>
      </c>
      <c r="P1559" s="61" t="s">
        <v>92</v>
      </c>
      <c r="Q1559" s="487"/>
      <c r="R1559" s="192" t="str">
        <f>CONCATENATE(N1559,P1559)</f>
        <v>1pieces</v>
      </c>
      <c r="S1559" s="198">
        <f>M1559*N1559</f>
        <v>2</v>
      </c>
      <c r="T1559" s="199" t="str">
        <f>CONCATENATE(S1559,Q1559,P1559)</f>
        <v>2pieces</v>
      </c>
      <c r="U1559" s="200">
        <f>L1559*M1559</f>
        <v>370.9</v>
      </c>
      <c r="V1559" s="12"/>
      <c r="W1559" s="12"/>
    </row>
    <row r="1560" spans="1:23" x14ac:dyDescent="0.3">
      <c r="A1560" s="193">
        <v>607</v>
      </c>
      <c r="B1560" s="46" t="s">
        <v>1489</v>
      </c>
      <c r="C1560" s="315"/>
      <c r="D1560" s="316"/>
      <c r="E1560" s="315"/>
      <c r="F1560" s="315"/>
      <c r="G1560" s="315"/>
      <c r="H1560" s="194" t="s">
        <v>2024</v>
      </c>
      <c r="I1560" s="12"/>
      <c r="J1560" s="46" t="s">
        <v>363</v>
      </c>
      <c r="K1560" s="12"/>
      <c r="L1560" s="197">
        <v>160</v>
      </c>
      <c r="M1560" s="197">
        <v>2</v>
      </c>
      <c r="N1560" s="321">
        <v>2.2999999999999998</v>
      </c>
      <c r="O1560" s="46"/>
      <c r="P1560" s="46" t="s">
        <v>213</v>
      </c>
      <c r="Q1560" s="12"/>
      <c r="R1560" s="192" t="str">
        <f>CONCATENATE(N1560,P1560)</f>
        <v>2.3kilos</v>
      </c>
      <c r="S1560" s="198">
        <f>M1560*N1560</f>
        <v>4.5999999999999996</v>
      </c>
      <c r="T1560" s="199" t="str">
        <f>CONCATENATE(S1560,Q1560,P1560)</f>
        <v>4.6kilos</v>
      </c>
      <c r="U1560" s="200">
        <f>L1560*M1560</f>
        <v>320</v>
      </c>
      <c r="V1560" s="12"/>
      <c r="W1560" s="12"/>
    </row>
    <row r="1561" spans="1:23" x14ac:dyDescent="0.3">
      <c r="A1561" s="193">
        <v>607</v>
      </c>
      <c r="B1561" s="46" t="s">
        <v>1489</v>
      </c>
      <c r="C1561" s="315"/>
      <c r="D1561" s="316"/>
      <c r="E1561" s="315"/>
      <c r="F1561" s="315"/>
      <c r="G1561" s="315"/>
      <c r="H1561" s="194" t="s">
        <v>2022</v>
      </c>
      <c r="I1561" s="12"/>
      <c r="J1561" s="46" t="s">
        <v>907</v>
      </c>
      <c r="K1561" s="12"/>
      <c r="L1561" s="197">
        <v>240</v>
      </c>
      <c r="M1561" s="197">
        <v>17</v>
      </c>
      <c r="N1561" s="290">
        <v>1</v>
      </c>
      <c r="O1561" s="46"/>
      <c r="P1561" s="46" t="s">
        <v>213</v>
      </c>
      <c r="Q1561" s="12"/>
      <c r="R1561" s="192" t="str">
        <f>CONCATENATE(N1561,P1561)</f>
        <v>1kilos</v>
      </c>
      <c r="S1561" s="198">
        <f>M1561*N1561</f>
        <v>17</v>
      </c>
      <c r="T1561" s="199" t="str">
        <f>CONCATENATE(S1561,Q1561,P1561)</f>
        <v>17kilos</v>
      </c>
      <c r="U1561" s="200">
        <f>L1561*M1561</f>
        <v>4080</v>
      </c>
      <c r="V1561" s="12"/>
      <c r="W1561" s="12"/>
    </row>
    <row r="1562" spans="1:23" x14ac:dyDescent="0.3">
      <c r="A1562" s="479">
        <v>608</v>
      </c>
      <c r="B1562" s="194" t="s">
        <v>279</v>
      </c>
      <c r="C1562" s="487"/>
      <c r="D1562" s="485" t="str">
        <f ca="1">IFERROR(__xludf.DUMMYFUNCTION("IF(J449="""",""n/a"",IFERROR(SPLIT(J449,""/"")))"),"Ticman")</f>
        <v>Ticman</v>
      </c>
      <c r="E1562" s="485" t="str">
        <f ca="1">IFERROR(__xludf.DUMMYFUNCTION("""COMPUTED_VALUE"""),"gallon")</f>
        <v>gallon</v>
      </c>
      <c r="F1562" s="485" t="str">
        <f ca="1">IFERROR(__xludf.DUMMYFUNCTION("""COMPUTED_VALUE"""),"3500ml")</f>
        <v>3500ml</v>
      </c>
      <c r="G1562" s="487"/>
      <c r="H1562" s="183" t="s">
        <v>1895</v>
      </c>
      <c r="I1562" s="487"/>
      <c r="J1562" s="46" t="s">
        <v>239</v>
      </c>
      <c r="K1562" s="487"/>
      <c r="L1562" s="195">
        <v>199</v>
      </c>
      <c r="M1562" s="197">
        <v>3</v>
      </c>
      <c r="N1562" s="61" t="s">
        <v>280</v>
      </c>
      <c r="O1562" s="61" t="str">
        <f ca="1">E1562</f>
        <v>gallon</v>
      </c>
      <c r="P1562" s="61" t="s">
        <v>200</v>
      </c>
      <c r="Q1562" s="487"/>
      <c r="R1562" s="192" t="str">
        <f>CONCATENATE(N1562,P1562)</f>
        <v>1gal</v>
      </c>
      <c r="S1562" s="198">
        <f>M1562*N1562</f>
        <v>3</v>
      </c>
      <c r="T1562" s="199" t="str">
        <f>CONCATENATE(S1562,Q1562,P1562)</f>
        <v>3gal</v>
      </c>
      <c r="U1562" s="200">
        <f>L1562*M1562</f>
        <v>597</v>
      </c>
      <c r="V1562" s="12"/>
      <c r="W1562" s="12"/>
    </row>
    <row r="1563" spans="1:23" x14ac:dyDescent="0.3">
      <c r="A1563" s="479">
        <v>608</v>
      </c>
      <c r="B1563" s="194" t="s">
        <v>279</v>
      </c>
      <c r="C1563" s="487"/>
      <c r="D1563" s="485" t="str">
        <f ca="1">IFERROR(__xludf.DUMMYFUNCTION("IF(J450="""",""n/a"",IFERROR(SPLIT(J450,""/"")))"),"Mama Sitas")</f>
        <v>Mama Sitas</v>
      </c>
      <c r="E1563" s="485" t="str">
        <f ca="1">IFERROR(__xludf.DUMMYFUNCTION("""COMPUTED_VALUE"""),"bottle")</f>
        <v>bottle</v>
      </c>
      <c r="F1563" s="485" t="str">
        <f ca="1">IFERROR(__xludf.DUMMYFUNCTION("""COMPUTED_VALUE"""),"405grams")</f>
        <v>405grams</v>
      </c>
      <c r="G1563" s="487"/>
      <c r="H1563" s="183" t="s">
        <v>1895</v>
      </c>
      <c r="I1563" s="487"/>
      <c r="J1563" s="46" t="s">
        <v>281</v>
      </c>
      <c r="K1563" s="487"/>
      <c r="L1563" s="195">
        <v>103.6</v>
      </c>
      <c r="M1563" s="197">
        <v>2</v>
      </c>
      <c r="N1563" s="61">
        <v>1</v>
      </c>
      <c r="O1563" s="61" t="str">
        <f ca="1">E1563</f>
        <v>bottle</v>
      </c>
      <c r="P1563" s="61" t="s">
        <v>39</v>
      </c>
      <c r="Q1563" s="487"/>
      <c r="R1563" s="192" t="str">
        <f>CONCATENATE(N1563,P1563)</f>
        <v>1grams</v>
      </c>
      <c r="S1563" s="198">
        <f>M1563*N1563</f>
        <v>2</v>
      </c>
      <c r="T1563" s="199" t="str">
        <f>CONCATENATE(S1563,Q1563,P1563)</f>
        <v>2grams</v>
      </c>
      <c r="U1563" s="200">
        <f>L1563*M1563</f>
        <v>207.2</v>
      </c>
      <c r="V1563" s="12"/>
      <c r="W1563" s="12"/>
    </row>
    <row r="1564" spans="1:23" x14ac:dyDescent="0.3">
      <c r="A1564" s="193">
        <v>608</v>
      </c>
      <c r="B1564" s="46" t="s">
        <v>279</v>
      </c>
      <c r="C1564" s="315"/>
      <c r="D1564" s="316"/>
      <c r="E1564" s="315"/>
      <c r="F1564" s="315"/>
      <c r="G1564" s="315"/>
      <c r="H1564" s="194" t="s">
        <v>2024</v>
      </c>
      <c r="I1564" s="12"/>
      <c r="J1564" s="46" t="s">
        <v>1069</v>
      </c>
      <c r="K1564" s="12"/>
      <c r="L1564" s="197">
        <v>199</v>
      </c>
      <c r="M1564" s="197">
        <v>7</v>
      </c>
      <c r="N1564" s="290">
        <v>3500</v>
      </c>
      <c r="O1564" s="46"/>
      <c r="P1564" s="46" t="s">
        <v>32</v>
      </c>
      <c r="Q1564" s="12"/>
      <c r="R1564" s="192" t="str">
        <f>CONCATENATE(N1564,P1564)</f>
        <v>3500ml</v>
      </c>
      <c r="S1564" s="198">
        <f>M1564*N1564</f>
        <v>24500</v>
      </c>
      <c r="T1564" s="199" t="str">
        <f>CONCATENATE(S1564,Q1564,P1564)</f>
        <v>24500ml</v>
      </c>
      <c r="U1564" s="200">
        <f>L1564*M1564</f>
        <v>1393</v>
      </c>
      <c r="V1564" s="12"/>
      <c r="W1564" s="12"/>
    </row>
    <row r="1565" spans="1:23" x14ac:dyDescent="0.3">
      <c r="A1565" s="193">
        <v>608</v>
      </c>
      <c r="B1565" s="46" t="s">
        <v>279</v>
      </c>
      <c r="C1565" s="315"/>
      <c r="D1565" s="316"/>
      <c r="E1565" s="315"/>
      <c r="F1565" s="315"/>
      <c r="G1565" s="315"/>
      <c r="H1565" s="194" t="s">
        <v>2026</v>
      </c>
      <c r="I1565" s="12"/>
      <c r="J1565" s="46" t="s">
        <v>897</v>
      </c>
      <c r="K1565" s="12"/>
      <c r="L1565" s="197">
        <v>103.6</v>
      </c>
      <c r="M1565" s="197">
        <v>1</v>
      </c>
      <c r="N1565" s="290">
        <v>405</v>
      </c>
      <c r="O1565" s="46"/>
      <c r="P1565" s="46" t="s">
        <v>39</v>
      </c>
      <c r="Q1565" s="12"/>
      <c r="R1565" s="192" t="str">
        <f>CONCATENATE(N1565,P1565)</f>
        <v>405grams</v>
      </c>
      <c r="S1565" s="198">
        <f>M1565*N1565</f>
        <v>405</v>
      </c>
      <c r="T1565" s="199" t="str">
        <f>CONCATENATE(S1565,Q1565,P1565)</f>
        <v>405grams</v>
      </c>
      <c r="U1565" s="200">
        <f>L1565*M1565</f>
        <v>103.6</v>
      </c>
      <c r="V1565" s="12"/>
      <c r="W1565" s="12"/>
    </row>
    <row r="1566" spans="1:23" x14ac:dyDescent="0.3">
      <c r="A1566" s="193">
        <v>608</v>
      </c>
      <c r="B1566" s="46" t="s">
        <v>279</v>
      </c>
      <c r="C1566" s="315"/>
      <c r="D1566" s="316"/>
      <c r="E1566" s="315"/>
      <c r="F1566" s="315"/>
      <c r="G1566" s="315"/>
      <c r="H1566" s="194" t="s">
        <v>2026</v>
      </c>
      <c r="I1566" s="12"/>
      <c r="J1566" s="46" t="s">
        <v>897</v>
      </c>
      <c r="K1566" s="12"/>
      <c r="L1566" s="197">
        <v>186</v>
      </c>
      <c r="M1566" s="197">
        <v>1</v>
      </c>
      <c r="N1566" s="290">
        <v>765</v>
      </c>
      <c r="O1566" s="46"/>
      <c r="P1566" s="46" t="s">
        <v>39</v>
      </c>
      <c r="Q1566" s="12"/>
      <c r="R1566" s="192" t="str">
        <f>CONCATENATE(N1566,P1566)</f>
        <v>765grams</v>
      </c>
      <c r="S1566" s="198">
        <f>M1566*N1566</f>
        <v>765</v>
      </c>
      <c r="T1566" s="199" t="str">
        <f>CONCATENATE(S1566,Q1566,P1566)</f>
        <v>765grams</v>
      </c>
      <c r="U1566" s="200">
        <f>L1566*M1566</f>
        <v>186</v>
      </c>
      <c r="V1566" s="12"/>
      <c r="W1566" s="12"/>
    </row>
    <row r="1567" spans="1:23" x14ac:dyDescent="0.3">
      <c r="A1567" s="193">
        <v>608</v>
      </c>
      <c r="B1567" s="46" t="s">
        <v>279</v>
      </c>
      <c r="C1567" s="315"/>
      <c r="D1567" s="316"/>
      <c r="E1567" s="315"/>
      <c r="F1567" s="315"/>
      <c r="G1567" s="315"/>
      <c r="H1567" s="194" t="s">
        <v>2023</v>
      </c>
      <c r="I1567" s="12"/>
      <c r="J1567" s="46" t="s">
        <v>1069</v>
      </c>
      <c r="K1567" s="12"/>
      <c r="L1567" s="197">
        <v>200</v>
      </c>
      <c r="M1567" s="197">
        <v>2</v>
      </c>
      <c r="N1567" s="290">
        <v>3500</v>
      </c>
      <c r="O1567" s="46"/>
      <c r="P1567" s="46" t="s">
        <v>200</v>
      </c>
      <c r="Q1567" s="12"/>
      <c r="R1567" s="192" t="str">
        <f>CONCATENATE(N1567,P1567)</f>
        <v>3500gal</v>
      </c>
      <c r="S1567" s="198">
        <f>M1567*N1567</f>
        <v>7000</v>
      </c>
      <c r="T1567" s="199" t="str">
        <f>CONCATENATE(S1567,Q1567,P1567)</f>
        <v>7000gal</v>
      </c>
      <c r="U1567" s="200">
        <f>L1567*M1567</f>
        <v>400</v>
      </c>
      <c r="V1567" s="12"/>
      <c r="W1567" s="12"/>
    </row>
    <row r="1568" spans="1:23" x14ac:dyDescent="0.3">
      <c r="A1568" s="193">
        <v>608</v>
      </c>
      <c r="B1568" s="46" t="s">
        <v>279</v>
      </c>
      <c r="C1568" s="315"/>
      <c r="D1568" s="316"/>
      <c r="E1568" s="315"/>
      <c r="F1568" s="315"/>
      <c r="G1568" s="315"/>
      <c r="H1568" s="194" t="s">
        <v>2022</v>
      </c>
      <c r="I1568" s="12"/>
      <c r="J1568" s="46" t="s">
        <v>1490</v>
      </c>
      <c r="K1568" s="12"/>
      <c r="L1568" s="197">
        <v>165</v>
      </c>
      <c r="M1568" s="197">
        <v>5</v>
      </c>
      <c r="N1568" s="290">
        <v>2270</v>
      </c>
      <c r="O1568" s="46"/>
      <c r="P1568" s="46" t="s">
        <v>39</v>
      </c>
      <c r="Q1568" s="12"/>
      <c r="R1568" s="192" t="str">
        <f>CONCATENATE(N1568,P1568)</f>
        <v>2270grams</v>
      </c>
      <c r="S1568" s="198">
        <f>M1568*N1568</f>
        <v>11350</v>
      </c>
      <c r="T1568" s="199" t="str">
        <f>CONCATENATE(S1568,Q1568,P1568)</f>
        <v>11350grams</v>
      </c>
      <c r="U1568" s="200">
        <f>L1568*M1568</f>
        <v>825</v>
      </c>
      <c r="V1568" s="12"/>
      <c r="W1568" s="12"/>
    </row>
    <row r="1569" spans="1:23" x14ac:dyDescent="0.3">
      <c r="A1569" s="193">
        <v>608</v>
      </c>
      <c r="B1569" s="219" t="s">
        <v>279</v>
      </c>
      <c r="C1569" s="315"/>
      <c r="D1569" s="316"/>
      <c r="E1569" s="315"/>
      <c r="F1569" s="315"/>
      <c r="G1569" s="315"/>
      <c r="H1569" s="194" t="s">
        <v>2021</v>
      </c>
      <c r="I1569" s="12"/>
      <c r="J1569" s="219" t="s">
        <v>897</v>
      </c>
      <c r="K1569" s="12"/>
      <c r="L1569" s="216">
        <v>721.7</v>
      </c>
      <c r="M1569" s="216">
        <v>1</v>
      </c>
      <c r="N1569" s="322">
        <v>4.2</v>
      </c>
      <c r="O1569" s="219"/>
      <c r="P1569" s="219" t="s">
        <v>213</v>
      </c>
      <c r="Q1569" s="12"/>
      <c r="R1569" s="192" t="str">
        <f>CONCATENATE(N1569,P1569)</f>
        <v>4.2kilos</v>
      </c>
      <c r="S1569" s="198">
        <f>M1569*N1569</f>
        <v>4.2</v>
      </c>
      <c r="T1569" s="199" t="str">
        <f>CONCATENATE(S1569,Q1569,P1569)</f>
        <v>4.2kilos</v>
      </c>
      <c r="U1569" s="200">
        <f>L1569*M1569</f>
        <v>721.7</v>
      </c>
      <c r="V1569" s="12"/>
      <c r="W1569" s="12"/>
    </row>
    <row r="1570" spans="1:23" x14ac:dyDescent="0.3">
      <c r="A1570" s="193">
        <v>608</v>
      </c>
      <c r="B1570" s="46" t="s">
        <v>279</v>
      </c>
      <c r="C1570" s="315"/>
      <c r="D1570" s="316"/>
      <c r="E1570" s="315"/>
      <c r="F1570" s="315"/>
      <c r="G1570" s="315"/>
      <c r="H1570" s="400" t="s">
        <v>2027</v>
      </c>
      <c r="I1570" s="12"/>
      <c r="J1570" s="46" t="s">
        <v>1976</v>
      </c>
      <c r="K1570" s="12"/>
      <c r="L1570" s="195">
        <v>199</v>
      </c>
      <c r="M1570" s="197">
        <v>1</v>
      </c>
      <c r="N1570" s="360">
        <v>1</v>
      </c>
      <c r="O1570" s="197"/>
      <c r="P1570" s="197" t="s">
        <v>1948</v>
      </c>
      <c r="Q1570" s="12"/>
      <c r="R1570" s="192" t="str">
        <f>CONCATENATE(N1570,P1570)</f>
        <v>1bottle</v>
      </c>
      <c r="S1570" s="198">
        <f>M1570*N1570</f>
        <v>1</v>
      </c>
      <c r="T1570" s="199" t="str">
        <f>CONCATENATE(S1570,Q1570,P1570)</f>
        <v>1bottle</v>
      </c>
      <c r="U1570" s="200">
        <f>L1570*M1570</f>
        <v>199</v>
      </c>
      <c r="V1570" s="12"/>
      <c r="W1570" s="12"/>
    </row>
    <row r="1571" spans="1:23" x14ac:dyDescent="0.3">
      <c r="A1571" s="193">
        <v>609</v>
      </c>
      <c r="B1571" s="46" t="s">
        <v>1491</v>
      </c>
      <c r="C1571" s="315"/>
      <c r="D1571" s="316"/>
      <c r="E1571" s="315"/>
      <c r="F1571" s="315"/>
      <c r="G1571" s="315"/>
      <c r="H1571" s="194" t="s">
        <v>2024</v>
      </c>
      <c r="I1571" s="12"/>
      <c r="J1571" s="170"/>
      <c r="K1571" s="12"/>
      <c r="L1571" s="197">
        <v>250</v>
      </c>
      <c r="M1571" s="197">
        <v>2</v>
      </c>
      <c r="N1571" s="290">
        <v>1</v>
      </c>
      <c r="O1571" s="46"/>
      <c r="P1571" s="46" t="s">
        <v>213</v>
      </c>
      <c r="Q1571" s="12"/>
      <c r="R1571" s="192" t="str">
        <f>CONCATENATE(N1571,P1571)</f>
        <v>1kilos</v>
      </c>
      <c r="S1571" s="198">
        <f>M1571*N1571</f>
        <v>2</v>
      </c>
      <c r="T1571" s="199" t="str">
        <f>CONCATENATE(S1571,Q1571,P1571)</f>
        <v>2kilos</v>
      </c>
      <c r="U1571" s="200">
        <f>L1571*M1571</f>
        <v>500</v>
      </c>
      <c r="V1571" s="12"/>
      <c r="W1571" s="12"/>
    </row>
    <row r="1572" spans="1:23" x14ac:dyDescent="0.3">
      <c r="A1572" s="193">
        <v>609</v>
      </c>
      <c r="B1572" s="46" t="s">
        <v>1491</v>
      </c>
      <c r="C1572" s="315"/>
      <c r="D1572" s="316"/>
      <c r="E1572" s="315"/>
      <c r="F1572" s="315"/>
      <c r="G1572" s="315"/>
      <c r="H1572" s="194" t="s">
        <v>2026</v>
      </c>
      <c r="I1572" s="12"/>
      <c r="J1572" s="170"/>
      <c r="K1572" s="12"/>
      <c r="L1572" s="197">
        <v>48</v>
      </c>
      <c r="M1572" s="197">
        <v>9</v>
      </c>
      <c r="N1572" s="290">
        <v>1000</v>
      </c>
      <c r="O1572" s="46"/>
      <c r="P1572" s="46" t="s">
        <v>39</v>
      </c>
      <c r="Q1572" s="12"/>
      <c r="R1572" s="192" t="str">
        <f>CONCATENATE(N1572,P1572)</f>
        <v>1000grams</v>
      </c>
      <c r="S1572" s="198">
        <f>M1572*N1572</f>
        <v>9000</v>
      </c>
      <c r="T1572" s="199" t="str">
        <f>CONCATENATE(S1572,Q1572,P1572)</f>
        <v>9000grams</v>
      </c>
      <c r="U1572" s="200">
        <f>L1572*M1572</f>
        <v>432</v>
      </c>
      <c r="V1572" s="12"/>
      <c r="W1572" s="12"/>
    </row>
    <row r="1573" spans="1:23" x14ac:dyDescent="0.3">
      <c r="A1573" s="193">
        <v>610</v>
      </c>
      <c r="B1573" s="46" t="s">
        <v>1492</v>
      </c>
      <c r="C1573" s="315"/>
      <c r="D1573" s="316"/>
      <c r="E1573" s="315"/>
      <c r="F1573" s="315"/>
      <c r="G1573" s="315"/>
      <c r="H1573" s="194" t="s">
        <v>2023</v>
      </c>
      <c r="I1573" s="12"/>
      <c r="J1573" s="170"/>
      <c r="K1573" s="12"/>
      <c r="L1573" s="197">
        <v>80</v>
      </c>
      <c r="M1573" s="197">
        <v>1</v>
      </c>
      <c r="N1573" s="290">
        <v>1000</v>
      </c>
      <c r="O1573" s="46"/>
      <c r="P1573" s="46" t="s">
        <v>39</v>
      </c>
      <c r="Q1573" s="12"/>
      <c r="R1573" s="192" t="str">
        <f>CONCATENATE(N1573,P1573)</f>
        <v>1000grams</v>
      </c>
      <c r="S1573" s="198">
        <f>M1573*N1573</f>
        <v>1000</v>
      </c>
      <c r="T1573" s="199" t="str">
        <f>CONCATENATE(S1573,Q1573,P1573)</f>
        <v>1000grams</v>
      </c>
      <c r="U1573" s="200">
        <f>L1573*M1573</f>
        <v>80</v>
      </c>
      <c r="V1573" s="12"/>
      <c r="W1573" s="12"/>
    </row>
    <row r="1574" spans="1:23" x14ac:dyDescent="0.3">
      <c r="A1574" s="479">
        <v>611</v>
      </c>
      <c r="B1574" s="194" t="s">
        <v>708</v>
      </c>
      <c r="C1574" s="487"/>
      <c r="D1574" s="485" t="str">
        <f ca="1">IFERROR(__xludf.DUMMYFUNCTION("IF(J451="""",""n/a"",IFERROR(SPLIT(J451,""/"")))"),"Super Q")</f>
        <v>Super Q</v>
      </c>
      <c r="E1574" s="485" t="str">
        <f ca="1">IFERROR(__xludf.DUMMYFUNCTION("""COMPUTED_VALUE"""),"pack")</f>
        <v>pack</v>
      </c>
      <c r="F1574" s="485" t="str">
        <f ca="1">IFERROR(__xludf.DUMMYFUNCTION("""COMPUTED_VALUE"""),"500grams")</f>
        <v>500grams</v>
      </c>
      <c r="G1574" s="487"/>
      <c r="H1574" s="183" t="s">
        <v>1897</v>
      </c>
      <c r="I1574" s="487"/>
      <c r="J1574" s="46" t="s">
        <v>319</v>
      </c>
      <c r="K1574" s="487"/>
      <c r="L1574" s="202">
        <v>0.09</v>
      </c>
      <c r="M1574" s="202">
        <v>1500</v>
      </c>
      <c r="N1574" s="203">
        <v>500</v>
      </c>
      <c r="O1574" s="61" t="str">
        <f ca="1">E1574</f>
        <v>pack</v>
      </c>
      <c r="P1574" s="61" t="s">
        <v>39</v>
      </c>
      <c r="Q1574" s="487"/>
      <c r="R1574" s="192" t="str">
        <f>CONCATENATE(N1574,P1574)</f>
        <v>500grams</v>
      </c>
      <c r="S1574" s="198">
        <f>M1574*N1574</f>
        <v>750000</v>
      </c>
      <c r="T1574" s="199" t="str">
        <f>CONCATENATE(S1574,Q1574,P1574)</f>
        <v>750000grams</v>
      </c>
      <c r="U1574" s="200">
        <f>L1574*M1574</f>
        <v>135</v>
      </c>
      <c r="V1574" s="12"/>
      <c r="W1574" s="12"/>
    </row>
    <row r="1575" spans="1:23" x14ac:dyDescent="0.3">
      <c r="A1575" s="479">
        <v>611</v>
      </c>
      <c r="B1575" s="194" t="s">
        <v>708</v>
      </c>
      <c r="C1575" s="487"/>
      <c r="D1575" s="485" t="str">
        <f ca="1">IFERROR(__xludf.DUMMYFUNCTION("IF(J452="""",""n/a"",IFERROR(SPLIT(J452,""/"")))"),"n/a")</f>
        <v>n/a</v>
      </c>
      <c r="E1575" s="487"/>
      <c r="F1575" s="487"/>
      <c r="G1575" s="487"/>
      <c r="H1575" s="206" t="s">
        <v>1898</v>
      </c>
      <c r="I1575" s="487"/>
      <c r="J1575" s="170"/>
      <c r="K1575" s="487"/>
      <c r="L1575" s="197">
        <v>0.11</v>
      </c>
      <c r="M1575" s="386">
        <v>14500</v>
      </c>
      <c r="N1575" s="208">
        <v>500</v>
      </c>
      <c r="O1575" s="170">
        <f>E1575</f>
        <v>0</v>
      </c>
      <c r="P1575" s="61" t="s">
        <v>39</v>
      </c>
      <c r="Q1575" s="487"/>
      <c r="R1575" s="192" t="str">
        <f>CONCATENATE(N1575,P1575)</f>
        <v>500grams</v>
      </c>
      <c r="S1575" s="198">
        <f>M1575*N1575</f>
        <v>7250000</v>
      </c>
      <c r="T1575" s="199" t="str">
        <f>CONCATENATE(S1575,Q1575,P1575)</f>
        <v>7250000grams</v>
      </c>
      <c r="U1575" s="200">
        <f>L1575*M1575</f>
        <v>1595</v>
      </c>
      <c r="V1575" s="12"/>
      <c r="W1575" s="12"/>
    </row>
    <row r="1576" spans="1:23" x14ac:dyDescent="0.3">
      <c r="A1576" s="193">
        <v>611</v>
      </c>
      <c r="B1576" s="46" t="s">
        <v>708</v>
      </c>
      <c r="C1576" s="315"/>
      <c r="D1576" s="316"/>
      <c r="E1576" s="315"/>
      <c r="F1576" s="315"/>
      <c r="G1576" s="315"/>
      <c r="H1576" s="194" t="s">
        <v>29</v>
      </c>
      <c r="I1576" s="12"/>
      <c r="J1576" s="46" t="s">
        <v>919</v>
      </c>
      <c r="K1576" s="12"/>
      <c r="L1576" s="197">
        <v>42.5</v>
      </c>
      <c r="M1576" s="197">
        <v>4</v>
      </c>
      <c r="N1576" s="290">
        <v>500</v>
      </c>
      <c r="O1576" s="46"/>
      <c r="P1576" s="46" t="s">
        <v>39</v>
      </c>
      <c r="Q1576" s="12"/>
      <c r="R1576" s="192" t="str">
        <f>CONCATENATE(N1576,P1576)</f>
        <v>500grams</v>
      </c>
      <c r="S1576" s="198">
        <f>M1576*N1576</f>
        <v>2000</v>
      </c>
      <c r="T1576" s="199" t="str">
        <f>CONCATENATE(S1576,Q1576,P1576)</f>
        <v>2000grams</v>
      </c>
      <c r="U1576" s="200">
        <f>L1576*M1576</f>
        <v>170</v>
      </c>
      <c r="V1576" s="12"/>
      <c r="W1576" s="12"/>
    </row>
    <row r="1577" spans="1:23" x14ac:dyDescent="0.3">
      <c r="A1577" s="193">
        <v>611</v>
      </c>
      <c r="B1577" s="46" t="s">
        <v>708</v>
      </c>
      <c r="C1577" s="315"/>
      <c r="D1577" s="316"/>
      <c r="E1577" s="315"/>
      <c r="F1577" s="315"/>
      <c r="G1577" s="315"/>
      <c r="H1577" s="194" t="s">
        <v>2024</v>
      </c>
      <c r="I1577" s="12"/>
      <c r="J1577" s="46" t="s">
        <v>919</v>
      </c>
      <c r="K1577" s="12"/>
      <c r="L1577" s="197">
        <v>42.2</v>
      </c>
      <c r="M1577" s="197">
        <v>14</v>
      </c>
      <c r="N1577" s="290">
        <v>500</v>
      </c>
      <c r="O1577" s="46"/>
      <c r="P1577" s="46" t="s">
        <v>39</v>
      </c>
      <c r="Q1577" s="12"/>
      <c r="R1577" s="192" t="str">
        <f>CONCATENATE(N1577,P1577)</f>
        <v>500grams</v>
      </c>
      <c r="S1577" s="198">
        <f>M1577*N1577</f>
        <v>7000</v>
      </c>
      <c r="T1577" s="199" t="str">
        <f>CONCATENATE(S1577,Q1577,P1577)</f>
        <v>7000grams</v>
      </c>
      <c r="U1577" s="200">
        <f>L1577*M1577</f>
        <v>590.80000000000007</v>
      </c>
      <c r="V1577" s="12"/>
      <c r="W1577" s="12"/>
    </row>
    <row r="1578" spans="1:23" x14ac:dyDescent="0.3">
      <c r="A1578" s="193">
        <v>611</v>
      </c>
      <c r="B1578" s="46" t="s">
        <v>708</v>
      </c>
      <c r="C1578" s="315"/>
      <c r="D1578" s="316"/>
      <c r="E1578" s="315"/>
      <c r="F1578" s="315"/>
      <c r="G1578" s="315"/>
      <c r="H1578" s="194" t="s">
        <v>2025</v>
      </c>
      <c r="I1578" s="12"/>
      <c r="J1578" s="46" t="s">
        <v>919</v>
      </c>
      <c r="K1578" s="12"/>
      <c r="L1578" s="197">
        <v>42.2</v>
      </c>
      <c r="M1578" s="197">
        <v>12</v>
      </c>
      <c r="N1578" s="290">
        <v>454</v>
      </c>
      <c r="O1578" s="46"/>
      <c r="P1578" s="46" t="s">
        <v>39</v>
      </c>
      <c r="Q1578" s="12"/>
      <c r="R1578" s="192" t="str">
        <f>CONCATENATE(N1578,P1578)</f>
        <v>454grams</v>
      </c>
      <c r="S1578" s="198">
        <f>M1578*N1578</f>
        <v>5448</v>
      </c>
      <c r="T1578" s="199" t="str">
        <f>CONCATENATE(S1578,Q1578,P1578)</f>
        <v>5448grams</v>
      </c>
      <c r="U1578" s="200">
        <f>L1578*M1578</f>
        <v>506.40000000000003</v>
      </c>
      <c r="V1578" s="12"/>
      <c r="W1578" s="12"/>
    </row>
    <row r="1579" spans="1:23" x14ac:dyDescent="0.3">
      <c r="A1579" s="193">
        <v>611</v>
      </c>
      <c r="B1579" s="46" t="s">
        <v>708</v>
      </c>
      <c r="C1579" s="315"/>
      <c r="D1579" s="316"/>
      <c r="E1579" s="315"/>
      <c r="F1579" s="315"/>
      <c r="G1579" s="315"/>
      <c r="H1579" s="194" t="s">
        <v>2026</v>
      </c>
      <c r="I1579" s="12"/>
      <c r="J1579" s="46" t="s">
        <v>919</v>
      </c>
      <c r="K1579" s="12"/>
      <c r="L1579" s="197">
        <v>42.2</v>
      </c>
      <c r="M1579" s="197">
        <v>4</v>
      </c>
      <c r="N1579" s="290">
        <v>500</v>
      </c>
      <c r="O1579" s="46"/>
      <c r="P1579" s="46" t="s">
        <v>39</v>
      </c>
      <c r="Q1579" s="12"/>
      <c r="R1579" s="192" t="str">
        <f>CONCATENATE(N1579,P1579)</f>
        <v>500grams</v>
      </c>
      <c r="S1579" s="198">
        <f>M1579*N1579</f>
        <v>2000</v>
      </c>
      <c r="T1579" s="199" t="str">
        <f>CONCATENATE(S1579,Q1579,P1579)</f>
        <v>2000grams</v>
      </c>
      <c r="U1579" s="200">
        <f>L1579*M1579</f>
        <v>168.8</v>
      </c>
      <c r="V1579" s="12"/>
      <c r="W1579" s="12"/>
    </row>
    <row r="1580" spans="1:23" x14ac:dyDescent="0.3">
      <c r="A1580" s="193">
        <v>611</v>
      </c>
      <c r="B1580" s="46" t="s">
        <v>708</v>
      </c>
      <c r="C1580" s="315"/>
      <c r="D1580" s="316"/>
      <c r="E1580" s="315"/>
      <c r="F1580" s="315"/>
      <c r="G1580" s="315"/>
      <c r="H1580" s="194" t="s">
        <v>2023</v>
      </c>
      <c r="I1580" s="12"/>
      <c r="J1580" s="46" t="s">
        <v>919</v>
      </c>
      <c r="K1580" s="12"/>
      <c r="L1580" s="197">
        <v>42.2</v>
      </c>
      <c r="M1580" s="197">
        <v>7</v>
      </c>
      <c r="N1580" s="290">
        <v>500</v>
      </c>
      <c r="O1580" s="46"/>
      <c r="P1580" s="46" t="s">
        <v>39</v>
      </c>
      <c r="Q1580" s="12"/>
      <c r="R1580" s="192" t="str">
        <f>CONCATENATE(N1580,P1580)</f>
        <v>500grams</v>
      </c>
      <c r="S1580" s="198">
        <f>M1580*N1580</f>
        <v>3500</v>
      </c>
      <c r="T1580" s="199" t="str">
        <f>CONCATENATE(S1580,Q1580,P1580)</f>
        <v>3500grams</v>
      </c>
      <c r="U1580" s="200">
        <f>L1580*M1580</f>
        <v>295.40000000000003</v>
      </c>
      <c r="V1580" s="12"/>
      <c r="W1580" s="12"/>
    </row>
    <row r="1581" spans="1:23" x14ac:dyDescent="0.3">
      <c r="A1581" s="193">
        <v>611</v>
      </c>
      <c r="B1581" s="46" t="s">
        <v>708</v>
      </c>
      <c r="C1581" s="315"/>
      <c r="D1581" s="316"/>
      <c r="E1581" s="315"/>
      <c r="F1581" s="315"/>
      <c r="G1581" s="315"/>
      <c r="H1581" s="194" t="s">
        <v>2022</v>
      </c>
      <c r="I1581" s="12"/>
      <c r="J1581" s="46" t="s">
        <v>919</v>
      </c>
      <c r="K1581" s="12"/>
      <c r="L1581" s="197">
        <v>45</v>
      </c>
      <c r="M1581" s="197">
        <v>1</v>
      </c>
      <c r="N1581" s="290">
        <v>500</v>
      </c>
      <c r="O1581" s="46"/>
      <c r="P1581" s="46" t="s">
        <v>39</v>
      </c>
      <c r="Q1581" s="12"/>
      <c r="R1581" s="192" t="str">
        <f>CONCATENATE(N1581,P1581)</f>
        <v>500grams</v>
      </c>
      <c r="S1581" s="198">
        <f>M1581*N1581</f>
        <v>500</v>
      </c>
      <c r="T1581" s="199" t="str">
        <f>CONCATENATE(S1581,Q1581,P1581)</f>
        <v>500grams</v>
      </c>
      <c r="U1581" s="200">
        <f>L1581*M1581</f>
        <v>45</v>
      </c>
      <c r="V1581" s="12"/>
      <c r="W1581" s="12"/>
    </row>
    <row r="1582" spans="1:23" x14ac:dyDescent="0.3">
      <c r="A1582" s="193">
        <v>611</v>
      </c>
      <c r="B1582" s="219" t="s">
        <v>708</v>
      </c>
      <c r="C1582" s="315"/>
      <c r="D1582" s="316"/>
      <c r="E1582" s="315"/>
      <c r="F1582" s="315"/>
      <c r="G1582" s="315"/>
      <c r="H1582" s="194" t="s">
        <v>2021</v>
      </c>
      <c r="I1582" s="12"/>
      <c r="J1582" s="219" t="s">
        <v>919</v>
      </c>
      <c r="K1582" s="12"/>
      <c r="L1582" s="216">
        <v>43.5</v>
      </c>
      <c r="M1582" s="216">
        <v>19</v>
      </c>
      <c r="N1582" s="293">
        <v>500</v>
      </c>
      <c r="O1582" s="219"/>
      <c r="P1582" s="219" t="s">
        <v>39</v>
      </c>
      <c r="Q1582" s="12"/>
      <c r="R1582" s="192" t="str">
        <f>CONCATENATE(N1582,P1582)</f>
        <v>500grams</v>
      </c>
      <c r="S1582" s="198">
        <f>M1582*N1582</f>
        <v>9500</v>
      </c>
      <c r="T1582" s="199" t="str">
        <f>CONCATENATE(S1582,Q1582,P1582)</f>
        <v>9500grams</v>
      </c>
      <c r="U1582" s="200">
        <f>L1582*M1582</f>
        <v>826.5</v>
      </c>
      <c r="V1582" s="12"/>
      <c r="W1582" s="12"/>
    </row>
    <row r="1583" spans="1:23" x14ac:dyDescent="0.3">
      <c r="A1583" s="193">
        <v>611</v>
      </c>
      <c r="B1583" s="46" t="s">
        <v>708</v>
      </c>
      <c r="C1583" s="315"/>
      <c r="D1583" s="316"/>
      <c r="E1583" s="315"/>
      <c r="F1583" s="315"/>
      <c r="G1583" s="315"/>
      <c r="H1583" s="194" t="s">
        <v>2020</v>
      </c>
      <c r="I1583" s="12"/>
      <c r="J1583" s="46" t="s">
        <v>919</v>
      </c>
      <c r="K1583" s="12"/>
      <c r="L1583" s="197">
        <v>42.2</v>
      </c>
      <c r="M1583" s="197">
        <v>5</v>
      </c>
      <c r="N1583" s="290">
        <v>500</v>
      </c>
      <c r="O1583" s="46"/>
      <c r="P1583" s="46" t="s">
        <v>39</v>
      </c>
      <c r="Q1583" s="12"/>
      <c r="R1583" s="192" t="str">
        <f>CONCATENATE(N1583,P1583)</f>
        <v>500grams</v>
      </c>
      <c r="S1583" s="198">
        <f>M1583*N1583</f>
        <v>2500</v>
      </c>
      <c r="T1583" s="199" t="str">
        <f>CONCATENATE(S1583,Q1583,P1583)</f>
        <v>2500grams</v>
      </c>
      <c r="U1583" s="200">
        <f>L1583*M1583</f>
        <v>211</v>
      </c>
      <c r="V1583" s="12"/>
      <c r="W1583" s="12"/>
    </row>
    <row r="1584" spans="1:23" x14ac:dyDescent="0.3">
      <c r="A1584" s="193">
        <v>612</v>
      </c>
      <c r="B1584" s="46" t="s">
        <v>1493</v>
      </c>
      <c r="C1584" s="315"/>
      <c r="D1584" s="316"/>
      <c r="E1584" s="315"/>
      <c r="F1584" s="315"/>
      <c r="G1584" s="315"/>
      <c r="H1584" s="194" t="s">
        <v>2022</v>
      </c>
      <c r="I1584" s="12"/>
      <c r="J1584" s="46" t="s">
        <v>854</v>
      </c>
      <c r="K1584" s="12"/>
      <c r="L1584" s="197">
        <v>42</v>
      </c>
      <c r="M1584" s="197">
        <v>3</v>
      </c>
      <c r="N1584" s="290">
        <v>30</v>
      </c>
      <c r="O1584" s="46"/>
      <c r="P1584" s="46" t="s">
        <v>32</v>
      </c>
      <c r="Q1584" s="12"/>
      <c r="R1584" s="192" t="str">
        <f>CONCATENATE(N1584,P1584)</f>
        <v>30ml</v>
      </c>
      <c r="S1584" s="198">
        <f>M1584*N1584</f>
        <v>90</v>
      </c>
      <c r="T1584" s="199" t="str">
        <f>CONCATENATE(S1584,Q1584,P1584)</f>
        <v>90ml</v>
      </c>
      <c r="U1584" s="200">
        <f>L1584*M1584</f>
        <v>126</v>
      </c>
      <c r="V1584" s="12"/>
      <c r="W1584" s="12"/>
    </row>
    <row r="1585" spans="1:23" x14ac:dyDescent="0.3">
      <c r="A1585" s="479">
        <v>613</v>
      </c>
      <c r="B1585" s="194" t="s">
        <v>157</v>
      </c>
      <c r="C1585" s="487"/>
      <c r="D1585" s="485" t="str">
        <f ca="1">IFERROR(__xludf.DUMMYFUNCTION("IF(J453="""",""n/a"",IFERROR(SPLIT(J453,""/"")))"),"Energen")</f>
        <v>Energen</v>
      </c>
      <c r="E1585" s="485" t="str">
        <f ca="1">IFERROR(__xludf.DUMMYFUNCTION("""COMPUTED_VALUE"""),"pack (pcsx30grams)")</f>
        <v>pack (pcsx30grams)</v>
      </c>
      <c r="F1585" s="487"/>
      <c r="G1585" s="487"/>
      <c r="H1585" s="183" t="s">
        <v>1897</v>
      </c>
      <c r="I1585" s="487"/>
      <c r="J1585" s="46" t="s">
        <v>130</v>
      </c>
      <c r="K1585" s="487"/>
      <c r="L1585" s="204">
        <v>8.9600000000000009</v>
      </c>
      <c r="M1585" s="202">
        <v>259</v>
      </c>
      <c r="N1585" s="203">
        <v>1</v>
      </c>
      <c r="O1585" s="61" t="str">
        <f ca="1">E1585</f>
        <v>pack (pcsx30grams)</v>
      </c>
      <c r="P1585" s="61" t="s">
        <v>92</v>
      </c>
      <c r="Q1585" s="487"/>
      <c r="R1585" s="192" t="str">
        <f>CONCATENATE(N1585,P1585)</f>
        <v>1pieces</v>
      </c>
      <c r="S1585" s="198">
        <f>M1585*N1585</f>
        <v>259</v>
      </c>
      <c r="T1585" s="199" t="str">
        <f>CONCATENATE(S1585,Q1585,P1585)</f>
        <v>259pieces</v>
      </c>
      <c r="U1585" s="200">
        <f>L1585*M1585</f>
        <v>2320.6400000000003</v>
      </c>
      <c r="V1585" s="205"/>
      <c r="W1585" s="62"/>
    </row>
    <row r="1586" spans="1:23" x14ac:dyDescent="0.3">
      <c r="A1586" s="479">
        <v>613</v>
      </c>
      <c r="B1586" s="214" t="s">
        <v>157</v>
      </c>
      <c r="C1586" s="489"/>
      <c r="D1586" s="485" t="str">
        <f ca="1">IFERROR(__xludf.DUMMYFUNCTION("IF(J454="""",""n/a"",IFERROR(SPLIT(J454,""/"")))"),"Energen")</f>
        <v>Energen</v>
      </c>
      <c r="E1586" s="493" t="str">
        <f ca="1">IFERROR(__xludf.DUMMYFUNCTION("""COMPUTED_VALUE"""),"pack (pcsx30grams)")</f>
        <v>pack (pcsx30grams)</v>
      </c>
      <c r="F1586" s="489"/>
      <c r="G1586" s="489"/>
      <c r="H1586" s="183" t="s">
        <v>1895</v>
      </c>
      <c r="I1586" s="487"/>
      <c r="J1586" s="46" t="s">
        <v>130</v>
      </c>
      <c r="K1586" s="487"/>
      <c r="L1586" s="195">
        <v>8.9700000000000006</v>
      </c>
      <c r="M1586" s="197">
        <v>275</v>
      </c>
      <c r="N1586" s="61">
        <v>1</v>
      </c>
      <c r="O1586" s="61" t="str">
        <f ca="1">E1586</f>
        <v>pack (pcsx30grams)</v>
      </c>
      <c r="P1586" s="61" t="s">
        <v>92</v>
      </c>
      <c r="Q1586" s="487"/>
      <c r="R1586" s="192" t="str">
        <f>CONCATENATE(N1586,P1586)</f>
        <v>1pieces</v>
      </c>
      <c r="S1586" s="198">
        <f>M1586*N1586</f>
        <v>275</v>
      </c>
      <c r="T1586" s="199" t="str">
        <f>CONCATENATE(S1586,Q1586,P1586)</f>
        <v>275pieces</v>
      </c>
      <c r="U1586" s="200">
        <f>L1586*M1586</f>
        <v>2466.75</v>
      </c>
      <c r="V1586" s="12"/>
      <c r="W1586" s="12"/>
    </row>
    <row r="1587" spans="1:23" x14ac:dyDescent="0.3">
      <c r="A1587" s="479">
        <v>614</v>
      </c>
      <c r="B1587" s="194" t="s">
        <v>333</v>
      </c>
      <c r="C1587" s="487"/>
      <c r="D1587" s="485" t="str">
        <f ca="1">IFERROR(__xludf.DUMMYFUNCTION("IF(J455="""",""n/a"",IFERROR(SPLIT(J455,""/"")))"),"charme")</f>
        <v>charme</v>
      </c>
      <c r="E1587" s="487"/>
      <c r="F1587" s="487"/>
      <c r="G1587" s="487"/>
      <c r="H1587" s="183" t="s">
        <v>1897</v>
      </c>
      <c r="I1587" s="487"/>
      <c r="J1587" s="46" t="s">
        <v>709</v>
      </c>
      <c r="K1587" s="487"/>
      <c r="L1587" s="195">
        <v>1.26</v>
      </c>
      <c r="M1587" s="202">
        <v>808</v>
      </c>
      <c r="N1587" s="203">
        <v>1</v>
      </c>
      <c r="O1587" s="170">
        <f>E1587</f>
        <v>0</v>
      </c>
      <c r="P1587" s="61" t="s">
        <v>92</v>
      </c>
      <c r="Q1587" s="487"/>
      <c r="R1587" s="192" t="str">
        <f>CONCATENATE(N1587,P1587)</f>
        <v>1pieces</v>
      </c>
      <c r="S1587" s="198">
        <f>M1587*N1587</f>
        <v>808</v>
      </c>
      <c r="T1587" s="199" t="str">
        <f>CONCATENATE(S1587,Q1587,P1587)</f>
        <v>808pieces</v>
      </c>
      <c r="U1587" s="200">
        <f>L1587*M1587</f>
        <v>1018.08</v>
      </c>
      <c r="V1587" s="12"/>
      <c r="W1587" s="12"/>
    </row>
    <row r="1588" spans="1:23" x14ac:dyDescent="0.3">
      <c r="A1588" s="479">
        <v>614</v>
      </c>
      <c r="B1588" s="194" t="s">
        <v>333</v>
      </c>
      <c r="C1588" s="487"/>
      <c r="D1588" s="485" t="str">
        <f ca="1">IFERROR(__xludf.DUMMYFUNCTION("IF(J456="""",""n/a"",IFERROR(SPLIT(J456,""/"")))"),"Sister")</f>
        <v>Sister</v>
      </c>
      <c r="E1588" s="485" t="str">
        <f ca="1">IFERROR(__xludf.DUMMYFUNCTION("""COMPUTED_VALUE"""),"pack")</f>
        <v>pack</v>
      </c>
      <c r="F1588" s="485" t="str">
        <f ca="1">IFERROR(__xludf.DUMMYFUNCTION("""COMPUTED_VALUE"""),"8s'")</f>
        <v>8s'</v>
      </c>
      <c r="G1588" s="487"/>
      <c r="H1588" s="183" t="s">
        <v>1895</v>
      </c>
      <c r="I1588" s="487"/>
      <c r="J1588" s="46" t="s">
        <v>334</v>
      </c>
      <c r="K1588" s="487"/>
      <c r="L1588" s="195">
        <v>60</v>
      </c>
      <c r="M1588" s="197">
        <v>20</v>
      </c>
      <c r="N1588" s="61">
        <v>1</v>
      </c>
      <c r="O1588" s="61" t="str">
        <f ca="1">E1588</f>
        <v>pack</v>
      </c>
      <c r="P1588" s="61" t="s">
        <v>304</v>
      </c>
      <c r="Q1588" s="487"/>
      <c r="R1588" s="192" t="str">
        <f>CONCATENATE(N1588,P1588)</f>
        <v>1packs</v>
      </c>
      <c r="S1588" s="198">
        <f>M1588*N1588</f>
        <v>20</v>
      </c>
      <c r="T1588" s="199" t="str">
        <f>CONCATENATE(S1588,Q1588,P1588)</f>
        <v>20packs</v>
      </c>
      <c r="U1588" s="200">
        <f>L1588*M1588</f>
        <v>1200</v>
      </c>
      <c r="V1588" s="12"/>
      <c r="W1588" s="12"/>
    </row>
    <row r="1589" spans="1:23" x14ac:dyDescent="0.3">
      <c r="A1589" s="479">
        <v>614</v>
      </c>
      <c r="B1589" s="194" t="s">
        <v>333</v>
      </c>
      <c r="C1589" s="487"/>
      <c r="D1589" s="485" t="str">
        <f ca="1">IFERROR(__xludf.DUMMYFUNCTION("IF(J457="""",""n/a"",IFERROR(SPLIT(J457,""/"")))"),"n/a")</f>
        <v>n/a</v>
      </c>
      <c r="E1589" s="487"/>
      <c r="F1589" s="487"/>
      <c r="G1589" s="487"/>
      <c r="H1589" s="206" t="s">
        <v>1898</v>
      </c>
      <c r="I1589" s="487"/>
      <c r="J1589" s="170"/>
      <c r="K1589" s="487"/>
      <c r="L1589" s="197">
        <v>7.5</v>
      </c>
      <c r="M1589" s="386">
        <v>11</v>
      </c>
      <c r="N1589" s="208">
        <v>1</v>
      </c>
      <c r="O1589" s="170">
        <f>E1589</f>
        <v>0</v>
      </c>
      <c r="P1589" s="61" t="s">
        <v>304</v>
      </c>
      <c r="Q1589" s="487"/>
      <c r="R1589" s="192" t="str">
        <f>CONCATENATE(N1589,P1589)</f>
        <v>1packs</v>
      </c>
      <c r="S1589" s="198">
        <f>M1589*N1589</f>
        <v>11</v>
      </c>
      <c r="T1589" s="199" t="str">
        <f>CONCATENATE(S1589,Q1589,P1589)</f>
        <v>11packs</v>
      </c>
      <c r="U1589" s="200">
        <f>L1589*M1589</f>
        <v>82.5</v>
      </c>
      <c r="V1589" s="12"/>
      <c r="W1589" s="12"/>
    </row>
    <row r="1590" spans="1:23" x14ac:dyDescent="0.3">
      <c r="A1590" s="479">
        <v>614</v>
      </c>
      <c r="B1590" s="194" t="s">
        <v>333</v>
      </c>
      <c r="C1590" s="487"/>
      <c r="D1590" s="485" t="str">
        <f ca="1">IFERROR(__xludf.DUMMYFUNCTION("IF(J458="""",""n/a"",IFERROR(SPLIT(J458,""/"")))"),"n/a")</f>
        <v>n/a</v>
      </c>
      <c r="E1590" s="487"/>
      <c r="F1590" s="487"/>
      <c r="G1590" s="487"/>
      <c r="H1590" s="206" t="s">
        <v>1898</v>
      </c>
      <c r="I1590" s="487"/>
      <c r="J1590" s="170"/>
      <c r="K1590" s="487"/>
      <c r="L1590" s="197">
        <v>1.32</v>
      </c>
      <c r="M1590" s="386">
        <v>84</v>
      </c>
      <c r="N1590" s="208">
        <v>1</v>
      </c>
      <c r="O1590" s="170">
        <f>E1590</f>
        <v>0</v>
      </c>
      <c r="P1590" s="61" t="s">
        <v>92</v>
      </c>
      <c r="Q1590" s="487"/>
      <c r="R1590" s="192" t="str">
        <f>CONCATENATE(N1590,P1590)</f>
        <v>1pieces</v>
      </c>
      <c r="S1590" s="198">
        <f>M1590*N1590</f>
        <v>84</v>
      </c>
      <c r="T1590" s="199" t="str">
        <f>CONCATENATE(S1590,Q1590,P1590)</f>
        <v>84pieces</v>
      </c>
      <c r="U1590" s="200">
        <f>L1590*M1590</f>
        <v>110.88000000000001</v>
      </c>
      <c r="V1590" s="12"/>
      <c r="W1590" s="12"/>
    </row>
    <row r="1591" spans="1:23" x14ac:dyDescent="0.3">
      <c r="A1591" s="193">
        <v>614</v>
      </c>
      <c r="B1591" s="46" t="s">
        <v>333</v>
      </c>
      <c r="C1591" s="315"/>
      <c r="D1591" s="316"/>
      <c r="E1591" s="315"/>
      <c r="F1591" s="315"/>
      <c r="G1591" s="315"/>
      <c r="H1591" s="400" t="s">
        <v>2027</v>
      </c>
      <c r="I1591" s="12"/>
      <c r="J1591" s="46" t="s">
        <v>1977</v>
      </c>
      <c r="K1591" s="12"/>
      <c r="L1591" s="195">
        <v>2.38</v>
      </c>
      <c r="M1591" s="197">
        <v>40</v>
      </c>
      <c r="N1591" s="360">
        <v>1</v>
      </c>
      <c r="O1591" s="61"/>
      <c r="P1591" s="61" t="s">
        <v>92</v>
      </c>
      <c r="Q1591" s="12"/>
      <c r="R1591" s="192" t="str">
        <f>CONCATENATE(N1591,P1591)</f>
        <v>1pieces</v>
      </c>
      <c r="S1591" s="198">
        <f>M1591*N1591</f>
        <v>40</v>
      </c>
      <c r="T1591" s="199" t="str">
        <f>CONCATENATE(S1591,Q1591,P1591)</f>
        <v>40pieces</v>
      </c>
      <c r="U1591" s="200">
        <f>L1591*M1591</f>
        <v>95.199999999999989</v>
      </c>
      <c r="V1591" s="12"/>
      <c r="W1591" s="12"/>
    </row>
    <row r="1592" spans="1:23" x14ac:dyDescent="0.3">
      <c r="A1592" s="193">
        <v>615</v>
      </c>
      <c r="B1592" s="46" t="s">
        <v>1494</v>
      </c>
      <c r="C1592" s="315"/>
      <c r="D1592" s="316"/>
      <c r="E1592" s="315"/>
      <c r="F1592" s="315"/>
      <c r="G1592" s="315"/>
      <c r="H1592" s="194" t="s">
        <v>1368</v>
      </c>
      <c r="I1592" s="12"/>
      <c r="J1592" s="46" t="s">
        <v>1495</v>
      </c>
      <c r="K1592" s="12"/>
      <c r="L1592" s="197">
        <v>26.5</v>
      </c>
      <c r="M1592" s="197">
        <v>1</v>
      </c>
      <c r="N1592" s="290">
        <v>1</v>
      </c>
      <c r="O1592" s="46"/>
      <c r="P1592" s="46" t="s">
        <v>304</v>
      </c>
      <c r="Q1592" s="12"/>
      <c r="R1592" s="192" t="str">
        <f>CONCATENATE(N1592,P1592)</f>
        <v>1packs</v>
      </c>
      <c r="S1592" s="198">
        <f>M1592*N1592</f>
        <v>1</v>
      </c>
      <c r="T1592" s="199" t="str">
        <f>CONCATENATE(S1592,Q1592,P1592)</f>
        <v>1packs</v>
      </c>
      <c r="U1592" s="200">
        <f>L1592*M1592</f>
        <v>26.5</v>
      </c>
      <c r="V1592" s="12"/>
      <c r="W1592" s="12"/>
    </row>
    <row r="1593" spans="1:23" x14ac:dyDescent="0.3">
      <c r="A1593" s="193">
        <v>615</v>
      </c>
      <c r="B1593" s="46" t="s">
        <v>1494</v>
      </c>
      <c r="C1593" s="315"/>
      <c r="D1593" s="316"/>
      <c r="E1593" s="315"/>
      <c r="F1593" s="315"/>
      <c r="G1593" s="315"/>
      <c r="H1593" s="194" t="s">
        <v>2023</v>
      </c>
      <c r="I1593" s="12"/>
      <c r="J1593" s="46" t="s">
        <v>1496</v>
      </c>
      <c r="K1593" s="12"/>
      <c r="L1593" s="197">
        <v>17.079999999999998</v>
      </c>
      <c r="M1593" s="197">
        <v>3</v>
      </c>
      <c r="N1593" s="290">
        <v>22</v>
      </c>
      <c r="O1593" s="46"/>
      <c r="P1593" s="46" t="s">
        <v>304</v>
      </c>
      <c r="Q1593" s="12"/>
      <c r="R1593" s="192" t="str">
        <f>CONCATENATE(N1593,P1593)</f>
        <v>22packs</v>
      </c>
      <c r="S1593" s="198">
        <f>M1593*N1593</f>
        <v>66</v>
      </c>
      <c r="T1593" s="199" t="str">
        <f>CONCATENATE(S1593,Q1593,P1593)</f>
        <v>66packs</v>
      </c>
      <c r="U1593" s="200">
        <f>L1593*M1593</f>
        <v>51.239999999999995</v>
      </c>
      <c r="V1593" s="12"/>
      <c r="W1593" s="12"/>
    </row>
    <row r="1594" spans="1:23" x14ac:dyDescent="0.3">
      <c r="A1594" s="193">
        <v>615</v>
      </c>
      <c r="B1594" s="219" t="s">
        <v>1494</v>
      </c>
      <c r="C1594" s="315"/>
      <c r="D1594" s="316"/>
      <c r="E1594" s="315"/>
      <c r="F1594" s="315"/>
      <c r="G1594" s="315"/>
      <c r="H1594" s="194" t="s">
        <v>2020</v>
      </c>
      <c r="I1594" s="12"/>
      <c r="J1594" s="46" t="s">
        <v>1495</v>
      </c>
      <c r="K1594" s="12"/>
      <c r="L1594" s="197">
        <v>2.69</v>
      </c>
      <c r="M1594" s="197">
        <v>50</v>
      </c>
      <c r="N1594" s="290">
        <v>1</v>
      </c>
      <c r="O1594" s="46"/>
      <c r="P1594" s="46" t="s">
        <v>92</v>
      </c>
      <c r="Q1594" s="12"/>
      <c r="R1594" s="192" t="str">
        <f>CONCATENATE(N1594,P1594)</f>
        <v>1pieces</v>
      </c>
      <c r="S1594" s="198">
        <f>M1594*N1594</f>
        <v>50</v>
      </c>
      <c r="T1594" s="199" t="str">
        <f>CONCATENATE(S1594,Q1594,P1594)</f>
        <v>50pieces</v>
      </c>
      <c r="U1594" s="200">
        <f>L1594*M1594</f>
        <v>134.5</v>
      </c>
      <c r="V1594" s="12"/>
      <c r="W1594" s="12"/>
    </row>
    <row r="1595" spans="1:23" x14ac:dyDescent="0.3">
      <c r="A1595" s="193">
        <v>616</v>
      </c>
      <c r="B1595" s="46" t="s">
        <v>1497</v>
      </c>
      <c r="C1595" s="315"/>
      <c r="D1595" s="316"/>
      <c r="E1595" s="315"/>
      <c r="F1595" s="315"/>
      <c r="G1595" s="315"/>
      <c r="H1595" s="194" t="s">
        <v>2020</v>
      </c>
      <c r="I1595" s="12"/>
      <c r="J1595" s="46" t="s">
        <v>1004</v>
      </c>
      <c r="K1595" s="12"/>
      <c r="L1595" s="197">
        <v>2</v>
      </c>
      <c r="M1595" s="197">
        <v>164</v>
      </c>
      <c r="N1595" s="290">
        <v>1</v>
      </c>
      <c r="O1595" s="46"/>
      <c r="P1595" s="46" t="s">
        <v>92</v>
      </c>
      <c r="Q1595" s="12"/>
      <c r="R1595" s="192" t="str">
        <f>CONCATENATE(N1595,P1595)</f>
        <v>1pieces</v>
      </c>
      <c r="S1595" s="198">
        <f>M1595*N1595</f>
        <v>164</v>
      </c>
      <c r="T1595" s="199" t="str">
        <f>CONCATENATE(S1595,Q1595,P1595)</f>
        <v>164pieces</v>
      </c>
      <c r="U1595" s="200">
        <f>L1595*M1595</f>
        <v>328</v>
      </c>
      <c r="V1595" s="12"/>
      <c r="W1595" s="12"/>
    </row>
    <row r="1596" spans="1:23" x14ac:dyDescent="0.3">
      <c r="A1596" s="193">
        <v>617</v>
      </c>
      <c r="B1596" s="46" t="s">
        <v>1498</v>
      </c>
      <c r="C1596" s="315"/>
      <c r="D1596" s="316"/>
      <c r="E1596" s="315"/>
      <c r="F1596" s="315"/>
      <c r="G1596" s="315"/>
      <c r="H1596" s="194" t="s">
        <v>2026</v>
      </c>
      <c r="I1596" s="12"/>
      <c r="J1596" s="170"/>
      <c r="K1596" s="12"/>
      <c r="L1596" s="197">
        <v>70</v>
      </c>
      <c r="M1596" s="197">
        <v>2</v>
      </c>
      <c r="N1596" s="290">
        <v>1000</v>
      </c>
      <c r="O1596" s="46"/>
      <c r="P1596" s="46" t="s">
        <v>39</v>
      </c>
      <c r="Q1596" s="12"/>
      <c r="R1596" s="192" t="str">
        <f>CONCATENATE(N1596,P1596)</f>
        <v>1000grams</v>
      </c>
      <c r="S1596" s="198">
        <f>M1596*N1596</f>
        <v>2000</v>
      </c>
      <c r="T1596" s="199" t="str">
        <f>CONCATENATE(S1596,Q1596,P1596)</f>
        <v>2000grams</v>
      </c>
      <c r="U1596" s="200">
        <f>L1596*M1596</f>
        <v>140</v>
      </c>
      <c r="V1596" s="12"/>
      <c r="W1596" s="12"/>
    </row>
    <row r="1597" spans="1:23" x14ac:dyDescent="0.3">
      <c r="A1597" s="193">
        <v>618</v>
      </c>
      <c r="B1597" s="46" t="s">
        <v>1499</v>
      </c>
      <c r="C1597" s="315"/>
      <c r="D1597" s="316"/>
      <c r="E1597" s="315"/>
      <c r="F1597" s="315"/>
      <c r="G1597" s="315"/>
      <c r="H1597" s="194" t="s">
        <v>2023</v>
      </c>
      <c r="I1597" s="12"/>
      <c r="J1597" s="46" t="s">
        <v>1500</v>
      </c>
      <c r="K1597" s="12"/>
      <c r="L1597" s="197">
        <v>250</v>
      </c>
      <c r="M1597" s="197">
        <v>3</v>
      </c>
      <c r="N1597" s="290">
        <v>50</v>
      </c>
      <c r="O1597" s="46"/>
      <c r="P1597" s="46" t="s">
        <v>92</v>
      </c>
      <c r="Q1597" s="12"/>
      <c r="R1597" s="192" t="str">
        <f>CONCATENATE(N1597,P1597)</f>
        <v>50pieces</v>
      </c>
      <c r="S1597" s="198">
        <f>M1597*N1597</f>
        <v>150</v>
      </c>
      <c r="T1597" s="199" t="str">
        <f>CONCATENATE(S1597,Q1597,P1597)</f>
        <v>150pieces</v>
      </c>
      <c r="U1597" s="200">
        <f>L1597*M1597</f>
        <v>750</v>
      </c>
      <c r="V1597" s="12"/>
      <c r="W1597" s="12"/>
    </row>
    <row r="1598" spans="1:23" x14ac:dyDescent="0.3">
      <c r="A1598" s="193">
        <v>618</v>
      </c>
      <c r="B1598" s="46" t="s">
        <v>1499</v>
      </c>
      <c r="C1598" s="315"/>
      <c r="D1598" s="316"/>
      <c r="E1598" s="315"/>
      <c r="F1598" s="315"/>
      <c r="G1598" s="315"/>
      <c r="H1598" s="194" t="s">
        <v>2020</v>
      </c>
      <c r="I1598" s="12"/>
      <c r="J1598" s="170"/>
      <c r="K1598" s="12"/>
      <c r="L1598" s="197">
        <v>5</v>
      </c>
      <c r="M1598" s="197">
        <v>140</v>
      </c>
      <c r="N1598" s="290">
        <v>1</v>
      </c>
      <c r="O1598" s="46"/>
      <c r="P1598" s="46" t="s">
        <v>92</v>
      </c>
      <c r="Q1598" s="12"/>
      <c r="R1598" s="192" t="str">
        <f>CONCATENATE(N1598,P1598)</f>
        <v>1pieces</v>
      </c>
      <c r="S1598" s="198">
        <f>M1598*N1598</f>
        <v>140</v>
      </c>
      <c r="T1598" s="199" t="str">
        <f>CONCATENATE(S1598,Q1598,P1598)</f>
        <v>140pieces</v>
      </c>
      <c r="U1598" s="200">
        <f>L1598*M1598</f>
        <v>700</v>
      </c>
      <c r="V1598" s="12"/>
      <c r="W1598" s="12"/>
    </row>
    <row r="1599" spans="1:23" x14ac:dyDescent="0.3">
      <c r="A1599" s="193">
        <v>618</v>
      </c>
      <c r="B1599" s="46" t="s">
        <v>1499</v>
      </c>
      <c r="C1599" s="315"/>
      <c r="D1599" s="316"/>
      <c r="E1599" s="315"/>
      <c r="F1599" s="315"/>
      <c r="G1599" s="315"/>
      <c r="H1599" s="194" t="s">
        <v>2021</v>
      </c>
      <c r="I1599" s="12"/>
      <c r="J1599" s="219" t="s">
        <v>1501</v>
      </c>
      <c r="K1599" s="12"/>
      <c r="L1599" s="216">
        <v>4.3</v>
      </c>
      <c r="M1599" s="216">
        <v>109</v>
      </c>
      <c r="N1599" s="293">
        <v>1</v>
      </c>
      <c r="O1599" s="219"/>
      <c r="P1599" s="219" t="s">
        <v>92</v>
      </c>
      <c r="Q1599" s="12"/>
      <c r="R1599" s="192" t="str">
        <f>CONCATENATE(N1599,P1599)</f>
        <v>1pieces</v>
      </c>
      <c r="S1599" s="198">
        <f>M1599*N1599</f>
        <v>109</v>
      </c>
      <c r="T1599" s="199" t="str">
        <f>CONCATENATE(S1599,Q1599,P1599)</f>
        <v>109pieces</v>
      </c>
      <c r="U1599" s="200">
        <f>L1599*M1599</f>
        <v>468.7</v>
      </c>
      <c r="V1599" s="12"/>
      <c r="W1599" s="12"/>
    </row>
    <row r="1600" spans="1:23" x14ac:dyDescent="0.3">
      <c r="A1600" s="193">
        <v>619</v>
      </c>
      <c r="B1600" s="219" t="s">
        <v>1502</v>
      </c>
      <c r="C1600" s="315"/>
      <c r="D1600" s="316"/>
      <c r="E1600" s="315"/>
      <c r="F1600" s="315"/>
      <c r="G1600" s="315"/>
      <c r="H1600" s="194" t="s">
        <v>2021</v>
      </c>
      <c r="I1600" s="12"/>
      <c r="J1600" s="219" t="s">
        <v>1501</v>
      </c>
      <c r="K1600" s="12"/>
      <c r="L1600" s="216">
        <v>5.8</v>
      </c>
      <c r="M1600" s="216">
        <v>44</v>
      </c>
      <c r="N1600" s="293">
        <v>1</v>
      </c>
      <c r="O1600" s="219"/>
      <c r="P1600" s="219" t="s">
        <v>92</v>
      </c>
      <c r="Q1600" s="12"/>
      <c r="R1600" s="192" t="str">
        <f>CONCATENATE(N1600,P1600)</f>
        <v>1pieces</v>
      </c>
      <c r="S1600" s="198">
        <f>M1600*N1600</f>
        <v>44</v>
      </c>
      <c r="T1600" s="199" t="str">
        <f>CONCATENATE(S1600,Q1600,P1600)</f>
        <v>44pieces</v>
      </c>
      <c r="U1600" s="200">
        <f>L1600*M1600</f>
        <v>255.2</v>
      </c>
      <c r="V1600" s="12"/>
      <c r="W1600" s="12"/>
    </row>
    <row r="1601" spans="1:23" x14ac:dyDescent="0.3">
      <c r="A1601" s="193">
        <v>620</v>
      </c>
      <c r="B1601" s="46" t="s">
        <v>1503</v>
      </c>
      <c r="C1601" s="315"/>
      <c r="D1601" s="316"/>
      <c r="E1601" s="315"/>
      <c r="F1601" s="315"/>
      <c r="G1601" s="315"/>
      <c r="H1601" s="194" t="s">
        <v>2026</v>
      </c>
      <c r="I1601" s="12"/>
      <c r="J1601" s="170"/>
      <c r="K1601" s="12"/>
      <c r="L1601" s="197">
        <v>8.8000000000000007</v>
      </c>
      <c r="M1601" s="197">
        <v>39</v>
      </c>
      <c r="N1601" s="290">
        <v>1</v>
      </c>
      <c r="O1601" s="46"/>
      <c r="P1601" s="46" t="s">
        <v>92</v>
      </c>
      <c r="Q1601" s="12"/>
      <c r="R1601" s="192" t="str">
        <f>CONCATENATE(N1601,P1601)</f>
        <v>1pieces</v>
      </c>
      <c r="S1601" s="198">
        <f>M1601*N1601</f>
        <v>39</v>
      </c>
      <c r="T1601" s="199" t="str">
        <f>CONCATENATE(S1601,Q1601,P1601)</f>
        <v>39pieces</v>
      </c>
      <c r="U1601" s="200">
        <f>L1601*M1601</f>
        <v>343.20000000000005</v>
      </c>
      <c r="V1601" s="12"/>
      <c r="W1601" s="12"/>
    </row>
    <row r="1602" spans="1:23" x14ac:dyDescent="0.3">
      <c r="A1602" s="193">
        <v>621</v>
      </c>
      <c r="B1602" s="46" t="s">
        <v>1504</v>
      </c>
      <c r="C1602" s="315"/>
      <c r="D1602" s="316"/>
      <c r="E1602" s="315"/>
      <c r="F1602" s="315"/>
      <c r="G1602" s="315"/>
      <c r="H1602" s="194" t="s">
        <v>2020</v>
      </c>
      <c r="I1602" s="12"/>
      <c r="J1602" s="46" t="s">
        <v>1505</v>
      </c>
      <c r="K1602" s="12"/>
      <c r="L1602" s="197">
        <v>125</v>
      </c>
      <c r="M1602" s="197">
        <v>2</v>
      </c>
      <c r="N1602" s="290">
        <v>1</v>
      </c>
      <c r="O1602" s="46"/>
      <c r="P1602" s="46" t="s">
        <v>304</v>
      </c>
      <c r="Q1602" s="12"/>
      <c r="R1602" s="192" t="str">
        <f>CONCATENATE(N1602,P1602)</f>
        <v>1packs</v>
      </c>
      <c r="S1602" s="198">
        <f>M1602*N1602</f>
        <v>2</v>
      </c>
      <c r="T1602" s="199" t="str">
        <f>CONCATENATE(S1602,Q1602,P1602)</f>
        <v>2packs</v>
      </c>
      <c r="U1602" s="200">
        <f>L1602*M1602</f>
        <v>250</v>
      </c>
      <c r="V1602" s="12"/>
      <c r="W1602" s="12"/>
    </row>
    <row r="1603" spans="1:23" x14ac:dyDescent="0.3">
      <c r="A1603" s="193">
        <v>622</v>
      </c>
      <c r="B1603" s="46" t="s">
        <v>1506</v>
      </c>
      <c r="C1603" s="315"/>
      <c r="D1603" s="316"/>
      <c r="E1603" s="315"/>
      <c r="F1603" s="315"/>
      <c r="G1603" s="315"/>
      <c r="H1603" s="194" t="s">
        <v>29</v>
      </c>
      <c r="I1603" s="12"/>
      <c r="J1603" s="46" t="s">
        <v>858</v>
      </c>
      <c r="K1603" s="12"/>
      <c r="L1603" s="197">
        <v>1.72</v>
      </c>
      <c r="M1603" s="197">
        <v>75</v>
      </c>
      <c r="N1603" s="290">
        <v>1</v>
      </c>
      <c r="O1603" s="46"/>
      <c r="P1603" s="46" t="s">
        <v>92</v>
      </c>
      <c r="Q1603" s="12"/>
      <c r="R1603" s="192" t="str">
        <f>CONCATENATE(N1603,P1603)</f>
        <v>1pieces</v>
      </c>
      <c r="S1603" s="198">
        <f>M1603*N1603</f>
        <v>75</v>
      </c>
      <c r="T1603" s="199" t="str">
        <f>CONCATENATE(S1603,Q1603,P1603)</f>
        <v>75pieces</v>
      </c>
      <c r="U1603" s="200">
        <f>L1603*M1603</f>
        <v>129</v>
      </c>
      <c r="V1603" s="12"/>
      <c r="W1603" s="12"/>
    </row>
    <row r="1604" spans="1:23" x14ac:dyDescent="0.3">
      <c r="A1604" s="193">
        <v>622</v>
      </c>
      <c r="B1604" s="46" t="s">
        <v>1506</v>
      </c>
      <c r="C1604" s="315"/>
      <c r="D1604" s="316"/>
      <c r="E1604" s="315"/>
      <c r="F1604" s="315"/>
      <c r="G1604" s="315"/>
      <c r="H1604" s="194" t="s">
        <v>2023</v>
      </c>
      <c r="I1604" s="12"/>
      <c r="J1604" s="46" t="s">
        <v>1507</v>
      </c>
      <c r="K1604" s="12"/>
      <c r="L1604" s="197">
        <v>100</v>
      </c>
      <c r="M1604" s="197">
        <v>9</v>
      </c>
      <c r="N1604" s="290">
        <v>50</v>
      </c>
      <c r="O1604" s="46"/>
      <c r="P1604" s="46" t="s">
        <v>92</v>
      </c>
      <c r="Q1604" s="12"/>
      <c r="R1604" s="192" t="str">
        <f>CONCATENATE(N1604,P1604)</f>
        <v>50pieces</v>
      </c>
      <c r="S1604" s="198">
        <f>M1604*N1604</f>
        <v>450</v>
      </c>
      <c r="T1604" s="199" t="str">
        <f>CONCATENATE(S1604,Q1604,P1604)</f>
        <v>450pieces</v>
      </c>
      <c r="U1604" s="200">
        <f>L1604*M1604</f>
        <v>900</v>
      </c>
      <c r="V1604" s="12"/>
      <c r="W1604" s="12"/>
    </row>
    <row r="1605" spans="1:23" x14ac:dyDescent="0.3">
      <c r="A1605" s="193">
        <v>623</v>
      </c>
      <c r="B1605" s="46" t="s">
        <v>1508</v>
      </c>
      <c r="C1605" s="315"/>
      <c r="D1605" s="316"/>
      <c r="E1605" s="315"/>
      <c r="F1605" s="315"/>
      <c r="G1605" s="315"/>
      <c r="H1605" s="194" t="s">
        <v>29</v>
      </c>
      <c r="I1605" s="12"/>
      <c r="J1605" s="46" t="s">
        <v>858</v>
      </c>
      <c r="K1605" s="12"/>
      <c r="L1605" s="197">
        <v>0.95</v>
      </c>
      <c r="M1605" s="197">
        <v>25</v>
      </c>
      <c r="N1605" s="290">
        <v>1</v>
      </c>
      <c r="O1605" s="46"/>
      <c r="P1605" s="46" t="s">
        <v>92</v>
      </c>
      <c r="Q1605" s="12"/>
      <c r="R1605" s="192" t="str">
        <f>CONCATENATE(N1605,P1605)</f>
        <v>1pieces</v>
      </c>
      <c r="S1605" s="198">
        <f>M1605*N1605</f>
        <v>25</v>
      </c>
      <c r="T1605" s="199" t="str">
        <f>CONCATENATE(S1605,Q1605,P1605)</f>
        <v>25pieces</v>
      </c>
      <c r="U1605" s="200">
        <f>L1605*M1605</f>
        <v>23.75</v>
      </c>
      <c r="V1605" s="12"/>
      <c r="W1605" s="12"/>
    </row>
    <row r="1606" spans="1:23" x14ac:dyDescent="0.3">
      <c r="A1606" s="193">
        <v>624</v>
      </c>
      <c r="B1606" s="219" t="s">
        <v>1509</v>
      </c>
      <c r="C1606" s="315"/>
      <c r="D1606" s="316"/>
      <c r="E1606" s="315"/>
      <c r="F1606" s="315"/>
      <c r="G1606" s="315"/>
      <c r="H1606" s="194" t="s">
        <v>29</v>
      </c>
      <c r="I1606" s="12"/>
      <c r="J1606" s="46" t="s">
        <v>858</v>
      </c>
      <c r="K1606" s="12"/>
      <c r="L1606" s="197">
        <v>1.1399999999999999</v>
      </c>
      <c r="M1606" s="197">
        <v>275</v>
      </c>
      <c r="N1606" s="290">
        <v>1</v>
      </c>
      <c r="O1606" s="46"/>
      <c r="P1606" s="46" t="s">
        <v>92</v>
      </c>
      <c r="Q1606" s="12"/>
      <c r="R1606" s="192" t="str">
        <f>CONCATENATE(N1606,P1606)</f>
        <v>1pieces</v>
      </c>
      <c r="S1606" s="198">
        <f>M1606*N1606</f>
        <v>275</v>
      </c>
      <c r="T1606" s="199" t="str">
        <f>CONCATENATE(S1606,Q1606,P1606)</f>
        <v>275pieces</v>
      </c>
      <c r="U1606" s="200">
        <f>L1606*M1606</f>
        <v>313.5</v>
      </c>
      <c r="V1606" s="12"/>
      <c r="W1606" s="12"/>
    </row>
    <row r="1607" spans="1:23" x14ac:dyDescent="0.3">
      <c r="A1607" s="193">
        <v>624</v>
      </c>
      <c r="B1607" s="46" t="s">
        <v>1509</v>
      </c>
      <c r="C1607" s="315"/>
      <c r="D1607" s="316"/>
      <c r="E1607" s="315"/>
      <c r="F1607" s="315"/>
      <c r="G1607" s="315"/>
      <c r="H1607" s="194" t="s">
        <v>2026</v>
      </c>
      <c r="I1607" s="12"/>
      <c r="J1607" s="46" t="s">
        <v>1507</v>
      </c>
      <c r="K1607" s="12"/>
      <c r="L1607" s="197">
        <v>1</v>
      </c>
      <c r="M1607" s="197">
        <v>709</v>
      </c>
      <c r="N1607" s="290">
        <v>50</v>
      </c>
      <c r="O1607" s="46"/>
      <c r="P1607" s="46" t="s">
        <v>92</v>
      </c>
      <c r="Q1607" s="12"/>
      <c r="R1607" s="192" t="str">
        <f>CONCATENATE(N1607,P1607)</f>
        <v>50pieces</v>
      </c>
      <c r="S1607" s="198">
        <f>M1607*N1607</f>
        <v>35450</v>
      </c>
      <c r="T1607" s="199" t="str">
        <f>CONCATENATE(S1607,Q1607,P1607)</f>
        <v>35450pieces</v>
      </c>
      <c r="U1607" s="200">
        <f>L1607*M1607</f>
        <v>709</v>
      </c>
      <c r="V1607" s="12"/>
      <c r="W1607" s="12"/>
    </row>
    <row r="1608" spans="1:23" x14ac:dyDescent="0.3">
      <c r="A1608" s="193">
        <v>624</v>
      </c>
      <c r="B1608" s="46" t="s">
        <v>1509</v>
      </c>
      <c r="C1608" s="315"/>
      <c r="D1608" s="316"/>
      <c r="E1608" s="315"/>
      <c r="F1608" s="315"/>
      <c r="G1608" s="315"/>
      <c r="H1608" s="194" t="s">
        <v>2021</v>
      </c>
      <c r="I1608" s="12"/>
      <c r="J1608" s="215"/>
      <c r="K1608" s="12"/>
      <c r="L1608" s="216">
        <v>0.76</v>
      </c>
      <c r="M1608" s="216">
        <v>239</v>
      </c>
      <c r="N1608" s="293">
        <v>1</v>
      </c>
      <c r="O1608" s="219"/>
      <c r="P1608" s="219" t="s">
        <v>92</v>
      </c>
      <c r="Q1608" s="12"/>
      <c r="R1608" s="192" t="str">
        <f>CONCATENATE(N1608,P1608)</f>
        <v>1pieces</v>
      </c>
      <c r="S1608" s="198">
        <f>M1608*N1608</f>
        <v>239</v>
      </c>
      <c r="T1608" s="199" t="str">
        <f>CONCATENATE(S1608,Q1608,P1608)</f>
        <v>239pieces</v>
      </c>
      <c r="U1608" s="200">
        <f>L1608*M1608</f>
        <v>181.64000000000001</v>
      </c>
      <c r="V1608" s="12"/>
      <c r="W1608" s="12"/>
    </row>
    <row r="1609" spans="1:23" x14ac:dyDescent="0.3">
      <c r="A1609" s="193">
        <v>624</v>
      </c>
      <c r="B1609" s="46" t="s">
        <v>1509</v>
      </c>
      <c r="C1609" s="315"/>
      <c r="D1609" s="316"/>
      <c r="E1609" s="315"/>
      <c r="F1609" s="315"/>
      <c r="G1609" s="315"/>
      <c r="H1609" s="194" t="s">
        <v>2020</v>
      </c>
      <c r="I1609" s="12"/>
      <c r="J1609" s="170"/>
      <c r="K1609" s="12"/>
      <c r="L1609" s="197">
        <v>1.25</v>
      </c>
      <c r="M1609" s="197">
        <v>1870</v>
      </c>
      <c r="N1609" s="290">
        <v>1</v>
      </c>
      <c r="O1609" s="46"/>
      <c r="P1609" s="46" t="s">
        <v>92</v>
      </c>
      <c r="Q1609" s="12"/>
      <c r="R1609" s="192" t="str">
        <f>CONCATENATE(N1609,P1609)</f>
        <v>1pieces</v>
      </c>
      <c r="S1609" s="198">
        <f>M1609*N1609</f>
        <v>1870</v>
      </c>
      <c r="T1609" s="199" t="str">
        <f>CONCATENATE(S1609,Q1609,P1609)</f>
        <v>1870pieces</v>
      </c>
      <c r="U1609" s="200">
        <f>L1609*M1609</f>
        <v>2337.5</v>
      </c>
      <c r="V1609" s="12"/>
      <c r="W1609" s="12"/>
    </row>
    <row r="1610" spans="1:23" x14ac:dyDescent="0.3">
      <c r="A1610" s="193">
        <v>624</v>
      </c>
      <c r="B1610" s="46" t="s">
        <v>1509</v>
      </c>
      <c r="C1610" s="315"/>
      <c r="D1610" s="316"/>
      <c r="E1610" s="315"/>
      <c r="F1610" s="315"/>
      <c r="G1610" s="315"/>
      <c r="H1610" s="194" t="s">
        <v>2022</v>
      </c>
      <c r="I1610" s="12"/>
      <c r="J1610" s="46" t="s">
        <v>991</v>
      </c>
      <c r="K1610" s="12"/>
      <c r="L1610" s="197">
        <v>70</v>
      </c>
      <c r="M1610" s="197">
        <v>11</v>
      </c>
      <c r="N1610" s="290">
        <v>100</v>
      </c>
      <c r="O1610" s="46"/>
      <c r="P1610" s="46" t="s">
        <v>92</v>
      </c>
      <c r="Q1610" s="12"/>
      <c r="R1610" s="192" t="str">
        <f>CONCATENATE(N1610,P1610)</f>
        <v>100pieces</v>
      </c>
      <c r="S1610" s="198">
        <f>M1610*N1610</f>
        <v>1100</v>
      </c>
      <c r="T1610" s="199" t="str">
        <f>CONCATENATE(S1610,Q1610,P1610)</f>
        <v>1100pieces</v>
      </c>
      <c r="U1610" s="200">
        <f>L1610*M1610</f>
        <v>770</v>
      </c>
      <c r="V1610" s="12"/>
      <c r="W1610" s="12"/>
    </row>
    <row r="1611" spans="1:23" x14ac:dyDescent="0.3">
      <c r="A1611" s="193">
        <v>625</v>
      </c>
      <c r="B1611" s="46" t="s">
        <v>1978</v>
      </c>
      <c r="C1611" s="315"/>
      <c r="D1611" s="316"/>
      <c r="E1611" s="315"/>
      <c r="F1611" s="315"/>
      <c r="G1611" s="315"/>
      <c r="H1611" s="400" t="s">
        <v>2027</v>
      </c>
      <c r="I1611" s="12"/>
      <c r="J1611" s="170"/>
      <c r="K1611" s="12"/>
      <c r="L1611" s="195">
        <v>0.95</v>
      </c>
      <c r="M1611" s="197">
        <v>934</v>
      </c>
      <c r="N1611" s="360">
        <v>1</v>
      </c>
      <c r="O1611" s="61"/>
      <c r="P1611" s="61" t="s">
        <v>92</v>
      </c>
      <c r="Q1611" s="12"/>
      <c r="R1611" s="192" t="str">
        <f>CONCATENATE(N1611,P1611)</f>
        <v>1pieces</v>
      </c>
      <c r="S1611" s="198">
        <f>M1611*N1611</f>
        <v>934</v>
      </c>
      <c r="T1611" s="199" t="str">
        <f>CONCATENATE(S1611,Q1611,P1611)</f>
        <v>934pieces</v>
      </c>
      <c r="U1611" s="200">
        <f>L1611*M1611</f>
        <v>887.3</v>
      </c>
      <c r="V1611" s="12"/>
      <c r="W1611" s="12"/>
    </row>
    <row r="1612" spans="1:23" x14ac:dyDescent="0.3">
      <c r="A1612" s="193">
        <v>626</v>
      </c>
      <c r="B1612" s="46" t="s">
        <v>1510</v>
      </c>
      <c r="C1612" s="315"/>
      <c r="D1612" s="316"/>
      <c r="E1612" s="315"/>
      <c r="F1612" s="315"/>
      <c r="G1612" s="315"/>
      <c r="H1612" s="194" t="s">
        <v>2026</v>
      </c>
      <c r="I1612" s="12"/>
      <c r="J1612" s="46" t="s">
        <v>1507</v>
      </c>
      <c r="K1612" s="12"/>
      <c r="L1612" s="197">
        <v>3</v>
      </c>
      <c r="M1612" s="197">
        <v>200</v>
      </c>
      <c r="N1612" s="290">
        <v>1</v>
      </c>
      <c r="O1612" s="46"/>
      <c r="P1612" s="46" t="s">
        <v>92</v>
      </c>
      <c r="Q1612" s="12"/>
      <c r="R1612" s="192" t="str">
        <f>CONCATENATE(N1612,P1612)</f>
        <v>1pieces</v>
      </c>
      <c r="S1612" s="198">
        <f>M1612*N1612</f>
        <v>200</v>
      </c>
      <c r="T1612" s="199" t="str">
        <f>CONCATENATE(S1612,Q1612,P1612)</f>
        <v>200pieces</v>
      </c>
      <c r="U1612" s="200">
        <f>L1612*M1612</f>
        <v>600</v>
      </c>
      <c r="V1612" s="12"/>
      <c r="W1612" s="12"/>
    </row>
    <row r="1613" spans="1:23" x14ac:dyDescent="0.3">
      <c r="A1613" s="193">
        <v>626</v>
      </c>
      <c r="B1613" s="46" t="s">
        <v>1510</v>
      </c>
      <c r="C1613" s="315"/>
      <c r="D1613" s="316"/>
      <c r="E1613" s="315"/>
      <c r="F1613" s="315"/>
      <c r="G1613" s="315"/>
      <c r="H1613" s="194" t="s">
        <v>2023</v>
      </c>
      <c r="I1613" s="12"/>
      <c r="J1613" s="46" t="s">
        <v>1507</v>
      </c>
      <c r="K1613" s="12"/>
      <c r="L1613" s="197">
        <v>200</v>
      </c>
      <c r="M1613" s="197">
        <v>2</v>
      </c>
      <c r="N1613" s="290">
        <v>50</v>
      </c>
      <c r="O1613" s="46"/>
      <c r="P1613" s="46" t="s">
        <v>92</v>
      </c>
      <c r="Q1613" s="12"/>
      <c r="R1613" s="192" t="str">
        <f>CONCATENATE(N1613,P1613)</f>
        <v>50pieces</v>
      </c>
      <c r="S1613" s="198">
        <f>M1613*N1613</f>
        <v>100</v>
      </c>
      <c r="T1613" s="199" t="str">
        <f>CONCATENATE(S1613,Q1613,P1613)</f>
        <v>100pieces</v>
      </c>
      <c r="U1613" s="200">
        <f>L1613*M1613</f>
        <v>400</v>
      </c>
      <c r="V1613" s="12"/>
      <c r="W1613" s="12"/>
    </row>
    <row r="1614" spans="1:23" x14ac:dyDescent="0.3">
      <c r="A1614" s="193">
        <v>627</v>
      </c>
      <c r="B1614" s="219" t="s">
        <v>1511</v>
      </c>
      <c r="C1614" s="315"/>
      <c r="D1614" s="316"/>
      <c r="E1614" s="315"/>
      <c r="F1614" s="315"/>
      <c r="G1614" s="315"/>
      <c r="H1614" s="194" t="s">
        <v>2021</v>
      </c>
      <c r="I1614" s="12"/>
      <c r="J1614" s="215"/>
      <c r="K1614" s="12"/>
      <c r="L1614" s="216">
        <v>3.74</v>
      </c>
      <c r="M1614" s="216">
        <v>126</v>
      </c>
      <c r="N1614" s="293">
        <v>1</v>
      </c>
      <c r="O1614" s="219"/>
      <c r="P1614" s="219" t="s">
        <v>304</v>
      </c>
      <c r="Q1614" s="12"/>
      <c r="R1614" s="192" t="str">
        <f>CONCATENATE(N1614,P1614)</f>
        <v>1packs</v>
      </c>
      <c r="S1614" s="198">
        <f>M1614*N1614</f>
        <v>126</v>
      </c>
      <c r="T1614" s="199" t="str">
        <f>CONCATENATE(S1614,Q1614,P1614)</f>
        <v>126packs</v>
      </c>
      <c r="U1614" s="200">
        <f>L1614*M1614</f>
        <v>471.24</v>
      </c>
      <c r="V1614" s="12"/>
      <c r="W1614" s="12"/>
    </row>
    <row r="1615" spans="1:23" x14ac:dyDescent="0.3">
      <c r="A1615" s="193">
        <v>628</v>
      </c>
      <c r="B1615" s="46" t="s">
        <v>1512</v>
      </c>
      <c r="C1615" s="315"/>
      <c r="D1615" s="316"/>
      <c r="E1615" s="315"/>
      <c r="F1615" s="315"/>
      <c r="G1615" s="315"/>
      <c r="H1615" s="194" t="s">
        <v>2025</v>
      </c>
      <c r="I1615" s="12"/>
      <c r="J1615" s="170"/>
      <c r="K1615" s="12"/>
      <c r="L1615" s="197">
        <v>1.89</v>
      </c>
      <c r="M1615" s="197">
        <v>53</v>
      </c>
      <c r="N1615" s="290">
        <v>1</v>
      </c>
      <c r="O1615" s="46"/>
      <c r="P1615" s="46" t="s">
        <v>92</v>
      </c>
      <c r="Q1615" s="12"/>
      <c r="R1615" s="192" t="str">
        <f>CONCATENATE(N1615,P1615)</f>
        <v>1pieces</v>
      </c>
      <c r="S1615" s="198">
        <f>M1615*N1615</f>
        <v>53</v>
      </c>
      <c r="T1615" s="199" t="str">
        <f>CONCATENATE(S1615,Q1615,P1615)</f>
        <v>53pieces</v>
      </c>
      <c r="U1615" s="200">
        <f>L1615*M1615</f>
        <v>100.17</v>
      </c>
      <c r="V1615" s="12"/>
      <c r="W1615" s="12"/>
    </row>
    <row r="1616" spans="1:23" x14ac:dyDescent="0.3">
      <c r="A1616" s="193">
        <v>629</v>
      </c>
      <c r="B1616" s="46" t="s">
        <v>1513</v>
      </c>
      <c r="C1616" s="315"/>
      <c r="D1616" s="316"/>
      <c r="E1616" s="315"/>
      <c r="F1616" s="315"/>
      <c r="G1616" s="315"/>
      <c r="H1616" s="194" t="s">
        <v>2022</v>
      </c>
      <c r="I1616" s="12"/>
      <c r="J1616" s="46" t="s">
        <v>991</v>
      </c>
      <c r="K1616" s="12"/>
      <c r="L1616" s="197">
        <v>37.5</v>
      </c>
      <c r="M1616" s="197">
        <v>4</v>
      </c>
      <c r="N1616" s="290">
        <v>1</v>
      </c>
      <c r="O1616" s="46"/>
      <c r="P1616" s="46" t="s">
        <v>304</v>
      </c>
      <c r="Q1616" s="12"/>
      <c r="R1616" s="192" t="str">
        <f>CONCATENATE(N1616,P1616)</f>
        <v>1packs</v>
      </c>
      <c r="S1616" s="198">
        <f>M1616*N1616</f>
        <v>4</v>
      </c>
      <c r="T1616" s="199" t="str">
        <f>CONCATENATE(S1616,Q1616,P1616)</f>
        <v>4packs</v>
      </c>
      <c r="U1616" s="200">
        <f>L1616*M1616</f>
        <v>150</v>
      </c>
      <c r="V1616" s="12"/>
      <c r="W1616" s="12"/>
    </row>
    <row r="1617" spans="1:23" x14ac:dyDescent="0.3">
      <c r="A1617" s="193">
        <v>629</v>
      </c>
      <c r="B1617" s="46" t="s">
        <v>1513</v>
      </c>
      <c r="C1617" s="315"/>
      <c r="D1617" s="316"/>
      <c r="E1617" s="315"/>
      <c r="F1617" s="315"/>
      <c r="G1617" s="315"/>
      <c r="H1617" s="400" t="s">
        <v>2027</v>
      </c>
      <c r="I1617" s="12"/>
      <c r="J1617" s="170"/>
      <c r="K1617" s="12"/>
      <c r="L1617" s="195">
        <v>0.85</v>
      </c>
      <c r="M1617" s="197">
        <v>36</v>
      </c>
      <c r="N1617" s="360">
        <v>1</v>
      </c>
      <c r="O1617" s="61"/>
      <c r="P1617" s="61" t="s">
        <v>92</v>
      </c>
      <c r="Q1617" s="12"/>
      <c r="R1617" s="192" t="str">
        <f>CONCATENATE(N1617,P1617)</f>
        <v>1pieces</v>
      </c>
      <c r="S1617" s="198">
        <f>M1617*N1617</f>
        <v>36</v>
      </c>
      <c r="T1617" s="199" t="str">
        <f>CONCATENATE(S1617,Q1617,P1617)</f>
        <v>36pieces</v>
      </c>
      <c r="U1617" s="200">
        <f>L1617*M1617</f>
        <v>30.599999999999998</v>
      </c>
      <c r="V1617" s="12"/>
      <c r="W1617" s="12"/>
    </row>
    <row r="1618" spans="1:23" x14ac:dyDescent="0.3">
      <c r="A1618" s="193">
        <v>630</v>
      </c>
      <c r="B1618" s="46" t="s">
        <v>1514</v>
      </c>
      <c r="C1618" s="315"/>
      <c r="D1618" s="316"/>
      <c r="E1618" s="315"/>
      <c r="F1618" s="315"/>
      <c r="G1618" s="315"/>
      <c r="H1618" s="194" t="s">
        <v>2026</v>
      </c>
      <c r="I1618" s="12"/>
      <c r="J1618" s="46" t="s">
        <v>1515</v>
      </c>
      <c r="K1618" s="12"/>
      <c r="L1618" s="197">
        <v>0.5</v>
      </c>
      <c r="M1618" s="197">
        <v>200</v>
      </c>
      <c r="N1618" s="290">
        <v>40</v>
      </c>
      <c r="O1618" s="46"/>
      <c r="P1618" s="46" t="s">
        <v>92</v>
      </c>
      <c r="Q1618" s="12"/>
      <c r="R1618" s="192" t="str">
        <f>CONCATENATE(N1618,P1618)</f>
        <v>40pieces</v>
      </c>
      <c r="S1618" s="198">
        <f>M1618*N1618</f>
        <v>8000</v>
      </c>
      <c r="T1618" s="199" t="str">
        <f>CONCATENATE(S1618,Q1618,P1618)</f>
        <v>8000pieces</v>
      </c>
      <c r="U1618" s="200">
        <f>L1618*M1618</f>
        <v>100</v>
      </c>
      <c r="V1618" s="12"/>
      <c r="W1618" s="12"/>
    </row>
    <row r="1619" spans="1:23" x14ac:dyDescent="0.3">
      <c r="A1619" s="193">
        <v>631</v>
      </c>
      <c r="B1619" s="46" t="s">
        <v>1516</v>
      </c>
      <c r="C1619" s="315"/>
      <c r="D1619" s="316"/>
      <c r="E1619" s="315"/>
      <c r="F1619" s="315"/>
      <c r="G1619" s="315"/>
      <c r="H1619" s="194" t="s">
        <v>2025</v>
      </c>
      <c r="I1619" s="12"/>
      <c r="J1619" s="170"/>
      <c r="K1619" s="12"/>
      <c r="L1619" s="197">
        <v>1.1599999999999999</v>
      </c>
      <c r="M1619" s="197">
        <v>250</v>
      </c>
      <c r="N1619" s="290">
        <v>1</v>
      </c>
      <c r="O1619" s="46"/>
      <c r="P1619" s="46" t="s">
        <v>92</v>
      </c>
      <c r="Q1619" s="12"/>
      <c r="R1619" s="192" t="str">
        <f>CONCATENATE(N1619,P1619)</f>
        <v>1pieces</v>
      </c>
      <c r="S1619" s="198">
        <f>M1619*N1619</f>
        <v>250</v>
      </c>
      <c r="T1619" s="199" t="str">
        <f>CONCATENATE(S1619,Q1619,P1619)</f>
        <v>250pieces</v>
      </c>
      <c r="U1619" s="200">
        <f>L1619*M1619</f>
        <v>290</v>
      </c>
      <c r="V1619" s="12"/>
      <c r="W1619" s="12"/>
    </row>
    <row r="1620" spans="1:23" x14ac:dyDescent="0.3">
      <c r="A1620" s="193">
        <v>632</v>
      </c>
      <c r="B1620" s="46" t="s">
        <v>1517</v>
      </c>
      <c r="C1620" s="315"/>
      <c r="D1620" s="316"/>
      <c r="E1620" s="315"/>
      <c r="F1620" s="315"/>
      <c r="G1620" s="315"/>
      <c r="H1620" s="194" t="s">
        <v>2026</v>
      </c>
      <c r="I1620" s="12"/>
      <c r="J1620" s="46" t="s">
        <v>858</v>
      </c>
      <c r="K1620" s="12"/>
      <c r="L1620" s="197">
        <v>40.799999999999997</v>
      </c>
      <c r="M1620" s="197">
        <v>4</v>
      </c>
      <c r="N1620" s="290">
        <v>1</v>
      </c>
      <c r="O1620" s="46"/>
      <c r="P1620" s="46" t="s">
        <v>304</v>
      </c>
      <c r="Q1620" s="12"/>
      <c r="R1620" s="192" t="str">
        <f>CONCATENATE(N1620,P1620)</f>
        <v>1packs</v>
      </c>
      <c r="S1620" s="198">
        <f>M1620*N1620</f>
        <v>4</v>
      </c>
      <c r="T1620" s="199" t="str">
        <f>CONCATENATE(S1620,Q1620,P1620)</f>
        <v>4packs</v>
      </c>
      <c r="U1620" s="200">
        <f>L1620*M1620</f>
        <v>163.19999999999999</v>
      </c>
      <c r="V1620" s="12"/>
      <c r="W1620" s="12"/>
    </row>
    <row r="1621" spans="1:23" x14ac:dyDescent="0.3">
      <c r="A1621" s="193">
        <v>633</v>
      </c>
      <c r="B1621" s="219" t="s">
        <v>1518</v>
      </c>
      <c r="C1621" s="315"/>
      <c r="D1621" s="316"/>
      <c r="E1621" s="315"/>
      <c r="F1621" s="315"/>
      <c r="G1621" s="315"/>
      <c r="H1621" s="194" t="s">
        <v>2021</v>
      </c>
      <c r="I1621" s="12"/>
      <c r="J1621" s="215"/>
      <c r="K1621" s="12"/>
      <c r="L1621" s="216">
        <v>45</v>
      </c>
      <c r="M1621" s="216">
        <v>1</v>
      </c>
      <c r="N1621" s="293">
        <v>50</v>
      </c>
      <c r="O1621" s="219"/>
      <c r="P1621" s="219" t="s">
        <v>39</v>
      </c>
      <c r="Q1621" s="12"/>
      <c r="R1621" s="192" t="str">
        <f>CONCATENATE(N1621,P1621)</f>
        <v>50grams</v>
      </c>
      <c r="S1621" s="198">
        <f>M1621*N1621</f>
        <v>50</v>
      </c>
      <c r="T1621" s="199" t="str">
        <f>CONCATENATE(S1621,Q1621,P1621)</f>
        <v>50grams</v>
      </c>
      <c r="U1621" s="200">
        <f>L1621*M1621</f>
        <v>45</v>
      </c>
      <c r="V1621" s="12"/>
      <c r="W1621" s="12"/>
    </row>
    <row r="1622" spans="1:23" x14ac:dyDescent="0.3">
      <c r="A1622" s="193">
        <v>634</v>
      </c>
      <c r="B1622" s="46" t="s">
        <v>1519</v>
      </c>
      <c r="C1622" s="315"/>
      <c r="D1622" s="316"/>
      <c r="E1622" s="315"/>
      <c r="F1622" s="315"/>
      <c r="G1622" s="315"/>
      <c r="H1622" s="194" t="s">
        <v>2025</v>
      </c>
      <c r="I1622" s="12"/>
      <c r="J1622" s="46" t="s">
        <v>1520</v>
      </c>
      <c r="K1622" s="12"/>
      <c r="L1622" s="197">
        <v>265</v>
      </c>
      <c r="M1622" s="197">
        <v>0</v>
      </c>
      <c r="N1622" s="290">
        <v>227</v>
      </c>
      <c r="O1622" s="46"/>
      <c r="P1622" s="46" t="s">
        <v>39</v>
      </c>
      <c r="Q1622" s="12"/>
      <c r="R1622" s="192" t="str">
        <f>CONCATENATE(N1622,P1622)</f>
        <v>227grams</v>
      </c>
      <c r="S1622" s="198">
        <f>M1622*N1622</f>
        <v>0</v>
      </c>
      <c r="T1622" s="199" t="str">
        <f>CONCATENATE(S1622,Q1622,P1622)</f>
        <v>0grams</v>
      </c>
      <c r="U1622" s="200">
        <f>L1622*M1622</f>
        <v>0</v>
      </c>
      <c r="V1622" s="12"/>
      <c r="W1622" s="12"/>
    </row>
    <row r="1623" spans="1:23" x14ac:dyDescent="0.3">
      <c r="A1623" s="193">
        <v>635</v>
      </c>
      <c r="B1623" s="46" t="s">
        <v>1521</v>
      </c>
      <c r="C1623" s="315"/>
      <c r="D1623" s="316"/>
      <c r="E1623" s="315"/>
      <c r="F1623" s="315"/>
      <c r="G1623" s="315"/>
      <c r="H1623" s="194" t="s">
        <v>2020</v>
      </c>
      <c r="I1623" s="12"/>
      <c r="J1623" s="46" t="s">
        <v>1004</v>
      </c>
      <c r="K1623" s="12"/>
      <c r="L1623" s="197">
        <v>5</v>
      </c>
      <c r="M1623" s="197">
        <v>25</v>
      </c>
      <c r="N1623" s="290">
        <v>1</v>
      </c>
      <c r="O1623" s="46"/>
      <c r="P1623" s="46" t="s">
        <v>92</v>
      </c>
      <c r="Q1623" s="12"/>
      <c r="R1623" s="192" t="str">
        <f>CONCATENATE(N1623,P1623)</f>
        <v>1pieces</v>
      </c>
      <c r="S1623" s="198">
        <f>M1623*N1623</f>
        <v>25</v>
      </c>
      <c r="T1623" s="199" t="str">
        <f>CONCATENATE(S1623,Q1623,P1623)</f>
        <v>25pieces</v>
      </c>
      <c r="U1623" s="200">
        <f>L1623*M1623</f>
        <v>125</v>
      </c>
      <c r="V1623" s="12"/>
      <c r="W1623" s="12"/>
    </row>
    <row r="1624" spans="1:23" x14ac:dyDescent="0.3">
      <c r="A1624" s="193">
        <v>636</v>
      </c>
      <c r="B1624" s="46" t="s">
        <v>1522</v>
      </c>
      <c r="C1624" s="315"/>
      <c r="D1624" s="316"/>
      <c r="E1624" s="315"/>
      <c r="F1624" s="315"/>
      <c r="G1624" s="315"/>
      <c r="H1624" s="194" t="s">
        <v>1368</v>
      </c>
      <c r="I1624" s="12"/>
      <c r="J1624" s="170"/>
      <c r="K1624" s="12"/>
      <c r="L1624" s="197">
        <v>50</v>
      </c>
      <c r="M1624" s="197">
        <v>2</v>
      </c>
      <c r="N1624" s="290">
        <v>1</v>
      </c>
      <c r="O1624" s="46"/>
      <c r="P1624" s="46" t="s">
        <v>213</v>
      </c>
      <c r="Q1624" s="12"/>
      <c r="R1624" s="192" t="str">
        <f>CONCATENATE(N1624,P1624)</f>
        <v>1kilos</v>
      </c>
      <c r="S1624" s="198">
        <f>M1624*N1624</f>
        <v>2</v>
      </c>
      <c r="T1624" s="199" t="str">
        <f>CONCATENATE(S1624,Q1624,P1624)</f>
        <v>2kilos</v>
      </c>
      <c r="U1624" s="200">
        <f>L1624*M1624</f>
        <v>100</v>
      </c>
      <c r="V1624" s="12"/>
      <c r="W1624" s="12"/>
    </row>
    <row r="1625" spans="1:23" x14ac:dyDescent="0.3">
      <c r="A1625" s="193">
        <v>637</v>
      </c>
      <c r="B1625" s="46" t="s">
        <v>1523</v>
      </c>
      <c r="C1625" s="315"/>
      <c r="D1625" s="316"/>
      <c r="E1625" s="315"/>
      <c r="F1625" s="315"/>
      <c r="G1625" s="315"/>
      <c r="H1625" s="194" t="s">
        <v>1368</v>
      </c>
      <c r="I1625" s="12"/>
      <c r="J1625" s="46" t="s">
        <v>865</v>
      </c>
      <c r="K1625" s="12"/>
      <c r="L1625" s="197">
        <v>113</v>
      </c>
      <c r="M1625" s="197">
        <v>1</v>
      </c>
      <c r="N1625" s="290">
        <v>825</v>
      </c>
      <c r="O1625" s="46"/>
      <c r="P1625" s="46" t="s">
        <v>39</v>
      </c>
      <c r="Q1625" s="12"/>
      <c r="R1625" s="192" t="str">
        <f>CONCATENATE(N1625,P1625)</f>
        <v>825grams</v>
      </c>
      <c r="S1625" s="198">
        <f>M1625*N1625</f>
        <v>825</v>
      </c>
      <c r="T1625" s="199" t="str">
        <f>CONCATENATE(S1625,Q1625,P1625)</f>
        <v>825grams</v>
      </c>
      <c r="U1625" s="200">
        <f>L1625*M1625</f>
        <v>113</v>
      </c>
      <c r="V1625" s="12"/>
      <c r="W1625" s="12"/>
    </row>
    <row r="1626" spans="1:23" x14ac:dyDescent="0.3">
      <c r="A1626" s="193">
        <v>637</v>
      </c>
      <c r="B1626" s="46" t="s">
        <v>1523</v>
      </c>
      <c r="C1626" s="315"/>
      <c r="D1626" s="316"/>
      <c r="E1626" s="315"/>
      <c r="F1626" s="315"/>
      <c r="G1626" s="315"/>
      <c r="H1626" s="194" t="s">
        <v>2022</v>
      </c>
      <c r="I1626" s="12"/>
      <c r="J1626" s="46" t="s">
        <v>1241</v>
      </c>
      <c r="K1626" s="12"/>
      <c r="L1626" s="197">
        <v>139</v>
      </c>
      <c r="M1626" s="197">
        <v>1</v>
      </c>
      <c r="N1626" s="290">
        <v>825</v>
      </c>
      <c r="O1626" s="46"/>
      <c r="P1626" s="46" t="s">
        <v>39</v>
      </c>
      <c r="Q1626" s="12"/>
      <c r="R1626" s="192" t="str">
        <f>CONCATENATE(N1626,P1626)</f>
        <v>825grams</v>
      </c>
      <c r="S1626" s="198">
        <f>M1626*N1626</f>
        <v>825</v>
      </c>
      <c r="T1626" s="199" t="str">
        <f>CONCATENATE(S1626,Q1626,P1626)</f>
        <v>825grams</v>
      </c>
      <c r="U1626" s="200">
        <f>L1626*M1626</f>
        <v>139</v>
      </c>
      <c r="V1626" s="12"/>
      <c r="W1626" s="12"/>
    </row>
    <row r="1627" spans="1:23" x14ac:dyDescent="0.3">
      <c r="A1627" s="479">
        <v>638</v>
      </c>
      <c r="B1627" s="194" t="s">
        <v>710</v>
      </c>
      <c r="C1627" s="487"/>
      <c r="D1627" s="485" t="str">
        <f ca="1">IFERROR(__xludf.DUMMYFUNCTION("IF(J459="""",""n/a"",IFERROR(SPLIT(J459,""/"")))"),"Mama")</f>
        <v>Mama</v>
      </c>
      <c r="E1627" s="485" t="str">
        <f ca="1">IFERROR(__xludf.DUMMYFUNCTION("""COMPUTED_VALUE"""),"canister")</f>
        <v>canister</v>
      </c>
      <c r="F1627" s="485" t="str">
        <f ca="1">IFERROR(__xludf.DUMMYFUNCTION("""COMPUTED_VALUE"""),"1000grams")</f>
        <v>1000grams</v>
      </c>
      <c r="G1627" s="487"/>
      <c r="H1627" s="183" t="s">
        <v>1897</v>
      </c>
      <c r="I1627" s="487"/>
      <c r="J1627" s="46" t="s">
        <v>587</v>
      </c>
      <c r="K1627" s="487"/>
      <c r="L1627" s="197">
        <v>0.23</v>
      </c>
      <c r="M1627" s="202">
        <v>1000</v>
      </c>
      <c r="N1627" s="203">
        <v>1000</v>
      </c>
      <c r="O1627" s="61" t="str">
        <f ca="1">E1627</f>
        <v>canister</v>
      </c>
      <c r="P1627" s="61" t="s">
        <v>39</v>
      </c>
      <c r="Q1627" s="487"/>
      <c r="R1627" s="192" t="str">
        <f>CONCATENATE(N1627,P1627)</f>
        <v>1000grams</v>
      </c>
      <c r="S1627" s="198">
        <f>M1627*N1627</f>
        <v>1000000</v>
      </c>
      <c r="T1627" s="199" t="str">
        <f>CONCATENATE(S1627,Q1627,P1627)</f>
        <v>1000000grams</v>
      </c>
      <c r="U1627" s="200">
        <f>L1627*M1627</f>
        <v>230</v>
      </c>
      <c r="V1627" s="62"/>
      <c r="W1627" s="62"/>
    </row>
    <row r="1628" spans="1:23" x14ac:dyDescent="0.3">
      <c r="A1628" s="193">
        <v>638</v>
      </c>
      <c r="B1628" s="46" t="s">
        <v>710</v>
      </c>
      <c r="C1628" s="315"/>
      <c r="D1628" s="316"/>
      <c r="E1628" s="315"/>
      <c r="F1628" s="315"/>
      <c r="G1628" s="315"/>
      <c r="H1628" s="194" t="s">
        <v>2025</v>
      </c>
      <c r="I1628" s="12"/>
      <c r="J1628" s="46" t="s">
        <v>1524</v>
      </c>
      <c r="K1628" s="12"/>
      <c r="L1628" s="197">
        <v>180</v>
      </c>
      <c r="M1628" s="197">
        <v>2</v>
      </c>
      <c r="N1628" s="290">
        <v>2</v>
      </c>
      <c r="O1628" s="46"/>
      <c r="P1628" s="46" t="s">
        <v>213</v>
      </c>
      <c r="Q1628" s="12"/>
      <c r="R1628" s="192" t="str">
        <f>CONCATENATE(N1628,P1628)</f>
        <v>2kilos</v>
      </c>
      <c r="S1628" s="198">
        <f>M1628*N1628</f>
        <v>4</v>
      </c>
      <c r="T1628" s="199" t="str">
        <f>CONCATENATE(S1628,Q1628,P1628)</f>
        <v>4kilos</v>
      </c>
      <c r="U1628" s="200">
        <f>L1628*M1628</f>
        <v>360</v>
      </c>
      <c r="V1628" s="12"/>
      <c r="W1628" s="12"/>
    </row>
    <row r="1629" spans="1:23" x14ac:dyDescent="0.3">
      <c r="A1629" s="193">
        <v>638</v>
      </c>
      <c r="B1629" s="219" t="s">
        <v>710</v>
      </c>
      <c r="C1629" s="315"/>
      <c r="D1629" s="316"/>
      <c r="E1629" s="315"/>
      <c r="F1629" s="315"/>
      <c r="G1629" s="315"/>
      <c r="H1629" s="194" t="s">
        <v>2021</v>
      </c>
      <c r="I1629" s="12"/>
      <c r="J1629" s="219" t="s">
        <v>1525</v>
      </c>
      <c r="K1629" s="12"/>
      <c r="L1629" s="216">
        <v>221.3</v>
      </c>
      <c r="M1629" s="216">
        <v>1</v>
      </c>
      <c r="N1629" s="293">
        <v>504</v>
      </c>
      <c r="O1629" s="219"/>
      <c r="P1629" s="219" t="s">
        <v>39</v>
      </c>
      <c r="Q1629" s="12"/>
      <c r="R1629" s="192" t="str">
        <f>CONCATENATE(N1629,P1629)</f>
        <v>504grams</v>
      </c>
      <c r="S1629" s="198">
        <f>M1629*N1629</f>
        <v>504</v>
      </c>
      <c r="T1629" s="199" t="str">
        <f>CONCATENATE(S1629,Q1629,P1629)</f>
        <v>504grams</v>
      </c>
      <c r="U1629" s="200">
        <f>L1629*M1629</f>
        <v>221.3</v>
      </c>
      <c r="V1629" s="12"/>
      <c r="W1629" s="12"/>
    </row>
    <row r="1630" spans="1:23" x14ac:dyDescent="0.3">
      <c r="A1630" s="193">
        <v>638</v>
      </c>
      <c r="B1630" s="46" t="s">
        <v>710</v>
      </c>
      <c r="C1630" s="315"/>
      <c r="D1630" s="316"/>
      <c r="E1630" s="315"/>
      <c r="F1630" s="315"/>
      <c r="G1630" s="315"/>
      <c r="H1630" s="194" t="s">
        <v>2024</v>
      </c>
      <c r="I1630" s="12"/>
      <c r="J1630" s="46" t="s">
        <v>1524</v>
      </c>
      <c r="K1630" s="12"/>
      <c r="L1630" s="197">
        <v>230</v>
      </c>
      <c r="M1630" s="197">
        <v>2</v>
      </c>
      <c r="N1630" s="290">
        <v>1800</v>
      </c>
      <c r="O1630" s="46"/>
      <c r="P1630" s="46" t="s">
        <v>39</v>
      </c>
      <c r="Q1630" s="12"/>
      <c r="R1630" s="192" t="str">
        <f>CONCATENATE(N1630,P1630)</f>
        <v>1800grams</v>
      </c>
      <c r="S1630" s="198">
        <f>M1630*N1630</f>
        <v>3600</v>
      </c>
      <c r="T1630" s="199" t="str">
        <f>CONCATENATE(S1630,Q1630,P1630)</f>
        <v>3600grams</v>
      </c>
      <c r="U1630" s="200">
        <f>L1630*M1630</f>
        <v>460</v>
      </c>
      <c r="V1630" s="12"/>
      <c r="W1630" s="12"/>
    </row>
    <row r="1631" spans="1:23" x14ac:dyDescent="0.3">
      <c r="A1631" s="193">
        <v>638</v>
      </c>
      <c r="B1631" s="46" t="s">
        <v>710</v>
      </c>
      <c r="C1631" s="315"/>
      <c r="D1631" s="316"/>
      <c r="E1631" s="315"/>
      <c r="F1631" s="315"/>
      <c r="G1631" s="315"/>
      <c r="H1631" s="400" t="s">
        <v>2027</v>
      </c>
      <c r="I1631" s="12"/>
      <c r="J1631" s="46" t="s">
        <v>1979</v>
      </c>
      <c r="K1631" s="12"/>
      <c r="L1631" s="195">
        <v>57.5</v>
      </c>
      <c r="M1631" s="197">
        <v>4</v>
      </c>
      <c r="N1631" s="360">
        <v>1</v>
      </c>
      <c r="O1631" s="61"/>
      <c r="P1631" s="61" t="s">
        <v>213</v>
      </c>
      <c r="Q1631" s="12"/>
      <c r="R1631" s="192" t="str">
        <f>CONCATENATE(N1631,P1631)</f>
        <v>1kilos</v>
      </c>
      <c r="S1631" s="198">
        <f>M1631*N1631</f>
        <v>4</v>
      </c>
      <c r="T1631" s="199" t="str">
        <f>CONCATENATE(S1631,Q1631,P1631)</f>
        <v>4kilos</v>
      </c>
      <c r="U1631" s="200">
        <f>L1631*M1631</f>
        <v>230</v>
      </c>
      <c r="V1631" s="12"/>
      <c r="W1631" s="12"/>
    </row>
    <row r="1632" spans="1:23" x14ac:dyDescent="0.3">
      <c r="A1632" s="479">
        <v>639</v>
      </c>
      <c r="B1632" s="481" t="s">
        <v>711</v>
      </c>
      <c r="C1632" s="487"/>
      <c r="D1632" s="485" t="str">
        <f ca="1">IFERROR(__xludf.DUMMYFUNCTION("IF(J460="""",""n/a"",IFERROR(SPLIT(J460,""/"")))"),"Baby")</f>
        <v>Baby</v>
      </c>
      <c r="E1632" s="485" t="str">
        <f ca="1">IFERROR(__xludf.DUMMYFUNCTION("""COMPUTED_VALUE"""),"canister")</f>
        <v>canister</v>
      </c>
      <c r="F1632" s="485" t="str">
        <f ca="1">IFERROR(__xludf.DUMMYFUNCTION("""COMPUTED_VALUE"""),"1800grams")</f>
        <v>1800grams</v>
      </c>
      <c r="G1632" s="487"/>
      <c r="H1632" s="206" t="s">
        <v>1898</v>
      </c>
      <c r="I1632" s="487"/>
      <c r="J1632" s="46" t="s">
        <v>712</v>
      </c>
      <c r="K1632" s="487"/>
      <c r="L1632" s="197">
        <v>0.13</v>
      </c>
      <c r="M1632" s="386">
        <v>5400</v>
      </c>
      <c r="N1632" s="208">
        <v>1800</v>
      </c>
      <c r="O1632" s="61" t="str">
        <f ca="1">E1632</f>
        <v>canister</v>
      </c>
      <c r="P1632" s="61" t="s">
        <v>39</v>
      </c>
      <c r="Q1632" s="487"/>
      <c r="R1632" s="192" t="str">
        <f>CONCATENATE(N1632,P1632)</f>
        <v>1800grams</v>
      </c>
      <c r="S1632" s="198">
        <f>M1632*N1632</f>
        <v>9720000</v>
      </c>
      <c r="T1632" s="199" t="str">
        <f>CONCATENATE(S1632,Q1632,P1632)</f>
        <v>9720000grams</v>
      </c>
      <c r="U1632" s="200">
        <f>L1632*M1632</f>
        <v>702</v>
      </c>
      <c r="V1632" s="12"/>
      <c r="W1632" s="12"/>
    </row>
    <row r="1633" spans="1:23" x14ac:dyDescent="0.3">
      <c r="A1633" s="193">
        <v>640</v>
      </c>
      <c r="B1633" s="351" t="s">
        <v>1526</v>
      </c>
      <c r="C1633" s="315"/>
      <c r="D1633" s="316"/>
      <c r="E1633" s="315"/>
      <c r="F1633" s="315"/>
      <c r="G1633" s="315"/>
      <c r="H1633" s="194" t="s">
        <v>2023</v>
      </c>
      <c r="I1633" s="12"/>
      <c r="J1633" s="215"/>
      <c r="K1633" s="12"/>
      <c r="L1633" s="216">
        <v>6</v>
      </c>
      <c r="M1633" s="216">
        <v>130</v>
      </c>
      <c r="N1633" s="293">
        <v>10</v>
      </c>
      <c r="O1633" s="219"/>
      <c r="P1633" s="219" t="s">
        <v>304</v>
      </c>
      <c r="Q1633" s="12"/>
      <c r="R1633" s="192" t="str">
        <f>CONCATENATE(N1633,P1633)</f>
        <v>10packs</v>
      </c>
      <c r="S1633" s="198">
        <f>M1633*N1633</f>
        <v>1300</v>
      </c>
      <c r="T1633" s="199" t="str">
        <f>CONCATENATE(S1633,Q1633,P1633)</f>
        <v>1300packs</v>
      </c>
      <c r="U1633" s="200">
        <f>L1633*M1633</f>
        <v>780</v>
      </c>
      <c r="V1633" s="12"/>
      <c r="W1633" s="12"/>
    </row>
    <row r="1634" spans="1:23" x14ac:dyDescent="0.3">
      <c r="A1634" s="193">
        <v>640</v>
      </c>
      <c r="B1634" s="320" t="s">
        <v>1526</v>
      </c>
      <c r="C1634" s="315"/>
      <c r="D1634" s="316"/>
      <c r="E1634" s="315"/>
      <c r="F1634" s="315"/>
      <c r="G1634" s="315"/>
      <c r="H1634" s="194" t="s">
        <v>2022</v>
      </c>
      <c r="I1634" s="12"/>
      <c r="J1634" s="46" t="s">
        <v>1527</v>
      </c>
      <c r="K1634" s="12"/>
      <c r="L1634" s="197">
        <v>38</v>
      </c>
      <c r="M1634" s="197">
        <v>4</v>
      </c>
      <c r="N1634" s="290">
        <v>100</v>
      </c>
      <c r="O1634" s="46"/>
      <c r="P1634" s="46" t="s">
        <v>39</v>
      </c>
      <c r="Q1634" s="12"/>
      <c r="R1634" s="192" t="str">
        <f>CONCATENATE(N1634,P1634)</f>
        <v>100grams</v>
      </c>
      <c r="S1634" s="198">
        <f>M1634*N1634</f>
        <v>400</v>
      </c>
      <c r="T1634" s="199" t="str">
        <f>CONCATENATE(S1634,Q1634,P1634)</f>
        <v>400grams</v>
      </c>
      <c r="U1634" s="200">
        <f>L1634*M1634</f>
        <v>152</v>
      </c>
      <c r="V1634" s="12"/>
      <c r="W1634" s="12"/>
    </row>
    <row r="1635" spans="1:23" x14ac:dyDescent="0.3">
      <c r="A1635" s="193">
        <v>641</v>
      </c>
      <c r="B1635" s="310" t="s">
        <v>1528</v>
      </c>
      <c r="C1635" s="315"/>
      <c r="D1635" s="316"/>
      <c r="E1635" s="315"/>
      <c r="F1635" s="315"/>
      <c r="G1635" s="315"/>
      <c r="H1635" s="194" t="s">
        <v>2026</v>
      </c>
      <c r="I1635" s="12"/>
      <c r="J1635" s="46" t="s">
        <v>1066</v>
      </c>
      <c r="K1635" s="12"/>
      <c r="L1635" s="197">
        <v>35.18</v>
      </c>
      <c r="M1635" s="197">
        <v>24</v>
      </c>
      <c r="N1635" s="290">
        <v>80</v>
      </c>
      <c r="O1635" s="46"/>
      <c r="P1635" s="46" t="s">
        <v>39</v>
      </c>
      <c r="Q1635" s="12"/>
      <c r="R1635" s="192" t="str">
        <f>CONCATENATE(N1635,P1635)</f>
        <v>80grams</v>
      </c>
      <c r="S1635" s="198">
        <f>M1635*N1635</f>
        <v>1920</v>
      </c>
      <c r="T1635" s="199" t="str">
        <f>CONCATENATE(S1635,Q1635,P1635)</f>
        <v>1920grams</v>
      </c>
      <c r="U1635" s="200">
        <f>L1635*M1635</f>
        <v>844.31999999999994</v>
      </c>
      <c r="V1635" s="12"/>
      <c r="W1635" s="12"/>
    </row>
    <row r="1636" spans="1:23" x14ac:dyDescent="0.3">
      <c r="A1636" s="193">
        <v>641</v>
      </c>
      <c r="B1636" s="46" t="s">
        <v>1528</v>
      </c>
      <c r="C1636" s="315"/>
      <c r="D1636" s="316"/>
      <c r="E1636" s="315"/>
      <c r="F1636" s="315"/>
      <c r="G1636" s="315"/>
      <c r="H1636" s="194" t="s">
        <v>1368</v>
      </c>
      <c r="I1636" s="12"/>
      <c r="J1636" s="46" t="s">
        <v>1529</v>
      </c>
      <c r="K1636" s="12"/>
      <c r="L1636" s="197">
        <v>234.75</v>
      </c>
      <c r="M1636" s="197">
        <v>1</v>
      </c>
      <c r="N1636" s="290">
        <v>120</v>
      </c>
      <c r="O1636" s="46"/>
      <c r="P1636" s="46" t="s">
        <v>39</v>
      </c>
      <c r="Q1636" s="12"/>
      <c r="R1636" s="192" t="str">
        <f>CONCATENATE(N1636,P1636)</f>
        <v>120grams</v>
      </c>
      <c r="S1636" s="198">
        <f>M1636*N1636</f>
        <v>120</v>
      </c>
      <c r="T1636" s="199" t="str">
        <f>CONCATENATE(S1636,Q1636,P1636)</f>
        <v>120grams</v>
      </c>
      <c r="U1636" s="200">
        <f>L1636*M1636</f>
        <v>234.75</v>
      </c>
      <c r="V1636" s="12"/>
      <c r="W1636" s="12"/>
    </row>
    <row r="1637" spans="1:23" x14ac:dyDescent="0.3">
      <c r="A1637" s="193">
        <v>642</v>
      </c>
      <c r="B1637" s="219" t="s">
        <v>1530</v>
      </c>
      <c r="C1637" s="315"/>
      <c r="D1637" s="316"/>
      <c r="E1637" s="315"/>
      <c r="F1637" s="315"/>
      <c r="G1637" s="315"/>
      <c r="H1637" s="194" t="s">
        <v>2021</v>
      </c>
      <c r="I1637" s="12"/>
      <c r="J1637" s="219" t="s">
        <v>1062</v>
      </c>
      <c r="K1637" s="12"/>
      <c r="L1637" s="216">
        <v>125</v>
      </c>
      <c r="M1637" s="216">
        <v>17</v>
      </c>
      <c r="N1637" s="293">
        <v>1</v>
      </c>
      <c r="O1637" s="219"/>
      <c r="P1637" s="219" t="s">
        <v>1064</v>
      </c>
      <c r="Q1637" s="12"/>
      <c r="R1637" s="192" t="str">
        <f>CONCATENATE(N1637,P1637)</f>
        <v>1jar</v>
      </c>
      <c r="S1637" s="198">
        <f>M1637*N1637</f>
        <v>17</v>
      </c>
      <c r="T1637" s="199" t="str">
        <f>CONCATENATE(S1637,Q1637,P1637)</f>
        <v>17jar</v>
      </c>
      <c r="U1637" s="200">
        <f>L1637*M1637</f>
        <v>2125</v>
      </c>
      <c r="V1637" s="12"/>
      <c r="W1637" s="12"/>
    </row>
    <row r="1638" spans="1:23" x14ac:dyDescent="0.3">
      <c r="A1638" s="193">
        <v>643</v>
      </c>
      <c r="B1638" s="219" t="s">
        <v>1531</v>
      </c>
      <c r="C1638" s="315"/>
      <c r="D1638" s="316"/>
      <c r="E1638" s="315"/>
      <c r="F1638" s="315"/>
      <c r="G1638" s="315"/>
      <c r="H1638" s="194" t="s">
        <v>2021</v>
      </c>
      <c r="I1638" s="12"/>
      <c r="J1638" s="219" t="s">
        <v>1062</v>
      </c>
      <c r="K1638" s="12"/>
      <c r="L1638" s="216">
        <v>35</v>
      </c>
      <c r="M1638" s="216">
        <v>1</v>
      </c>
      <c r="N1638" s="293">
        <v>1</v>
      </c>
      <c r="O1638" s="219"/>
      <c r="P1638" s="219" t="s">
        <v>1064</v>
      </c>
      <c r="Q1638" s="12"/>
      <c r="R1638" s="192" t="str">
        <f>CONCATENATE(N1638,P1638)</f>
        <v>1jar</v>
      </c>
      <c r="S1638" s="198">
        <f>M1638*N1638</f>
        <v>1</v>
      </c>
      <c r="T1638" s="199" t="str">
        <f>CONCATENATE(S1638,Q1638,P1638)</f>
        <v>1jar</v>
      </c>
      <c r="U1638" s="200">
        <f>L1638*M1638</f>
        <v>35</v>
      </c>
      <c r="V1638" s="12"/>
      <c r="W1638" s="12"/>
    </row>
    <row r="1639" spans="1:23" x14ac:dyDescent="0.3">
      <c r="A1639" s="193">
        <v>644</v>
      </c>
      <c r="B1639" s="46" t="s">
        <v>1532</v>
      </c>
      <c r="C1639" s="315"/>
      <c r="D1639" s="316"/>
      <c r="E1639" s="315"/>
      <c r="F1639" s="315"/>
      <c r="G1639" s="315"/>
      <c r="H1639" s="194" t="s">
        <v>2025</v>
      </c>
      <c r="I1639" s="12"/>
      <c r="J1639" s="170"/>
      <c r="K1639" s="12"/>
      <c r="L1639" s="197">
        <v>75</v>
      </c>
      <c r="M1639" s="197">
        <v>1</v>
      </c>
      <c r="N1639" s="290">
        <v>1</v>
      </c>
      <c r="O1639" s="46"/>
      <c r="P1639" s="46" t="s">
        <v>213</v>
      </c>
      <c r="Q1639" s="12"/>
      <c r="R1639" s="192" t="str">
        <f>CONCATENATE(N1639,P1639)</f>
        <v>1kilos</v>
      </c>
      <c r="S1639" s="198">
        <f>M1639*N1639</f>
        <v>1</v>
      </c>
      <c r="T1639" s="199" t="str">
        <f>CONCATENATE(S1639,Q1639,P1639)</f>
        <v>1kilos</v>
      </c>
      <c r="U1639" s="200">
        <f>L1639*M1639</f>
        <v>75</v>
      </c>
      <c r="V1639" s="12"/>
      <c r="W1639" s="12"/>
    </row>
    <row r="1640" spans="1:23" x14ac:dyDescent="0.3">
      <c r="A1640" s="193">
        <v>644</v>
      </c>
      <c r="B1640" s="46" t="s">
        <v>1532</v>
      </c>
      <c r="C1640" s="315"/>
      <c r="D1640" s="316"/>
      <c r="E1640" s="315"/>
      <c r="F1640" s="315"/>
      <c r="G1640" s="315"/>
      <c r="H1640" s="194" t="s">
        <v>2026</v>
      </c>
      <c r="I1640" s="12"/>
      <c r="J1640" s="170"/>
      <c r="K1640" s="12"/>
      <c r="L1640" s="197">
        <v>100</v>
      </c>
      <c r="M1640" s="197">
        <v>1</v>
      </c>
      <c r="N1640" s="290">
        <v>1</v>
      </c>
      <c r="O1640" s="46"/>
      <c r="P1640" s="46" t="s">
        <v>213</v>
      </c>
      <c r="Q1640" s="12"/>
      <c r="R1640" s="192" t="str">
        <f>CONCATENATE(N1640,P1640)</f>
        <v>1kilos</v>
      </c>
      <c r="S1640" s="198">
        <f>M1640*N1640</f>
        <v>1</v>
      </c>
      <c r="T1640" s="199" t="str">
        <f>CONCATENATE(S1640,Q1640,P1640)</f>
        <v>1kilos</v>
      </c>
      <c r="U1640" s="200">
        <f>L1640*M1640</f>
        <v>100</v>
      </c>
      <c r="V1640" s="12"/>
      <c r="W1640" s="12"/>
    </row>
    <row r="1641" spans="1:23" x14ac:dyDescent="0.3">
      <c r="A1641" s="193">
        <v>644</v>
      </c>
      <c r="B1641" s="46" t="s">
        <v>1532</v>
      </c>
      <c r="C1641" s="315"/>
      <c r="D1641" s="316"/>
      <c r="E1641" s="315"/>
      <c r="F1641" s="315"/>
      <c r="G1641" s="315"/>
      <c r="H1641" s="194" t="s">
        <v>2023</v>
      </c>
      <c r="I1641" s="12"/>
      <c r="J1641" s="170"/>
      <c r="K1641" s="12"/>
      <c r="L1641" s="197">
        <v>50</v>
      </c>
      <c r="M1641" s="197">
        <v>1</v>
      </c>
      <c r="N1641" s="290">
        <v>1</v>
      </c>
      <c r="O1641" s="46"/>
      <c r="P1641" s="46" t="s">
        <v>213</v>
      </c>
      <c r="Q1641" s="12"/>
      <c r="R1641" s="192" t="str">
        <f>CONCATENATE(N1641,P1641)</f>
        <v>1kilos</v>
      </c>
      <c r="S1641" s="198">
        <f>M1641*N1641</f>
        <v>1</v>
      </c>
      <c r="T1641" s="199" t="str">
        <f>CONCATENATE(S1641,Q1641,P1641)</f>
        <v>1kilos</v>
      </c>
      <c r="U1641" s="200">
        <f>L1641*M1641</f>
        <v>50</v>
      </c>
      <c r="V1641" s="12"/>
      <c r="W1641" s="12"/>
    </row>
    <row r="1642" spans="1:23" x14ac:dyDescent="0.3">
      <c r="A1642" s="193">
        <v>645</v>
      </c>
      <c r="B1642" s="46" t="s">
        <v>1533</v>
      </c>
      <c r="C1642" s="315"/>
      <c r="D1642" s="316"/>
      <c r="E1642" s="315"/>
      <c r="F1642" s="315"/>
      <c r="G1642" s="315"/>
      <c r="H1642" s="194" t="s">
        <v>2025</v>
      </c>
      <c r="I1642" s="12"/>
      <c r="J1642" s="170"/>
      <c r="K1642" s="12"/>
      <c r="L1642" s="197">
        <v>50</v>
      </c>
      <c r="M1642" s="197">
        <v>2</v>
      </c>
      <c r="N1642" s="290">
        <v>1</v>
      </c>
      <c r="O1642" s="46"/>
      <c r="P1642" s="46" t="s">
        <v>213</v>
      </c>
      <c r="Q1642" s="12"/>
      <c r="R1642" s="192" t="str">
        <f>CONCATENATE(N1642,P1642)</f>
        <v>1kilos</v>
      </c>
      <c r="S1642" s="198">
        <f>M1642*N1642</f>
        <v>2</v>
      </c>
      <c r="T1642" s="199" t="str">
        <f>CONCATENATE(S1642,Q1642,P1642)</f>
        <v>2kilos</v>
      </c>
      <c r="U1642" s="200">
        <f>L1642*M1642</f>
        <v>100</v>
      </c>
      <c r="V1642" s="12"/>
      <c r="W1642" s="12"/>
    </row>
    <row r="1643" spans="1:23" x14ac:dyDescent="0.3">
      <c r="A1643" s="193">
        <v>645</v>
      </c>
      <c r="B1643" s="46" t="s">
        <v>1533</v>
      </c>
      <c r="C1643" s="315"/>
      <c r="D1643" s="316"/>
      <c r="E1643" s="315"/>
      <c r="F1643" s="315"/>
      <c r="G1643" s="315"/>
      <c r="H1643" s="194" t="s">
        <v>2023</v>
      </c>
      <c r="I1643" s="12"/>
      <c r="J1643" s="170"/>
      <c r="K1643" s="12"/>
      <c r="L1643" s="197">
        <v>80</v>
      </c>
      <c r="M1643" s="197">
        <v>1</v>
      </c>
      <c r="N1643" s="290">
        <v>1</v>
      </c>
      <c r="O1643" s="46"/>
      <c r="P1643" s="46" t="s">
        <v>213</v>
      </c>
      <c r="Q1643" s="12"/>
      <c r="R1643" s="192" t="str">
        <f>CONCATENATE(N1643,P1643)</f>
        <v>1kilos</v>
      </c>
      <c r="S1643" s="198">
        <f>M1643*N1643</f>
        <v>1</v>
      </c>
      <c r="T1643" s="199" t="str">
        <f>CONCATENATE(S1643,Q1643,P1643)</f>
        <v>1kilos</v>
      </c>
      <c r="U1643" s="200">
        <f>L1643*M1643</f>
        <v>80</v>
      </c>
      <c r="V1643" s="12"/>
      <c r="W1643" s="12"/>
    </row>
    <row r="1644" spans="1:23" x14ac:dyDescent="0.3">
      <c r="A1644" s="193">
        <v>646</v>
      </c>
      <c r="B1644" s="46" t="s">
        <v>1980</v>
      </c>
      <c r="C1644" s="315"/>
      <c r="D1644" s="316"/>
      <c r="E1644" s="315"/>
      <c r="F1644" s="315"/>
      <c r="G1644" s="315"/>
      <c r="H1644" s="400" t="s">
        <v>2027</v>
      </c>
      <c r="I1644" s="12"/>
      <c r="J1644" s="46" t="s">
        <v>1960</v>
      </c>
      <c r="K1644" s="12"/>
      <c r="L1644" s="195">
        <v>25.6</v>
      </c>
      <c r="M1644" s="197">
        <v>1</v>
      </c>
      <c r="N1644" s="360">
        <v>1</v>
      </c>
      <c r="O1644" s="61"/>
      <c r="P1644" s="61" t="s">
        <v>92</v>
      </c>
      <c r="Q1644" s="12"/>
      <c r="R1644" s="192" t="str">
        <f>CONCATENATE(N1644,P1644)</f>
        <v>1pieces</v>
      </c>
      <c r="S1644" s="198">
        <f>M1644*N1644</f>
        <v>1</v>
      </c>
      <c r="T1644" s="199" t="str">
        <f>CONCATENATE(S1644,Q1644,P1644)</f>
        <v>1pieces</v>
      </c>
      <c r="U1644" s="200">
        <f>L1644*M1644</f>
        <v>25.6</v>
      </c>
      <c r="V1644" s="12"/>
      <c r="W1644" s="12"/>
    </row>
    <row r="1645" spans="1:23" x14ac:dyDescent="0.3">
      <c r="A1645" s="193">
        <v>647</v>
      </c>
      <c r="B1645" s="46" t="s">
        <v>1534</v>
      </c>
      <c r="C1645" s="315"/>
      <c r="D1645" s="316"/>
      <c r="E1645" s="315"/>
      <c r="F1645" s="315"/>
      <c r="G1645" s="315"/>
      <c r="H1645" s="194" t="s">
        <v>2023</v>
      </c>
      <c r="I1645" s="12"/>
      <c r="J1645" s="46" t="s">
        <v>1349</v>
      </c>
      <c r="K1645" s="12"/>
      <c r="L1645" s="197">
        <v>75</v>
      </c>
      <c r="M1645" s="197">
        <v>2</v>
      </c>
      <c r="N1645" s="290">
        <v>1</v>
      </c>
      <c r="O1645" s="46"/>
      <c r="P1645" s="46" t="s">
        <v>213</v>
      </c>
      <c r="Q1645" s="12"/>
      <c r="R1645" s="192" t="str">
        <f>CONCATENATE(N1645,P1645)</f>
        <v>1kilos</v>
      </c>
      <c r="S1645" s="198">
        <f>M1645*N1645</f>
        <v>2</v>
      </c>
      <c r="T1645" s="199" t="str">
        <f>CONCATENATE(S1645,Q1645,P1645)</f>
        <v>2kilos</v>
      </c>
      <c r="U1645" s="200">
        <f>L1645*M1645</f>
        <v>150</v>
      </c>
      <c r="V1645" s="12"/>
      <c r="W1645" s="12"/>
    </row>
    <row r="1646" spans="1:23" x14ac:dyDescent="0.3">
      <c r="A1646" s="193">
        <v>647</v>
      </c>
      <c r="B1646" s="46" t="s">
        <v>1534</v>
      </c>
      <c r="C1646" s="315"/>
      <c r="D1646" s="316"/>
      <c r="E1646" s="315"/>
      <c r="F1646" s="315"/>
      <c r="G1646" s="315"/>
      <c r="H1646" s="194" t="s">
        <v>2022</v>
      </c>
      <c r="I1646" s="12"/>
      <c r="J1646" s="46" t="s">
        <v>1349</v>
      </c>
      <c r="K1646" s="12"/>
      <c r="L1646" s="197">
        <v>80</v>
      </c>
      <c r="M1646" s="197">
        <v>1</v>
      </c>
      <c r="N1646" s="290">
        <v>1</v>
      </c>
      <c r="O1646" s="46"/>
      <c r="P1646" s="46" t="s">
        <v>213</v>
      </c>
      <c r="Q1646" s="12"/>
      <c r="R1646" s="192" t="str">
        <f>CONCATENATE(N1646,P1646)</f>
        <v>1kilos</v>
      </c>
      <c r="S1646" s="198">
        <f>M1646*N1646</f>
        <v>1</v>
      </c>
      <c r="T1646" s="199" t="str">
        <f>CONCATENATE(S1646,Q1646,P1646)</f>
        <v>1kilos</v>
      </c>
      <c r="U1646" s="200">
        <f>L1646*M1646</f>
        <v>80</v>
      </c>
      <c r="V1646" s="12"/>
      <c r="W1646" s="12"/>
    </row>
    <row r="1647" spans="1:23" x14ac:dyDescent="0.3">
      <c r="A1647" s="193">
        <v>647</v>
      </c>
      <c r="B1647" s="219" t="s">
        <v>1534</v>
      </c>
      <c r="C1647" s="315"/>
      <c r="D1647" s="316"/>
      <c r="E1647" s="315"/>
      <c r="F1647" s="315"/>
      <c r="G1647" s="315"/>
      <c r="H1647" s="194" t="s">
        <v>2021</v>
      </c>
      <c r="I1647" s="12"/>
      <c r="J1647" s="219" t="s">
        <v>1219</v>
      </c>
      <c r="K1647" s="12"/>
      <c r="L1647" s="216">
        <v>46</v>
      </c>
      <c r="M1647" s="216">
        <v>2</v>
      </c>
      <c r="N1647" s="290">
        <v>1</v>
      </c>
      <c r="O1647" s="46"/>
      <c r="P1647" s="46" t="s">
        <v>213</v>
      </c>
      <c r="Q1647" s="12"/>
      <c r="R1647" s="192" t="str">
        <f>CONCATENATE(N1647,P1647)</f>
        <v>1kilos</v>
      </c>
      <c r="S1647" s="198">
        <f>M1647*N1647</f>
        <v>2</v>
      </c>
      <c r="T1647" s="199" t="str">
        <f>CONCATENATE(S1647,Q1647,P1647)</f>
        <v>2kilos</v>
      </c>
      <c r="U1647" s="200">
        <f>L1647*M1647</f>
        <v>92</v>
      </c>
      <c r="V1647" s="12"/>
      <c r="W1647" s="12"/>
    </row>
    <row r="1648" spans="1:23" x14ac:dyDescent="0.3">
      <c r="A1648" s="193">
        <v>648</v>
      </c>
      <c r="B1648" s="46" t="s">
        <v>1535</v>
      </c>
      <c r="C1648" s="315"/>
      <c r="D1648" s="316"/>
      <c r="E1648" s="315"/>
      <c r="F1648" s="315"/>
      <c r="G1648" s="315"/>
      <c r="H1648" s="194" t="s">
        <v>1368</v>
      </c>
      <c r="I1648" s="12"/>
      <c r="J1648" s="170"/>
      <c r="K1648" s="12"/>
      <c r="L1648" s="197">
        <v>60</v>
      </c>
      <c r="M1648" s="197">
        <v>4</v>
      </c>
      <c r="N1648" s="290">
        <v>1</v>
      </c>
      <c r="O1648" s="46"/>
      <c r="P1648" s="46" t="s">
        <v>213</v>
      </c>
      <c r="Q1648" s="12"/>
      <c r="R1648" s="192" t="str">
        <f>CONCATENATE(N1648,P1648)</f>
        <v>1kilos</v>
      </c>
      <c r="S1648" s="198">
        <f>M1648*N1648</f>
        <v>4</v>
      </c>
      <c r="T1648" s="199" t="str">
        <f>CONCATENATE(S1648,Q1648,P1648)</f>
        <v>4kilos</v>
      </c>
      <c r="U1648" s="200">
        <f>L1648*M1648</f>
        <v>240</v>
      </c>
      <c r="V1648" s="12"/>
      <c r="W1648" s="12"/>
    </row>
    <row r="1649" spans="1:23" x14ac:dyDescent="0.3">
      <c r="A1649" s="193">
        <v>649</v>
      </c>
      <c r="B1649" s="46" t="s">
        <v>1981</v>
      </c>
      <c r="C1649" s="315"/>
      <c r="D1649" s="316"/>
      <c r="E1649" s="315"/>
      <c r="F1649" s="315"/>
      <c r="G1649" s="315"/>
      <c r="H1649" s="400" t="s">
        <v>2027</v>
      </c>
      <c r="I1649" s="12"/>
      <c r="J1649" s="46" t="s">
        <v>1945</v>
      </c>
      <c r="K1649" s="12"/>
      <c r="L1649" s="195">
        <v>65</v>
      </c>
      <c r="M1649" s="197">
        <v>1</v>
      </c>
      <c r="N1649" s="360">
        <v>1</v>
      </c>
      <c r="O1649" s="61"/>
      <c r="P1649" s="61" t="s">
        <v>213</v>
      </c>
      <c r="Q1649" s="12"/>
      <c r="R1649" s="192" t="str">
        <f>CONCATENATE(N1649,P1649)</f>
        <v>1kilos</v>
      </c>
      <c r="S1649" s="198">
        <f>M1649*N1649</f>
        <v>1</v>
      </c>
      <c r="T1649" s="199" t="str">
        <f>CONCATENATE(S1649,Q1649,P1649)</f>
        <v>1kilos</v>
      </c>
      <c r="U1649" s="200">
        <f>L1649*M1649</f>
        <v>65</v>
      </c>
      <c r="V1649" s="12"/>
      <c r="W1649" s="12"/>
    </row>
    <row r="1650" spans="1:23" x14ac:dyDescent="0.3">
      <c r="A1650" s="193">
        <v>650</v>
      </c>
      <c r="B1650" s="46" t="s">
        <v>1982</v>
      </c>
      <c r="C1650" s="315"/>
      <c r="D1650" s="316"/>
      <c r="E1650" s="315"/>
      <c r="F1650" s="315"/>
      <c r="G1650" s="315"/>
      <c r="H1650" s="400" t="s">
        <v>2027</v>
      </c>
      <c r="I1650" s="12"/>
      <c r="J1650" s="170"/>
      <c r="K1650" s="12"/>
      <c r="L1650" s="195">
        <v>16.649999999999999</v>
      </c>
      <c r="M1650" s="197">
        <v>8</v>
      </c>
      <c r="N1650" s="360">
        <v>1</v>
      </c>
      <c r="O1650" s="61"/>
      <c r="P1650" s="61" t="s">
        <v>92</v>
      </c>
      <c r="Q1650" s="12"/>
      <c r="R1650" s="192" t="str">
        <f>CONCATENATE(N1650,P1650)</f>
        <v>1pieces</v>
      </c>
      <c r="S1650" s="198">
        <f>M1650*N1650</f>
        <v>8</v>
      </c>
      <c r="T1650" s="199" t="str">
        <f>CONCATENATE(S1650,Q1650,P1650)</f>
        <v>8pieces</v>
      </c>
      <c r="U1650" s="200">
        <f>L1650*M1650</f>
        <v>133.19999999999999</v>
      </c>
      <c r="V1650" s="12"/>
      <c r="W1650" s="12"/>
    </row>
    <row r="1651" spans="1:23" x14ac:dyDescent="0.3">
      <c r="A1651" s="479">
        <v>651</v>
      </c>
      <c r="B1651" s="194" t="s">
        <v>429</v>
      </c>
      <c r="C1651" s="487"/>
      <c r="D1651" s="485" t="str">
        <f ca="1">IFERROR(__xludf.DUMMYFUNCTION("IF(J461="""",""n/a"",IFERROR(SPLIT(J461,""/"")))"),"Jack n Jill")</f>
        <v>Jack n Jill</v>
      </c>
      <c r="E1651" s="485" t="str">
        <f ca="1">IFERROR(__xludf.DUMMYFUNCTION("""COMPUTED_VALUE"""),"box (50pcsx85grams)")</f>
        <v>box (50pcsx85grams)</v>
      </c>
      <c r="F1651" s="487"/>
      <c r="G1651" s="487"/>
      <c r="H1651" s="183" t="s">
        <v>1895</v>
      </c>
      <c r="I1651" s="487"/>
      <c r="J1651" s="46" t="s">
        <v>430</v>
      </c>
      <c r="K1651" s="487"/>
      <c r="L1651" s="195">
        <v>15.24</v>
      </c>
      <c r="M1651" s="197">
        <v>80</v>
      </c>
      <c r="N1651" s="61">
        <v>1</v>
      </c>
      <c r="O1651" s="61" t="str">
        <f ca="1">E1651</f>
        <v>box (50pcsx85grams)</v>
      </c>
      <c r="P1651" s="61" t="s">
        <v>92</v>
      </c>
      <c r="Q1651" s="487"/>
      <c r="R1651" s="192" t="str">
        <f>CONCATENATE(N1651,P1651)</f>
        <v>1pieces</v>
      </c>
      <c r="S1651" s="198">
        <f>M1651*N1651</f>
        <v>80</v>
      </c>
      <c r="T1651" s="199" t="str">
        <f>CONCATENATE(S1651,Q1651,P1651)</f>
        <v>80pieces</v>
      </c>
      <c r="U1651" s="200">
        <f>L1651*M1651</f>
        <v>1219.2</v>
      </c>
      <c r="V1651" s="12"/>
      <c r="W1651" s="12"/>
    </row>
    <row r="1652" spans="1:23" x14ac:dyDescent="0.3">
      <c r="A1652" s="479">
        <v>652</v>
      </c>
      <c r="B1652" s="194" t="s">
        <v>713</v>
      </c>
      <c r="C1652" s="487"/>
      <c r="D1652" s="485" t="str">
        <f ca="1">IFERROR(__xludf.DUMMYFUNCTION("IF(J462="""",""n/a"",IFERROR(SPLIT(J462,""/"")))"),"Jack n Jill")</f>
        <v>Jack n Jill</v>
      </c>
      <c r="E1652" s="485" t="str">
        <f ca="1">IFERROR(__xludf.DUMMYFUNCTION("""COMPUTED_VALUE"""),"box (50pcsx85grams)")</f>
        <v>box (50pcsx85grams)</v>
      </c>
      <c r="F1652" s="487"/>
      <c r="G1652" s="487"/>
      <c r="H1652" s="183" t="s">
        <v>1897</v>
      </c>
      <c r="I1652" s="487"/>
      <c r="J1652" s="46" t="s">
        <v>430</v>
      </c>
      <c r="K1652" s="487"/>
      <c r="L1652" s="217">
        <v>31.92</v>
      </c>
      <c r="M1652" s="202">
        <v>3</v>
      </c>
      <c r="N1652" s="203">
        <v>1</v>
      </c>
      <c r="O1652" s="61" t="str">
        <f ca="1">E1652</f>
        <v>box (50pcsx85grams)</v>
      </c>
      <c r="P1652" s="61" t="s">
        <v>92</v>
      </c>
      <c r="Q1652" s="487"/>
      <c r="R1652" s="192" t="str">
        <f>CONCATENATE(N1652,P1652)</f>
        <v>1pieces</v>
      </c>
      <c r="S1652" s="198">
        <f>M1652*N1652</f>
        <v>3</v>
      </c>
      <c r="T1652" s="199" t="str">
        <f>CONCATENATE(S1652,Q1652,P1652)</f>
        <v>3pieces</v>
      </c>
      <c r="U1652" s="200">
        <f>L1652*M1652</f>
        <v>95.76</v>
      </c>
      <c r="V1652" s="12"/>
      <c r="W1652" s="12"/>
    </row>
    <row r="1653" spans="1:23" x14ac:dyDescent="0.3">
      <c r="A1653" s="193">
        <v>653</v>
      </c>
      <c r="B1653" s="46" t="s">
        <v>1536</v>
      </c>
      <c r="C1653" s="315"/>
      <c r="D1653" s="316"/>
      <c r="E1653" s="315"/>
      <c r="F1653" s="315"/>
      <c r="G1653" s="315"/>
      <c r="H1653" s="194" t="s">
        <v>2026</v>
      </c>
      <c r="I1653" s="12"/>
      <c r="J1653" s="46" t="s">
        <v>959</v>
      </c>
      <c r="K1653" s="12"/>
      <c r="L1653" s="197">
        <v>45</v>
      </c>
      <c r="M1653" s="197">
        <v>1</v>
      </c>
      <c r="N1653" s="290">
        <v>100</v>
      </c>
      <c r="O1653" s="46"/>
      <c r="P1653" s="46" t="s">
        <v>39</v>
      </c>
      <c r="Q1653" s="12"/>
      <c r="R1653" s="192" t="str">
        <f>CONCATENATE(N1653,P1653)</f>
        <v>100grams</v>
      </c>
      <c r="S1653" s="198">
        <f>M1653*N1653</f>
        <v>100</v>
      </c>
      <c r="T1653" s="199" t="str">
        <f>CONCATENATE(S1653,Q1653,P1653)</f>
        <v>100grams</v>
      </c>
      <c r="U1653" s="200">
        <f>L1653*M1653</f>
        <v>45</v>
      </c>
      <c r="V1653" s="12"/>
      <c r="W1653" s="12"/>
    </row>
    <row r="1654" spans="1:23" x14ac:dyDescent="0.3">
      <c r="A1654" s="193">
        <v>654</v>
      </c>
      <c r="B1654" s="46" t="s">
        <v>1537</v>
      </c>
      <c r="C1654" s="315"/>
      <c r="D1654" s="316"/>
      <c r="E1654" s="315"/>
      <c r="F1654" s="315"/>
      <c r="G1654" s="315"/>
      <c r="H1654" s="194" t="s">
        <v>1368</v>
      </c>
      <c r="I1654" s="12"/>
      <c r="J1654" s="46" t="s">
        <v>959</v>
      </c>
      <c r="K1654" s="12"/>
      <c r="L1654" s="197">
        <v>57.7</v>
      </c>
      <c r="M1654" s="197">
        <v>1</v>
      </c>
      <c r="N1654" s="290">
        <v>135</v>
      </c>
      <c r="O1654" s="46"/>
      <c r="P1654" s="46" t="s">
        <v>39</v>
      </c>
      <c r="Q1654" s="12"/>
      <c r="R1654" s="192" t="str">
        <f>CONCATENATE(N1654,P1654)</f>
        <v>135grams</v>
      </c>
      <c r="S1654" s="198">
        <f>M1654*N1654</f>
        <v>135</v>
      </c>
      <c r="T1654" s="199" t="str">
        <f>CONCATENATE(S1654,Q1654,P1654)</f>
        <v>135grams</v>
      </c>
      <c r="U1654" s="200">
        <f>L1654*M1654</f>
        <v>57.7</v>
      </c>
      <c r="V1654" s="12"/>
      <c r="W1654" s="12"/>
    </row>
    <row r="1655" spans="1:23" x14ac:dyDescent="0.3">
      <c r="A1655" s="193">
        <v>655</v>
      </c>
      <c r="B1655" s="219" t="s">
        <v>1538</v>
      </c>
      <c r="C1655" s="315"/>
      <c r="D1655" s="316"/>
      <c r="E1655" s="315"/>
      <c r="F1655" s="315"/>
      <c r="G1655" s="315"/>
      <c r="H1655" s="194" t="s">
        <v>2021</v>
      </c>
      <c r="I1655" s="12"/>
      <c r="J1655" s="219" t="s">
        <v>1062</v>
      </c>
      <c r="K1655" s="12"/>
      <c r="L1655" s="216">
        <v>125</v>
      </c>
      <c r="M1655" s="216">
        <v>6</v>
      </c>
      <c r="N1655" s="293">
        <v>1</v>
      </c>
      <c r="O1655" s="219"/>
      <c r="P1655" s="219" t="s">
        <v>1064</v>
      </c>
      <c r="Q1655" s="12"/>
      <c r="R1655" s="192" t="str">
        <f>CONCATENATE(N1655,P1655)</f>
        <v>1jar</v>
      </c>
      <c r="S1655" s="198">
        <f>M1655*N1655</f>
        <v>6</v>
      </c>
      <c r="T1655" s="199" t="str">
        <f>CONCATENATE(S1655,Q1655,P1655)</f>
        <v>6jar</v>
      </c>
      <c r="U1655" s="200">
        <f>L1655*M1655</f>
        <v>750</v>
      </c>
      <c r="V1655" s="12"/>
      <c r="W1655" s="12"/>
    </row>
    <row r="1656" spans="1:23" x14ac:dyDescent="0.3">
      <c r="A1656" s="479">
        <v>656</v>
      </c>
      <c r="B1656" s="194" t="s">
        <v>714</v>
      </c>
      <c r="C1656" s="487"/>
      <c r="D1656" s="485" t="str">
        <f ca="1">IFERROR(__xludf.DUMMYFUNCTION("IF(J463="""",""n/a"",IFERROR(SPLIT(J463,""/"")))"),"n/a")</f>
        <v>n/a</v>
      </c>
      <c r="E1656" s="487"/>
      <c r="F1656" s="487"/>
      <c r="G1656" s="487"/>
      <c r="H1656" s="206" t="s">
        <v>1898</v>
      </c>
      <c r="I1656" s="487"/>
      <c r="J1656" s="170"/>
      <c r="K1656" s="487"/>
      <c r="L1656" s="197">
        <v>193</v>
      </c>
      <c r="M1656" s="386">
        <v>2</v>
      </c>
      <c r="N1656" s="208">
        <v>1</v>
      </c>
      <c r="O1656" s="170">
        <f>E1656</f>
        <v>0</v>
      </c>
      <c r="P1656" s="61" t="s">
        <v>92</v>
      </c>
      <c r="Q1656" s="487"/>
      <c r="R1656" s="192" t="str">
        <f>CONCATENATE(N1656,P1656)</f>
        <v>1pieces</v>
      </c>
      <c r="S1656" s="198">
        <f>M1656*N1656</f>
        <v>2</v>
      </c>
      <c r="T1656" s="199" t="str">
        <f>CONCATENATE(S1656,Q1656,P1656)</f>
        <v>2pieces</v>
      </c>
      <c r="U1656" s="200">
        <f>L1656*M1656</f>
        <v>386</v>
      </c>
      <c r="V1656" s="12"/>
      <c r="W1656" s="12"/>
    </row>
    <row r="1657" spans="1:23" x14ac:dyDescent="0.3">
      <c r="A1657" s="479">
        <v>657</v>
      </c>
      <c r="B1657" s="194" t="s">
        <v>431</v>
      </c>
      <c r="C1657" s="487"/>
      <c r="D1657" s="485" t="str">
        <f ca="1">IFERROR(__xludf.DUMMYFUNCTION("IF(J464="""",""n/a"",IFERROR(SPLIT(J464,""/"")))"),"Oishi")</f>
        <v>Oishi</v>
      </c>
      <c r="E1657" s="485" t="str">
        <f ca="1">IFERROR(__xludf.DUMMYFUNCTION("""COMPUTED_VALUE"""),"pack(30x 100grams)")</f>
        <v>pack(30x 100grams)</v>
      </c>
      <c r="F1657" s="487"/>
      <c r="G1657" s="487"/>
      <c r="H1657" s="183" t="s">
        <v>1895</v>
      </c>
      <c r="I1657" s="487"/>
      <c r="J1657" s="46" t="s">
        <v>432</v>
      </c>
      <c r="K1657" s="487"/>
      <c r="L1657" s="195">
        <v>28.06</v>
      </c>
      <c r="M1657" s="197">
        <v>30</v>
      </c>
      <c r="N1657" s="61">
        <v>1</v>
      </c>
      <c r="O1657" s="61" t="str">
        <f ca="1">E1657</f>
        <v>pack(30x 100grams)</v>
      </c>
      <c r="P1657" s="61" t="s">
        <v>92</v>
      </c>
      <c r="Q1657" s="487"/>
      <c r="R1657" s="192" t="str">
        <f>CONCATENATE(N1657,P1657)</f>
        <v>1pieces</v>
      </c>
      <c r="S1657" s="198">
        <f>M1657*N1657</f>
        <v>30</v>
      </c>
      <c r="T1657" s="199" t="str">
        <f>CONCATENATE(S1657,Q1657,P1657)</f>
        <v>30pieces</v>
      </c>
      <c r="U1657" s="200">
        <f>L1657*M1657</f>
        <v>841.8</v>
      </c>
      <c r="V1657" s="12"/>
      <c r="W1657" s="12"/>
    </row>
    <row r="1658" spans="1:23" x14ac:dyDescent="0.3">
      <c r="A1658" s="479">
        <v>658</v>
      </c>
      <c r="B1658" s="194" t="s">
        <v>190</v>
      </c>
      <c r="C1658" s="487"/>
      <c r="D1658" s="485" t="str">
        <f ca="1">IFERROR(__xludf.DUMMYFUNCTION("IF(J465="""",""n/a"",IFERROR(SPLIT(J465,""/"")))"),"Del Monte")</f>
        <v>Del Monte</v>
      </c>
      <c r="E1658" s="485" t="str">
        <f ca="1">IFERROR(__xludf.DUMMYFUNCTION("""COMPUTED_VALUE"""),"can227grams")</f>
        <v>can227grams</v>
      </c>
      <c r="F1658" s="485" t="str">
        <f ca="1">IFERROR(__xludf.DUMMYFUNCTION("""COMPUTED_VALUE"""),"137drained weight")</f>
        <v>137drained weight</v>
      </c>
      <c r="G1658" s="487"/>
      <c r="H1658" s="183" t="s">
        <v>1897</v>
      </c>
      <c r="I1658" s="487"/>
      <c r="J1658" s="46" t="s">
        <v>715</v>
      </c>
      <c r="K1658" s="487"/>
      <c r="L1658" s="195">
        <v>0.26</v>
      </c>
      <c r="M1658" s="202">
        <v>411</v>
      </c>
      <c r="N1658" s="203">
        <v>137</v>
      </c>
      <c r="O1658" s="61" t="str">
        <f ca="1">E1658</f>
        <v>can227grams</v>
      </c>
      <c r="P1658" s="221" t="s">
        <v>519</v>
      </c>
      <c r="Q1658" s="487"/>
      <c r="R1658" s="192" t="str">
        <f>CONCATENATE(N1658,P1658)</f>
        <v>137drained weight grams</v>
      </c>
      <c r="S1658" s="198">
        <f>M1658*N1658</f>
        <v>56307</v>
      </c>
      <c r="T1658" s="199" t="str">
        <f>CONCATENATE(S1658,Q1658,P1658)</f>
        <v>56307drained weight grams</v>
      </c>
      <c r="U1658" s="200">
        <f>L1658*M1658</f>
        <v>106.86</v>
      </c>
      <c r="V1658" s="205"/>
      <c r="W1658" s="62"/>
    </row>
    <row r="1659" spans="1:23" x14ac:dyDescent="0.3">
      <c r="A1659" s="479">
        <v>658</v>
      </c>
      <c r="B1659" s="194" t="s">
        <v>190</v>
      </c>
      <c r="C1659" s="487"/>
      <c r="D1659" s="485" t="str">
        <f ca="1">IFERROR(__xludf.DUMMYFUNCTION("IF(J466="""",""n/a"",IFERROR(SPLIT(J466,""/"")))"),"Mr Gulaman")</f>
        <v>Mr Gulaman</v>
      </c>
      <c r="E1659" s="485" t="str">
        <f ca="1">IFERROR(__xludf.DUMMYFUNCTION("""COMPUTED_VALUE"""),"box")</f>
        <v>box</v>
      </c>
      <c r="F1659" s="485" t="str">
        <f ca="1">IFERROR(__xludf.DUMMYFUNCTION("""COMPUTED_VALUE"""),"(10sachetx25grams)")</f>
        <v>(10sachetx25grams)</v>
      </c>
      <c r="G1659" s="487"/>
      <c r="H1659" s="183" t="s">
        <v>1897</v>
      </c>
      <c r="I1659" s="487"/>
      <c r="J1659" s="46" t="s">
        <v>69</v>
      </c>
      <c r="K1659" s="487"/>
      <c r="L1659" s="195">
        <v>0.45</v>
      </c>
      <c r="M1659" s="202">
        <v>450</v>
      </c>
      <c r="N1659" s="202">
        <v>25</v>
      </c>
      <c r="O1659" s="61" t="str">
        <f ca="1">E1659</f>
        <v>box</v>
      </c>
      <c r="P1659" s="197" t="s">
        <v>39</v>
      </c>
      <c r="Q1659" s="487"/>
      <c r="R1659" s="192" t="str">
        <f>CONCATENATE(N1659,P1659)</f>
        <v>25grams</v>
      </c>
      <c r="S1659" s="198">
        <f>M1659*N1659</f>
        <v>11250</v>
      </c>
      <c r="T1659" s="199" t="str">
        <f>CONCATENATE(S1659,Q1659,P1659)</f>
        <v>11250grams</v>
      </c>
      <c r="U1659" s="200">
        <f>L1659*M1659</f>
        <v>202.5</v>
      </c>
      <c r="V1659" s="205"/>
      <c r="W1659" s="62"/>
    </row>
    <row r="1660" spans="1:23" x14ac:dyDescent="0.3">
      <c r="A1660" s="479">
        <v>658</v>
      </c>
      <c r="B1660" s="194" t="s">
        <v>190</v>
      </c>
      <c r="C1660" s="487"/>
      <c r="D1660" s="485" t="str">
        <f ca="1">IFERROR(__xludf.DUMMYFUNCTION("IF(J467="""",""n/a"",IFERROR(SPLIT(J467,""/"")))"),"Del Monte")</f>
        <v>Del Monte</v>
      </c>
      <c r="E1660" s="485" t="str">
        <f ca="1">IFERROR(__xludf.DUMMYFUNCTION("""COMPUTED_VALUE"""),"can (200grams)")</f>
        <v>can (200grams)</v>
      </c>
      <c r="F1660" s="487"/>
      <c r="G1660" s="487"/>
      <c r="H1660" s="183" t="s">
        <v>1895</v>
      </c>
      <c r="I1660" s="489"/>
      <c r="J1660" s="46" t="s">
        <v>191</v>
      </c>
      <c r="K1660" s="487"/>
      <c r="L1660" s="195">
        <v>27.3</v>
      </c>
      <c r="M1660" s="197">
        <v>12</v>
      </c>
      <c r="N1660" s="61">
        <v>1</v>
      </c>
      <c r="O1660" s="61" t="str">
        <f ca="1">E1660</f>
        <v>can (200grams)</v>
      </c>
      <c r="P1660" s="61" t="s">
        <v>39</v>
      </c>
      <c r="Q1660" s="487"/>
      <c r="R1660" s="192" t="str">
        <f>CONCATENATE(N1660,P1660)</f>
        <v>1grams</v>
      </c>
      <c r="S1660" s="198">
        <f>M1660*N1660</f>
        <v>12</v>
      </c>
      <c r="T1660" s="199" t="str">
        <f>CONCATENATE(S1660,Q1660,P1660)</f>
        <v>12grams</v>
      </c>
      <c r="U1660" s="200">
        <f>L1660*M1660</f>
        <v>327.60000000000002</v>
      </c>
      <c r="V1660" s="12"/>
      <c r="W1660" s="12"/>
    </row>
    <row r="1661" spans="1:23" x14ac:dyDescent="0.3">
      <c r="A1661" s="193">
        <v>659</v>
      </c>
      <c r="B1661" s="219" t="s">
        <v>1539</v>
      </c>
      <c r="C1661" s="315"/>
      <c r="D1661" s="316"/>
      <c r="E1661" s="315"/>
      <c r="F1661" s="315"/>
      <c r="G1661" s="315"/>
      <c r="H1661" s="194" t="s">
        <v>2021</v>
      </c>
      <c r="I1661" s="12"/>
      <c r="J1661" s="219" t="s">
        <v>1486</v>
      </c>
      <c r="K1661" s="12"/>
      <c r="L1661" s="216">
        <v>135</v>
      </c>
      <c r="M1661" s="216">
        <v>1</v>
      </c>
      <c r="N1661" s="293">
        <v>320</v>
      </c>
      <c r="O1661" s="219"/>
      <c r="P1661" s="219" t="s">
        <v>39</v>
      </c>
      <c r="Q1661" s="12"/>
      <c r="R1661" s="192" t="str">
        <f>CONCATENATE(N1661,P1661)</f>
        <v>320grams</v>
      </c>
      <c r="S1661" s="198">
        <f>M1661*N1661</f>
        <v>320</v>
      </c>
      <c r="T1661" s="199" t="str">
        <f>CONCATENATE(S1661,Q1661,P1661)</f>
        <v>320grams</v>
      </c>
      <c r="U1661" s="200">
        <f>L1661*M1661</f>
        <v>135</v>
      </c>
      <c r="V1661" s="12"/>
      <c r="W1661" s="12"/>
    </row>
    <row r="1662" spans="1:23" x14ac:dyDescent="0.3">
      <c r="A1662" s="479">
        <v>660</v>
      </c>
      <c r="B1662" s="194" t="s">
        <v>716</v>
      </c>
      <c r="C1662" s="487"/>
      <c r="D1662" s="485" t="str">
        <f ca="1">IFERROR(__xludf.DUMMYFUNCTION("IF(J468="""",""n/a"",IFERROR(SPLIT(J468,""/"")))"),"ZEST-O Big 250")</f>
        <v>ZEST-O Big 250</v>
      </c>
      <c r="E1662" s="485" t="str">
        <f ca="1">IFERROR(__xludf.DUMMYFUNCTION("""COMPUTED_VALUE"""),"box(10x250ml)")</f>
        <v>box(10x250ml)</v>
      </c>
      <c r="F1662" s="487"/>
      <c r="G1662" s="487"/>
      <c r="H1662" s="183" t="s">
        <v>1897</v>
      </c>
      <c r="I1662" s="487"/>
      <c r="J1662" s="46" t="s">
        <v>717</v>
      </c>
      <c r="K1662" s="487"/>
      <c r="L1662" s="195">
        <v>8.86</v>
      </c>
      <c r="M1662" s="202">
        <v>3</v>
      </c>
      <c r="N1662" s="203">
        <v>1</v>
      </c>
      <c r="O1662" s="61" t="str">
        <f ca="1">E1662</f>
        <v>box(10x250ml)</v>
      </c>
      <c r="P1662" s="61" t="s">
        <v>92</v>
      </c>
      <c r="Q1662" s="487"/>
      <c r="R1662" s="192" t="str">
        <f>CONCATENATE(N1662,P1662)</f>
        <v>1pieces</v>
      </c>
      <c r="S1662" s="198">
        <f>M1662*N1662</f>
        <v>3</v>
      </c>
      <c r="T1662" s="199" t="str">
        <f>CONCATENATE(S1662,Q1662,P1662)</f>
        <v>3pieces</v>
      </c>
      <c r="U1662" s="200">
        <f>L1662*M1662</f>
        <v>26.58</v>
      </c>
      <c r="V1662" s="205"/>
      <c r="W1662" s="62"/>
    </row>
    <row r="1663" spans="1:23" x14ac:dyDescent="0.3">
      <c r="A1663" s="193">
        <v>660</v>
      </c>
      <c r="B1663" s="46" t="s">
        <v>716</v>
      </c>
      <c r="C1663" s="315"/>
      <c r="D1663" s="316"/>
      <c r="E1663" s="315"/>
      <c r="F1663" s="315"/>
      <c r="G1663" s="315"/>
      <c r="H1663" s="400" t="s">
        <v>2027</v>
      </c>
      <c r="I1663" s="12"/>
      <c r="J1663" s="46" t="s">
        <v>1983</v>
      </c>
      <c r="K1663" s="12"/>
      <c r="L1663" s="195">
        <v>29.23</v>
      </c>
      <c r="M1663" s="197">
        <v>48</v>
      </c>
      <c r="N1663" s="360">
        <v>1</v>
      </c>
      <c r="O1663" s="61"/>
      <c r="P1663" s="61" t="s">
        <v>92</v>
      </c>
      <c r="Q1663" s="12"/>
      <c r="R1663" s="192" t="str">
        <f>CONCATENATE(N1663,P1663)</f>
        <v>1pieces</v>
      </c>
      <c r="S1663" s="198">
        <f>M1663*N1663</f>
        <v>48</v>
      </c>
      <c r="T1663" s="199" t="str">
        <f>CONCATENATE(S1663,Q1663,P1663)</f>
        <v>48pieces</v>
      </c>
      <c r="U1663" s="200">
        <f>L1663*M1663</f>
        <v>1403.04</v>
      </c>
      <c r="V1663" s="12"/>
      <c r="W1663" s="12"/>
    </row>
    <row r="1664" spans="1:23" x14ac:dyDescent="0.3">
      <c r="A1664" s="479">
        <v>661</v>
      </c>
      <c r="B1664" s="194" t="s">
        <v>718</v>
      </c>
      <c r="C1664" s="487"/>
      <c r="D1664" s="485" t="str">
        <f ca="1">IFERROR(__xludf.DUMMYFUNCTION("IF(J469="""",""n/a"",IFERROR(SPLIT(J469,""/"")))"),"Tang")</f>
        <v>Tang</v>
      </c>
      <c r="E1664" s="485" t="str">
        <f ca="1">IFERROR(__xludf.DUMMYFUNCTION("""COMPUTED_VALUE"""),"sachet")</f>
        <v>sachet</v>
      </c>
      <c r="F1664" s="485" t="str">
        <f ca="1">IFERROR(__xludf.DUMMYFUNCTION("""COMPUTED_VALUE"""),"19grams")</f>
        <v>19grams</v>
      </c>
      <c r="G1664" s="487"/>
      <c r="H1664" s="183" t="s">
        <v>1897</v>
      </c>
      <c r="I1664" s="487"/>
      <c r="J1664" s="46" t="s">
        <v>719</v>
      </c>
      <c r="K1664" s="487"/>
      <c r="L1664" s="204">
        <v>19</v>
      </c>
      <c r="M1664" s="202">
        <v>12</v>
      </c>
      <c r="N1664" s="203">
        <v>1</v>
      </c>
      <c r="O1664" s="61" t="str">
        <f ca="1">E1664</f>
        <v>sachet</v>
      </c>
      <c r="P1664" s="61" t="s">
        <v>39</v>
      </c>
      <c r="Q1664" s="487"/>
      <c r="R1664" s="192" t="str">
        <f>CONCATENATE(N1664,P1664)</f>
        <v>1grams</v>
      </c>
      <c r="S1664" s="198">
        <f>M1664*N1664</f>
        <v>12</v>
      </c>
      <c r="T1664" s="199" t="str">
        <f>CONCATENATE(S1664,Q1664,P1664)</f>
        <v>12grams</v>
      </c>
      <c r="U1664" s="200">
        <f>L1664*M1664</f>
        <v>228</v>
      </c>
      <c r="V1664" s="205"/>
      <c r="W1664" s="62"/>
    </row>
    <row r="1665" spans="1:23" x14ac:dyDescent="0.3">
      <c r="A1665" s="479">
        <v>662</v>
      </c>
      <c r="B1665" s="194" t="s">
        <v>111</v>
      </c>
      <c r="C1665" s="487"/>
      <c r="D1665" s="485" t="str">
        <f ca="1">IFERROR(__xludf.DUMMYFUNCTION("IF(J470="""",""n/a"",IFERROR(SPLIT(J470,""/"")))"),"Del Monte")</f>
        <v>Del Monte</v>
      </c>
      <c r="E1665" s="485" t="str">
        <f ca="1">IFERROR(__xludf.DUMMYFUNCTION("""COMPUTED_VALUE"""),"case (24x220ml)")</f>
        <v>case (24x220ml)</v>
      </c>
      <c r="F1665" s="487"/>
      <c r="G1665" s="487"/>
      <c r="H1665" s="183" t="s">
        <v>1897</v>
      </c>
      <c r="I1665" s="487"/>
      <c r="J1665" s="46" t="s">
        <v>720</v>
      </c>
      <c r="K1665" s="487"/>
      <c r="L1665" s="195">
        <v>27.97</v>
      </c>
      <c r="M1665" s="202">
        <v>34</v>
      </c>
      <c r="N1665" s="203">
        <v>1</v>
      </c>
      <c r="O1665" s="61" t="str">
        <f ca="1">E1665</f>
        <v>case (24x220ml)</v>
      </c>
      <c r="P1665" s="61" t="s">
        <v>92</v>
      </c>
      <c r="Q1665" s="487"/>
      <c r="R1665" s="192" t="str">
        <f>CONCATENATE(N1665,P1665)</f>
        <v>1pieces</v>
      </c>
      <c r="S1665" s="198">
        <f>M1665*N1665</f>
        <v>34</v>
      </c>
      <c r="T1665" s="199" t="str">
        <f>CONCATENATE(S1665,Q1665,P1665)</f>
        <v>34pieces</v>
      </c>
      <c r="U1665" s="200">
        <f>L1665*M1665</f>
        <v>950.98</v>
      </c>
      <c r="V1665" s="205"/>
      <c r="W1665" s="62"/>
    </row>
    <row r="1666" spans="1:23" x14ac:dyDescent="0.3">
      <c r="A1666" s="479">
        <v>662</v>
      </c>
      <c r="B1666" s="214" t="s">
        <v>111</v>
      </c>
      <c r="C1666" s="489"/>
      <c r="D1666" s="485" t="str">
        <f ca="1">IFERROR(__xludf.DUMMYFUNCTION("IF(J471="""",""n/a"",IFERROR(SPLIT(J471,""/"")))"),"Del Monte")</f>
        <v>Del Monte</v>
      </c>
      <c r="E1666" s="493" t="str">
        <f ca="1">IFERROR(__xludf.DUMMYFUNCTION("""COMPUTED_VALUE"""),"case (24pcsx220ml)")</f>
        <v>case (24pcsx220ml)</v>
      </c>
      <c r="F1666" s="489"/>
      <c r="G1666" s="489"/>
      <c r="H1666" s="183" t="s">
        <v>1895</v>
      </c>
      <c r="I1666" s="487"/>
      <c r="J1666" s="46" t="s">
        <v>112</v>
      </c>
      <c r="K1666" s="487"/>
      <c r="L1666" s="195">
        <v>27.98</v>
      </c>
      <c r="M1666" s="197">
        <v>72</v>
      </c>
      <c r="N1666" s="61">
        <v>1</v>
      </c>
      <c r="O1666" s="61" t="str">
        <f ca="1">E1666</f>
        <v>case (24pcsx220ml)</v>
      </c>
      <c r="P1666" s="61" t="s">
        <v>92</v>
      </c>
      <c r="Q1666" s="487"/>
      <c r="R1666" s="192" t="str">
        <f>CONCATENATE(N1666,P1666)</f>
        <v>1pieces</v>
      </c>
      <c r="S1666" s="198">
        <f>M1666*N1666</f>
        <v>72</v>
      </c>
      <c r="T1666" s="199" t="str">
        <f>CONCATENATE(S1666,Q1666,P1666)</f>
        <v>72pieces</v>
      </c>
      <c r="U1666" s="200">
        <f>L1666*M1666</f>
        <v>2014.56</v>
      </c>
      <c r="V1666" s="12"/>
      <c r="W1666" s="12"/>
    </row>
    <row r="1667" spans="1:23" x14ac:dyDescent="0.3">
      <c r="A1667" s="479">
        <v>663</v>
      </c>
      <c r="B1667" s="194" t="s">
        <v>721</v>
      </c>
      <c r="C1667" s="487"/>
      <c r="D1667" s="485" t="str">
        <f ca="1">IFERROR(__xludf.DUMMYFUNCTION("IF(J472="""",""n/a"",IFERROR(SPLIT(J472,""/"")))"),"Del Monte")</f>
        <v>Del Monte</v>
      </c>
      <c r="E1667" s="485" t="str">
        <f ca="1">IFERROR(__xludf.DUMMYFUNCTION("""COMPUTED_VALUE"""),"can")</f>
        <v>can</v>
      </c>
      <c r="F1667" s="485" t="str">
        <f ca="1">IFERROR(__xludf.DUMMYFUNCTION("""COMPUTED_VALUE"""),"137227grams")</f>
        <v>137227grams</v>
      </c>
      <c r="G1667" s="487"/>
      <c r="H1667" s="183" t="s">
        <v>1897</v>
      </c>
      <c r="I1667" s="487"/>
      <c r="J1667" s="46" t="s">
        <v>722</v>
      </c>
      <c r="K1667" s="487"/>
      <c r="L1667" s="195">
        <v>0.16</v>
      </c>
      <c r="M1667" s="202">
        <v>681</v>
      </c>
      <c r="N1667" s="203">
        <v>227</v>
      </c>
      <c r="O1667" s="61" t="str">
        <f ca="1">E1667</f>
        <v>can</v>
      </c>
      <c r="P1667" s="61" t="s">
        <v>39</v>
      </c>
      <c r="Q1667" s="487"/>
      <c r="R1667" s="192" t="str">
        <f>CONCATENATE(N1667,P1667)</f>
        <v>227grams</v>
      </c>
      <c r="S1667" s="198">
        <f>M1667*N1667</f>
        <v>154587</v>
      </c>
      <c r="T1667" s="199" t="str">
        <f>CONCATENATE(S1667,Q1667,P1667)</f>
        <v>154587grams</v>
      </c>
      <c r="U1667" s="200">
        <f>L1667*M1667</f>
        <v>108.96000000000001</v>
      </c>
      <c r="V1667" s="205"/>
      <c r="W1667" s="62"/>
    </row>
    <row r="1668" spans="1:23" x14ac:dyDescent="0.3">
      <c r="A1668" s="193">
        <v>663</v>
      </c>
      <c r="B1668" s="219" t="s">
        <v>1540</v>
      </c>
      <c r="C1668" s="315"/>
      <c r="D1668" s="316"/>
      <c r="E1668" s="315"/>
      <c r="F1668" s="315"/>
      <c r="G1668" s="315"/>
      <c r="H1668" s="194" t="s">
        <v>2021</v>
      </c>
      <c r="I1668" s="12"/>
      <c r="J1668" s="219" t="s">
        <v>1241</v>
      </c>
      <c r="K1668" s="12"/>
      <c r="L1668" s="216">
        <v>38.5</v>
      </c>
      <c r="M1668" s="398">
        <v>2</v>
      </c>
      <c r="N1668" s="293">
        <v>137</v>
      </c>
      <c r="O1668" s="219"/>
      <c r="P1668" s="219" t="s">
        <v>519</v>
      </c>
      <c r="Q1668" s="12"/>
      <c r="R1668" s="192" t="str">
        <f>CONCATENATE(N1668,P1668)</f>
        <v>137drained weight grams</v>
      </c>
      <c r="S1668" s="198">
        <f>M1668*N1668</f>
        <v>274</v>
      </c>
      <c r="T1668" s="199" t="str">
        <f>CONCATENATE(S1668,Q1668,P1668)</f>
        <v>274drained weight grams</v>
      </c>
      <c r="U1668" s="200">
        <f>L1668*M1668</f>
        <v>77</v>
      </c>
      <c r="V1668" s="12"/>
      <c r="W1668" s="12"/>
    </row>
    <row r="1669" spans="1:23" x14ac:dyDescent="0.3">
      <c r="A1669" s="479">
        <v>664</v>
      </c>
      <c r="B1669" s="194" t="s">
        <v>723</v>
      </c>
      <c r="C1669" s="487"/>
      <c r="D1669" s="485" t="str">
        <f ca="1">IFERROR(__xludf.DUMMYFUNCTION("IF(J473="""",""n/a"",IFERROR(SPLIT(J473,""/"")))"),"n/a")</f>
        <v>n/a</v>
      </c>
      <c r="E1669" s="487"/>
      <c r="F1669" s="487"/>
      <c r="G1669" s="487"/>
      <c r="H1669" s="206" t="s">
        <v>1898</v>
      </c>
      <c r="I1669" s="487"/>
      <c r="J1669" s="170"/>
      <c r="K1669" s="487"/>
      <c r="L1669" s="197">
        <v>0.13</v>
      </c>
      <c r="M1669" s="386">
        <v>514</v>
      </c>
      <c r="N1669" s="208">
        <v>257</v>
      </c>
      <c r="O1669" s="170">
        <f>E1669</f>
        <v>0</v>
      </c>
      <c r="P1669" s="61" t="s">
        <v>39</v>
      </c>
      <c r="Q1669" s="487"/>
      <c r="R1669" s="192" t="str">
        <f>CONCATENATE(N1669,P1669)</f>
        <v>257grams</v>
      </c>
      <c r="S1669" s="198">
        <f>M1669*N1669</f>
        <v>132098</v>
      </c>
      <c r="T1669" s="199" t="str">
        <f>CONCATENATE(S1669,Q1669,P1669)</f>
        <v>132098grams</v>
      </c>
      <c r="U1669" s="200">
        <f>L1669*M1669</f>
        <v>66.820000000000007</v>
      </c>
      <c r="V1669" s="12"/>
      <c r="W1669" s="12"/>
    </row>
    <row r="1670" spans="1:23" x14ac:dyDescent="0.3">
      <c r="A1670" s="193">
        <v>664</v>
      </c>
      <c r="B1670" s="46" t="s">
        <v>723</v>
      </c>
      <c r="C1670" s="315"/>
      <c r="D1670" s="316"/>
      <c r="E1670" s="315"/>
      <c r="F1670" s="315"/>
      <c r="G1670" s="315"/>
      <c r="H1670" s="194" t="s">
        <v>29</v>
      </c>
      <c r="I1670" s="12"/>
      <c r="J1670" s="46" t="s">
        <v>1241</v>
      </c>
      <c r="K1670" s="12"/>
      <c r="L1670" s="197">
        <v>16.2</v>
      </c>
      <c r="M1670" s="197">
        <v>5</v>
      </c>
      <c r="N1670" s="290">
        <v>112</v>
      </c>
      <c r="O1670" s="46"/>
      <c r="P1670" s="46" t="s">
        <v>39</v>
      </c>
      <c r="Q1670" s="12"/>
      <c r="R1670" s="192" t="str">
        <f>CONCATENATE(N1670,P1670)</f>
        <v>112grams</v>
      </c>
      <c r="S1670" s="198">
        <f>M1670*N1670</f>
        <v>560</v>
      </c>
      <c r="T1670" s="199" t="str">
        <f>CONCATENATE(S1670,Q1670,P1670)</f>
        <v>560grams</v>
      </c>
      <c r="U1670" s="200">
        <f>L1670*M1670</f>
        <v>81</v>
      </c>
      <c r="V1670" s="12"/>
      <c r="W1670" s="12"/>
    </row>
    <row r="1671" spans="1:23" x14ac:dyDescent="0.3">
      <c r="A1671" s="193">
        <v>664</v>
      </c>
      <c r="B1671" s="46" t="s">
        <v>723</v>
      </c>
      <c r="C1671" s="315"/>
      <c r="D1671" s="316"/>
      <c r="E1671" s="315"/>
      <c r="F1671" s="315"/>
      <c r="G1671" s="315"/>
      <c r="H1671" s="194" t="s">
        <v>2023</v>
      </c>
      <c r="I1671" s="12"/>
      <c r="J1671" s="46" t="s">
        <v>1241</v>
      </c>
      <c r="K1671" s="12"/>
      <c r="L1671" s="197">
        <v>29.2</v>
      </c>
      <c r="M1671" s="197">
        <v>12</v>
      </c>
      <c r="N1671" s="290">
        <v>112</v>
      </c>
      <c r="O1671" s="324"/>
      <c r="P1671" s="324" t="s">
        <v>519</v>
      </c>
      <c r="Q1671" s="12"/>
      <c r="R1671" s="192" t="str">
        <f>CONCATENATE(N1671,P1671)</f>
        <v>112drained weight grams</v>
      </c>
      <c r="S1671" s="198">
        <f>M1671*N1671</f>
        <v>1344</v>
      </c>
      <c r="T1671" s="199" t="str">
        <f>CONCATENATE(S1671,Q1671,P1671)</f>
        <v>1344drained weight grams</v>
      </c>
      <c r="U1671" s="200">
        <f>L1671*M1671</f>
        <v>350.4</v>
      </c>
      <c r="V1671" s="12"/>
      <c r="W1671" s="12"/>
    </row>
    <row r="1672" spans="1:23" x14ac:dyDescent="0.3">
      <c r="A1672" s="193">
        <v>664</v>
      </c>
      <c r="B1672" s="46" t="s">
        <v>723</v>
      </c>
      <c r="C1672" s="315"/>
      <c r="D1672" s="316"/>
      <c r="E1672" s="315"/>
      <c r="F1672" s="315"/>
      <c r="G1672" s="315"/>
      <c r="H1672" s="194" t="s">
        <v>2022</v>
      </c>
      <c r="I1672" s="12"/>
      <c r="J1672" s="46" t="s">
        <v>1241</v>
      </c>
      <c r="K1672" s="12"/>
      <c r="L1672" s="197">
        <v>78</v>
      </c>
      <c r="M1672" s="197">
        <v>4</v>
      </c>
      <c r="N1672" s="290">
        <v>257</v>
      </c>
      <c r="O1672" s="46"/>
      <c r="P1672" s="46" t="s">
        <v>39</v>
      </c>
      <c r="Q1672" s="12"/>
      <c r="R1672" s="192" t="str">
        <f>CONCATENATE(N1672,P1672)</f>
        <v>257grams</v>
      </c>
      <c r="S1672" s="198">
        <f>M1672*N1672</f>
        <v>1028</v>
      </c>
      <c r="T1672" s="199" t="str">
        <f>CONCATENATE(S1672,Q1672,P1672)</f>
        <v>1028grams</v>
      </c>
      <c r="U1672" s="200">
        <f>L1672*M1672</f>
        <v>312</v>
      </c>
      <c r="V1672" s="12"/>
      <c r="W1672" s="12"/>
    </row>
    <row r="1673" spans="1:23" x14ac:dyDescent="0.3">
      <c r="A1673" s="193">
        <v>664</v>
      </c>
      <c r="B1673" s="219" t="s">
        <v>723</v>
      </c>
      <c r="C1673" s="315"/>
      <c r="D1673" s="316"/>
      <c r="E1673" s="315"/>
      <c r="F1673" s="315"/>
      <c r="G1673" s="315"/>
      <c r="H1673" s="194" t="s">
        <v>2021</v>
      </c>
      <c r="I1673" s="12"/>
      <c r="J1673" s="219" t="s">
        <v>1241</v>
      </c>
      <c r="K1673" s="12"/>
      <c r="L1673" s="216">
        <v>40.5</v>
      </c>
      <c r="M1673" s="398">
        <v>1</v>
      </c>
      <c r="N1673" s="293">
        <v>137</v>
      </c>
      <c r="O1673" s="324"/>
      <c r="P1673" s="324" t="s">
        <v>519</v>
      </c>
      <c r="Q1673" s="12"/>
      <c r="R1673" s="192" t="str">
        <f>CONCATENATE(N1673,P1673)</f>
        <v>137drained weight grams</v>
      </c>
      <c r="S1673" s="198">
        <f>M1673*N1673</f>
        <v>137</v>
      </c>
      <c r="T1673" s="199" t="str">
        <f>CONCATENATE(S1673,Q1673,P1673)</f>
        <v>137drained weight grams</v>
      </c>
      <c r="U1673" s="200">
        <f>L1673*M1673</f>
        <v>40.5</v>
      </c>
      <c r="V1673" s="12"/>
      <c r="W1673" s="12"/>
    </row>
    <row r="1674" spans="1:23" x14ac:dyDescent="0.3">
      <c r="A1674" s="193">
        <v>664</v>
      </c>
      <c r="B1674" s="46" t="s">
        <v>723</v>
      </c>
      <c r="C1674" s="315"/>
      <c r="D1674" s="316"/>
      <c r="E1674" s="315"/>
      <c r="F1674" s="315"/>
      <c r="G1674" s="315"/>
      <c r="H1674" s="400" t="s">
        <v>2027</v>
      </c>
      <c r="I1674" s="12"/>
      <c r="J1674" s="46" t="s">
        <v>1241</v>
      </c>
      <c r="K1674" s="12"/>
      <c r="L1674" s="195">
        <v>17.100000000000001</v>
      </c>
      <c r="M1674" s="197">
        <v>17</v>
      </c>
      <c r="N1674" s="360">
        <v>1</v>
      </c>
      <c r="O1674" s="61"/>
      <c r="P1674" s="61" t="s">
        <v>39</v>
      </c>
      <c r="Q1674" s="12"/>
      <c r="R1674" s="192" t="str">
        <f>CONCATENATE(N1674,P1674)</f>
        <v>1grams</v>
      </c>
      <c r="S1674" s="198">
        <f>M1674*N1674</f>
        <v>17</v>
      </c>
      <c r="T1674" s="199" t="str">
        <f>CONCATENATE(S1674,Q1674,P1674)</f>
        <v>17grams</v>
      </c>
      <c r="U1674" s="200">
        <f>L1674*M1674</f>
        <v>290.70000000000005</v>
      </c>
      <c r="V1674" s="12"/>
      <c r="W1674" s="12"/>
    </row>
    <row r="1675" spans="1:23" x14ac:dyDescent="0.3">
      <c r="A1675" s="193">
        <v>665</v>
      </c>
      <c r="B1675" s="46" t="s">
        <v>1541</v>
      </c>
      <c r="C1675" s="315"/>
      <c r="D1675" s="316"/>
      <c r="E1675" s="315"/>
      <c r="F1675" s="315"/>
      <c r="G1675" s="315"/>
      <c r="H1675" s="194" t="s">
        <v>2025</v>
      </c>
      <c r="I1675" s="12"/>
      <c r="J1675" s="46" t="s">
        <v>1372</v>
      </c>
      <c r="K1675" s="12"/>
      <c r="L1675" s="197">
        <v>160</v>
      </c>
      <c r="M1675" s="197">
        <v>1</v>
      </c>
      <c r="N1675" s="290">
        <v>1</v>
      </c>
      <c r="O1675" s="46"/>
      <c r="P1675" s="46" t="s">
        <v>773</v>
      </c>
      <c r="Q1675" s="12"/>
      <c r="R1675" s="192" t="str">
        <f>CONCATENATE(N1675,P1675)</f>
        <v>1liters</v>
      </c>
      <c r="S1675" s="198">
        <f>M1675*N1675</f>
        <v>1</v>
      </c>
      <c r="T1675" s="199" t="str">
        <f>CONCATENATE(S1675,Q1675,P1675)</f>
        <v>1liters</v>
      </c>
      <c r="U1675" s="200">
        <f>L1675*M1675</f>
        <v>160</v>
      </c>
      <c r="V1675" s="12"/>
      <c r="W1675" s="12"/>
    </row>
    <row r="1676" spans="1:23" x14ac:dyDescent="0.3">
      <c r="A1676" s="479">
        <v>666</v>
      </c>
      <c r="B1676" s="194" t="s">
        <v>296</v>
      </c>
      <c r="C1676" s="487"/>
      <c r="D1676" s="485" t="str">
        <f ca="1">IFERROR(__xludf.DUMMYFUNCTION("IF(J474="""",""n/a"",IFERROR(SPLIT(J474,""/"")))"),"Indicate ave weight")</f>
        <v>Indicate ave weight</v>
      </c>
      <c r="E1676" s="485" t="str">
        <f ca="1">IFERROR(__xludf.DUMMYFUNCTION("""COMPUTED_VALUE"""),"piece")</f>
        <v>piece</v>
      </c>
      <c r="F1676" s="487"/>
      <c r="G1676" s="487"/>
      <c r="H1676" s="183" t="s">
        <v>1895</v>
      </c>
      <c r="I1676" s="487"/>
      <c r="J1676" s="46" t="s">
        <v>297</v>
      </c>
      <c r="K1676" s="487"/>
      <c r="L1676" s="195">
        <v>670</v>
      </c>
      <c r="M1676" s="197">
        <v>9</v>
      </c>
      <c r="N1676" s="61">
        <v>1</v>
      </c>
      <c r="O1676" s="61" t="str">
        <f ca="1">E1676</f>
        <v>piece</v>
      </c>
      <c r="P1676" s="61" t="s">
        <v>39</v>
      </c>
      <c r="Q1676" s="487"/>
      <c r="R1676" s="192" t="str">
        <f>CONCATENATE(N1676,P1676)</f>
        <v>1grams</v>
      </c>
      <c r="S1676" s="198">
        <f>M1676*N1676</f>
        <v>9</v>
      </c>
      <c r="T1676" s="199" t="str">
        <f>CONCATENATE(S1676,Q1676,P1676)</f>
        <v>9grams</v>
      </c>
      <c r="U1676" s="200">
        <f>L1676*M1676</f>
        <v>6030</v>
      </c>
      <c r="V1676" s="12"/>
      <c r="W1676" s="12"/>
    </row>
    <row r="1677" spans="1:23" x14ac:dyDescent="0.3">
      <c r="A1677" s="479">
        <v>666</v>
      </c>
      <c r="B1677" s="485" t="s">
        <v>296</v>
      </c>
      <c r="C1677" s="487"/>
      <c r="D1677" s="485" t="str">
        <f ca="1">IFERROR(__xludf.DUMMYFUNCTION("IF(J475="""",""n/a"",IFERROR(SPLIT(J475,""/"")))"),"n/a")</f>
        <v>n/a</v>
      </c>
      <c r="E1677" s="487"/>
      <c r="F1677" s="487"/>
      <c r="G1677" s="487"/>
      <c r="H1677" s="206" t="s">
        <v>1898</v>
      </c>
      <c r="I1677" s="487"/>
      <c r="J1677" s="170"/>
      <c r="K1677" s="487"/>
      <c r="L1677" s="197">
        <v>0.7</v>
      </c>
      <c r="M1677" s="386">
        <v>3000</v>
      </c>
      <c r="N1677" s="208">
        <v>1000</v>
      </c>
      <c r="O1677" s="170">
        <f>E1677</f>
        <v>0</v>
      </c>
      <c r="P1677" s="61" t="s">
        <v>39</v>
      </c>
      <c r="Q1677" s="487"/>
      <c r="R1677" s="192" t="str">
        <f>CONCATENATE(N1677,P1677)</f>
        <v>1000grams</v>
      </c>
      <c r="S1677" s="198">
        <f>M1677*N1677</f>
        <v>3000000</v>
      </c>
      <c r="T1677" s="199" t="str">
        <f>CONCATENATE(S1677,Q1677,P1677)</f>
        <v>3000000grams</v>
      </c>
      <c r="U1677" s="200">
        <f>L1677*M1677</f>
        <v>2100</v>
      </c>
      <c r="V1677" s="12"/>
      <c r="W1677" s="12"/>
    </row>
    <row r="1678" spans="1:23" x14ac:dyDescent="0.3">
      <c r="A1678" s="193">
        <v>666</v>
      </c>
      <c r="B1678" s="483" t="s">
        <v>296</v>
      </c>
      <c r="C1678" s="315"/>
      <c r="D1678" s="316"/>
      <c r="E1678" s="315"/>
      <c r="F1678" s="315"/>
      <c r="G1678" s="315"/>
      <c r="H1678" s="194" t="s">
        <v>2024</v>
      </c>
      <c r="I1678" s="12"/>
      <c r="J1678" s="170"/>
      <c r="K1678" s="12"/>
      <c r="L1678" s="197">
        <v>700</v>
      </c>
      <c r="M1678" s="197">
        <v>3</v>
      </c>
      <c r="N1678" s="290">
        <v>1</v>
      </c>
      <c r="O1678" s="46"/>
      <c r="P1678" s="46" t="s">
        <v>213</v>
      </c>
      <c r="Q1678" s="12"/>
      <c r="R1678" s="192" t="str">
        <f>CONCATENATE(N1678,P1678)</f>
        <v>1kilos</v>
      </c>
      <c r="S1678" s="198">
        <f>M1678*N1678</f>
        <v>3</v>
      </c>
      <c r="T1678" s="199" t="str">
        <f>CONCATENATE(S1678,Q1678,P1678)</f>
        <v>3kilos</v>
      </c>
      <c r="U1678" s="200">
        <f>L1678*M1678</f>
        <v>2100</v>
      </c>
      <c r="V1678" s="12"/>
      <c r="W1678" s="12"/>
    </row>
    <row r="1679" spans="1:23" x14ac:dyDescent="0.3">
      <c r="A1679" s="193">
        <v>666</v>
      </c>
      <c r="B1679" s="46" t="s">
        <v>296</v>
      </c>
      <c r="C1679" s="315"/>
      <c r="D1679" s="316"/>
      <c r="E1679" s="315"/>
      <c r="F1679" s="315"/>
      <c r="G1679" s="315"/>
      <c r="H1679" s="194" t="s">
        <v>2025</v>
      </c>
      <c r="I1679" s="12"/>
      <c r="J1679" s="170"/>
      <c r="K1679" s="12"/>
      <c r="L1679" s="197">
        <v>600</v>
      </c>
      <c r="M1679" s="197">
        <v>2</v>
      </c>
      <c r="N1679" s="290">
        <v>1</v>
      </c>
      <c r="O1679" s="46"/>
      <c r="P1679" s="46" t="s">
        <v>213</v>
      </c>
      <c r="Q1679" s="12"/>
      <c r="R1679" s="192" t="str">
        <f>CONCATENATE(N1679,P1679)</f>
        <v>1kilos</v>
      </c>
      <c r="S1679" s="198">
        <f>M1679*N1679</f>
        <v>2</v>
      </c>
      <c r="T1679" s="199" t="str">
        <f>CONCATENATE(S1679,Q1679,P1679)</f>
        <v>2kilos</v>
      </c>
      <c r="U1679" s="200">
        <f>L1679*M1679</f>
        <v>1200</v>
      </c>
      <c r="V1679" s="12"/>
      <c r="W1679" s="12"/>
    </row>
    <row r="1680" spans="1:23" x14ac:dyDescent="0.3">
      <c r="A1680" s="193">
        <v>666</v>
      </c>
      <c r="B1680" s="46" t="s">
        <v>296</v>
      </c>
      <c r="C1680" s="315"/>
      <c r="D1680" s="316"/>
      <c r="E1680" s="315"/>
      <c r="F1680" s="315"/>
      <c r="G1680" s="315"/>
      <c r="H1680" s="194" t="s">
        <v>2026</v>
      </c>
      <c r="I1680" s="12"/>
      <c r="J1680" s="170"/>
      <c r="K1680" s="12"/>
      <c r="L1680" s="197">
        <v>700</v>
      </c>
      <c r="M1680" s="197">
        <v>1</v>
      </c>
      <c r="N1680" s="290">
        <v>1</v>
      </c>
      <c r="O1680" s="46"/>
      <c r="P1680" s="46" t="s">
        <v>213</v>
      </c>
      <c r="Q1680" s="12"/>
      <c r="R1680" s="192" t="str">
        <f>CONCATENATE(N1680,P1680)</f>
        <v>1kilos</v>
      </c>
      <c r="S1680" s="198">
        <f>M1680*N1680</f>
        <v>1</v>
      </c>
      <c r="T1680" s="199" t="str">
        <f>CONCATENATE(S1680,Q1680,P1680)</f>
        <v>1kilos</v>
      </c>
      <c r="U1680" s="200">
        <f>L1680*M1680</f>
        <v>700</v>
      </c>
      <c r="V1680" s="12"/>
      <c r="W1680" s="12"/>
    </row>
    <row r="1681" spans="1:23" x14ac:dyDescent="0.3">
      <c r="A1681" s="479">
        <v>667</v>
      </c>
      <c r="B1681" s="194" t="s">
        <v>298</v>
      </c>
      <c r="C1681" s="487"/>
      <c r="D1681" s="485" t="str">
        <f ca="1">IFERROR(__xludf.DUMMYFUNCTION("IF(J476="""",""n/a"",IFERROR(SPLIT(J476,""/"")))"),"Indicate ave weight")</f>
        <v>Indicate ave weight</v>
      </c>
      <c r="E1681" s="485" t="str">
        <f ca="1">IFERROR(__xludf.DUMMYFUNCTION("""COMPUTED_VALUE"""),"piece")</f>
        <v>piece</v>
      </c>
      <c r="F1681" s="487"/>
      <c r="G1681" s="487"/>
      <c r="H1681" s="183" t="s">
        <v>1895</v>
      </c>
      <c r="I1681" s="487"/>
      <c r="J1681" s="46" t="s">
        <v>297</v>
      </c>
      <c r="K1681" s="487"/>
      <c r="L1681" s="195">
        <v>205</v>
      </c>
      <c r="M1681" s="197">
        <v>12</v>
      </c>
      <c r="N1681" s="61">
        <v>1</v>
      </c>
      <c r="O1681" s="61" t="str">
        <f ca="1">E1681</f>
        <v>piece</v>
      </c>
      <c r="P1681" s="61" t="s">
        <v>39</v>
      </c>
      <c r="Q1681" s="487"/>
      <c r="R1681" s="192" t="str">
        <f>CONCATENATE(N1681,P1681)</f>
        <v>1grams</v>
      </c>
      <c r="S1681" s="198">
        <f>M1681*N1681</f>
        <v>12</v>
      </c>
      <c r="T1681" s="199" t="str">
        <f>CONCATENATE(S1681,Q1681,P1681)</f>
        <v>12grams</v>
      </c>
      <c r="U1681" s="200">
        <f>L1681*M1681</f>
        <v>2460</v>
      </c>
      <c r="V1681" s="12"/>
      <c r="W1681" s="12"/>
    </row>
    <row r="1682" spans="1:23" x14ac:dyDescent="0.3">
      <c r="A1682" s="193">
        <v>668</v>
      </c>
      <c r="B1682" s="46" t="s">
        <v>1542</v>
      </c>
      <c r="C1682" s="315"/>
      <c r="D1682" s="316"/>
      <c r="E1682" s="315"/>
      <c r="F1682" s="315"/>
      <c r="G1682" s="315"/>
      <c r="H1682" s="194" t="s">
        <v>2022</v>
      </c>
      <c r="I1682" s="12"/>
      <c r="J1682" s="46" t="s">
        <v>1543</v>
      </c>
      <c r="K1682" s="12"/>
      <c r="L1682" s="197">
        <v>148</v>
      </c>
      <c r="M1682" s="197">
        <v>2</v>
      </c>
      <c r="N1682" s="290">
        <v>400</v>
      </c>
      <c r="O1682" s="46"/>
      <c r="P1682" s="46" t="s">
        <v>39</v>
      </c>
      <c r="Q1682" s="12"/>
      <c r="R1682" s="192" t="str">
        <f>CONCATENATE(N1682,P1682)</f>
        <v>400grams</v>
      </c>
      <c r="S1682" s="198">
        <f>M1682*N1682</f>
        <v>800</v>
      </c>
      <c r="T1682" s="199" t="str">
        <f>CONCATENATE(S1682,Q1682,P1682)</f>
        <v>800grams</v>
      </c>
      <c r="U1682" s="200">
        <f>L1682*M1682</f>
        <v>296</v>
      </c>
      <c r="V1682" s="12"/>
      <c r="W1682" s="12"/>
    </row>
    <row r="1683" spans="1:23" x14ac:dyDescent="0.3">
      <c r="A1683" s="193">
        <v>669</v>
      </c>
      <c r="B1683" s="46" t="s">
        <v>1544</v>
      </c>
      <c r="C1683" s="315"/>
      <c r="D1683" s="316"/>
      <c r="E1683" s="315"/>
      <c r="F1683" s="315"/>
      <c r="G1683" s="315"/>
      <c r="H1683" s="194" t="s">
        <v>1368</v>
      </c>
      <c r="I1683" s="12"/>
      <c r="J1683" s="170"/>
      <c r="K1683" s="12"/>
      <c r="L1683" s="197">
        <v>180</v>
      </c>
      <c r="M1683" s="197">
        <v>1</v>
      </c>
      <c r="N1683" s="290">
        <v>1</v>
      </c>
      <c r="O1683" s="46"/>
      <c r="P1683" s="46" t="s">
        <v>213</v>
      </c>
      <c r="Q1683" s="12"/>
      <c r="R1683" s="192" t="str">
        <f>CONCATENATE(N1683,P1683)</f>
        <v>1kilos</v>
      </c>
      <c r="S1683" s="198">
        <f>M1683*N1683</f>
        <v>1</v>
      </c>
      <c r="T1683" s="199" t="str">
        <f>CONCATENATE(S1683,Q1683,P1683)</f>
        <v>1kilos</v>
      </c>
      <c r="U1683" s="200">
        <f>L1683*M1683</f>
        <v>180</v>
      </c>
      <c r="V1683" s="12"/>
      <c r="W1683" s="12"/>
    </row>
    <row r="1684" spans="1:23" x14ac:dyDescent="0.3">
      <c r="A1684" s="193">
        <v>670</v>
      </c>
      <c r="B1684" s="219" t="s">
        <v>1545</v>
      </c>
      <c r="C1684" s="315"/>
      <c r="D1684" s="316"/>
      <c r="E1684" s="315"/>
      <c r="F1684" s="315"/>
      <c r="G1684" s="315"/>
      <c r="H1684" s="194" t="s">
        <v>29</v>
      </c>
      <c r="I1684" s="12"/>
      <c r="J1684" s="170"/>
      <c r="K1684" s="12"/>
      <c r="L1684" s="197">
        <v>100</v>
      </c>
      <c r="M1684" s="197">
        <v>1</v>
      </c>
      <c r="N1684" s="290">
        <v>1</v>
      </c>
      <c r="O1684" s="46"/>
      <c r="P1684" s="46" t="s">
        <v>213</v>
      </c>
      <c r="Q1684" s="12"/>
      <c r="R1684" s="192" t="str">
        <f>CONCATENATE(N1684,P1684)</f>
        <v>1kilos</v>
      </c>
      <c r="S1684" s="198">
        <f>M1684*N1684</f>
        <v>1</v>
      </c>
      <c r="T1684" s="199" t="str">
        <f>CONCATENATE(S1684,Q1684,P1684)</f>
        <v>1kilos</v>
      </c>
      <c r="U1684" s="200">
        <f>L1684*M1684</f>
        <v>100</v>
      </c>
      <c r="V1684" s="12"/>
      <c r="W1684" s="12"/>
    </row>
    <row r="1685" spans="1:23" x14ac:dyDescent="0.3">
      <c r="A1685" s="193">
        <v>670</v>
      </c>
      <c r="B1685" s="46" t="s">
        <v>1545</v>
      </c>
      <c r="C1685" s="315"/>
      <c r="D1685" s="316"/>
      <c r="E1685" s="315"/>
      <c r="F1685" s="315"/>
      <c r="G1685" s="315"/>
      <c r="H1685" s="194" t="s">
        <v>2026</v>
      </c>
      <c r="I1685" s="12"/>
      <c r="J1685" s="46" t="s">
        <v>216</v>
      </c>
      <c r="K1685" s="12"/>
      <c r="L1685" s="197">
        <v>80</v>
      </c>
      <c r="M1685" s="197">
        <v>1</v>
      </c>
      <c r="N1685" s="290">
        <v>1</v>
      </c>
      <c r="O1685" s="46"/>
      <c r="P1685" s="46" t="s">
        <v>213</v>
      </c>
      <c r="Q1685" s="12"/>
      <c r="R1685" s="192" t="str">
        <f>CONCATENATE(N1685,P1685)</f>
        <v>1kilos</v>
      </c>
      <c r="S1685" s="198">
        <f>M1685*N1685</f>
        <v>1</v>
      </c>
      <c r="T1685" s="199" t="str">
        <f>CONCATENATE(S1685,Q1685,P1685)</f>
        <v>1kilos</v>
      </c>
      <c r="U1685" s="200">
        <f>L1685*M1685</f>
        <v>80</v>
      </c>
      <c r="V1685" s="12"/>
      <c r="W1685" s="12"/>
    </row>
    <row r="1686" spans="1:23" x14ac:dyDescent="0.3">
      <c r="A1686" s="193">
        <v>671</v>
      </c>
      <c r="B1686" s="46" t="s">
        <v>1546</v>
      </c>
      <c r="C1686" s="315"/>
      <c r="D1686" s="316"/>
      <c r="E1686" s="315"/>
      <c r="F1686" s="315"/>
      <c r="G1686" s="315"/>
      <c r="H1686" s="194" t="s">
        <v>2022</v>
      </c>
      <c r="I1686" s="12"/>
      <c r="J1686" s="219" t="s">
        <v>854</v>
      </c>
      <c r="K1686" s="12"/>
      <c r="L1686" s="197">
        <v>72</v>
      </c>
      <c r="M1686" s="197">
        <v>1</v>
      </c>
      <c r="N1686" s="290">
        <v>14</v>
      </c>
      <c r="O1686" s="46"/>
      <c r="P1686" s="46" t="s">
        <v>39</v>
      </c>
      <c r="Q1686" s="12"/>
      <c r="R1686" s="192" t="str">
        <f>CONCATENATE(N1686,P1686)</f>
        <v>14grams</v>
      </c>
      <c r="S1686" s="198">
        <f>M1686*N1686</f>
        <v>14</v>
      </c>
      <c r="T1686" s="199" t="str">
        <f>CONCATENATE(S1686,Q1686,P1686)</f>
        <v>14grams</v>
      </c>
      <c r="U1686" s="200">
        <f>L1686*M1686</f>
        <v>72</v>
      </c>
      <c r="V1686" s="12"/>
      <c r="W1686" s="12"/>
    </row>
    <row r="1687" spans="1:23" x14ac:dyDescent="0.3">
      <c r="A1687" s="193">
        <v>672</v>
      </c>
      <c r="B1687" s="46" t="s">
        <v>1547</v>
      </c>
      <c r="C1687" s="315"/>
      <c r="D1687" s="316"/>
      <c r="E1687" s="315"/>
      <c r="F1687" s="315"/>
      <c r="G1687" s="315"/>
      <c r="H1687" s="194" t="s">
        <v>2022</v>
      </c>
      <c r="I1687" s="12"/>
      <c r="J1687" s="46" t="s">
        <v>1548</v>
      </c>
      <c r="K1687" s="12"/>
      <c r="L1687" s="197">
        <v>264</v>
      </c>
      <c r="M1687" s="197">
        <v>1</v>
      </c>
      <c r="N1687" s="290">
        <v>100</v>
      </c>
      <c r="O1687" s="46"/>
      <c r="P1687" s="46" t="s">
        <v>92</v>
      </c>
      <c r="Q1687" s="12"/>
      <c r="R1687" s="192" t="str">
        <f>CONCATENATE(N1687,P1687)</f>
        <v>100pieces</v>
      </c>
      <c r="S1687" s="198">
        <f>M1687*N1687</f>
        <v>100</v>
      </c>
      <c r="T1687" s="199" t="str">
        <f>CONCATENATE(S1687,Q1687,P1687)</f>
        <v>100pieces</v>
      </c>
      <c r="U1687" s="200">
        <f>L1687*M1687</f>
        <v>264</v>
      </c>
      <c r="V1687" s="12"/>
      <c r="W1687" s="12"/>
    </row>
    <row r="1688" spans="1:23" x14ac:dyDescent="0.3">
      <c r="A1688" s="193">
        <v>672</v>
      </c>
      <c r="B1688" s="46" t="s">
        <v>1547</v>
      </c>
      <c r="C1688" s="315"/>
      <c r="D1688" s="316"/>
      <c r="E1688" s="315"/>
      <c r="F1688" s="315"/>
      <c r="G1688" s="315"/>
      <c r="H1688" s="194" t="s">
        <v>2023</v>
      </c>
      <c r="I1688" s="12"/>
      <c r="J1688" s="46" t="s">
        <v>1549</v>
      </c>
      <c r="K1688" s="12"/>
      <c r="L1688" s="197">
        <v>100</v>
      </c>
      <c r="M1688" s="197">
        <v>8</v>
      </c>
      <c r="N1688" s="290">
        <v>50</v>
      </c>
      <c r="O1688" s="46"/>
      <c r="P1688" s="46" t="s">
        <v>92</v>
      </c>
      <c r="Q1688" s="12"/>
      <c r="R1688" s="192" t="str">
        <f>CONCATENATE(N1688,P1688)</f>
        <v>50pieces</v>
      </c>
      <c r="S1688" s="198">
        <f>M1688*N1688</f>
        <v>400</v>
      </c>
      <c r="T1688" s="199" t="str">
        <f>CONCATENATE(S1688,Q1688,P1688)</f>
        <v>400pieces</v>
      </c>
      <c r="U1688" s="200">
        <f>L1688*M1688</f>
        <v>800</v>
      </c>
      <c r="V1688" s="12"/>
      <c r="W1688" s="12"/>
    </row>
    <row r="1689" spans="1:23" x14ac:dyDescent="0.3">
      <c r="A1689" s="193">
        <v>673</v>
      </c>
      <c r="B1689" s="219" t="s">
        <v>1550</v>
      </c>
      <c r="C1689" s="315"/>
      <c r="D1689" s="316"/>
      <c r="E1689" s="315"/>
      <c r="F1689" s="315"/>
      <c r="G1689" s="315"/>
      <c r="H1689" s="194" t="s">
        <v>2025</v>
      </c>
      <c r="I1689" s="12"/>
      <c r="J1689" s="46" t="s">
        <v>1551</v>
      </c>
      <c r="K1689" s="12"/>
      <c r="L1689" s="197">
        <v>12</v>
      </c>
      <c r="M1689" s="197">
        <v>2</v>
      </c>
      <c r="N1689" s="290">
        <v>100</v>
      </c>
      <c r="O1689" s="46"/>
      <c r="P1689" s="46" t="s">
        <v>92</v>
      </c>
      <c r="Q1689" s="12"/>
      <c r="R1689" s="192" t="str">
        <f>CONCATENATE(N1689,P1689)</f>
        <v>100pieces</v>
      </c>
      <c r="S1689" s="198">
        <f>M1689*N1689</f>
        <v>200</v>
      </c>
      <c r="T1689" s="199" t="str">
        <f>CONCATENATE(S1689,Q1689,P1689)</f>
        <v>200pieces</v>
      </c>
      <c r="U1689" s="200">
        <f>L1689*M1689</f>
        <v>24</v>
      </c>
      <c r="V1689" s="12"/>
      <c r="W1689" s="12"/>
    </row>
    <row r="1690" spans="1:23" x14ac:dyDescent="0.3">
      <c r="A1690" s="193">
        <v>673</v>
      </c>
      <c r="B1690" s="46" t="s">
        <v>1550</v>
      </c>
      <c r="C1690" s="315"/>
      <c r="D1690" s="316"/>
      <c r="E1690" s="315"/>
      <c r="F1690" s="315"/>
      <c r="G1690" s="315"/>
      <c r="H1690" s="194" t="s">
        <v>2023</v>
      </c>
      <c r="I1690" s="12"/>
      <c r="J1690" s="46" t="s">
        <v>1551</v>
      </c>
      <c r="K1690" s="12"/>
      <c r="L1690" s="197">
        <v>92.7</v>
      </c>
      <c r="M1690" s="197">
        <v>2</v>
      </c>
      <c r="N1690" s="290">
        <v>1</v>
      </c>
      <c r="O1690" s="46"/>
      <c r="P1690" s="46" t="s">
        <v>304</v>
      </c>
      <c r="Q1690" s="12"/>
      <c r="R1690" s="192" t="str">
        <f>CONCATENATE(N1690,P1690)</f>
        <v>1packs</v>
      </c>
      <c r="S1690" s="198">
        <f>M1690*N1690</f>
        <v>2</v>
      </c>
      <c r="T1690" s="199" t="str">
        <f>CONCATENATE(S1690,Q1690,P1690)</f>
        <v>2packs</v>
      </c>
      <c r="U1690" s="200">
        <f>L1690*M1690</f>
        <v>185.4</v>
      </c>
      <c r="V1690" s="12"/>
      <c r="W1690" s="12"/>
    </row>
    <row r="1691" spans="1:23" x14ac:dyDescent="0.3">
      <c r="A1691" s="193">
        <v>673</v>
      </c>
      <c r="B1691" s="46" t="s">
        <v>1550</v>
      </c>
      <c r="C1691" s="315"/>
      <c r="D1691" s="316"/>
      <c r="E1691" s="315"/>
      <c r="F1691" s="315"/>
      <c r="G1691" s="315"/>
      <c r="H1691" s="194" t="s">
        <v>2020</v>
      </c>
      <c r="I1691" s="12"/>
      <c r="J1691" s="46" t="s">
        <v>1552</v>
      </c>
      <c r="K1691" s="12"/>
      <c r="L1691" s="197">
        <v>9.02</v>
      </c>
      <c r="M1691" s="197">
        <v>32</v>
      </c>
      <c r="N1691" s="290">
        <v>1</v>
      </c>
      <c r="O1691" s="46"/>
      <c r="P1691" s="46" t="s">
        <v>304</v>
      </c>
      <c r="Q1691" s="12"/>
      <c r="R1691" s="192" t="str">
        <f>CONCATENATE(N1691,P1691)</f>
        <v>1packs</v>
      </c>
      <c r="S1691" s="198">
        <f>M1691*N1691</f>
        <v>32</v>
      </c>
      <c r="T1691" s="199" t="str">
        <f>CONCATENATE(S1691,Q1691,P1691)</f>
        <v>32packs</v>
      </c>
      <c r="U1691" s="200">
        <f>L1691*M1691</f>
        <v>288.64</v>
      </c>
      <c r="V1691" s="12"/>
      <c r="W1691" s="12"/>
    </row>
    <row r="1692" spans="1:23" x14ac:dyDescent="0.3">
      <c r="A1692" s="193">
        <v>673</v>
      </c>
      <c r="B1692" s="46" t="s">
        <v>1550</v>
      </c>
      <c r="C1692" s="315"/>
      <c r="D1692" s="316"/>
      <c r="E1692" s="315"/>
      <c r="F1692" s="315"/>
      <c r="G1692" s="315"/>
      <c r="H1692" s="400" t="s">
        <v>2027</v>
      </c>
      <c r="I1692" s="12"/>
      <c r="J1692" s="170" t="s">
        <v>1552</v>
      </c>
      <c r="K1692" s="12"/>
      <c r="L1692" s="195">
        <v>0.1</v>
      </c>
      <c r="M1692" s="197">
        <v>1960</v>
      </c>
      <c r="N1692" s="360">
        <v>1</v>
      </c>
      <c r="O1692" s="61"/>
      <c r="P1692" s="61" t="s">
        <v>92</v>
      </c>
      <c r="Q1692" s="12"/>
      <c r="R1692" s="192" t="str">
        <f>CONCATENATE(N1692,P1692)</f>
        <v>1pieces</v>
      </c>
      <c r="S1692" s="198">
        <f>M1692*N1692</f>
        <v>1960</v>
      </c>
      <c r="T1692" s="199" t="str">
        <f>CONCATENATE(S1692,Q1692,P1692)</f>
        <v>1960pieces</v>
      </c>
      <c r="U1692" s="200">
        <f>L1692*M1692</f>
        <v>196</v>
      </c>
      <c r="V1692" s="12"/>
      <c r="W1692" s="12"/>
    </row>
    <row r="1693" spans="1:23" x14ac:dyDescent="0.3">
      <c r="A1693" s="479">
        <v>674</v>
      </c>
      <c r="B1693" s="194" t="s">
        <v>724</v>
      </c>
      <c r="C1693" s="487"/>
      <c r="D1693" s="485" t="str">
        <f ca="1">IFERROR(__xludf.DUMMYFUNCTION("IF(J477="""",""n/a"",IFERROR(SPLIT(J477,""/"")))"),"n/a")</f>
        <v>n/a</v>
      </c>
      <c r="E1693" s="487"/>
      <c r="F1693" s="487"/>
      <c r="G1693" s="487"/>
      <c r="H1693" s="206" t="s">
        <v>1898</v>
      </c>
      <c r="I1693" s="487"/>
      <c r="J1693" s="170"/>
      <c r="K1693" s="487"/>
      <c r="L1693" s="197">
        <v>25.52</v>
      </c>
      <c r="M1693" s="386">
        <v>17</v>
      </c>
      <c r="N1693" s="208">
        <v>1</v>
      </c>
      <c r="O1693" s="170">
        <f>E1693</f>
        <v>0</v>
      </c>
      <c r="P1693" s="61" t="s">
        <v>92</v>
      </c>
      <c r="Q1693" s="487"/>
      <c r="R1693" s="192" t="str">
        <f>CONCATENATE(N1693,P1693)</f>
        <v>1pieces</v>
      </c>
      <c r="S1693" s="198">
        <f>M1693*N1693</f>
        <v>17</v>
      </c>
      <c r="T1693" s="199" t="str">
        <f>CONCATENATE(S1693,Q1693,P1693)</f>
        <v>17pieces</v>
      </c>
      <c r="U1693" s="200">
        <f>L1693*M1693</f>
        <v>433.84</v>
      </c>
      <c r="V1693" s="12"/>
      <c r="W1693" s="12"/>
    </row>
    <row r="1694" spans="1:23" x14ac:dyDescent="0.3">
      <c r="A1694" s="193">
        <v>675</v>
      </c>
      <c r="B1694" s="46" t="s">
        <v>1984</v>
      </c>
      <c r="C1694" s="315"/>
      <c r="D1694" s="316"/>
      <c r="E1694" s="315"/>
      <c r="F1694" s="315"/>
      <c r="G1694" s="315"/>
      <c r="H1694" s="400" t="s">
        <v>2027</v>
      </c>
      <c r="I1694" s="12"/>
      <c r="J1694" s="170"/>
      <c r="K1694" s="12"/>
      <c r="L1694" s="195">
        <v>15.8</v>
      </c>
      <c r="M1694" s="197">
        <v>7</v>
      </c>
      <c r="N1694" s="360">
        <v>1</v>
      </c>
      <c r="O1694" s="61"/>
      <c r="P1694" s="61" t="s">
        <v>92</v>
      </c>
      <c r="Q1694" s="12"/>
      <c r="R1694" s="192" t="str">
        <f>CONCATENATE(N1694,P1694)</f>
        <v>1pieces</v>
      </c>
      <c r="S1694" s="198">
        <f>M1694*N1694</f>
        <v>7</v>
      </c>
      <c r="T1694" s="199" t="str">
        <f>CONCATENATE(S1694,Q1694,P1694)</f>
        <v>7pieces</v>
      </c>
      <c r="U1694" s="200">
        <f>L1694*M1694</f>
        <v>110.60000000000001</v>
      </c>
      <c r="V1694" s="12"/>
      <c r="W1694" s="12"/>
    </row>
    <row r="1695" spans="1:23" x14ac:dyDescent="0.3">
      <c r="A1695" s="479">
        <v>676</v>
      </c>
      <c r="B1695" s="194" t="s">
        <v>725</v>
      </c>
      <c r="C1695" s="487"/>
      <c r="D1695" s="485" t="str">
        <f ca="1">IFERROR(__xludf.DUMMYFUNCTION("IF(J478="""",""n/a"",IFERROR(SPLIT(J478,""/"")))"),"Oishi")</f>
        <v>Oishi</v>
      </c>
      <c r="E1695" s="485" t="str">
        <f ca="1">IFERROR(__xludf.DUMMYFUNCTION("""COMPUTED_VALUE""")," box (50pcsx60grams)")</f>
        <v xml:space="preserve"> box (50pcsx60grams)</v>
      </c>
      <c r="F1695" s="487"/>
      <c r="G1695" s="487"/>
      <c r="H1695" s="183" t="s">
        <v>1897</v>
      </c>
      <c r="I1695" s="487"/>
      <c r="J1695" s="46" t="s">
        <v>726</v>
      </c>
      <c r="K1695" s="487"/>
      <c r="L1695" s="217">
        <v>15.22</v>
      </c>
      <c r="M1695" s="202">
        <v>49</v>
      </c>
      <c r="N1695" s="203">
        <v>1</v>
      </c>
      <c r="O1695" s="61" t="str">
        <f ca="1">E1695</f>
        <v xml:space="preserve"> box (50pcsx60grams)</v>
      </c>
      <c r="P1695" s="61" t="s">
        <v>92</v>
      </c>
      <c r="Q1695" s="487"/>
      <c r="R1695" s="192" t="str">
        <f>CONCATENATE(N1695,P1695)</f>
        <v>1pieces</v>
      </c>
      <c r="S1695" s="198">
        <f>M1695*N1695</f>
        <v>49</v>
      </c>
      <c r="T1695" s="199" t="str">
        <f>CONCATENATE(S1695,Q1695,P1695)</f>
        <v>49pieces</v>
      </c>
      <c r="U1695" s="200">
        <f>L1695*M1695</f>
        <v>745.78000000000009</v>
      </c>
      <c r="V1695" s="12"/>
      <c r="W1695" s="12"/>
    </row>
    <row r="1696" spans="1:23" x14ac:dyDescent="0.3">
      <c r="A1696" s="479">
        <v>677</v>
      </c>
      <c r="B1696" s="194" t="s">
        <v>727</v>
      </c>
      <c r="C1696" s="487"/>
      <c r="D1696" s="485" t="str">
        <f ca="1">IFERROR(__xludf.DUMMYFUNCTION("IF(J479="""",""n/a"",IFERROR(SPLIT(J479,""/"")))"),"oishi")</f>
        <v>oishi</v>
      </c>
      <c r="E1696" s="485" t="str">
        <f ca="1">IFERROR(__xludf.DUMMYFUNCTION("""COMPUTED_VALUE"""),"box")</f>
        <v>box</v>
      </c>
      <c r="F1696" s="485">
        <f ca="1">IFERROR(__xludf.DUMMYFUNCTION("""COMPUTED_VALUE"""),50)</f>
        <v>50</v>
      </c>
      <c r="G1696" s="485" t="str">
        <f ca="1">IFERROR(__xludf.DUMMYFUNCTION("""COMPUTED_VALUE"""),"60g")</f>
        <v>60g</v>
      </c>
      <c r="H1696" s="183" t="s">
        <v>1897</v>
      </c>
      <c r="I1696" s="487"/>
      <c r="J1696" s="46" t="s">
        <v>728</v>
      </c>
      <c r="K1696" s="487"/>
      <c r="L1696" s="217">
        <v>15.19</v>
      </c>
      <c r="M1696" s="217">
        <v>28</v>
      </c>
      <c r="N1696" s="203">
        <v>1</v>
      </c>
      <c r="O1696" s="61" t="str">
        <f ca="1">E1696</f>
        <v>box</v>
      </c>
      <c r="P1696" s="61" t="s">
        <v>92</v>
      </c>
      <c r="Q1696" s="487"/>
      <c r="R1696" s="192" t="str">
        <f>CONCATENATE(N1696,P1696)</f>
        <v>1pieces</v>
      </c>
      <c r="S1696" s="198">
        <f>M1696*N1696</f>
        <v>28</v>
      </c>
      <c r="T1696" s="199" t="str">
        <f>CONCATENATE(S1696,Q1696,P1696)</f>
        <v>28pieces</v>
      </c>
      <c r="U1696" s="200">
        <f>L1696*M1696</f>
        <v>425.32</v>
      </c>
      <c r="V1696" s="12"/>
      <c r="W1696" s="12"/>
    </row>
    <row r="1697" spans="1:23" x14ac:dyDescent="0.3">
      <c r="A1697" s="193">
        <v>678</v>
      </c>
      <c r="B1697" s="219" t="s">
        <v>1553</v>
      </c>
      <c r="C1697" s="315"/>
      <c r="D1697" s="316"/>
      <c r="E1697" s="315"/>
      <c r="F1697" s="315"/>
      <c r="G1697" s="315"/>
      <c r="H1697" s="194" t="s">
        <v>2021</v>
      </c>
      <c r="I1697" s="12"/>
      <c r="J1697" s="219" t="s">
        <v>1554</v>
      </c>
      <c r="K1697" s="12"/>
      <c r="L1697" s="216">
        <v>30</v>
      </c>
      <c r="M1697" s="216">
        <v>50</v>
      </c>
      <c r="N1697" s="293">
        <v>1</v>
      </c>
      <c r="O1697" s="219"/>
      <c r="P1697" s="219" t="s">
        <v>92</v>
      </c>
      <c r="Q1697" s="12"/>
      <c r="R1697" s="192" t="str">
        <f>CONCATENATE(N1697,P1697)</f>
        <v>1pieces</v>
      </c>
      <c r="S1697" s="198">
        <f>M1697*N1697</f>
        <v>50</v>
      </c>
      <c r="T1697" s="199" t="str">
        <f>CONCATENATE(S1697,Q1697,P1697)</f>
        <v>50pieces</v>
      </c>
      <c r="U1697" s="200">
        <f>L1697*M1697</f>
        <v>1500</v>
      </c>
      <c r="V1697" s="12"/>
      <c r="W1697" s="12"/>
    </row>
    <row r="1698" spans="1:23" x14ac:dyDescent="0.3">
      <c r="A1698" s="193">
        <v>679</v>
      </c>
      <c r="B1698" s="46" t="s">
        <v>1555</v>
      </c>
      <c r="C1698" s="315"/>
      <c r="D1698" s="316"/>
      <c r="E1698" s="315"/>
      <c r="F1698" s="315"/>
      <c r="G1698" s="315"/>
      <c r="H1698" s="194" t="s">
        <v>2025</v>
      </c>
      <c r="I1698" s="12"/>
      <c r="J1698" s="170"/>
      <c r="K1698" s="12"/>
      <c r="L1698" s="197">
        <v>220</v>
      </c>
      <c r="M1698" s="197">
        <v>14</v>
      </c>
      <c r="N1698" s="290">
        <v>1</v>
      </c>
      <c r="O1698" s="46"/>
      <c r="P1698" s="46" t="s">
        <v>213</v>
      </c>
      <c r="Q1698" s="12"/>
      <c r="R1698" s="192" t="str">
        <f>CONCATENATE(N1698,P1698)</f>
        <v>1kilos</v>
      </c>
      <c r="S1698" s="198">
        <f>M1698*N1698</f>
        <v>14</v>
      </c>
      <c r="T1698" s="199" t="str">
        <f>CONCATENATE(S1698,Q1698,P1698)</f>
        <v>14kilos</v>
      </c>
      <c r="U1698" s="200">
        <f>L1698*M1698</f>
        <v>3080</v>
      </c>
      <c r="V1698" s="12"/>
      <c r="W1698" s="12"/>
    </row>
    <row r="1699" spans="1:23" x14ac:dyDescent="0.3">
      <c r="A1699" s="193">
        <v>680</v>
      </c>
      <c r="B1699" s="46" t="s">
        <v>1556</v>
      </c>
      <c r="C1699" s="315"/>
      <c r="D1699" s="316"/>
      <c r="E1699" s="315"/>
      <c r="F1699" s="315"/>
      <c r="G1699" s="315"/>
      <c r="H1699" s="194" t="s">
        <v>2025</v>
      </c>
      <c r="I1699" s="12"/>
      <c r="J1699" s="170"/>
      <c r="K1699" s="12"/>
      <c r="L1699" s="197">
        <v>275</v>
      </c>
      <c r="M1699" s="197">
        <v>87</v>
      </c>
      <c r="N1699" s="290">
        <v>1</v>
      </c>
      <c r="O1699" s="46"/>
      <c r="P1699" s="46" t="s">
        <v>213</v>
      </c>
      <c r="Q1699" s="12"/>
      <c r="R1699" s="192" t="str">
        <f>CONCATENATE(N1699,P1699)</f>
        <v>1kilos</v>
      </c>
      <c r="S1699" s="198">
        <f>M1699*N1699</f>
        <v>87</v>
      </c>
      <c r="T1699" s="199" t="str">
        <f>CONCATENATE(S1699,Q1699,P1699)</f>
        <v>87kilos</v>
      </c>
      <c r="U1699" s="200">
        <f>L1699*M1699</f>
        <v>23925</v>
      </c>
      <c r="V1699" s="12"/>
      <c r="W1699" s="12"/>
    </row>
    <row r="1700" spans="1:23" x14ac:dyDescent="0.3">
      <c r="A1700" s="193">
        <v>681</v>
      </c>
      <c r="B1700" s="46" t="s">
        <v>1557</v>
      </c>
      <c r="C1700" s="315"/>
      <c r="D1700" s="316"/>
      <c r="E1700" s="315"/>
      <c r="F1700" s="315"/>
      <c r="G1700" s="315"/>
      <c r="H1700" s="194" t="s">
        <v>2025</v>
      </c>
      <c r="I1700" s="12"/>
      <c r="J1700" s="170"/>
      <c r="K1700" s="12"/>
      <c r="L1700" s="197">
        <v>289</v>
      </c>
      <c r="M1700" s="197">
        <v>11</v>
      </c>
      <c r="N1700" s="290">
        <v>1</v>
      </c>
      <c r="O1700" s="46"/>
      <c r="P1700" s="46" t="s">
        <v>213</v>
      </c>
      <c r="Q1700" s="12"/>
      <c r="R1700" s="192" t="str">
        <f>CONCATENATE(N1700,P1700)</f>
        <v>1kilos</v>
      </c>
      <c r="S1700" s="198">
        <f>M1700*N1700</f>
        <v>11</v>
      </c>
      <c r="T1700" s="199" t="str">
        <f>CONCATENATE(S1700,Q1700,P1700)</f>
        <v>11kilos</v>
      </c>
      <c r="U1700" s="200">
        <f>L1700*M1700</f>
        <v>3179</v>
      </c>
      <c r="V1700" s="12"/>
      <c r="W1700" s="12"/>
    </row>
    <row r="1701" spans="1:23" x14ac:dyDescent="0.3">
      <c r="A1701" s="193">
        <v>682</v>
      </c>
      <c r="B1701" s="46" t="s">
        <v>1558</v>
      </c>
      <c r="C1701" s="315"/>
      <c r="D1701" s="316"/>
      <c r="E1701" s="315"/>
      <c r="F1701" s="315"/>
      <c r="G1701" s="315"/>
      <c r="H1701" s="194" t="s">
        <v>2025</v>
      </c>
      <c r="I1701" s="12"/>
      <c r="J1701" s="170"/>
      <c r="K1701" s="12"/>
      <c r="L1701" s="197">
        <v>190</v>
      </c>
      <c r="M1701" s="197">
        <v>5</v>
      </c>
      <c r="N1701" s="290">
        <v>1</v>
      </c>
      <c r="O1701" s="46"/>
      <c r="P1701" s="46" t="s">
        <v>213</v>
      </c>
      <c r="Q1701" s="12"/>
      <c r="R1701" s="192" t="str">
        <f>CONCATENATE(N1701,P1701)</f>
        <v>1kilos</v>
      </c>
      <c r="S1701" s="198">
        <f>M1701*N1701</f>
        <v>5</v>
      </c>
      <c r="T1701" s="199" t="str">
        <f>CONCATENATE(S1701,Q1701,P1701)</f>
        <v>5kilos</v>
      </c>
      <c r="U1701" s="200">
        <f>L1701*M1701</f>
        <v>950</v>
      </c>
      <c r="V1701" s="12"/>
      <c r="W1701" s="12"/>
    </row>
    <row r="1702" spans="1:23" x14ac:dyDescent="0.3">
      <c r="A1702" s="193">
        <v>683</v>
      </c>
      <c r="B1702" s="219" t="s">
        <v>1559</v>
      </c>
      <c r="C1702" s="315"/>
      <c r="D1702" s="316"/>
      <c r="E1702" s="315"/>
      <c r="F1702" s="315"/>
      <c r="G1702" s="315"/>
      <c r="H1702" s="194" t="s">
        <v>2022</v>
      </c>
      <c r="I1702" s="12"/>
      <c r="J1702" s="170"/>
      <c r="K1702" s="12"/>
      <c r="L1702" s="197">
        <v>320</v>
      </c>
      <c r="M1702" s="197">
        <v>5</v>
      </c>
      <c r="N1702" s="290">
        <v>1000</v>
      </c>
      <c r="O1702" s="46"/>
      <c r="P1702" s="46" t="s">
        <v>39</v>
      </c>
      <c r="Q1702" s="12"/>
      <c r="R1702" s="192" t="str">
        <f>CONCATENATE(N1702,P1702)</f>
        <v>1000grams</v>
      </c>
      <c r="S1702" s="198">
        <f>M1702*N1702</f>
        <v>5000</v>
      </c>
      <c r="T1702" s="199" t="str">
        <f>CONCATENATE(S1702,Q1702,P1702)</f>
        <v>5000grams</v>
      </c>
      <c r="U1702" s="200">
        <f>L1702*M1702</f>
        <v>1600</v>
      </c>
      <c r="V1702" s="12"/>
      <c r="W1702" s="12"/>
    </row>
    <row r="1703" spans="1:23" x14ac:dyDescent="0.3">
      <c r="A1703" s="193">
        <v>683</v>
      </c>
      <c r="B1703" s="219" t="s">
        <v>1559</v>
      </c>
      <c r="C1703" s="315"/>
      <c r="D1703" s="316"/>
      <c r="E1703" s="315"/>
      <c r="F1703" s="315"/>
      <c r="G1703" s="315"/>
      <c r="H1703" s="194" t="s">
        <v>1368</v>
      </c>
      <c r="I1703" s="12"/>
      <c r="J1703" s="170"/>
      <c r="K1703" s="12"/>
      <c r="L1703" s="197">
        <v>340</v>
      </c>
      <c r="M1703" s="197">
        <v>5</v>
      </c>
      <c r="N1703" s="290">
        <v>1000</v>
      </c>
      <c r="O1703" s="46"/>
      <c r="P1703" s="46" t="s">
        <v>39</v>
      </c>
      <c r="Q1703" s="12"/>
      <c r="R1703" s="192" t="str">
        <f>CONCATENATE(N1703,P1703)</f>
        <v>1000grams</v>
      </c>
      <c r="S1703" s="198">
        <f>M1703*N1703</f>
        <v>5000</v>
      </c>
      <c r="T1703" s="199" t="str">
        <f>CONCATENATE(S1703,Q1703,P1703)</f>
        <v>5000grams</v>
      </c>
      <c r="U1703" s="200">
        <f>L1703*M1703</f>
        <v>1700</v>
      </c>
      <c r="V1703" s="12"/>
      <c r="W1703" s="12"/>
    </row>
    <row r="1704" spans="1:23" x14ac:dyDescent="0.3">
      <c r="A1704" s="193">
        <v>683</v>
      </c>
      <c r="B1704" s="219" t="s">
        <v>1559</v>
      </c>
      <c r="C1704" s="315"/>
      <c r="D1704" s="316"/>
      <c r="E1704" s="315"/>
      <c r="F1704" s="315"/>
      <c r="G1704" s="315"/>
      <c r="H1704" s="194" t="s">
        <v>2021</v>
      </c>
      <c r="I1704" s="12"/>
      <c r="J1704" s="215"/>
      <c r="K1704" s="12"/>
      <c r="L1704" s="216">
        <v>300</v>
      </c>
      <c r="M1704" s="216">
        <v>4</v>
      </c>
      <c r="N1704" s="293">
        <v>1</v>
      </c>
      <c r="O1704" s="219"/>
      <c r="P1704" s="219" t="s">
        <v>213</v>
      </c>
      <c r="Q1704" s="12"/>
      <c r="R1704" s="192" t="str">
        <f>CONCATENATE(N1704,P1704)</f>
        <v>1kilos</v>
      </c>
      <c r="S1704" s="198">
        <f>M1704*N1704</f>
        <v>4</v>
      </c>
      <c r="T1704" s="199" t="str">
        <f>CONCATENATE(S1704,Q1704,P1704)</f>
        <v>4kilos</v>
      </c>
      <c r="U1704" s="200">
        <f>L1704*M1704</f>
        <v>1200</v>
      </c>
      <c r="V1704" s="12"/>
      <c r="W1704" s="12"/>
    </row>
    <row r="1705" spans="1:23" x14ac:dyDescent="0.3">
      <c r="A1705" s="193">
        <v>684</v>
      </c>
      <c r="B1705" s="46" t="s">
        <v>1560</v>
      </c>
      <c r="C1705" s="315"/>
      <c r="D1705" s="316"/>
      <c r="E1705" s="315"/>
      <c r="F1705" s="315"/>
      <c r="G1705" s="315"/>
      <c r="H1705" s="194" t="s">
        <v>2024</v>
      </c>
      <c r="I1705" s="12"/>
      <c r="J1705" s="170"/>
      <c r="K1705" s="12"/>
      <c r="L1705" s="197">
        <v>175</v>
      </c>
      <c r="M1705" s="197">
        <v>20</v>
      </c>
      <c r="N1705" s="290">
        <v>1</v>
      </c>
      <c r="O1705" s="46"/>
      <c r="P1705" s="46" t="s">
        <v>213</v>
      </c>
      <c r="Q1705" s="12"/>
      <c r="R1705" s="192" t="str">
        <f>CONCATENATE(N1705,P1705)</f>
        <v>1kilos</v>
      </c>
      <c r="S1705" s="198">
        <f>M1705*N1705</f>
        <v>20</v>
      </c>
      <c r="T1705" s="199" t="str">
        <f>CONCATENATE(S1705,Q1705,P1705)</f>
        <v>20kilos</v>
      </c>
      <c r="U1705" s="200">
        <f>L1705*M1705</f>
        <v>3500</v>
      </c>
      <c r="V1705" s="12"/>
      <c r="W1705" s="12"/>
    </row>
    <row r="1706" spans="1:23" x14ac:dyDescent="0.3">
      <c r="A1706" s="193">
        <v>685</v>
      </c>
      <c r="B1706" s="46" t="s">
        <v>1561</v>
      </c>
      <c r="C1706" s="315"/>
      <c r="D1706" s="316"/>
      <c r="E1706" s="315"/>
      <c r="F1706" s="315"/>
      <c r="G1706" s="315"/>
      <c r="H1706" s="194" t="s">
        <v>29</v>
      </c>
      <c r="I1706" s="12"/>
      <c r="J1706" s="170"/>
      <c r="K1706" s="12"/>
      <c r="L1706" s="197">
        <v>225</v>
      </c>
      <c r="M1706" s="197">
        <v>31</v>
      </c>
      <c r="N1706" s="290">
        <v>1</v>
      </c>
      <c r="O1706" s="46"/>
      <c r="P1706" s="46" t="s">
        <v>213</v>
      </c>
      <c r="Q1706" s="12"/>
      <c r="R1706" s="192" t="str">
        <f>CONCATENATE(N1706,P1706)</f>
        <v>1kilos</v>
      </c>
      <c r="S1706" s="198">
        <f>M1706*N1706</f>
        <v>31</v>
      </c>
      <c r="T1706" s="199" t="str">
        <f>CONCATENATE(S1706,Q1706,P1706)</f>
        <v>31kilos</v>
      </c>
      <c r="U1706" s="200">
        <f>L1706*M1706</f>
        <v>6975</v>
      </c>
      <c r="V1706" s="12"/>
      <c r="W1706" s="12"/>
    </row>
    <row r="1707" spans="1:23" x14ac:dyDescent="0.3">
      <c r="A1707" s="193">
        <v>685</v>
      </c>
      <c r="B1707" s="46" t="s">
        <v>1561</v>
      </c>
      <c r="C1707" s="315"/>
      <c r="D1707" s="316"/>
      <c r="E1707" s="315"/>
      <c r="F1707" s="315"/>
      <c r="G1707" s="315"/>
      <c r="H1707" s="194" t="s">
        <v>2024</v>
      </c>
      <c r="I1707" s="12"/>
      <c r="J1707" s="170"/>
      <c r="K1707" s="12"/>
      <c r="L1707" s="197">
        <v>215</v>
      </c>
      <c r="M1707" s="197">
        <v>76</v>
      </c>
      <c r="N1707" s="290">
        <v>1</v>
      </c>
      <c r="O1707" s="46"/>
      <c r="P1707" s="46" t="s">
        <v>213</v>
      </c>
      <c r="Q1707" s="12"/>
      <c r="R1707" s="192" t="str">
        <f>CONCATENATE(N1707,P1707)</f>
        <v>1kilos</v>
      </c>
      <c r="S1707" s="198">
        <f>M1707*N1707</f>
        <v>76</v>
      </c>
      <c r="T1707" s="199" t="str">
        <f>CONCATENATE(S1707,Q1707,P1707)</f>
        <v>76kilos</v>
      </c>
      <c r="U1707" s="200">
        <f>L1707*M1707</f>
        <v>16340</v>
      </c>
      <c r="V1707" s="12"/>
      <c r="W1707" s="12"/>
    </row>
    <row r="1708" spans="1:23" x14ac:dyDescent="0.3">
      <c r="A1708" s="193">
        <v>685</v>
      </c>
      <c r="B1708" s="46" t="s">
        <v>1561</v>
      </c>
      <c r="C1708" s="315"/>
      <c r="D1708" s="316"/>
      <c r="E1708" s="315"/>
      <c r="F1708" s="315"/>
      <c r="G1708" s="315"/>
      <c r="H1708" s="194" t="s">
        <v>2026</v>
      </c>
      <c r="I1708" s="12"/>
      <c r="J1708" s="170"/>
      <c r="K1708" s="12"/>
      <c r="L1708" s="197">
        <v>221</v>
      </c>
      <c r="M1708" s="197">
        <v>60</v>
      </c>
      <c r="N1708" s="290">
        <v>1</v>
      </c>
      <c r="O1708" s="46"/>
      <c r="P1708" s="46" t="s">
        <v>213</v>
      </c>
      <c r="Q1708" s="12"/>
      <c r="R1708" s="192" t="str">
        <f>CONCATENATE(N1708,P1708)</f>
        <v>1kilos</v>
      </c>
      <c r="S1708" s="198">
        <f>M1708*N1708</f>
        <v>60</v>
      </c>
      <c r="T1708" s="199" t="str">
        <f>CONCATENATE(S1708,Q1708,P1708)</f>
        <v>60kilos</v>
      </c>
      <c r="U1708" s="200">
        <f>L1708*M1708</f>
        <v>13260</v>
      </c>
      <c r="V1708" s="12"/>
      <c r="W1708" s="12"/>
    </row>
    <row r="1709" spans="1:23" x14ac:dyDescent="0.3">
      <c r="A1709" s="193">
        <v>685</v>
      </c>
      <c r="B1709" s="46" t="s">
        <v>1561</v>
      </c>
      <c r="C1709" s="315"/>
      <c r="D1709" s="316"/>
      <c r="E1709" s="315"/>
      <c r="F1709" s="315"/>
      <c r="G1709" s="315"/>
      <c r="H1709" s="194" t="s">
        <v>2023</v>
      </c>
      <c r="I1709" s="12"/>
      <c r="J1709" s="170"/>
      <c r="K1709" s="12"/>
      <c r="L1709" s="197">
        <v>218</v>
      </c>
      <c r="M1709" s="197">
        <v>49</v>
      </c>
      <c r="N1709" s="290">
        <v>1</v>
      </c>
      <c r="O1709" s="46"/>
      <c r="P1709" s="46" t="s">
        <v>213</v>
      </c>
      <c r="Q1709" s="12"/>
      <c r="R1709" s="192" t="str">
        <f>CONCATENATE(N1709,P1709)</f>
        <v>1kilos</v>
      </c>
      <c r="S1709" s="198">
        <f>M1709*N1709</f>
        <v>49</v>
      </c>
      <c r="T1709" s="199" t="str">
        <f>CONCATENATE(S1709,Q1709,P1709)</f>
        <v>49kilos</v>
      </c>
      <c r="U1709" s="200">
        <f>L1709*M1709</f>
        <v>10682</v>
      </c>
      <c r="V1709" s="12"/>
      <c r="W1709" s="12"/>
    </row>
    <row r="1710" spans="1:23" x14ac:dyDescent="0.3">
      <c r="A1710" s="193">
        <v>685</v>
      </c>
      <c r="B1710" s="46" t="s">
        <v>1561</v>
      </c>
      <c r="C1710" s="315"/>
      <c r="D1710" s="316"/>
      <c r="E1710" s="315"/>
      <c r="F1710" s="315"/>
      <c r="G1710" s="315"/>
      <c r="H1710" s="194" t="s">
        <v>2022</v>
      </c>
      <c r="I1710" s="12"/>
      <c r="J1710" s="170"/>
      <c r="K1710" s="12"/>
      <c r="L1710" s="197">
        <v>320</v>
      </c>
      <c r="M1710" s="197">
        <v>47</v>
      </c>
      <c r="N1710" s="290">
        <v>1000</v>
      </c>
      <c r="O1710" s="46"/>
      <c r="P1710" s="46" t="s">
        <v>39</v>
      </c>
      <c r="Q1710" s="12"/>
      <c r="R1710" s="192" t="str">
        <f>CONCATENATE(N1710,P1710)</f>
        <v>1000grams</v>
      </c>
      <c r="S1710" s="198">
        <f>M1710*N1710</f>
        <v>47000</v>
      </c>
      <c r="T1710" s="199" t="str">
        <f>CONCATENATE(S1710,Q1710,P1710)</f>
        <v>47000grams</v>
      </c>
      <c r="U1710" s="200">
        <f>L1710*M1710</f>
        <v>15040</v>
      </c>
      <c r="V1710" s="12"/>
      <c r="W1710" s="12"/>
    </row>
    <row r="1711" spans="1:23" x14ac:dyDescent="0.3">
      <c r="A1711" s="193">
        <v>686</v>
      </c>
      <c r="B1711" s="46" t="s">
        <v>1562</v>
      </c>
      <c r="C1711" s="315"/>
      <c r="D1711" s="316"/>
      <c r="E1711" s="315"/>
      <c r="F1711" s="315"/>
      <c r="G1711" s="315"/>
      <c r="H1711" s="194" t="s">
        <v>1368</v>
      </c>
      <c r="I1711" s="12"/>
      <c r="J1711" s="170"/>
      <c r="K1711" s="12"/>
      <c r="L1711" s="197">
        <v>340</v>
      </c>
      <c r="M1711" s="197">
        <v>17</v>
      </c>
      <c r="N1711" s="290">
        <v>1000</v>
      </c>
      <c r="O1711" s="46"/>
      <c r="P1711" s="46" t="s">
        <v>39</v>
      </c>
      <c r="Q1711" s="12"/>
      <c r="R1711" s="192" t="str">
        <f>CONCATENATE(N1711,P1711)</f>
        <v>1000grams</v>
      </c>
      <c r="S1711" s="198">
        <f>M1711*N1711</f>
        <v>17000</v>
      </c>
      <c r="T1711" s="199" t="str">
        <f>CONCATENATE(S1711,Q1711,P1711)</f>
        <v>17000grams</v>
      </c>
      <c r="U1711" s="200">
        <f>L1711*M1711</f>
        <v>5780</v>
      </c>
      <c r="V1711" s="12"/>
      <c r="W1711" s="12"/>
    </row>
    <row r="1712" spans="1:23" x14ac:dyDescent="0.3">
      <c r="A1712" s="193">
        <v>686</v>
      </c>
      <c r="B1712" s="46" t="s">
        <v>1562</v>
      </c>
      <c r="C1712" s="315"/>
      <c r="D1712" s="316"/>
      <c r="E1712" s="315"/>
      <c r="F1712" s="315"/>
      <c r="G1712" s="315"/>
      <c r="H1712" s="194" t="s">
        <v>2020</v>
      </c>
      <c r="I1712" s="12"/>
      <c r="J1712" s="46" t="s">
        <v>1098</v>
      </c>
      <c r="K1712" s="12"/>
      <c r="L1712" s="197">
        <v>235</v>
      </c>
      <c r="M1712" s="197">
        <v>15</v>
      </c>
      <c r="N1712" s="290">
        <v>1000</v>
      </c>
      <c r="O1712" s="46"/>
      <c r="P1712" s="46" t="s">
        <v>213</v>
      </c>
      <c r="Q1712" s="12"/>
      <c r="R1712" s="192" t="str">
        <f>CONCATENATE(N1712,P1712)</f>
        <v>1000kilos</v>
      </c>
      <c r="S1712" s="198">
        <f>M1712*N1712</f>
        <v>15000</v>
      </c>
      <c r="T1712" s="199" t="str">
        <f>CONCATENATE(S1712,Q1712,P1712)</f>
        <v>15000kilos</v>
      </c>
      <c r="U1712" s="200">
        <f>L1712*M1712</f>
        <v>3525</v>
      </c>
      <c r="V1712" s="12"/>
      <c r="W1712" s="12"/>
    </row>
    <row r="1713" spans="1:23" x14ac:dyDescent="0.3">
      <c r="A1713" s="193">
        <v>687</v>
      </c>
      <c r="B1713" s="46" t="s">
        <v>1563</v>
      </c>
      <c r="C1713" s="315"/>
      <c r="D1713" s="316"/>
      <c r="E1713" s="315"/>
      <c r="F1713" s="315"/>
      <c r="G1713" s="315"/>
      <c r="H1713" s="194" t="s">
        <v>29</v>
      </c>
      <c r="I1713" s="12"/>
      <c r="J1713" s="170"/>
      <c r="K1713" s="12"/>
      <c r="L1713" s="197">
        <v>270</v>
      </c>
      <c r="M1713" s="197">
        <v>17</v>
      </c>
      <c r="N1713" s="290">
        <v>1</v>
      </c>
      <c r="O1713" s="46"/>
      <c r="P1713" s="46" t="s">
        <v>213</v>
      </c>
      <c r="Q1713" s="12"/>
      <c r="R1713" s="192" t="str">
        <f>CONCATENATE(N1713,P1713)</f>
        <v>1kilos</v>
      </c>
      <c r="S1713" s="198">
        <f>M1713*N1713</f>
        <v>17</v>
      </c>
      <c r="T1713" s="199" t="str">
        <f>CONCATENATE(S1713,Q1713,P1713)</f>
        <v>17kilos</v>
      </c>
      <c r="U1713" s="200">
        <f>L1713*M1713</f>
        <v>4590</v>
      </c>
      <c r="V1713" s="12"/>
      <c r="W1713" s="12"/>
    </row>
    <row r="1714" spans="1:23" x14ac:dyDescent="0.3">
      <c r="A1714" s="193">
        <v>687</v>
      </c>
      <c r="B1714" s="46" t="s">
        <v>1563</v>
      </c>
      <c r="C1714" s="315"/>
      <c r="D1714" s="316"/>
      <c r="E1714" s="315"/>
      <c r="F1714" s="315"/>
      <c r="G1714" s="315"/>
      <c r="H1714" s="194" t="s">
        <v>2024</v>
      </c>
      <c r="I1714" s="12"/>
      <c r="J1714" s="170"/>
      <c r="K1714" s="12"/>
      <c r="L1714" s="197">
        <v>270</v>
      </c>
      <c r="M1714" s="197">
        <v>25</v>
      </c>
      <c r="N1714" s="290">
        <v>1</v>
      </c>
      <c r="O1714" s="46"/>
      <c r="P1714" s="46" t="s">
        <v>213</v>
      </c>
      <c r="Q1714" s="12"/>
      <c r="R1714" s="192" t="str">
        <f>CONCATENATE(N1714,P1714)</f>
        <v>1kilos</v>
      </c>
      <c r="S1714" s="198">
        <f>M1714*N1714</f>
        <v>25</v>
      </c>
      <c r="T1714" s="199" t="str">
        <f>CONCATENATE(S1714,Q1714,P1714)</f>
        <v>25kilos</v>
      </c>
      <c r="U1714" s="200">
        <f>L1714*M1714</f>
        <v>6750</v>
      </c>
      <c r="V1714" s="12"/>
      <c r="W1714" s="12"/>
    </row>
    <row r="1715" spans="1:23" x14ac:dyDescent="0.3">
      <c r="A1715" s="193">
        <v>687</v>
      </c>
      <c r="B1715" s="46" t="s">
        <v>1563</v>
      </c>
      <c r="C1715" s="315"/>
      <c r="D1715" s="316"/>
      <c r="E1715" s="315"/>
      <c r="F1715" s="315"/>
      <c r="G1715" s="315"/>
      <c r="H1715" s="194" t="s">
        <v>2026</v>
      </c>
      <c r="I1715" s="12"/>
      <c r="J1715" s="170"/>
      <c r="K1715" s="12"/>
      <c r="L1715" s="197">
        <v>277</v>
      </c>
      <c r="M1715" s="197">
        <v>46</v>
      </c>
      <c r="N1715" s="290">
        <v>1</v>
      </c>
      <c r="O1715" s="46"/>
      <c r="P1715" s="46" t="s">
        <v>213</v>
      </c>
      <c r="Q1715" s="12"/>
      <c r="R1715" s="192" t="str">
        <f>CONCATENATE(N1715,P1715)</f>
        <v>1kilos</v>
      </c>
      <c r="S1715" s="198">
        <f>M1715*N1715</f>
        <v>46</v>
      </c>
      <c r="T1715" s="199" t="str">
        <f>CONCATENATE(S1715,Q1715,P1715)</f>
        <v>46kilos</v>
      </c>
      <c r="U1715" s="200">
        <f>L1715*M1715</f>
        <v>12742</v>
      </c>
      <c r="V1715" s="12"/>
      <c r="W1715" s="12"/>
    </row>
    <row r="1716" spans="1:23" x14ac:dyDescent="0.3">
      <c r="A1716" s="193">
        <v>687</v>
      </c>
      <c r="B1716" s="46" t="s">
        <v>1563</v>
      </c>
      <c r="C1716" s="315"/>
      <c r="D1716" s="316"/>
      <c r="E1716" s="315"/>
      <c r="F1716" s="315"/>
      <c r="G1716" s="315"/>
      <c r="H1716" s="194" t="s">
        <v>1368</v>
      </c>
      <c r="I1716" s="12"/>
      <c r="J1716" s="170"/>
      <c r="K1716" s="12"/>
      <c r="L1716" s="197">
        <v>300</v>
      </c>
      <c r="M1716" s="197">
        <v>5</v>
      </c>
      <c r="N1716" s="290">
        <v>1000</v>
      </c>
      <c r="O1716" s="46"/>
      <c r="P1716" s="46" t="s">
        <v>39</v>
      </c>
      <c r="Q1716" s="12"/>
      <c r="R1716" s="192" t="str">
        <f>CONCATENATE(N1716,P1716)</f>
        <v>1000grams</v>
      </c>
      <c r="S1716" s="198">
        <f>M1716*N1716</f>
        <v>5000</v>
      </c>
      <c r="T1716" s="199" t="str">
        <f>CONCATENATE(S1716,Q1716,P1716)</f>
        <v>5000grams</v>
      </c>
      <c r="U1716" s="200">
        <f>L1716*M1716</f>
        <v>1500</v>
      </c>
      <c r="V1716" s="12"/>
      <c r="W1716" s="12"/>
    </row>
    <row r="1717" spans="1:23" x14ac:dyDescent="0.3">
      <c r="A1717" s="193">
        <v>687</v>
      </c>
      <c r="B1717" s="46" t="s">
        <v>1563</v>
      </c>
      <c r="C1717" s="315"/>
      <c r="D1717" s="316"/>
      <c r="E1717" s="315"/>
      <c r="F1717" s="315"/>
      <c r="G1717" s="315"/>
      <c r="H1717" s="194" t="s">
        <v>2022</v>
      </c>
      <c r="I1717" s="12"/>
      <c r="J1717" s="170"/>
      <c r="K1717" s="12"/>
      <c r="L1717" s="197">
        <v>440</v>
      </c>
      <c r="M1717" s="197">
        <v>11</v>
      </c>
      <c r="N1717" s="290">
        <v>1000</v>
      </c>
      <c r="O1717" s="46"/>
      <c r="P1717" s="46" t="s">
        <v>39</v>
      </c>
      <c r="Q1717" s="12"/>
      <c r="R1717" s="192" t="str">
        <f>CONCATENATE(N1717,P1717)</f>
        <v>1000grams</v>
      </c>
      <c r="S1717" s="198">
        <f>M1717*N1717</f>
        <v>11000</v>
      </c>
      <c r="T1717" s="199" t="str">
        <f>CONCATENATE(S1717,Q1717,P1717)</f>
        <v>11000grams</v>
      </c>
      <c r="U1717" s="200">
        <f>L1717*M1717</f>
        <v>4840</v>
      </c>
      <c r="V1717" s="12"/>
      <c r="W1717" s="12"/>
    </row>
    <row r="1718" spans="1:23" x14ac:dyDescent="0.3">
      <c r="A1718" s="193">
        <v>687</v>
      </c>
      <c r="B1718" s="46" t="s">
        <v>1563</v>
      </c>
      <c r="C1718" s="315"/>
      <c r="D1718" s="316"/>
      <c r="E1718" s="315"/>
      <c r="F1718" s="315"/>
      <c r="G1718" s="315"/>
      <c r="H1718" s="194" t="s">
        <v>2020</v>
      </c>
      <c r="I1718" s="12"/>
      <c r="J1718" s="46" t="s">
        <v>1098</v>
      </c>
      <c r="K1718" s="12"/>
      <c r="L1718" s="197">
        <v>289</v>
      </c>
      <c r="M1718" s="197">
        <v>25</v>
      </c>
      <c r="N1718" s="290">
        <v>1000</v>
      </c>
      <c r="O1718" s="46"/>
      <c r="P1718" s="46" t="s">
        <v>213</v>
      </c>
      <c r="Q1718" s="12"/>
      <c r="R1718" s="192" t="str">
        <f>CONCATENATE(N1718,P1718)</f>
        <v>1000kilos</v>
      </c>
      <c r="S1718" s="198">
        <f>M1718*N1718</f>
        <v>25000</v>
      </c>
      <c r="T1718" s="199" t="str">
        <f>CONCATENATE(S1718,Q1718,P1718)</f>
        <v>25000kilos</v>
      </c>
      <c r="U1718" s="200">
        <f>L1718*M1718</f>
        <v>7225</v>
      </c>
      <c r="V1718" s="12"/>
      <c r="W1718" s="12"/>
    </row>
    <row r="1719" spans="1:23" x14ac:dyDescent="0.3">
      <c r="A1719" s="193">
        <v>688</v>
      </c>
      <c r="B1719" s="46" t="s">
        <v>1564</v>
      </c>
      <c r="C1719" s="315"/>
      <c r="D1719" s="316"/>
      <c r="E1719" s="315"/>
      <c r="F1719" s="315"/>
      <c r="G1719" s="315"/>
      <c r="H1719" s="194" t="s">
        <v>1368</v>
      </c>
      <c r="I1719" s="12"/>
      <c r="J1719" s="170"/>
      <c r="K1719" s="12"/>
      <c r="L1719" s="197">
        <v>190</v>
      </c>
      <c r="M1719" s="197">
        <v>9</v>
      </c>
      <c r="N1719" s="290">
        <v>1000</v>
      </c>
      <c r="O1719" s="46"/>
      <c r="P1719" s="46" t="s">
        <v>39</v>
      </c>
      <c r="Q1719" s="12"/>
      <c r="R1719" s="192" t="str">
        <f>CONCATENATE(N1719,P1719)</f>
        <v>1000grams</v>
      </c>
      <c r="S1719" s="198">
        <f>M1719*N1719</f>
        <v>9000</v>
      </c>
      <c r="T1719" s="199" t="str">
        <f>CONCATENATE(S1719,Q1719,P1719)</f>
        <v>9000grams</v>
      </c>
      <c r="U1719" s="200">
        <f>L1719*M1719</f>
        <v>1710</v>
      </c>
      <c r="V1719" s="12"/>
      <c r="W1719" s="12"/>
    </row>
    <row r="1720" spans="1:23" x14ac:dyDescent="0.3">
      <c r="A1720" s="193">
        <v>688</v>
      </c>
      <c r="B1720" s="46" t="s">
        <v>1564</v>
      </c>
      <c r="C1720" s="315"/>
      <c r="D1720" s="316"/>
      <c r="E1720" s="315"/>
      <c r="F1720" s="315"/>
      <c r="G1720" s="315"/>
      <c r="H1720" s="194" t="s">
        <v>2022</v>
      </c>
      <c r="I1720" s="12"/>
      <c r="J1720" s="170"/>
      <c r="K1720" s="12"/>
      <c r="L1720" s="197">
        <v>240</v>
      </c>
      <c r="M1720" s="197">
        <v>1</v>
      </c>
      <c r="N1720" s="290">
        <v>1000</v>
      </c>
      <c r="O1720" s="46"/>
      <c r="P1720" s="46" t="s">
        <v>39</v>
      </c>
      <c r="Q1720" s="12"/>
      <c r="R1720" s="192" t="str">
        <f>CONCATENATE(N1720,P1720)</f>
        <v>1000grams</v>
      </c>
      <c r="S1720" s="198">
        <f>M1720*N1720</f>
        <v>1000</v>
      </c>
      <c r="T1720" s="199" t="str">
        <f>CONCATENATE(S1720,Q1720,P1720)</f>
        <v>1000grams</v>
      </c>
      <c r="U1720" s="200">
        <f>L1720*M1720</f>
        <v>240</v>
      </c>
      <c r="V1720" s="12"/>
      <c r="W1720" s="12"/>
    </row>
    <row r="1721" spans="1:23" x14ac:dyDescent="0.3">
      <c r="A1721" s="193">
        <v>689</v>
      </c>
      <c r="B1721" s="46" t="s">
        <v>1565</v>
      </c>
      <c r="C1721" s="315"/>
      <c r="D1721" s="316"/>
      <c r="E1721" s="315"/>
      <c r="F1721" s="315"/>
      <c r="G1721" s="315"/>
      <c r="H1721" s="194" t="s">
        <v>1368</v>
      </c>
      <c r="I1721" s="12"/>
      <c r="J1721" s="170"/>
      <c r="K1721" s="12"/>
      <c r="L1721" s="197">
        <v>280</v>
      </c>
      <c r="M1721" s="197">
        <v>10</v>
      </c>
      <c r="N1721" s="290">
        <v>1000</v>
      </c>
      <c r="O1721" s="46"/>
      <c r="P1721" s="46" t="s">
        <v>39</v>
      </c>
      <c r="Q1721" s="12"/>
      <c r="R1721" s="192" t="str">
        <f>CONCATENATE(N1721,P1721)</f>
        <v>1000grams</v>
      </c>
      <c r="S1721" s="198">
        <f>M1721*N1721</f>
        <v>10000</v>
      </c>
      <c r="T1721" s="199" t="str">
        <f>CONCATENATE(S1721,Q1721,P1721)</f>
        <v>10000grams</v>
      </c>
      <c r="U1721" s="200">
        <f>L1721*M1721</f>
        <v>2800</v>
      </c>
      <c r="V1721" s="12"/>
      <c r="W1721" s="12"/>
    </row>
    <row r="1722" spans="1:23" x14ac:dyDescent="0.3">
      <c r="A1722" s="193">
        <v>690</v>
      </c>
      <c r="B1722" s="46" t="s">
        <v>1566</v>
      </c>
      <c r="C1722" s="315"/>
      <c r="D1722" s="316"/>
      <c r="E1722" s="315"/>
      <c r="F1722" s="315"/>
      <c r="G1722" s="315"/>
      <c r="H1722" s="194" t="s">
        <v>2022</v>
      </c>
      <c r="I1722" s="12"/>
      <c r="J1722" s="170"/>
      <c r="K1722" s="12"/>
      <c r="L1722" s="197">
        <v>320</v>
      </c>
      <c r="M1722" s="197">
        <v>10</v>
      </c>
      <c r="N1722" s="290">
        <v>1000</v>
      </c>
      <c r="O1722" s="46"/>
      <c r="P1722" s="46" t="s">
        <v>213</v>
      </c>
      <c r="Q1722" s="12"/>
      <c r="R1722" s="192" t="str">
        <f>CONCATENATE(N1722,P1722)</f>
        <v>1000kilos</v>
      </c>
      <c r="S1722" s="198">
        <f>M1722*N1722</f>
        <v>10000</v>
      </c>
      <c r="T1722" s="199" t="str">
        <f>CONCATENATE(S1722,Q1722,P1722)</f>
        <v>10000kilos</v>
      </c>
      <c r="U1722" s="200">
        <f>L1722*M1722</f>
        <v>3200</v>
      </c>
      <c r="V1722" s="12"/>
      <c r="W1722" s="12"/>
    </row>
    <row r="1723" spans="1:23" x14ac:dyDescent="0.3">
      <c r="A1723" s="193">
        <v>690</v>
      </c>
      <c r="B1723" s="219" t="s">
        <v>1566</v>
      </c>
      <c r="C1723" s="315"/>
      <c r="D1723" s="316"/>
      <c r="E1723" s="315"/>
      <c r="F1723" s="315"/>
      <c r="G1723" s="315"/>
      <c r="H1723" s="194" t="s">
        <v>2021</v>
      </c>
      <c r="I1723" s="12"/>
      <c r="J1723" s="326"/>
      <c r="K1723" s="12"/>
      <c r="L1723" s="216">
        <v>290</v>
      </c>
      <c r="M1723" s="216">
        <v>5</v>
      </c>
      <c r="N1723" s="293">
        <v>1</v>
      </c>
      <c r="O1723" s="219"/>
      <c r="P1723" s="219" t="s">
        <v>213</v>
      </c>
      <c r="Q1723" s="12"/>
      <c r="R1723" s="192" t="str">
        <f>CONCATENATE(N1723,P1723)</f>
        <v>1kilos</v>
      </c>
      <c r="S1723" s="198">
        <f>M1723*N1723</f>
        <v>5</v>
      </c>
      <c r="T1723" s="199" t="str">
        <f>CONCATENATE(S1723,Q1723,P1723)</f>
        <v>5kilos</v>
      </c>
      <c r="U1723" s="200">
        <f>L1723*M1723</f>
        <v>1450</v>
      </c>
      <c r="V1723" s="12"/>
      <c r="W1723" s="12"/>
    </row>
    <row r="1724" spans="1:23" x14ac:dyDescent="0.3">
      <c r="A1724" s="193">
        <v>691</v>
      </c>
      <c r="B1724" s="46" t="s">
        <v>1567</v>
      </c>
      <c r="C1724" s="315"/>
      <c r="D1724" s="316"/>
      <c r="E1724" s="315"/>
      <c r="F1724" s="315"/>
      <c r="G1724" s="315"/>
      <c r="H1724" s="194" t="s">
        <v>1368</v>
      </c>
      <c r="I1724" s="12"/>
      <c r="J1724" s="170"/>
      <c r="K1724" s="12"/>
      <c r="L1724" s="197">
        <v>340</v>
      </c>
      <c r="M1724" s="197">
        <v>10</v>
      </c>
      <c r="N1724" s="290">
        <v>1000</v>
      </c>
      <c r="O1724" s="46"/>
      <c r="P1724" s="46" t="s">
        <v>39</v>
      </c>
      <c r="Q1724" s="12"/>
      <c r="R1724" s="192" t="str">
        <f>CONCATENATE(N1724,P1724)</f>
        <v>1000grams</v>
      </c>
      <c r="S1724" s="198">
        <f>M1724*N1724</f>
        <v>10000</v>
      </c>
      <c r="T1724" s="199" t="str">
        <f>CONCATENATE(S1724,Q1724,P1724)</f>
        <v>10000grams</v>
      </c>
      <c r="U1724" s="200">
        <f>L1724*M1724</f>
        <v>3400</v>
      </c>
      <c r="V1724" s="12"/>
      <c r="W1724" s="12"/>
    </row>
    <row r="1725" spans="1:23" x14ac:dyDescent="0.3">
      <c r="A1725" s="479">
        <v>692</v>
      </c>
      <c r="B1725" s="214" t="s">
        <v>192</v>
      </c>
      <c r="C1725" s="489"/>
      <c r="D1725" s="485" t="str">
        <f ca="1">IFERROR(__xludf.DUMMYFUNCTION("IF(J480="""",""n/a"",IFERROR(SPLIT(J480,""/"")))"),"Hunts")</f>
        <v>Hunts</v>
      </c>
      <c r="E1725" s="493" t="str">
        <f ca="1">IFERROR(__xludf.DUMMYFUNCTION("""COMPUTED_VALUE"""),"can")</f>
        <v>can</v>
      </c>
      <c r="F1725" s="493" t="str">
        <f ca="1">IFERROR(__xludf.DUMMYFUNCTION("""COMPUTED_VALUE"""),"425grams")</f>
        <v>425grams</v>
      </c>
      <c r="G1725" s="489"/>
      <c r="H1725" s="183" t="s">
        <v>1895</v>
      </c>
      <c r="I1725" s="489"/>
      <c r="J1725" s="46" t="s">
        <v>193</v>
      </c>
      <c r="K1725" s="487"/>
      <c r="L1725" s="195">
        <v>59.8</v>
      </c>
      <c r="M1725" s="197">
        <v>1</v>
      </c>
      <c r="N1725" s="61">
        <v>1</v>
      </c>
      <c r="O1725" s="61" t="str">
        <f ca="1">E1725</f>
        <v>can</v>
      </c>
      <c r="P1725" s="61" t="s">
        <v>39</v>
      </c>
      <c r="Q1725" s="487"/>
      <c r="R1725" s="192" t="str">
        <f>CONCATENATE(N1725,P1725)</f>
        <v>1grams</v>
      </c>
      <c r="S1725" s="198">
        <f>M1725*N1725</f>
        <v>1</v>
      </c>
      <c r="T1725" s="199" t="str">
        <f>CONCATENATE(S1725,Q1725,P1725)</f>
        <v>1grams</v>
      </c>
      <c r="U1725" s="200">
        <f>L1725*M1725</f>
        <v>59.8</v>
      </c>
      <c r="V1725" s="12"/>
      <c r="W1725" s="12"/>
    </row>
    <row r="1726" spans="1:23" x14ac:dyDescent="0.3">
      <c r="A1726" s="479">
        <v>693</v>
      </c>
      <c r="B1726" s="194" t="s">
        <v>729</v>
      </c>
      <c r="C1726" s="487"/>
      <c r="D1726" s="485" t="str">
        <f ca="1">IFERROR(__xludf.DUMMYFUNCTION("IF(J481="""",""n/a"",IFERROR(SPLIT(J481,""/"")))"),"n/a")</f>
        <v>n/a</v>
      </c>
      <c r="E1726" s="487"/>
      <c r="F1726" s="487"/>
      <c r="G1726" s="487"/>
      <c r="H1726" s="206" t="s">
        <v>1898</v>
      </c>
      <c r="I1726" s="487"/>
      <c r="J1726" s="170"/>
      <c r="K1726" s="487"/>
      <c r="L1726" s="197">
        <v>145</v>
      </c>
      <c r="M1726" s="385">
        <v>18</v>
      </c>
      <c r="N1726" s="208">
        <v>1</v>
      </c>
      <c r="O1726" s="170">
        <f>E1726</f>
        <v>0</v>
      </c>
      <c r="P1726" s="61" t="s">
        <v>213</v>
      </c>
      <c r="Q1726" s="487"/>
      <c r="R1726" s="192" t="str">
        <f>CONCATENATE(N1726,P1726)</f>
        <v>1kilos</v>
      </c>
      <c r="S1726" s="198">
        <f>M1726*N1726</f>
        <v>18</v>
      </c>
      <c r="T1726" s="199" t="str">
        <f>CONCATENATE(S1726,Q1726,P1726)</f>
        <v>18kilos</v>
      </c>
      <c r="U1726" s="200">
        <f>L1726*M1726</f>
        <v>2610</v>
      </c>
      <c r="V1726" s="12"/>
      <c r="W1726" s="12"/>
    </row>
    <row r="1727" spans="1:23" x14ac:dyDescent="0.3">
      <c r="A1727" s="479">
        <v>694</v>
      </c>
      <c r="B1727" s="194" t="s">
        <v>357</v>
      </c>
      <c r="C1727" s="487"/>
      <c r="D1727" s="485" t="str">
        <f ca="1">IFERROR(__xludf.DUMMYFUNCTION("IF(J482="""",""n/a"",IFERROR(SPLIT(J482,""/"")))"),"Frozen")</f>
        <v>Frozen</v>
      </c>
      <c r="E1727" s="485" t="str">
        <f ca="1">IFERROR(__xludf.DUMMYFUNCTION("""COMPUTED_VALUE"""),"box(kilos)")</f>
        <v>box(kilos)</v>
      </c>
      <c r="F1727" s="487"/>
      <c r="G1727" s="487"/>
      <c r="H1727" s="183" t="s">
        <v>1897</v>
      </c>
      <c r="I1727" s="487"/>
      <c r="J1727" s="46" t="s">
        <v>212</v>
      </c>
      <c r="K1727" s="487"/>
      <c r="L1727" s="195">
        <v>178</v>
      </c>
      <c r="M1727" s="202">
        <v>44</v>
      </c>
      <c r="N1727" s="203">
        <v>1</v>
      </c>
      <c r="O1727" s="61" t="str">
        <f ca="1">E1727</f>
        <v>box(kilos)</v>
      </c>
      <c r="P1727" s="61" t="s">
        <v>213</v>
      </c>
      <c r="Q1727" s="487"/>
      <c r="R1727" s="192" t="str">
        <f>CONCATENATE(N1727,P1727)</f>
        <v>1kilos</v>
      </c>
      <c r="S1727" s="198">
        <f>M1727*N1727</f>
        <v>44</v>
      </c>
      <c r="T1727" s="199" t="str">
        <f>CONCATENATE(S1727,Q1727,P1727)</f>
        <v>44kilos</v>
      </c>
      <c r="U1727" s="200">
        <f>L1727*M1727</f>
        <v>7832</v>
      </c>
      <c r="V1727" s="12"/>
      <c r="W1727" s="12"/>
    </row>
    <row r="1728" spans="1:23" x14ac:dyDescent="0.3">
      <c r="A1728" s="479">
        <v>694</v>
      </c>
      <c r="B1728" s="194" t="s">
        <v>357</v>
      </c>
      <c r="C1728" s="487"/>
      <c r="D1728" s="485" t="str">
        <f ca="1">IFERROR(__xludf.DUMMYFUNCTION("IF(J483="""",""n/a"",IFERROR(SPLIT(J483,""/"")))"),"Frozen")</f>
        <v>Frozen</v>
      </c>
      <c r="E1728" s="485" t="str">
        <f ca="1">IFERROR(__xludf.DUMMYFUNCTION("""COMPUTED_VALUE"""),"box(kilos)")</f>
        <v>box(kilos)</v>
      </c>
      <c r="F1728" s="487"/>
      <c r="G1728" s="487"/>
      <c r="H1728" s="183" t="s">
        <v>1895</v>
      </c>
      <c r="I1728" s="487"/>
      <c r="J1728" s="46" t="s">
        <v>212</v>
      </c>
      <c r="K1728" s="487"/>
      <c r="L1728" s="195">
        <v>196</v>
      </c>
      <c r="M1728" s="197">
        <v>67</v>
      </c>
      <c r="N1728" s="61">
        <v>1</v>
      </c>
      <c r="O1728" s="61" t="str">
        <f ca="1">E1728</f>
        <v>box(kilos)</v>
      </c>
      <c r="P1728" s="61" t="s">
        <v>213</v>
      </c>
      <c r="Q1728" s="487"/>
      <c r="R1728" s="192" t="str">
        <f>CONCATENATE(N1728,P1728)</f>
        <v>1kilos</v>
      </c>
      <c r="S1728" s="198">
        <f>M1728*N1728</f>
        <v>67</v>
      </c>
      <c r="T1728" s="199" t="str">
        <f>CONCATENATE(S1728,Q1728,P1728)</f>
        <v>67kilos</v>
      </c>
      <c r="U1728" s="200">
        <f>L1728*M1728</f>
        <v>13132</v>
      </c>
      <c r="V1728" s="12"/>
      <c r="W1728" s="12"/>
    </row>
    <row r="1729" spans="1:23" x14ac:dyDescent="0.3">
      <c r="A1729" s="479">
        <v>694</v>
      </c>
      <c r="B1729" s="194" t="s">
        <v>357</v>
      </c>
      <c r="C1729" s="487"/>
      <c r="D1729" s="485" t="str">
        <f ca="1">IFERROR(__xludf.DUMMYFUNCTION("IF(J484="""",""n/a"",IFERROR(SPLIT(J484,""/"")))"),"n/a")</f>
        <v>n/a</v>
      </c>
      <c r="E1729" s="487"/>
      <c r="F1729" s="487"/>
      <c r="G1729" s="487"/>
      <c r="H1729" s="206" t="s">
        <v>1898</v>
      </c>
      <c r="I1729" s="487"/>
      <c r="J1729" s="170"/>
      <c r="K1729" s="487"/>
      <c r="L1729" s="197">
        <v>192</v>
      </c>
      <c r="M1729" s="386">
        <v>45.78</v>
      </c>
      <c r="N1729" s="208">
        <v>1</v>
      </c>
      <c r="O1729" s="170">
        <f>E1729</f>
        <v>0</v>
      </c>
      <c r="P1729" s="61" t="s">
        <v>213</v>
      </c>
      <c r="Q1729" s="487"/>
      <c r="R1729" s="192" t="str">
        <f>CONCATENATE(N1729,P1729)</f>
        <v>1kilos</v>
      </c>
      <c r="S1729" s="198">
        <f>M1729*N1729</f>
        <v>45.78</v>
      </c>
      <c r="T1729" s="199" t="str">
        <f>CONCATENATE(S1729,Q1729,P1729)</f>
        <v>45.78kilos</v>
      </c>
      <c r="U1729" s="200">
        <f>L1729*M1729</f>
        <v>8789.76</v>
      </c>
      <c r="V1729" s="12"/>
      <c r="W1729" s="12"/>
    </row>
    <row r="1730" spans="1:23" x14ac:dyDescent="0.3">
      <c r="A1730" s="479">
        <v>695</v>
      </c>
      <c r="B1730" s="194" t="s">
        <v>358</v>
      </c>
      <c r="C1730" s="487"/>
      <c r="D1730" s="485" t="str">
        <f ca="1">IFERROR(__xludf.DUMMYFUNCTION("IF(J485="""",""n/a"",IFERROR(SPLIT(J485,""/"")))"),"Frozen")</f>
        <v>Frozen</v>
      </c>
      <c r="E1730" s="485" t="str">
        <f ca="1">IFERROR(__xludf.DUMMYFUNCTION("""COMPUTED_VALUE"""),"box(kilos)")</f>
        <v>box(kilos)</v>
      </c>
      <c r="F1730" s="487"/>
      <c r="G1730" s="487"/>
      <c r="H1730" s="183" t="s">
        <v>1897</v>
      </c>
      <c r="I1730" s="487"/>
      <c r="J1730" s="46" t="s">
        <v>212</v>
      </c>
      <c r="K1730" s="487"/>
      <c r="L1730" s="195">
        <v>225</v>
      </c>
      <c r="M1730" s="202">
        <v>68</v>
      </c>
      <c r="N1730" s="203">
        <v>1</v>
      </c>
      <c r="O1730" s="61" t="str">
        <f ca="1">E1730</f>
        <v>box(kilos)</v>
      </c>
      <c r="P1730" s="61" t="s">
        <v>213</v>
      </c>
      <c r="Q1730" s="487"/>
      <c r="R1730" s="192" t="str">
        <f>CONCATENATE(N1730,P1730)</f>
        <v>1kilos</v>
      </c>
      <c r="S1730" s="198">
        <f>M1730*N1730</f>
        <v>68</v>
      </c>
      <c r="T1730" s="199" t="str">
        <f>CONCATENATE(S1730,Q1730,P1730)</f>
        <v>68kilos</v>
      </c>
      <c r="U1730" s="200">
        <f>L1730*M1730</f>
        <v>15300</v>
      </c>
      <c r="V1730" s="12"/>
      <c r="W1730" s="12"/>
    </row>
    <row r="1731" spans="1:23" x14ac:dyDescent="0.3">
      <c r="A1731" s="479">
        <v>695</v>
      </c>
      <c r="B1731" s="194" t="s">
        <v>358</v>
      </c>
      <c r="C1731" s="487"/>
      <c r="D1731" s="485" t="str">
        <f ca="1">IFERROR(__xludf.DUMMYFUNCTION("IF(J486="""",""n/a"",IFERROR(SPLIT(J486,""/"")))"),"Frozen")</f>
        <v>Frozen</v>
      </c>
      <c r="E1731" s="485" t="str">
        <f ca="1">IFERROR(__xludf.DUMMYFUNCTION("""COMPUTED_VALUE"""),"box(kilos)")</f>
        <v>box(kilos)</v>
      </c>
      <c r="F1731" s="487"/>
      <c r="G1731" s="487"/>
      <c r="H1731" s="183" t="s">
        <v>1895</v>
      </c>
      <c r="I1731" s="487"/>
      <c r="J1731" s="46" t="s">
        <v>212</v>
      </c>
      <c r="K1731" s="487"/>
      <c r="L1731" s="195">
        <v>220</v>
      </c>
      <c r="M1731" s="197">
        <v>222</v>
      </c>
      <c r="N1731" s="61">
        <v>1</v>
      </c>
      <c r="O1731" s="61" t="str">
        <f ca="1">E1731</f>
        <v>box(kilos)</v>
      </c>
      <c r="P1731" s="61" t="s">
        <v>213</v>
      </c>
      <c r="Q1731" s="487"/>
      <c r="R1731" s="192" t="str">
        <f>CONCATENATE(N1731,P1731)</f>
        <v>1kilos</v>
      </c>
      <c r="S1731" s="198">
        <f>M1731*N1731</f>
        <v>222</v>
      </c>
      <c r="T1731" s="199" t="str">
        <f>CONCATENATE(S1731,Q1731,P1731)</f>
        <v>222kilos</v>
      </c>
      <c r="U1731" s="200">
        <f>L1731*M1731</f>
        <v>48840</v>
      </c>
      <c r="V1731" s="12"/>
      <c r="W1731" s="12"/>
    </row>
    <row r="1732" spans="1:23" x14ac:dyDescent="0.3">
      <c r="A1732" s="479">
        <v>695</v>
      </c>
      <c r="B1732" s="194" t="s">
        <v>358</v>
      </c>
      <c r="C1732" s="487"/>
      <c r="D1732" s="485" t="str">
        <f ca="1">IFERROR(__xludf.DUMMYFUNCTION("IF(J487="""",""n/a"",IFERROR(SPLIT(J487,""/"")))"),"n/a")</f>
        <v>n/a</v>
      </c>
      <c r="E1732" s="487"/>
      <c r="F1732" s="487"/>
      <c r="G1732" s="487"/>
      <c r="H1732" s="206" t="s">
        <v>1898</v>
      </c>
      <c r="I1732" s="487"/>
      <c r="J1732" s="170"/>
      <c r="K1732" s="487"/>
      <c r="L1732" s="197">
        <v>226</v>
      </c>
      <c r="M1732" s="385">
        <v>25</v>
      </c>
      <c r="N1732" s="208">
        <v>1</v>
      </c>
      <c r="O1732" s="170">
        <f>E1732</f>
        <v>0</v>
      </c>
      <c r="P1732" s="61" t="s">
        <v>213</v>
      </c>
      <c r="Q1732" s="487"/>
      <c r="R1732" s="192" t="str">
        <f>CONCATENATE(N1732,P1732)</f>
        <v>1kilos</v>
      </c>
      <c r="S1732" s="198">
        <f>M1732*N1732</f>
        <v>25</v>
      </c>
      <c r="T1732" s="199" t="str">
        <f>CONCATENATE(S1732,Q1732,P1732)</f>
        <v>25kilos</v>
      </c>
      <c r="U1732" s="200">
        <f>L1732*M1732</f>
        <v>5650</v>
      </c>
      <c r="V1732" s="12"/>
      <c r="W1732" s="12"/>
    </row>
    <row r="1733" spans="1:23" x14ac:dyDescent="0.3">
      <c r="A1733" s="193">
        <v>695</v>
      </c>
      <c r="B1733" s="46" t="s">
        <v>358</v>
      </c>
      <c r="C1733" s="315"/>
      <c r="D1733" s="316"/>
      <c r="E1733" s="315"/>
      <c r="F1733" s="315"/>
      <c r="G1733" s="315"/>
      <c r="H1733" s="400" t="s">
        <v>2027</v>
      </c>
      <c r="I1733" s="12"/>
      <c r="J1733" s="170"/>
      <c r="K1733" s="12"/>
      <c r="L1733" s="195">
        <v>233</v>
      </c>
      <c r="M1733" s="197">
        <v>3</v>
      </c>
      <c r="N1733" s="360">
        <v>1</v>
      </c>
      <c r="O1733" s="61"/>
      <c r="P1733" s="61" t="s">
        <v>213</v>
      </c>
      <c r="Q1733" s="12"/>
      <c r="R1733" s="192" t="str">
        <f>CONCATENATE(N1733,P1733)</f>
        <v>1kilos</v>
      </c>
      <c r="S1733" s="198">
        <f>M1733*N1733</f>
        <v>3</v>
      </c>
      <c r="T1733" s="199" t="str">
        <f>CONCATENATE(S1733,Q1733,P1733)</f>
        <v>3kilos</v>
      </c>
      <c r="U1733" s="200">
        <f>L1733*M1733</f>
        <v>699</v>
      </c>
      <c r="V1733" s="12"/>
      <c r="W1733" s="12"/>
    </row>
    <row r="1734" spans="1:23" x14ac:dyDescent="0.3">
      <c r="A1734" s="479">
        <v>696</v>
      </c>
      <c r="B1734" s="194" t="s">
        <v>359</v>
      </c>
      <c r="C1734" s="487"/>
      <c r="D1734" s="485" t="str">
        <f ca="1">IFERROR(__xludf.DUMMYFUNCTION("IF(J488="""",""n/a"",IFERROR(SPLIT(J488,""/"")))"),"Frozen")</f>
        <v>Frozen</v>
      </c>
      <c r="E1734" s="485" t="str">
        <f ca="1">IFERROR(__xludf.DUMMYFUNCTION("""COMPUTED_VALUE"""),"box(20kilo)")</f>
        <v>box(20kilo)</v>
      </c>
      <c r="F1734" s="487"/>
      <c r="G1734" s="487"/>
      <c r="H1734" s="183" t="s">
        <v>1895</v>
      </c>
      <c r="I1734" s="487"/>
      <c r="J1734" s="46" t="s">
        <v>360</v>
      </c>
      <c r="K1734" s="487"/>
      <c r="L1734" s="195">
        <v>282</v>
      </c>
      <c r="M1734" s="197">
        <v>47</v>
      </c>
      <c r="N1734" s="61">
        <v>1</v>
      </c>
      <c r="O1734" s="61" t="str">
        <f ca="1">E1734</f>
        <v>box(20kilo)</v>
      </c>
      <c r="P1734" s="61" t="s">
        <v>213</v>
      </c>
      <c r="Q1734" s="487"/>
      <c r="R1734" s="192" t="str">
        <f>CONCATENATE(N1734,P1734)</f>
        <v>1kilos</v>
      </c>
      <c r="S1734" s="198">
        <f>M1734*N1734</f>
        <v>47</v>
      </c>
      <c r="T1734" s="199" t="str">
        <f>CONCATENATE(S1734,Q1734,P1734)</f>
        <v>47kilos</v>
      </c>
      <c r="U1734" s="200">
        <f>L1734*M1734</f>
        <v>13254</v>
      </c>
      <c r="V1734" s="12"/>
      <c r="W1734" s="12"/>
    </row>
    <row r="1735" spans="1:23" x14ac:dyDescent="0.3">
      <c r="A1735" s="479">
        <v>697</v>
      </c>
      <c r="B1735" s="194" t="s">
        <v>730</v>
      </c>
      <c r="C1735" s="487"/>
      <c r="D1735" s="485" t="str">
        <f ca="1">IFERROR(__xludf.DUMMYFUNCTION("IF(J489="""",""n/a"",IFERROR(SPLIT(J489,""/"")))"),"n/a")</f>
        <v>n/a</v>
      </c>
      <c r="E1735" s="487"/>
      <c r="F1735" s="487"/>
      <c r="G1735" s="487"/>
      <c r="H1735" s="206" t="s">
        <v>1898</v>
      </c>
      <c r="I1735" s="487"/>
      <c r="J1735" s="170"/>
      <c r="K1735" s="487"/>
      <c r="L1735" s="197">
        <v>155</v>
      </c>
      <c r="M1735" s="385">
        <v>6</v>
      </c>
      <c r="N1735" s="208">
        <v>1</v>
      </c>
      <c r="O1735" s="170">
        <f>E1735</f>
        <v>0</v>
      </c>
      <c r="P1735" s="61" t="s">
        <v>213</v>
      </c>
      <c r="Q1735" s="487"/>
      <c r="R1735" s="192" t="str">
        <f>CONCATENATE(N1735,P1735)</f>
        <v>1kilos</v>
      </c>
      <c r="S1735" s="198">
        <f>M1735*N1735</f>
        <v>6</v>
      </c>
      <c r="T1735" s="199" t="str">
        <f>CONCATENATE(S1735,Q1735,P1735)</f>
        <v>6kilos</v>
      </c>
      <c r="U1735" s="200">
        <f>L1735*M1735</f>
        <v>930</v>
      </c>
      <c r="V1735" s="12"/>
      <c r="W1735" s="12"/>
    </row>
    <row r="1736" spans="1:23" x14ac:dyDescent="0.3">
      <c r="A1736" s="193">
        <v>697</v>
      </c>
      <c r="B1736" s="46" t="s">
        <v>730</v>
      </c>
      <c r="C1736" s="315"/>
      <c r="D1736" s="316"/>
      <c r="E1736" s="315"/>
      <c r="F1736" s="315"/>
      <c r="G1736" s="315"/>
      <c r="H1736" s="400" t="s">
        <v>2027</v>
      </c>
      <c r="I1736" s="12"/>
      <c r="J1736" s="170"/>
      <c r="K1736" s="12"/>
      <c r="L1736" s="195">
        <v>150</v>
      </c>
      <c r="M1736" s="197">
        <v>7</v>
      </c>
      <c r="N1736" s="360">
        <v>1</v>
      </c>
      <c r="O1736" s="61"/>
      <c r="P1736" s="61" t="s">
        <v>213</v>
      </c>
      <c r="Q1736" s="12"/>
      <c r="R1736" s="192" t="str">
        <f>CONCATENATE(N1736,P1736)</f>
        <v>1kilos</v>
      </c>
      <c r="S1736" s="198">
        <f>M1736*N1736</f>
        <v>7</v>
      </c>
      <c r="T1736" s="199" t="str">
        <f>CONCATENATE(S1736,Q1736,P1736)</f>
        <v>7kilos</v>
      </c>
      <c r="U1736" s="200">
        <f>L1736*M1736</f>
        <v>1050</v>
      </c>
      <c r="V1736" s="12"/>
      <c r="W1736" s="12"/>
    </row>
    <row r="1737" spans="1:23" x14ac:dyDescent="0.3">
      <c r="A1737" s="479">
        <v>698</v>
      </c>
      <c r="B1737" s="194" t="s">
        <v>361</v>
      </c>
      <c r="C1737" s="487"/>
      <c r="D1737" s="485" t="str">
        <f ca="1">IFERROR(__xludf.DUMMYFUNCTION("IF(J490="""",""n/a"",IFERROR(SPLIT(J490,""/"")))"),"Frozen")</f>
        <v>Frozen</v>
      </c>
      <c r="E1737" s="485" t="str">
        <f ca="1">IFERROR(__xludf.DUMMYFUNCTION("""COMPUTED_VALUE"""),"box(kilos)")</f>
        <v>box(kilos)</v>
      </c>
      <c r="F1737" s="487"/>
      <c r="G1737" s="487"/>
      <c r="H1737" s="183" t="s">
        <v>1895</v>
      </c>
      <c r="I1737" s="487"/>
      <c r="J1737" s="46" t="s">
        <v>212</v>
      </c>
      <c r="K1737" s="487"/>
      <c r="L1737" s="195">
        <v>139</v>
      </c>
      <c r="M1737" s="197">
        <v>74</v>
      </c>
      <c r="N1737" s="61">
        <v>1</v>
      </c>
      <c r="O1737" s="61" t="str">
        <f ca="1">E1737</f>
        <v>box(kilos)</v>
      </c>
      <c r="P1737" s="61" t="s">
        <v>213</v>
      </c>
      <c r="Q1737" s="487"/>
      <c r="R1737" s="192" t="str">
        <f>CONCATENATE(N1737,P1737)</f>
        <v>1kilos</v>
      </c>
      <c r="S1737" s="198">
        <f>M1737*N1737</f>
        <v>74</v>
      </c>
      <c r="T1737" s="199" t="str">
        <f>CONCATENATE(S1737,Q1737,P1737)</f>
        <v>74kilos</v>
      </c>
      <c r="U1737" s="200">
        <f>L1737*M1737</f>
        <v>10286</v>
      </c>
      <c r="V1737" s="12"/>
      <c r="W1737" s="12"/>
    </row>
    <row r="1738" spans="1:23" x14ac:dyDescent="0.3">
      <c r="A1738" s="193">
        <v>699</v>
      </c>
      <c r="B1738" s="46" t="s">
        <v>1568</v>
      </c>
      <c r="C1738" s="315"/>
      <c r="D1738" s="316"/>
      <c r="E1738" s="315"/>
      <c r="F1738" s="315"/>
      <c r="G1738" s="315"/>
      <c r="H1738" s="194" t="s">
        <v>2024</v>
      </c>
      <c r="I1738" s="12"/>
      <c r="J1738" s="170"/>
      <c r="K1738" s="12"/>
      <c r="L1738" s="197">
        <v>140</v>
      </c>
      <c r="M1738" s="197">
        <v>1</v>
      </c>
      <c r="N1738" s="290">
        <v>1000</v>
      </c>
      <c r="O1738" s="46"/>
      <c r="P1738" s="46" t="s">
        <v>39</v>
      </c>
      <c r="Q1738" s="12"/>
      <c r="R1738" s="192" t="str">
        <f>CONCATENATE(N1738,P1738)</f>
        <v>1000grams</v>
      </c>
      <c r="S1738" s="198">
        <f>M1738*N1738</f>
        <v>1000</v>
      </c>
      <c r="T1738" s="199" t="str">
        <f>CONCATENATE(S1738,Q1738,P1738)</f>
        <v>1000grams</v>
      </c>
      <c r="U1738" s="200">
        <f>L1738*M1738</f>
        <v>140</v>
      </c>
      <c r="V1738" s="12"/>
      <c r="W1738" s="12"/>
    </row>
    <row r="1739" spans="1:23" x14ac:dyDescent="0.3">
      <c r="A1739" s="193">
        <v>699</v>
      </c>
      <c r="B1739" s="219" t="s">
        <v>1568</v>
      </c>
      <c r="C1739" s="315"/>
      <c r="D1739" s="316"/>
      <c r="E1739" s="315"/>
      <c r="F1739" s="315"/>
      <c r="G1739" s="315"/>
      <c r="H1739" s="194" t="s">
        <v>2021</v>
      </c>
      <c r="I1739" s="12"/>
      <c r="J1739" s="219" t="s">
        <v>1569</v>
      </c>
      <c r="K1739" s="12"/>
      <c r="L1739" s="216">
        <v>240</v>
      </c>
      <c r="M1739" s="216">
        <v>7</v>
      </c>
      <c r="N1739" s="293">
        <v>1000</v>
      </c>
      <c r="O1739" s="219"/>
      <c r="P1739" s="219" t="s">
        <v>39</v>
      </c>
      <c r="Q1739" s="12"/>
      <c r="R1739" s="192" t="str">
        <f>CONCATENATE(N1739,P1739)</f>
        <v>1000grams</v>
      </c>
      <c r="S1739" s="198">
        <f>M1739*N1739</f>
        <v>7000</v>
      </c>
      <c r="T1739" s="199" t="str">
        <f>CONCATENATE(S1739,Q1739,P1739)</f>
        <v>7000grams</v>
      </c>
      <c r="U1739" s="200">
        <f>L1739*M1739</f>
        <v>1680</v>
      </c>
      <c r="V1739" s="12"/>
      <c r="W1739" s="12"/>
    </row>
    <row r="1740" spans="1:23" x14ac:dyDescent="0.3">
      <c r="A1740" s="479">
        <v>700</v>
      </c>
      <c r="B1740" s="194" t="s">
        <v>731</v>
      </c>
      <c r="C1740" s="487"/>
      <c r="D1740" s="485" t="str">
        <f ca="1">IFERROR(__xludf.DUMMYFUNCTION("IF(J491="""",""n/a"",IFERROR(SPLIT(J491,""/"")))"),"CDO")</f>
        <v>CDO</v>
      </c>
      <c r="E1740" s="485" t="str">
        <f ca="1">IFERROR(__xludf.DUMMYFUNCTION("""COMPUTED_VALUE"""),"pack")</f>
        <v>pack</v>
      </c>
      <c r="F1740" s="485" t="str">
        <f ca="1">IFERROR(__xludf.DUMMYFUNCTION("""COMPUTED_VALUE"""),"200grams")</f>
        <v>200grams</v>
      </c>
      <c r="G1740" s="487"/>
      <c r="H1740" s="183" t="s">
        <v>1897</v>
      </c>
      <c r="I1740" s="487"/>
      <c r="J1740" s="46" t="s">
        <v>732</v>
      </c>
      <c r="K1740" s="487"/>
      <c r="L1740" s="195">
        <v>0.27</v>
      </c>
      <c r="M1740" s="202">
        <v>1000</v>
      </c>
      <c r="N1740" s="203">
        <v>200</v>
      </c>
      <c r="O1740" s="61" t="str">
        <f ca="1">E1740</f>
        <v>pack</v>
      </c>
      <c r="P1740" s="61" t="s">
        <v>39</v>
      </c>
      <c r="Q1740" s="487"/>
      <c r="R1740" s="192" t="str">
        <f>CONCATENATE(N1740,P1740)</f>
        <v>200grams</v>
      </c>
      <c r="S1740" s="198">
        <f>M1740*N1740</f>
        <v>200000</v>
      </c>
      <c r="T1740" s="199" t="str">
        <f>CONCATENATE(S1740,Q1740,P1740)</f>
        <v>200000grams</v>
      </c>
      <c r="U1740" s="200">
        <f>L1740*M1740</f>
        <v>270</v>
      </c>
      <c r="V1740" s="205"/>
      <c r="W1740" s="62"/>
    </row>
    <row r="1741" spans="1:23" x14ac:dyDescent="0.3">
      <c r="A1741" s="193">
        <v>700</v>
      </c>
      <c r="B1741" s="219" t="s">
        <v>731</v>
      </c>
      <c r="C1741" s="315"/>
      <c r="D1741" s="316"/>
      <c r="E1741" s="315"/>
      <c r="F1741" s="315"/>
      <c r="G1741" s="315"/>
      <c r="H1741" s="194" t="s">
        <v>2026</v>
      </c>
      <c r="I1741" s="12"/>
      <c r="J1741" s="46" t="s">
        <v>218</v>
      </c>
      <c r="K1741" s="12"/>
      <c r="L1741" s="197">
        <v>78</v>
      </c>
      <c r="M1741" s="197">
        <v>3</v>
      </c>
      <c r="N1741" s="290">
        <v>250</v>
      </c>
      <c r="O1741" s="46"/>
      <c r="P1741" s="46" t="s">
        <v>39</v>
      </c>
      <c r="Q1741" s="12"/>
      <c r="R1741" s="192" t="str">
        <f>CONCATENATE(N1741,P1741)</f>
        <v>250grams</v>
      </c>
      <c r="S1741" s="198">
        <f>M1741*N1741</f>
        <v>750</v>
      </c>
      <c r="T1741" s="199" t="str">
        <f>CONCATENATE(S1741,Q1741,P1741)</f>
        <v>750grams</v>
      </c>
      <c r="U1741" s="200">
        <f>L1741*M1741</f>
        <v>234</v>
      </c>
      <c r="V1741" s="12"/>
      <c r="W1741" s="12"/>
    </row>
    <row r="1742" spans="1:23" x14ac:dyDescent="0.3">
      <c r="A1742" s="193">
        <v>700</v>
      </c>
      <c r="B1742" s="46" t="s">
        <v>731</v>
      </c>
      <c r="C1742" s="315"/>
      <c r="D1742" s="316"/>
      <c r="E1742" s="315"/>
      <c r="F1742" s="315"/>
      <c r="G1742" s="315"/>
      <c r="H1742" s="194" t="s">
        <v>2020</v>
      </c>
      <c r="I1742" s="12"/>
      <c r="J1742" s="46" t="s">
        <v>1098</v>
      </c>
      <c r="K1742" s="12"/>
      <c r="L1742" s="197">
        <v>165</v>
      </c>
      <c r="M1742" s="197">
        <v>3</v>
      </c>
      <c r="N1742" s="290">
        <v>1000</v>
      </c>
      <c r="O1742" s="60"/>
      <c r="P1742" s="60" t="s">
        <v>213</v>
      </c>
      <c r="Q1742" s="12"/>
      <c r="R1742" s="192" t="str">
        <f>CONCATENATE(N1742,P1742)</f>
        <v>1000kilos</v>
      </c>
      <c r="S1742" s="198">
        <f>M1742*N1742</f>
        <v>3000</v>
      </c>
      <c r="T1742" s="199" t="str">
        <f>CONCATENATE(S1742,Q1742,P1742)</f>
        <v>3000kilos</v>
      </c>
      <c r="U1742" s="200">
        <f>L1742*M1742</f>
        <v>495</v>
      </c>
      <c r="V1742" s="12"/>
      <c r="W1742" s="12"/>
    </row>
    <row r="1743" spans="1:23" x14ac:dyDescent="0.3">
      <c r="A1743" s="479">
        <v>701</v>
      </c>
      <c r="B1743" s="194" t="s">
        <v>362</v>
      </c>
      <c r="C1743" s="487"/>
      <c r="D1743" s="485" t="str">
        <f ca="1">IFERROR(__xludf.DUMMYFUNCTION("IF(J492="""",""n/a"",IFERROR(SPLIT(J492,""/"")))"),"Frozen")</f>
        <v>Frozen</v>
      </c>
      <c r="E1743" s="487"/>
      <c r="F1743" s="487"/>
      <c r="G1743" s="487"/>
      <c r="H1743" s="183" t="s">
        <v>1897</v>
      </c>
      <c r="I1743" s="487"/>
      <c r="J1743" s="46" t="s">
        <v>363</v>
      </c>
      <c r="K1743" s="487"/>
      <c r="L1743" s="197">
        <v>205</v>
      </c>
      <c r="M1743" s="202">
        <v>9</v>
      </c>
      <c r="N1743" s="203">
        <v>1</v>
      </c>
      <c r="O1743" s="170">
        <f>E1743</f>
        <v>0</v>
      </c>
      <c r="P1743" s="61" t="s">
        <v>213</v>
      </c>
      <c r="Q1743" s="487"/>
      <c r="R1743" s="192" t="str">
        <f>CONCATENATE(N1743,P1743)</f>
        <v>1kilos</v>
      </c>
      <c r="S1743" s="198">
        <f>M1743*N1743</f>
        <v>9</v>
      </c>
      <c r="T1743" s="199" t="str">
        <f>CONCATENATE(S1743,Q1743,P1743)</f>
        <v>9kilos</v>
      </c>
      <c r="U1743" s="200">
        <f>L1743*M1743</f>
        <v>1845</v>
      </c>
      <c r="V1743" s="12"/>
      <c r="W1743" s="12"/>
    </row>
    <row r="1744" spans="1:23" x14ac:dyDescent="0.3">
      <c r="A1744" s="479">
        <v>701</v>
      </c>
      <c r="B1744" s="194" t="s">
        <v>362</v>
      </c>
      <c r="C1744" s="487"/>
      <c r="D1744" s="485" t="str">
        <f ca="1">IFERROR(__xludf.DUMMYFUNCTION("IF(J493="""",""n/a"",IFERROR(SPLIT(J493,""/"")))"),"Frozen")</f>
        <v>Frozen</v>
      </c>
      <c r="E1744" s="487"/>
      <c r="F1744" s="487"/>
      <c r="G1744" s="487"/>
      <c r="H1744" s="183" t="s">
        <v>1895</v>
      </c>
      <c r="I1744" s="487"/>
      <c r="J1744" s="46" t="s">
        <v>363</v>
      </c>
      <c r="K1744" s="487"/>
      <c r="L1744" s="195">
        <v>205</v>
      </c>
      <c r="M1744" s="197">
        <v>67</v>
      </c>
      <c r="N1744" s="61">
        <v>1</v>
      </c>
      <c r="O1744" s="170">
        <f>E1744</f>
        <v>0</v>
      </c>
      <c r="P1744" s="61" t="s">
        <v>213</v>
      </c>
      <c r="Q1744" s="487"/>
      <c r="R1744" s="192" t="str">
        <f>CONCATENATE(N1744,P1744)</f>
        <v>1kilos</v>
      </c>
      <c r="S1744" s="198">
        <f>M1744*N1744</f>
        <v>67</v>
      </c>
      <c r="T1744" s="199" t="str">
        <f>CONCATENATE(S1744,Q1744,P1744)</f>
        <v>67kilos</v>
      </c>
      <c r="U1744" s="200">
        <f>L1744*M1744</f>
        <v>13735</v>
      </c>
      <c r="V1744" s="12"/>
      <c r="W1744" s="12"/>
    </row>
    <row r="1745" spans="1:23" x14ac:dyDescent="0.3">
      <c r="A1745" s="479">
        <v>701</v>
      </c>
      <c r="B1745" s="194" t="s">
        <v>362</v>
      </c>
      <c r="C1745" s="487"/>
      <c r="D1745" s="485" t="str">
        <f ca="1">IFERROR(__xludf.DUMMYFUNCTION("IF(J494="""",""n/a"",IFERROR(SPLIT(J494,""/"")))"),"n/a")</f>
        <v>n/a</v>
      </c>
      <c r="E1745" s="487"/>
      <c r="F1745" s="487"/>
      <c r="G1745" s="487"/>
      <c r="H1745" s="206" t="s">
        <v>1898</v>
      </c>
      <c r="I1745" s="487"/>
      <c r="J1745" s="170"/>
      <c r="K1745" s="487"/>
      <c r="L1745" s="197">
        <v>226</v>
      </c>
      <c r="M1745" s="385">
        <v>31</v>
      </c>
      <c r="N1745" s="208">
        <v>1</v>
      </c>
      <c r="O1745" s="170">
        <f>E1745</f>
        <v>0</v>
      </c>
      <c r="P1745" s="61" t="s">
        <v>213</v>
      </c>
      <c r="Q1745" s="487"/>
      <c r="R1745" s="192" t="str">
        <f>CONCATENATE(N1745,P1745)</f>
        <v>1kilos</v>
      </c>
      <c r="S1745" s="198">
        <f>M1745*N1745</f>
        <v>31</v>
      </c>
      <c r="T1745" s="199" t="str">
        <f>CONCATENATE(S1745,Q1745,P1745)</f>
        <v>31kilos</v>
      </c>
      <c r="U1745" s="200">
        <f>L1745*M1745</f>
        <v>7006</v>
      </c>
      <c r="V1745" s="12"/>
      <c r="W1745" s="12"/>
    </row>
    <row r="1746" spans="1:23" x14ac:dyDescent="0.3">
      <c r="A1746" s="479">
        <v>702</v>
      </c>
      <c r="B1746" s="194" t="s">
        <v>733</v>
      </c>
      <c r="C1746" s="487"/>
      <c r="D1746" s="485" t="str">
        <f ca="1">IFERROR(__xludf.DUMMYFUNCTION("IF(J495="""",""n/a"",IFERROR(SPLIT(J495,""/"")))"),"n/a")</f>
        <v>n/a</v>
      </c>
      <c r="E1746" s="487"/>
      <c r="F1746" s="487"/>
      <c r="G1746" s="487"/>
      <c r="H1746" s="206" t="s">
        <v>1898</v>
      </c>
      <c r="I1746" s="487"/>
      <c r="J1746" s="170"/>
      <c r="K1746" s="487"/>
      <c r="L1746" s="197">
        <v>24.75</v>
      </c>
      <c r="M1746" s="386">
        <v>10</v>
      </c>
      <c r="N1746" s="208">
        <v>1</v>
      </c>
      <c r="O1746" s="170">
        <f>E1746</f>
        <v>0</v>
      </c>
      <c r="P1746" s="61" t="s">
        <v>92</v>
      </c>
      <c r="Q1746" s="487"/>
      <c r="R1746" s="192" t="str">
        <f>CONCATENATE(N1746,P1746)</f>
        <v>1pieces</v>
      </c>
      <c r="S1746" s="198">
        <f>M1746*N1746</f>
        <v>10</v>
      </c>
      <c r="T1746" s="199" t="str">
        <f>CONCATENATE(S1746,Q1746,P1746)</f>
        <v>10pieces</v>
      </c>
      <c r="U1746" s="200">
        <f>L1746*M1746</f>
        <v>247.5</v>
      </c>
      <c r="V1746" s="12"/>
      <c r="W1746" s="12"/>
    </row>
    <row r="1747" spans="1:23" x14ac:dyDescent="0.3">
      <c r="A1747" s="479">
        <v>703</v>
      </c>
      <c r="B1747" s="194" t="s">
        <v>456</v>
      </c>
      <c r="C1747" s="487"/>
      <c r="D1747" s="485" t="str">
        <f ca="1">IFERROR(__xludf.DUMMYFUNCTION("IF(J496="""",""n/a"",IFERROR(SPLIT(J496,""/"")))"),"Fresh")</f>
        <v>Fresh</v>
      </c>
      <c r="E1747" s="487"/>
      <c r="F1747" s="487"/>
      <c r="G1747" s="487"/>
      <c r="H1747" s="183" t="s">
        <v>1895</v>
      </c>
      <c r="I1747" s="487"/>
      <c r="J1747" s="46" t="s">
        <v>216</v>
      </c>
      <c r="K1747" s="487"/>
      <c r="L1747" s="195">
        <v>143</v>
      </c>
      <c r="M1747" s="197">
        <v>2</v>
      </c>
      <c r="N1747" s="61">
        <v>1</v>
      </c>
      <c r="O1747" s="170">
        <f>E1747</f>
        <v>0</v>
      </c>
      <c r="P1747" s="61" t="s">
        <v>39</v>
      </c>
      <c r="Q1747" s="487"/>
      <c r="R1747" s="192" t="str">
        <f>CONCATENATE(N1747,P1747)</f>
        <v>1grams</v>
      </c>
      <c r="S1747" s="198">
        <f>M1747*N1747</f>
        <v>2</v>
      </c>
      <c r="T1747" s="199" t="str">
        <f>CONCATENATE(S1747,Q1747,P1747)</f>
        <v>2grams</v>
      </c>
      <c r="U1747" s="200">
        <f>L1747*M1747</f>
        <v>286</v>
      </c>
      <c r="V1747" s="12"/>
      <c r="W1747" s="12"/>
    </row>
    <row r="1748" spans="1:23" x14ac:dyDescent="0.3">
      <c r="A1748" s="479">
        <v>703</v>
      </c>
      <c r="B1748" s="194" t="s">
        <v>456</v>
      </c>
      <c r="C1748" s="487"/>
      <c r="D1748" s="485" t="str">
        <f ca="1">IFERROR(__xludf.DUMMYFUNCTION("IF(J497="""",""n/a"",IFERROR(SPLIT(J497,""/"")))"),"Fresh")</f>
        <v>Fresh</v>
      </c>
      <c r="E1748" s="487"/>
      <c r="F1748" s="487"/>
      <c r="G1748" s="487"/>
      <c r="H1748" s="183" t="s">
        <v>1895</v>
      </c>
      <c r="I1748" s="487"/>
      <c r="J1748" s="46" t="s">
        <v>216</v>
      </c>
      <c r="K1748" s="487"/>
      <c r="L1748" s="195">
        <v>143</v>
      </c>
      <c r="M1748" s="197">
        <v>2</v>
      </c>
      <c r="N1748" s="61">
        <v>1</v>
      </c>
      <c r="O1748" s="170">
        <f>E1748</f>
        <v>0</v>
      </c>
      <c r="P1748" s="61" t="s">
        <v>39</v>
      </c>
      <c r="Q1748" s="487"/>
      <c r="R1748" s="192" t="str">
        <f>CONCATENATE(N1748,P1748)</f>
        <v>1grams</v>
      </c>
      <c r="S1748" s="198">
        <f>M1748*N1748</f>
        <v>2</v>
      </c>
      <c r="T1748" s="199" t="str">
        <f>CONCATENATE(S1748,Q1748,P1748)</f>
        <v>2grams</v>
      </c>
      <c r="U1748" s="200">
        <f>L1748*M1748</f>
        <v>286</v>
      </c>
      <c r="V1748" s="12"/>
      <c r="W1748" s="12"/>
    </row>
    <row r="1749" spans="1:23" x14ac:dyDescent="0.3">
      <c r="A1749" s="193">
        <v>703</v>
      </c>
      <c r="B1749" s="46" t="s">
        <v>456</v>
      </c>
      <c r="C1749" s="315"/>
      <c r="D1749" s="316"/>
      <c r="E1749" s="315"/>
      <c r="F1749" s="315"/>
      <c r="G1749" s="315"/>
      <c r="H1749" s="194" t="s">
        <v>29</v>
      </c>
      <c r="I1749" s="12"/>
      <c r="J1749" s="170"/>
      <c r="K1749" s="12"/>
      <c r="L1749" s="197">
        <v>120</v>
      </c>
      <c r="M1749" s="197">
        <v>2</v>
      </c>
      <c r="N1749" s="290">
        <v>1</v>
      </c>
      <c r="O1749" s="46"/>
      <c r="P1749" s="46" t="s">
        <v>213</v>
      </c>
      <c r="Q1749" s="12"/>
      <c r="R1749" s="192" t="str">
        <f>CONCATENATE(N1749,P1749)</f>
        <v>1kilos</v>
      </c>
      <c r="S1749" s="198">
        <f>M1749*N1749</f>
        <v>2</v>
      </c>
      <c r="T1749" s="199" t="str">
        <f>CONCATENATE(S1749,Q1749,P1749)</f>
        <v>2kilos</v>
      </c>
      <c r="U1749" s="200">
        <f>L1749*M1749</f>
        <v>240</v>
      </c>
      <c r="V1749" s="12"/>
      <c r="W1749" s="12"/>
    </row>
    <row r="1750" spans="1:23" x14ac:dyDescent="0.3">
      <c r="A1750" s="193">
        <v>703</v>
      </c>
      <c r="B1750" s="46" t="s">
        <v>456</v>
      </c>
      <c r="C1750" s="315"/>
      <c r="D1750" s="316"/>
      <c r="E1750" s="315"/>
      <c r="F1750" s="315"/>
      <c r="G1750" s="315"/>
      <c r="H1750" s="194" t="s">
        <v>2026</v>
      </c>
      <c r="I1750" s="12"/>
      <c r="J1750" s="46" t="s">
        <v>216</v>
      </c>
      <c r="K1750" s="12"/>
      <c r="L1750" s="197">
        <v>160</v>
      </c>
      <c r="M1750" s="197">
        <v>4</v>
      </c>
      <c r="N1750" s="290">
        <v>1</v>
      </c>
      <c r="O1750" s="46"/>
      <c r="P1750" s="46" t="s">
        <v>213</v>
      </c>
      <c r="Q1750" s="12"/>
      <c r="R1750" s="192" t="str">
        <f>CONCATENATE(N1750,P1750)</f>
        <v>1kilos</v>
      </c>
      <c r="S1750" s="198">
        <f>M1750*N1750</f>
        <v>4</v>
      </c>
      <c r="T1750" s="199" t="str">
        <f>CONCATENATE(S1750,Q1750,P1750)</f>
        <v>4kilos</v>
      </c>
      <c r="U1750" s="200">
        <f>L1750*M1750</f>
        <v>640</v>
      </c>
      <c r="V1750" s="12"/>
      <c r="W1750" s="12"/>
    </row>
    <row r="1751" spans="1:23" x14ac:dyDescent="0.3">
      <c r="A1751" s="193">
        <v>703</v>
      </c>
      <c r="B1751" s="46" t="s">
        <v>456</v>
      </c>
      <c r="C1751" s="315"/>
      <c r="D1751" s="316"/>
      <c r="E1751" s="315"/>
      <c r="F1751" s="315"/>
      <c r="G1751" s="315"/>
      <c r="H1751" s="194" t="s">
        <v>2023</v>
      </c>
      <c r="I1751" s="12"/>
      <c r="J1751" s="46" t="s">
        <v>216</v>
      </c>
      <c r="K1751" s="12"/>
      <c r="L1751" s="197">
        <v>140</v>
      </c>
      <c r="M1751" s="197">
        <v>3</v>
      </c>
      <c r="N1751" s="290">
        <v>1</v>
      </c>
      <c r="O1751" s="46"/>
      <c r="P1751" s="46" t="s">
        <v>213</v>
      </c>
      <c r="Q1751" s="12"/>
      <c r="R1751" s="192" t="str">
        <f>CONCATENATE(N1751,P1751)</f>
        <v>1kilos</v>
      </c>
      <c r="S1751" s="198">
        <f>M1751*N1751</f>
        <v>3</v>
      </c>
      <c r="T1751" s="199" t="str">
        <f>CONCATENATE(S1751,Q1751,P1751)</f>
        <v>3kilos</v>
      </c>
      <c r="U1751" s="200">
        <f>L1751*M1751</f>
        <v>420</v>
      </c>
      <c r="V1751" s="12"/>
      <c r="W1751" s="12"/>
    </row>
    <row r="1752" spans="1:23" x14ac:dyDescent="0.3">
      <c r="A1752" s="193">
        <v>703</v>
      </c>
      <c r="B1752" s="219" t="s">
        <v>456</v>
      </c>
      <c r="C1752" s="315"/>
      <c r="D1752" s="316"/>
      <c r="E1752" s="315"/>
      <c r="F1752" s="315"/>
      <c r="G1752" s="315"/>
      <c r="H1752" s="194" t="s">
        <v>2021</v>
      </c>
      <c r="I1752" s="12"/>
      <c r="J1752" s="219" t="s">
        <v>216</v>
      </c>
      <c r="K1752" s="12"/>
      <c r="L1752" s="216">
        <v>180</v>
      </c>
      <c r="M1752" s="216">
        <v>2</v>
      </c>
      <c r="N1752" s="290">
        <v>1</v>
      </c>
      <c r="O1752" s="46"/>
      <c r="P1752" s="46" t="s">
        <v>213</v>
      </c>
      <c r="Q1752" s="12"/>
      <c r="R1752" s="192" t="str">
        <f>CONCATENATE(N1752,P1752)</f>
        <v>1kilos</v>
      </c>
      <c r="S1752" s="198">
        <f>M1752*N1752</f>
        <v>2</v>
      </c>
      <c r="T1752" s="199" t="str">
        <f>CONCATENATE(S1752,Q1752,P1752)</f>
        <v>2kilos</v>
      </c>
      <c r="U1752" s="200">
        <f>L1752*M1752</f>
        <v>360</v>
      </c>
      <c r="V1752" s="12"/>
      <c r="W1752" s="12"/>
    </row>
    <row r="1753" spans="1:23" x14ac:dyDescent="0.3">
      <c r="A1753" s="193">
        <v>703</v>
      </c>
      <c r="B1753" s="46" t="s">
        <v>456</v>
      </c>
      <c r="C1753" s="315"/>
      <c r="D1753" s="316"/>
      <c r="E1753" s="315"/>
      <c r="F1753" s="315"/>
      <c r="G1753" s="315"/>
      <c r="H1753" s="194" t="s">
        <v>2022</v>
      </c>
      <c r="I1753" s="12"/>
      <c r="J1753" s="46" t="s">
        <v>912</v>
      </c>
      <c r="K1753" s="12"/>
      <c r="L1753" s="197">
        <v>160</v>
      </c>
      <c r="M1753" s="197">
        <v>1</v>
      </c>
      <c r="N1753" s="290">
        <v>1</v>
      </c>
      <c r="O1753" s="46"/>
      <c r="P1753" s="46" t="s">
        <v>213</v>
      </c>
      <c r="Q1753" s="12"/>
      <c r="R1753" s="192" t="str">
        <f>CONCATENATE(N1753,P1753)</f>
        <v>1kilos</v>
      </c>
      <c r="S1753" s="198">
        <f>M1753*N1753</f>
        <v>1</v>
      </c>
      <c r="T1753" s="199" t="str">
        <f>CONCATENATE(S1753,Q1753,P1753)</f>
        <v>1kilos</v>
      </c>
      <c r="U1753" s="200">
        <f>L1753*M1753</f>
        <v>160</v>
      </c>
      <c r="V1753" s="12"/>
      <c r="W1753" s="12"/>
    </row>
    <row r="1754" spans="1:23" x14ac:dyDescent="0.3">
      <c r="A1754" s="479">
        <v>704</v>
      </c>
      <c r="B1754" s="194" t="s">
        <v>433</v>
      </c>
      <c r="C1754" s="487"/>
      <c r="D1754" s="485" t="str">
        <f ca="1">IFERROR(__xludf.DUMMYFUNCTION("IF(J498="""",""n/a"",IFERROR(SPLIT(J498,""/"")))"),"Oishi")</f>
        <v>Oishi</v>
      </c>
      <c r="E1754" s="485" t="str">
        <f ca="1">IFERROR(__xludf.DUMMYFUNCTION("""COMPUTED_VALUE"""),"box (50pcsx50grams)")</f>
        <v>box (50pcsx50grams)</v>
      </c>
      <c r="F1754" s="487"/>
      <c r="G1754" s="487"/>
      <c r="H1754" s="183" t="s">
        <v>1895</v>
      </c>
      <c r="I1754" s="487"/>
      <c r="J1754" s="46" t="s">
        <v>381</v>
      </c>
      <c r="K1754" s="487"/>
      <c r="L1754" s="195">
        <v>13.69</v>
      </c>
      <c r="M1754" s="197">
        <v>30</v>
      </c>
      <c r="N1754" s="61">
        <v>1</v>
      </c>
      <c r="O1754" s="61" t="str">
        <f ca="1">E1754</f>
        <v>box (50pcsx50grams)</v>
      </c>
      <c r="P1754" s="61" t="s">
        <v>92</v>
      </c>
      <c r="Q1754" s="487"/>
      <c r="R1754" s="192" t="str">
        <f>CONCATENATE(N1754,P1754)</f>
        <v>1pieces</v>
      </c>
      <c r="S1754" s="198">
        <f>M1754*N1754</f>
        <v>30</v>
      </c>
      <c r="T1754" s="199" t="str">
        <f>CONCATENATE(S1754,Q1754,P1754)</f>
        <v>30pieces</v>
      </c>
      <c r="U1754" s="200">
        <f>L1754*M1754</f>
        <v>410.7</v>
      </c>
      <c r="V1754" s="12"/>
      <c r="W1754" s="12"/>
    </row>
    <row r="1755" spans="1:23" x14ac:dyDescent="0.3">
      <c r="A1755" s="479">
        <v>705</v>
      </c>
      <c r="B1755" s="194" t="s">
        <v>734</v>
      </c>
      <c r="C1755" s="487"/>
      <c r="D1755" s="485" t="str">
        <f ca="1">IFERROR(__xludf.DUMMYFUNCTION("IF(J499="""",""n/a"",IFERROR(SPLIT(J499,""/"")))"),"Oishi")</f>
        <v>Oishi</v>
      </c>
      <c r="E1755" s="485" t="str">
        <f ca="1">IFERROR(__xludf.DUMMYFUNCTION("""COMPUTED_VALUE"""),"box (50pcsx50grams)")</f>
        <v>box (50pcsx50grams)</v>
      </c>
      <c r="F1755" s="487"/>
      <c r="G1755" s="487"/>
      <c r="H1755" s="183" t="s">
        <v>1897</v>
      </c>
      <c r="I1755" s="487"/>
      <c r="J1755" s="46" t="s">
        <v>381</v>
      </c>
      <c r="K1755" s="487"/>
      <c r="L1755" s="217">
        <v>13.69</v>
      </c>
      <c r="M1755" s="202">
        <v>15</v>
      </c>
      <c r="N1755" s="203">
        <v>1</v>
      </c>
      <c r="O1755" s="61" t="str">
        <f ca="1">E1755</f>
        <v>box (50pcsx50grams)</v>
      </c>
      <c r="P1755" s="61" t="s">
        <v>92</v>
      </c>
      <c r="Q1755" s="487"/>
      <c r="R1755" s="192" t="str">
        <f>CONCATENATE(N1755,P1755)</f>
        <v>1pieces</v>
      </c>
      <c r="S1755" s="198">
        <f>M1755*N1755</f>
        <v>15</v>
      </c>
      <c r="T1755" s="199" t="str">
        <f>CONCATENATE(S1755,Q1755,P1755)</f>
        <v>15pieces</v>
      </c>
      <c r="U1755" s="200">
        <f>L1755*M1755</f>
        <v>205.35</v>
      </c>
      <c r="V1755" s="12"/>
      <c r="W1755" s="12"/>
    </row>
    <row r="1756" spans="1:23" x14ac:dyDescent="0.3">
      <c r="A1756" s="193">
        <v>706</v>
      </c>
      <c r="B1756" s="46" t="s">
        <v>1570</v>
      </c>
      <c r="C1756" s="315"/>
      <c r="D1756" s="316"/>
      <c r="E1756" s="315"/>
      <c r="F1756" s="315"/>
      <c r="G1756" s="315"/>
      <c r="H1756" s="194" t="s">
        <v>1368</v>
      </c>
      <c r="I1756" s="12"/>
      <c r="J1756" s="46" t="s">
        <v>1571</v>
      </c>
      <c r="K1756" s="12"/>
      <c r="L1756" s="197">
        <v>168.75</v>
      </c>
      <c r="M1756" s="197">
        <v>15</v>
      </c>
      <c r="N1756" s="290">
        <v>200</v>
      </c>
      <c r="O1756" s="46"/>
      <c r="P1756" s="46" t="s">
        <v>39</v>
      </c>
      <c r="Q1756" s="12"/>
      <c r="R1756" s="192" t="str">
        <f>CONCATENATE(N1756,P1756)</f>
        <v>200grams</v>
      </c>
      <c r="S1756" s="198">
        <f>M1756*N1756</f>
        <v>3000</v>
      </c>
      <c r="T1756" s="199" t="str">
        <f>CONCATENATE(S1756,Q1756,P1756)</f>
        <v>3000grams</v>
      </c>
      <c r="U1756" s="200">
        <f>L1756*M1756</f>
        <v>2531.25</v>
      </c>
      <c r="V1756" s="12"/>
      <c r="W1756" s="12"/>
    </row>
    <row r="1757" spans="1:23" x14ac:dyDescent="0.3">
      <c r="A1757" s="193">
        <v>706</v>
      </c>
      <c r="B1757" s="46" t="s">
        <v>1570</v>
      </c>
      <c r="C1757" s="315"/>
      <c r="D1757" s="316"/>
      <c r="E1757" s="315"/>
      <c r="F1757" s="315"/>
      <c r="G1757" s="315"/>
      <c r="H1757" s="194" t="s">
        <v>1368</v>
      </c>
      <c r="I1757" s="12"/>
      <c r="J1757" s="46" t="s">
        <v>1572</v>
      </c>
      <c r="K1757" s="12"/>
      <c r="L1757" s="197">
        <v>162.32</v>
      </c>
      <c r="M1757" s="197">
        <v>8</v>
      </c>
      <c r="N1757" s="290">
        <v>200</v>
      </c>
      <c r="O1757" s="46"/>
      <c r="P1757" s="46" t="s">
        <v>39</v>
      </c>
      <c r="Q1757" s="12"/>
      <c r="R1757" s="192" t="str">
        <f>CONCATENATE(N1757,P1757)</f>
        <v>200grams</v>
      </c>
      <c r="S1757" s="198">
        <f>M1757*N1757</f>
        <v>1600</v>
      </c>
      <c r="T1757" s="199" t="str">
        <f>CONCATENATE(S1757,Q1757,P1757)</f>
        <v>1600grams</v>
      </c>
      <c r="U1757" s="200">
        <f>L1757*M1757</f>
        <v>1298.56</v>
      </c>
      <c r="V1757" s="12"/>
      <c r="W1757" s="12"/>
    </row>
    <row r="1758" spans="1:23" x14ac:dyDescent="0.3">
      <c r="A1758" s="193">
        <v>706</v>
      </c>
      <c r="B1758" s="46" t="s">
        <v>1570</v>
      </c>
      <c r="C1758" s="315"/>
      <c r="D1758" s="316"/>
      <c r="E1758" s="315"/>
      <c r="F1758" s="315"/>
      <c r="G1758" s="315"/>
      <c r="H1758" s="194" t="s">
        <v>1368</v>
      </c>
      <c r="I1758" s="12"/>
      <c r="J1758" s="46" t="s">
        <v>1573</v>
      </c>
      <c r="K1758" s="12"/>
      <c r="L1758" s="197">
        <v>162.32</v>
      </c>
      <c r="M1758" s="197">
        <v>7</v>
      </c>
      <c r="N1758" s="290">
        <v>200</v>
      </c>
      <c r="O1758" s="46"/>
      <c r="P1758" s="46" t="s">
        <v>39</v>
      </c>
      <c r="Q1758" s="12"/>
      <c r="R1758" s="192" t="str">
        <f>CONCATENATE(N1758,P1758)</f>
        <v>200grams</v>
      </c>
      <c r="S1758" s="198">
        <f>M1758*N1758</f>
        <v>1400</v>
      </c>
      <c r="T1758" s="199" t="str">
        <f>CONCATENATE(S1758,Q1758,P1758)</f>
        <v>1400grams</v>
      </c>
      <c r="U1758" s="200">
        <f>L1758*M1758</f>
        <v>1136.24</v>
      </c>
      <c r="V1758" s="12"/>
      <c r="W1758" s="12"/>
    </row>
    <row r="1759" spans="1:23" x14ac:dyDescent="0.3">
      <c r="A1759" s="193">
        <v>706</v>
      </c>
      <c r="B1759" s="46" t="s">
        <v>1570</v>
      </c>
      <c r="C1759" s="315"/>
      <c r="D1759" s="316"/>
      <c r="E1759" s="315"/>
      <c r="F1759" s="315"/>
      <c r="G1759" s="315"/>
      <c r="H1759" s="194" t="s">
        <v>1368</v>
      </c>
      <c r="I1759" s="12"/>
      <c r="J1759" s="46" t="s">
        <v>1574</v>
      </c>
      <c r="K1759" s="12"/>
      <c r="L1759" s="197">
        <v>162.32</v>
      </c>
      <c r="M1759" s="197">
        <v>11</v>
      </c>
      <c r="N1759" s="290">
        <v>200</v>
      </c>
      <c r="O1759" s="46"/>
      <c r="P1759" s="46" t="s">
        <v>39</v>
      </c>
      <c r="Q1759" s="12"/>
      <c r="R1759" s="192" t="str">
        <f>CONCATENATE(N1759,P1759)</f>
        <v>200grams</v>
      </c>
      <c r="S1759" s="198">
        <f>M1759*N1759</f>
        <v>2200</v>
      </c>
      <c r="T1759" s="199" t="str">
        <f>CONCATENATE(S1759,Q1759,P1759)</f>
        <v>2200grams</v>
      </c>
      <c r="U1759" s="200">
        <f>L1759*M1759</f>
        <v>1785.52</v>
      </c>
      <c r="V1759" s="12"/>
      <c r="W1759" s="12"/>
    </row>
    <row r="1760" spans="1:23" x14ac:dyDescent="0.3">
      <c r="A1760" s="193">
        <v>706</v>
      </c>
      <c r="B1760" s="46" t="s">
        <v>1570</v>
      </c>
      <c r="C1760" s="315"/>
      <c r="D1760" s="316"/>
      <c r="E1760" s="315"/>
      <c r="F1760" s="315"/>
      <c r="G1760" s="315"/>
      <c r="H1760" s="194" t="s">
        <v>1368</v>
      </c>
      <c r="I1760" s="12"/>
      <c r="J1760" s="46" t="s">
        <v>1575</v>
      </c>
      <c r="K1760" s="12"/>
      <c r="L1760" s="197">
        <v>167.95</v>
      </c>
      <c r="M1760" s="197">
        <v>12</v>
      </c>
      <c r="N1760" s="290">
        <v>200</v>
      </c>
      <c r="O1760" s="46"/>
      <c r="P1760" s="46" t="s">
        <v>39</v>
      </c>
      <c r="Q1760" s="12"/>
      <c r="R1760" s="192" t="str">
        <f>CONCATENATE(N1760,P1760)</f>
        <v>200grams</v>
      </c>
      <c r="S1760" s="198">
        <f>M1760*N1760</f>
        <v>2400</v>
      </c>
      <c r="T1760" s="199" t="str">
        <f>CONCATENATE(S1760,Q1760,P1760)</f>
        <v>2400grams</v>
      </c>
      <c r="U1760" s="200">
        <f>L1760*M1760</f>
        <v>2015.3999999999999</v>
      </c>
      <c r="V1760" s="12"/>
      <c r="W1760" s="12"/>
    </row>
    <row r="1761" spans="1:23" x14ac:dyDescent="0.3">
      <c r="A1761" s="193">
        <v>707</v>
      </c>
      <c r="B1761" s="219" t="s">
        <v>1576</v>
      </c>
      <c r="C1761" s="315"/>
      <c r="D1761" s="316"/>
      <c r="E1761" s="315"/>
      <c r="F1761" s="315"/>
      <c r="G1761" s="315"/>
      <c r="H1761" s="194" t="s">
        <v>2022</v>
      </c>
      <c r="I1761" s="12"/>
      <c r="J1761" s="46" t="s">
        <v>1577</v>
      </c>
      <c r="K1761" s="12"/>
      <c r="L1761" s="197">
        <v>20</v>
      </c>
      <c r="M1761" s="197">
        <v>2</v>
      </c>
      <c r="N1761" s="290">
        <v>19</v>
      </c>
      <c r="O1761" s="46"/>
      <c r="P1761" s="46" t="s">
        <v>39</v>
      </c>
      <c r="Q1761" s="12"/>
      <c r="R1761" s="192" t="str">
        <f>CONCATENATE(N1761,P1761)</f>
        <v>19grams</v>
      </c>
      <c r="S1761" s="198">
        <f>M1761*N1761</f>
        <v>38</v>
      </c>
      <c r="T1761" s="199" t="str">
        <f>CONCATENATE(S1761,Q1761,P1761)</f>
        <v>38grams</v>
      </c>
      <c r="U1761" s="200">
        <f>L1761*M1761</f>
        <v>40</v>
      </c>
      <c r="V1761" s="12"/>
      <c r="W1761" s="12"/>
    </row>
    <row r="1762" spans="1:23" x14ac:dyDescent="0.3">
      <c r="A1762" s="193">
        <v>707</v>
      </c>
      <c r="B1762" s="219" t="s">
        <v>1576</v>
      </c>
      <c r="C1762" s="315"/>
      <c r="D1762" s="316"/>
      <c r="E1762" s="315"/>
      <c r="F1762" s="315"/>
      <c r="G1762" s="315"/>
      <c r="H1762" s="194" t="s">
        <v>2021</v>
      </c>
      <c r="I1762" s="12"/>
      <c r="J1762" s="46" t="s">
        <v>1577</v>
      </c>
      <c r="K1762" s="12"/>
      <c r="L1762" s="216">
        <v>19</v>
      </c>
      <c r="M1762" s="216">
        <v>2</v>
      </c>
      <c r="N1762" s="293">
        <v>19</v>
      </c>
      <c r="O1762" s="219"/>
      <c r="P1762" s="219" t="s">
        <v>39</v>
      </c>
      <c r="Q1762" s="12"/>
      <c r="R1762" s="192" t="str">
        <f>CONCATENATE(N1762,P1762)</f>
        <v>19grams</v>
      </c>
      <c r="S1762" s="198">
        <f>M1762*N1762</f>
        <v>38</v>
      </c>
      <c r="T1762" s="199" t="str">
        <f>CONCATENATE(S1762,Q1762,P1762)</f>
        <v>38grams</v>
      </c>
      <c r="U1762" s="200">
        <f>L1762*M1762</f>
        <v>38</v>
      </c>
      <c r="V1762" s="12"/>
      <c r="W1762" s="12"/>
    </row>
    <row r="1763" spans="1:23" x14ac:dyDescent="0.3">
      <c r="A1763" s="193">
        <v>708</v>
      </c>
      <c r="B1763" s="219" t="s">
        <v>1578</v>
      </c>
      <c r="C1763" s="315"/>
      <c r="D1763" s="316"/>
      <c r="E1763" s="315"/>
      <c r="F1763" s="315"/>
      <c r="G1763" s="315"/>
      <c r="H1763" s="194" t="s">
        <v>2021</v>
      </c>
      <c r="I1763" s="12"/>
      <c r="J1763" s="46" t="s">
        <v>1577</v>
      </c>
      <c r="K1763" s="12"/>
      <c r="L1763" s="216">
        <v>20.5</v>
      </c>
      <c r="M1763" s="216">
        <v>1</v>
      </c>
      <c r="N1763" s="293">
        <v>19</v>
      </c>
      <c r="O1763" s="219"/>
      <c r="P1763" s="219" t="s">
        <v>39</v>
      </c>
      <c r="Q1763" s="12"/>
      <c r="R1763" s="192" t="str">
        <f>CONCATENATE(N1763,P1763)</f>
        <v>19grams</v>
      </c>
      <c r="S1763" s="198">
        <f>M1763*N1763</f>
        <v>19</v>
      </c>
      <c r="T1763" s="199" t="str">
        <f>CONCATENATE(S1763,Q1763,P1763)</f>
        <v>19grams</v>
      </c>
      <c r="U1763" s="200">
        <f>L1763*M1763</f>
        <v>20.5</v>
      </c>
      <c r="V1763" s="12"/>
      <c r="W1763" s="12"/>
    </row>
    <row r="1764" spans="1:23" x14ac:dyDescent="0.3">
      <c r="A1764" s="193">
        <v>709</v>
      </c>
      <c r="B1764" s="46" t="s">
        <v>1579</v>
      </c>
      <c r="C1764" s="315"/>
      <c r="D1764" s="316"/>
      <c r="E1764" s="315"/>
      <c r="F1764" s="315"/>
      <c r="G1764" s="315"/>
      <c r="H1764" s="194" t="s">
        <v>2022</v>
      </c>
      <c r="I1764" s="12"/>
      <c r="J1764" s="46" t="s">
        <v>1577</v>
      </c>
      <c r="K1764" s="12"/>
      <c r="L1764" s="197">
        <v>20.3</v>
      </c>
      <c r="M1764" s="197">
        <v>56</v>
      </c>
      <c r="N1764" s="290">
        <v>19</v>
      </c>
      <c r="O1764" s="46"/>
      <c r="P1764" s="46" t="s">
        <v>39</v>
      </c>
      <c r="Q1764" s="12"/>
      <c r="R1764" s="192" t="str">
        <f>CONCATENATE(N1764,P1764)</f>
        <v>19grams</v>
      </c>
      <c r="S1764" s="198">
        <f>M1764*N1764</f>
        <v>1064</v>
      </c>
      <c r="T1764" s="199" t="str">
        <f>CONCATENATE(S1764,Q1764,P1764)</f>
        <v>1064grams</v>
      </c>
      <c r="U1764" s="200">
        <f>L1764*M1764</f>
        <v>1136.8</v>
      </c>
      <c r="V1764" s="12"/>
      <c r="W1764" s="12"/>
    </row>
    <row r="1765" spans="1:23" x14ac:dyDescent="0.3">
      <c r="A1765" s="193">
        <v>710</v>
      </c>
      <c r="B1765" s="46" t="s">
        <v>1580</v>
      </c>
      <c r="C1765" s="315"/>
      <c r="D1765" s="316"/>
      <c r="E1765" s="315"/>
      <c r="F1765" s="315"/>
      <c r="G1765" s="315"/>
      <c r="H1765" s="194" t="s">
        <v>2022</v>
      </c>
      <c r="I1765" s="12"/>
      <c r="J1765" s="46" t="s">
        <v>1577</v>
      </c>
      <c r="K1765" s="12"/>
      <c r="L1765" s="197">
        <v>19</v>
      </c>
      <c r="M1765" s="197">
        <v>32</v>
      </c>
      <c r="N1765" s="290">
        <v>19</v>
      </c>
      <c r="O1765" s="46"/>
      <c r="P1765" s="46" t="s">
        <v>39</v>
      </c>
      <c r="Q1765" s="12"/>
      <c r="R1765" s="192" t="str">
        <f>CONCATENATE(N1765,P1765)</f>
        <v>19grams</v>
      </c>
      <c r="S1765" s="198">
        <f>M1765*N1765</f>
        <v>608</v>
      </c>
      <c r="T1765" s="199" t="str">
        <f>CONCATENATE(S1765,Q1765,P1765)</f>
        <v>608grams</v>
      </c>
      <c r="U1765" s="200">
        <f>L1765*M1765</f>
        <v>608</v>
      </c>
      <c r="V1765" s="12"/>
      <c r="W1765" s="12"/>
    </row>
    <row r="1766" spans="1:23" x14ac:dyDescent="0.3">
      <c r="A1766" s="193">
        <v>711</v>
      </c>
      <c r="B1766" s="219" t="s">
        <v>1581</v>
      </c>
      <c r="C1766" s="315"/>
      <c r="D1766" s="316"/>
      <c r="E1766" s="315"/>
      <c r="F1766" s="315"/>
      <c r="G1766" s="315"/>
      <c r="H1766" s="194" t="s">
        <v>2021</v>
      </c>
      <c r="I1766" s="12"/>
      <c r="J1766" s="46" t="s">
        <v>1577</v>
      </c>
      <c r="K1766" s="12"/>
      <c r="L1766" s="216">
        <v>20.5</v>
      </c>
      <c r="M1766" s="216">
        <v>4</v>
      </c>
      <c r="N1766" s="293">
        <v>19</v>
      </c>
      <c r="O1766" s="219"/>
      <c r="P1766" s="219" t="s">
        <v>39</v>
      </c>
      <c r="Q1766" s="12"/>
      <c r="R1766" s="192" t="str">
        <f>CONCATENATE(N1766,P1766)</f>
        <v>19grams</v>
      </c>
      <c r="S1766" s="198">
        <f>M1766*N1766</f>
        <v>76</v>
      </c>
      <c r="T1766" s="199" t="str">
        <f>CONCATENATE(S1766,Q1766,P1766)</f>
        <v>76grams</v>
      </c>
      <c r="U1766" s="200">
        <f>L1766*M1766</f>
        <v>82</v>
      </c>
      <c r="V1766" s="12"/>
      <c r="W1766" s="12"/>
    </row>
    <row r="1767" spans="1:23" x14ac:dyDescent="0.3">
      <c r="A1767" s="479">
        <v>712</v>
      </c>
      <c r="B1767" s="194" t="s">
        <v>735</v>
      </c>
      <c r="C1767" s="487"/>
      <c r="D1767" s="485" t="str">
        <f ca="1">IFERROR(__xludf.DUMMYFUNCTION("IF(J500="""",""n/a"",IFERROR(SPLIT(J500,""/"")))"),"n/a")</f>
        <v>n/a</v>
      </c>
      <c r="E1767" s="487"/>
      <c r="F1767" s="487"/>
      <c r="G1767" s="487"/>
      <c r="H1767" s="206" t="s">
        <v>1898</v>
      </c>
      <c r="I1767" s="487"/>
      <c r="J1767" s="170"/>
      <c r="K1767" s="487"/>
      <c r="L1767" s="197">
        <v>1.05</v>
      </c>
      <c r="M1767" s="385">
        <v>720</v>
      </c>
      <c r="N1767" s="208">
        <v>20</v>
      </c>
      <c r="O1767" s="170">
        <f>E1767</f>
        <v>0</v>
      </c>
      <c r="P1767" s="209" t="s">
        <v>39</v>
      </c>
      <c r="Q1767" s="487"/>
      <c r="R1767" s="192" t="str">
        <f>CONCATENATE(N1767,P1767)</f>
        <v>20grams</v>
      </c>
      <c r="S1767" s="198">
        <f>M1767*N1767</f>
        <v>14400</v>
      </c>
      <c r="T1767" s="199" t="str">
        <f>CONCATENATE(S1767,Q1767,P1767)</f>
        <v>14400grams</v>
      </c>
      <c r="U1767" s="200">
        <f>L1767*M1767</f>
        <v>756</v>
      </c>
      <c r="V1767" s="12"/>
      <c r="W1767" s="12"/>
    </row>
    <row r="1768" spans="1:23" x14ac:dyDescent="0.3">
      <c r="A1768" s="479">
        <v>712</v>
      </c>
      <c r="B1768" s="194" t="s">
        <v>735</v>
      </c>
      <c r="C1768" s="487"/>
      <c r="D1768" s="485" t="str">
        <f ca="1">IFERROR(__xludf.DUMMYFUNCTION("IF(J501="""",""n/a"",IFERROR(SPLIT(J501,""/"")))"),"n/a")</f>
        <v>n/a</v>
      </c>
      <c r="E1768" s="487"/>
      <c r="F1768" s="487"/>
      <c r="G1768" s="487"/>
      <c r="H1768" s="206" t="s">
        <v>1898</v>
      </c>
      <c r="I1768" s="487"/>
      <c r="J1768" s="170"/>
      <c r="K1768" s="487"/>
      <c r="L1768" s="197">
        <v>1.05</v>
      </c>
      <c r="M1768" s="385">
        <v>680</v>
      </c>
      <c r="N1768" s="208">
        <v>20</v>
      </c>
      <c r="O1768" s="170">
        <f>E1768</f>
        <v>0</v>
      </c>
      <c r="P1768" s="209" t="s">
        <v>39</v>
      </c>
      <c r="Q1768" s="487"/>
      <c r="R1768" s="192" t="str">
        <f>CONCATENATE(N1768,P1768)</f>
        <v>20grams</v>
      </c>
      <c r="S1768" s="198">
        <f>M1768*N1768</f>
        <v>13600</v>
      </c>
      <c r="T1768" s="199" t="str">
        <f>CONCATENATE(S1768,Q1768,P1768)</f>
        <v>13600grams</v>
      </c>
      <c r="U1768" s="200">
        <f>L1768*M1768</f>
        <v>714</v>
      </c>
      <c r="V1768" s="12"/>
      <c r="W1768" s="12"/>
    </row>
    <row r="1769" spans="1:23" x14ac:dyDescent="0.3">
      <c r="A1769" s="479">
        <v>712</v>
      </c>
      <c r="B1769" s="194" t="s">
        <v>735</v>
      </c>
      <c r="C1769" s="487"/>
      <c r="D1769" s="485" t="str">
        <f ca="1">IFERROR(__xludf.DUMMYFUNCTION("IF(J502="""",""n/a"",IFERROR(SPLIT(J502,""/"")))"),"n/a")</f>
        <v>n/a</v>
      </c>
      <c r="E1769" s="487"/>
      <c r="F1769" s="487"/>
      <c r="G1769" s="487"/>
      <c r="H1769" s="206" t="s">
        <v>1898</v>
      </c>
      <c r="I1769" s="487"/>
      <c r="J1769" s="170"/>
      <c r="K1769" s="487"/>
      <c r="L1769" s="197">
        <v>1.05</v>
      </c>
      <c r="M1769" s="385">
        <v>480</v>
      </c>
      <c r="N1769" s="208">
        <v>20</v>
      </c>
      <c r="O1769" s="170">
        <f>E1769</f>
        <v>0</v>
      </c>
      <c r="P1769" s="209" t="s">
        <v>39</v>
      </c>
      <c r="Q1769" s="487"/>
      <c r="R1769" s="192" t="str">
        <f>CONCATENATE(N1769,P1769)</f>
        <v>20grams</v>
      </c>
      <c r="S1769" s="198">
        <f>M1769*N1769</f>
        <v>9600</v>
      </c>
      <c r="T1769" s="199" t="str">
        <f>CONCATENATE(S1769,Q1769,P1769)</f>
        <v>9600grams</v>
      </c>
      <c r="U1769" s="200">
        <f>L1769*M1769</f>
        <v>504</v>
      </c>
      <c r="V1769" s="12"/>
      <c r="W1769" s="12"/>
    </row>
    <row r="1770" spans="1:23" x14ac:dyDescent="0.3">
      <c r="A1770" s="479">
        <v>712</v>
      </c>
      <c r="B1770" s="194" t="s">
        <v>735</v>
      </c>
      <c r="C1770" s="487"/>
      <c r="D1770" s="485" t="str">
        <f ca="1">IFERROR(__xludf.DUMMYFUNCTION("IF(J503="""",""n/a"",IFERROR(SPLIT(J503,""/"")))"),"n/a")</f>
        <v>n/a</v>
      </c>
      <c r="E1770" s="487"/>
      <c r="F1770" s="487"/>
      <c r="G1770" s="487"/>
      <c r="H1770" s="206" t="s">
        <v>1898</v>
      </c>
      <c r="I1770" s="487"/>
      <c r="J1770" s="170"/>
      <c r="K1770" s="487"/>
      <c r="L1770" s="197">
        <v>0.95</v>
      </c>
      <c r="M1770" s="385">
        <v>570</v>
      </c>
      <c r="N1770" s="208">
        <v>19</v>
      </c>
      <c r="O1770" s="170">
        <f>E1770</f>
        <v>0</v>
      </c>
      <c r="P1770" s="209" t="s">
        <v>39</v>
      </c>
      <c r="Q1770" s="487"/>
      <c r="R1770" s="192" t="str">
        <f>CONCATENATE(N1770,P1770)</f>
        <v>19grams</v>
      </c>
      <c r="S1770" s="198">
        <f>M1770*N1770</f>
        <v>10830</v>
      </c>
      <c r="T1770" s="199" t="str">
        <f>CONCATENATE(S1770,Q1770,P1770)</f>
        <v>10830grams</v>
      </c>
      <c r="U1770" s="200">
        <f>L1770*M1770</f>
        <v>541.5</v>
      </c>
      <c r="V1770" s="12"/>
      <c r="W1770" s="12"/>
    </row>
    <row r="1771" spans="1:23" x14ac:dyDescent="0.3">
      <c r="A1771" s="479">
        <v>712</v>
      </c>
      <c r="B1771" s="194" t="s">
        <v>735</v>
      </c>
      <c r="C1771" s="487"/>
      <c r="D1771" s="485" t="str">
        <f ca="1">IFERROR(__xludf.DUMMYFUNCTION("IF(J504="""",""n/a"",IFERROR(SPLIT(J504,""/"")))"),"n/a")</f>
        <v>n/a</v>
      </c>
      <c r="E1771" s="487"/>
      <c r="F1771" s="487"/>
      <c r="G1771" s="487"/>
      <c r="H1771" s="206" t="s">
        <v>1898</v>
      </c>
      <c r="I1771" s="487"/>
      <c r="J1771" s="170"/>
      <c r="K1771" s="487"/>
      <c r="L1771" s="197">
        <v>0.95</v>
      </c>
      <c r="M1771" s="385">
        <v>893</v>
      </c>
      <c r="N1771" s="208">
        <v>19</v>
      </c>
      <c r="O1771" s="170">
        <f>E1771</f>
        <v>0</v>
      </c>
      <c r="P1771" s="209" t="s">
        <v>39</v>
      </c>
      <c r="Q1771" s="487"/>
      <c r="R1771" s="192" t="str">
        <f>CONCATENATE(N1771,P1771)</f>
        <v>19grams</v>
      </c>
      <c r="S1771" s="198">
        <f>M1771*N1771</f>
        <v>16967</v>
      </c>
      <c r="T1771" s="199" t="str">
        <f>CONCATENATE(S1771,Q1771,P1771)</f>
        <v>16967grams</v>
      </c>
      <c r="U1771" s="200">
        <f>L1771*M1771</f>
        <v>848.34999999999991</v>
      </c>
      <c r="V1771" s="12"/>
      <c r="W1771" s="12"/>
    </row>
    <row r="1772" spans="1:23" x14ac:dyDescent="0.3">
      <c r="A1772" s="479">
        <v>712</v>
      </c>
      <c r="B1772" s="194" t="s">
        <v>735</v>
      </c>
      <c r="C1772" s="487"/>
      <c r="D1772" s="485" t="str">
        <f ca="1">IFERROR(__xludf.DUMMYFUNCTION("IF(J505="""",""n/a"",IFERROR(SPLIT(J505,""/"")))"),"n/a")</f>
        <v>n/a</v>
      </c>
      <c r="E1772" s="487"/>
      <c r="F1772" s="487"/>
      <c r="G1772" s="487"/>
      <c r="H1772" s="206" t="s">
        <v>1898</v>
      </c>
      <c r="I1772" s="487"/>
      <c r="J1772" s="170"/>
      <c r="K1772" s="487"/>
      <c r="L1772" s="197">
        <v>0.95</v>
      </c>
      <c r="M1772" s="385">
        <v>38</v>
      </c>
      <c r="N1772" s="208">
        <v>19</v>
      </c>
      <c r="O1772" s="170">
        <f>E1772</f>
        <v>0</v>
      </c>
      <c r="P1772" s="209" t="s">
        <v>39</v>
      </c>
      <c r="Q1772" s="487"/>
      <c r="R1772" s="192" t="str">
        <f>CONCATENATE(N1772,P1772)</f>
        <v>19grams</v>
      </c>
      <c r="S1772" s="198">
        <f>M1772*N1772</f>
        <v>722</v>
      </c>
      <c r="T1772" s="199" t="str">
        <f>CONCATENATE(S1772,Q1772,P1772)</f>
        <v>722grams</v>
      </c>
      <c r="U1772" s="200">
        <f>L1772*M1772</f>
        <v>36.1</v>
      </c>
      <c r="V1772" s="12"/>
      <c r="W1772" s="12"/>
    </row>
    <row r="1773" spans="1:23" x14ac:dyDescent="0.3">
      <c r="A1773" s="193">
        <v>713</v>
      </c>
      <c r="B1773" s="46" t="s">
        <v>1985</v>
      </c>
      <c r="C1773" s="315"/>
      <c r="D1773" s="316"/>
      <c r="E1773" s="315"/>
      <c r="F1773" s="315"/>
      <c r="G1773" s="315"/>
      <c r="H1773" s="400" t="s">
        <v>2027</v>
      </c>
      <c r="I1773" s="12"/>
      <c r="J1773" s="46" t="s">
        <v>1934</v>
      </c>
      <c r="K1773" s="12"/>
      <c r="L1773" s="195">
        <v>6.17</v>
      </c>
      <c r="M1773" s="197">
        <v>50</v>
      </c>
      <c r="N1773" s="360">
        <v>1</v>
      </c>
      <c r="O1773" s="61"/>
      <c r="P1773" s="61" t="s">
        <v>92</v>
      </c>
      <c r="Q1773" s="12"/>
      <c r="R1773" s="192" t="str">
        <f>CONCATENATE(N1773,P1773)</f>
        <v>1pieces</v>
      </c>
      <c r="S1773" s="198">
        <f>M1773*N1773</f>
        <v>50</v>
      </c>
      <c r="T1773" s="199" t="str">
        <f>CONCATENATE(S1773,Q1773,P1773)</f>
        <v>50pieces</v>
      </c>
      <c r="U1773" s="200">
        <f>L1773*M1773</f>
        <v>308.5</v>
      </c>
      <c r="V1773" s="12"/>
      <c r="W1773" s="12"/>
    </row>
    <row r="1774" spans="1:23" x14ac:dyDescent="0.3">
      <c r="A1774" s="479">
        <v>714</v>
      </c>
      <c r="B1774" s="194" t="s">
        <v>434</v>
      </c>
      <c r="C1774" s="487"/>
      <c r="D1774" s="485" t="str">
        <f ca="1">IFERROR(__xludf.DUMMYFUNCTION("IF(J506="""",""n/a"",IFERROR(SPLIT(J506,""/"")))"),"Jack n Jill")</f>
        <v>Jack n Jill</v>
      </c>
      <c r="E1774" s="485" t="str">
        <f ca="1">IFERROR(__xludf.DUMMYFUNCTION("""COMPUTED_VALUE""")," pack (10pcsx30grams)")</f>
        <v xml:space="preserve"> pack (10pcsx30grams)</v>
      </c>
      <c r="F1774" s="487"/>
      <c r="G1774" s="487"/>
      <c r="H1774" s="183" t="s">
        <v>1895</v>
      </c>
      <c r="I1774" s="487"/>
      <c r="J1774" s="46" t="s">
        <v>435</v>
      </c>
      <c r="K1774" s="487"/>
      <c r="L1774" s="195">
        <v>5.81</v>
      </c>
      <c r="M1774" s="197">
        <v>150</v>
      </c>
      <c r="N1774" s="61">
        <v>1</v>
      </c>
      <c r="O1774" s="61" t="str">
        <f ca="1">E1774</f>
        <v xml:space="preserve"> pack (10pcsx30grams)</v>
      </c>
      <c r="P1774" s="61" t="s">
        <v>92</v>
      </c>
      <c r="Q1774" s="487"/>
      <c r="R1774" s="192" t="str">
        <f>CONCATENATE(N1774,P1774)</f>
        <v>1pieces</v>
      </c>
      <c r="S1774" s="198">
        <f>M1774*N1774</f>
        <v>150</v>
      </c>
      <c r="T1774" s="199" t="str">
        <f>CONCATENATE(S1774,Q1774,P1774)</f>
        <v>150pieces</v>
      </c>
      <c r="U1774" s="200">
        <f>L1774*M1774</f>
        <v>871.49999999999989</v>
      </c>
      <c r="V1774" s="12"/>
      <c r="W1774" s="12"/>
    </row>
    <row r="1775" spans="1:23" x14ac:dyDescent="0.3">
      <c r="A1775" s="479">
        <v>715</v>
      </c>
      <c r="B1775" s="194" t="s">
        <v>736</v>
      </c>
      <c r="C1775" s="487"/>
      <c r="D1775" s="485" t="str">
        <f ca="1">IFERROR(__xludf.DUMMYFUNCTION("IF(J507="""",""n/a"",IFERROR(SPLIT(J507,""/"")))"),"Jack n Jill")</f>
        <v>Jack n Jill</v>
      </c>
      <c r="E1775" s="485" t="str">
        <f ca="1">IFERROR(__xludf.DUMMYFUNCTION("""COMPUTED_VALUE""")," pack (10pcsx30grams)")</f>
        <v xml:space="preserve"> pack (10pcsx30grams)</v>
      </c>
      <c r="F1775" s="487"/>
      <c r="G1775" s="487"/>
      <c r="H1775" s="183" t="s">
        <v>1897</v>
      </c>
      <c r="I1775" s="487"/>
      <c r="J1775" s="46" t="s">
        <v>435</v>
      </c>
      <c r="K1775" s="487"/>
      <c r="L1775" s="217">
        <v>6.14</v>
      </c>
      <c r="M1775" s="202">
        <v>110</v>
      </c>
      <c r="N1775" s="203">
        <v>1</v>
      </c>
      <c r="O1775" s="61" t="str">
        <f ca="1">E1775</f>
        <v xml:space="preserve"> pack (10pcsx30grams)</v>
      </c>
      <c r="P1775" s="61" t="s">
        <v>92</v>
      </c>
      <c r="Q1775" s="487"/>
      <c r="R1775" s="192" t="str">
        <f>CONCATENATE(N1775,P1775)</f>
        <v>1pieces</v>
      </c>
      <c r="S1775" s="198">
        <f>M1775*N1775</f>
        <v>110</v>
      </c>
      <c r="T1775" s="199" t="str">
        <f>CONCATENATE(S1775,Q1775,P1775)</f>
        <v>110pieces</v>
      </c>
      <c r="U1775" s="200">
        <f>L1775*M1775</f>
        <v>675.4</v>
      </c>
      <c r="V1775" s="12"/>
      <c r="W1775" s="12"/>
    </row>
    <row r="1776" spans="1:23" x14ac:dyDescent="0.3">
      <c r="A1776" s="479">
        <v>716</v>
      </c>
      <c r="B1776" s="194" t="s">
        <v>737</v>
      </c>
      <c r="C1776" s="487"/>
      <c r="D1776" s="485" t="str">
        <f ca="1">IFERROR(__xludf.DUMMYFUNCTION("IF(J508="""",""n/a"",IFERROR(SPLIT(J508,""/"")))"),"Jack n Jill")</f>
        <v>Jack n Jill</v>
      </c>
      <c r="E1776" s="485" t="str">
        <f ca="1">IFERROR(__xludf.DUMMYFUNCTION("""COMPUTED_VALUE""")," pack (10pcsx30grams)")</f>
        <v xml:space="preserve"> pack (10pcsx30grams)</v>
      </c>
      <c r="F1776" s="487"/>
      <c r="G1776" s="487"/>
      <c r="H1776" s="183" t="s">
        <v>1897</v>
      </c>
      <c r="I1776" s="487"/>
      <c r="J1776" s="46" t="s">
        <v>435</v>
      </c>
      <c r="K1776" s="487"/>
      <c r="L1776" s="217">
        <v>6.29</v>
      </c>
      <c r="M1776" s="202">
        <v>21</v>
      </c>
      <c r="N1776" s="203">
        <v>1</v>
      </c>
      <c r="O1776" s="61" t="str">
        <f ca="1">E1776</f>
        <v xml:space="preserve"> pack (10pcsx30grams)</v>
      </c>
      <c r="P1776" s="61" t="s">
        <v>92</v>
      </c>
      <c r="Q1776" s="487"/>
      <c r="R1776" s="192" t="str">
        <f>CONCATENATE(N1776,P1776)</f>
        <v>1pieces</v>
      </c>
      <c r="S1776" s="198">
        <f>M1776*N1776</f>
        <v>21</v>
      </c>
      <c r="T1776" s="199" t="str">
        <f>CONCATENATE(S1776,Q1776,P1776)</f>
        <v>21pieces</v>
      </c>
      <c r="U1776" s="200">
        <f>L1776*M1776</f>
        <v>132.09</v>
      </c>
      <c r="V1776" s="12"/>
      <c r="W1776" s="12"/>
    </row>
    <row r="1777" spans="1:23" x14ac:dyDescent="0.3">
      <c r="A1777" s="479">
        <v>717</v>
      </c>
      <c r="B1777" s="194" t="s">
        <v>738</v>
      </c>
      <c r="C1777" s="487"/>
      <c r="D1777" s="485" t="str">
        <f ca="1">IFERROR(__xludf.DUMMYFUNCTION("IF(J509="""",""n/a"",IFERROR(SPLIT(J509,""/"")))"),"n/a")</f>
        <v>n/a</v>
      </c>
      <c r="E1777" s="487"/>
      <c r="F1777" s="487"/>
      <c r="G1777" s="487"/>
      <c r="H1777" s="183" t="s">
        <v>1897</v>
      </c>
      <c r="I1777" s="487"/>
      <c r="J1777" s="170"/>
      <c r="K1777" s="487"/>
      <c r="L1777" s="202">
        <v>0.27</v>
      </c>
      <c r="M1777" s="202">
        <v>10000</v>
      </c>
      <c r="N1777" s="203">
        <v>1000</v>
      </c>
      <c r="O1777" s="170">
        <f>E1777</f>
        <v>0</v>
      </c>
      <c r="P1777" s="61" t="s">
        <v>39</v>
      </c>
      <c r="Q1777" s="487"/>
      <c r="R1777" s="192" t="str">
        <f>CONCATENATE(N1777,P1777)</f>
        <v>1000grams</v>
      </c>
      <c r="S1777" s="198">
        <f>M1777*N1777</f>
        <v>10000000</v>
      </c>
      <c r="T1777" s="199" t="str">
        <f>CONCATENATE(S1777,Q1777,P1777)</f>
        <v>10000000grams</v>
      </c>
      <c r="U1777" s="200">
        <f>L1777*M1777</f>
        <v>2700</v>
      </c>
      <c r="V1777" s="12"/>
      <c r="W1777" s="12"/>
    </row>
    <row r="1778" spans="1:23" x14ac:dyDescent="0.3">
      <c r="A1778" s="193">
        <v>717</v>
      </c>
      <c r="B1778" s="46" t="s">
        <v>738</v>
      </c>
      <c r="C1778" s="315"/>
      <c r="D1778" s="316"/>
      <c r="E1778" s="315"/>
      <c r="F1778" s="315"/>
      <c r="G1778" s="315"/>
      <c r="H1778" s="194" t="s">
        <v>2023</v>
      </c>
      <c r="I1778" s="12"/>
      <c r="J1778" s="170"/>
      <c r="K1778" s="12"/>
      <c r="L1778" s="197">
        <v>280</v>
      </c>
      <c r="M1778" s="197">
        <v>3</v>
      </c>
      <c r="N1778" s="290">
        <v>1</v>
      </c>
      <c r="O1778" s="46"/>
      <c r="P1778" s="46" t="s">
        <v>213</v>
      </c>
      <c r="Q1778" s="12"/>
      <c r="R1778" s="192" t="str">
        <f>CONCATENATE(N1778,P1778)</f>
        <v>1kilos</v>
      </c>
      <c r="S1778" s="198">
        <f>M1778*N1778</f>
        <v>3</v>
      </c>
      <c r="T1778" s="199" t="str">
        <f>CONCATENATE(S1778,Q1778,P1778)</f>
        <v>3kilos</v>
      </c>
      <c r="U1778" s="200">
        <f>L1778*M1778</f>
        <v>840</v>
      </c>
      <c r="V1778" s="12"/>
      <c r="W1778" s="12"/>
    </row>
    <row r="1779" spans="1:23" x14ac:dyDescent="0.3">
      <c r="A1779" s="479">
        <v>718</v>
      </c>
      <c r="B1779" s="194" t="s">
        <v>739</v>
      </c>
      <c r="C1779" s="487"/>
      <c r="D1779" s="485" t="str">
        <f ca="1">IFERROR(__xludf.DUMMYFUNCTION("IF(J510="""",""n/a"",IFERROR(SPLIT(J510,""/"")))"),"n/a")</f>
        <v>n/a</v>
      </c>
      <c r="E1779" s="487"/>
      <c r="F1779" s="487"/>
      <c r="G1779" s="487"/>
      <c r="H1779" s="206" t="s">
        <v>1898</v>
      </c>
      <c r="I1779" s="487"/>
      <c r="J1779" s="170"/>
      <c r="K1779" s="487"/>
      <c r="L1779" s="197">
        <v>7.48</v>
      </c>
      <c r="M1779" s="385">
        <v>2</v>
      </c>
      <c r="N1779" s="207">
        <v>10</v>
      </c>
      <c r="O1779" s="170">
        <f>E1779</f>
        <v>0</v>
      </c>
      <c r="P1779" s="209" t="s">
        <v>92</v>
      </c>
      <c r="Q1779" s="487"/>
      <c r="R1779" s="192" t="str">
        <f>CONCATENATE(N1779,P1779)</f>
        <v>10pieces</v>
      </c>
      <c r="S1779" s="198">
        <f>M1779*N1779</f>
        <v>20</v>
      </c>
      <c r="T1779" s="199" t="str">
        <f>CONCATENATE(S1779,Q1779,P1779)</f>
        <v>20pieces</v>
      </c>
      <c r="U1779" s="200">
        <f>L1779*M1779</f>
        <v>14.96</v>
      </c>
      <c r="V1779" s="12"/>
      <c r="W1779" s="12"/>
    </row>
    <row r="1780" spans="1:23" x14ac:dyDescent="0.3">
      <c r="A1780" s="479">
        <v>719</v>
      </c>
      <c r="B1780" s="194" t="s">
        <v>436</v>
      </c>
      <c r="C1780" s="487"/>
      <c r="D1780" s="485" t="str">
        <f ca="1">IFERROR(__xludf.DUMMYFUNCTION("IF(J511="""",""n/a"",IFERROR(SPLIT(J511,""/"")))"),"Jack &amp; Jill")</f>
        <v>Jack &amp; Jill</v>
      </c>
      <c r="E1780" s="485" t="str">
        <f ca="1">IFERROR(__xludf.DUMMYFUNCTION("""COMPUTED_VALUE"""),"pack(10pcsx38grams))")</f>
        <v>pack(10pcsx38grams))</v>
      </c>
      <c r="F1780" s="487"/>
      <c r="G1780" s="487"/>
      <c r="H1780" s="183" t="s">
        <v>1897</v>
      </c>
      <c r="I1780" s="487"/>
      <c r="J1780" s="46" t="s">
        <v>740</v>
      </c>
      <c r="K1780" s="487"/>
      <c r="L1780" s="217">
        <v>7.17</v>
      </c>
      <c r="M1780" s="202">
        <v>34</v>
      </c>
      <c r="N1780" s="203">
        <v>1</v>
      </c>
      <c r="O1780" s="61" t="str">
        <f ca="1">E1780</f>
        <v>pack(10pcsx38grams))</v>
      </c>
      <c r="P1780" s="61" t="s">
        <v>92</v>
      </c>
      <c r="Q1780" s="487"/>
      <c r="R1780" s="192" t="str">
        <f>CONCATENATE(N1780,P1780)</f>
        <v>1pieces</v>
      </c>
      <c r="S1780" s="198">
        <f>M1780*N1780</f>
        <v>34</v>
      </c>
      <c r="T1780" s="199" t="str">
        <f>CONCATENATE(S1780,Q1780,P1780)</f>
        <v>34pieces</v>
      </c>
      <c r="U1780" s="200">
        <f>L1780*M1780</f>
        <v>243.78</v>
      </c>
      <c r="V1780" s="12"/>
      <c r="W1780" s="12"/>
    </row>
    <row r="1781" spans="1:23" x14ac:dyDescent="0.3">
      <c r="A1781" s="479">
        <v>719</v>
      </c>
      <c r="B1781" s="194" t="s">
        <v>436</v>
      </c>
      <c r="C1781" s="487"/>
      <c r="D1781" s="485" t="str">
        <f ca="1">IFERROR(__xludf.DUMMYFUNCTION("IF(J512="""",""n/a"",IFERROR(SPLIT(J512,""/"")))"),"Jack &amp; Jill")</f>
        <v>Jack &amp; Jill</v>
      </c>
      <c r="E1781" s="485" t="str">
        <f ca="1">IFERROR(__xludf.DUMMYFUNCTION("""COMPUTED_VALUE"""),"pack(10pcsx33grams))")</f>
        <v>pack(10pcsx33grams))</v>
      </c>
      <c r="F1781" s="487"/>
      <c r="G1781" s="487"/>
      <c r="H1781" s="183" t="s">
        <v>1895</v>
      </c>
      <c r="I1781" s="487"/>
      <c r="J1781" s="46" t="s">
        <v>437</v>
      </c>
      <c r="K1781" s="487"/>
      <c r="L1781" s="195">
        <v>7.99</v>
      </c>
      <c r="M1781" s="197">
        <v>595</v>
      </c>
      <c r="N1781" s="61">
        <v>1</v>
      </c>
      <c r="O1781" s="61" t="str">
        <f ca="1">E1781</f>
        <v>pack(10pcsx33grams))</v>
      </c>
      <c r="P1781" s="61" t="s">
        <v>92</v>
      </c>
      <c r="Q1781" s="487"/>
      <c r="R1781" s="192" t="str">
        <f>CONCATENATE(N1781,P1781)</f>
        <v>1pieces</v>
      </c>
      <c r="S1781" s="198">
        <f>M1781*N1781</f>
        <v>595</v>
      </c>
      <c r="T1781" s="199" t="str">
        <f>CONCATENATE(S1781,Q1781,P1781)</f>
        <v>595pieces</v>
      </c>
      <c r="U1781" s="200">
        <f>L1781*M1781</f>
        <v>4754.05</v>
      </c>
      <c r="V1781" s="12"/>
      <c r="W1781" s="12"/>
    </row>
    <row r="1782" spans="1:23" x14ac:dyDescent="0.3">
      <c r="A1782" s="479">
        <v>720</v>
      </c>
      <c r="B1782" s="194" t="s">
        <v>741</v>
      </c>
      <c r="C1782" s="487"/>
      <c r="D1782" s="485" t="str">
        <f ca="1">IFERROR(__xludf.DUMMYFUNCTION("IF(J513="""",""n/a"",IFERROR(SPLIT(J513,""/"")))"),"n/a")</f>
        <v>n/a</v>
      </c>
      <c r="E1782" s="487"/>
      <c r="F1782" s="487"/>
      <c r="G1782" s="487"/>
      <c r="H1782" s="206" t="s">
        <v>1898</v>
      </c>
      <c r="I1782" s="487"/>
      <c r="J1782" s="170"/>
      <c r="K1782" s="487"/>
      <c r="L1782" s="197">
        <v>8.1</v>
      </c>
      <c r="M1782" s="385">
        <v>1</v>
      </c>
      <c r="N1782" s="207">
        <v>10</v>
      </c>
      <c r="O1782" s="170">
        <f>E1782</f>
        <v>0</v>
      </c>
      <c r="P1782" s="209" t="s">
        <v>92</v>
      </c>
      <c r="Q1782" s="487"/>
      <c r="R1782" s="192" t="str">
        <f>CONCATENATE(N1782,P1782)</f>
        <v>10pieces</v>
      </c>
      <c r="S1782" s="198">
        <f>M1782*N1782</f>
        <v>10</v>
      </c>
      <c r="T1782" s="199" t="str">
        <f>CONCATENATE(S1782,Q1782,P1782)</f>
        <v>10pieces</v>
      </c>
      <c r="U1782" s="200">
        <f>L1782*M1782</f>
        <v>8.1</v>
      </c>
      <c r="V1782" s="12"/>
      <c r="W1782" s="12"/>
    </row>
    <row r="1783" spans="1:23" x14ac:dyDescent="0.3">
      <c r="A1783" s="479">
        <v>721</v>
      </c>
      <c r="B1783" s="194" t="s">
        <v>742</v>
      </c>
      <c r="C1783" s="487"/>
      <c r="D1783" s="485" t="str">
        <f ca="1">IFERROR(__xludf.DUMMYFUNCTION("IF(J514="""",""n/a"",IFERROR(SPLIT(J514,""/"")))"),"n/a")</f>
        <v>n/a</v>
      </c>
      <c r="E1783" s="487"/>
      <c r="F1783" s="487"/>
      <c r="G1783" s="487"/>
      <c r="H1783" s="206" t="s">
        <v>1898</v>
      </c>
      <c r="I1783" s="487"/>
      <c r="J1783" s="170"/>
      <c r="K1783" s="487"/>
      <c r="L1783" s="197">
        <v>2.38</v>
      </c>
      <c r="M1783" s="385">
        <v>11</v>
      </c>
      <c r="N1783" s="208">
        <v>6</v>
      </c>
      <c r="O1783" s="170">
        <f>E1783</f>
        <v>0</v>
      </c>
      <c r="P1783" s="209" t="s">
        <v>92</v>
      </c>
      <c r="Q1783" s="487"/>
      <c r="R1783" s="192" t="str">
        <f>CONCATENATE(N1783,P1783)</f>
        <v>6pieces</v>
      </c>
      <c r="S1783" s="198">
        <f>M1783*N1783</f>
        <v>66</v>
      </c>
      <c r="T1783" s="199" t="str">
        <f>CONCATENATE(S1783,Q1783,P1783)</f>
        <v>66pieces</v>
      </c>
      <c r="U1783" s="200">
        <f>L1783*M1783</f>
        <v>26.18</v>
      </c>
      <c r="V1783" s="12"/>
      <c r="W1783" s="12"/>
    </row>
    <row r="1784" spans="1:23" x14ac:dyDescent="0.3">
      <c r="A1784" s="193">
        <v>722</v>
      </c>
      <c r="B1784" s="483" t="s">
        <v>1986</v>
      </c>
      <c r="C1784" s="315"/>
      <c r="D1784" s="316"/>
      <c r="E1784" s="315"/>
      <c r="F1784" s="315"/>
      <c r="G1784" s="315"/>
      <c r="H1784" s="400" t="s">
        <v>2027</v>
      </c>
      <c r="I1784" s="12"/>
      <c r="J1784" s="170"/>
      <c r="K1784" s="12"/>
      <c r="L1784" s="195">
        <v>49</v>
      </c>
      <c r="M1784" s="197">
        <v>1</v>
      </c>
      <c r="N1784" s="360">
        <v>1</v>
      </c>
      <c r="O1784" s="61"/>
      <c r="P1784" s="61" t="s">
        <v>304</v>
      </c>
      <c r="Q1784" s="12"/>
      <c r="R1784" s="192" t="str">
        <f>CONCATENATE(N1784,P1784)</f>
        <v>1packs</v>
      </c>
      <c r="S1784" s="198">
        <f>M1784*N1784</f>
        <v>1</v>
      </c>
      <c r="T1784" s="199" t="str">
        <f>CONCATENATE(S1784,Q1784,P1784)</f>
        <v>1packs</v>
      </c>
      <c r="U1784" s="200">
        <f>L1784*M1784</f>
        <v>49</v>
      </c>
      <c r="V1784" s="12"/>
      <c r="W1784" s="12"/>
    </row>
    <row r="1785" spans="1:23" x14ac:dyDescent="0.3">
      <c r="A1785" s="479">
        <v>723</v>
      </c>
      <c r="B1785" s="194" t="s">
        <v>743</v>
      </c>
      <c r="C1785" s="487"/>
      <c r="D1785" s="485" t="str">
        <f ca="1">IFERROR(__xludf.DUMMYFUNCTION("IF(J515="""",""n/a"",IFERROR(SPLIT(J515,""/"")))"),"Hermano")</f>
        <v>Hermano</v>
      </c>
      <c r="E1785" s="485" t="str">
        <f ca="1">IFERROR(__xludf.DUMMYFUNCTION("""COMPUTED_VALUE"""),"pack")</f>
        <v>pack</v>
      </c>
      <c r="F1785" s="485" t="str">
        <f ca="1">IFERROR(__xludf.DUMMYFUNCTION("""COMPUTED_VALUE"""),"1000grams")</f>
        <v>1000grams</v>
      </c>
      <c r="G1785" s="487"/>
      <c r="H1785" s="183" t="s">
        <v>1897</v>
      </c>
      <c r="I1785" s="487"/>
      <c r="J1785" s="46" t="s">
        <v>82</v>
      </c>
      <c r="K1785" s="487"/>
      <c r="L1785" s="195">
        <v>0.08</v>
      </c>
      <c r="M1785" s="202">
        <v>38000</v>
      </c>
      <c r="N1785" s="203">
        <v>1000</v>
      </c>
      <c r="O1785" s="61" t="str">
        <f ca="1">E1785</f>
        <v>pack</v>
      </c>
      <c r="P1785" s="61" t="s">
        <v>39</v>
      </c>
      <c r="Q1785" s="487"/>
      <c r="R1785" s="192" t="str">
        <f>CONCATENATE(N1785,P1785)</f>
        <v>1000grams</v>
      </c>
      <c r="S1785" s="198">
        <f>M1785*N1785</f>
        <v>38000000</v>
      </c>
      <c r="T1785" s="199" t="str">
        <f>CONCATENATE(S1785,Q1785,P1785)</f>
        <v>38000000grams</v>
      </c>
      <c r="U1785" s="200">
        <f>L1785*M1785</f>
        <v>3040</v>
      </c>
      <c r="V1785" s="205"/>
      <c r="W1785" s="62"/>
    </row>
    <row r="1786" spans="1:23" x14ac:dyDescent="0.3">
      <c r="A1786" s="479">
        <v>723</v>
      </c>
      <c r="B1786" s="194" t="s">
        <v>743</v>
      </c>
      <c r="C1786" s="487"/>
      <c r="D1786" s="485" t="str">
        <f ca="1">IFERROR(__xludf.DUMMYFUNCTION("IF(J516="""",""n/a"",IFERROR(SPLIT(J516,""/"")))"),"Ram")</f>
        <v>Ram</v>
      </c>
      <c r="E1786" s="485" t="str">
        <f ca="1">IFERROR(__xludf.DUMMYFUNCTION("""COMPUTED_VALUE"""),"pack")</f>
        <v>pack</v>
      </c>
      <c r="F1786" s="485" t="str">
        <f ca="1">IFERROR(__xludf.DUMMYFUNCTION("""COMPUTED_VALUE"""),"1000grams")</f>
        <v>1000grams</v>
      </c>
      <c r="G1786" s="487"/>
      <c r="H1786" s="183" t="s">
        <v>1897</v>
      </c>
      <c r="I1786" s="487"/>
      <c r="J1786" s="46" t="s">
        <v>744</v>
      </c>
      <c r="K1786" s="487"/>
      <c r="L1786" s="197">
        <v>0.15</v>
      </c>
      <c r="M1786" s="202">
        <v>500</v>
      </c>
      <c r="N1786" s="203">
        <v>1000</v>
      </c>
      <c r="O1786" s="61" t="str">
        <f ca="1">E1786</f>
        <v>pack</v>
      </c>
      <c r="P1786" s="61" t="s">
        <v>39</v>
      </c>
      <c r="Q1786" s="487"/>
      <c r="R1786" s="192" t="str">
        <f>CONCATENATE(N1786,P1786)</f>
        <v>1000grams</v>
      </c>
      <c r="S1786" s="198">
        <f>M1786*N1786</f>
        <v>500000</v>
      </c>
      <c r="T1786" s="199" t="str">
        <f>CONCATENATE(S1786,Q1786,P1786)</f>
        <v>500000grams</v>
      </c>
      <c r="U1786" s="200">
        <f>L1786*M1786</f>
        <v>75</v>
      </c>
      <c r="V1786" s="62"/>
      <c r="W1786" s="12"/>
    </row>
    <row r="1787" spans="1:23" x14ac:dyDescent="0.3">
      <c r="A1787" s="479">
        <v>723</v>
      </c>
      <c r="B1787" s="194" t="s">
        <v>743</v>
      </c>
      <c r="C1787" s="487"/>
      <c r="D1787" s="485" t="str">
        <f ca="1">IFERROR(__xludf.DUMMYFUNCTION("IF(J517="""",""n/a"",IFERROR(SPLIT(J517,""/"")))"),"n/a")</f>
        <v>n/a</v>
      </c>
      <c r="E1787" s="487"/>
      <c r="F1787" s="487"/>
      <c r="G1787" s="487"/>
      <c r="H1787" s="206" t="s">
        <v>1898</v>
      </c>
      <c r="I1787" s="487"/>
      <c r="J1787" s="170"/>
      <c r="K1787" s="487"/>
      <c r="L1787" s="197">
        <v>0.26</v>
      </c>
      <c r="M1787" s="385">
        <v>800</v>
      </c>
      <c r="N1787" s="208">
        <v>1000</v>
      </c>
      <c r="O1787" s="170">
        <f>E1787</f>
        <v>0</v>
      </c>
      <c r="P1787" s="61" t="s">
        <v>39</v>
      </c>
      <c r="Q1787" s="487"/>
      <c r="R1787" s="192" t="str">
        <f>CONCATENATE(N1787,P1787)</f>
        <v>1000grams</v>
      </c>
      <c r="S1787" s="198">
        <f>M1787*N1787</f>
        <v>800000</v>
      </c>
      <c r="T1787" s="199" t="str">
        <f>CONCATENATE(S1787,Q1787,P1787)</f>
        <v>800000grams</v>
      </c>
      <c r="U1787" s="200">
        <f>L1787*M1787</f>
        <v>208</v>
      </c>
      <c r="V1787" s="12"/>
      <c r="W1787" s="12"/>
    </row>
    <row r="1788" spans="1:23" x14ac:dyDescent="0.3">
      <c r="A1788" s="193">
        <v>723</v>
      </c>
      <c r="B1788" s="46" t="s">
        <v>743</v>
      </c>
      <c r="C1788" s="315"/>
      <c r="D1788" s="316"/>
      <c r="E1788" s="315"/>
      <c r="F1788" s="315"/>
      <c r="G1788" s="315"/>
      <c r="H1788" s="194" t="s">
        <v>2025</v>
      </c>
      <c r="I1788" s="12"/>
      <c r="J1788" s="46" t="s">
        <v>1582</v>
      </c>
      <c r="K1788" s="12"/>
      <c r="L1788" s="197">
        <v>51.1</v>
      </c>
      <c r="M1788" s="197">
        <v>1</v>
      </c>
      <c r="N1788" s="290">
        <v>100</v>
      </c>
      <c r="O1788" s="46"/>
      <c r="P1788" s="46" t="s">
        <v>39</v>
      </c>
      <c r="Q1788" s="12"/>
      <c r="R1788" s="192" t="str">
        <f>CONCATENATE(N1788,P1788)</f>
        <v>100grams</v>
      </c>
      <c r="S1788" s="198">
        <f>M1788*N1788</f>
        <v>100</v>
      </c>
      <c r="T1788" s="199" t="str">
        <f>CONCATENATE(S1788,Q1788,P1788)</f>
        <v>100grams</v>
      </c>
      <c r="U1788" s="200">
        <f>L1788*M1788</f>
        <v>51.1</v>
      </c>
      <c r="V1788" s="12"/>
      <c r="W1788" s="12"/>
    </row>
    <row r="1789" spans="1:23" x14ac:dyDescent="0.3">
      <c r="A1789" s="193">
        <v>723</v>
      </c>
      <c r="B1789" s="46" t="s">
        <v>743</v>
      </c>
      <c r="C1789" s="315"/>
      <c r="D1789" s="316"/>
      <c r="E1789" s="315"/>
      <c r="F1789" s="315"/>
      <c r="G1789" s="315"/>
      <c r="H1789" s="194" t="s">
        <v>2026</v>
      </c>
      <c r="I1789" s="12"/>
      <c r="J1789" s="46" t="s">
        <v>1582</v>
      </c>
      <c r="K1789" s="12"/>
      <c r="L1789" s="197">
        <v>51.1</v>
      </c>
      <c r="M1789" s="197">
        <v>2</v>
      </c>
      <c r="N1789" s="290">
        <v>100</v>
      </c>
      <c r="O1789" s="46"/>
      <c r="P1789" s="46" t="s">
        <v>39</v>
      </c>
      <c r="Q1789" s="12"/>
      <c r="R1789" s="192" t="str">
        <f>CONCATENATE(N1789,P1789)</f>
        <v>100grams</v>
      </c>
      <c r="S1789" s="198">
        <f>M1789*N1789</f>
        <v>200</v>
      </c>
      <c r="T1789" s="199" t="str">
        <f>CONCATENATE(S1789,Q1789,P1789)</f>
        <v>200grams</v>
      </c>
      <c r="U1789" s="200">
        <f>L1789*M1789</f>
        <v>102.2</v>
      </c>
      <c r="V1789" s="12"/>
      <c r="W1789" s="12"/>
    </row>
    <row r="1790" spans="1:23" x14ac:dyDescent="0.3">
      <c r="A1790" s="193">
        <v>723</v>
      </c>
      <c r="B1790" s="46" t="s">
        <v>743</v>
      </c>
      <c r="C1790" s="315"/>
      <c r="D1790" s="316"/>
      <c r="E1790" s="315"/>
      <c r="F1790" s="315"/>
      <c r="G1790" s="315"/>
      <c r="H1790" s="194" t="s">
        <v>2023</v>
      </c>
      <c r="I1790" s="12"/>
      <c r="J1790" s="46" t="s">
        <v>959</v>
      </c>
      <c r="K1790" s="12"/>
      <c r="L1790" s="197">
        <v>49</v>
      </c>
      <c r="M1790" s="197">
        <v>2</v>
      </c>
      <c r="N1790" s="290">
        <v>100</v>
      </c>
      <c r="O1790" s="46"/>
      <c r="P1790" s="46" t="s">
        <v>39</v>
      </c>
      <c r="Q1790" s="12"/>
      <c r="R1790" s="192" t="str">
        <f>CONCATENATE(N1790,P1790)</f>
        <v>100grams</v>
      </c>
      <c r="S1790" s="198">
        <f>M1790*N1790</f>
        <v>200</v>
      </c>
      <c r="T1790" s="199" t="str">
        <f>CONCATENATE(S1790,Q1790,P1790)</f>
        <v>200grams</v>
      </c>
      <c r="U1790" s="200">
        <f>L1790*M1790</f>
        <v>98</v>
      </c>
      <c r="V1790" s="12"/>
      <c r="W1790" s="12"/>
    </row>
    <row r="1791" spans="1:23" x14ac:dyDescent="0.3">
      <c r="A1791" s="193">
        <v>723</v>
      </c>
      <c r="B1791" s="46" t="s">
        <v>743</v>
      </c>
      <c r="C1791" s="315"/>
      <c r="D1791" s="316"/>
      <c r="E1791" s="315"/>
      <c r="F1791" s="315"/>
      <c r="G1791" s="315"/>
      <c r="H1791" s="194" t="s">
        <v>2022</v>
      </c>
      <c r="I1791" s="12"/>
      <c r="J1791" s="46" t="s">
        <v>1286</v>
      </c>
      <c r="K1791" s="12"/>
      <c r="L1791" s="197">
        <v>48</v>
      </c>
      <c r="M1791" s="197">
        <v>7</v>
      </c>
      <c r="N1791" s="290">
        <v>100</v>
      </c>
      <c r="O1791" s="46"/>
      <c r="P1791" s="46" t="s">
        <v>39</v>
      </c>
      <c r="Q1791" s="12"/>
      <c r="R1791" s="192" t="str">
        <f>CONCATENATE(N1791,P1791)</f>
        <v>100grams</v>
      </c>
      <c r="S1791" s="198">
        <f>M1791*N1791</f>
        <v>700</v>
      </c>
      <c r="T1791" s="199" t="str">
        <f>CONCATENATE(S1791,Q1791,P1791)</f>
        <v>700grams</v>
      </c>
      <c r="U1791" s="200">
        <f>L1791*M1791</f>
        <v>336</v>
      </c>
      <c r="V1791" s="12"/>
      <c r="W1791" s="12"/>
    </row>
    <row r="1792" spans="1:23" x14ac:dyDescent="0.3">
      <c r="A1792" s="193">
        <v>723</v>
      </c>
      <c r="B1792" s="219" t="s">
        <v>743</v>
      </c>
      <c r="C1792" s="315"/>
      <c r="D1792" s="316"/>
      <c r="E1792" s="315"/>
      <c r="F1792" s="315"/>
      <c r="G1792" s="315"/>
      <c r="H1792" s="194" t="s">
        <v>2021</v>
      </c>
      <c r="I1792" s="12"/>
      <c r="J1792" s="46" t="s">
        <v>959</v>
      </c>
      <c r="K1792" s="12"/>
      <c r="L1792" s="216">
        <v>48.8</v>
      </c>
      <c r="M1792" s="216">
        <v>9</v>
      </c>
      <c r="N1792" s="293">
        <v>100</v>
      </c>
      <c r="O1792" s="219"/>
      <c r="P1792" s="219" t="s">
        <v>39</v>
      </c>
      <c r="Q1792" s="12"/>
      <c r="R1792" s="192" t="str">
        <f>CONCATENATE(N1792,P1792)</f>
        <v>100grams</v>
      </c>
      <c r="S1792" s="198">
        <f>M1792*N1792</f>
        <v>900</v>
      </c>
      <c r="T1792" s="199" t="str">
        <f>CONCATENATE(S1792,Q1792,P1792)</f>
        <v>900grams</v>
      </c>
      <c r="U1792" s="200">
        <f>L1792*M1792</f>
        <v>439.2</v>
      </c>
      <c r="V1792" s="12"/>
      <c r="W1792" s="12"/>
    </row>
    <row r="1793" spans="1:23" x14ac:dyDescent="0.3">
      <c r="A1793" s="479">
        <v>724</v>
      </c>
      <c r="B1793" s="194" t="s">
        <v>745</v>
      </c>
      <c r="C1793" s="487"/>
      <c r="D1793" s="485" t="str">
        <f ca="1">IFERROR(__xludf.DUMMYFUNCTION("IF(J518="""",""n/a"",IFERROR(SPLIT(J518,""/"")))"),"No Brand")</f>
        <v>No Brand</v>
      </c>
      <c r="E1793" s="485" t="str">
        <f ca="1">IFERROR(__xludf.DUMMYFUNCTION("""COMPUTED_VALUE"""),"1000grams")</f>
        <v>1000grams</v>
      </c>
      <c r="F1793" s="487"/>
      <c r="G1793" s="487"/>
      <c r="H1793" s="206" t="s">
        <v>1898</v>
      </c>
      <c r="I1793" s="487"/>
      <c r="J1793" s="46" t="s">
        <v>746</v>
      </c>
      <c r="K1793" s="487"/>
      <c r="L1793" s="197">
        <v>0.13</v>
      </c>
      <c r="M1793" s="386">
        <v>4000</v>
      </c>
      <c r="N1793" s="208">
        <v>1000</v>
      </c>
      <c r="O1793" s="61" t="str">
        <f ca="1">E1793</f>
        <v>1000grams</v>
      </c>
      <c r="P1793" s="61" t="s">
        <v>39</v>
      </c>
      <c r="Q1793" s="487"/>
      <c r="R1793" s="192" t="str">
        <f>CONCATENATE(N1793,P1793)</f>
        <v>1000grams</v>
      </c>
      <c r="S1793" s="198">
        <f>M1793*N1793</f>
        <v>4000000</v>
      </c>
      <c r="T1793" s="199" t="str">
        <f>CONCATENATE(S1793,Q1793,P1793)</f>
        <v>4000000grams</v>
      </c>
      <c r="U1793" s="200">
        <f>L1793*M1793</f>
        <v>520</v>
      </c>
      <c r="V1793" s="12"/>
      <c r="W1793" s="12"/>
    </row>
    <row r="1794" spans="1:23" x14ac:dyDescent="0.3">
      <c r="A1794" s="193">
        <v>724</v>
      </c>
      <c r="B1794" s="46" t="s">
        <v>745</v>
      </c>
      <c r="C1794" s="315"/>
      <c r="D1794" s="316"/>
      <c r="E1794" s="315"/>
      <c r="F1794" s="315"/>
      <c r="G1794" s="315"/>
      <c r="H1794" s="194" t="s">
        <v>2023</v>
      </c>
      <c r="I1794" s="12"/>
      <c r="J1794" s="170"/>
      <c r="K1794" s="12"/>
      <c r="L1794" s="197">
        <v>125</v>
      </c>
      <c r="M1794" s="197">
        <v>1</v>
      </c>
      <c r="N1794" s="290">
        <v>1</v>
      </c>
      <c r="O1794" s="46"/>
      <c r="P1794" s="46" t="s">
        <v>213</v>
      </c>
      <c r="Q1794" s="12"/>
      <c r="R1794" s="192" t="str">
        <f>CONCATENATE(N1794,P1794)</f>
        <v>1kilos</v>
      </c>
      <c r="S1794" s="198">
        <f>M1794*N1794</f>
        <v>1</v>
      </c>
      <c r="T1794" s="199" t="str">
        <f>CONCATENATE(S1794,Q1794,P1794)</f>
        <v>1kilos</v>
      </c>
      <c r="U1794" s="200">
        <f>L1794*M1794</f>
        <v>125</v>
      </c>
      <c r="V1794" s="12"/>
      <c r="W1794" s="12"/>
    </row>
    <row r="1795" spans="1:23" x14ac:dyDescent="0.3">
      <c r="A1795" s="193">
        <v>725</v>
      </c>
      <c r="B1795" s="46" t="s">
        <v>1583</v>
      </c>
      <c r="C1795" s="315"/>
      <c r="D1795" s="316"/>
      <c r="E1795" s="315"/>
      <c r="F1795" s="315"/>
      <c r="G1795" s="315"/>
      <c r="H1795" s="194" t="s">
        <v>2024</v>
      </c>
      <c r="I1795" s="12"/>
      <c r="J1795" s="46" t="s">
        <v>1584</v>
      </c>
      <c r="K1795" s="12"/>
      <c r="L1795" s="197">
        <v>25.8</v>
      </c>
      <c r="M1795" s="197">
        <v>8</v>
      </c>
      <c r="N1795" s="290">
        <v>1</v>
      </c>
      <c r="O1795" s="46"/>
      <c r="P1795" s="46" t="s">
        <v>92</v>
      </c>
      <c r="Q1795" s="12"/>
      <c r="R1795" s="192" t="str">
        <f>CONCATENATE(N1795,P1795)</f>
        <v>1pieces</v>
      </c>
      <c r="S1795" s="198">
        <f>M1795*N1795</f>
        <v>8</v>
      </c>
      <c r="T1795" s="199" t="str">
        <f>CONCATENATE(S1795,Q1795,P1795)</f>
        <v>8pieces</v>
      </c>
      <c r="U1795" s="200">
        <f>L1795*M1795</f>
        <v>206.4</v>
      </c>
      <c r="V1795" s="12"/>
      <c r="W1795" s="12"/>
    </row>
    <row r="1796" spans="1:23" x14ac:dyDescent="0.3">
      <c r="A1796" s="479">
        <v>726</v>
      </c>
      <c r="B1796" s="194" t="s">
        <v>113</v>
      </c>
      <c r="C1796" s="487"/>
      <c r="D1796" s="485" t="str">
        <f ca="1">IFERROR(__xludf.DUMMYFUNCTION("IF(J519="""",""n/a"",IFERROR(SPLIT(J519,""/"")))"),"Rc Cola (12 x 237 )")</f>
        <v>Rc Cola (12 x 237 )</v>
      </c>
      <c r="E1796" s="487"/>
      <c r="F1796" s="487"/>
      <c r="G1796" s="487"/>
      <c r="H1796" s="183" t="s">
        <v>1895</v>
      </c>
      <c r="I1796" s="487"/>
      <c r="J1796" s="46" t="s">
        <v>114</v>
      </c>
      <c r="K1796" s="487"/>
      <c r="L1796" s="195">
        <v>10.72</v>
      </c>
      <c r="M1796" s="197">
        <v>167</v>
      </c>
      <c r="N1796" s="61">
        <v>1</v>
      </c>
      <c r="O1796" s="170">
        <f>E1796</f>
        <v>0</v>
      </c>
      <c r="P1796" s="61" t="s">
        <v>92</v>
      </c>
      <c r="Q1796" s="487"/>
      <c r="R1796" s="192" t="str">
        <f>CONCATENATE(N1796,P1796)</f>
        <v>1pieces</v>
      </c>
      <c r="S1796" s="198">
        <f>M1796*N1796</f>
        <v>167</v>
      </c>
      <c r="T1796" s="199" t="str">
        <f>CONCATENATE(S1796,Q1796,P1796)</f>
        <v>167pieces</v>
      </c>
      <c r="U1796" s="200">
        <f>L1796*M1796</f>
        <v>1790.24</v>
      </c>
      <c r="V1796" s="12"/>
      <c r="W1796" s="12"/>
    </row>
    <row r="1797" spans="1:23" x14ac:dyDescent="0.3">
      <c r="A1797" s="193">
        <v>727</v>
      </c>
      <c r="B1797" s="46" t="s">
        <v>1987</v>
      </c>
      <c r="C1797" s="315"/>
      <c r="D1797" s="316"/>
      <c r="E1797" s="315"/>
      <c r="F1797" s="315"/>
      <c r="G1797" s="315"/>
      <c r="H1797" s="400" t="s">
        <v>2027</v>
      </c>
      <c r="I1797" s="12"/>
      <c r="J1797" s="46" t="s">
        <v>1988</v>
      </c>
      <c r="K1797" s="12"/>
      <c r="L1797" s="195">
        <v>119.4</v>
      </c>
      <c r="M1797" s="197">
        <v>0</v>
      </c>
      <c r="N1797" s="360">
        <v>1</v>
      </c>
      <c r="O1797" s="61"/>
      <c r="P1797" s="61" t="s">
        <v>39</v>
      </c>
      <c r="Q1797" s="12"/>
      <c r="R1797" s="192" t="str">
        <f>CONCATENATE(N1797,P1797)</f>
        <v>1grams</v>
      </c>
      <c r="S1797" s="198">
        <f>M1797*N1797</f>
        <v>0</v>
      </c>
      <c r="T1797" s="199" t="str">
        <f>CONCATENATE(S1797,Q1797,P1797)</f>
        <v>0grams</v>
      </c>
      <c r="U1797" s="200">
        <f>L1797*M1797</f>
        <v>0</v>
      </c>
      <c r="V1797" s="12"/>
      <c r="W1797" s="12"/>
    </row>
    <row r="1798" spans="1:23" x14ac:dyDescent="0.3">
      <c r="A1798" s="193">
        <v>728</v>
      </c>
      <c r="B1798" s="46" t="s">
        <v>1989</v>
      </c>
      <c r="C1798" s="315"/>
      <c r="D1798" s="316"/>
      <c r="E1798" s="315"/>
      <c r="F1798" s="315"/>
      <c r="G1798" s="315"/>
      <c r="H1798" s="400" t="s">
        <v>2027</v>
      </c>
      <c r="I1798" s="12"/>
      <c r="J1798" s="46" t="s">
        <v>1934</v>
      </c>
      <c r="K1798" s="12"/>
      <c r="L1798" s="195">
        <v>5.92</v>
      </c>
      <c r="M1798" s="197">
        <v>68</v>
      </c>
      <c r="N1798" s="360">
        <v>1</v>
      </c>
      <c r="O1798" s="61"/>
      <c r="P1798" s="61" t="s">
        <v>92</v>
      </c>
      <c r="Q1798" s="12"/>
      <c r="R1798" s="192" t="str">
        <f>CONCATENATE(N1798,P1798)</f>
        <v>1pieces</v>
      </c>
      <c r="S1798" s="198">
        <f>M1798*N1798</f>
        <v>68</v>
      </c>
      <c r="T1798" s="199" t="str">
        <f>CONCATENATE(S1798,Q1798,P1798)</f>
        <v>68pieces</v>
      </c>
      <c r="U1798" s="200">
        <f>L1798*M1798</f>
        <v>402.56</v>
      </c>
      <c r="V1798" s="12"/>
      <c r="W1798" s="12"/>
    </row>
    <row r="1799" spans="1:23" x14ac:dyDescent="0.3">
      <c r="A1799" s="193">
        <v>729</v>
      </c>
      <c r="B1799" s="46" t="s">
        <v>1990</v>
      </c>
      <c r="C1799" s="315"/>
      <c r="D1799" s="316"/>
      <c r="E1799" s="315"/>
      <c r="F1799" s="315"/>
      <c r="G1799" s="315"/>
      <c r="H1799" s="400" t="s">
        <v>2027</v>
      </c>
      <c r="I1799" s="12"/>
      <c r="J1799" s="46" t="s">
        <v>1934</v>
      </c>
      <c r="K1799" s="12"/>
      <c r="L1799" s="195">
        <v>6.02</v>
      </c>
      <c r="M1799" s="197">
        <v>48</v>
      </c>
      <c r="N1799" s="360">
        <v>1</v>
      </c>
      <c r="O1799" s="61"/>
      <c r="P1799" s="61" t="s">
        <v>92</v>
      </c>
      <c r="Q1799" s="12"/>
      <c r="R1799" s="192" t="str">
        <f>CONCATENATE(N1799,P1799)</f>
        <v>1pieces</v>
      </c>
      <c r="S1799" s="198">
        <f>M1799*N1799</f>
        <v>48</v>
      </c>
      <c r="T1799" s="199" t="str">
        <f>CONCATENATE(S1799,Q1799,P1799)</f>
        <v>48pieces</v>
      </c>
      <c r="U1799" s="200">
        <f>L1799*M1799</f>
        <v>288.95999999999998</v>
      </c>
      <c r="V1799" s="12"/>
      <c r="W1799" s="12"/>
    </row>
    <row r="1800" spans="1:23" x14ac:dyDescent="0.3">
      <c r="A1800" s="479">
        <v>730</v>
      </c>
      <c r="B1800" s="194" t="s">
        <v>438</v>
      </c>
      <c r="C1800" s="487"/>
      <c r="D1800" s="485" t="str">
        <f ca="1">IFERROR(__xludf.DUMMYFUNCTION("IF(J520="""",""n/a"",IFERROR(SPLIT(J520,""/"")))"),"Rebisco (10pcsx33grams)")</f>
        <v>Rebisco (10pcsx33grams)</v>
      </c>
      <c r="E1800" s="487"/>
      <c r="F1800" s="487"/>
      <c r="G1800" s="487"/>
      <c r="H1800" s="183" t="s">
        <v>1895</v>
      </c>
      <c r="I1800" s="487"/>
      <c r="J1800" s="46" t="s">
        <v>439</v>
      </c>
      <c r="K1800" s="487"/>
      <c r="L1800" s="195">
        <v>5.8</v>
      </c>
      <c r="M1800" s="197">
        <v>200</v>
      </c>
      <c r="N1800" s="61">
        <v>1</v>
      </c>
      <c r="O1800" s="170">
        <f>E1800</f>
        <v>0</v>
      </c>
      <c r="P1800" s="61" t="s">
        <v>92</v>
      </c>
      <c r="Q1800" s="487"/>
      <c r="R1800" s="192" t="str">
        <f>CONCATENATE(N1800,P1800)</f>
        <v>1pieces</v>
      </c>
      <c r="S1800" s="198">
        <f>M1800*N1800</f>
        <v>200</v>
      </c>
      <c r="T1800" s="199" t="str">
        <f>CONCATENATE(S1800,Q1800,P1800)</f>
        <v>200pieces</v>
      </c>
      <c r="U1800" s="200">
        <f>L1800*M1800</f>
        <v>1160</v>
      </c>
      <c r="V1800" s="12"/>
      <c r="W1800" s="12"/>
    </row>
    <row r="1801" spans="1:23" x14ac:dyDescent="0.3">
      <c r="A1801" s="479">
        <v>731</v>
      </c>
      <c r="B1801" s="194" t="s">
        <v>747</v>
      </c>
      <c r="C1801" s="487"/>
      <c r="D1801" s="485" t="str">
        <f ca="1">IFERROR(__xludf.DUMMYFUNCTION("IF(J521="""",""n/a"",IFERROR(SPLIT(J521,""/"")))"),"n/a")</f>
        <v>n/a</v>
      </c>
      <c r="E1801" s="487"/>
      <c r="F1801" s="487"/>
      <c r="G1801" s="487"/>
      <c r="H1801" s="206" t="s">
        <v>1898</v>
      </c>
      <c r="I1801" s="487"/>
      <c r="J1801" s="170"/>
      <c r="K1801" s="487"/>
      <c r="L1801" s="197">
        <v>6.88</v>
      </c>
      <c r="M1801" s="385">
        <v>1</v>
      </c>
      <c r="N1801" s="208">
        <v>10</v>
      </c>
      <c r="O1801" s="170">
        <f>E1801</f>
        <v>0</v>
      </c>
      <c r="P1801" s="209" t="s">
        <v>92</v>
      </c>
      <c r="Q1801" s="487"/>
      <c r="R1801" s="192" t="str">
        <f>CONCATENATE(N1801,P1801)</f>
        <v>10pieces</v>
      </c>
      <c r="S1801" s="198">
        <f>M1801*N1801</f>
        <v>10</v>
      </c>
      <c r="T1801" s="199" t="str">
        <f>CONCATENATE(S1801,Q1801,P1801)</f>
        <v>10pieces</v>
      </c>
      <c r="U1801" s="200">
        <f>L1801*M1801</f>
        <v>6.88</v>
      </c>
      <c r="V1801" s="12"/>
      <c r="W1801" s="12"/>
    </row>
    <row r="1802" spans="1:23" x14ac:dyDescent="0.3">
      <c r="A1802" s="479">
        <v>732</v>
      </c>
      <c r="B1802" s="194" t="s">
        <v>315</v>
      </c>
      <c r="C1802" s="487"/>
      <c r="D1802" s="485" t="str">
        <f ca="1">IFERROR(__xludf.DUMMYFUNCTION("IF(J522="""",""n/a"",IFERROR(SPLIT(J522,""/"")))"),"bottle")</f>
        <v>bottle</v>
      </c>
      <c r="E1802" s="485" t="str">
        <f ca="1">IFERROR(__xludf.DUMMYFUNCTION("""COMPUTED_VALUE"""),"490ml")</f>
        <v>490ml</v>
      </c>
      <c r="F1802" s="487"/>
      <c r="G1802" s="487"/>
      <c r="H1802" s="183" t="s">
        <v>1895</v>
      </c>
      <c r="I1802" s="487"/>
      <c r="J1802" s="46" t="s">
        <v>316</v>
      </c>
      <c r="K1802" s="487"/>
      <c r="L1802" s="195">
        <v>57</v>
      </c>
      <c r="M1802" s="197">
        <v>1</v>
      </c>
      <c r="N1802" s="61">
        <v>1</v>
      </c>
      <c r="O1802" s="61" t="str">
        <f ca="1">E1802</f>
        <v>490ml</v>
      </c>
      <c r="P1802" s="61" t="s">
        <v>32</v>
      </c>
      <c r="Q1802" s="487"/>
      <c r="R1802" s="192" t="str">
        <f>CONCATENATE(N1802,P1802)</f>
        <v>1ml</v>
      </c>
      <c r="S1802" s="198">
        <f>M1802*N1802</f>
        <v>1</v>
      </c>
      <c r="T1802" s="199" t="str">
        <f>CONCATENATE(S1802,Q1802,P1802)</f>
        <v>1ml</v>
      </c>
      <c r="U1802" s="200">
        <f>L1802*M1802</f>
        <v>57</v>
      </c>
      <c r="V1802" s="12"/>
      <c r="W1802" s="12"/>
    </row>
    <row r="1803" spans="1:23" x14ac:dyDescent="0.3">
      <c r="A1803" s="193">
        <v>732</v>
      </c>
      <c r="B1803" s="46" t="s">
        <v>315</v>
      </c>
      <c r="C1803" s="315"/>
      <c r="D1803" s="316"/>
      <c r="E1803" s="315"/>
      <c r="F1803" s="315"/>
      <c r="G1803" s="315"/>
      <c r="H1803" s="194" t="s">
        <v>2022</v>
      </c>
      <c r="I1803" s="12"/>
      <c r="J1803" s="170"/>
      <c r="K1803" s="12"/>
      <c r="L1803" s="197">
        <v>56.4</v>
      </c>
      <c r="M1803" s="197">
        <v>1</v>
      </c>
      <c r="N1803" s="290">
        <v>430</v>
      </c>
      <c r="O1803" s="46"/>
      <c r="P1803" s="46" t="s">
        <v>32</v>
      </c>
      <c r="Q1803" s="12"/>
      <c r="R1803" s="192" t="str">
        <f>CONCATENATE(N1803,P1803)</f>
        <v>430ml</v>
      </c>
      <c r="S1803" s="198">
        <f>M1803*N1803</f>
        <v>430</v>
      </c>
      <c r="T1803" s="199" t="str">
        <f>CONCATENATE(S1803,Q1803,P1803)</f>
        <v>430ml</v>
      </c>
      <c r="U1803" s="200">
        <f>L1803*M1803</f>
        <v>56.4</v>
      </c>
      <c r="V1803" s="12"/>
      <c r="W1803" s="12"/>
    </row>
    <row r="1804" spans="1:23" x14ac:dyDescent="0.3">
      <c r="A1804" s="193">
        <v>732</v>
      </c>
      <c r="B1804" s="219" t="s">
        <v>315</v>
      </c>
      <c r="C1804" s="315"/>
      <c r="D1804" s="316"/>
      <c r="E1804" s="315"/>
      <c r="F1804" s="315"/>
      <c r="G1804" s="315"/>
      <c r="H1804" s="194" t="s">
        <v>2021</v>
      </c>
      <c r="I1804" s="12"/>
      <c r="J1804" s="215"/>
      <c r="K1804" s="12"/>
      <c r="L1804" s="216">
        <v>55.55</v>
      </c>
      <c r="M1804" s="216">
        <v>2</v>
      </c>
      <c r="N1804" s="293">
        <v>490</v>
      </c>
      <c r="O1804" s="219"/>
      <c r="P1804" s="219" t="s">
        <v>32</v>
      </c>
      <c r="Q1804" s="12"/>
      <c r="R1804" s="192" t="str">
        <f>CONCATENATE(N1804,P1804)</f>
        <v>490ml</v>
      </c>
      <c r="S1804" s="198">
        <f>M1804*N1804</f>
        <v>980</v>
      </c>
      <c r="T1804" s="199" t="str">
        <f>CONCATENATE(S1804,Q1804,P1804)</f>
        <v>980ml</v>
      </c>
      <c r="U1804" s="200">
        <f>L1804*M1804</f>
        <v>111.1</v>
      </c>
      <c r="V1804" s="12"/>
      <c r="W1804" s="12"/>
    </row>
    <row r="1805" spans="1:23" x14ac:dyDescent="0.3">
      <c r="A1805" s="479">
        <v>733</v>
      </c>
      <c r="B1805" s="194" t="s">
        <v>748</v>
      </c>
      <c r="C1805" s="487"/>
      <c r="D1805" s="485" t="str">
        <f ca="1">IFERROR(__xludf.DUMMYFUNCTION("IF(J523="""",""n/a"",IFERROR(SPLIT(J523,""/"")))"),"Mr Gulaman")</f>
        <v>Mr Gulaman</v>
      </c>
      <c r="E1805" s="485" t="str">
        <f ca="1">IFERROR(__xludf.DUMMYFUNCTION("""COMPUTED_VALUE"""),"box")</f>
        <v>box</v>
      </c>
      <c r="F1805" s="485" t="str">
        <f ca="1">IFERROR(__xludf.DUMMYFUNCTION("""COMPUTED_VALUE"""),"(10sachetx25grams)")</f>
        <v>(10sachetx25grams)</v>
      </c>
      <c r="G1805" s="487"/>
      <c r="H1805" s="183" t="s">
        <v>1897</v>
      </c>
      <c r="I1805" s="487"/>
      <c r="J1805" s="46" t="s">
        <v>69</v>
      </c>
      <c r="K1805" s="487"/>
      <c r="L1805" s="195">
        <v>0.45</v>
      </c>
      <c r="M1805" s="202">
        <v>450</v>
      </c>
      <c r="N1805" s="203">
        <v>25</v>
      </c>
      <c r="O1805" s="61" t="str">
        <f ca="1">E1805</f>
        <v>box</v>
      </c>
      <c r="P1805" s="61" t="s">
        <v>39</v>
      </c>
      <c r="Q1805" s="487"/>
      <c r="R1805" s="192" t="str">
        <f>CONCATENATE(N1805,P1805)</f>
        <v>25grams</v>
      </c>
      <c r="S1805" s="198">
        <f>M1805*N1805</f>
        <v>11250</v>
      </c>
      <c r="T1805" s="199" t="str">
        <f>CONCATENATE(S1805,Q1805,P1805)</f>
        <v>11250grams</v>
      </c>
      <c r="U1805" s="200">
        <f>L1805*M1805</f>
        <v>202.5</v>
      </c>
      <c r="V1805" s="205"/>
      <c r="W1805" s="62"/>
    </row>
    <row r="1806" spans="1:23" x14ac:dyDescent="0.3">
      <c r="A1806" s="193">
        <v>733</v>
      </c>
      <c r="B1806" s="219" t="s">
        <v>748</v>
      </c>
      <c r="C1806" s="315"/>
      <c r="D1806" s="316"/>
      <c r="E1806" s="315"/>
      <c r="F1806" s="315"/>
      <c r="G1806" s="315"/>
      <c r="H1806" s="194" t="s">
        <v>2021</v>
      </c>
      <c r="I1806" s="12"/>
      <c r="J1806" s="219" t="s">
        <v>881</v>
      </c>
      <c r="K1806" s="12"/>
      <c r="L1806" s="216">
        <v>139</v>
      </c>
      <c r="M1806" s="216">
        <v>1</v>
      </c>
      <c r="N1806" s="293">
        <v>185</v>
      </c>
      <c r="O1806" s="219"/>
      <c r="P1806" s="219" t="s">
        <v>39</v>
      </c>
      <c r="Q1806" s="12"/>
      <c r="R1806" s="192" t="str">
        <f>CONCATENATE(N1806,P1806)</f>
        <v>185grams</v>
      </c>
      <c r="S1806" s="198">
        <f>M1806*N1806</f>
        <v>185</v>
      </c>
      <c r="T1806" s="199" t="str">
        <f>CONCATENATE(S1806,Q1806,P1806)</f>
        <v>185grams</v>
      </c>
      <c r="U1806" s="200">
        <f>L1806*M1806</f>
        <v>139</v>
      </c>
      <c r="V1806" s="12"/>
      <c r="W1806" s="12"/>
    </row>
    <row r="1807" spans="1:23" x14ac:dyDescent="0.3">
      <c r="A1807" s="193">
        <v>734</v>
      </c>
      <c r="B1807" s="219" t="s">
        <v>1585</v>
      </c>
      <c r="C1807" s="315"/>
      <c r="D1807" s="316"/>
      <c r="E1807" s="315"/>
      <c r="F1807" s="315"/>
      <c r="G1807" s="315"/>
      <c r="H1807" s="194" t="s">
        <v>2025</v>
      </c>
      <c r="I1807" s="12"/>
      <c r="J1807" s="46" t="s">
        <v>1586</v>
      </c>
      <c r="K1807" s="12"/>
      <c r="L1807" s="197">
        <v>1700</v>
      </c>
      <c r="M1807" s="197">
        <v>1</v>
      </c>
      <c r="N1807" s="290">
        <v>5</v>
      </c>
      <c r="O1807" s="46"/>
      <c r="P1807" s="46" t="s">
        <v>213</v>
      </c>
      <c r="Q1807" s="12"/>
      <c r="R1807" s="192" t="str">
        <f>CONCATENATE(N1807,P1807)</f>
        <v>5kilos</v>
      </c>
      <c r="S1807" s="198">
        <f>M1807*N1807</f>
        <v>5</v>
      </c>
      <c r="T1807" s="199" t="str">
        <f>CONCATENATE(S1807,Q1807,P1807)</f>
        <v>5kilos</v>
      </c>
      <c r="U1807" s="200">
        <f>L1807*M1807</f>
        <v>1700</v>
      </c>
      <c r="V1807" s="12"/>
      <c r="W1807" s="12"/>
    </row>
    <row r="1808" spans="1:23" x14ac:dyDescent="0.3">
      <c r="A1808" s="193">
        <v>735</v>
      </c>
      <c r="B1808" s="46" t="s">
        <v>1587</v>
      </c>
      <c r="C1808" s="315"/>
      <c r="D1808" s="316"/>
      <c r="E1808" s="315"/>
      <c r="F1808" s="315"/>
      <c r="G1808" s="315"/>
      <c r="H1808" s="194" t="s">
        <v>2025</v>
      </c>
      <c r="I1808" s="12"/>
      <c r="J1808" s="46" t="s">
        <v>1588</v>
      </c>
      <c r="K1808" s="12"/>
      <c r="L1808" s="197">
        <v>343</v>
      </c>
      <c r="M1808" s="197">
        <v>1</v>
      </c>
      <c r="N1808" s="290">
        <v>750</v>
      </c>
      <c r="O1808" s="46"/>
      <c r="P1808" s="46" t="s">
        <v>32</v>
      </c>
      <c r="Q1808" s="12"/>
      <c r="R1808" s="192" t="str">
        <f>CONCATENATE(N1808,P1808)</f>
        <v>750ml</v>
      </c>
      <c r="S1808" s="198">
        <f>M1808*N1808</f>
        <v>750</v>
      </c>
      <c r="T1808" s="199" t="str">
        <f>CONCATENATE(S1808,Q1808,P1808)</f>
        <v>750ml</v>
      </c>
      <c r="U1808" s="200">
        <f>L1808*M1808</f>
        <v>343</v>
      </c>
      <c r="V1808" s="12"/>
      <c r="W1808" s="12"/>
    </row>
    <row r="1809" spans="1:23" x14ac:dyDescent="0.3">
      <c r="A1809" s="193">
        <v>735</v>
      </c>
      <c r="B1809" s="219" t="s">
        <v>1587</v>
      </c>
      <c r="C1809" s="315"/>
      <c r="D1809" s="316"/>
      <c r="E1809" s="315"/>
      <c r="F1809" s="315"/>
      <c r="G1809" s="315"/>
      <c r="H1809" s="194" t="s">
        <v>2021</v>
      </c>
      <c r="I1809" s="12"/>
      <c r="J1809" s="219" t="s">
        <v>1588</v>
      </c>
      <c r="K1809" s="12"/>
      <c r="L1809" s="216">
        <v>301.5</v>
      </c>
      <c r="M1809" s="216">
        <v>1</v>
      </c>
      <c r="N1809" s="293">
        <v>1</v>
      </c>
      <c r="O1809" s="219"/>
      <c r="P1809" s="219" t="s">
        <v>773</v>
      </c>
      <c r="Q1809" s="12"/>
      <c r="R1809" s="192" t="str">
        <f>CONCATENATE(N1809,P1809)</f>
        <v>1liters</v>
      </c>
      <c r="S1809" s="198">
        <f>M1809*N1809</f>
        <v>1</v>
      </c>
      <c r="T1809" s="199" t="str">
        <f>CONCATENATE(S1809,Q1809,P1809)</f>
        <v>1liters</v>
      </c>
      <c r="U1809" s="200">
        <f>L1809*M1809</f>
        <v>301.5</v>
      </c>
      <c r="V1809" s="12"/>
      <c r="W1809" s="12"/>
    </row>
    <row r="1810" spans="1:23" x14ac:dyDescent="0.3">
      <c r="A1810" s="479">
        <v>736</v>
      </c>
      <c r="B1810" s="194" t="s">
        <v>749</v>
      </c>
      <c r="C1810" s="487"/>
      <c r="D1810" s="485" t="str">
        <f ca="1">IFERROR(__xludf.DUMMYFUNCTION("IF(J524="""",""n/a"",IFERROR(SPLIT(J524,""/"")))"),"n/a")</f>
        <v>n/a</v>
      </c>
      <c r="E1810" s="487"/>
      <c r="F1810" s="487"/>
      <c r="G1810" s="487"/>
      <c r="H1810" s="206" t="s">
        <v>1898</v>
      </c>
      <c r="I1810" s="487"/>
      <c r="J1810" s="170"/>
      <c r="K1810" s="487"/>
      <c r="L1810" s="197">
        <v>6.77</v>
      </c>
      <c r="M1810" s="385">
        <v>10</v>
      </c>
      <c r="N1810" s="208">
        <v>10</v>
      </c>
      <c r="O1810" s="170">
        <f>E1810</f>
        <v>0</v>
      </c>
      <c r="P1810" s="209" t="s">
        <v>92</v>
      </c>
      <c r="Q1810" s="487"/>
      <c r="R1810" s="192" t="str">
        <f>CONCATENATE(N1810,P1810)</f>
        <v>10pieces</v>
      </c>
      <c r="S1810" s="198">
        <f>M1810*N1810</f>
        <v>100</v>
      </c>
      <c r="T1810" s="199" t="str">
        <f>CONCATENATE(S1810,Q1810,P1810)</f>
        <v>100pieces</v>
      </c>
      <c r="U1810" s="200">
        <f>L1810*M1810</f>
        <v>67.699999999999989</v>
      </c>
      <c r="V1810" s="12"/>
      <c r="W1810" s="12"/>
    </row>
    <row r="1811" spans="1:23" x14ac:dyDescent="0.3">
      <c r="A1811" s="479">
        <v>737</v>
      </c>
      <c r="B1811" s="194" t="s">
        <v>750</v>
      </c>
      <c r="C1811" s="487"/>
      <c r="D1811" s="485" t="str">
        <f ca="1">IFERROR(__xludf.DUMMYFUNCTION("IF(J525="""",""n/a"",IFERROR(SPLIT(J525,""/"")))"),"Super Alsa")</f>
        <v>Super Alsa</v>
      </c>
      <c r="E1811" s="485" t="str">
        <f ca="1">IFERROR(__xludf.DUMMYFUNCTION("""COMPUTED_VALUE"""),"sack")</f>
        <v>sack</v>
      </c>
      <c r="F1811" s="485" t="str">
        <f ca="1">IFERROR(__xludf.DUMMYFUNCTION("""COMPUTED_VALUE"""),"25kilos")</f>
        <v>25kilos</v>
      </c>
      <c r="G1811" s="487"/>
      <c r="H1811" s="183" t="s">
        <v>1897</v>
      </c>
      <c r="I1811" s="487"/>
      <c r="J1811" s="46" t="s">
        <v>751</v>
      </c>
      <c r="K1811" s="487"/>
      <c r="L1811" s="195">
        <v>1170</v>
      </c>
      <c r="M1811" s="202">
        <v>18</v>
      </c>
      <c r="N1811" s="203">
        <v>1</v>
      </c>
      <c r="O1811" s="61" t="str">
        <f ca="1">E1811</f>
        <v>sack</v>
      </c>
      <c r="P1811" s="61" t="s">
        <v>213</v>
      </c>
      <c r="Q1811" s="487"/>
      <c r="R1811" s="192" t="str">
        <f>CONCATENATE(N1811,P1811)</f>
        <v>1kilos</v>
      </c>
      <c r="S1811" s="198">
        <f>M1811*N1811</f>
        <v>18</v>
      </c>
      <c r="T1811" s="199" t="str">
        <f>CONCATENATE(S1811,Q1811,P1811)</f>
        <v>18kilos</v>
      </c>
      <c r="U1811" s="200">
        <f>L1811*M1811</f>
        <v>21060</v>
      </c>
      <c r="V1811" s="12"/>
      <c r="W1811" s="12"/>
    </row>
    <row r="1812" spans="1:23" x14ac:dyDescent="0.3">
      <c r="A1812" s="479">
        <v>737</v>
      </c>
      <c r="B1812" s="194" t="s">
        <v>750</v>
      </c>
      <c r="C1812" s="487"/>
      <c r="D1812" s="485" t="str">
        <f ca="1">IFERROR(__xludf.DUMMYFUNCTION("IF(J526="""",""n/a"",IFERROR(SPLIT(J526,""/"")))"),"Sinandomeng")</f>
        <v>Sinandomeng</v>
      </c>
      <c r="E1812" s="485" t="str">
        <f ca="1">IFERROR(__xludf.DUMMYFUNCTION("""COMPUTED_VALUE"""),"sack25kilos")</f>
        <v>sack25kilos</v>
      </c>
      <c r="F1812" s="487"/>
      <c r="G1812" s="487"/>
      <c r="H1812" s="183" t="s">
        <v>1897</v>
      </c>
      <c r="I1812" s="487"/>
      <c r="J1812" s="46" t="s">
        <v>752</v>
      </c>
      <c r="K1812" s="487"/>
      <c r="L1812" s="195">
        <v>1180</v>
      </c>
      <c r="M1812" s="202">
        <v>17</v>
      </c>
      <c r="N1812" s="203">
        <v>1</v>
      </c>
      <c r="O1812" s="61" t="str">
        <f ca="1">E1812</f>
        <v>sack25kilos</v>
      </c>
      <c r="P1812" s="61" t="s">
        <v>213</v>
      </c>
      <c r="Q1812" s="487"/>
      <c r="R1812" s="192" t="str">
        <f>CONCATENATE(N1812,P1812)</f>
        <v>1kilos</v>
      </c>
      <c r="S1812" s="198">
        <f>M1812*N1812</f>
        <v>17</v>
      </c>
      <c r="T1812" s="199" t="str">
        <f>CONCATENATE(S1812,Q1812,P1812)</f>
        <v>17kilos</v>
      </c>
      <c r="U1812" s="200">
        <f>L1812*M1812</f>
        <v>20060</v>
      </c>
      <c r="V1812" s="12"/>
      <c r="W1812" s="12"/>
    </row>
    <row r="1813" spans="1:23" x14ac:dyDescent="0.3">
      <c r="A1813" s="479">
        <v>737</v>
      </c>
      <c r="B1813" s="194" t="s">
        <v>750</v>
      </c>
      <c r="C1813" s="487"/>
      <c r="D1813" s="485" t="str">
        <f ca="1">IFERROR(__xludf.DUMMYFUNCTION("IF(J527="""",""n/a"",IFERROR(SPLIT(J527,""/"")))"),"n/a")</f>
        <v>n/a</v>
      </c>
      <c r="E1813" s="487"/>
      <c r="F1813" s="487"/>
      <c r="G1813" s="487"/>
      <c r="H1813" s="206" t="s">
        <v>1898</v>
      </c>
      <c r="I1813" s="487"/>
      <c r="J1813" s="170"/>
      <c r="K1813" s="487"/>
      <c r="L1813" s="197">
        <v>48</v>
      </c>
      <c r="M1813" s="386">
        <v>975</v>
      </c>
      <c r="N1813" s="208">
        <v>25</v>
      </c>
      <c r="O1813" s="170">
        <f>E1813</f>
        <v>0</v>
      </c>
      <c r="P1813" s="61" t="s">
        <v>213</v>
      </c>
      <c r="Q1813" s="487"/>
      <c r="R1813" s="192" t="str">
        <f>CONCATENATE(N1813,P1813)</f>
        <v>25kilos</v>
      </c>
      <c r="S1813" s="198">
        <f>M1813*N1813</f>
        <v>24375</v>
      </c>
      <c r="T1813" s="199" t="str">
        <f>CONCATENATE(S1813,Q1813,P1813)</f>
        <v>24375kilos</v>
      </c>
      <c r="U1813" s="200">
        <f>L1813*M1813</f>
        <v>46800</v>
      </c>
      <c r="V1813" s="12"/>
      <c r="W1813" s="12"/>
    </row>
    <row r="1814" spans="1:23" x14ac:dyDescent="0.3">
      <c r="A1814" s="193">
        <v>737</v>
      </c>
      <c r="B1814" s="46" t="s">
        <v>750</v>
      </c>
      <c r="C1814" s="315"/>
      <c r="D1814" s="316"/>
      <c r="E1814" s="315"/>
      <c r="F1814" s="315"/>
      <c r="G1814" s="315"/>
      <c r="H1814" s="194" t="s">
        <v>29</v>
      </c>
      <c r="I1814" s="12"/>
      <c r="J1814" s="46" t="s">
        <v>1589</v>
      </c>
      <c r="K1814" s="12"/>
      <c r="L1814" s="197">
        <v>48</v>
      </c>
      <c r="M1814" s="197">
        <v>150</v>
      </c>
      <c r="N1814" s="290">
        <v>1</v>
      </c>
      <c r="O1814" s="46"/>
      <c r="P1814" s="46" t="s">
        <v>213</v>
      </c>
      <c r="Q1814" s="12"/>
      <c r="R1814" s="192" t="str">
        <f>CONCATENATE(N1814,P1814)</f>
        <v>1kilos</v>
      </c>
      <c r="S1814" s="198">
        <f>M1814*N1814</f>
        <v>150</v>
      </c>
      <c r="T1814" s="199" t="str">
        <f>CONCATENATE(S1814,Q1814,P1814)</f>
        <v>150kilos</v>
      </c>
      <c r="U1814" s="200">
        <f>L1814*M1814</f>
        <v>7200</v>
      </c>
      <c r="V1814" s="12"/>
      <c r="W1814" s="12"/>
    </row>
    <row r="1815" spans="1:23" x14ac:dyDescent="0.3">
      <c r="A1815" s="193">
        <v>737</v>
      </c>
      <c r="B1815" s="46" t="s">
        <v>750</v>
      </c>
      <c r="C1815" s="315"/>
      <c r="D1815" s="316"/>
      <c r="E1815" s="315"/>
      <c r="F1815" s="315"/>
      <c r="G1815" s="315"/>
      <c r="H1815" s="194" t="s">
        <v>2024</v>
      </c>
      <c r="I1815" s="12"/>
      <c r="J1815" s="46" t="s">
        <v>1590</v>
      </c>
      <c r="K1815" s="12"/>
      <c r="L1815" s="197">
        <v>1050</v>
      </c>
      <c r="M1815" s="197">
        <v>16</v>
      </c>
      <c r="N1815" s="290">
        <v>1</v>
      </c>
      <c r="O1815" s="46"/>
      <c r="P1815" s="46" t="s">
        <v>1591</v>
      </c>
      <c r="Q1815" s="12"/>
      <c r="R1815" s="192" t="str">
        <f>CONCATENATE(N1815,P1815)</f>
        <v>1sacks</v>
      </c>
      <c r="S1815" s="198">
        <f>M1815*N1815</f>
        <v>16</v>
      </c>
      <c r="T1815" s="199" t="str">
        <f>CONCATENATE(S1815,Q1815,P1815)</f>
        <v>16sacks</v>
      </c>
      <c r="U1815" s="200">
        <f>L1815*M1815</f>
        <v>16800</v>
      </c>
      <c r="V1815" s="12"/>
      <c r="W1815" s="12"/>
    </row>
    <row r="1816" spans="1:23" x14ac:dyDescent="0.3">
      <c r="A1816" s="193">
        <v>737</v>
      </c>
      <c r="B1816" s="46" t="s">
        <v>750</v>
      </c>
      <c r="C1816" s="315"/>
      <c r="D1816" s="316"/>
      <c r="E1816" s="315"/>
      <c r="F1816" s="315"/>
      <c r="G1816" s="315"/>
      <c r="H1816" s="194" t="s">
        <v>2025</v>
      </c>
      <c r="I1816" s="12"/>
      <c r="J1816" s="46" t="s">
        <v>1592</v>
      </c>
      <c r="K1816" s="12"/>
      <c r="L1816" s="197">
        <v>1200</v>
      </c>
      <c r="M1816" s="197">
        <v>6</v>
      </c>
      <c r="N1816" s="290">
        <v>25</v>
      </c>
      <c r="O1816" s="46"/>
      <c r="P1816" s="46" t="s">
        <v>213</v>
      </c>
      <c r="Q1816" s="12"/>
      <c r="R1816" s="192" t="str">
        <f>CONCATENATE(N1816,P1816)</f>
        <v>25kilos</v>
      </c>
      <c r="S1816" s="198">
        <f>M1816*N1816</f>
        <v>150</v>
      </c>
      <c r="T1816" s="199" t="str">
        <f>CONCATENATE(S1816,Q1816,P1816)</f>
        <v>150kilos</v>
      </c>
      <c r="U1816" s="200">
        <f>L1816*M1816</f>
        <v>7200</v>
      </c>
      <c r="V1816" s="12"/>
      <c r="W1816" s="12"/>
    </row>
    <row r="1817" spans="1:23" x14ac:dyDescent="0.3">
      <c r="A1817" s="193">
        <v>737</v>
      </c>
      <c r="B1817" s="46" t="s">
        <v>750</v>
      </c>
      <c r="C1817" s="315"/>
      <c r="D1817" s="316"/>
      <c r="E1817" s="315"/>
      <c r="F1817" s="315"/>
      <c r="G1817" s="315"/>
      <c r="H1817" s="194" t="s">
        <v>2026</v>
      </c>
      <c r="I1817" s="12"/>
      <c r="J1817" s="46" t="s">
        <v>1593</v>
      </c>
      <c r="K1817" s="12"/>
      <c r="L1817" s="197">
        <v>43.6</v>
      </c>
      <c r="M1817" s="197">
        <v>88</v>
      </c>
      <c r="N1817" s="290">
        <v>25</v>
      </c>
      <c r="O1817" s="46"/>
      <c r="P1817" s="46" t="s">
        <v>213</v>
      </c>
      <c r="Q1817" s="12"/>
      <c r="R1817" s="192" t="str">
        <f>CONCATENATE(N1817,P1817)</f>
        <v>25kilos</v>
      </c>
      <c r="S1817" s="198">
        <f>M1817*N1817</f>
        <v>2200</v>
      </c>
      <c r="T1817" s="199" t="str">
        <f>CONCATENATE(S1817,Q1817,P1817)</f>
        <v>2200kilos</v>
      </c>
      <c r="U1817" s="200">
        <f>L1817*M1817</f>
        <v>3836.8</v>
      </c>
      <c r="V1817" s="12"/>
      <c r="W1817" s="12"/>
    </row>
    <row r="1818" spans="1:23" x14ac:dyDescent="0.3">
      <c r="A1818" s="193">
        <v>737</v>
      </c>
      <c r="B1818" s="46" t="s">
        <v>750</v>
      </c>
      <c r="C1818" s="315"/>
      <c r="D1818" s="316"/>
      <c r="E1818" s="315"/>
      <c r="F1818" s="315"/>
      <c r="G1818" s="315"/>
      <c r="H1818" s="194" t="s">
        <v>2022</v>
      </c>
      <c r="I1818" s="12"/>
      <c r="J1818" s="46" t="s">
        <v>867</v>
      </c>
      <c r="K1818" s="12"/>
      <c r="L1818" s="197">
        <v>48</v>
      </c>
      <c r="M1818" s="197">
        <v>150</v>
      </c>
      <c r="N1818" s="290">
        <v>1</v>
      </c>
      <c r="O1818" s="46"/>
      <c r="P1818" s="46" t="s">
        <v>213</v>
      </c>
      <c r="Q1818" s="12"/>
      <c r="R1818" s="192" t="str">
        <f>CONCATENATE(N1818,P1818)</f>
        <v>1kilos</v>
      </c>
      <c r="S1818" s="198">
        <f>M1818*N1818</f>
        <v>150</v>
      </c>
      <c r="T1818" s="199" t="str">
        <f>CONCATENATE(S1818,Q1818,P1818)</f>
        <v>150kilos</v>
      </c>
      <c r="U1818" s="200">
        <f>L1818*M1818</f>
        <v>7200</v>
      </c>
      <c r="V1818" s="12"/>
      <c r="W1818" s="12"/>
    </row>
    <row r="1819" spans="1:23" x14ac:dyDescent="0.3">
      <c r="A1819" s="193">
        <v>737</v>
      </c>
      <c r="B1819" s="219" t="s">
        <v>750</v>
      </c>
      <c r="C1819" s="315"/>
      <c r="D1819" s="316"/>
      <c r="E1819" s="315"/>
      <c r="F1819" s="315"/>
      <c r="G1819" s="315"/>
      <c r="H1819" s="194" t="s">
        <v>2021</v>
      </c>
      <c r="I1819" s="12"/>
      <c r="J1819" s="219" t="s">
        <v>1594</v>
      </c>
      <c r="K1819" s="12"/>
      <c r="L1819" s="216">
        <v>2600</v>
      </c>
      <c r="M1819" s="216">
        <v>10</v>
      </c>
      <c r="N1819" s="293">
        <v>50</v>
      </c>
      <c r="O1819" s="219"/>
      <c r="P1819" s="219" t="s">
        <v>213</v>
      </c>
      <c r="Q1819" s="12"/>
      <c r="R1819" s="192" t="str">
        <f>CONCATENATE(N1819,P1819)</f>
        <v>50kilos</v>
      </c>
      <c r="S1819" s="198">
        <f>M1819*N1819</f>
        <v>500</v>
      </c>
      <c r="T1819" s="199" t="str">
        <f>CONCATENATE(S1819,Q1819,P1819)</f>
        <v>500kilos</v>
      </c>
      <c r="U1819" s="200">
        <f>L1819*M1819</f>
        <v>26000</v>
      </c>
      <c r="V1819" s="12"/>
      <c r="W1819" s="12"/>
    </row>
    <row r="1820" spans="1:23" x14ac:dyDescent="0.3">
      <c r="A1820" s="193">
        <v>737</v>
      </c>
      <c r="B1820" s="219" t="s">
        <v>750</v>
      </c>
      <c r="C1820" s="315"/>
      <c r="D1820" s="316"/>
      <c r="E1820" s="315"/>
      <c r="F1820" s="315"/>
      <c r="G1820" s="315"/>
      <c r="H1820" s="194" t="s">
        <v>1368</v>
      </c>
      <c r="I1820" s="12"/>
      <c r="J1820" s="46" t="s">
        <v>1595</v>
      </c>
      <c r="K1820" s="12"/>
      <c r="L1820" s="197">
        <v>3000</v>
      </c>
      <c r="M1820" s="197">
        <v>10</v>
      </c>
      <c r="N1820" s="290">
        <v>50</v>
      </c>
      <c r="O1820" s="46"/>
      <c r="P1820" s="46" t="s">
        <v>213</v>
      </c>
      <c r="Q1820" s="12"/>
      <c r="R1820" s="192" t="str">
        <f>CONCATENATE(N1820,P1820)</f>
        <v>50kilos</v>
      </c>
      <c r="S1820" s="198">
        <f>M1820*N1820</f>
        <v>500</v>
      </c>
      <c r="T1820" s="199" t="str">
        <f>CONCATENATE(S1820,Q1820,P1820)</f>
        <v>500kilos</v>
      </c>
      <c r="U1820" s="200">
        <f>L1820*M1820</f>
        <v>30000</v>
      </c>
      <c r="V1820" s="12"/>
      <c r="W1820" s="12"/>
    </row>
    <row r="1821" spans="1:23" x14ac:dyDescent="0.3">
      <c r="A1821" s="193">
        <v>737</v>
      </c>
      <c r="B1821" s="219" t="s">
        <v>750</v>
      </c>
      <c r="C1821" s="315"/>
      <c r="D1821" s="316"/>
      <c r="E1821" s="315"/>
      <c r="F1821" s="315"/>
      <c r="G1821" s="315"/>
      <c r="H1821" s="194" t="s">
        <v>2020</v>
      </c>
      <c r="I1821" s="12"/>
      <c r="J1821" s="46" t="s">
        <v>1596</v>
      </c>
      <c r="K1821" s="12"/>
      <c r="L1821" s="197">
        <v>1275</v>
      </c>
      <c r="M1821" s="197">
        <v>35</v>
      </c>
      <c r="N1821" s="290">
        <v>25</v>
      </c>
      <c r="O1821" s="46"/>
      <c r="P1821" s="46" t="s">
        <v>213</v>
      </c>
      <c r="Q1821" s="12"/>
      <c r="R1821" s="192" t="str">
        <f>CONCATENATE(N1821,P1821)</f>
        <v>25kilos</v>
      </c>
      <c r="S1821" s="198">
        <f>M1821*N1821</f>
        <v>875</v>
      </c>
      <c r="T1821" s="199" t="str">
        <f>CONCATENATE(S1821,Q1821,P1821)</f>
        <v>875kilos</v>
      </c>
      <c r="U1821" s="200">
        <f>L1821*M1821</f>
        <v>44625</v>
      </c>
      <c r="V1821" s="12"/>
      <c r="W1821" s="12"/>
    </row>
    <row r="1822" spans="1:23" x14ac:dyDescent="0.3">
      <c r="A1822" s="193">
        <v>738</v>
      </c>
      <c r="B1822" s="46" t="s">
        <v>1991</v>
      </c>
      <c r="C1822" s="315"/>
      <c r="D1822" s="316"/>
      <c r="E1822" s="315"/>
      <c r="F1822" s="315"/>
      <c r="G1822" s="315"/>
      <c r="H1822" s="400" t="s">
        <v>2027</v>
      </c>
      <c r="I1822" s="12"/>
      <c r="J1822" s="46" t="s">
        <v>1596</v>
      </c>
      <c r="K1822" s="12"/>
      <c r="L1822" s="195">
        <v>47</v>
      </c>
      <c r="M1822" s="197">
        <v>50</v>
      </c>
      <c r="N1822" s="360">
        <v>1</v>
      </c>
      <c r="O1822" s="61"/>
      <c r="P1822" s="61" t="s">
        <v>213</v>
      </c>
      <c r="Q1822" s="12"/>
      <c r="R1822" s="192" t="str">
        <f>CONCATENATE(N1822,P1822)</f>
        <v>1kilos</v>
      </c>
      <c r="S1822" s="198">
        <f>M1822*N1822</f>
        <v>50</v>
      </c>
      <c r="T1822" s="199" t="str">
        <f>CONCATENATE(S1822,Q1822,P1822)</f>
        <v>50kilos</v>
      </c>
      <c r="U1822" s="200">
        <f>L1822*M1822</f>
        <v>2350</v>
      </c>
      <c r="V1822" s="12"/>
      <c r="W1822" s="12"/>
    </row>
    <row r="1823" spans="1:23" x14ac:dyDescent="0.3">
      <c r="A1823" s="193">
        <v>739</v>
      </c>
      <c r="B1823" s="219" t="s">
        <v>1597</v>
      </c>
      <c r="C1823" s="315"/>
      <c r="D1823" s="316"/>
      <c r="E1823" s="315"/>
      <c r="F1823" s="315"/>
      <c r="G1823" s="315"/>
      <c r="H1823" s="194" t="s">
        <v>2021</v>
      </c>
      <c r="I1823" s="12"/>
      <c r="J1823" s="219" t="s">
        <v>1598</v>
      </c>
      <c r="K1823" s="12"/>
      <c r="L1823" s="216">
        <v>365</v>
      </c>
      <c r="M1823" s="216">
        <v>3</v>
      </c>
      <c r="N1823" s="293">
        <v>355</v>
      </c>
      <c r="O1823" s="219"/>
      <c r="P1823" s="219" t="s">
        <v>32</v>
      </c>
      <c r="Q1823" s="12"/>
      <c r="R1823" s="192" t="str">
        <f>CONCATENATE(N1823,P1823)</f>
        <v>355ml</v>
      </c>
      <c r="S1823" s="198">
        <f>M1823*N1823</f>
        <v>1065</v>
      </c>
      <c r="T1823" s="199" t="str">
        <f>CONCATENATE(S1823,Q1823,P1823)</f>
        <v>1065ml</v>
      </c>
      <c r="U1823" s="200">
        <f>L1823*M1823</f>
        <v>1095</v>
      </c>
      <c r="V1823" s="12"/>
      <c r="W1823" s="12"/>
    </row>
    <row r="1824" spans="1:23" x14ac:dyDescent="0.3">
      <c r="A1824" s="193">
        <v>740</v>
      </c>
      <c r="B1824" s="46" t="s">
        <v>1599</v>
      </c>
      <c r="C1824" s="315"/>
      <c r="D1824" s="316"/>
      <c r="E1824" s="315"/>
      <c r="F1824" s="315"/>
      <c r="G1824" s="315"/>
      <c r="H1824" s="194" t="s">
        <v>2022</v>
      </c>
      <c r="I1824" s="12"/>
      <c r="J1824" s="46" t="s">
        <v>991</v>
      </c>
      <c r="K1824" s="12"/>
      <c r="L1824" s="197">
        <v>420</v>
      </c>
      <c r="M1824" s="197">
        <v>1</v>
      </c>
      <c r="N1824" s="290">
        <v>1</v>
      </c>
      <c r="O1824" s="46"/>
      <c r="P1824" s="46" t="s">
        <v>1331</v>
      </c>
      <c r="Q1824" s="12"/>
      <c r="R1824" s="192" t="str">
        <f>CONCATENATE(N1824,P1824)</f>
        <v>1bundle</v>
      </c>
      <c r="S1824" s="198">
        <f>M1824*N1824</f>
        <v>1</v>
      </c>
      <c r="T1824" s="199" t="str">
        <f>CONCATENATE(S1824,Q1824,P1824)</f>
        <v>1bundle</v>
      </c>
      <c r="U1824" s="200">
        <f>L1824*M1824</f>
        <v>420</v>
      </c>
      <c r="V1824" s="12"/>
      <c r="W1824" s="12"/>
    </row>
    <row r="1825" spans="1:23" x14ac:dyDescent="0.3">
      <c r="A1825" s="193">
        <v>741</v>
      </c>
      <c r="B1825" s="46" t="s">
        <v>1600</v>
      </c>
      <c r="C1825" s="315"/>
      <c r="D1825" s="316"/>
      <c r="E1825" s="315"/>
      <c r="F1825" s="315"/>
      <c r="G1825" s="315"/>
      <c r="H1825" s="194" t="s">
        <v>2026</v>
      </c>
      <c r="I1825" s="12"/>
      <c r="J1825" s="46" t="s">
        <v>1601</v>
      </c>
      <c r="K1825" s="12"/>
      <c r="L1825" s="197">
        <v>550</v>
      </c>
      <c r="M1825" s="197">
        <v>2</v>
      </c>
      <c r="N1825" s="290">
        <v>1</v>
      </c>
      <c r="O1825" s="46"/>
      <c r="P1825" s="46" t="s">
        <v>1331</v>
      </c>
      <c r="Q1825" s="12"/>
      <c r="R1825" s="192" t="str">
        <f>CONCATENATE(N1825,P1825)</f>
        <v>1bundle</v>
      </c>
      <c r="S1825" s="198">
        <f>M1825*N1825</f>
        <v>2</v>
      </c>
      <c r="T1825" s="199" t="str">
        <f>CONCATENATE(S1825,Q1825,P1825)</f>
        <v>2bundle</v>
      </c>
      <c r="U1825" s="200">
        <f>L1825*M1825</f>
        <v>1100</v>
      </c>
      <c r="V1825" s="12"/>
      <c r="W1825" s="12"/>
    </row>
    <row r="1826" spans="1:23" x14ac:dyDescent="0.3">
      <c r="A1826" s="193">
        <v>742</v>
      </c>
      <c r="B1826" s="46" t="s">
        <v>1992</v>
      </c>
      <c r="C1826" s="315"/>
      <c r="D1826" s="316"/>
      <c r="E1826" s="315"/>
      <c r="F1826" s="315"/>
      <c r="G1826" s="315"/>
      <c r="H1826" s="400" t="s">
        <v>2027</v>
      </c>
      <c r="I1826" s="12"/>
      <c r="J1826" s="170"/>
      <c r="K1826" s="12"/>
      <c r="L1826" s="195">
        <v>23.6</v>
      </c>
      <c r="M1826" s="197">
        <v>7</v>
      </c>
      <c r="N1826" s="360">
        <v>1</v>
      </c>
      <c r="O1826" s="61"/>
      <c r="P1826" s="61" t="s">
        <v>92</v>
      </c>
      <c r="Q1826" s="12"/>
      <c r="R1826" s="192" t="str">
        <f>CONCATENATE(N1826,P1826)</f>
        <v>1pieces</v>
      </c>
      <c r="S1826" s="198">
        <f>M1826*N1826</f>
        <v>7</v>
      </c>
      <c r="T1826" s="199" t="str">
        <f>CONCATENATE(S1826,Q1826,P1826)</f>
        <v>7pieces</v>
      </c>
      <c r="U1826" s="200">
        <f>L1826*M1826</f>
        <v>165.20000000000002</v>
      </c>
      <c r="V1826" s="12"/>
      <c r="W1826" s="12"/>
    </row>
    <row r="1827" spans="1:23" x14ac:dyDescent="0.3">
      <c r="A1827" s="479">
        <v>743</v>
      </c>
      <c r="B1827" s="194" t="s">
        <v>753</v>
      </c>
      <c r="C1827" s="487"/>
      <c r="D1827" s="485" t="str">
        <f ca="1">IFERROR(__xludf.DUMMYFUNCTION("IF(J528="""",""n/a"",IFERROR(SPLIT(J528,""/"")))"),"n/a")</f>
        <v>n/a</v>
      </c>
      <c r="E1827" s="487"/>
      <c r="F1827" s="487"/>
      <c r="G1827" s="487"/>
      <c r="H1827" s="206" t="s">
        <v>1898</v>
      </c>
      <c r="I1827" s="487"/>
      <c r="J1827" s="170"/>
      <c r="K1827" s="487"/>
      <c r="L1827" s="197">
        <v>22.38</v>
      </c>
      <c r="M1827" s="385">
        <v>1</v>
      </c>
      <c r="N1827" s="208">
        <v>30</v>
      </c>
      <c r="O1827" s="170">
        <f>E1827</f>
        <v>0</v>
      </c>
      <c r="P1827" s="209" t="s">
        <v>92</v>
      </c>
      <c r="Q1827" s="487"/>
      <c r="R1827" s="192" t="str">
        <f>CONCATENATE(N1827,P1827)</f>
        <v>30pieces</v>
      </c>
      <c r="S1827" s="198">
        <f>M1827*N1827</f>
        <v>30</v>
      </c>
      <c r="T1827" s="199" t="str">
        <f>CONCATENATE(S1827,Q1827,P1827)</f>
        <v>30pieces</v>
      </c>
      <c r="U1827" s="200">
        <f>L1827*M1827</f>
        <v>22.38</v>
      </c>
      <c r="V1827" s="12"/>
      <c r="W1827" s="12"/>
    </row>
    <row r="1828" spans="1:23" x14ac:dyDescent="0.3">
      <c r="A1828" s="479">
        <v>744</v>
      </c>
      <c r="B1828" s="194" t="s">
        <v>115</v>
      </c>
      <c r="C1828" s="487"/>
      <c r="D1828" s="485" t="str">
        <f ca="1">IFERROR(__xludf.DUMMYFUNCTION("IF(J529="""",""n/a"",IFERROR(SPLIT(J529,""/"")))"),"case (24pcsx250ml)")</f>
        <v>case (24pcsx250ml)</v>
      </c>
      <c r="E1828" s="487"/>
      <c r="F1828" s="487"/>
      <c r="G1828" s="487"/>
      <c r="H1828" s="183" t="s">
        <v>1895</v>
      </c>
      <c r="I1828" s="487"/>
      <c r="J1828" s="46" t="s">
        <v>116</v>
      </c>
      <c r="K1828" s="487"/>
      <c r="L1828" s="195">
        <v>30.07</v>
      </c>
      <c r="M1828" s="197">
        <v>18</v>
      </c>
      <c r="N1828" s="61">
        <v>1</v>
      </c>
      <c r="O1828" s="170">
        <f>E1828</f>
        <v>0</v>
      </c>
      <c r="P1828" s="61" t="s">
        <v>92</v>
      </c>
      <c r="Q1828" s="487"/>
      <c r="R1828" s="192" t="str">
        <f>CONCATENATE(N1828,P1828)</f>
        <v>1pieces</v>
      </c>
      <c r="S1828" s="198">
        <f>M1828*N1828</f>
        <v>18</v>
      </c>
      <c r="T1828" s="199" t="str">
        <f>CONCATENATE(S1828,Q1828,P1828)</f>
        <v>18pieces</v>
      </c>
      <c r="U1828" s="200">
        <f>L1828*M1828</f>
        <v>541.26</v>
      </c>
      <c r="V1828" s="12"/>
      <c r="W1828" s="12"/>
    </row>
    <row r="1829" spans="1:23" x14ac:dyDescent="0.3">
      <c r="A1829" s="193">
        <v>745</v>
      </c>
      <c r="B1829" s="219" t="s">
        <v>1602</v>
      </c>
      <c r="C1829" s="315"/>
      <c r="D1829" s="316"/>
      <c r="E1829" s="315"/>
      <c r="F1829" s="315"/>
      <c r="G1829" s="315"/>
      <c r="H1829" s="194" t="s">
        <v>2021</v>
      </c>
      <c r="I1829" s="12"/>
      <c r="J1829" s="215"/>
      <c r="K1829" s="12"/>
      <c r="L1829" s="216">
        <v>70.5</v>
      </c>
      <c r="M1829" s="216">
        <v>1</v>
      </c>
      <c r="N1829" s="293">
        <v>500</v>
      </c>
      <c r="O1829" s="219"/>
      <c r="P1829" s="219" t="s">
        <v>39</v>
      </c>
      <c r="Q1829" s="12"/>
      <c r="R1829" s="192" t="str">
        <f>CONCATENATE(N1829,P1829)</f>
        <v>500grams</v>
      </c>
      <c r="S1829" s="198">
        <f>M1829*N1829</f>
        <v>500</v>
      </c>
      <c r="T1829" s="199" t="str">
        <f>CONCATENATE(S1829,Q1829,P1829)</f>
        <v>500grams</v>
      </c>
      <c r="U1829" s="200">
        <f>L1829*M1829</f>
        <v>70.5</v>
      </c>
      <c r="V1829" s="12"/>
      <c r="W1829" s="12"/>
    </row>
    <row r="1830" spans="1:23" x14ac:dyDescent="0.3">
      <c r="A1830" s="193">
        <v>746</v>
      </c>
      <c r="B1830" s="46" t="s">
        <v>1993</v>
      </c>
      <c r="C1830" s="315"/>
      <c r="D1830" s="316"/>
      <c r="E1830" s="315"/>
      <c r="F1830" s="315"/>
      <c r="G1830" s="315"/>
      <c r="H1830" s="400" t="s">
        <v>2027</v>
      </c>
      <c r="I1830" s="12"/>
      <c r="J1830" s="46" t="s">
        <v>1994</v>
      </c>
      <c r="K1830" s="12"/>
      <c r="L1830" s="195">
        <v>49.09</v>
      </c>
      <c r="M1830" s="197">
        <v>1</v>
      </c>
      <c r="N1830" s="360">
        <v>1</v>
      </c>
      <c r="O1830" s="61"/>
      <c r="P1830" s="61" t="s">
        <v>304</v>
      </c>
      <c r="Q1830" s="12"/>
      <c r="R1830" s="192" t="str">
        <f>CONCATENATE(N1830,P1830)</f>
        <v>1packs</v>
      </c>
      <c r="S1830" s="198">
        <f>M1830*N1830</f>
        <v>1</v>
      </c>
      <c r="T1830" s="199" t="str">
        <f>CONCATENATE(S1830,Q1830,P1830)</f>
        <v>1packs</v>
      </c>
      <c r="U1830" s="200">
        <f>L1830*M1830</f>
        <v>49.09</v>
      </c>
      <c r="V1830" s="12"/>
      <c r="W1830" s="12"/>
    </row>
    <row r="1831" spans="1:23" x14ac:dyDescent="0.3">
      <c r="A1831" s="479">
        <v>747</v>
      </c>
      <c r="B1831" s="194" t="s">
        <v>754</v>
      </c>
      <c r="C1831" s="487"/>
      <c r="D1831" s="485" t="str">
        <f ca="1">IFERROR(__xludf.DUMMYFUNCTION("IF(J530="""",""n/a"",IFERROR(SPLIT(J530,""/"")))"),"n/a")</f>
        <v>n/a</v>
      </c>
      <c r="E1831" s="487"/>
      <c r="F1831" s="487"/>
      <c r="G1831" s="487"/>
      <c r="H1831" s="206" t="s">
        <v>1898</v>
      </c>
      <c r="I1831" s="487"/>
      <c r="J1831" s="170"/>
      <c r="K1831" s="487"/>
      <c r="L1831" s="197">
        <v>32.840000000000003</v>
      </c>
      <c r="M1831" s="385">
        <v>8</v>
      </c>
      <c r="N1831" s="208">
        <v>24</v>
      </c>
      <c r="O1831" s="170">
        <f>E1831</f>
        <v>0</v>
      </c>
      <c r="P1831" s="209" t="s">
        <v>92</v>
      </c>
      <c r="Q1831" s="487"/>
      <c r="R1831" s="192" t="str">
        <f>CONCATENATE(N1831,P1831)</f>
        <v>24pieces</v>
      </c>
      <c r="S1831" s="198">
        <f>M1831*N1831</f>
        <v>192</v>
      </c>
      <c r="T1831" s="199" t="str">
        <f>CONCATENATE(S1831,Q1831,P1831)</f>
        <v>192pieces</v>
      </c>
      <c r="U1831" s="200">
        <f>L1831*M1831</f>
        <v>262.72000000000003</v>
      </c>
      <c r="V1831" s="12"/>
      <c r="W1831" s="12"/>
    </row>
    <row r="1832" spans="1:23" x14ac:dyDescent="0.3">
      <c r="A1832" s="479">
        <v>748</v>
      </c>
      <c r="B1832" s="194" t="s">
        <v>117</v>
      </c>
      <c r="C1832" s="487"/>
      <c r="D1832" s="485" t="str">
        <f ca="1">IFERROR(__xludf.DUMMYFUNCTION("IF(J531="""",""n/a"",IFERROR(SPLIT(J531,""/"")))"),"Coca-Cola")</f>
        <v>Coca-Cola</v>
      </c>
      <c r="E1832" s="485" t="str">
        <f ca="1">IFERROR(__xludf.DUMMYFUNCTION("""COMPUTED_VALUE"""),"case (24x250ml)")</f>
        <v>case (24x250ml)</v>
      </c>
      <c r="F1832" s="487"/>
      <c r="G1832" s="487"/>
      <c r="H1832" s="183" t="s">
        <v>1897</v>
      </c>
      <c r="I1832" s="487"/>
      <c r="J1832" s="46" t="s">
        <v>118</v>
      </c>
      <c r="K1832" s="487"/>
      <c r="L1832" s="204">
        <v>12.57</v>
      </c>
      <c r="M1832" s="202">
        <v>3</v>
      </c>
      <c r="N1832" s="203">
        <v>1</v>
      </c>
      <c r="O1832" s="61" t="str">
        <f ca="1">E1832</f>
        <v>case (24x250ml)</v>
      </c>
      <c r="P1832" s="61" t="s">
        <v>92</v>
      </c>
      <c r="Q1832" s="487"/>
      <c r="R1832" s="192" t="str">
        <f>CONCATENATE(N1832,P1832)</f>
        <v>1pieces</v>
      </c>
      <c r="S1832" s="198">
        <f>M1832*N1832</f>
        <v>3</v>
      </c>
      <c r="T1832" s="199" t="str">
        <f>CONCATENATE(S1832,Q1832,P1832)</f>
        <v>3pieces</v>
      </c>
      <c r="U1832" s="200">
        <f>L1832*M1832</f>
        <v>37.71</v>
      </c>
      <c r="V1832" s="205"/>
      <c r="W1832" s="62"/>
    </row>
    <row r="1833" spans="1:23" x14ac:dyDescent="0.3">
      <c r="A1833" s="479">
        <v>748</v>
      </c>
      <c r="B1833" s="194" t="s">
        <v>117</v>
      </c>
      <c r="C1833" s="487"/>
      <c r="D1833" s="485" t="str">
        <f ca="1">IFERROR(__xludf.DUMMYFUNCTION("IF(J532="""",""n/a"",IFERROR(SPLIT(J532,""/"")))"),"Coca-Cola")</f>
        <v>Coca-Cola</v>
      </c>
      <c r="E1833" s="485" t="str">
        <f ca="1">IFERROR(__xludf.DUMMYFUNCTION("""COMPUTED_VALUE"""),"case (24x250ml)")</f>
        <v>case (24x250ml)</v>
      </c>
      <c r="F1833" s="487"/>
      <c r="G1833" s="487"/>
      <c r="H1833" s="183" t="s">
        <v>1895</v>
      </c>
      <c r="I1833" s="487"/>
      <c r="J1833" s="46" t="s">
        <v>118</v>
      </c>
      <c r="K1833" s="487"/>
      <c r="L1833" s="195">
        <v>16.66</v>
      </c>
      <c r="M1833" s="197">
        <v>120</v>
      </c>
      <c r="N1833" s="61">
        <v>1</v>
      </c>
      <c r="O1833" s="61" t="str">
        <f ca="1">E1833</f>
        <v>case (24x250ml)</v>
      </c>
      <c r="P1833" s="61" t="s">
        <v>92</v>
      </c>
      <c r="Q1833" s="487"/>
      <c r="R1833" s="192" t="str">
        <f>CONCATENATE(N1833,P1833)</f>
        <v>1pieces</v>
      </c>
      <c r="S1833" s="198">
        <f>M1833*N1833</f>
        <v>120</v>
      </c>
      <c r="T1833" s="199" t="str">
        <f>CONCATENATE(S1833,Q1833,P1833)</f>
        <v>120pieces</v>
      </c>
      <c r="U1833" s="200">
        <f>L1833*M1833</f>
        <v>1999.2</v>
      </c>
      <c r="V1833" s="12"/>
      <c r="W1833" s="12"/>
    </row>
    <row r="1834" spans="1:23" x14ac:dyDescent="0.3">
      <c r="A1834" s="193">
        <v>749</v>
      </c>
      <c r="B1834" s="219" t="s">
        <v>1603</v>
      </c>
      <c r="C1834" s="315"/>
      <c r="D1834" s="316"/>
      <c r="E1834" s="315"/>
      <c r="F1834" s="315"/>
      <c r="G1834" s="315"/>
      <c r="H1834" s="194" t="s">
        <v>2021</v>
      </c>
      <c r="I1834" s="12"/>
      <c r="J1834" s="219" t="s">
        <v>1604</v>
      </c>
      <c r="K1834" s="12"/>
      <c r="L1834" s="391">
        <v>28.56</v>
      </c>
      <c r="M1834" s="216">
        <v>3</v>
      </c>
      <c r="N1834" s="293">
        <v>250</v>
      </c>
      <c r="O1834" s="219"/>
      <c r="P1834" s="219" t="s">
        <v>32</v>
      </c>
      <c r="Q1834" s="12"/>
      <c r="R1834" s="192" t="str">
        <f>CONCATENATE(N1834,P1834)</f>
        <v>250ml</v>
      </c>
      <c r="S1834" s="198">
        <f>M1834*N1834</f>
        <v>750</v>
      </c>
      <c r="T1834" s="199" t="str">
        <f>CONCATENATE(S1834,Q1834,P1834)</f>
        <v>750ml</v>
      </c>
      <c r="U1834" s="200">
        <f>L1834*M1834</f>
        <v>85.679999999999993</v>
      </c>
      <c r="V1834" s="12"/>
      <c r="W1834" s="12"/>
    </row>
    <row r="1835" spans="1:23" x14ac:dyDescent="0.3">
      <c r="A1835" s="193">
        <v>750</v>
      </c>
      <c r="B1835" s="46" t="s">
        <v>1605</v>
      </c>
      <c r="C1835" s="315"/>
      <c r="D1835" s="316"/>
      <c r="E1835" s="315"/>
      <c r="F1835" s="315"/>
      <c r="G1835" s="315"/>
      <c r="H1835" s="194" t="s">
        <v>2022</v>
      </c>
      <c r="I1835" s="12"/>
      <c r="J1835" s="46" t="s">
        <v>1606</v>
      </c>
      <c r="K1835" s="12"/>
      <c r="L1835" s="197">
        <v>12.49</v>
      </c>
      <c r="M1835" s="197">
        <v>16</v>
      </c>
      <c r="N1835" s="290">
        <v>230</v>
      </c>
      <c r="O1835" s="46"/>
      <c r="P1835" s="46" t="s">
        <v>32</v>
      </c>
      <c r="Q1835" s="12"/>
      <c r="R1835" s="192" t="str">
        <f>CONCATENATE(N1835,P1835)</f>
        <v>230ml</v>
      </c>
      <c r="S1835" s="198">
        <f>M1835*N1835</f>
        <v>3680</v>
      </c>
      <c r="T1835" s="199" t="str">
        <f>CONCATENATE(S1835,Q1835,P1835)</f>
        <v>3680ml</v>
      </c>
      <c r="U1835" s="200">
        <f>L1835*M1835</f>
        <v>199.84</v>
      </c>
      <c r="V1835" s="12"/>
      <c r="W1835" s="12"/>
    </row>
    <row r="1836" spans="1:23" x14ac:dyDescent="0.3">
      <c r="A1836" s="193">
        <v>750</v>
      </c>
      <c r="B1836" s="46" t="s">
        <v>1605</v>
      </c>
      <c r="C1836" s="315"/>
      <c r="D1836" s="316"/>
      <c r="E1836" s="315"/>
      <c r="F1836" s="315"/>
      <c r="G1836" s="315"/>
      <c r="H1836" s="194" t="s">
        <v>2020</v>
      </c>
      <c r="I1836" s="12"/>
      <c r="J1836" s="46" t="s">
        <v>1607</v>
      </c>
      <c r="K1836" s="12"/>
      <c r="L1836" s="197">
        <v>12.49</v>
      </c>
      <c r="M1836" s="197">
        <v>65</v>
      </c>
      <c r="N1836" s="290">
        <v>230</v>
      </c>
      <c r="O1836" s="46"/>
      <c r="P1836" s="46" t="s">
        <v>32</v>
      </c>
      <c r="Q1836" s="12"/>
      <c r="R1836" s="192" t="str">
        <f>CONCATENATE(N1836,P1836)</f>
        <v>230ml</v>
      </c>
      <c r="S1836" s="198">
        <f>M1836*N1836</f>
        <v>14950</v>
      </c>
      <c r="T1836" s="199" t="str">
        <f>CONCATENATE(S1836,Q1836,P1836)</f>
        <v>14950ml</v>
      </c>
      <c r="U1836" s="200">
        <f>L1836*M1836</f>
        <v>811.85</v>
      </c>
      <c r="V1836" s="12"/>
      <c r="W1836" s="12"/>
    </row>
    <row r="1837" spans="1:23" x14ac:dyDescent="0.3">
      <c r="A1837" s="193">
        <v>750</v>
      </c>
      <c r="B1837" s="46" t="s">
        <v>1605</v>
      </c>
      <c r="C1837" s="315"/>
      <c r="D1837" s="316"/>
      <c r="E1837" s="315"/>
      <c r="F1837" s="315"/>
      <c r="G1837" s="315"/>
      <c r="H1837" s="194" t="s">
        <v>2022</v>
      </c>
      <c r="I1837" s="12"/>
      <c r="J1837" s="46" t="s">
        <v>1608</v>
      </c>
      <c r="K1837" s="12"/>
      <c r="L1837" s="197">
        <v>12.54</v>
      </c>
      <c r="M1837" s="197">
        <v>18</v>
      </c>
      <c r="N1837" s="290">
        <v>230</v>
      </c>
      <c r="O1837" s="46"/>
      <c r="P1837" s="46" t="s">
        <v>32</v>
      </c>
      <c r="Q1837" s="12"/>
      <c r="R1837" s="192" t="str">
        <f>CONCATENATE(N1837,P1837)</f>
        <v>230ml</v>
      </c>
      <c r="S1837" s="198">
        <f>M1837*N1837</f>
        <v>4140</v>
      </c>
      <c r="T1837" s="199" t="str">
        <f>CONCATENATE(S1837,Q1837,P1837)</f>
        <v>4140ml</v>
      </c>
      <c r="U1837" s="200">
        <f>L1837*M1837</f>
        <v>225.71999999999997</v>
      </c>
      <c r="V1837" s="12"/>
      <c r="W1837" s="12"/>
    </row>
    <row r="1838" spans="1:23" x14ac:dyDescent="0.3">
      <c r="A1838" s="193">
        <v>751</v>
      </c>
      <c r="B1838" s="219" t="s">
        <v>1609</v>
      </c>
      <c r="C1838" s="315"/>
      <c r="D1838" s="316"/>
      <c r="E1838" s="315"/>
      <c r="F1838" s="315"/>
      <c r="G1838" s="315"/>
      <c r="H1838" s="194" t="s">
        <v>2020</v>
      </c>
      <c r="I1838" s="12"/>
      <c r="J1838" s="219" t="s">
        <v>1610</v>
      </c>
      <c r="K1838" s="12"/>
      <c r="L1838" s="197">
        <v>14.25</v>
      </c>
      <c r="M1838" s="197">
        <v>44</v>
      </c>
      <c r="N1838" s="290">
        <v>250</v>
      </c>
      <c r="O1838" s="46"/>
      <c r="P1838" s="46" t="s">
        <v>32</v>
      </c>
      <c r="Q1838" s="12"/>
      <c r="R1838" s="192" t="str">
        <f>CONCATENATE(N1838,P1838)</f>
        <v>250ml</v>
      </c>
      <c r="S1838" s="198">
        <f>M1838*N1838</f>
        <v>11000</v>
      </c>
      <c r="T1838" s="199" t="str">
        <f>CONCATENATE(S1838,Q1838,P1838)</f>
        <v>11000ml</v>
      </c>
      <c r="U1838" s="200">
        <f>L1838*M1838</f>
        <v>627</v>
      </c>
      <c r="V1838" s="12"/>
      <c r="W1838" s="12"/>
    </row>
    <row r="1839" spans="1:23" x14ac:dyDescent="0.3">
      <c r="A1839" s="193">
        <v>751</v>
      </c>
      <c r="B1839" s="219" t="s">
        <v>1609</v>
      </c>
      <c r="C1839" s="315"/>
      <c r="D1839" s="316"/>
      <c r="E1839" s="315"/>
      <c r="F1839" s="315"/>
      <c r="G1839" s="315"/>
      <c r="H1839" s="194" t="s">
        <v>2022</v>
      </c>
      <c r="I1839" s="12"/>
      <c r="J1839" s="219" t="s">
        <v>1610</v>
      </c>
      <c r="K1839" s="12"/>
      <c r="L1839" s="197">
        <v>14.33</v>
      </c>
      <c r="M1839" s="197">
        <v>12</v>
      </c>
      <c r="N1839" s="290">
        <v>250</v>
      </c>
      <c r="O1839" s="46"/>
      <c r="P1839" s="46" t="s">
        <v>32</v>
      </c>
      <c r="Q1839" s="12"/>
      <c r="R1839" s="192" t="str">
        <f>CONCATENATE(N1839,P1839)</f>
        <v>250ml</v>
      </c>
      <c r="S1839" s="198">
        <f>M1839*N1839</f>
        <v>3000</v>
      </c>
      <c r="T1839" s="199" t="str">
        <f>CONCATENATE(S1839,Q1839,P1839)</f>
        <v>3000ml</v>
      </c>
      <c r="U1839" s="200">
        <f>L1839*M1839</f>
        <v>171.96</v>
      </c>
      <c r="V1839" s="12"/>
      <c r="W1839" s="12"/>
    </row>
    <row r="1840" spans="1:23" x14ac:dyDescent="0.3">
      <c r="A1840" s="193">
        <v>751</v>
      </c>
      <c r="B1840" s="219" t="s">
        <v>1609</v>
      </c>
      <c r="C1840" s="315"/>
      <c r="D1840" s="316"/>
      <c r="E1840" s="315"/>
      <c r="F1840" s="315"/>
      <c r="G1840" s="315"/>
      <c r="H1840" s="194" t="s">
        <v>2021</v>
      </c>
      <c r="I1840" s="12"/>
      <c r="J1840" s="219" t="s">
        <v>1610</v>
      </c>
      <c r="K1840" s="12"/>
      <c r="L1840" s="216">
        <v>14.33</v>
      </c>
      <c r="M1840" s="216">
        <v>1</v>
      </c>
      <c r="N1840" s="290">
        <v>250</v>
      </c>
      <c r="O1840" s="219"/>
      <c r="P1840" s="219" t="s">
        <v>32</v>
      </c>
      <c r="Q1840" s="12"/>
      <c r="R1840" s="192" t="str">
        <f>CONCATENATE(N1840,P1840)</f>
        <v>250ml</v>
      </c>
      <c r="S1840" s="198">
        <f>M1840*N1840</f>
        <v>250</v>
      </c>
      <c r="T1840" s="199" t="str">
        <f>CONCATENATE(S1840,Q1840,P1840)</f>
        <v>250ml</v>
      </c>
      <c r="U1840" s="200">
        <f>L1840*M1840</f>
        <v>14.33</v>
      </c>
      <c r="V1840" s="12"/>
      <c r="W1840" s="12"/>
    </row>
    <row r="1841" spans="1:23" x14ac:dyDescent="0.3">
      <c r="A1841" s="193">
        <v>751</v>
      </c>
      <c r="B1841" s="219" t="s">
        <v>1609</v>
      </c>
      <c r="C1841" s="315"/>
      <c r="D1841" s="316"/>
      <c r="E1841" s="315"/>
      <c r="F1841" s="315"/>
      <c r="G1841" s="315"/>
      <c r="H1841" s="194" t="s">
        <v>2021</v>
      </c>
      <c r="I1841" s="12"/>
      <c r="J1841" s="219" t="s">
        <v>1611</v>
      </c>
      <c r="K1841" s="12"/>
      <c r="L1841" s="216">
        <v>25.83</v>
      </c>
      <c r="M1841" s="216">
        <v>26</v>
      </c>
      <c r="N1841" s="293">
        <v>240</v>
      </c>
      <c r="O1841" s="219"/>
      <c r="P1841" s="219" t="s">
        <v>32</v>
      </c>
      <c r="Q1841" s="12"/>
      <c r="R1841" s="192" t="str">
        <f>CONCATENATE(N1841,P1841)</f>
        <v>240ml</v>
      </c>
      <c r="S1841" s="198">
        <f>M1841*N1841</f>
        <v>6240</v>
      </c>
      <c r="T1841" s="199" t="str">
        <f>CONCATENATE(S1841,Q1841,P1841)</f>
        <v>6240ml</v>
      </c>
      <c r="U1841" s="200">
        <f>L1841*M1841</f>
        <v>671.57999999999993</v>
      </c>
      <c r="V1841" s="12"/>
      <c r="W1841" s="12"/>
    </row>
    <row r="1842" spans="1:23" x14ac:dyDescent="0.3">
      <c r="A1842" s="193">
        <v>751</v>
      </c>
      <c r="B1842" s="219" t="s">
        <v>1609</v>
      </c>
      <c r="C1842" s="315"/>
      <c r="D1842" s="316"/>
      <c r="E1842" s="315"/>
      <c r="F1842" s="315"/>
      <c r="G1842" s="315"/>
      <c r="H1842" s="194" t="s">
        <v>2021</v>
      </c>
      <c r="I1842" s="12"/>
      <c r="J1842" s="219" t="s">
        <v>1611</v>
      </c>
      <c r="K1842" s="12"/>
      <c r="L1842" s="216">
        <v>10</v>
      </c>
      <c r="M1842" s="216">
        <v>7</v>
      </c>
      <c r="N1842" s="293">
        <v>180</v>
      </c>
      <c r="O1842" s="219"/>
      <c r="P1842" s="219" t="s">
        <v>32</v>
      </c>
      <c r="Q1842" s="12"/>
      <c r="R1842" s="192" t="str">
        <f>CONCATENATE(N1842,P1842)</f>
        <v>180ml</v>
      </c>
      <c r="S1842" s="198">
        <f>M1842*N1842</f>
        <v>1260</v>
      </c>
      <c r="T1842" s="199" t="str">
        <f>CONCATENATE(S1842,Q1842,P1842)</f>
        <v>1260ml</v>
      </c>
      <c r="U1842" s="200">
        <f>L1842*M1842</f>
        <v>70</v>
      </c>
      <c r="V1842" s="12"/>
      <c r="W1842" s="12"/>
    </row>
    <row r="1843" spans="1:23" x14ac:dyDescent="0.3">
      <c r="A1843" s="193">
        <v>751</v>
      </c>
      <c r="B1843" s="219" t="s">
        <v>1609</v>
      </c>
      <c r="C1843" s="315"/>
      <c r="D1843" s="316"/>
      <c r="E1843" s="315"/>
      <c r="F1843" s="315"/>
      <c r="G1843" s="315"/>
      <c r="H1843" s="194" t="s">
        <v>2021</v>
      </c>
      <c r="I1843" s="12"/>
      <c r="J1843" s="219" t="s">
        <v>1612</v>
      </c>
      <c r="K1843" s="12"/>
      <c r="L1843" s="216">
        <v>25.83</v>
      </c>
      <c r="M1843" s="216">
        <v>27</v>
      </c>
      <c r="N1843" s="293">
        <v>240</v>
      </c>
      <c r="O1843" s="219"/>
      <c r="P1843" s="219" t="s">
        <v>32</v>
      </c>
      <c r="Q1843" s="12"/>
      <c r="R1843" s="192" t="str">
        <f>CONCATENATE(N1843,P1843)</f>
        <v>240ml</v>
      </c>
      <c r="S1843" s="198">
        <f>M1843*N1843</f>
        <v>6480</v>
      </c>
      <c r="T1843" s="199" t="str">
        <f>CONCATENATE(S1843,Q1843,P1843)</f>
        <v>6480ml</v>
      </c>
      <c r="U1843" s="200">
        <f>L1843*M1843</f>
        <v>697.41</v>
      </c>
      <c r="V1843" s="12"/>
      <c r="W1843" s="12"/>
    </row>
    <row r="1844" spans="1:23" x14ac:dyDescent="0.3">
      <c r="A1844" s="193">
        <v>751</v>
      </c>
      <c r="B1844" s="46" t="s">
        <v>1609</v>
      </c>
      <c r="C1844" s="315"/>
      <c r="D1844" s="316"/>
      <c r="E1844" s="315"/>
      <c r="F1844" s="315"/>
      <c r="G1844" s="315"/>
      <c r="H1844" s="194" t="s">
        <v>2026</v>
      </c>
      <c r="I1844" s="12"/>
      <c r="J1844" s="46" t="s">
        <v>1613</v>
      </c>
      <c r="K1844" s="12"/>
      <c r="L1844" s="197">
        <v>42.32</v>
      </c>
      <c r="M1844" s="197">
        <v>24</v>
      </c>
      <c r="N1844" s="290">
        <v>320</v>
      </c>
      <c r="O1844" s="46"/>
      <c r="P1844" s="46" t="s">
        <v>32</v>
      </c>
      <c r="Q1844" s="12"/>
      <c r="R1844" s="192" t="str">
        <f>CONCATENATE(N1844,P1844)</f>
        <v>320ml</v>
      </c>
      <c r="S1844" s="198">
        <f>M1844*N1844</f>
        <v>7680</v>
      </c>
      <c r="T1844" s="199" t="str">
        <f>CONCATENATE(S1844,Q1844,P1844)</f>
        <v>7680ml</v>
      </c>
      <c r="U1844" s="200">
        <f>L1844*M1844</f>
        <v>1015.6800000000001</v>
      </c>
      <c r="V1844" s="12"/>
      <c r="W1844" s="12"/>
    </row>
    <row r="1845" spans="1:23" x14ac:dyDescent="0.3">
      <c r="A1845" s="193">
        <v>751</v>
      </c>
      <c r="B1845" s="46" t="s">
        <v>1609</v>
      </c>
      <c r="C1845" s="315"/>
      <c r="D1845" s="316"/>
      <c r="E1845" s="315"/>
      <c r="F1845" s="315"/>
      <c r="G1845" s="315"/>
      <c r="H1845" s="194" t="s">
        <v>2020</v>
      </c>
      <c r="I1845" s="12"/>
      <c r="J1845" s="46" t="s">
        <v>1614</v>
      </c>
      <c r="K1845" s="12"/>
      <c r="L1845" s="197">
        <v>28.02</v>
      </c>
      <c r="M1845" s="197">
        <v>28</v>
      </c>
      <c r="N1845" s="290">
        <v>220</v>
      </c>
      <c r="O1845" s="46"/>
      <c r="P1845" s="46" t="s">
        <v>32</v>
      </c>
      <c r="Q1845" s="12"/>
      <c r="R1845" s="192" t="str">
        <f>CONCATENATE(N1845,P1845)</f>
        <v>220ml</v>
      </c>
      <c r="S1845" s="198">
        <f>M1845*N1845</f>
        <v>6160</v>
      </c>
      <c r="T1845" s="199" t="str">
        <f>CONCATENATE(S1845,Q1845,P1845)</f>
        <v>6160ml</v>
      </c>
      <c r="U1845" s="200">
        <f>L1845*M1845</f>
        <v>784.56</v>
      </c>
      <c r="V1845" s="12"/>
      <c r="W1845" s="12"/>
    </row>
    <row r="1846" spans="1:23" x14ac:dyDescent="0.3">
      <c r="A1846" s="193">
        <v>751</v>
      </c>
      <c r="B1846" s="46" t="s">
        <v>1609</v>
      </c>
      <c r="C1846" s="315"/>
      <c r="D1846" s="316"/>
      <c r="E1846" s="315"/>
      <c r="F1846" s="315"/>
      <c r="G1846" s="315"/>
      <c r="H1846" s="194" t="s">
        <v>2024</v>
      </c>
      <c r="I1846" s="12"/>
      <c r="J1846" s="46" t="s">
        <v>1614</v>
      </c>
      <c r="K1846" s="12"/>
      <c r="L1846" s="197">
        <v>29.43</v>
      </c>
      <c r="M1846" s="197">
        <v>53</v>
      </c>
      <c r="N1846" s="290">
        <v>220</v>
      </c>
      <c r="O1846" s="46"/>
      <c r="P1846" s="46" t="s">
        <v>32</v>
      </c>
      <c r="Q1846" s="12"/>
      <c r="R1846" s="192" t="str">
        <f>CONCATENATE(N1846,P1846)</f>
        <v>220ml</v>
      </c>
      <c r="S1846" s="198">
        <f>M1846*N1846</f>
        <v>11660</v>
      </c>
      <c r="T1846" s="199" t="str">
        <f>CONCATENATE(S1846,Q1846,P1846)</f>
        <v>11660ml</v>
      </c>
      <c r="U1846" s="200">
        <f>L1846*M1846</f>
        <v>1559.79</v>
      </c>
      <c r="V1846" s="12"/>
      <c r="W1846" s="12"/>
    </row>
    <row r="1847" spans="1:23" x14ac:dyDescent="0.3">
      <c r="A1847" s="193">
        <v>751</v>
      </c>
      <c r="B1847" s="46" t="s">
        <v>1609</v>
      </c>
      <c r="C1847" s="315"/>
      <c r="D1847" s="316"/>
      <c r="E1847" s="315"/>
      <c r="F1847" s="315"/>
      <c r="G1847" s="315"/>
      <c r="H1847" s="194" t="s">
        <v>2026</v>
      </c>
      <c r="I1847" s="12"/>
      <c r="J1847" s="46" t="s">
        <v>1614</v>
      </c>
      <c r="K1847" s="12"/>
      <c r="L1847" s="197">
        <v>672.55</v>
      </c>
      <c r="M1847" s="197">
        <v>1</v>
      </c>
      <c r="N1847" s="290">
        <v>24</v>
      </c>
      <c r="O1847" s="46"/>
      <c r="P1847" s="46" t="s">
        <v>1615</v>
      </c>
      <c r="Q1847" s="12"/>
      <c r="R1847" s="192" t="str">
        <f>CONCATENATE(N1847,P1847)</f>
        <v>24cans</v>
      </c>
      <c r="S1847" s="198">
        <f>M1847*N1847</f>
        <v>24</v>
      </c>
      <c r="T1847" s="199" t="str">
        <f>CONCATENATE(S1847,Q1847,P1847)</f>
        <v>24cans</v>
      </c>
      <c r="U1847" s="200">
        <f>L1847*M1847</f>
        <v>672.55</v>
      </c>
      <c r="V1847" s="12"/>
      <c r="W1847" s="12"/>
    </row>
    <row r="1848" spans="1:23" x14ac:dyDescent="0.3">
      <c r="A1848" s="193">
        <v>751</v>
      </c>
      <c r="B1848" s="46" t="s">
        <v>1609</v>
      </c>
      <c r="C1848" s="315"/>
      <c r="D1848" s="316"/>
      <c r="E1848" s="315"/>
      <c r="F1848" s="315"/>
      <c r="G1848" s="315"/>
      <c r="H1848" s="194" t="s">
        <v>2026</v>
      </c>
      <c r="I1848" s="12"/>
      <c r="J1848" s="46" t="s">
        <v>1614</v>
      </c>
      <c r="K1848" s="12"/>
      <c r="L1848" s="197">
        <v>97.2</v>
      </c>
      <c r="M1848" s="197">
        <v>4</v>
      </c>
      <c r="N1848" s="290">
        <v>1</v>
      </c>
      <c r="O1848" s="46"/>
      <c r="P1848" s="46" t="s">
        <v>773</v>
      </c>
      <c r="Q1848" s="12"/>
      <c r="R1848" s="192" t="str">
        <f>CONCATENATE(N1848,P1848)</f>
        <v>1liters</v>
      </c>
      <c r="S1848" s="198">
        <f>M1848*N1848</f>
        <v>4</v>
      </c>
      <c r="T1848" s="199" t="str">
        <f>CONCATENATE(S1848,Q1848,P1848)</f>
        <v>4liters</v>
      </c>
      <c r="U1848" s="200">
        <f>L1848*M1848</f>
        <v>388.8</v>
      </c>
      <c r="V1848" s="12"/>
      <c r="W1848" s="12"/>
    </row>
    <row r="1849" spans="1:23" x14ac:dyDescent="0.3">
      <c r="A1849" s="193">
        <v>751</v>
      </c>
      <c r="B1849" s="46" t="s">
        <v>1609</v>
      </c>
      <c r="C1849" s="315"/>
      <c r="D1849" s="316"/>
      <c r="E1849" s="315"/>
      <c r="F1849" s="315"/>
      <c r="G1849" s="315"/>
      <c r="H1849" s="194" t="s">
        <v>2025</v>
      </c>
      <c r="I1849" s="12"/>
      <c r="J1849" s="46" t="s">
        <v>1614</v>
      </c>
      <c r="K1849" s="12"/>
      <c r="L1849" s="197">
        <v>29.5</v>
      </c>
      <c r="M1849" s="197">
        <v>31</v>
      </c>
      <c r="N1849" s="290">
        <v>220</v>
      </c>
      <c r="O1849" s="46"/>
      <c r="P1849" s="46" t="s">
        <v>32</v>
      </c>
      <c r="Q1849" s="12"/>
      <c r="R1849" s="192" t="str">
        <f>CONCATENATE(N1849,P1849)</f>
        <v>220ml</v>
      </c>
      <c r="S1849" s="198">
        <f>M1849*N1849</f>
        <v>6820</v>
      </c>
      <c r="T1849" s="199" t="str">
        <f>CONCATENATE(S1849,Q1849,P1849)</f>
        <v>6820ml</v>
      </c>
      <c r="U1849" s="200">
        <f>L1849*M1849</f>
        <v>914.5</v>
      </c>
      <c r="V1849" s="12"/>
      <c r="W1849" s="12"/>
    </row>
    <row r="1850" spans="1:23" x14ac:dyDescent="0.3">
      <c r="A1850" s="193">
        <v>751</v>
      </c>
      <c r="B1850" s="46" t="s">
        <v>1609</v>
      </c>
      <c r="C1850" s="315"/>
      <c r="D1850" s="316"/>
      <c r="E1850" s="315"/>
      <c r="F1850" s="315"/>
      <c r="G1850" s="315"/>
      <c r="H1850" s="400" t="s">
        <v>2027</v>
      </c>
      <c r="I1850" s="12"/>
      <c r="J1850" s="46" t="s">
        <v>1995</v>
      </c>
      <c r="K1850" s="12"/>
      <c r="L1850" s="195">
        <v>29</v>
      </c>
      <c r="M1850" s="197">
        <v>29</v>
      </c>
      <c r="N1850" s="376"/>
      <c r="O1850" s="61"/>
      <c r="P1850" s="61" t="s">
        <v>92</v>
      </c>
      <c r="Q1850" s="12"/>
      <c r="R1850" s="192" t="str">
        <f>CONCATENATE(N1850,P1850)</f>
        <v>pieces</v>
      </c>
      <c r="S1850" s="198">
        <f>M1850*N1850</f>
        <v>0</v>
      </c>
      <c r="T1850" s="199" t="str">
        <f>CONCATENATE(S1850,Q1850,P1850)</f>
        <v>0pieces</v>
      </c>
      <c r="U1850" s="200">
        <f>L1850*M1850</f>
        <v>841</v>
      </c>
      <c r="V1850" s="12"/>
      <c r="W1850" s="12"/>
    </row>
    <row r="1851" spans="1:23" x14ac:dyDescent="0.3">
      <c r="A1851" s="193">
        <v>752</v>
      </c>
      <c r="B1851" s="46" t="s">
        <v>1616</v>
      </c>
      <c r="C1851" s="315"/>
      <c r="D1851" s="316"/>
      <c r="E1851" s="315"/>
      <c r="F1851" s="315"/>
      <c r="G1851" s="315"/>
      <c r="H1851" s="194" t="s">
        <v>2026</v>
      </c>
      <c r="I1851" s="12"/>
      <c r="J1851" s="46" t="s">
        <v>1241</v>
      </c>
      <c r="K1851" s="12"/>
      <c r="L1851" s="197">
        <v>27.7</v>
      </c>
      <c r="M1851" s="197">
        <v>72</v>
      </c>
      <c r="N1851" s="290">
        <v>220</v>
      </c>
      <c r="O1851" s="297"/>
      <c r="P1851" s="297" t="s">
        <v>32</v>
      </c>
      <c r="Q1851" s="12"/>
      <c r="R1851" s="192" t="str">
        <f>CONCATENATE(N1851,P1851)</f>
        <v>220ml</v>
      </c>
      <c r="S1851" s="198">
        <f>M1851*N1851</f>
        <v>15840</v>
      </c>
      <c r="T1851" s="199" t="str">
        <f>CONCATENATE(S1851,Q1851,P1851)</f>
        <v>15840ml</v>
      </c>
      <c r="U1851" s="200">
        <f>L1851*M1851</f>
        <v>1994.3999999999999</v>
      </c>
      <c r="V1851" s="12"/>
      <c r="W1851" s="12"/>
    </row>
    <row r="1852" spans="1:23" x14ac:dyDescent="0.3">
      <c r="A1852" s="193">
        <v>752</v>
      </c>
      <c r="B1852" s="46" t="s">
        <v>1616</v>
      </c>
      <c r="C1852" s="315"/>
      <c r="D1852" s="316"/>
      <c r="E1852" s="315"/>
      <c r="F1852" s="315"/>
      <c r="G1852" s="315"/>
      <c r="H1852" s="194" t="s">
        <v>2024</v>
      </c>
      <c r="I1852" s="12"/>
      <c r="J1852" s="46" t="s">
        <v>1241</v>
      </c>
      <c r="K1852" s="12"/>
      <c r="L1852" s="197">
        <v>43.88</v>
      </c>
      <c r="M1852" s="197">
        <v>10</v>
      </c>
      <c r="N1852" s="290">
        <v>220</v>
      </c>
      <c r="O1852" s="46"/>
      <c r="P1852" s="46" t="s">
        <v>32</v>
      </c>
      <c r="Q1852" s="12"/>
      <c r="R1852" s="192" t="str">
        <f>CONCATENATE(N1852,P1852)</f>
        <v>220ml</v>
      </c>
      <c r="S1852" s="198">
        <f>M1852*N1852</f>
        <v>2200</v>
      </c>
      <c r="T1852" s="199" t="str">
        <f>CONCATENATE(S1852,Q1852,P1852)</f>
        <v>2200ml</v>
      </c>
      <c r="U1852" s="200">
        <f>L1852*M1852</f>
        <v>438.8</v>
      </c>
      <c r="V1852" s="12"/>
      <c r="W1852" s="12"/>
    </row>
    <row r="1853" spans="1:23" x14ac:dyDescent="0.3">
      <c r="A1853" s="193">
        <v>752</v>
      </c>
      <c r="B1853" s="46" t="s">
        <v>1616</v>
      </c>
      <c r="C1853" s="315"/>
      <c r="D1853" s="316"/>
      <c r="E1853" s="315"/>
      <c r="F1853" s="315"/>
      <c r="G1853" s="315"/>
      <c r="H1853" s="194" t="s">
        <v>2024</v>
      </c>
      <c r="I1853" s="12"/>
      <c r="J1853" s="46" t="s">
        <v>1241</v>
      </c>
      <c r="K1853" s="12"/>
      <c r="L1853" s="197">
        <v>29.41</v>
      </c>
      <c r="M1853" s="197">
        <v>160</v>
      </c>
      <c r="N1853" s="290">
        <v>220</v>
      </c>
      <c r="O1853" s="297"/>
      <c r="P1853" s="297" t="s">
        <v>32</v>
      </c>
      <c r="Q1853" s="12"/>
      <c r="R1853" s="192" t="str">
        <f>CONCATENATE(N1853,P1853)</f>
        <v>220ml</v>
      </c>
      <c r="S1853" s="198">
        <f>M1853*N1853</f>
        <v>35200</v>
      </c>
      <c r="T1853" s="199" t="str">
        <f>CONCATENATE(S1853,Q1853,P1853)</f>
        <v>35200ml</v>
      </c>
      <c r="U1853" s="200">
        <f>L1853*M1853</f>
        <v>4705.6000000000004</v>
      </c>
      <c r="V1853" s="12"/>
      <c r="W1853" s="12"/>
    </row>
    <row r="1854" spans="1:23" x14ac:dyDescent="0.3">
      <c r="A1854" s="193">
        <v>752</v>
      </c>
      <c r="B1854" s="46" t="s">
        <v>1616</v>
      </c>
      <c r="C1854" s="315"/>
      <c r="D1854" s="316"/>
      <c r="E1854" s="315"/>
      <c r="F1854" s="315"/>
      <c r="G1854" s="315"/>
      <c r="H1854" s="194" t="s">
        <v>2025</v>
      </c>
      <c r="I1854" s="12"/>
      <c r="J1854" s="46" t="s">
        <v>1241</v>
      </c>
      <c r="K1854" s="12"/>
      <c r="L1854" s="197">
        <v>29.5</v>
      </c>
      <c r="M1854" s="197">
        <v>15</v>
      </c>
      <c r="N1854" s="290">
        <v>1</v>
      </c>
      <c r="O1854" s="297"/>
      <c r="P1854" s="297" t="s">
        <v>92</v>
      </c>
      <c r="Q1854" s="12"/>
      <c r="R1854" s="192" t="str">
        <f>CONCATENATE(N1854,P1854)</f>
        <v>1pieces</v>
      </c>
      <c r="S1854" s="198">
        <f>M1854*N1854</f>
        <v>15</v>
      </c>
      <c r="T1854" s="199" t="str">
        <f>CONCATENATE(S1854,Q1854,P1854)</f>
        <v>15pieces</v>
      </c>
      <c r="U1854" s="200">
        <f>L1854*M1854</f>
        <v>442.5</v>
      </c>
      <c r="V1854" s="12"/>
      <c r="W1854" s="12"/>
    </row>
    <row r="1855" spans="1:23" x14ac:dyDescent="0.3">
      <c r="A1855" s="193">
        <v>752</v>
      </c>
      <c r="B1855" s="46" t="s">
        <v>1616</v>
      </c>
      <c r="C1855" s="315"/>
      <c r="D1855" s="316"/>
      <c r="E1855" s="315"/>
      <c r="F1855" s="315"/>
      <c r="G1855" s="315"/>
      <c r="H1855" s="194" t="s">
        <v>2021</v>
      </c>
      <c r="I1855" s="12"/>
      <c r="J1855" s="219" t="s">
        <v>1241</v>
      </c>
      <c r="K1855" s="12"/>
      <c r="L1855" s="216">
        <v>60</v>
      </c>
      <c r="M1855" s="394">
        <v>1</v>
      </c>
      <c r="N1855" s="293">
        <v>530</v>
      </c>
      <c r="O1855" s="304"/>
      <c r="P1855" s="304" t="s">
        <v>32</v>
      </c>
      <c r="Q1855" s="12"/>
      <c r="R1855" s="192" t="str">
        <f>CONCATENATE(N1855,P1855)</f>
        <v>530ml</v>
      </c>
      <c r="S1855" s="198">
        <f>M1855*N1855</f>
        <v>530</v>
      </c>
      <c r="T1855" s="199" t="str">
        <f>CONCATENATE(S1855,Q1855,P1855)</f>
        <v>530ml</v>
      </c>
      <c r="U1855" s="200">
        <f>L1855*M1855</f>
        <v>60</v>
      </c>
      <c r="V1855" s="12"/>
      <c r="W1855" s="12"/>
    </row>
    <row r="1856" spans="1:23" x14ac:dyDescent="0.3">
      <c r="A1856" s="193">
        <v>752</v>
      </c>
      <c r="B1856" s="46" t="s">
        <v>1616</v>
      </c>
      <c r="C1856" s="315"/>
      <c r="D1856" s="316"/>
      <c r="E1856" s="315"/>
      <c r="F1856" s="315"/>
      <c r="G1856" s="315"/>
      <c r="H1856" s="194" t="s">
        <v>2023</v>
      </c>
      <c r="I1856" s="12"/>
      <c r="J1856" s="46" t="s">
        <v>1241</v>
      </c>
      <c r="K1856" s="12"/>
      <c r="L1856" s="197">
        <v>29.41</v>
      </c>
      <c r="M1856" s="197">
        <v>72</v>
      </c>
      <c r="N1856" s="290">
        <v>220</v>
      </c>
      <c r="O1856" s="297"/>
      <c r="P1856" s="297" t="s">
        <v>32</v>
      </c>
      <c r="Q1856" s="12"/>
      <c r="R1856" s="192" t="str">
        <f>CONCATENATE(N1856,P1856)</f>
        <v>220ml</v>
      </c>
      <c r="S1856" s="198">
        <f>M1856*N1856</f>
        <v>15840</v>
      </c>
      <c r="T1856" s="199" t="str">
        <f>CONCATENATE(S1856,Q1856,P1856)</f>
        <v>15840ml</v>
      </c>
      <c r="U1856" s="200">
        <f>L1856*M1856</f>
        <v>2117.52</v>
      </c>
      <c r="V1856" s="12"/>
      <c r="W1856" s="12"/>
    </row>
    <row r="1857" spans="1:23" x14ac:dyDescent="0.3">
      <c r="A1857" s="193">
        <v>753</v>
      </c>
      <c r="B1857" s="46" t="s">
        <v>1617</v>
      </c>
      <c r="C1857" s="315"/>
      <c r="D1857" s="316"/>
      <c r="E1857" s="315"/>
      <c r="F1857" s="315"/>
      <c r="G1857" s="315"/>
      <c r="H1857" s="194" t="s">
        <v>2022</v>
      </c>
      <c r="I1857" s="12"/>
      <c r="J1857" s="46" t="s">
        <v>1241</v>
      </c>
      <c r="K1857" s="12"/>
      <c r="L1857" s="197">
        <v>136</v>
      </c>
      <c r="M1857" s="197">
        <v>2</v>
      </c>
      <c r="N1857" s="290">
        <v>1</v>
      </c>
      <c r="O1857" s="297"/>
      <c r="P1857" s="297" t="s">
        <v>773</v>
      </c>
      <c r="Q1857" s="12"/>
      <c r="R1857" s="192" t="str">
        <f>CONCATENATE(N1857,P1857)</f>
        <v>1liters</v>
      </c>
      <c r="S1857" s="198">
        <f>M1857*N1857</f>
        <v>2</v>
      </c>
      <c r="T1857" s="199" t="str">
        <f>CONCATENATE(S1857,Q1857,P1857)</f>
        <v>2liters</v>
      </c>
      <c r="U1857" s="200">
        <f>L1857*M1857</f>
        <v>272</v>
      </c>
      <c r="V1857" s="12"/>
      <c r="W1857" s="12"/>
    </row>
    <row r="1858" spans="1:23" x14ac:dyDescent="0.3">
      <c r="A1858" s="193">
        <v>753</v>
      </c>
      <c r="B1858" s="46" t="s">
        <v>1617</v>
      </c>
      <c r="C1858" s="315"/>
      <c r="D1858" s="316"/>
      <c r="E1858" s="315"/>
      <c r="F1858" s="315"/>
      <c r="G1858" s="315"/>
      <c r="H1858" s="194" t="s">
        <v>2026</v>
      </c>
      <c r="I1858" s="12"/>
      <c r="J1858" s="46" t="s">
        <v>1241</v>
      </c>
      <c r="K1858" s="12"/>
      <c r="L1858" s="197">
        <v>96.7</v>
      </c>
      <c r="M1858" s="197">
        <v>1</v>
      </c>
      <c r="N1858" s="290">
        <v>1</v>
      </c>
      <c r="O1858" s="297"/>
      <c r="P1858" s="297" t="s">
        <v>773</v>
      </c>
      <c r="Q1858" s="12"/>
      <c r="R1858" s="192" t="str">
        <f>CONCATENATE(N1858,P1858)</f>
        <v>1liters</v>
      </c>
      <c r="S1858" s="198">
        <f>M1858*N1858</f>
        <v>1</v>
      </c>
      <c r="T1858" s="199" t="str">
        <f>CONCATENATE(S1858,Q1858,P1858)</f>
        <v>1liters</v>
      </c>
      <c r="U1858" s="200">
        <f>L1858*M1858</f>
        <v>96.7</v>
      </c>
      <c r="V1858" s="12"/>
      <c r="W1858" s="12"/>
    </row>
    <row r="1859" spans="1:23" x14ac:dyDescent="0.3">
      <c r="A1859" s="193">
        <v>754</v>
      </c>
      <c r="B1859" s="46" t="s">
        <v>1618</v>
      </c>
      <c r="C1859" s="315"/>
      <c r="D1859" s="316"/>
      <c r="E1859" s="315"/>
      <c r="F1859" s="315"/>
      <c r="G1859" s="315"/>
      <c r="H1859" s="194" t="s">
        <v>2026</v>
      </c>
      <c r="I1859" s="12"/>
      <c r="J1859" s="46" t="s">
        <v>1241</v>
      </c>
      <c r="K1859" s="12"/>
      <c r="L1859" s="197">
        <v>97.2</v>
      </c>
      <c r="M1859" s="197">
        <v>1</v>
      </c>
      <c r="N1859" s="290">
        <v>1</v>
      </c>
      <c r="O1859" s="297"/>
      <c r="P1859" s="297" t="s">
        <v>773</v>
      </c>
      <c r="Q1859" s="12"/>
      <c r="R1859" s="192" t="str">
        <f>CONCATENATE(N1859,P1859)</f>
        <v>1liters</v>
      </c>
      <c r="S1859" s="198">
        <f>M1859*N1859</f>
        <v>1</v>
      </c>
      <c r="T1859" s="199" t="str">
        <f>CONCATENATE(S1859,Q1859,P1859)</f>
        <v>1liters</v>
      </c>
      <c r="U1859" s="200">
        <f>L1859*M1859</f>
        <v>97.2</v>
      </c>
      <c r="V1859" s="12"/>
      <c r="W1859" s="12"/>
    </row>
    <row r="1860" spans="1:23" x14ac:dyDescent="0.3">
      <c r="A1860" s="193">
        <v>755</v>
      </c>
      <c r="B1860" s="219" t="s">
        <v>1619</v>
      </c>
      <c r="C1860" s="315"/>
      <c r="D1860" s="316"/>
      <c r="E1860" s="315"/>
      <c r="F1860" s="315"/>
      <c r="G1860" s="315"/>
      <c r="H1860" s="194" t="s">
        <v>2021</v>
      </c>
      <c r="I1860" s="12"/>
      <c r="J1860" s="219" t="s">
        <v>1620</v>
      </c>
      <c r="K1860" s="12"/>
      <c r="L1860" s="216">
        <v>19.88</v>
      </c>
      <c r="M1860" s="216">
        <v>1</v>
      </c>
      <c r="N1860" s="293">
        <v>200</v>
      </c>
      <c r="O1860" s="219"/>
      <c r="P1860" s="219" t="s">
        <v>32</v>
      </c>
      <c r="Q1860" s="12"/>
      <c r="R1860" s="192" t="str">
        <f>CONCATENATE(N1860,P1860)</f>
        <v>200ml</v>
      </c>
      <c r="S1860" s="198">
        <f>M1860*N1860</f>
        <v>200</v>
      </c>
      <c r="T1860" s="199" t="str">
        <f>CONCATENATE(S1860,Q1860,P1860)</f>
        <v>200ml</v>
      </c>
      <c r="U1860" s="200">
        <f>L1860*M1860</f>
        <v>19.88</v>
      </c>
      <c r="V1860" s="12"/>
      <c r="W1860" s="12"/>
    </row>
    <row r="1861" spans="1:23" x14ac:dyDescent="0.3">
      <c r="A1861" s="193">
        <v>756</v>
      </c>
      <c r="B1861" s="46" t="s">
        <v>1621</v>
      </c>
      <c r="C1861" s="315"/>
      <c r="D1861" s="316"/>
      <c r="E1861" s="315"/>
      <c r="F1861" s="315"/>
      <c r="G1861" s="315"/>
      <c r="H1861" s="194" t="s">
        <v>2026</v>
      </c>
      <c r="I1861" s="12"/>
      <c r="J1861" s="170"/>
      <c r="K1861" s="12"/>
      <c r="L1861" s="197">
        <v>5.0999999999999996</v>
      </c>
      <c r="M1861" s="197">
        <v>56</v>
      </c>
      <c r="N1861" s="290">
        <v>1</v>
      </c>
      <c r="O1861" s="46"/>
      <c r="P1861" s="46" t="s">
        <v>92</v>
      </c>
      <c r="Q1861" s="12"/>
      <c r="R1861" s="192" t="str">
        <f>CONCATENATE(N1861,P1861)</f>
        <v>1pieces</v>
      </c>
      <c r="S1861" s="198">
        <f>M1861*N1861</f>
        <v>56</v>
      </c>
      <c r="T1861" s="199" t="str">
        <f>CONCATENATE(S1861,Q1861,P1861)</f>
        <v>56pieces</v>
      </c>
      <c r="U1861" s="200">
        <f>L1861*M1861</f>
        <v>285.59999999999997</v>
      </c>
      <c r="V1861" s="12"/>
      <c r="W1861" s="12"/>
    </row>
    <row r="1862" spans="1:23" x14ac:dyDescent="0.3">
      <c r="A1862" s="193">
        <v>756</v>
      </c>
      <c r="B1862" s="46" t="s">
        <v>1621</v>
      </c>
      <c r="C1862" s="315"/>
      <c r="D1862" s="316"/>
      <c r="E1862" s="315"/>
      <c r="F1862" s="315"/>
      <c r="G1862" s="315"/>
      <c r="H1862" s="194" t="s">
        <v>1368</v>
      </c>
      <c r="I1862" s="12"/>
      <c r="J1862" s="170"/>
      <c r="K1862" s="12"/>
      <c r="L1862" s="197">
        <v>20</v>
      </c>
      <c r="M1862" s="197">
        <v>5</v>
      </c>
      <c r="N1862" s="290">
        <v>1</v>
      </c>
      <c r="O1862" s="46"/>
      <c r="P1862" s="46" t="s">
        <v>213</v>
      </c>
      <c r="Q1862" s="12"/>
      <c r="R1862" s="192" t="str">
        <f>CONCATENATE(N1862,P1862)</f>
        <v>1kilos</v>
      </c>
      <c r="S1862" s="198">
        <f>M1862*N1862</f>
        <v>5</v>
      </c>
      <c r="T1862" s="199" t="str">
        <f>CONCATENATE(S1862,Q1862,P1862)</f>
        <v>5kilos</v>
      </c>
      <c r="U1862" s="200">
        <f>L1862*M1862</f>
        <v>100</v>
      </c>
      <c r="V1862" s="12"/>
      <c r="W1862" s="12"/>
    </row>
    <row r="1863" spans="1:23" x14ac:dyDescent="0.3">
      <c r="A1863" s="193">
        <v>756</v>
      </c>
      <c r="B1863" s="46" t="s">
        <v>1621</v>
      </c>
      <c r="C1863" s="315"/>
      <c r="D1863" s="316"/>
      <c r="E1863" s="315"/>
      <c r="F1863" s="315"/>
      <c r="G1863" s="315"/>
      <c r="H1863" s="400" t="s">
        <v>2027</v>
      </c>
      <c r="I1863" s="12"/>
      <c r="J1863" s="46" t="s">
        <v>1951</v>
      </c>
      <c r="K1863" s="12"/>
      <c r="L1863" s="195">
        <v>5</v>
      </c>
      <c r="M1863" s="197">
        <v>150</v>
      </c>
      <c r="N1863" s="360">
        <v>1</v>
      </c>
      <c r="O1863" s="61"/>
      <c r="P1863" s="61" t="s">
        <v>92</v>
      </c>
      <c r="Q1863" s="12"/>
      <c r="R1863" s="192" t="str">
        <f>CONCATENATE(N1863,P1863)</f>
        <v>1pieces</v>
      </c>
      <c r="S1863" s="198">
        <f>M1863*N1863</f>
        <v>150</v>
      </c>
      <c r="T1863" s="199" t="str">
        <f>CONCATENATE(S1863,Q1863,P1863)</f>
        <v>150pieces</v>
      </c>
      <c r="U1863" s="200">
        <f>L1863*M1863</f>
        <v>750</v>
      </c>
      <c r="V1863" s="12"/>
      <c r="W1863" s="12"/>
    </row>
    <row r="1864" spans="1:23" x14ac:dyDescent="0.3">
      <c r="A1864" s="193">
        <v>757</v>
      </c>
      <c r="B1864" s="219" t="s">
        <v>1622</v>
      </c>
      <c r="C1864" s="315"/>
      <c r="D1864" s="316"/>
      <c r="E1864" s="315"/>
      <c r="F1864" s="315"/>
      <c r="G1864" s="315"/>
      <c r="H1864" s="194" t="s">
        <v>2021</v>
      </c>
      <c r="I1864" s="12"/>
      <c r="J1864" s="219" t="s">
        <v>854</v>
      </c>
      <c r="K1864" s="12"/>
      <c r="L1864" s="216">
        <v>61.75</v>
      </c>
      <c r="M1864" s="216">
        <v>3</v>
      </c>
      <c r="N1864" s="293">
        <v>12</v>
      </c>
      <c r="O1864" s="219"/>
      <c r="P1864" s="219" t="s">
        <v>39</v>
      </c>
      <c r="Q1864" s="12"/>
      <c r="R1864" s="192" t="str">
        <f>CONCATENATE(N1864,P1864)</f>
        <v>12grams</v>
      </c>
      <c r="S1864" s="198">
        <f>M1864*N1864</f>
        <v>36</v>
      </c>
      <c r="T1864" s="199" t="str">
        <f>CONCATENATE(S1864,Q1864,P1864)</f>
        <v>36grams</v>
      </c>
      <c r="U1864" s="200">
        <f>L1864*M1864</f>
        <v>185.25</v>
      </c>
      <c r="V1864" s="12"/>
      <c r="W1864" s="12"/>
    </row>
    <row r="1865" spans="1:23" x14ac:dyDescent="0.3">
      <c r="A1865" s="193">
        <v>757</v>
      </c>
      <c r="B1865" s="46" t="s">
        <v>1622</v>
      </c>
      <c r="C1865" s="315"/>
      <c r="D1865" s="316"/>
      <c r="E1865" s="315"/>
      <c r="F1865" s="315"/>
      <c r="G1865" s="315"/>
      <c r="H1865" s="194" t="s">
        <v>2025</v>
      </c>
      <c r="I1865" s="12"/>
      <c r="J1865" s="46" t="s">
        <v>1323</v>
      </c>
      <c r="K1865" s="12"/>
      <c r="L1865" s="197">
        <v>37</v>
      </c>
      <c r="M1865" s="197">
        <v>0</v>
      </c>
      <c r="N1865" s="290">
        <v>5</v>
      </c>
      <c r="O1865" s="46"/>
      <c r="P1865" s="46" t="s">
        <v>39</v>
      </c>
      <c r="Q1865" s="12"/>
      <c r="R1865" s="192" t="str">
        <f>CONCATENATE(N1865,P1865)</f>
        <v>5grams</v>
      </c>
      <c r="S1865" s="198">
        <f>M1865*N1865</f>
        <v>0</v>
      </c>
      <c r="T1865" s="199" t="str">
        <f>CONCATENATE(S1865,Q1865,P1865)</f>
        <v>0grams</v>
      </c>
      <c r="U1865" s="200">
        <f>L1865*M1865</f>
        <v>0</v>
      </c>
      <c r="V1865" s="12"/>
      <c r="W1865" s="12"/>
    </row>
    <row r="1866" spans="1:23" x14ac:dyDescent="0.3">
      <c r="A1866" s="193">
        <v>758</v>
      </c>
      <c r="B1866" s="46" t="s">
        <v>1623</v>
      </c>
      <c r="C1866" s="315"/>
      <c r="D1866" s="316"/>
      <c r="E1866" s="315"/>
      <c r="F1866" s="315"/>
      <c r="G1866" s="315"/>
      <c r="H1866" s="194" t="s">
        <v>2025</v>
      </c>
      <c r="I1866" s="12"/>
      <c r="J1866" s="46" t="s">
        <v>1624</v>
      </c>
      <c r="K1866" s="12"/>
      <c r="L1866" s="197">
        <v>100</v>
      </c>
      <c r="M1866" s="197">
        <v>1</v>
      </c>
      <c r="N1866" s="290">
        <v>1</v>
      </c>
      <c r="O1866" s="46"/>
      <c r="P1866" s="46" t="s">
        <v>213</v>
      </c>
      <c r="Q1866" s="12"/>
      <c r="R1866" s="192" t="str">
        <f>CONCATENATE(N1866,P1866)</f>
        <v>1kilos</v>
      </c>
      <c r="S1866" s="198">
        <f>M1866*N1866</f>
        <v>1</v>
      </c>
      <c r="T1866" s="199" t="str">
        <f>CONCATENATE(S1866,Q1866,P1866)</f>
        <v>1kilos</v>
      </c>
      <c r="U1866" s="200">
        <f>L1866*M1866</f>
        <v>100</v>
      </c>
      <c r="V1866" s="12"/>
      <c r="W1866" s="12"/>
    </row>
    <row r="1867" spans="1:23" x14ac:dyDescent="0.3">
      <c r="A1867" s="479">
        <v>759</v>
      </c>
      <c r="B1867" s="194" t="s">
        <v>755</v>
      </c>
      <c r="C1867" s="487"/>
      <c r="D1867" s="485" t="str">
        <f ca="1">IFERROR(__xludf.DUMMYFUNCTION("IF(J533="""",""n/a"",IFERROR(SPLIT(J533,""/"")))"),"n/a")</f>
        <v>n/a</v>
      </c>
      <c r="E1867" s="487"/>
      <c r="F1867" s="487"/>
      <c r="G1867" s="487"/>
      <c r="H1867" s="206" t="s">
        <v>1898</v>
      </c>
      <c r="I1867" s="487"/>
      <c r="J1867" s="170"/>
      <c r="K1867" s="487"/>
      <c r="L1867" s="197">
        <v>0.17</v>
      </c>
      <c r="M1867" s="386">
        <v>400</v>
      </c>
      <c r="N1867" s="208">
        <v>1800</v>
      </c>
      <c r="O1867" s="170">
        <f>E1867</f>
        <v>0</v>
      </c>
      <c r="P1867" s="61" t="s">
        <v>32</v>
      </c>
      <c r="Q1867" s="487"/>
      <c r="R1867" s="192" t="str">
        <f>CONCATENATE(N1867,P1867)</f>
        <v>1800ml</v>
      </c>
      <c r="S1867" s="198">
        <f>M1867*N1867</f>
        <v>720000</v>
      </c>
      <c r="T1867" s="199" t="str">
        <f>CONCATENATE(S1867,Q1867,P1867)</f>
        <v>720000ml</v>
      </c>
      <c r="U1867" s="200">
        <f>L1867*M1867</f>
        <v>68</v>
      </c>
      <c r="V1867" s="12"/>
      <c r="W1867" s="12"/>
    </row>
    <row r="1868" spans="1:23" x14ac:dyDescent="0.3">
      <c r="A1868" s="479">
        <v>760</v>
      </c>
      <c r="B1868" s="194" t="s">
        <v>756</v>
      </c>
      <c r="C1868" s="487"/>
      <c r="D1868" s="485" t="str">
        <f ca="1">IFERROR(__xludf.DUMMYFUNCTION("IF(J534="""",""n/a"",IFERROR(SPLIT(J534,""/"")))"),"Ludys")</f>
        <v>Ludys</v>
      </c>
      <c r="E1868" s="485" t="str">
        <f ca="1">IFERROR(__xludf.DUMMYFUNCTION("""COMPUTED_VALUE"""),"box (pcsx8 grams)")</f>
        <v>box (pcsx8 grams)</v>
      </c>
      <c r="F1868" s="487"/>
      <c r="G1868" s="487"/>
      <c r="H1868" s="183" t="s">
        <v>1897</v>
      </c>
      <c r="I1868" s="487"/>
      <c r="J1868" s="46" t="s">
        <v>757</v>
      </c>
      <c r="K1868" s="487"/>
      <c r="L1868" s="204">
        <v>3.91</v>
      </c>
      <c r="M1868" s="202">
        <v>166</v>
      </c>
      <c r="N1868" s="203">
        <v>1</v>
      </c>
      <c r="O1868" s="61" t="str">
        <f ca="1">E1868</f>
        <v>box (pcsx8 grams)</v>
      </c>
      <c r="P1868" s="61" t="s">
        <v>92</v>
      </c>
      <c r="Q1868" s="487"/>
      <c r="R1868" s="192" t="str">
        <f>CONCATENATE(N1868,P1868)</f>
        <v>1pieces</v>
      </c>
      <c r="S1868" s="198">
        <f>M1868*N1868</f>
        <v>166</v>
      </c>
      <c r="T1868" s="199" t="str">
        <f>CONCATENATE(S1868,Q1868,P1868)</f>
        <v>166pieces</v>
      </c>
      <c r="U1868" s="200">
        <f>L1868*M1868</f>
        <v>649.06000000000006</v>
      </c>
      <c r="V1868" s="205"/>
      <c r="W1868" s="62"/>
    </row>
    <row r="1869" spans="1:23" x14ac:dyDescent="0.3">
      <c r="A1869" s="479">
        <v>760</v>
      </c>
      <c r="B1869" s="194" t="s">
        <v>756</v>
      </c>
      <c r="C1869" s="487"/>
      <c r="D1869" s="485" t="str">
        <f ca="1">IFERROR(__xludf.DUMMYFUNCTION("IF(J535="""",""n/a"",IFERROR(SPLIT(J535,""/"")))"),"n/a")</f>
        <v>n/a</v>
      </c>
      <c r="E1869" s="487"/>
      <c r="F1869" s="487"/>
      <c r="G1869" s="487"/>
      <c r="H1869" s="206" t="s">
        <v>1898</v>
      </c>
      <c r="I1869" s="487"/>
      <c r="J1869" s="170"/>
      <c r="K1869" s="487"/>
      <c r="L1869" s="197">
        <v>3.99</v>
      </c>
      <c r="M1869" s="385">
        <v>133</v>
      </c>
      <c r="N1869" s="208">
        <v>72</v>
      </c>
      <c r="O1869" s="170">
        <f>E1869</f>
        <v>0</v>
      </c>
      <c r="P1869" s="209" t="s">
        <v>92</v>
      </c>
      <c r="Q1869" s="487"/>
      <c r="R1869" s="192" t="str">
        <f>CONCATENATE(N1869,P1869)</f>
        <v>72pieces</v>
      </c>
      <c r="S1869" s="198">
        <f>M1869*N1869</f>
        <v>9576</v>
      </c>
      <c r="T1869" s="199" t="str">
        <f>CONCATENATE(S1869,Q1869,P1869)</f>
        <v>9576pieces</v>
      </c>
      <c r="U1869" s="200">
        <f>L1869*M1869</f>
        <v>530.67000000000007</v>
      </c>
      <c r="V1869" s="12"/>
      <c r="W1869" s="12"/>
    </row>
    <row r="1870" spans="1:23" x14ac:dyDescent="0.3">
      <c r="A1870" s="193">
        <v>760</v>
      </c>
      <c r="B1870" s="46" t="s">
        <v>756</v>
      </c>
      <c r="C1870" s="315"/>
      <c r="D1870" s="316"/>
      <c r="E1870" s="315"/>
      <c r="F1870" s="315"/>
      <c r="G1870" s="315"/>
      <c r="H1870" s="194" t="s">
        <v>2026</v>
      </c>
      <c r="I1870" s="12"/>
      <c r="J1870" s="46" t="s">
        <v>1625</v>
      </c>
      <c r="K1870" s="12"/>
      <c r="L1870" s="197">
        <v>3.99</v>
      </c>
      <c r="M1870" s="197">
        <v>63</v>
      </c>
      <c r="N1870" s="290">
        <v>8</v>
      </c>
      <c r="O1870" s="46"/>
      <c r="P1870" s="46" t="s">
        <v>39</v>
      </c>
      <c r="Q1870" s="12"/>
      <c r="R1870" s="192" t="str">
        <f>CONCATENATE(N1870,P1870)</f>
        <v>8grams</v>
      </c>
      <c r="S1870" s="198">
        <f>M1870*N1870</f>
        <v>504</v>
      </c>
      <c r="T1870" s="199" t="str">
        <f>CONCATENATE(S1870,Q1870,P1870)</f>
        <v>504grams</v>
      </c>
      <c r="U1870" s="200">
        <f>L1870*M1870</f>
        <v>251.37</v>
      </c>
      <c r="V1870" s="12"/>
      <c r="W1870" s="12"/>
    </row>
    <row r="1871" spans="1:23" x14ac:dyDescent="0.3">
      <c r="A1871" s="193">
        <v>760</v>
      </c>
      <c r="B1871" s="46" t="s">
        <v>756</v>
      </c>
      <c r="C1871" s="315"/>
      <c r="D1871" s="316"/>
      <c r="E1871" s="315"/>
      <c r="F1871" s="315"/>
      <c r="G1871" s="315"/>
      <c r="H1871" s="194" t="s">
        <v>2023</v>
      </c>
      <c r="I1871" s="12"/>
      <c r="J1871" s="46" t="s">
        <v>1625</v>
      </c>
      <c r="K1871" s="12"/>
      <c r="L1871" s="197">
        <v>3.99</v>
      </c>
      <c r="M1871" s="197">
        <v>279</v>
      </c>
      <c r="N1871" s="290">
        <v>8</v>
      </c>
      <c r="O1871" s="46"/>
      <c r="P1871" s="46" t="s">
        <v>39</v>
      </c>
      <c r="Q1871" s="12"/>
      <c r="R1871" s="192" t="str">
        <f>CONCATENATE(N1871,P1871)</f>
        <v>8grams</v>
      </c>
      <c r="S1871" s="198">
        <f>M1871*N1871</f>
        <v>2232</v>
      </c>
      <c r="T1871" s="199" t="str">
        <f>CONCATENATE(S1871,Q1871,P1871)</f>
        <v>2232grams</v>
      </c>
      <c r="U1871" s="200">
        <f>L1871*M1871</f>
        <v>1113.21</v>
      </c>
      <c r="V1871" s="12"/>
      <c r="W1871" s="12"/>
    </row>
    <row r="1872" spans="1:23" x14ac:dyDescent="0.3">
      <c r="A1872" s="193">
        <v>761</v>
      </c>
      <c r="B1872" s="219" t="s">
        <v>1626</v>
      </c>
      <c r="C1872" s="315"/>
      <c r="D1872" s="316"/>
      <c r="E1872" s="315"/>
      <c r="F1872" s="315"/>
      <c r="G1872" s="315"/>
      <c r="H1872" s="194" t="s">
        <v>2021</v>
      </c>
      <c r="I1872" s="12"/>
      <c r="J1872" s="219" t="s">
        <v>1627</v>
      </c>
      <c r="K1872" s="12"/>
      <c r="L1872" s="216">
        <v>83</v>
      </c>
      <c r="M1872" s="216">
        <v>1</v>
      </c>
      <c r="N1872" s="293">
        <v>250</v>
      </c>
      <c r="O1872" s="219"/>
      <c r="P1872" s="219" t="s">
        <v>39</v>
      </c>
      <c r="Q1872" s="12"/>
      <c r="R1872" s="192" t="str">
        <f>CONCATENATE(N1872,P1872)</f>
        <v>250grams</v>
      </c>
      <c r="S1872" s="198">
        <f>M1872*N1872</f>
        <v>250</v>
      </c>
      <c r="T1872" s="199" t="str">
        <f>CONCATENATE(S1872,Q1872,P1872)</f>
        <v>250grams</v>
      </c>
      <c r="U1872" s="200">
        <f>L1872*M1872</f>
        <v>83</v>
      </c>
      <c r="V1872" s="12"/>
      <c r="W1872" s="12"/>
    </row>
    <row r="1873" spans="1:23" x14ac:dyDescent="0.3">
      <c r="A1873" s="193">
        <v>762</v>
      </c>
      <c r="B1873" s="46" t="s">
        <v>1628</v>
      </c>
      <c r="C1873" s="315"/>
      <c r="D1873" s="316"/>
      <c r="E1873" s="315"/>
      <c r="F1873" s="315"/>
      <c r="G1873" s="315"/>
      <c r="H1873" s="194" t="s">
        <v>2025</v>
      </c>
      <c r="I1873" s="12"/>
      <c r="J1873" s="170"/>
      <c r="K1873" s="12"/>
      <c r="L1873" s="197">
        <v>220</v>
      </c>
      <c r="M1873" s="197">
        <v>3</v>
      </c>
      <c r="N1873" s="290">
        <v>1</v>
      </c>
      <c r="O1873" s="46"/>
      <c r="P1873" s="46" t="s">
        <v>213</v>
      </c>
      <c r="Q1873" s="12"/>
      <c r="R1873" s="192" t="str">
        <f>CONCATENATE(N1873,P1873)</f>
        <v>1kilos</v>
      </c>
      <c r="S1873" s="198">
        <f>M1873*N1873</f>
        <v>3</v>
      </c>
      <c r="T1873" s="199" t="str">
        <f>CONCATENATE(S1873,Q1873,P1873)</f>
        <v>3kilos</v>
      </c>
      <c r="U1873" s="200">
        <f>L1873*M1873</f>
        <v>660</v>
      </c>
      <c r="V1873" s="12"/>
      <c r="W1873" s="12"/>
    </row>
    <row r="1874" spans="1:23" x14ac:dyDescent="0.3">
      <c r="A1874" s="193">
        <v>763</v>
      </c>
      <c r="B1874" s="219" t="s">
        <v>1629</v>
      </c>
      <c r="C1874" s="315"/>
      <c r="D1874" s="316"/>
      <c r="E1874" s="315"/>
      <c r="F1874" s="315"/>
      <c r="G1874" s="315"/>
      <c r="H1874" s="194" t="s">
        <v>2026</v>
      </c>
      <c r="I1874" s="12"/>
      <c r="J1874" s="46" t="s">
        <v>1630</v>
      </c>
      <c r="K1874" s="12"/>
      <c r="L1874" s="197">
        <v>218</v>
      </c>
      <c r="M1874" s="197">
        <v>0</v>
      </c>
      <c r="N1874" s="290">
        <v>439</v>
      </c>
      <c r="O1874" s="46"/>
      <c r="P1874" s="46" t="s">
        <v>39</v>
      </c>
      <c r="Q1874" s="12"/>
      <c r="R1874" s="192" t="str">
        <f>CONCATENATE(N1874,P1874)</f>
        <v>439grams</v>
      </c>
      <c r="S1874" s="198">
        <f>M1874*N1874</f>
        <v>0</v>
      </c>
      <c r="T1874" s="199" t="str">
        <f>CONCATENATE(S1874,Q1874,P1874)</f>
        <v>0grams</v>
      </c>
      <c r="U1874" s="200">
        <f>L1874*M1874</f>
        <v>0</v>
      </c>
      <c r="V1874" s="12"/>
      <c r="W1874" s="12"/>
    </row>
    <row r="1875" spans="1:23" x14ac:dyDescent="0.3">
      <c r="A1875" s="479">
        <v>764</v>
      </c>
      <c r="B1875" s="194" t="s">
        <v>758</v>
      </c>
      <c r="C1875" s="487"/>
      <c r="D1875" s="485" t="str">
        <f ca="1">IFERROR(__xludf.DUMMYFUNCTION("IF(J536="""",""n/a"",IFERROR(SPLIT(J536,""/"")))"),"Crystal")</f>
        <v>Crystal</v>
      </c>
      <c r="E1875" s="485" t="str">
        <f ca="1">IFERROR(__xludf.DUMMYFUNCTION("""COMPUTED_VALUE"""),"pack")</f>
        <v>pack</v>
      </c>
      <c r="F1875" s="485" t="str">
        <f ca="1">IFERROR(__xludf.DUMMYFUNCTION("""COMPUTED_VALUE"""),"1000grams")</f>
        <v>1000grams</v>
      </c>
      <c r="G1875" s="487"/>
      <c r="H1875" s="183" t="s">
        <v>1897</v>
      </c>
      <c r="I1875" s="487"/>
      <c r="J1875" s="46" t="s">
        <v>759</v>
      </c>
      <c r="K1875" s="487"/>
      <c r="L1875" s="202">
        <v>0.01</v>
      </c>
      <c r="M1875" s="202">
        <v>2000</v>
      </c>
      <c r="N1875" s="203">
        <v>1000</v>
      </c>
      <c r="O1875" s="61" t="str">
        <f ca="1">E1875</f>
        <v>pack</v>
      </c>
      <c r="P1875" s="61" t="s">
        <v>39</v>
      </c>
      <c r="Q1875" s="487"/>
      <c r="R1875" s="192" t="str">
        <f>CONCATENATE(N1875,P1875)</f>
        <v>1000grams</v>
      </c>
      <c r="S1875" s="198">
        <f>M1875*N1875</f>
        <v>2000000</v>
      </c>
      <c r="T1875" s="199" t="str">
        <f>CONCATENATE(S1875,Q1875,P1875)</f>
        <v>2000000grams</v>
      </c>
      <c r="U1875" s="200">
        <f>L1875*M1875</f>
        <v>20</v>
      </c>
      <c r="V1875" s="62"/>
      <c r="W1875" s="12"/>
    </row>
    <row r="1876" spans="1:23" x14ac:dyDescent="0.3">
      <c r="A1876" s="479">
        <v>764</v>
      </c>
      <c r="B1876" s="194" t="s">
        <v>758</v>
      </c>
      <c r="C1876" s="487"/>
      <c r="D1876" s="485" t="str">
        <f ca="1">IFERROR(__xludf.DUMMYFUNCTION("IF(J537="""",""n/a"",IFERROR(SPLIT(J537,""/"")))"),"n/a")</f>
        <v>n/a</v>
      </c>
      <c r="E1876" s="487"/>
      <c r="F1876" s="487"/>
      <c r="G1876" s="487"/>
      <c r="H1876" s="206" t="s">
        <v>1898</v>
      </c>
      <c r="I1876" s="487"/>
      <c r="J1876" s="170"/>
      <c r="K1876" s="487"/>
      <c r="L1876" s="197">
        <v>0.03</v>
      </c>
      <c r="M1876" s="386">
        <v>8000</v>
      </c>
      <c r="N1876" s="208">
        <v>1000</v>
      </c>
      <c r="O1876" s="170">
        <f>E1876</f>
        <v>0</v>
      </c>
      <c r="P1876" s="61" t="s">
        <v>39</v>
      </c>
      <c r="Q1876" s="487"/>
      <c r="R1876" s="192" t="str">
        <f>CONCATENATE(N1876,P1876)</f>
        <v>1000grams</v>
      </c>
      <c r="S1876" s="198">
        <f>M1876*N1876</f>
        <v>8000000</v>
      </c>
      <c r="T1876" s="199" t="str">
        <f>CONCATENATE(S1876,Q1876,P1876)</f>
        <v>8000000grams</v>
      </c>
      <c r="U1876" s="200">
        <f>L1876*M1876</f>
        <v>240</v>
      </c>
      <c r="V1876" s="12"/>
      <c r="W1876" s="12"/>
    </row>
    <row r="1877" spans="1:23" x14ac:dyDescent="0.3">
      <c r="A1877" s="193">
        <v>764</v>
      </c>
      <c r="B1877" s="46" t="s">
        <v>758</v>
      </c>
      <c r="C1877" s="315"/>
      <c r="D1877" s="316"/>
      <c r="E1877" s="315"/>
      <c r="F1877" s="315"/>
      <c r="G1877" s="315"/>
      <c r="H1877" s="194" t="s">
        <v>1368</v>
      </c>
      <c r="I1877" s="12"/>
      <c r="J1877" s="46" t="s">
        <v>1631</v>
      </c>
      <c r="K1877" s="12"/>
      <c r="L1877" s="197">
        <v>10</v>
      </c>
      <c r="M1877" s="197">
        <v>18</v>
      </c>
      <c r="N1877" s="290">
        <v>1</v>
      </c>
      <c r="O1877" s="46"/>
      <c r="P1877" s="46" t="s">
        <v>213</v>
      </c>
      <c r="Q1877" s="12"/>
      <c r="R1877" s="192" t="str">
        <f>CONCATENATE(N1877,P1877)</f>
        <v>1kilos</v>
      </c>
      <c r="S1877" s="198">
        <f>M1877*N1877</f>
        <v>18</v>
      </c>
      <c r="T1877" s="199" t="str">
        <f>CONCATENATE(S1877,Q1877,P1877)</f>
        <v>18kilos</v>
      </c>
      <c r="U1877" s="200">
        <f>L1877*M1877</f>
        <v>180</v>
      </c>
      <c r="V1877" s="12"/>
      <c r="W1877" s="12"/>
    </row>
    <row r="1878" spans="1:23" x14ac:dyDescent="0.3">
      <c r="A1878" s="193">
        <v>764</v>
      </c>
      <c r="B1878" s="46" t="s">
        <v>758</v>
      </c>
      <c r="C1878" s="315"/>
      <c r="D1878" s="316"/>
      <c r="E1878" s="315"/>
      <c r="F1878" s="315"/>
      <c r="G1878" s="315"/>
      <c r="H1878" s="400" t="s">
        <v>2027</v>
      </c>
      <c r="I1878" s="12"/>
      <c r="J1878" s="46" t="s">
        <v>1996</v>
      </c>
      <c r="K1878" s="12"/>
      <c r="L1878" s="195">
        <v>39.56</v>
      </c>
      <c r="M1878" s="197">
        <v>1</v>
      </c>
      <c r="N1878" s="360">
        <v>1</v>
      </c>
      <c r="O1878" s="61"/>
      <c r="P1878" s="61" t="s">
        <v>213</v>
      </c>
      <c r="Q1878" s="12"/>
      <c r="R1878" s="192" t="str">
        <f>CONCATENATE(N1878,P1878)</f>
        <v>1kilos</v>
      </c>
      <c r="S1878" s="198">
        <f>M1878*N1878</f>
        <v>1</v>
      </c>
      <c r="T1878" s="199" t="str">
        <f>CONCATENATE(S1878,Q1878,P1878)</f>
        <v>1kilos</v>
      </c>
      <c r="U1878" s="200">
        <f>L1878*M1878</f>
        <v>39.56</v>
      </c>
      <c r="V1878" s="12"/>
      <c r="W1878" s="12"/>
    </row>
    <row r="1879" spans="1:23" x14ac:dyDescent="0.3">
      <c r="A1879" s="193">
        <v>765</v>
      </c>
      <c r="B1879" s="46" t="s">
        <v>1632</v>
      </c>
      <c r="C1879" s="315"/>
      <c r="D1879" s="316"/>
      <c r="E1879" s="315"/>
      <c r="F1879" s="315"/>
      <c r="G1879" s="315"/>
      <c r="H1879" s="194" t="s">
        <v>2025</v>
      </c>
      <c r="I1879" s="12"/>
      <c r="J1879" s="46" t="s">
        <v>1633</v>
      </c>
      <c r="K1879" s="12"/>
      <c r="L1879" s="197">
        <v>15</v>
      </c>
      <c r="M1879" s="197">
        <v>5</v>
      </c>
      <c r="N1879" s="290">
        <v>250</v>
      </c>
      <c r="O1879" s="46"/>
      <c r="P1879" s="46" t="s">
        <v>39</v>
      </c>
      <c r="Q1879" s="12"/>
      <c r="R1879" s="192" t="str">
        <f>CONCATENATE(N1879,P1879)</f>
        <v>250grams</v>
      </c>
      <c r="S1879" s="198">
        <f>M1879*N1879</f>
        <v>1250</v>
      </c>
      <c r="T1879" s="199" t="str">
        <f>CONCATENATE(S1879,Q1879,P1879)</f>
        <v>1250grams</v>
      </c>
      <c r="U1879" s="200">
        <f>L1879*M1879</f>
        <v>75</v>
      </c>
      <c r="V1879" s="12"/>
      <c r="W1879" s="12"/>
    </row>
    <row r="1880" spans="1:23" x14ac:dyDescent="0.3">
      <c r="A1880" s="193">
        <v>765</v>
      </c>
      <c r="B1880" s="46" t="s">
        <v>1632</v>
      </c>
      <c r="C1880" s="315"/>
      <c r="D1880" s="316"/>
      <c r="E1880" s="315"/>
      <c r="F1880" s="315"/>
      <c r="G1880" s="315"/>
      <c r="H1880" s="194" t="s">
        <v>2026</v>
      </c>
      <c r="I1880" s="12"/>
      <c r="J1880" s="46" t="s">
        <v>1633</v>
      </c>
      <c r="K1880" s="12"/>
      <c r="L1880" s="197">
        <v>32.299999999999997</v>
      </c>
      <c r="M1880" s="197">
        <v>1</v>
      </c>
      <c r="N1880" s="290">
        <v>1</v>
      </c>
      <c r="O1880" s="46"/>
      <c r="P1880" s="46" t="s">
        <v>213</v>
      </c>
      <c r="Q1880" s="12"/>
      <c r="R1880" s="192" t="str">
        <f>CONCATENATE(N1880,P1880)</f>
        <v>1kilos</v>
      </c>
      <c r="S1880" s="198">
        <f>M1880*N1880</f>
        <v>1</v>
      </c>
      <c r="T1880" s="199" t="str">
        <f>CONCATENATE(S1880,Q1880,P1880)</f>
        <v>1kilos</v>
      </c>
      <c r="U1880" s="200">
        <f>L1880*M1880</f>
        <v>32.299999999999997</v>
      </c>
      <c r="V1880" s="12"/>
      <c r="W1880" s="12"/>
    </row>
    <row r="1881" spans="1:23" x14ac:dyDescent="0.3">
      <c r="A1881" s="193">
        <v>765</v>
      </c>
      <c r="B1881" s="46" t="s">
        <v>1632</v>
      </c>
      <c r="C1881" s="315"/>
      <c r="D1881" s="316"/>
      <c r="E1881" s="315"/>
      <c r="F1881" s="315"/>
      <c r="G1881" s="315"/>
      <c r="H1881" s="194" t="s">
        <v>2023</v>
      </c>
      <c r="I1881" s="12"/>
      <c r="J1881" s="46" t="s">
        <v>1352</v>
      </c>
      <c r="K1881" s="12"/>
      <c r="L1881" s="197">
        <v>25</v>
      </c>
      <c r="M1881" s="197">
        <v>30</v>
      </c>
      <c r="N1881" s="290">
        <v>500</v>
      </c>
      <c r="O1881" s="46"/>
      <c r="P1881" s="46" t="s">
        <v>39</v>
      </c>
      <c r="Q1881" s="12"/>
      <c r="R1881" s="192" t="str">
        <f>CONCATENATE(N1881,P1881)</f>
        <v>500grams</v>
      </c>
      <c r="S1881" s="198">
        <f>M1881*N1881</f>
        <v>15000</v>
      </c>
      <c r="T1881" s="199" t="str">
        <f>CONCATENATE(S1881,Q1881,P1881)</f>
        <v>15000grams</v>
      </c>
      <c r="U1881" s="200">
        <f>L1881*M1881</f>
        <v>750</v>
      </c>
      <c r="V1881" s="12"/>
      <c r="W1881" s="12"/>
    </row>
    <row r="1882" spans="1:23" x14ac:dyDescent="0.3">
      <c r="A1882" s="193">
        <v>765</v>
      </c>
      <c r="B1882" s="46" t="s">
        <v>1632</v>
      </c>
      <c r="C1882" s="315"/>
      <c r="D1882" s="316"/>
      <c r="E1882" s="315"/>
      <c r="F1882" s="315"/>
      <c r="G1882" s="315"/>
      <c r="H1882" s="194" t="s">
        <v>2022</v>
      </c>
      <c r="I1882" s="12"/>
      <c r="J1882" s="46" t="s">
        <v>1352</v>
      </c>
      <c r="K1882" s="12"/>
      <c r="L1882" s="197">
        <v>28</v>
      </c>
      <c r="M1882" s="197">
        <v>10</v>
      </c>
      <c r="N1882" s="290">
        <v>1</v>
      </c>
      <c r="O1882" s="46"/>
      <c r="P1882" s="46" t="s">
        <v>213</v>
      </c>
      <c r="Q1882" s="12"/>
      <c r="R1882" s="192" t="str">
        <f>CONCATENATE(N1882,P1882)</f>
        <v>1kilos</v>
      </c>
      <c r="S1882" s="198">
        <f>M1882*N1882</f>
        <v>10</v>
      </c>
      <c r="T1882" s="199" t="str">
        <f>CONCATENATE(S1882,Q1882,P1882)</f>
        <v>10kilos</v>
      </c>
      <c r="U1882" s="200">
        <f>L1882*M1882</f>
        <v>280</v>
      </c>
      <c r="V1882" s="12"/>
      <c r="W1882" s="12"/>
    </row>
    <row r="1883" spans="1:23" x14ac:dyDescent="0.3">
      <c r="A1883" s="193">
        <v>765</v>
      </c>
      <c r="B1883" s="46" t="s">
        <v>1632</v>
      </c>
      <c r="C1883" s="315"/>
      <c r="D1883" s="316"/>
      <c r="E1883" s="315"/>
      <c r="F1883" s="315"/>
      <c r="G1883" s="315"/>
      <c r="H1883" s="194" t="s">
        <v>2022</v>
      </c>
      <c r="I1883" s="12"/>
      <c r="J1883" s="46" t="s">
        <v>1633</v>
      </c>
      <c r="K1883" s="12"/>
      <c r="L1883" s="197">
        <v>32</v>
      </c>
      <c r="M1883" s="197">
        <v>2</v>
      </c>
      <c r="N1883" s="290">
        <v>1</v>
      </c>
      <c r="O1883" s="46"/>
      <c r="P1883" s="46" t="s">
        <v>213</v>
      </c>
      <c r="Q1883" s="12"/>
      <c r="R1883" s="192" t="str">
        <f>CONCATENATE(N1883,P1883)</f>
        <v>1kilos</v>
      </c>
      <c r="S1883" s="198">
        <f>M1883*N1883</f>
        <v>2</v>
      </c>
      <c r="T1883" s="199" t="str">
        <f>CONCATENATE(S1883,Q1883,P1883)</f>
        <v>2kilos</v>
      </c>
      <c r="U1883" s="200">
        <f>L1883*M1883</f>
        <v>64</v>
      </c>
      <c r="V1883" s="12"/>
      <c r="W1883" s="12"/>
    </row>
    <row r="1884" spans="1:23" x14ac:dyDescent="0.3">
      <c r="A1884" s="193">
        <v>765</v>
      </c>
      <c r="B1884" s="219" t="s">
        <v>1632</v>
      </c>
      <c r="C1884" s="315"/>
      <c r="D1884" s="316"/>
      <c r="E1884" s="315"/>
      <c r="F1884" s="315"/>
      <c r="G1884" s="315"/>
      <c r="H1884" s="194" t="s">
        <v>2021</v>
      </c>
      <c r="I1884" s="12"/>
      <c r="J1884" s="219" t="s">
        <v>1633</v>
      </c>
      <c r="K1884" s="12"/>
      <c r="L1884" s="216">
        <v>35.5</v>
      </c>
      <c r="M1884" s="216">
        <v>18</v>
      </c>
      <c r="N1884" s="290">
        <v>1</v>
      </c>
      <c r="O1884" s="46"/>
      <c r="P1884" s="46" t="s">
        <v>213</v>
      </c>
      <c r="Q1884" s="12"/>
      <c r="R1884" s="192" t="str">
        <f>CONCATENATE(N1884,P1884)</f>
        <v>1kilos</v>
      </c>
      <c r="S1884" s="198">
        <f>M1884*N1884</f>
        <v>18</v>
      </c>
      <c r="T1884" s="199" t="str">
        <f>CONCATENATE(S1884,Q1884,P1884)</f>
        <v>18kilos</v>
      </c>
      <c r="U1884" s="200">
        <f>L1884*M1884</f>
        <v>639</v>
      </c>
      <c r="V1884" s="12"/>
      <c r="W1884" s="12"/>
    </row>
    <row r="1885" spans="1:23" x14ac:dyDescent="0.3">
      <c r="A1885" s="193">
        <v>765</v>
      </c>
      <c r="B1885" s="46" t="s">
        <v>1632</v>
      </c>
      <c r="C1885" s="315"/>
      <c r="D1885" s="316"/>
      <c r="E1885" s="315"/>
      <c r="F1885" s="315"/>
      <c r="G1885" s="315"/>
      <c r="H1885" s="194" t="s">
        <v>2020</v>
      </c>
      <c r="I1885" s="12"/>
      <c r="J1885" s="46" t="s">
        <v>1633</v>
      </c>
      <c r="K1885" s="12"/>
      <c r="L1885" s="197">
        <v>32.299999999999997</v>
      </c>
      <c r="M1885" s="197">
        <v>2</v>
      </c>
      <c r="N1885" s="290">
        <v>1</v>
      </c>
      <c r="O1885" s="46"/>
      <c r="P1885" s="46" t="s">
        <v>213</v>
      </c>
      <c r="Q1885" s="12"/>
      <c r="R1885" s="192" t="str">
        <f>CONCATENATE(N1885,P1885)</f>
        <v>1kilos</v>
      </c>
      <c r="S1885" s="198">
        <f>M1885*N1885</f>
        <v>2</v>
      </c>
      <c r="T1885" s="199" t="str">
        <f>CONCATENATE(S1885,Q1885,P1885)</f>
        <v>2kilos</v>
      </c>
      <c r="U1885" s="200">
        <f>L1885*M1885</f>
        <v>64.599999999999994</v>
      </c>
      <c r="V1885" s="12"/>
      <c r="W1885" s="12"/>
    </row>
    <row r="1886" spans="1:23" x14ac:dyDescent="0.3">
      <c r="A1886" s="193">
        <v>765</v>
      </c>
      <c r="B1886" s="46" t="s">
        <v>1632</v>
      </c>
      <c r="C1886" s="315"/>
      <c r="D1886" s="316"/>
      <c r="E1886" s="315"/>
      <c r="F1886" s="315"/>
      <c r="G1886" s="315"/>
      <c r="H1886" s="400" t="s">
        <v>2027</v>
      </c>
      <c r="I1886" s="12"/>
      <c r="J1886" s="46" t="s">
        <v>1996</v>
      </c>
      <c r="K1886" s="12"/>
      <c r="L1886" s="195">
        <v>31.5</v>
      </c>
      <c r="M1886" s="197">
        <v>1</v>
      </c>
      <c r="N1886" s="360">
        <v>1</v>
      </c>
      <c r="O1886" s="61"/>
      <c r="P1886" s="61" t="s">
        <v>213</v>
      </c>
      <c r="Q1886" s="12"/>
      <c r="R1886" s="192" t="str">
        <f>CONCATENATE(N1886,P1886)</f>
        <v>1kilos</v>
      </c>
      <c r="S1886" s="198">
        <f>M1886*N1886</f>
        <v>1</v>
      </c>
      <c r="T1886" s="199" t="str">
        <f>CONCATENATE(S1886,Q1886,P1886)</f>
        <v>1kilos</v>
      </c>
      <c r="U1886" s="200">
        <f>L1886*M1886</f>
        <v>31.5</v>
      </c>
      <c r="V1886" s="12"/>
      <c r="W1886" s="12"/>
    </row>
    <row r="1887" spans="1:23" x14ac:dyDescent="0.3">
      <c r="A1887" s="479">
        <v>766</v>
      </c>
      <c r="B1887" s="194" t="s">
        <v>282</v>
      </c>
      <c r="C1887" s="487"/>
      <c r="D1887" s="485" t="str">
        <f ca="1">IFERROR(__xludf.DUMMYFUNCTION("IF(J538="""",""n/a"",IFERROR(SPLIT(J538,""/"")))"),"pack")</f>
        <v>pack</v>
      </c>
      <c r="E1887" s="485" t="str">
        <f ca="1">IFERROR(__xludf.DUMMYFUNCTION("""COMPUTED_VALUE"""),"1000grams")</f>
        <v>1000grams</v>
      </c>
      <c r="F1887" s="487"/>
      <c r="G1887" s="487"/>
      <c r="H1887" s="183" t="s">
        <v>1895</v>
      </c>
      <c r="I1887" s="487"/>
      <c r="J1887" s="46" t="s">
        <v>283</v>
      </c>
      <c r="K1887" s="487"/>
      <c r="L1887" s="195">
        <v>15</v>
      </c>
      <c r="M1887" s="197">
        <v>3</v>
      </c>
      <c r="N1887" s="61">
        <v>1</v>
      </c>
      <c r="O1887" s="61" t="str">
        <f ca="1">E1887</f>
        <v>1000grams</v>
      </c>
      <c r="P1887" s="61" t="s">
        <v>39</v>
      </c>
      <c r="Q1887" s="487"/>
      <c r="R1887" s="192" t="str">
        <f>CONCATENATE(N1887,P1887)</f>
        <v>1grams</v>
      </c>
      <c r="S1887" s="198">
        <f>M1887*N1887</f>
        <v>3</v>
      </c>
      <c r="T1887" s="199" t="str">
        <f>CONCATENATE(S1887,Q1887,P1887)</f>
        <v>3grams</v>
      </c>
      <c r="U1887" s="200">
        <f>L1887*M1887</f>
        <v>45</v>
      </c>
      <c r="V1887" s="12"/>
      <c r="W1887" s="12"/>
    </row>
    <row r="1888" spans="1:23" x14ac:dyDescent="0.3">
      <c r="A1888" s="193">
        <v>766</v>
      </c>
      <c r="B1888" s="46" t="s">
        <v>282</v>
      </c>
      <c r="C1888" s="315"/>
      <c r="D1888" s="316"/>
      <c r="E1888" s="315"/>
      <c r="F1888" s="315"/>
      <c r="G1888" s="315"/>
      <c r="H1888" s="194" t="s">
        <v>2024</v>
      </c>
      <c r="I1888" s="12"/>
      <c r="J1888" s="170"/>
      <c r="K1888" s="12"/>
      <c r="L1888" s="197">
        <v>25</v>
      </c>
      <c r="M1888" s="197">
        <v>26</v>
      </c>
      <c r="N1888" s="290">
        <v>1</v>
      </c>
      <c r="O1888" s="46"/>
      <c r="P1888" s="46" t="s">
        <v>213</v>
      </c>
      <c r="Q1888" s="12"/>
      <c r="R1888" s="192" t="str">
        <f>CONCATENATE(N1888,P1888)</f>
        <v>1kilos</v>
      </c>
      <c r="S1888" s="198">
        <f>M1888*N1888</f>
        <v>26</v>
      </c>
      <c r="T1888" s="199" t="str">
        <f>CONCATENATE(S1888,Q1888,P1888)</f>
        <v>26kilos</v>
      </c>
      <c r="U1888" s="200">
        <f>L1888*M1888</f>
        <v>650</v>
      </c>
      <c r="V1888" s="12"/>
      <c r="W1888" s="12"/>
    </row>
    <row r="1889" spans="1:23" x14ac:dyDescent="0.3">
      <c r="A1889" s="193">
        <v>766</v>
      </c>
      <c r="B1889" s="219" t="s">
        <v>282</v>
      </c>
      <c r="C1889" s="315"/>
      <c r="D1889" s="316"/>
      <c r="E1889" s="315"/>
      <c r="F1889" s="315"/>
      <c r="G1889" s="315"/>
      <c r="H1889" s="194" t="s">
        <v>2021</v>
      </c>
      <c r="I1889" s="12"/>
      <c r="J1889" s="215"/>
      <c r="K1889" s="12"/>
      <c r="L1889" s="216">
        <v>25</v>
      </c>
      <c r="M1889" s="216">
        <v>2</v>
      </c>
      <c r="N1889" s="290">
        <v>1</v>
      </c>
      <c r="O1889" s="46"/>
      <c r="P1889" s="46" t="s">
        <v>213</v>
      </c>
      <c r="Q1889" s="12"/>
      <c r="R1889" s="192" t="str">
        <f>CONCATENATE(N1889,P1889)</f>
        <v>1kilos</v>
      </c>
      <c r="S1889" s="198">
        <f>M1889*N1889</f>
        <v>2</v>
      </c>
      <c r="T1889" s="199" t="str">
        <f>CONCATENATE(S1889,Q1889,P1889)</f>
        <v>2kilos</v>
      </c>
      <c r="U1889" s="200">
        <f>L1889*M1889</f>
        <v>50</v>
      </c>
      <c r="V1889" s="12"/>
      <c r="W1889" s="12"/>
    </row>
    <row r="1890" spans="1:23" x14ac:dyDescent="0.3">
      <c r="A1890" s="479">
        <v>767</v>
      </c>
      <c r="B1890" s="194" t="s">
        <v>760</v>
      </c>
      <c r="C1890" s="487"/>
      <c r="D1890" s="485" t="str">
        <f ca="1">IFERROR(__xludf.DUMMYFUNCTION("IF(J539="""",""n/a"",IFERROR(SPLIT(J539,""/"")))"),"Ram")</f>
        <v>Ram</v>
      </c>
      <c r="E1890" s="485" t="str">
        <f ca="1">IFERROR(__xludf.DUMMYFUNCTION("""COMPUTED_VALUE"""),"pack")</f>
        <v>pack</v>
      </c>
      <c r="F1890" s="485" t="str">
        <f ca="1">IFERROR(__xludf.DUMMYFUNCTION("""COMPUTED_VALUE"""),"100grams")</f>
        <v>100grams</v>
      </c>
      <c r="G1890" s="487"/>
      <c r="H1890" s="183" t="s">
        <v>1897</v>
      </c>
      <c r="I1890" s="487"/>
      <c r="J1890" s="46" t="s">
        <v>761</v>
      </c>
      <c r="K1890" s="487"/>
      <c r="L1890" s="195">
        <v>0.16</v>
      </c>
      <c r="M1890" s="202">
        <v>3500</v>
      </c>
      <c r="N1890" s="203">
        <v>100</v>
      </c>
      <c r="O1890" s="61" t="str">
        <f ca="1">E1890</f>
        <v>pack</v>
      </c>
      <c r="P1890" s="61" t="s">
        <v>39</v>
      </c>
      <c r="Q1890" s="487"/>
      <c r="R1890" s="192" t="str">
        <f>CONCATENATE(N1890,P1890)</f>
        <v>100grams</v>
      </c>
      <c r="S1890" s="198">
        <f>M1890*N1890</f>
        <v>350000</v>
      </c>
      <c r="T1890" s="199" t="str">
        <f>CONCATENATE(S1890,Q1890,P1890)</f>
        <v>350000grams</v>
      </c>
      <c r="U1890" s="200">
        <f>L1890*M1890</f>
        <v>560</v>
      </c>
      <c r="V1890" s="205"/>
      <c r="W1890" s="62"/>
    </row>
    <row r="1891" spans="1:23" x14ac:dyDescent="0.3">
      <c r="A1891" s="193">
        <v>768</v>
      </c>
      <c r="B1891" s="46" t="s">
        <v>1634</v>
      </c>
      <c r="C1891" s="315"/>
      <c r="D1891" s="316"/>
      <c r="E1891" s="315"/>
      <c r="F1891" s="315"/>
      <c r="G1891" s="315"/>
      <c r="H1891" s="194" t="s">
        <v>2025</v>
      </c>
      <c r="I1891" s="12"/>
      <c r="J1891" s="46" t="s">
        <v>1624</v>
      </c>
      <c r="K1891" s="12"/>
      <c r="L1891" s="197">
        <v>20</v>
      </c>
      <c r="M1891" s="197">
        <v>16</v>
      </c>
      <c r="N1891" s="290">
        <v>1</v>
      </c>
      <c r="O1891" s="46"/>
      <c r="P1891" s="46" t="s">
        <v>92</v>
      </c>
      <c r="Q1891" s="12"/>
      <c r="R1891" s="192" t="str">
        <f>CONCATENATE(N1891,P1891)</f>
        <v>1pieces</v>
      </c>
      <c r="S1891" s="198">
        <f>M1891*N1891</f>
        <v>16</v>
      </c>
      <c r="T1891" s="199" t="str">
        <f>CONCATENATE(S1891,Q1891,P1891)</f>
        <v>16pieces</v>
      </c>
      <c r="U1891" s="200">
        <f>L1891*M1891</f>
        <v>320</v>
      </c>
      <c r="V1891" s="12"/>
      <c r="W1891" s="12"/>
    </row>
    <row r="1892" spans="1:23" x14ac:dyDescent="0.3">
      <c r="A1892" s="193">
        <v>769</v>
      </c>
      <c r="B1892" s="46" t="s">
        <v>1635</v>
      </c>
      <c r="C1892" s="315"/>
      <c r="D1892" s="316"/>
      <c r="E1892" s="315"/>
      <c r="F1892" s="315"/>
      <c r="G1892" s="315"/>
      <c r="H1892" s="194" t="s">
        <v>1368</v>
      </c>
      <c r="I1892" s="12"/>
      <c r="J1892" s="170"/>
      <c r="K1892" s="12"/>
      <c r="L1892" s="197">
        <v>30</v>
      </c>
      <c r="M1892" s="197">
        <v>1</v>
      </c>
      <c r="N1892" s="290">
        <v>1</v>
      </c>
      <c r="O1892" s="46"/>
      <c r="P1892" s="46" t="s">
        <v>213</v>
      </c>
      <c r="Q1892" s="12"/>
      <c r="R1892" s="192" t="str">
        <f>CONCATENATE(N1892,P1892)</f>
        <v>1kilos</v>
      </c>
      <c r="S1892" s="198">
        <f>M1892*N1892</f>
        <v>1</v>
      </c>
      <c r="T1892" s="199" t="str">
        <f>CONCATENATE(S1892,Q1892,P1892)</f>
        <v>1kilos</v>
      </c>
      <c r="U1892" s="200">
        <f>L1892*M1892</f>
        <v>30</v>
      </c>
      <c r="V1892" s="12"/>
      <c r="W1892" s="12"/>
    </row>
    <row r="1893" spans="1:23" x14ac:dyDescent="0.3">
      <c r="A1893" s="479">
        <v>770</v>
      </c>
      <c r="B1893" s="214" t="s">
        <v>158</v>
      </c>
      <c r="C1893" s="489"/>
      <c r="D1893" s="485" t="str">
        <f ca="1">IFERROR(__xludf.DUMMYFUNCTION("IF(J540="""",""n/a"",IFERROR(SPLIT(J540,""/"")))"),"San Mig")</f>
        <v>San Mig</v>
      </c>
      <c r="E1893" s="493" t="str">
        <f ca="1">IFERROR(__xludf.DUMMYFUNCTION("""COMPUTED_VALUE"""),"pack")</f>
        <v>pack</v>
      </c>
      <c r="F1893" s="493" t="str">
        <f ca="1">IFERROR(__xludf.DUMMYFUNCTION("""COMPUTED_VALUE"""),"7grams")</f>
        <v>7grams</v>
      </c>
      <c r="G1893" s="489"/>
      <c r="H1893" s="183" t="s">
        <v>1895</v>
      </c>
      <c r="I1893" s="487"/>
      <c r="J1893" s="46" t="s">
        <v>159</v>
      </c>
      <c r="K1893" s="487"/>
      <c r="L1893" s="195">
        <v>6.69</v>
      </c>
      <c r="M1893" s="197">
        <v>354</v>
      </c>
      <c r="N1893" s="61">
        <v>1</v>
      </c>
      <c r="O1893" s="61" t="str">
        <f ca="1">E1893</f>
        <v>pack</v>
      </c>
      <c r="P1893" s="61" t="s">
        <v>92</v>
      </c>
      <c r="Q1893" s="487"/>
      <c r="R1893" s="192" t="str">
        <f>CONCATENATE(N1893,P1893)</f>
        <v>1pieces</v>
      </c>
      <c r="S1893" s="198">
        <f>M1893*N1893</f>
        <v>354</v>
      </c>
      <c r="T1893" s="199" t="str">
        <f>CONCATENATE(S1893,Q1893,P1893)</f>
        <v>354pieces</v>
      </c>
      <c r="U1893" s="200">
        <f>L1893*M1893</f>
        <v>2368.2600000000002</v>
      </c>
      <c r="V1893" s="12"/>
      <c r="W1893" s="12"/>
    </row>
    <row r="1894" spans="1:23" x14ac:dyDescent="0.3">
      <c r="A1894" s="479">
        <v>771</v>
      </c>
      <c r="B1894" s="194" t="s">
        <v>160</v>
      </c>
      <c r="C1894" s="487"/>
      <c r="D1894" s="485" t="str">
        <f ca="1">IFERROR(__xludf.DUMMYFUNCTION("IF(J541="""",""n/a"",IFERROR(SPLIT(J541,""/"")))"),"San Mig")</f>
        <v>San Mig</v>
      </c>
      <c r="E1894" s="485" t="str">
        <f ca="1">IFERROR(__xludf.DUMMYFUNCTION("""COMPUTED_VALUE"""),"pack (10pcsx20grams)")</f>
        <v>pack (10pcsx20grams)</v>
      </c>
      <c r="F1894" s="487"/>
      <c r="G1894" s="487"/>
      <c r="H1894" s="183" t="s">
        <v>1897</v>
      </c>
      <c r="I1894" s="487"/>
      <c r="J1894" s="46" t="s">
        <v>161</v>
      </c>
      <c r="K1894" s="487"/>
      <c r="L1894" s="204">
        <v>8.6</v>
      </c>
      <c r="M1894" s="202">
        <v>270</v>
      </c>
      <c r="N1894" s="203">
        <v>1</v>
      </c>
      <c r="O1894" s="61" t="str">
        <f ca="1">E1894</f>
        <v>pack (10pcsx20grams)</v>
      </c>
      <c r="P1894" s="61" t="s">
        <v>92</v>
      </c>
      <c r="Q1894" s="515" t="s">
        <v>33</v>
      </c>
      <c r="R1894" s="192" t="str">
        <f>CONCATENATE(N1894,P1894)</f>
        <v>1pieces</v>
      </c>
      <c r="S1894" s="198">
        <f>M1894*N1894</f>
        <v>270</v>
      </c>
      <c r="T1894" s="199" t="str">
        <f>CONCATENATE(S1894,Q1894,P1894)</f>
        <v>270 pieces</v>
      </c>
      <c r="U1894" s="200">
        <f>L1894*M1894</f>
        <v>2322</v>
      </c>
      <c r="V1894" s="205"/>
      <c r="W1894" s="62"/>
    </row>
    <row r="1895" spans="1:23" x14ac:dyDescent="0.3">
      <c r="A1895" s="479">
        <v>771</v>
      </c>
      <c r="B1895" s="194" t="s">
        <v>160</v>
      </c>
      <c r="C1895" s="487"/>
      <c r="D1895" s="485" t="str">
        <f ca="1">IFERROR(__xludf.DUMMYFUNCTION("IF(J542="""",""n/a"",IFERROR(SPLIT(J542,""/"")))"),"San Mig")</f>
        <v>San Mig</v>
      </c>
      <c r="E1895" s="485" t="str">
        <f ca="1">IFERROR(__xludf.DUMMYFUNCTION("""COMPUTED_VALUE"""),"pack (10pcsx20grams)")</f>
        <v>pack (10pcsx20grams)</v>
      </c>
      <c r="F1895" s="487"/>
      <c r="G1895" s="487"/>
      <c r="H1895" s="183" t="s">
        <v>1895</v>
      </c>
      <c r="I1895" s="487"/>
      <c r="J1895" s="46" t="s">
        <v>161</v>
      </c>
      <c r="K1895" s="487"/>
      <c r="L1895" s="195">
        <v>8.73</v>
      </c>
      <c r="M1895" s="197">
        <v>580</v>
      </c>
      <c r="N1895" s="61">
        <v>1</v>
      </c>
      <c r="O1895" s="61" t="str">
        <f ca="1">E1895</f>
        <v>pack (10pcsx20grams)</v>
      </c>
      <c r="P1895" s="61" t="s">
        <v>92</v>
      </c>
      <c r="Q1895" s="487"/>
      <c r="R1895" s="192" t="str">
        <f>CONCATENATE(N1895,P1895)</f>
        <v>1pieces</v>
      </c>
      <c r="S1895" s="198">
        <f>M1895*N1895</f>
        <v>580</v>
      </c>
      <c r="T1895" s="199" t="str">
        <f>CONCATENATE(S1895,Q1895,P1895)</f>
        <v>580pieces</v>
      </c>
      <c r="U1895" s="200">
        <f>L1895*M1895</f>
        <v>5063.4000000000005</v>
      </c>
      <c r="V1895" s="12"/>
      <c r="W1895" s="12"/>
    </row>
    <row r="1896" spans="1:23" x14ac:dyDescent="0.3">
      <c r="A1896" s="193">
        <v>772</v>
      </c>
      <c r="B1896" s="46" t="s">
        <v>1636</v>
      </c>
      <c r="C1896" s="315"/>
      <c r="D1896" s="316"/>
      <c r="E1896" s="315"/>
      <c r="F1896" s="315"/>
      <c r="G1896" s="315"/>
      <c r="H1896" s="194" t="s">
        <v>2026</v>
      </c>
      <c r="I1896" s="12"/>
      <c r="J1896" s="46" t="s">
        <v>1637</v>
      </c>
      <c r="K1896" s="12"/>
      <c r="L1896" s="197">
        <v>90.5</v>
      </c>
      <c r="M1896" s="197">
        <v>3</v>
      </c>
      <c r="N1896" s="290">
        <v>1</v>
      </c>
      <c r="O1896" s="46"/>
      <c r="P1896" s="46" t="s">
        <v>1638</v>
      </c>
      <c r="Q1896" s="12"/>
      <c r="R1896" s="192" t="str">
        <f>CONCATENATE(N1896,P1896)</f>
        <v>1box</v>
      </c>
      <c r="S1896" s="198">
        <f>M1896*N1896</f>
        <v>3</v>
      </c>
      <c r="T1896" s="199" t="str">
        <f>CONCATENATE(S1896,Q1896,P1896)</f>
        <v>3box</v>
      </c>
      <c r="U1896" s="200">
        <f>L1896*M1896</f>
        <v>271.5</v>
      </c>
      <c r="V1896" s="12"/>
      <c r="W1896" s="12"/>
    </row>
    <row r="1897" spans="1:23" x14ac:dyDescent="0.3">
      <c r="A1897" s="479">
        <v>773</v>
      </c>
      <c r="B1897" s="194" t="s">
        <v>762</v>
      </c>
      <c r="C1897" s="487"/>
      <c r="D1897" s="485" t="str">
        <f ca="1">IFERROR(__xludf.DUMMYFUNCTION("IF(J543="""",""n/a"",IFERROR(SPLIT(J543,""/"")))"),"n/a")</f>
        <v>n/a</v>
      </c>
      <c r="E1897" s="487"/>
      <c r="F1897" s="487"/>
      <c r="G1897" s="487"/>
      <c r="H1897" s="206" t="s">
        <v>1898</v>
      </c>
      <c r="I1897" s="487"/>
      <c r="J1897" s="170"/>
      <c r="K1897" s="487"/>
      <c r="L1897" s="197">
        <v>20</v>
      </c>
      <c r="M1897" s="386">
        <v>116</v>
      </c>
      <c r="N1897" s="208">
        <v>1</v>
      </c>
      <c r="O1897" s="170">
        <f>E1897</f>
        <v>0</v>
      </c>
      <c r="P1897" s="61" t="s">
        <v>92</v>
      </c>
      <c r="Q1897" s="487"/>
      <c r="R1897" s="192" t="str">
        <f>CONCATENATE(N1897,P1897)</f>
        <v>1pieces</v>
      </c>
      <c r="S1897" s="198">
        <f>M1897*N1897</f>
        <v>116</v>
      </c>
      <c r="T1897" s="199" t="str">
        <f>CONCATENATE(S1897,Q1897,P1897)</f>
        <v>116pieces</v>
      </c>
      <c r="U1897" s="200">
        <f>L1897*M1897</f>
        <v>2320</v>
      </c>
      <c r="V1897" s="12"/>
      <c r="W1897" s="12"/>
    </row>
    <row r="1898" spans="1:23" x14ac:dyDescent="0.3">
      <c r="A1898" s="479">
        <v>774</v>
      </c>
      <c r="B1898" s="194" t="s">
        <v>763</v>
      </c>
      <c r="C1898" s="487"/>
      <c r="D1898" s="485" t="str">
        <f ca="1">IFERROR(__xludf.DUMMYFUNCTION("IF(J544="""",""n/a"",IFERROR(SPLIT(J544,""/"")))"),"n/a")</f>
        <v>n/a</v>
      </c>
      <c r="E1898" s="487"/>
      <c r="F1898" s="487"/>
      <c r="G1898" s="487"/>
      <c r="H1898" s="206" t="s">
        <v>1898</v>
      </c>
      <c r="I1898" s="487"/>
      <c r="J1898" s="170"/>
      <c r="K1898" s="487"/>
      <c r="L1898" s="197">
        <v>23.84</v>
      </c>
      <c r="M1898" s="386">
        <v>72</v>
      </c>
      <c r="N1898" s="208">
        <v>1</v>
      </c>
      <c r="O1898" s="170">
        <f>E1898</f>
        <v>0</v>
      </c>
      <c r="P1898" s="61" t="s">
        <v>92</v>
      </c>
      <c r="Q1898" s="487"/>
      <c r="R1898" s="192" t="str">
        <f>CONCATENATE(N1898,P1898)</f>
        <v>1pieces</v>
      </c>
      <c r="S1898" s="198">
        <f>M1898*N1898</f>
        <v>72</v>
      </c>
      <c r="T1898" s="199" t="str">
        <f>CONCATENATE(S1898,Q1898,P1898)</f>
        <v>72pieces</v>
      </c>
      <c r="U1898" s="200">
        <f>L1898*M1898</f>
        <v>1716.48</v>
      </c>
      <c r="V1898" s="12"/>
      <c r="W1898" s="12"/>
    </row>
    <row r="1899" spans="1:23" x14ac:dyDescent="0.3">
      <c r="A1899" s="479">
        <v>775</v>
      </c>
      <c r="B1899" s="194" t="s">
        <v>764</v>
      </c>
      <c r="C1899" s="487"/>
      <c r="D1899" s="485" t="str">
        <f ca="1">IFERROR(__xludf.DUMMYFUNCTION("IF(J545="""",""n/a"",IFERROR(SPLIT(J545,""/"")))"),"Silkday")</f>
        <v>Silkday</v>
      </c>
      <c r="E1899" s="485" t="str">
        <f ca="1">IFERROR(__xludf.DUMMYFUNCTION("""COMPUTED_VALUE"""),"packx20's")</f>
        <v>packx20's</v>
      </c>
      <c r="F1899" s="487"/>
      <c r="G1899" s="487"/>
      <c r="H1899" s="183" t="s">
        <v>1897</v>
      </c>
      <c r="I1899" s="487"/>
      <c r="J1899" s="46" t="s">
        <v>765</v>
      </c>
      <c r="K1899" s="487"/>
      <c r="L1899" s="195">
        <v>2.78</v>
      </c>
      <c r="M1899" s="202">
        <v>304</v>
      </c>
      <c r="N1899" s="203">
        <v>1</v>
      </c>
      <c r="O1899" s="61" t="str">
        <f ca="1">E1899</f>
        <v>packx20's</v>
      </c>
      <c r="P1899" s="61" t="s">
        <v>92</v>
      </c>
      <c r="Q1899" s="487"/>
      <c r="R1899" s="192" t="str">
        <f>CONCATENATE(N1899,P1899)</f>
        <v>1pieces</v>
      </c>
      <c r="S1899" s="198">
        <f>M1899*N1899</f>
        <v>304</v>
      </c>
      <c r="T1899" s="199" t="str">
        <f>CONCATENATE(S1899,Q1899,P1899)</f>
        <v>304pieces</v>
      </c>
      <c r="U1899" s="200">
        <f>L1899*M1899</f>
        <v>845.11999999999989</v>
      </c>
      <c r="V1899" s="12"/>
      <c r="W1899" s="12"/>
    </row>
    <row r="1900" spans="1:23" x14ac:dyDescent="0.3">
      <c r="A1900" s="193">
        <v>776</v>
      </c>
      <c r="B1900" s="219" t="s">
        <v>1639</v>
      </c>
      <c r="C1900" s="315"/>
      <c r="D1900" s="316"/>
      <c r="E1900" s="315"/>
      <c r="F1900" s="315"/>
      <c r="G1900" s="315"/>
      <c r="H1900" s="194" t="s">
        <v>2020</v>
      </c>
      <c r="I1900" s="12"/>
      <c r="J1900" s="46" t="s">
        <v>1640</v>
      </c>
      <c r="K1900" s="12"/>
      <c r="L1900" s="197">
        <v>6.07</v>
      </c>
      <c r="M1900" s="197">
        <v>23</v>
      </c>
      <c r="N1900" s="290">
        <v>1</v>
      </c>
      <c r="O1900" s="46"/>
      <c r="P1900" s="46" t="s">
        <v>92</v>
      </c>
      <c r="Q1900" s="12"/>
      <c r="R1900" s="192" t="str">
        <f>CONCATENATE(N1900,P1900)</f>
        <v>1pieces</v>
      </c>
      <c r="S1900" s="198">
        <f>M1900*N1900</f>
        <v>23</v>
      </c>
      <c r="T1900" s="199" t="str">
        <f>CONCATENATE(S1900,Q1900,P1900)</f>
        <v>23pieces</v>
      </c>
      <c r="U1900" s="200">
        <f>L1900*M1900</f>
        <v>139.61000000000001</v>
      </c>
      <c r="V1900" s="12"/>
      <c r="W1900" s="12"/>
    </row>
    <row r="1901" spans="1:23" x14ac:dyDescent="0.3">
      <c r="A1901" s="193">
        <v>776</v>
      </c>
      <c r="B1901" s="46" t="s">
        <v>1639</v>
      </c>
      <c r="C1901" s="315"/>
      <c r="D1901" s="316"/>
      <c r="E1901" s="315"/>
      <c r="F1901" s="315"/>
      <c r="G1901" s="315"/>
      <c r="H1901" s="194" t="s">
        <v>1368</v>
      </c>
      <c r="I1901" s="12"/>
      <c r="J1901" s="46" t="s">
        <v>1641</v>
      </c>
      <c r="K1901" s="12"/>
      <c r="L1901" s="197">
        <v>155.5</v>
      </c>
      <c r="M1901" s="197">
        <v>1</v>
      </c>
      <c r="N1901" s="290">
        <v>1</v>
      </c>
      <c r="O1901" s="46"/>
      <c r="P1901" s="46" t="s">
        <v>304</v>
      </c>
      <c r="Q1901" s="12"/>
      <c r="R1901" s="192" t="str">
        <f>CONCATENATE(N1901,P1901)</f>
        <v>1packs</v>
      </c>
      <c r="S1901" s="198">
        <f>M1901*N1901</f>
        <v>1</v>
      </c>
      <c r="T1901" s="199" t="str">
        <f>CONCATENATE(S1901,Q1901,P1901)</f>
        <v>1packs</v>
      </c>
      <c r="U1901" s="200">
        <f>L1901*M1901</f>
        <v>155.5</v>
      </c>
      <c r="V1901" s="12"/>
      <c r="W1901" s="12"/>
    </row>
    <row r="1902" spans="1:23" x14ac:dyDescent="0.3">
      <c r="A1902" s="193">
        <v>776</v>
      </c>
      <c r="B1902" s="46" t="s">
        <v>1639</v>
      </c>
      <c r="C1902" s="315"/>
      <c r="D1902" s="316"/>
      <c r="E1902" s="315"/>
      <c r="F1902" s="315"/>
      <c r="G1902" s="315"/>
      <c r="H1902" s="194" t="s">
        <v>2023</v>
      </c>
      <c r="I1902" s="12"/>
      <c r="J1902" s="46" t="s">
        <v>1641</v>
      </c>
      <c r="K1902" s="12"/>
      <c r="L1902" s="197">
        <v>55.8</v>
      </c>
      <c r="M1902" s="197">
        <v>4</v>
      </c>
      <c r="N1902" s="290">
        <v>1</v>
      </c>
      <c r="O1902" s="46"/>
      <c r="P1902" s="46" t="s">
        <v>304</v>
      </c>
      <c r="Q1902" s="12"/>
      <c r="R1902" s="192" t="str">
        <f>CONCATENATE(N1902,P1902)</f>
        <v>1packs</v>
      </c>
      <c r="S1902" s="198">
        <f>M1902*N1902</f>
        <v>4</v>
      </c>
      <c r="T1902" s="199" t="str">
        <f>CONCATENATE(S1902,Q1902,P1902)</f>
        <v>4packs</v>
      </c>
      <c r="U1902" s="200">
        <f>L1902*M1902</f>
        <v>223.2</v>
      </c>
      <c r="V1902" s="12"/>
      <c r="W1902" s="12"/>
    </row>
    <row r="1903" spans="1:23" x14ac:dyDescent="0.3">
      <c r="A1903" s="193">
        <v>777</v>
      </c>
      <c r="B1903" s="46" t="s">
        <v>1642</v>
      </c>
      <c r="C1903" s="315"/>
      <c r="D1903" s="316"/>
      <c r="E1903" s="315"/>
      <c r="F1903" s="315"/>
      <c r="G1903" s="315"/>
      <c r="H1903" s="194" t="s">
        <v>2020</v>
      </c>
      <c r="I1903" s="12"/>
      <c r="J1903" s="46" t="s">
        <v>1643</v>
      </c>
      <c r="K1903" s="12"/>
      <c r="L1903" s="197">
        <v>12.8</v>
      </c>
      <c r="M1903" s="197">
        <v>16</v>
      </c>
      <c r="N1903" s="290">
        <v>1</v>
      </c>
      <c r="O1903" s="46"/>
      <c r="P1903" s="46" t="s">
        <v>92</v>
      </c>
      <c r="Q1903" s="12"/>
      <c r="R1903" s="192" t="str">
        <f>CONCATENATE(N1903,P1903)</f>
        <v>1pieces</v>
      </c>
      <c r="S1903" s="198">
        <f>M1903*N1903</f>
        <v>16</v>
      </c>
      <c r="T1903" s="199" t="str">
        <f>CONCATENATE(S1903,Q1903,P1903)</f>
        <v>16pieces</v>
      </c>
      <c r="U1903" s="200">
        <f>L1903*M1903</f>
        <v>204.8</v>
      </c>
      <c r="V1903" s="12"/>
      <c r="W1903" s="12"/>
    </row>
    <row r="1904" spans="1:23" x14ac:dyDescent="0.3">
      <c r="A1904" s="193">
        <v>778</v>
      </c>
      <c r="B1904" s="46" t="s">
        <v>1644</v>
      </c>
      <c r="C1904" s="315"/>
      <c r="D1904" s="316"/>
      <c r="E1904" s="315"/>
      <c r="F1904" s="315"/>
      <c r="G1904" s="315"/>
      <c r="H1904" s="194" t="s">
        <v>2020</v>
      </c>
      <c r="I1904" s="12"/>
      <c r="J1904" s="170"/>
      <c r="K1904" s="12"/>
      <c r="L1904" s="197">
        <v>320</v>
      </c>
      <c r="M1904" s="197">
        <v>1</v>
      </c>
      <c r="N1904" s="290">
        <v>1</v>
      </c>
      <c r="O1904" s="46"/>
      <c r="P1904" s="46" t="s">
        <v>213</v>
      </c>
      <c r="Q1904" s="12"/>
      <c r="R1904" s="192" t="str">
        <f>CONCATENATE(N1904,P1904)</f>
        <v>1kilos</v>
      </c>
      <c r="S1904" s="198">
        <f>M1904*N1904</f>
        <v>1</v>
      </c>
      <c r="T1904" s="199" t="str">
        <f>CONCATENATE(S1904,Q1904,P1904)</f>
        <v>1kilos</v>
      </c>
      <c r="U1904" s="200">
        <f>L1904*M1904</f>
        <v>320</v>
      </c>
      <c r="V1904" s="12"/>
      <c r="W1904" s="12"/>
    </row>
    <row r="1905" spans="1:23" x14ac:dyDescent="0.3">
      <c r="A1905" s="193">
        <v>778</v>
      </c>
      <c r="B1905" s="46" t="s">
        <v>1644</v>
      </c>
      <c r="C1905" s="315"/>
      <c r="D1905" s="316"/>
      <c r="E1905" s="315"/>
      <c r="F1905" s="315"/>
      <c r="G1905" s="315"/>
      <c r="H1905" s="400" t="s">
        <v>2027</v>
      </c>
      <c r="I1905" s="12"/>
      <c r="J1905" s="46" t="s">
        <v>1994</v>
      </c>
      <c r="K1905" s="12"/>
      <c r="L1905" s="195">
        <v>20</v>
      </c>
      <c r="M1905" s="197">
        <v>1</v>
      </c>
      <c r="N1905" s="360">
        <v>1</v>
      </c>
      <c r="O1905" s="61"/>
      <c r="P1905" s="61" t="s">
        <v>213</v>
      </c>
      <c r="Q1905" s="12"/>
      <c r="R1905" s="192" t="str">
        <f>CONCATENATE(N1905,P1905)</f>
        <v>1kilos</v>
      </c>
      <c r="S1905" s="198">
        <f>M1905*N1905</f>
        <v>1</v>
      </c>
      <c r="T1905" s="199" t="str">
        <f>CONCATENATE(S1905,Q1905,P1905)</f>
        <v>1kilos</v>
      </c>
      <c r="U1905" s="200">
        <f>L1905*M1905</f>
        <v>20</v>
      </c>
      <c r="V1905" s="12"/>
      <c r="W1905" s="12"/>
    </row>
    <row r="1906" spans="1:23" x14ac:dyDescent="0.3">
      <c r="A1906" s="479">
        <v>779</v>
      </c>
      <c r="B1906" s="194" t="s">
        <v>766</v>
      </c>
      <c r="C1906" s="487"/>
      <c r="D1906" s="485" t="str">
        <f ca="1">IFERROR(__xludf.DUMMYFUNCTION("IF(J546="""",""n/a"",IFERROR(SPLIT(J546,""/"")))"),"Mega")</f>
        <v>Mega</v>
      </c>
      <c r="E1906" s="485" t="str">
        <f ca="1">IFERROR(__xludf.DUMMYFUNCTION("""COMPUTED_VALUE"""),"can")</f>
        <v>can</v>
      </c>
      <c r="F1906" s="485" t="str">
        <f ca="1">IFERROR(__xludf.DUMMYFUNCTION("""COMPUTED_VALUE"""),"425grams")</f>
        <v>425grams</v>
      </c>
      <c r="G1906" s="487"/>
      <c r="H1906" s="183" t="s">
        <v>1897</v>
      </c>
      <c r="I1906" s="487"/>
      <c r="J1906" s="46" t="s">
        <v>767</v>
      </c>
      <c r="K1906" s="487"/>
      <c r="L1906" s="195">
        <v>0.14000000000000001</v>
      </c>
      <c r="M1906" s="202">
        <v>4250</v>
      </c>
      <c r="N1906" s="203">
        <v>425</v>
      </c>
      <c r="O1906" s="61" t="str">
        <f ca="1">E1906</f>
        <v>can</v>
      </c>
      <c r="P1906" s="61" t="s">
        <v>39</v>
      </c>
      <c r="Q1906" s="515" t="s">
        <v>33</v>
      </c>
      <c r="R1906" s="192" t="str">
        <f>CONCATENATE(N1906,P1906)</f>
        <v>425grams</v>
      </c>
      <c r="S1906" s="198">
        <f>M1906*N1906</f>
        <v>1806250</v>
      </c>
      <c r="T1906" s="199" t="str">
        <f>CONCATENATE(S1906,Q1906,P1906)</f>
        <v>1806250 grams</v>
      </c>
      <c r="U1906" s="200">
        <f>L1906*M1906</f>
        <v>595</v>
      </c>
      <c r="V1906" s="205"/>
      <c r="W1906" s="62"/>
    </row>
    <row r="1907" spans="1:23" x14ac:dyDescent="0.3">
      <c r="A1907" s="479">
        <v>779</v>
      </c>
      <c r="B1907" s="214" t="s">
        <v>766</v>
      </c>
      <c r="C1907" s="489"/>
      <c r="D1907" s="485">
        <f ca="1">IFERROR(__xludf.DUMMYFUNCTION("IF(J547="""",""n/a"",IFERROR(SPLIT(J547,""/"")))"),555)</f>
        <v>555</v>
      </c>
      <c r="E1907" s="493" t="str">
        <f ca="1">IFERROR(__xludf.DUMMYFUNCTION("""COMPUTED_VALUE"""),"can")</f>
        <v>can</v>
      </c>
      <c r="F1907" s="493" t="str">
        <f ca="1">IFERROR(__xludf.DUMMYFUNCTION("""COMPUTED_VALUE"""),"425grams")</f>
        <v>425grams</v>
      </c>
      <c r="G1907" s="489"/>
      <c r="H1907" s="183" t="s">
        <v>1895</v>
      </c>
      <c r="I1907" s="489"/>
      <c r="J1907" s="46" t="s">
        <v>195</v>
      </c>
      <c r="K1907" s="487"/>
      <c r="L1907" s="195">
        <v>58.25</v>
      </c>
      <c r="M1907" s="197">
        <v>72</v>
      </c>
      <c r="N1907" s="61">
        <v>1</v>
      </c>
      <c r="O1907" s="61" t="str">
        <f ca="1">E1907</f>
        <v>can</v>
      </c>
      <c r="P1907" s="61" t="s">
        <v>39</v>
      </c>
      <c r="Q1907" s="487"/>
      <c r="R1907" s="192" t="str">
        <f>CONCATENATE(N1907,P1907)</f>
        <v>1grams</v>
      </c>
      <c r="S1907" s="198">
        <f>M1907*N1907</f>
        <v>72</v>
      </c>
      <c r="T1907" s="199" t="str">
        <f>CONCATENATE(S1907,Q1907,P1907)</f>
        <v>72grams</v>
      </c>
      <c r="U1907" s="200">
        <f>L1907*M1907</f>
        <v>4194</v>
      </c>
      <c r="V1907" s="12"/>
      <c r="W1907" s="12"/>
    </row>
    <row r="1908" spans="1:23" x14ac:dyDescent="0.3">
      <c r="A1908" s="479">
        <v>779</v>
      </c>
      <c r="B1908" s="194" t="s">
        <v>766</v>
      </c>
      <c r="C1908" s="487"/>
      <c r="D1908" s="485" t="str">
        <f ca="1">IFERROR(__xludf.DUMMYFUNCTION("IF(J548="""",""n/a"",IFERROR(SPLIT(J548,""/"")))"),"n/a")</f>
        <v>n/a</v>
      </c>
      <c r="E1908" s="487"/>
      <c r="F1908" s="487"/>
      <c r="G1908" s="487"/>
      <c r="H1908" s="206" t="s">
        <v>1898</v>
      </c>
      <c r="I1908" s="487"/>
      <c r="J1908" s="170"/>
      <c r="K1908" s="487"/>
      <c r="L1908" s="197">
        <v>0.14000000000000001</v>
      </c>
      <c r="M1908" s="385">
        <v>18700</v>
      </c>
      <c r="N1908" s="208">
        <v>425</v>
      </c>
      <c r="O1908" s="170">
        <f>E1908</f>
        <v>0</v>
      </c>
      <c r="P1908" s="61" t="s">
        <v>39</v>
      </c>
      <c r="Q1908" s="487"/>
      <c r="R1908" s="192" t="str">
        <f>CONCATENATE(N1908,P1908)</f>
        <v>425grams</v>
      </c>
      <c r="S1908" s="198">
        <f>M1908*N1908</f>
        <v>7947500</v>
      </c>
      <c r="T1908" s="199" t="str">
        <f>CONCATENATE(S1908,Q1908,P1908)</f>
        <v>7947500grams</v>
      </c>
      <c r="U1908" s="200">
        <f>L1908*M1908</f>
        <v>2618.0000000000005</v>
      </c>
      <c r="V1908" s="12"/>
      <c r="W1908" s="12"/>
    </row>
    <row r="1909" spans="1:23" x14ac:dyDescent="0.3">
      <c r="A1909" s="193">
        <v>779</v>
      </c>
      <c r="B1909" s="46" t="s">
        <v>766</v>
      </c>
      <c r="C1909" s="315"/>
      <c r="D1909" s="316"/>
      <c r="E1909" s="315"/>
      <c r="F1909" s="315"/>
      <c r="G1909" s="315"/>
      <c r="H1909" s="400" t="s">
        <v>2027</v>
      </c>
      <c r="I1909" s="12"/>
      <c r="J1909" s="46" t="s">
        <v>1997</v>
      </c>
      <c r="K1909" s="12"/>
      <c r="L1909" s="195">
        <v>22.8</v>
      </c>
      <c r="M1909" s="197">
        <v>201</v>
      </c>
      <c r="N1909" s="360">
        <v>1</v>
      </c>
      <c r="O1909" s="61"/>
      <c r="P1909" s="61" t="s">
        <v>39</v>
      </c>
      <c r="Q1909" s="12"/>
      <c r="R1909" s="192" t="str">
        <f>CONCATENATE(N1909,P1909)</f>
        <v>1grams</v>
      </c>
      <c r="S1909" s="198">
        <f>M1909*N1909</f>
        <v>201</v>
      </c>
      <c r="T1909" s="199" t="str">
        <f>CONCATENATE(S1909,Q1909,P1909)</f>
        <v>201grams</v>
      </c>
      <c r="U1909" s="200">
        <f>L1909*M1909</f>
        <v>4582.8</v>
      </c>
      <c r="V1909" s="12"/>
      <c r="W1909" s="12"/>
    </row>
    <row r="1910" spans="1:23" x14ac:dyDescent="0.3">
      <c r="A1910" s="193">
        <v>780</v>
      </c>
      <c r="B1910" s="46" t="s">
        <v>1645</v>
      </c>
      <c r="C1910" s="315"/>
      <c r="D1910" s="316"/>
      <c r="E1910" s="315"/>
      <c r="F1910" s="315"/>
      <c r="G1910" s="315"/>
      <c r="H1910" s="194" t="s">
        <v>2026</v>
      </c>
      <c r="I1910" s="12"/>
      <c r="J1910" s="46" t="s">
        <v>1646</v>
      </c>
      <c r="K1910" s="12"/>
      <c r="L1910" s="197">
        <v>1</v>
      </c>
      <c r="M1910" s="197">
        <v>143</v>
      </c>
      <c r="N1910" s="290">
        <v>50</v>
      </c>
      <c r="O1910" s="46"/>
      <c r="P1910" s="46" t="s">
        <v>92</v>
      </c>
      <c r="Q1910" s="12"/>
      <c r="R1910" s="192" t="str">
        <f>CONCATENATE(N1910,P1910)</f>
        <v>50pieces</v>
      </c>
      <c r="S1910" s="198">
        <f>M1910*N1910</f>
        <v>7150</v>
      </c>
      <c r="T1910" s="199" t="str">
        <f>CONCATENATE(S1910,Q1910,P1910)</f>
        <v>7150pieces</v>
      </c>
      <c r="U1910" s="200">
        <f>L1910*M1910</f>
        <v>143</v>
      </c>
      <c r="V1910" s="12"/>
      <c r="W1910" s="12"/>
    </row>
    <row r="1911" spans="1:23" x14ac:dyDescent="0.3">
      <c r="A1911" s="193">
        <v>781</v>
      </c>
      <c r="B1911" s="46" t="s">
        <v>1647</v>
      </c>
      <c r="C1911" s="315"/>
      <c r="D1911" s="316"/>
      <c r="E1911" s="315"/>
      <c r="F1911" s="315"/>
      <c r="G1911" s="315"/>
      <c r="H1911" s="194" t="s">
        <v>2025</v>
      </c>
      <c r="I1911" s="12"/>
      <c r="J1911" s="170"/>
      <c r="K1911" s="12"/>
      <c r="L1911" s="197">
        <v>1</v>
      </c>
      <c r="M1911" s="197">
        <v>69</v>
      </c>
      <c r="N1911" s="290">
        <v>1</v>
      </c>
      <c r="O1911" s="46"/>
      <c r="P1911" s="46" t="s">
        <v>92</v>
      </c>
      <c r="Q1911" s="12"/>
      <c r="R1911" s="192" t="str">
        <f>CONCATENATE(N1911,P1911)</f>
        <v>1pieces</v>
      </c>
      <c r="S1911" s="198">
        <f>M1911*N1911</f>
        <v>69</v>
      </c>
      <c r="T1911" s="199" t="str">
        <f>CONCATENATE(S1911,Q1911,P1911)</f>
        <v>69pieces</v>
      </c>
      <c r="U1911" s="200">
        <f>L1911*M1911</f>
        <v>69</v>
      </c>
      <c r="V1911" s="12"/>
      <c r="W1911" s="12"/>
    </row>
    <row r="1912" spans="1:23" x14ac:dyDescent="0.3">
      <c r="A1912" s="193">
        <v>782</v>
      </c>
      <c r="B1912" s="46" t="s">
        <v>1648</v>
      </c>
      <c r="C1912" s="315"/>
      <c r="D1912" s="316"/>
      <c r="E1912" s="315"/>
      <c r="F1912" s="315"/>
      <c r="G1912" s="315"/>
      <c r="H1912" s="194" t="s">
        <v>2025</v>
      </c>
      <c r="I1912" s="12"/>
      <c r="J1912" s="170"/>
      <c r="K1912" s="12"/>
      <c r="L1912" s="197">
        <v>2</v>
      </c>
      <c r="M1912" s="197">
        <v>41</v>
      </c>
      <c r="N1912" s="290">
        <v>1</v>
      </c>
      <c r="O1912" s="46"/>
      <c r="P1912" s="46" t="s">
        <v>92</v>
      </c>
      <c r="Q1912" s="12"/>
      <c r="R1912" s="192" t="str">
        <f>CONCATENATE(N1912,P1912)</f>
        <v>1pieces</v>
      </c>
      <c r="S1912" s="198">
        <f>M1912*N1912</f>
        <v>41</v>
      </c>
      <c r="T1912" s="199" t="str">
        <f>CONCATENATE(S1912,Q1912,P1912)</f>
        <v>41pieces</v>
      </c>
      <c r="U1912" s="200">
        <f>L1912*M1912</f>
        <v>82</v>
      </c>
      <c r="V1912" s="12"/>
      <c r="W1912" s="12"/>
    </row>
    <row r="1913" spans="1:23" x14ac:dyDescent="0.3">
      <c r="A1913" s="193">
        <v>783</v>
      </c>
      <c r="B1913" s="46" t="s">
        <v>1649</v>
      </c>
      <c r="C1913" s="315"/>
      <c r="D1913" s="316"/>
      <c r="E1913" s="315"/>
      <c r="F1913" s="315"/>
      <c r="G1913" s="315"/>
      <c r="H1913" s="194" t="s">
        <v>2026</v>
      </c>
      <c r="I1913" s="12"/>
      <c r="J1913" s="46" t="s">
        <v>1412</v>
      </c>
      <c r="K1913" s="12"/>
      <c r="L1913" s="197">
        <v>48</v>
      </c>
      <c r="M1913" s="197">
        <v>2</v>
      </c>
      <c r="N1913" s="290">
        <v>130</v>
      </c>
      <c r="O1913" s="60"/>
      <c r="P1913" s="60" t="s">
        <v>32</v>
      </c>
      <c r="Q1913" s="12"/>
      <c r="R1913" s="192" t="str">
        <f>CONCATENATE(N1913,P1913)</f>
        <v>130ml</v>
      </c>
      <c r="S1913" s="198">
        <f>M1913*N1913</f>
        <v>260</v>
      </c>
      <c r="T1913" s="199" t="str">
        <f>CONCATENATE(S1913,Q1913,P1913)</f>
        <v>260ml</v>
      </c>
      <c r="U1913" s="200">
        <f>L1913*M1913</f>
        <v>96</v>
      </c>
      <c r="V1913" s="12"/>
      <c r="W1913" s="12"/>
    </row>
    <row r="1914" spans="1:23" x14ac:dyDescent="0.3">
      <c r="A1914" s="479">
        <v>784</v>
      </c>
      <c r="B1914" s="194" t="s">
        <v>768</v>
      </c>
      <c r="C1914" s="487"/>
      <c r="D1914" s="485" t="str">
        <f ca="1">IFERROR(__xludf.DUMMYFUNCTION("IF(J549="""",""n/a"",IFERROR(SPLIT(J549,""/"")))"),"Fresh")</f>
        <v>Fresh</v>
      </c>
      <c r="E1914" s="487"/>
      <c r="F1914" s="487"/>
      <c r="G1914" s="487"/>
      <c r="H1914" s="183" t="s">
        <v>1897</v>
      </c>
      <c r="I1914" s="487"/>
      <c r="J1914" s="46" t="s">
        <v>216</v>
      </c>
      <c r="K1914" s="487"/>
      <c r="L1914" s="217">
        <v>0.1</v>
      </c>
      <c r="M1914" s="202">
        <v>5000</v>
      </c>
      <c r="N1914" s="203">
        <v>1000</v>
      </c>
      <c r="O1914" s="170">
        <f>E1914</f>
        <v>0</v>
      </c>
      <c r="P1914" s="61" t="s">
        <v>39</v>
      </c>
      <c r="Q1914" s="487"/>
      <c r="R1914" s="192" t="str">
        <f>CONCATENATE(N1914,P1914)</f>
        <v>1000grams</v>
      </c>
      <c r="S1914" s="198">
        <f>M1914*N1914</f>
        <v>5000000</v>
      </c>
      <c r="T1914" s="199" t="str">
        <f>CONCATENATE(S1914,Q1914,P1914)</f>
        <v>5000000grams</v>
      </c>
      <c r="U1914" s="200">
        <f>L1914*M1914</f>
        <v>500</v>
      </c>
      <c r="V1914" s="12"/>
      <c r="W1914" s="12"/>
    </row>
    <row r="1915" spans="1:23" x14ac:dyDescent="0.3">
      <c r="A1915" s="193">
        <v>784</v>
      </c>
      <c r="B1915" s="46" t="s">
        <v>768</v>
      </c>
      <c r="C1915" s="315"/>
      <c r="D1915" s="316"/>
      <c r="E1915" s="315"/>
      <c r="F1915" s="315"/>
      <c r="G1915" s="315"/>
      <c r="H1915" s="194" t="s">
        <v>2025</v>
      </c>
      <c r="I1915" s="12"/>
      <c r="J1915" s="170"/>
      <c r="K1915" s="12"/>
      <c r="L1915" s="197">
        <v>50</v>
      </c>
      <c r="M1915" s="197">
        <v>0</v>
      </c>
      <c r="N1915" s="290">
        <v>1</v>
      </c>
      <c r="O1915" s="46"/>
      <c r="P1915" s="46" t="s">
        <v>213</v>
      </c>
      <c r="Q1915" s="12"/>
      <c r="R1915" s="192" t="str">
        <f>CONCATENATE(N1915,P1915)</f>
        <v>1kilos</v>
      </c>
      <c r="S1915" s="198">
        <f>M1915*N1915</f>
        <v>0</v>
      </c>
      <c r="T1915" s="199" t="str">
        <f>CONCATENATE(S1915,Q1915,P1915)</f>
        <v>0kilos</v>
      </c>
      <c r="U1915" s="200">
        <f>L1915*M1915</f>
        <v>0</v>
      </c>
      <c r="V1915" s="12"/>
      <c r="W1915" s="12"/>
    </row>
    <row r="1916" spans="1:23" x14ac:dyDescent="0.3">
      <c r="A1916" s="193">
        <v>784</v>
      </c>
      <c r="B1916" s="46" t="s">
        <v>768</v>
      </c>
      <c r="C1916" s="315"/>
      <c r="D1916" s="316"/>
      <c r="E1916" s="315"/>
      <c r="F1916" s="315"/>
      <c r="G1916" s="315"/>
      <c r="H1916" s="194" t="s">
        <v>2026</v>
      </c>
      <c r="I1916" s="12"/>
      <c r="J1916" s="170"/>
      <c r="K1916" s="12"/>
      <c r="L1916" s="197">
        <v>70</v>
      </c>
      <c r="M1916" s="197">
        <v>2</v>
      </c>
      <c r="N1916" s="290">
        <v>1</v>
      </c>
      <c r="O1916" s="46"/>
      <c r="P1916" s="46" t="s">
        <v>213</v>
      </c>
      <c r="Q1916" s="12"/>
      <c r="R1916" s="192" t="str">
        <f>CONCATENATE(N1916,P1916)</f>
        <v>1kilos</v>
      </c>
      <c r="S1916" s="198">
        <f>M1916*N1916</f>
        <v>2</v>
      </c>
      <c r="T1916" s="199" t="str">
        <f>CONCATENATE(S1916,Q1916,P1916)</f>
        <v>2kilos</v>
      </c>
      <c r="U1916" s="200">
        <f>L1916*M1916</f>
        <v>140</v>
      </c>
      <c r="V1916" s="12"/>
      <c r="W1916" s="12"/>
    </row>
    <row r="1917" spans="1:23" x14ac:dyDescent="0.3">
      <c r="A1917" s="193">
        <v>784</v>
      </c>
      <c r="B1917" s="46" t="s">
        <v>768</v>
      </c>
      <c r="C1917" s="315"/>
      <c r="D1917" s="316"/>
      <c r="E1917" s="315"/>
      <c r="F1917" s="315"/>
      <c r="G1917" s="315"/>
      <c r="H1917" s="194" t="s">
        <v>1368</v>
      </c>
      <c r="I1917" s="12"/>
      <c r="J1917" s="170"/>
      <c r="K1917" s="12"/>
      <c r="L1917" s="197">
        <v>30</v>
      </c>
      <c r="M1917" s="197">
        <v>26</v>
      </c>
      <c r="N1917" s="290">
        <v>1</v>
      </c>
      <c r="O1917" s="46"/>
      <c r="P1917" s="46" t="s">
        <v>213</v>
      </c>
      <c r="Q1917" s="12"/>
      <c r="R1917" s="192" t="str">
        <f>CONCATENATE(N1917,P1917)</f>
        <v>1kilos</v>
      </c>
      <c r="S1917" s="198">
        <f>M1917*N1917</f>
        <v>26</v>
      </c>
      <c r="T1917" s="199" t="str">
        <f>CONCATENATE(S1917,Q1917,P1917)</f>
        <v>26kilos</v>
      </c>
      <c r="U1917" s="200">
        <f>L1917*M1917</f>
        <v>780</v>
      </c>
      <c r="V1917" s="12"/>
      <c r="W1917" s="12"/>
    </row>
    <row r="1918" spans="1:23" x14ac:dyDescent="0.3">
      <c r="A1918" s="193">
        <v>784</v>
      </c>
      <c r="B1918" s="46" t="s">
        <v>768</v>
      </c>
      <c r="C1918" s="315"/>
      <c r="D1918" s="316"/>
      <c r="E1918" s="315"/>
      <c r="F1918" s="315"/>
      <c r="G1918" s="315"/>
      <c r="H1918" s="194" t="s">
        <v>2023</v>
      </c>
      <c r="I1918" s="12"/>
      <c r="J1918" s="170"/>
      <c r="K1918" s="12"/>
      <c r="L1918" s="197">
        <v>35</v>
      </c>
      <c r="M1918" s="197">
        <v>2</v>
      </c>
      <c r="N1918" s="290">
        <v>1</v>
      </c>
      <c r="O1918" s="46"/>
      <c r="P1918" s="46" t="s">
        <v>213</v>
      </c>
      <c r="Q1918" s="12"/>
      <c r="R1918" s="192" t="str">
        <f>CONCATENATE(N1918,P1918)</f>
        <v>1kilos</v>
      </c>
      <c r="S1918" s="198">
        <f>M1918*N1918</f>
        <v>2</v>
      </c>
      <c r="T1918" s="199" t="str">
        <f>CONCATENATE(S1918,Q1918,P1918)</f>
        <v>2kilos</v>
      </c>
      <c r="U1918" s="200">
        <f>L1918*M1918</f>
        <v>70</v>
      </c>
      <c r="V1918" s="12"/>
      <c r="W1918" s="12"/>
    </row>
    <row r="1919" spans="1:23" x14ac:dyDescent="0.3">
      <c r="A1919" s="193">
        <v>784</v>
      </c>
      <c r="B1919" s="46" t="s">
        <v>768</v>
      </c>
      <c r="C1919" s="315"/>
      <c r="D1919" s="316"/>
      <c r="E1919" s="315"/>
      <c r="F1919" s="315"/>
      <c r="G1919" s="315"/>
      <c r="H1919" s="194" t="s">
        <v>2020</v>
      </c>
      <c r="I1919" s="12"/>
      <c r="J1919" s="46" t="s">
        <v>1060</v>
      </c>
      <c r="K1919" s="12"/>
      <c r="L1919" s="197">
        <v>90</v>
      </c>
      <c r="M1919" s="197">
        <v>8</v>
      </c>
      <c r="N1919" s="290">
        <v>1</v>
      </c>
      <c r="O1919" s="46"/>
      <c r="P1919" s="46" t="s">
        <v>213</v>
      </c>
      <c r="Q1919" s="12"/>
      <c r="R1919" s="192" t="str">
        <f>CONCATENATE(N1919,P1919)</f>
        <v>1kilos</v>
      </c>
      <c r="S1919" s="198">
        <f>M1919*N1919</f>
        <v>8</v>
      </c>
      <c r="T1919" s="199" t="str">
        <f>CONCATENATE(S1919,Q1919,P1919)</f>
        <v>8kilos</v>
      </c>
      <c r="U1919" s="200">
        <f>L1919*M1919</f>
        <v>720</v>
      </c>
      <c r="V1919" s="12"/>
      <c r="W1919" s="12"/>
    </row>
    <row r="1920" spans="1:23" x14ac:dyDescent="0.3">
      <c r="A1920" s="193">
        <v>784</v>
      </c>
      <c r="B1920" s="46" t="s">
        <v>768</v>
      </c>
      <c r="C1920" s="315"/>
      <c r="D1920" s="316"/>
      <c r="E1920" s="315"/>
      <c r="F1920" s="315"/>
      <c r="G1920" s="315"/>
      <c r="H1920" s="400" t="s">
        <v>2027</v>
      </c>
      <c r="I1920" s="12"/>
      <c r="J1920" s="46" t="s">
        <v>1945</v>
      </c>
      <c r="K1920" s="12"/>
      <c r="L1920" s="195">
        <v>105.84</v>
      </c>
      <c r="M1920" s="197">
        <v>1</v>
      </c>
      <c r="N1920" s="360">
        <v>1</v>
      </c>
      <c r="O1920" s="61"/>
      <c r="P1920" s="61" t="s">
        <v>213</v>
      </c>
      <c r="Q1920" s="12"/>
      <c r="R1920" s="192" t="str">
        <f>CONCATENATE(N1920,P1920)</f>
        <v>1kilos</v>
      </c>
      <c r="S1920" s="198">
        <f>M1920*N1920</f>
        <v>1</v>
      </c>
      <c r="T1920" s="199" t="str">
        <f>CONCATENATE(S1920,Q1920,P1920)</f>
        <v>1kilos</v>
      </c>
      <c r="U1920" s="200">
        <f>L1920*M1920</f>
        <v>105.84</v>
      </c>
      <c r="V1920" s="12"/>
      <c r="W1920" s="12"/>
    </row>
    <row r="1921" spans="1:23" x14ac:dyDescent="0.3">
      <c r="A1921" s="479">
        <v>785</v>
      </c>
      <c r="B1921" s="194" t="s">
        <v>206</v>
      </c>
      <c r="C1921" s="487"/>
      <c r="D1921" s="485" t="str">
        <f ca="1">IFERROR(__xludf.DUMMYFUNCTION("IF(J550="""",""n/a"",IFERROR(SPLIT(J550,""/"")))"),"n/a")</f>
        <v>n/a</v>
      </c>
      <c r="E1921" s="487"/>
      <c r="F1921" s="487"/>
      <c r="G1921" s="487"/>
      <c r="H1921" s="206" t="s">
        <v>1898</v>
      </c>
      <c r="I1921" s="487"/>
      <c r="J1921" s="170"/>
      <c r="K1921" s="487"/>
      <c r="L1921" s="197">
        <v>33.1</v>
      </c>
      <c r="M1921" s="385">
        <v>3</v>
      </c>
      <c r="N1921" s="208">
        <v>1</v>
      </c>
      <c r="O1921" s="170">
        <f>E1921</f>
        <v>0</v>
      </c>
      <c r="P1921" s="61" t="s">
        <v>92</v>
      </c>
      <c r="Q1921" s="487"/>
      <c r="R1921" s="192" t="str">
        <f>CONCATENATE(N1921,P1921)</f>
        <v>1pieces</v>
      </c>
      <c r="S1921" s="198">
        <f>M1921*N1921</f>
        <v>3</v>
      </c>
      <c r="T1921" s="199" t="str">
        <f>CONCATENATE(S1921,Q1921,P1921)</f>
        <v>3pieces</v>
      </c>
      <c r="U1921" s="200">
        <f>L1921*M1921</f>
        <v>99.300000000000011</v>
      </c>
      <c r="V1921" s="12"/>
      <c r="W1921" s="12"/>
    </row>
    <row r="1922" spans="1:23" x14ac:dyDescent="0.3">
      <c r="A1922" s="193">
        <v>786</v>
      </c>
      <c r="B1922" s="46" t="s">
        <v>1998</v>
      </c>
      <c r="C1922" s="315"/>
      <c r="D1922" s="316"/>
      <c r="E1922" s="315"/>
      <c r="F1922" s="315"/>
      <c r="G1922" s="315"/>
      <c r="H1922" s="400" t="s">
        <v>2027</v>
      </c>
      <c r="I1922" s="12"/>
      <c r="J1922" s="46" t="s">
        <v>1999</v>
      </c>
      <c r="K1922" s="12"/>
      <c r="L1922" s="195">
        <v>26.35</v>
      </c>
      <c r="M1922" s="197">
        <v>6</v>
      </c>
      <c r="N1922" s="360">
        <v>1</v>
      </c>
      <c r="O1922" s="61"/>
      <c r="P1922" s="61" t="s">
        <v>92</v>
      </c>
      <c r="Q1922" s="12"/>
      <c r="R1922" s="192" t="str">
        <f>CONCATENATE(N1922,P1922)</f>
        <v>1pieces</v>
      </c>
      <c r="S1922" s="198">
        <f>M1922*N1922</f>
        <v>6</v>
      </c>
      <c r="T1922" s="199" t="str">
        <f>CONCATENATE(S1922,Q1922,P1922)</f>
        <v>6pieces</v>
      </c>
      <c r="U1922" s="200">
        <f>L1922*M1922</f>
        <v>158.10000000000002</v>
      </c>
      <c r="V1922" s="12"/>
      <c r="W1922" s="12"/>
    </row>
    <row r="1923" spans="1:23" x14ac:dyDescent="0.3">
      <c r="A1923" s="193">
        <v>787</v>
      </c>
      <c r="B1923" s="46" t="s">
        <v>1650</v>
      </c>
      <c r="C1923" s="315"/>
      <c r="D1923" s="316"/>
      <c r="E1923" s="315"/>
      <c r="F1923" s="315"/>
      <c r="G1923" s="315"/>
      <c r="H1923" s="194" t="s">
        <v>2023</v>
      </c>
      <c r="I1923" s="12"/>
      <c r="J1923" s="46" t="s">
        <v>1272</v>
      </c>
      <c r="K1923" s="12"/>
      <c r="L1923" s="197">
        <v>14.55</v>
      </c>
      <c r="M1923" s="197">
        <v>7</v>
      </c>
      <c r="N1923" s="290">
        <v>1</v>
      </c>
      <c r="O1923" s="46"/>
      <c r="P1923" s="46" t="s">
        <v>92</v>
      </c>
      <c r="Q1923" s="12"/>
      <c r="R1923" s="192" t="str">
        <f>CONCATENATE(N1923,P1923)</f>
        <v>1pieces</v>
      </c>
      <c r="S1923" s="198">
        <f>M1923*N1923</f>
        <v>7</v>
      </c>
      <c r="T1923" s="199" t="str">
        <f>CONCATENATE(S1923,Q1923,P1923)</f>
        <v>7pieces</v>
      </c>
      <c r="U1923" s="200">
        <f>L1923*M1923</f>
        <v>101.85000000000001</v>
      </c>
      <c r="V1923" s="12"/>
      <c r="W1923" s="12"/>
    </row>
    <row r="1924" spans="1:23" x14ac:dyDescent="0.3">
      <c r="A1924" s="193">
        <v>787</v>
      </c>
      <c r="B1924" s="309" t="s">
        <v>1650</v>
      </c>
      <c r="C1924" s="315"/>
      <c r="D1924" s="316"/>
      <c r="E1924" s="315"/>
      <c r="F1924" s="315"/>
      <c r="G1924" s="315"/>
      <c r="H1924" s="194" t="s">
        <v>2022</v>
      </c>
      <c r="I1924" s="12"/>
      <c r="J1924" s="46" t="s">
        <v>1272</v>
      </c>
      <c r="K1924" s="12"/>
      <c r="L1924" s="197">
        <v>49</v>
      </c>
      <c r="M1924" s="197">
        <v>12</v>
      </c>
      <c r="N1924" s="290">
        <v>1</v>
      </c>
      <c r="O1924" s="46"/>
      <c r="P1924" s="46" t="s">
        <v>92</v>
      </c>
      <c r="Q1924" s="12"/>
      <c r="R1924" s="192" t="str">
        <f>CONCATENATE(N1924,P1924)</f>
        <v>1pieces</v>
      </c>
      <c r="S1924" s="198">
        <f>M1924*N1924</f>
        <v>12</v>
      </c>
      <c r="T1924" s="199" t="str">
        <f>CONCATENATE(S1924,Q1924,P1924)</f>
        <v>12pieces</v>
      </c>
      <c r="U1924" s="200">
        <f>L1924*M1924</f>
        <v>588</v>
      </c>
      <c r="V1924" s="12"/>
      <c r="W1924" s="12"/>
    </row>
    <row r="1925" spans="1:23" x14ac:dyDescent="0.3">
      <c r="A1925" s="193">
        <v>787</v>
      </c>
      <c r="B1925" s="320" t="s">
        <v>1650</v>
      </c>
      <c r="C1925" s="315"/>
      <c r="D1925" s="316"/>
      <c r="E1925" s="315"/>
      <c r="F1925" s="315"/>
      <c r="G1925" s="315"/>
      <c r="H1925" s="194" t="s">
        <v>2022</v>
      </c>
      <c r="I1925" s="12"/>
      <c r="J1925" s="46" t="s">
        <v>1272</v>
      </c>
      <c r="K1925" s="12"/>
      <c r="L1925" s="197">
        <v>14.55</v>
      </c>
      <c r="M1925" s="197">
        <v>12</v>
      </c>
      <c r="N1925" s="290">
        <v>1</v>
      </c>
      <c r="O1925" s="46"/>
      <c r="P1925" s="46" t="s">
        <v>92</v>
      </c>
      <c r="Q1925" s="12"/>
      <c r="R1925" s="192" t="str">
        <f>CONCATENATE(N1925,P1925)</f>
        <v>1pieces</v>
      </c>
      <c r="S1925" s="198">
        <f>M1925*N1925</f>
        <v>12</v>
      </c>
      <c r="T1925" s="199" t="str">
        <f>CONCATENATE(S1925,Q1925,P1925)</f>
        <v>12pieces</v>
      </c>
      <c r="U1925" s="200">
        <f>L1925*M1925</f>
        <v>174.60000000000002</v>
      </c>
      <c r="V1925" s="12"/>
      <c r="W1925" s="12"/>
    </row>
    <row r="1926" spans="1:23" x14ac:dyDescent="0.3">
      <c r="A1926" s="193">
        <v>787</v>
      </c>
      <c r="B1926" s="309" t="s">
        <v>1650</v>
      </c>
      <c r="C1926" s="315"/>
      <c r="D1926" s="316"/>
      <c r="E1926" s="315"/>
      <c r="F1926" s="315"/>
      <c r="G1926" s="315"/>
      <c r="H1926" s="194" t="s">
        <v>2020</v>
      </c>
      <c r="I1926" s="12"/>
      <c r="J1926" s="46" t="s">
        <v>1272</v>
      </c>
      <c r="K1926" s="12"/>
      <c r="L1926" s="197">
        <v>32.5</v>
      </c>
      <c r="M1926" s="197">
        <v>8</v>
      </c>
      <c r="N1926" s="290">
        <v>1</v>
      </c>
      <c r="O1926" s="46"/>
      <c r="P1926" s="46" t="s">
        <v>92</v>
      </c>
      <c r="Q1926" s="12"/>
      <c r="R1926" s="192" t="str">
        <f>CONCATENATE(N1926,P1926)</f>
        <v>1pieces</v>
      </c>
      <c r="S1926" s="198">
        <f>M1926*N1926</f>
        <v>8</v>
      </c>
      <c r="T1926" s="199" t="str">
        <f>CONCATENATE(S1926,Q1926,P1926)</f>
        <v>8pieces</v>
      </c>
      <c r="U1926" s="200">
        <f>L1926*M1926</f>
        <v>260</v>
      </c>
      <c r="V1926" s="12"/>
      <c r="W1926" s="12"/>
    </row>
    <row r="1927" spans="1:23" x14ac:dyDescent="0.3">
      <c r="A1927" s="479">
        <v>788</v>
      </c>
      <c r="B1927" s="481" t="s">
        <v>769</v>
      </c>
      <c r="C1927" s="487"/>
      <c r="D1927" s="485" t="str">
        <f ca="1">IFERROR(__xludf.DUMMYFUNCTION("IF(J551="""",""n/a"",IFERROR(SPLIT(J551,""/"")))"),"n/a")</f>
        <v>n/a</v>
      </c>
      <c r="E1927" s="487"/>
      <c r="F1927" s="487"/>
      <c r="G1927" s="487"/>
      <c r="H1927" s="206" t="s">
        <v>1898</v>
      </c>
      <c r="I1927" s="487"/>
      <c r="J1927" s="170"/>
      <c r="K1927" s="487"/>
      <c r="L1927" s="197">
        <v>101</v>
      </c>
      <c r="M1927" s="386">
        <v>7</v>
      </c>
      <c r="N1927" s="208">
        <v>1</v>
      </c>
      <c r="O1927" s="170">
        <f>E1927</f>
        <v>0</v>
      </c>
      <c r="P1927" s="61" t="s">
        <v>92</v>
      </c>
      <c r="Q1927" s="487"/>
      <c r="R1927" s="192" t="str">
        <f>CONCATENATE(N1927,P1927)</f>
        <v>1pieces</v>
      </c>
      <c r="S1927" s="198">
        <f>M1927*N1927</f>
        <v>7</v>
      </c>
      <c r="T1927" s="199" t="str">
        <f>CONCATENATE(S1927,Q1927,P1927)</f>
        <v>7pieces</v>
      </c>
      <c r="U1927" s="200">
        <f>L1927*M1927</f>
        <v>707</v>
      </c>
      <c r="V1927" s="12"/>
      <c r="W1927" s="12"/>
    </row>
    <row r="1928" spans="1:23" x14ac:dyDescent="0.3">
      <c r="A1928" s="479">
        <v>789</v>
      </c>
      <c r="B1928" s="481" t="s">
        <v>205</v>
      </c>
      <c r="C1928" s="487"/>
      <c r="D1928" s="485" t="str">
        <f ca="1">IFERROR(__xludf.DUMMYFUNCTION("IF(J552="""",""n/a"",IFERROR(SPLIT(J552,""/"")))"),"Scotchbrite")</f>
        <v>Scotchbrite</v>
      </c>
      <c r="E1928" s="487"/>
      <c r="F1928" s="487"/>
      <c r="G1928" s="487"/>
      <c r="H1928" s="183" t="s">
        <v>1895</v>
      </c>
      <c r="I1928" s="487"/>
      <c r="J1928" s="46" t="s">
        <v>206</v>
      </c>
      <c r="K1928" s="487"/>
      <c r="L1928" s="195">
        <v>34</v>
      </c>
      <c r="M1928" s="197">
        <v>3</v>
      </c>
      <c r="N1928" s="61">
        <v>1</v>
      </c>
      <c r="O1928" s="170">
        <f>E1928</f>
        <v>0</v>
      </c>
      <c r="P1928" s="61" t="s">
        <v>92</v>
      </c>
      <c r="Q1928" s="487"/>
      <c r="R1928" s="192" t="str">
        <f>CONCATENATE(N1928,P1928)</f>
        <v>1pieces</v>
      </c>
      <c r="S1928" s="198">
        <f>M1928*N1928</f>
        <v>3</v>
      </c>
      <c r="T1928" s="199" t="str">
        <f>CONCATENATE(S1928,Q1928,P1928)</f>
        <v>3pieces</v>
      </c>
      <c r="U1928" s="200">
        <f>L1928*M1928</f>
        <v>102</v>
      </c>
      <c r="V1928" s="12"/>
      <c r="W1928" s="12"/>
    </row>
    <row r="1929" spans="1:23" x14ac:dyDescent="0.3">
      <c r="A1929" s="479">
        <v>789</v>
      </c>
      <c r="B1929" s="481" t="s">
        <v>205</v>
      </c>
      <c r="C1929" s="487"/>
      <c r="D1929" s="485" t="str">
        <f ca="1">IFERROR(__xludf.DUMMYFUNCTION("IF(J553="""",""n/a"",IFERROR(SPLIT(J553,""/"")))"),"n/a")</f>
        <v>n/a</v>
      </c>
      <c r="E1929" s="487"/>
      <c r="F1929" s="487"/>
      <c r="G1929" s="487"/>
      <c r="H1929" s="206" t="s">
        <v>1898</v>
      </c>
      <c r="I1929" s="487"/>
      <c r="J1929" s="170"/>
      <c r="K1929" s="487"/>
      <c r="L1929" s="197">
        <v>34</v>
      </c>
      <c r="M1929" s="386">
        <v>2</v>
      </c>
      <c r="N1929" s="208">
        <v>1</v>
      </c>
      <c r="O1929" s="170">
        <f>E1929</f>
        <v>0</v>
      </c>
      <c r="P1929" s="61" t="s">
        <v>92</v>
      </c>
      <c r="Q1929" s="487"/>
      <c r="R1929" s="192" t="str">
        <f>CONCATENATE(N1929,P1929)</f>
        <v>1pieces</v>
      </c>
      <c r="S1929" s="198">
        <f>M1929*N1929</f>
        <v>2</v>
      </c>
      <c r="T1929" s="199" t="str">
        <f>CONCATENATE(S1929,Q1929,P1929)</f>
        <v>2pieces</v>
      </c>
      <c r="U1929" s="200">
        <f>L1929*M1929</f>
        <v>68</v>
      </c>
      <c r="V1929" s="12"/>
      <c r="W1929" s="12"/>
    </row>
    <row r="1930" spans="1:23" x14ac:dyDescent="0.3">
      <c r="A1930" s="479">
        <v>790</v>
      </c>
      <c r="B1930" s="214" t="s">
        <v>207</v>
      </c>
      <c r="C1930" s="489"/>
      <c r="D1930" s="485" t="str">
        <f ca="1">IFERROR(__xludf.DUMMYFUNCTION("IF(J554="""",""n/a"",IFERROR(SPLIT(J554,""/"")))"),"Scotchbrite")</f>
        <v>Scotchbrite</v>
      </c>
      <c r="E1930" s="489"/>
      <c r="F1930" s="489"/>
      <c r="G1930" s="489"/>
      <c r="H1930" s="183" t="s">
        <v>1895</v>
      </c>
      <c r="I1930" s="487"/>
      <c r="J1930" s="46" t="s">
        <v>206</v>
      </c>
      <c r="K1930" s="487"/>
      <c r="L1930" s="195">
        <v>34</v>
      </c>
      <c r="M1930" s="197">
        <v>4</v>
      </c>
      <c r="N1930" s="61">
        <v>1</v>
      </c>
      <c r="O1930" s="170">
        <f>E1930</f>
        <v>0</v>
      </c>
      <c r="P1930" s="61" t="s">
        <v>92</v>
      </c>
      <c r="Q1930" s="487"/>
      <c r="R1930" s="192" t="str">
        <f>CONCATENATE(N1930,P1930)</f>
        <v>1pieces</v>
      </c>
      <c r="S1930" s="198">
        <f>M1930*N1930</f>
        <v>4</v>
      </c>
      <c r="T1930" s="199" t="str">
        <f>CONCATENATE(S1930,Q1930,P1930)</f>
        <v>4pieces</v>
      </c>
      <c r="U1930" s="200">
        <f>L1930*M1930</f>
        <v>136</v>
      </c>
      <c r="V1930" s="12"/>
      <c r="W1930" s="12"/>
    </row>
    <row r="1931" spans="1:23" x14ac:dyDescent="0.3">
      <c r="A1931" s="193">
        <v>791</v>
      </c>
      <c r="B1931" s="46" t="s">
        <v>2000</v>
      </c>
      <c r="C1931" s="315"/>
      <c r="D1931" s="316"/>
      <c r="E1931" s="315"/>
      <c r="F1931" s="315"/>
      <c r="G1931" s="315"/>
      <c r="H1931" s="400" t="s">
        <v>2027</v>
      </c>
      <c r="I1931" s="12"/>
      <c r="J1931" s="46" t="s">
        <v>1939</v>
      </c>
      <c r="K1931" s="12"/>
      <c r="L1931" s="195">
        <v>25.55</v>
      </c>
      <c r="M1931" s="197">
        <v>48</v>
      </c>
      <c r="N1931" s="360">
        <v>1</v>
      </c>
      <c r="O1931" s="61"/>
      <c r="P1931" s="61" t="s">
        <v>92</v>
      </c>
      <c r="Q1931" s="12"/>
      <c r="R1931" s="192" t="str">
        <f>CONCATENATE(N1931,P1931)</f>
        <v>1pieces</v>
      </c>
      <c r="S1931" s="198">
        <f>M1931*N1931</f>
        <v>48</v>
      </c>
      <c r="T1931" s="199" t="str">
        <f>CONCATENATE(S1931,Q1931,P1931)</f>
        <v>48pieces</v>
      </c>
      <c r="U1931" s="200">
        <f>L1931*M1931</f>
        <v>1226.4000000000001</v>
      </c>
      <c r="V1931" s="12"/>
      <c r="W1931" s="12"/>
    </row>
    <row r="1932" spans="1:23" x14ac:dyDescent="0.3">
      <c r="A1932" s="193">
        <v>792</v>
      </c>
      <c r="B1932" s="219" t="s">
        <v>1651</v>
      </c>
      <c r="C1932" s="315"/>
      <c r="D1932" s="316"/>
      <c r="E1932" s="315"/>
      <c r="F1932" s="315"/>
      <c r="G1932" s="315"/>
      <c r="H1932" s="194" t="s">
        <v>2021</v>
      </c>
      <c r="I1932" s="12"/>
      <c r="J1932" s="219" t="s">
        <v>1652</v>
      </c>
      <c r="K1932" s="12"/>
      <c r="L1932" s="216">
        <v>85.5</v>
      </c>
      <c r="M1932" s="216">
        <v>1</v>
      </c>
      <c r="N1932" s="293">
        <v>250</v>
      </c>
      <c r="O1932" s="219"/>
      <c r="P1932" s="219" t="s">
        <v>39</v>
      </c>
      <c r="Q1932" s="12"/>
      <c r="R1932" s="192" t="str">
        <f>CONCATENATE(N1932,P1932)</f>
        <v>250grams</v>
      </c>
      <c r="S1932" s="198">
        <f>M1932*N1932</f>
        <v>250</v>
      </c>
      <c r="T1932" s="199" t="str">
        <f>CONCATENATE(S1932,Q1932,P1932)</f>
        <v>250grams</v>
      </c>
      <c r="U1932" s="200">
        <f>L1932*M1932</f>
        <v>85.5</v>
      </c>
      <c r="V1932" s="12"/>
      <c r="W1932" s="12"/>
    </row>
    <row r="1933" spans="1:23" x14ac:dyDescent="0.3">
      <c r="A1933" s="479">
        <v>793</v>
      </c>
      <c r="B1933" s="194" t="s">
        <v>770</v>
      </c>
      <c r="C1933" s="487"/>
      <c r="D1933" s="485" t="str">
        <f ca="1">IFERROR(__xludf.DUMMYFUNCTION("IF(J555="""",""n/a"",IFERROR(SPLIT(J555,""/"")))"),"n/a")</f>
        <v>n/a</v>
      </c>
      <c r="E1933" s="487"/>
      <c r="F1933" s="487"/>
      <c r="G1933" s="487"/>
      <c r="H1933" s="206" t="s">
        <v>1898</v>
      </c>
      <c r="I1933" s="487"/>
      <c r="J1933" s="170"/>
      <c r="K1933" s="487"/>
      <c r="L1933" s="197">
        <v>0.38</v>
      </c>
      <c r="M1933" s="386">
        <v>5000</v>
      </c>
      <c r="N1933" s="208">
        <v>1000</v>
      </c>
      <c r="O1933" s="170">
        <f>E1933</f>
        <v>0</v>
      </c>
      <c r="P1933" s="61" t="s">
        <v>39</v>
      </c>
      <c r="Q1933" s="487"/>
      <c r="R1933" s="192" t="str">
        <f>CONCATENATE(N1933,P1933)</f>
        <v>1000grams</v>
      </c>
      <c r="S1933" s="198">
        <f>M1933*N1933</f>
        <v>5000000</v>
      </c>
      <c r="T1933" s="199" t="str">
        <f>CONCATENATE(S1933,Q1933,P1933)</f>
        <v>5000000grams</v>
      </c>
      <c r="U1933" s="200">
        <f>L1933*M1933</f>
        <v>1900</v>
      </c>
      <c r="V1933" s="12"/>
      <c r="W1933" s="12"/>
    </row>
    <row r="1934" spans="1:23" x14ac:dyDescent="0.3">
      <c r="A1934" s="479">
        <v>794</v>
      </c>
      <c r="B1934" s="194" t="s">
        <v>771</v>
      </c>
      <c r="C1934" s="487"/>
      <c r="D1934" s="485" t="str">
        <f ca="1">IFERROR(__xludf.DUMMYFUNCTION("IF(J556="""",""n/a"",IFERROR(SPLIT(J556,""/"")))"),"Lee Kum Kee")</f>
        <v>Lee Kum Kee</v>
      </c>
      <c r="E1934" s="485" t="str">
        <f ca="1">IFERROR(__xludf.DUMMYFUNCTION("""COMPUTED_VALUE"""),"bottle")</f>
        <v>bottle</v>
      </c>
      <c r="F1934" s="485" t="str">
        <f ca="1">IFERROR(__xludf.DUMMYFUNCTION("""COMPUTED_VALUE"""),"410grams")</f>
        <v>410grams</v>
      </c>
      <c r="G1934" s="487"/>
      <c r="H1934" s="183" t="s">
        <v>1897</v>
      </c>
      <c r="I1934" s="487"/>
      <c r="J1934" s="46" t="s">
        <v>772</v>
      </c>
      <c r="K1934" s="487"/>
      <c r="L1934" s="202">
        <v>0.72</v>
      </c>
      <c r="M1934" s="202">
        <v>410</v>
      </c>
      <c r="N1934" s="203">
        <v>410</v>
      </c>
      <c r="O1934" s="61" t="str">
        <f ca="1">E1934</f>
        <v>bottle</v>
      </c>
      <c r="P1934" s="61" t="s">
        <v>39</v>
      </c>
      <c r="Q1934" s="487"/>
      <c r="R1934" s="192" t="str">
        <f>CONCATENATE(N1934,P1934)</f>
        <v>410grams</v>
      </c>
      <c r="S1934" s="198">
        <f>M1934*N1934</f>
        <v>168100</v>
      </c>
      <c r="T1934" s="199" t="str">
        <f>CONCATENATE(S1934,Q1934,P1934)</f>
        <v>168100grams</v>
      </c>
      <c r="U1934" s="200">
        <f>L1934*M1934</f>
        <v>295.2</v>
      </c>
      <c r="V1934" s="62"/>
      <c r="W1934" s="12"/>
    </row>
    <row r="1935" spans="1:23" x14ac:dyDescent="0.3">
      <c r="A1935" s="479">
        <v>794</v>
      </c>
      <c r="B1935" s="194" t="s">
        <v>771</v>
      </c>
      <c r="C1935" s="487"/>
      <c r="D1935" s="485" t="str">
        <f ca="1">IFERROR(__xludf.DUMMYFUNCTION("IF(J557="""",""n/a"",IFERROR(SPLIT(J557,""/"")))"),"n/a")</f>
        <v>n/a</v>
      </c>
      <c r="E1935" s="487"/>
      <c r="F1935" s="487"/>
      <c r="G1935" s="487"/>
      <c r="H1935" s="206" t="s">
        <v>1898</v>
      </c>
      <c r="I1935" s="487"/>
      <c r="J1935" s="170"/>
      <c r="K1935" s="487"/>
      <c r="L1935" s="197">
        <v>0.7</v>
      </c>
      <c r="M1935" s="386">
        <v>1000</v>
      </c>
      <c r="N1935" s="208">
        <v>1000</v>
      </c>
      <c r="O1935" s="170">
        <f>E1935</f>
        <v>0</v>
      </c>
      <c r="P1935" s="61" t="s">
        <v>773</v>
      </c>
      <c r="Q1935" s="487"/>
      <c r="R1935" s="192" t="str">
        <f>CONCATENATE(N1935,P1935)</f>
        <v>1000liters</v>
      </c>
      <c r="S1935" s="198">
        <f>M1935*N1935</f>
        <v>1000000</v>
      </c>
      <c r="T1935" s="199" t="str">
        <f>CONCATENATE(S1935,Q1935,P1935)</f>
        <v>1000000liters</v>
      </c>
      <c r="U1935" s="200">
        <f>L1935*M1935</f>
        <v>700</v>
      </c>
      <c r="V1935" s="12"/>
      <c r="W1935" s="12"/>
    </row>
    <row r="1936" spans="1:23" x14ac:dyDescent="0.3">
      <c r="A1936" s="193">
        <v>794</v>
      </c>
      <c r="B1936" s="219" t="s">
        <v>771</v>
      </c>
      <c r="C1936" s="315"/>
      <c r="D1936" s="316"/>
      <c r="E1936" s="315"/>
      <c r="F1936" s="315"/>
      <c r="G1936" s="315"/>
      <c r="H1936" s="194" t="s">
        <v>2025</v>
      </c>
      <c r="I1936" s="12"/>
      <c r="J1936" s="46" t="s">
        <v>1102</v>
      </c>
      <c r="K1936" s="12"/>
      <c r="L1936" s="197">
        <v>272</v>
      </c>
      <c r="M1936" s="197">
        <v>0</v>
      </c>
      <c r="N1936" s="290">
        <v>410</v>
      </c>
      <c r="O1936" s="46"/>
      <c r="P1936" s="46" t="s">
        <v>32</v>
      </c>
      <c r="Q1936" s="12"/>
      <c r="R1936" s="192" t="str">
        <f>CONCATENATE(N1936,P1936)</f>
        <v>410ml</v>
      </c>
      <c r="S1936" s="198">
        <f>M1936*N1936</f>
        <v>0</v>
      </c>
      <c r="T1936" s="199" t="str">
        <f>CONCATENATE(S1936,Q1936,P1936)</f>
        <v>0ml</v>
      </c>
      <c r="U1936" s="200">
        <f>L1936*M1936</f>
        <v>0</v>
      </c>
      <c r="V1936" s="12"/>
      <c r="W1936" s="12"/>
    </row>
    <row r="1937" spans="1:23" x14ac:dyDescent="0.3">
      <c r="A1937" s="193">
        <v>794</v>
      </c>
      <c r="B1937" s="219" t="s">
        <v>771</v>
      </c>
      <c r="C1937" s="315"/>
      <c r="D1937" s="316"/>
      <c r="E1937" s="315"/>
      <c r="F1937" s="315"/>
      <c r="G1937" s="315"/>
      <c r="H1937" s="194" t="s">
        <v>2021</v>
      </c>
      <c r="I1937" s="12"/>
      <c r="J1937" s="219" t="s">
        <v>980</v>
      </c>
      <c r="K1937" s="12"/>
      <c r="L1937" s="216">
        <v>155</v>
      </c>
      <c r="M1937" s="216">
        <v>1</v>
      </c>
      <c r="N1937" s="293">
        <v>210</v>
      </c>
      <c r="O1937" s="219"/>
      <c r="P1937" s="219" t="s">
        <v>32</v>
      </c>
      <c r="Q1937" s="12"/>
      <c r="R1937" s="192" t="str">
        <f>CONCATENATE(N1937,P1937)</f>
        <v>210ml</v>
      </c>
      <c r="S1937" s="198">
        <f>M1937*N1937</f>
        <v>210</v>
      </c>
      <c r="T1937" s="199" t="str">
        <f>CONCATENATE(S1937,Q1937,P1937)</f>
        <v>210ml</v>
      </c>
      <c r="U1937" s="200">
        <f>L1937*M1937</f>
        <v>155</v>
      </c>
      <c r="V1937" s="12"/>
      <c r="W1937" s="12"/>
    </row>
    <row r="1938" spans="1:23" x14ac:dyDescent="0.3">
      <c r="A1938" s="193">
        <v>795</v>
      </c>
      <c r="B1938" s="46" t="s">
        <v>1653</v>
      </c>
      <c r="C1938" s="315"/>
      <c r="D1938" s="316"/>
      <c r="E1938" s="315"/>
      <c r="F1938" s="315"/>
      <c r="G1938" s="315"/>
      <c r="H1938" s="194" t="s">
        <v>29</v>
      </c>
      <c r="I1938" s="12"/>
      <c r="J1938" s="46" t="s">
        <v>851</v>
      </c>
      <c r="K1938" s="12"/>
      <c r="L1938" s="197">
        <v>25</v>
      </c>
      <c r="M1938" s="197">
        <v>1</v>
      </c>
      <c r="N1938" s="290">
        <v>50</v>
      </c>
      <c r="O1938" s="297"/>
      <c r="P1938" s="297" t="s">
        <v>39</v>
      </c>
      <c r="Q1938" s="12"/>
      <c r="R1938" s="192" t="str">
        <f>CONCATENATE(N1938,P1938)</f>
        <v>50grams</v>
      </c>
      <c r="S1938" s="198">
        <f>M1938*N1938</f>
        <v>50</v>
      </c>
      <c r="T1938" s="199" t="str">
        <f>CONCATENATE(S1938,Q1938,P1938)</f>
        <v>50grams</v>
      </c>
      <c r="U1938" s="200">
        <f>L1938*M1938</f>
        <v>25</v>
      </c>
      <c r="V1938" s="12"/>
      <c r="W1938" s="12"/>
    </row>
    <row r="1939" spans="1:23" x14ac:dyDescent="0.3">
      <c r="A1939" s="193">
        <v>795</v>
      </c>
      <c r="B1939" s="46" t="s">
        <v>1653</v>
      </c>
      <c r="C1939" s="315"/>
      <c r="D1939" s="316"/>
      <c r="E1939" s="315"/>
      <c r="F1939" s="315"/>
      <c r="G1939" s="315"/>
      <c r="H1939" s="194" t="s">
        <v>2025</v>
      </c>
      <c r="I1939" s="12"/>
      <c r="J1939" s="46" t="s">
        <v>962</v>
      </c>
      <c r="K1939" s="12"/>
      <c r="L1939" s="197">
        <v>300</v>
      </c>
      <c r="M1939" s="197">
        <v>1</v>
      </c>
      <c r="N1939" s="290">
        <v>1</v>
      </c>
      <c r="O1939" s="46"/>
      <c r="P1939" s="46" t="s">
        <v>213</v>
      </c>
      <c r="Q1939" s="12"/>
      <c r="R1939" s="192" t="str">
        <f>CONCATENATE(N1939,P1939)</f>
        <v>1kilos</v>
      </c>
      <c r="S1939" s="198">
        <f>M1939*N1939</f>
        <v>1</v>
      </c>
      <c r="T1939" s="199" t="str">
        <f>CONCATENATE(S1939,Q1939,P1939)</f>
        <v>1kilos</v>
      </c>
      <c r="U1939" s="200">
        <f>L1939*M1939</f>
        <v>300</v>
      </c>
      <c r="V1939" s="12"/>
      <c r="W1939" s="12"/>
    </row>
    <row r="1940" spans="1:23" x14ac:dyDescent="0.3">
      <c r="A1940" s="193">
        <v>796</v>
      </c>
      <c r="B1940" s="46" t="s">
        <v>1654</v>
      </c>
      <c r="C1940" s="315"/>
      <c r="D1940" s="316"/>
      <c r="E1940" s="315"/>
      <c r="F1940" s="315"/>
      <c r="G1940" s="315"/>
      <c r="H1940" s="194" t="s">
        <v>1368</v>
      </c>
      <c r="I1940" s="12"/>
      <c r="J1940" s="46" t="s">
        <v>1655</v>
      </c>
      <c r="K1940" s="12"/>
      <c r="L1940" s="197">
        <v>6.58</v>
      </c>
      <c r="M1940" s="197">
        <v>12</v>
      </c>
      <c r="N1940" s="321">
        <v>13.5</v>
      </c>
      <c r="O1940" s="46"/>
      <c r="P1940" s="46" t="s">
        <v>32</v>
      </c>
      <c r="Q1940" s="12"/>
      <c r="R1940" s="192" t="str">
        <f>CONCATENATE(N1940,P1940)</f>
        <v>13.5ml</v>
      </c>
      <c r="S1940" s="198">
        <f>M1940*N1940</f>
        <v>162</v>
      </c>
      <c r="T1940" s="199" t="str">
        <f>CONCATENATE(S1940,Q1940,P1940)</f>
        <v>162ml</v>
      </c>
      <c r="U1940" s="200">
        <f>L1940*M1940</f>
        <v>78.960000000000008</v>
      </c>
      <c r="V1940" s="12"/>
      <c r="W1940" s="12"/>
    </row>
    <row r="1941" spans="1:23" x14ac:dyDescent="0.3">
      <c r="A1941" s="193">
        <v>796</v>
      </c>
      <c r="B1941" s="46" t="s">
        <v>1654</v>
      </c>
      <c r="C1941" s="315"/>
      <c r="D1941" s="316"/>
      <c r="E1941" s="315"/>
      <c r="F1941" s="315"/>
      <c r="G1941" s="315"/>
      <c r="H1941" s="194" t="s">
        <v>2023</v>
      </c>
      <c r="I1941" s="12"/>
      <c r="J1941" s="46" t="s">
        <v>1655</v>
      </c>
      <c r="K1941" s="12"/>
      <c r="L1941" s="197">
        <v>5.9</v>
      </c>
      <c r="M1941" s="197">
        <v>20</v>
      </c>
      <c r="N1941" s="321">
        <v>13.5</v>
      </c>
      <c r="O1941" s="46"/>
      <c r="P1941" s="46" t="s">
        <v>32</v>
      </c>
      <c r="Q1941" s="12"/>
      <c r="R1941" s="192" t="str">
        <f>CONCATENATE(N1941,P1941)</f>
        <v>13.5ml</v>
      </c>
      <c r="S1941" s="198">
        <f>M1941*N1941</f>
        <v>270</v>
      </c>
      <c r="T1941" s="199" t="str">
        <f>CONCATENATE(S1941,Q1941,P1941)</f>
        <v>270ml</v>
      </c>
      <c r="U1941" s="200">
        <f>L1941*M1941</f>
        <v>118</v>
      </c>
      <c r="V1941" s="12"/>
      <c r="W1941" s="12"/>
    </row>
    <row r="1942" spans="1:23" x14ac:dyDescent="0.3">
      <c r="A1942" s="193">
        <v>797</v>
      </c>
      <c r="B1942" s="309" t="s">
        <v>1656</v>
      </c>
      <c r="C1942" s="315"/>
      <c r="D1942" s="316"/>
      <c r="E1942" s="315"/>
      <c r="F1942" s="315"/>
      <c r="G1942" s="315"/>
      <c r="H1942" s="194" t="s">
        <v>2025</v>
      </c>
      <c r="I1942" s="12"/>
      <c r="J1942" s="46" t="s">
        <v>1042</v>
      </c>
      <c r="K1942" s="12"/>
      <c r="L1942" s="197">
        <v>39.950000000000003</v>
      </c>
      <c r="M1942" s="197">
        <v>2</v>
      </c>
      <c r="N1942" s="290">
        <v>156</v>
      </c>
      <c r="O1942" s="46"/>
      <c r="P1942" s="46" t="s">
        <v>519</v>
      </c>
      <c r="Q1942" s="12"/>
      <c r="R1942" s="192" t="str">
        <f>CONCATENATE(N1942,P1942)</f>
        <v>156drained weight grams</v>
      </c>
      <c r="S1942" s="198">
        <f>M1942*N1942</f>
        <v>312</v>
      </c>
      <c r="T1942" s="199" t="str">
        <f>CONCATENATE(S1942,Q1942,P1942)</f>
        <v>312drained weight grams</v>
      </c>
      <c r="U1942" s="200">
        <f>L1942*M1942</f>
        <v>79.900000000000006</v>
      </c>
      <c r="V1942" s="12"/>
      <c r="W1942" s="12"/>
    </row>
    <row r="1943" spans="1:23" x14ac:dyDescent="0.3">
      <c r="A1943" s="193">
        <v>797</v>
      </c>
      <c r="B1943" s="310" t="s">
        <v>1656</v>
      </c>
      <c r="C1943" s="315"/>
      <c r="D1943" s="316"/>
      <c r="E1943" s="315"/>
      <c r="F1943" s="315"/>
      <c r="G1943" s="315"/>
      <c r="H1943" s="194" t="s">
        <v>2022</v>
      </c>
      <c r="I1943" s="12"/>
      <c r="J1943" s="46" t="s">
        <v>1042</v>
      </c>
      <c r="K1943" s="12"/>
      <c r="L1943" s="197">
        <v>54</v>
      </c>
      <c r="M1943" s="197">
        <v>1</v>
      </c>
      <c r="N1943" s="290">
        <v>156</v>
      </c>
      <c r="O1943" s="46"/>
      <c r="P1943" s="46" t="s">
        <v>519</v>
      </c>
      <c r="Q1943" s="12"/>
      <c r="R1943" s="192" t="str">
        <f>CONCATENATE(N1943,P1943)</f>
        <v>156drained weight grams</v>
      </c>
      <c r="S1943" s="198">
        <f>M1943*N1943</f>
        <v>156</v>
      </c>
      <c r="T1943" s="199" t="str">
        <f>CONCATENATE(S1943,Q1943,P1943)</f>
        <v>156drained weight grams</v>
      </c>
      <c r="U1943" s="200">
        <f>L1943*M1943</f>
        <v>54</v>
      </c>
      <c r="V1943" s="12"/>
      <c r="W1943" s="12"/>
    </row>
    <row r="1944" spans="1:23" x14ac:dyDescent="0.3">
      <c r="A1944" s="193">
        <v>798</v>
      </c>
      <c r="B1944" s="219" t="s">
        <v>1657</v>
      </c>
      <c r="C1944" s="315"/>
      <c r="D1944" s="316"/>
      <c r="E1944" s="315"/>
      <c r="F1944" s="315"/>
      <c r="G1944" s="315"/>
      <c r="H1944" s="194" t="s">
        <v>2021</v>
      </c>
      <c r="I1944" s="12"/>
      <c r="J1944" s="219" t="s">
        <v>1658</v>
      </c>
      <c r="K1944" s="12"/>
      <c r="L1944" s="216">
        <v>57.25</v>
      </c>
      <c r="M1944" s="216">
        <v>2</v>
      </c>
      <c r="N1944" s="293">
        <v>285</v>
      </c>
      <c r="O1944" s="219"/>
      <c r="P1944" s="219" t="s">
        <v>32</v>
      </c>
      <c r="Q1944" s="12"/>
      <c r="R1944" s="192" t="str">
        <f>CONCATENATE(N1944,P1944)</f>
        <v>285ml</v>
      </c>
      <c r="S1944" s="198">
        <f>M1944*N1944</f>
        <v>570</v>
      </c>
      <c r="T1944" s="199" t="str">
        <f>CONCATENATE(S1944,Q1944,P1944)</f>
        <v>570ml</v>
      </c>
      <c r="U1944" s="200">
        <f>L1944*M1944</f>
        <v>114.5</v>
      </c>
      <c r="V1944" s="12"/>
      <c r="W1944" s="12"/>
    </row>
    <row r="1945" spans="1:23" x14ac:dyDescent="0.3">
      <c r="A1945" s="193">
        <v>799</v>
      </c>
      <c r="B1945" s="46" t="s">
        <v>1659</v>
      </c>
      <c r="C1945" s="315"/>
      <c r="D1945" s="316"/>
      <c r="E1945" s="315"/>
      <c r="F1945" s="315"/>
      <c r="G1945" s="315"/>
      <c r="H1945" s="194" t="s">
        <v>1368</v>
      </c>
      <c r="I1945" s="12"/>
      <c r="J1945" s="170"/>
      <c r="K1945" s="12"/>
      <c r="L1945" s="197">
        <v>420</v>
      </c>
      <c r="M1945" s="197">
        <v>2</v>
      </c>
      <c r="N1945" s="290">
        <v>1</v>
      </c>
      <c r="O1945" s="46"/>
      <c r="P1945" s="46" t="s">
        <v>213</v>
      </c>
      <c r="Q1945" s="12"/>
      <c r="R1945" s="192" t="str">
        <f>CONCATENATE(N1945,P1945)</f>
        <v>1kilos</v>
      </c>
      <c r="S1945" s="198">
        <f>M1945*N1945</f>
        <v>2</v>
      </c>
      <c r="T1945" s="199" t="str">
        <f>CONCATENATE(S1945,Q1945,P1945)</f>
        <v>2kilos</v>
      </c>
      <c r="U1945" s="200">
        <f>L1945*M1945</f>
        <v>840</v>
      </c>
      <c r="V1945" s="12"/>
      <c r="W1945" s="12"/>
    </row>
    <row r="1946" spans="1:23" x14ac:dyDescent="0.3">
      <c r="A1946" s="193">
        <v>800</v>
      </c>
      <c r="B1946" s="46" t="s">
        <v>1660</v>
      </c>
      <c r="C1946" s="315"/>
      <c r="D1946" s="316"/>
      <c r="E1946" s="315"/>
      <c r="F1946" s="315"/>
      <c r="G1946" s="315"/>
      <c r="H1946" s="194" t="s">
        <v>1368</v>
      </c>
      <c r="I1946" s="12"/>
      <c r="J1946" s="170"/>
      <c r="K1946" s="12"/>
      <c r="L1946" s="197">
        <v>130</v>
      </c>
      <c r="M1946" s="197">
        <v>0</v>
      </c>
      <c r="N1946" s="290">
        <v>1</v>
      </c>
      <c r="O1946" s="46"/>
      <c r="P1946" s="46" t="s">
        <v>213</v>
      </c>
      <c r="Q1946" s="12"/>
      <c r="R1946" s="192" t="str">
        <f>CONCATENATE(N1946,P1946)</f>
        <v>1kilos</v>
      </c>
      <c r="S1946" s="198">
        <f>M1946*N1946</f>
        <v>0</v>
      </c>
      <c r="T1946" s="199" t="str">
        <f>CONCATENATE(S1946,Q1946,P1946)</f>
        <v>0kilos</v>
      </c>
      <c r="U1946" s="200">
        <f>L1946*M1946</f>
        <v>0</v>
      </c>
      <c r="V1946" s="12"/>
      <c r="W1946" s="12"/>
    </row>
    <row r="1947" spans="1:23" x14ac:dyDescent="0.3">
      <c r="A1947" s="193">
        <v>801</v>
      </c>
      <c r="B1947" s="46" t="s">
        <v>1661</v>
      </c>
      <c r="C1947" s="315"/>
      <c r="D1947" s="316"/>
      <c r="E1947" s="315"/>
      <c r="F1947" s="315"/>
      <c r="G1947" s="315"/>
      <c r="H1947" s="194" t="s">
        <v>2022</v>
      </c>
      <c r="I1947" s="12"/>
      <c r="J1947" s="46" t="s">
        <v>1662</v>
      </c>
      <c r="K1947" s="12"/>
      <c r="L1947" s="197">
        <v>600</v>
      </c>
      <c r="M1947" s="197">
        <v>0</v>
      </c>
      <c r="N1947" s="290">
        <v>1000</v>
      </c>
      <c r="O1947" s="46"/>
      <c r="P1947" s="46" t="s">
        <v>213</v>
      </c>
      <c r="Q1947" s="12"/>
      <c r="R1947" s="192" t="str">
        <f>CONCATENATE(N1947,P1947)</f>
        <v>1000kilos</v>
      </c>
      <c r="S1947" s="198">
        <f>M1947*N1947</f>
        <v>0</v>
      </c>
      <c r="T1947" s="199" t="str">
        <f>CONCATENATE(S1947,Q1947,P1947)</f>
        <v>0kilos</v>
      </c>
      <c r="U1947" s="200">
        <f>L1947*M1947</f>
        <v>0</v>
      </c>
      <c r="V1947" s="12"/>
      <c r="W1947" s="12"/>
    </row>
    <row r="1948" spans="1:23" x14ac:dyDescent="0.3">
      <c r="A1948" s="193">
        <v>801</v>
      </c>
      <c r="B1948" s="46" t="s">
        <v>1661</v>
      </c>
      <c r="C1948" s="315"/>
      <c r="D1948" s="316"/>
      <c r="E1948" s="315"/>
      <c r="F1948" s="315"/>
      <c r="G1948" s="315"/>
      <c r="H1948" s="194" t="s">
        <v>2025</v>
      </c>
      <c r="I1948" s="12"/>
      <c r="J1948" s="170"/>
      <c r="K1948" s="12"/>
      <c r="L1948" s="197">
        <v>730</v>
      </c>
      <c r="M1948" s="197">
        <v>1</v>
      </c>
      <c r="N1948" s="290">
        <v>1</v>
      </c>
      <c r="O1948" s="46"/>
      <c r="P1948" s="46" t="s">
        <v>213</v>
      </c>
      <c r="Q1948" s="12"/>
      <c r="R1948" s="192" t="str">
        <f>CONCATENATE(N1948,P1948)</f>
        <v>1kilos</v>
      </c>
      <c r="S1948" s="198">
        <f>M1948*N1948</f>
        <v>1</v>
      </c>
      <c r="T1948" s="199" t="str">
        <f>CONCATENATE(S1948,Q1948,P1948)</f>
        <v>1kilos</v>
      </c>
      <c r="U1948" s="200">
        <f>L1948*M1948</f>
        <v>730</v>
      </c>
      <c r="V1948" s="12"/>
      <c r="W1948" s="12"/>
    </row>
    <row r="1949" spans="1:23" x14ac:dyDescent="0.3">
      <c r="A1949" s="193">
        <v>801</v>
      </c>
      <c r="B1949" s="46" t="s">
        <v>1661</v>
      </c>
      <c r="C1949" s="315"/>
      <c r="D1949" s="316"/>
      <c r="E1949" s="315"/>
      <c r="F1949" s="315"/>
      <c r="G1949" s="315"/>
      <c r="H1949" s="194" t="s">
        <v>2026</v>
      </c>
      <c r="I1949" s="12"/>
      <c r="J1949" s="170"/>
      <c r="K1949" s="12"/>
      <c r="L1949" s="197">
        <v>1000</v>
      </c>
      <c r="M1949" s="197">
        <v>1</v>
      </c>
      <c r="N1949" s="290">
        <v>1</v>
      </c>
      <c r="O1949" s="46"/>
      <c r="P1949" s="46" t="s">
        <v>213</v>
      </c>
      <c r="Q1949" s="12"/>
      <c r="R1949" s="192" t="str">
        <f>CONCATENATE(N1949,P1949)</f>
        <v>1kilos</v>
      </c>
      <c r="S1949" s="198">
        <f>M1949*N1949</f>
        <v>1</v>
      </c>
      <c r="T1949" s="199" t="str">
        <f>CONCATENATE(S1949,Q1949,P1949)</f>
        <v>1kilos</v>
      </c>
      <c r="U1949" s="200">
        <f>L1949*M1949</f>
        <v>1000</v>
      </c>
      <c r="V1949" s="12"/>
      <c r="W1949" s="12"/>
    </row>
    <row r="1950" spans="1:23" x14ac:dyDescent="0.3">
      <c r="A1950" s="193">
        <v>801</v>
      </c>
      <c r="B1950" s="46" t="s">
        <v>1661</v>
      </c>
      <c r="C1950" s="315"/>
      <c r="D1950" s="316"/>
      <c r="E1950" s="315"/>
      <c r="F1950" s="315"/>
      <c r="G1950" s="315"/>
      <c r="H1950" s="400" t="s">
        <v>2027</v>
      </c>
      <c r="I1950" s="12"/>
      <c r="J1950" s="46" t="s">
        <v>1945</v>
      </c>
      <c r="K1950" s="12"/>
      <c r="L1950" s="195">
        <v>260</v>
      </c>
      <c r="M1950" s="197">
        <v>0</v>
      </c>
      <c r="N1950" s="360">
        <v>1</v>
      </c>
      <c r="O1950" s="61"/>
      <c r="P1950" s="61" t="s">
        <v>213</v>
      </c>
      <c r="Q1950" s="12"/>
      <c r="R1950" s="192" t="str">
        <f>CONCATENATE(N1950,P1950)</f>
        <v>1kilos</v>
      </c>
      <c r="S1950" s="198">
        <f>M1950*N1950</f>
        <v>0</v>
      </c>
      <c r="T1950" s="199" t="str">
        <f>CONCATENATE(S1950,Q1950,P1950)</f>
        <v>0kilos</v>
      </c>
      <c r="U1950" s="200">
        <f>L1950*M1950</f>
        <v>0</v>
      </c>
      <c r="V1950" s="12"/>
      <c r="W1950" s="12"/>
    </row>
    <row r="1951" spans="1:23" x14ac:dyDescent="0.3">
      <c r="A1951" s="193">
        <v>802</v>
      </c>
      <c r="B1951" s="46" t="s">
        <v>1663</v>
      </c>
      <c r="C1951" s="315"/>
      <c r="D1951" s="316"/>
      <c r="E1951" s="315"/>
      <c r="F1951" s="315"/>
      <c r="G1951" s="315"/>
      <c r="H1951" s="194" t="s">
        <v>2025</v>
      </c>
      <c r="I1951" s="12"/>
      <c r="J1951" s="170"/>
      <c r="K1951" s="12"/>
      <c r="L1951" s="197">
        <v>115</v>
      </c>
      <c r="M1951" s="197">
        <v>1</v>
      </c>
      <c r="N1951" s="290">
        <v>1</v>
      </c>
      <c r="O1951" s="46"/>
      <c r="P1951" s="46" t="s">
        <v>213</v>
      </c>
      <c r="Q1951" s="12"/>
      <c r="R1951" s="192" t="str">
        <f>CONCATENATE(N1951,P1951)</f>
        <v>1kilos</v>
      </c>
      <c r="S1951" s="198">
        <f>M1951*N1951</f>
        <v>1</v>
      </c>
      <c r="T1951" s="199" t="str">
        <f>CONCATENATE(S1951,Q1951,P1951)</f>
        <v>1kilos</v>
      </c>
      <c r="U1951" s="200">
        <f>L1951*M1951</f>
        <v>115</v>
      </c>
      <c r="V1951" s="12"/>
      <c r="W1951" s="12"/>
    </row>
    <row r="1952" spans="1:23" x14ac:dyDescent="0.3">
      <c r="A1952" s="193">
        <v>802</v>
      </c>
      <c r="B1952" s="46" t="s">
        <v>1663</v>
      </c>
      <c r="C1952" s="315"/>
      <c r="D1952" s="316"/>
      <c r="E1952" s="315"/>
      <c r="F1952" s="315"/>
      <c r="G1952" s="315"/>
      <c r="H1952" s="400" t="s">
        <v>2027</v>
      </c>
      <c r="I1952" s="12"/>
      <c r="J1952" s="46" t="s">
        <v>1945</v>
      </c>
      <c r="K1952" s="12"/>
      <c r="L1952" s="195">
        <v>95</v>
      </c>
      <c r="M1952" s="197">
        <v>0</v>
      </c>
      <c r="N1952" s="360">
        <v>1</v>
      </c>
      <c r="O1952" s="61"/>
      <c r="P1952" s="61" t="s">
        <v>213</v>
      </c>
      <c r="Q1952" s="12"/>
      <c r="R1952" s="192" t="str">
        <f>CONCATENATE(N1952,P1952)</f>
        <v>1kilos</v>
      </c>
      <c r="S1952" s="198">
        <f>M1952*N1952</f>
        <v>0</v>
      </c>
      <c r="T1952" s="199" t="str">
        <f>CONCATENATE(S1952,Q1952,P1952)</f>
        <v>0kilos</v>
      </c>
      <c r="U1952" s="200">
        <f>L1952*M1952</f>
        <v>0</v>
      </c>
      <c r="V1952" s="12"/>
      <c r="W1952" s="12"/>
    </row>
    <row r="1953" spans="1:23" x14ac:dyDescent="0.3">
      <c r="A1953" s="193">
        <v>803</v>
      </c>
      <c r="B1953" s="46" t="s">
        <v>2001</v>
      </c>
      <c r="C1953" s="315"/>
      <c r="D1953" s="316"/>
      <c r="E1953" s="315"/>
      <c r="F1953" s="315"/>
      <c r="G1953" s="315"/>
      <c r="H1953" s="400" t="s">
        <v>2027</v>
      </c>
      <c r="I1953" s="12"/>
      <c r="J1953" s="46" t="s">
        <v>1947</v>
      </c>
      <c r="K1953" s="12"/>
      <c r="L1953" s="195">
        <v>27.7</v>
      </c>
      <c r="M1953" s="197">
        <v>18</v>
      </c>
      <c r="N1953" s="360">
        <v>1</v>
      </c>
      <c r="O1953" s="61"/>
      <c r="P1953" s="61" t="s">
        <v>304</v>
      </c>
      <c r="Q1953" s="12"/>
      <c r="R1953" s="192" t="str">
        <f>CONCATENATE(N1953,P1953)</f>
        <v>1packs</v>
      </c>
      <c r="S1953" s="198">
        <f>M1953*N1953</f>
        <v>18</v>
      </c>
      <c r="T1953" s="199" t="str">
        <f>CONCATENATE(S1953,Q1953,P1953)</f>
        <v>18packs</v>
      </c>
      <c r="U1953" s="200">
        <f>L1953*M1953</f>
        <v>498.59999999999997</v>
      </c>
      <c r="V1953" s="12"/>
      <c r="W1953" s="12"/>
    </row>
    <row r="1954" spans="1:23" x14ac:dyDescent="0.3">
      <c r="A1954" s="479">
        <v>804</v>
      </c>
      <c r="B1954" s="194" t="s">
        <v>284</v>
      </c>
      <c r="C1954" s="487"/>
      <c r="D1954" s="485" t="str">
        <f ca="1">IFERROR(__xludf.DUMMYFUNCTION("IF(J558="""",""n/a"",IFERROR(SPLIT(J558,""/"")))"),"Hermano")</f>
        <v>Hermano</v>
      </c>
      <c r="E1954" s="485" t="str">
        <f ca="1">IFERROR(__xludf.DUMMYFUNCTION("""COMPUTED_VALUE"""),"pack")</f>
        <v>pack</v>
      </c>
      <c r="F1954" s="485" t="str">
        <f ca="1">IFERROR(__xludf.DUMMYFUNCTION("""COMPUTED_VALUE"""),"1000grams")</f>
        <v>1000grams</v>
      </c>
      <c r="G1954" s="487"/>
      <c r="H1954" s="183" t="s">
        <v>1897</v>
      </c>
      <c r="I1954" s="487"/>
      <c r="J1954" s="46" t="s">
        <v>82</v>
      </c>
      <c r="K1954" s="487"/>
      <c r="L1954" s="195">
        <v>0.08</v>
      </c>
      <c r="M1954" s="202">
        <v>15000</v>
      </c>
      <c r="N1954" s="203">
        <v>1000</v>
      </c>
      <c r="O1954" s="61" t="str">
        <f ca="1">E1954</f>
        <v>pack</v>
      </c>
      <c r="P1954" s="61" t="s">
        <v>39</v>
      </c>
      <c r="Q1954" s="487"/>
      <c r="R1954" s="192" t="str">
        <f>CONCATENATE(N1954,P1954)</f>
        <v>1000grams</v>
      </c>
      <c r="S1954" s="198">
        <f>M1954*N1954</f>
        <v>15000000</v>
      </c>
      <c r="T1954" s="199" t="str">
        <f>CONCATENATE(S1954,Q1954,P1954)</f>
        <v>15000000grams</v>
      </c>
      <c r="U1954" s="200">
        <f>L1954*M1954</f>
        <v>1200</v>
      </c>
      <c r="V1954" s="205"/>
      <c r="W1954" s="62"/>
    </row>
    <row r="1955" spans="1:23" x14ac:dyDescent="0.3">
      <c r="A1955" s="479">
        <v>804</v>
      </c>
      <c r="B1955" s="194" t="s">
        <v>284</v>
      </c>
      <c r="C1955" s="487"/>
      <c r="D1955" s="485" t="str">
        <f ca="1">IFERROR(__xludf.DUMMYFUNCTION("IF(J559="""",""n/a"",IFERROR(SPLIT(J559,""/"")))"),"Knorr")</f>
        <v>Knorr</v>
      </c>
      <c r="E1955" s="485" t="str">
        <f ca="1">IFERROR(__xludf.DUMMYFUNCTION("""COMPUTED_VALUE"""),"sachet")</f>
        <v>sachet</v>
      </c>
      <c r="F1955" s="485" t="str">
        <f ca="1">IFERROR(__xludf.DUMMYFUNCTION("""COMPUTED_VALUE"""),"44grams")</f>
        <v>44grams</v>
      </c>
      <c r="G1955" s="487"/>
      <c r="H1955" s="183" t="s">
        <v>1897</v>
      </c>
      <c r="I1955" s="487"/>
      <c r="J1955" s="46" t="s">
        <v>285</v>
      </c>
      <c r="K1955" s="487"/>
      <c r="L1955" s="202">
        <v>0.63</v>
      </c>
      <c r="M1955" s="202">
        <v>1320</v>
      </c>
      <c r="N1955" s="203">
        <v>44</v>
      </c>
      <c r="O1955" s="61" t="str">
        <f ca="1">E1955</f>
        <v>sachet</v>
      </c>
      <c r="P1955" s="61" t="s">
        <v>39</v>
      </c>
      <c r="Q1955" s="487"/>
      <c r="R1955" s="192" t="str">
        <f>CONCATENATE(N1955,P1955)</f>
        <v>44grams</v>
      </c>
      <c r="S1955" s="198">
        <f>M1955*N1955</f>
        <v>58080</v>
      </c>
      <c r="T1955" s="199" t="str">
        <f>CONCATENATE(S1955,Q1955,P1955)</f>
        <v>58080grams</v>
      </c>
      <c r="U1955" s="200">
        <f>L1955*M1955</f>
        <v>831.6</v>
      </c>
      <c r="V1955" s="62"/>
      <c r="W1955" s="12"/>
    </row>
    <row r="1956" spans="1:23" x14ac:dyDescent="0.3">
      <c r="A1956" s="479">
        <v>804</v>
      </c>
      <c r="B1956" s="194" t="s">
        <v>284</v>
      </c>
      <c r="C1956" s="487"/>
      <c r="D1956" s="485" t="str">
        <f ca="1">IFERROR(__xludf.DUMMYFUNCTION("IF(J560="""",""n/a"",IFERROR(SPLIT(J560,""/"")))"),"Knorr")</f>
        <v>Knorr</v>
      </c>
      <c r="E1956" s="485" t="str">
        <f ca="1">IFERROR(__xludf.DUMMYFUNCTION("""COMPUTED_VALUE"""),"sachet")</f>
        <v>sachet</v>
      </c>
      <c r="F1956" s="485" t="str">
        <f ca="1">IFERROR(__xludf.DUMMYFUNCTION("""COMPUTED_VALUE"""),"44grams")</f>
        <v>44grams</v>
      </c>
      <c r="G1956" s="487"/>
      <c r="H1956" s="183" t="s">
        <v>1895</v>
      </c>
      <c r="I1956" s="487"/>
      <c r="J1956" s="46" t="s">
        <v>285</v>
      </c>
      <c r="K1956" s="487"/>
      <c r="L1956" s="195">
        <v>27.7</v>
      </c>
      <c r="M1956" s="197">
        <v>40.049999999999997</v>
      </c>
      <c r="N1956" s="61">
        <v>1</v>
      </c>
      <c r="O1956" s="61" t="str">
        <f ca="1">E1956</f>
        <v>sachet</v>
      </c>
      <c r="P1956" s="61" t="s">
        <v>39</v>
      </c>
      <c r="Q1956" s="487"/>
      <c r="R1956" s="192" t="str">
        <f>CONCATENATE(N1956,P1956)</f>
        <v>1grams</v>
      </c>
      <c r="S1956" s="198">
        <f>M1956*N1956</f>
        <v>40.049999999999997</v>
      </c>
      <c r="T1956" s="199" t="str">
        <f>CONCATENATE(S1956,Q1956,P1956)</f>
        <v>40.05grams</v>
      </c>
      <c r="U1956" s="200">
        <f>L1956*M1956</f>
        <v>1109.385</v>
      </c>
      <c r="V1956" s="12"/>
      <c r="W1956" s="12"/>
    </row>
    <row r="1957" spans="1:23" x14ac:dyDescent="0.3">
      <c r="A1957" s="479">
        <v>805</v>
      </c>
      <c r="B1957" s="194" t="s">
        <v>774</v>
      </c>
      <c r="C1957" s="487"/>
      <c r="D1957" s="485" t="str">
        <f ca="1">IFERROR(__xludf.DUMMYFUNCTION("IF(J561="""",""n/a"",IFERROR(SPLIT(J561,""/"")))"),"n/a")</f>
        <v>n/a</v>
      </c>
      <c r="E1957" s="487"/>
      <c r="F1957" s="487"/>
      <c r="G1957" s="487"/>
      <c r="H1957" s="206" t="s">
        <v>1898</v>
      </c>
      <c r="I1957" s="487"/>
      <c r="J1957" s="170"/>
      <c r="K1957" s="487"/>
      <c r="L1957" s="197">
        <v>0.88</v>
      </c>
      <c r="M1957" s="386">
        <v>120</v>
      </c>
      <c r="N1957" s="208">
        <v>40</v>
      </c>
      <c r="O1957" s="170">
        <f>E1957</f>
        <v>0</v>
      </c>
      <c r="P1957" s="61" t="s">
        <v>39</v>
      </c>
      <c r="Q1957" s="487"/>
      <c r="R1957" s="192" t="str">
        <f>CONCATENATE(N1957,P1957)</f>
        <v>40grams</v>
      </c>
      <c r="S1957" s="198">
        <f>M1957*N1957</f>
        <v>4800</v>
      </c>
      <c r="T1957" s="199" t="str">
        <f>CONCATENATE(S1957,Q1957,P1957)</f>
        <v>4800grams</v>
      </c>
      <c r="U1957" s="200">
        <f>L1957*M1957</f>
        <v>105.6</v>
      </c>
      <c r="V1957" s="12"/>
      <c r="W1957" s="12"/>
    </row>
    <row r="1958" spans="1:23" x14ac:dyDescent="0.3">
      <c r="A1958" s="193">
        <v>806</v>
      </c>
      <c r="B1958" s="46" t="s">
        <v>1664</v>
      </c>
      <c r="C1958" s="315"/>
      <c r="D1958" s="316"/>
      <c r="E1958" s="315"/>
      <c r="F1958" s="315"/>
      <c r="G1958" s="315"/>
      <c r="H1958" s="194" t="s">
        <v>2026</v>
      </c>
      <c r="I1958" s="12"/>
      <c r="J1958" s="46" t="s">
        <v>1412</v>
      </c>
      <c r="K1958" s="12"/>
      <c r="L1958" s="197">
        <v>14.4</v>
      </c>
      <c r="M1958" s="197">
        <v>13</v>
      </c>
      <c r="N1958" s="290">
        <v>25</v>
      </c>
      <c r="O1958" s="46"/>
      <c r="P1958" s="46" t="s">
        <v>39</v>
      </c>
      <c r="Q1958" s="12"/>
      <c r="R1958" s="192" t="str">
        <f>CONCATENATE(N1958,P1958)</f>
        <v>25grams</v>
      </c>
      <c r="S1958" s="198">
        <f>M1958*N1958</f>
        <v>325</v>
      </c>
      <c r="T1958" s="199" t="str">
        <f>CONCATENATE(S1958,Q1958,P1958)</f>
        <v>325grams</v>
      </c>
      <c r="U1958" s="200">
        <f>L1958*M1958</f>
        <v>187.20000000000002</v>
      </c>
      <c r="V1958" s="12"/>
      <c r="W1958" s="12"/>
    </row>
    <row r="1959" spans="1:23" x14ac:dyDescent="0.3">
      <c r="A1959" s="193">
        <v>806</v>
      </c>
      <c r="B1959" s="46" t="s">
        <v>1664</v>
      </c>
      <c r="C1959" s="315"/>
      <c r="D1959" s="316"/>
      <c r="E1959" s="315"/>
      <c r="F1959" s="315"/>
      <c r="G1959" s="315"/>
      <c r="H1959" s="194" t="s">
        <v>2022</v>
      </c>
      <c r="I1959" s="12"/>
      <c r="J1959" s="46" t="s">
        <v>987</v>
      </c>
      <c r="K1959" s="12"/>
      <c r="L1959" s="197">
        <v>14</v>
      </c>
      <c r="M1959" s="197">
        <v>12</v>
      </c>
      <c r="N1959" s="290">
        <v>25</v>
      </c>
      <c r="O1959" s="46"/>
      <c r="P1959" s="46" t="s">
        <v>39</v>
      </c>
      <c r="Q1959" s="12"/>
      <c r="R1959" s="192" t="str">
        <f>CONCATENATE(N1959,P1959)</f>
        <v>25grams</v>
      </c>
      <c r="S1959" s="198">
        <f>M1959*N1959</f>
        <v>300</v>
      </c>
      <c r="T1959" s="199" t="str">
        <f>CONCATENATE(S1959,Q1959,P1959)</f>
        <v>300grams</v>
      </c>
      <c r="U1959" s="200">
        <f>L1959*M1959</f>
        <v>168</v>
      </c>
      <c r="V1959" s="12"/>
      <c r="W1959" s="12"/>
    </row>
    <row r="1960" spans="1:23" x14ac:dyDescent="0.3">
      <c r="A1960" s="479">
        <v>807</v>
      </c>
      <c r="B1960" s="194" t="s">
        <v>775</v>
      </c>
      <c r="C1960" s="487"/>
      <c r="D1960" s="485" t="str">
        <f ca="1">IFERROR(__xludf.DUMMYFUNCTION("IF(J562="""",""n/a"",IFERROR(SPLIT(J562,""/"")))"),"n/a")</f>
        <v>n/a</v>
      </c>
      <c r="E1960" s="487"/>
      <c r="F1960" s="487"/>
      <c r="G1960" s="487"/>
      <c r="H1960" s="206" t="s">
        <v>1898</v>
      </c>
      <c r="I1960" s="487"/>
      <c r="J1960" s="170"/>
      <c r="K1960" s="487"/>
      <c r="L1960" s="197">
        <v>0.63</v>
      </c>
      <c r="M1960" s="385">
        <v>792</v>
      </c>
      <c r="N1960" s="208">
        <v>44</v>
      </c>
      <c r="O1960" s="170">
        <f>E1960</f>
        <v>0</v>
      </c>
      <c r="P1960" s="61" t="s">
        <v>39</v>
      </c>
      <c r="Q1960" s="487"/>
      <c r="R1960" s="192" t="str">
        <f>CONCATENATE(N1960,P1960)</f>
        <v>44grams</v>
      </c>
      <c r="S1960" s="198">
        <f>M1960*N1960</f>
        <v>34848</v>
      </c>
      <c r="T1960" s="199" t="str">
        <f>CONCATENATE(S1960,Q1960,P1960)</f>
        <v>34848grams</v>
      </c>
      <c r="U1960" s="200">
        <f>L1960*M1960</f>
        <v>498.96</v>
      </c>
      <c r="V1960" s="12"/>
      <c r="W1960" s="12"/>
    </row>
    <row r="1961" spans="1:23" x14ac:dyDescent="0.3">
      <c r="A1961" s="193">
        <v>807</v>
      </c>
      <c r="B1961" s="46" t="s">
        <v>775</v>
      </c>
      <c r="C1961" s="315"/>
      <c r="D1961" s="316"/>
      <c r="E1961" s="315"/>
      <c r="F1961" s="315"/>
      <c r="G1961" s="315"/>
      <c r="H1961" s="194" t="s">
        <v>29</v>
      </c>
      <c r="I1961" s="12"/>
      <c r="J1961" s="46" t="s">
        <v>1412</v>
      </c>
      <c r="K1961" s="12"/>
      <c r="L1961" s="197">
        <v>14.2</v>
      </c>
      <c r="M1961" s="197">
        <v>13</v>
      </c>
      <c r="N1961" s="290">
        <v>25</v>
      </c>
      <c r="O1961" s="46"/>
      <c r="P1961" s="46" t="s">
        <v>39</v>
      </c>
      <c r="Q1961" s="12"/>
      <c r="R1961" s="192" t="str">
        <f>CONCATENATE(N1961,P1961)</f>
        <v>25grams</v>
      </c>
      <c r="S1961" s="198">
        <f>M1961*N1961</f>
        <v>325</v>
      </c>
      <c r="T1961" s="199" t="str">
        <f>CONCATENATE(S1961,Q1961,P1961)</f>
        <v>325grams</v>
      </c>
      <c r="U1961" s="200">
        <f>L1961*M1961</f>
        <v>184.6</v>
      </c>
      <c r="V1961" s="12"/>
      <c r="W1961" s="12"/>
    </row>
    <row r="1962" spans="1:23" x14ac:dyDescent="0.3">
      <c r="A1962" s="193">
        <v>807</v>
      </c>
      <c r="B1962" s="46" t="s">
        <v>775</v>
      </c>
      <c r="C1962" s="315"/>
      <c r="D1962" s="316"/>
      <c r="E1962" s="315"/>
      <c r="F1962" s="315"/>
      <c r="G1962" s="315"/>
      <c r="H1962" s="194" t="s">
        <v>2024</v>
      </c>
      <c r="I1962" s="12"/>
      <c r="J1962" s="46" t="s">
        <v>1412</v>
      </c>
      <c r="K1962" s="12"/>
      <c r="L1962" s="197">
        <v>14.8</v>
      </c>
      <c r="M1962" s="197">
        <v>12</v>
      </c>
      <c r="N1962" s="290">
        <v>25</v>
      </c>
      <c r="O1962" s="46"/>
      <c r="P1962" s="46" t="s">
        <v>39</v>
      </c>
      <c r="Q1962" s="12"/>
      <c r="R1962" s="192" t="str">
        <f>CONCATENATE(N1962,P1962)</f>
        <v>25grams</v>
      </c>
      <c r="S1962" s="198">
        <f>M1962*N1962</f>
        <v>300</v>
      </c>
      <c r="T1962" s="199" t="str">
        <f>CONCATENATE(S1962,Q1962,P1962)</f>
        <v>300grams</v>
      </c>
      <c r="U1962" s="200">
        <f>L1962*M1962</f>
        <v>177.60000000000002</v>
      </c>
      <c r="V1962" s="12"/>
      <c r="W1962" s="12"/>
    </row>
    <row r="1963" spans="1:23" x14ac:dyDescent="0.3">
      <c r="A1963" s="193">
        <v>807</v>
      </c>
      <c r="B1963" s="46" t="s">
        <v>775</v>
      </c>
      <c r="C1963" s="315"/>
      <c r="D1963" s="316"/>
      <c r="E1963" s="315"/>
      <c r="F1963" s="315"/>
      <c r="G1963" s="315"/>
      <c r="H1963" s="194" t="s">
        <v>2025</v>
      </c>
      <c r="I1963" s="12"/>
      <c r="J1963" s="46" t="s">
        <v>987</v>
      </c>
      <c r="K1963" s="12"/>
      <c r="L1963" s="197">
        <v>29</v>
      </c>
      <c r="M1963" s="197">
        <v>10</v>
      </c>
      <c r="N1963" s="290">
        <v>44</v>
      </c>
      <c r="O1963" s="46"/>
      <c r="P1963" s="46" t="s">
        <v>39</v>
      </c>
      <c r="Q1963" s="12"/>
      <c r="R1963" s="192" t="str">
        <f>CONCATENATE(N1963,P1963)</f>
        <v>44grams</v>
      </c>
      <c r="S1963" s="198">
        <f>M1963*N1963</f>
        <v>440</v>
      </c>
      <c r="T1963" s="199" t="str">
        <f>CONCATENATE(S1963,Q1963,P1963)</f>
        <v>440grams</v>
      </c>
      <c r="U1963" s="200">
        <f>L1963*M1963</f>
        <v>290</v>
      </c>
      <c r="V1963" s="12"/>
      <c r="W1963" s="12"/>
    </row>
    <row r="1964" spans="1:23" x14ac:dyDescent="0.3">
      <c r="A1964" s="193">
        <v>807</v>
      </c>
      <c r="B1964" s="46" t="s">
        <v>775</v>
      </c>
      <c r="C1964" s="315"/>
      <c r="D1964" s="316"/>
      <c r="E1964" s="315"/>
      <c r="F1964" s="315"/>
      <c r="G1964" s="315"/>
      <c r="H1964" s="194" t="s">
        <v>2026</v>
      </c>
      <c r="I1964" s="12"/>
      <c r="J1964" s="46" t="s">
        <v>1412</v>
      </c>
      <c r="K1964" s="12"/>
      <c r="L1964" s="197">
        <v>11.84</v>
      </c>
      <c r="M1964" s="197">
        <v>27</v>
      </c>
      <c r="N1964" s="290">
        <v>25</v>
      </c>
      <c r="O1964" s="46"/>
      <c r="P1964" s="46" t="s">
        <v>39</v>
      </c>
      <c r="Q1964" s="12"/>
      <c r="R1964" s="192" t="str">
        <f>CONCATENATE(N1964,P1964)</f>
        <v>25grams</v>
      </c>
      <c r="S1964" s="198">
        <f>M1964*N1964</f>
        <v>675</v>
      </c>
      <c r="T1964" s="199" t="str">
        <f>CONCATENATE(S1964,Q1964,P1964)</f>
        <v>675grams</v>
      </c>
      <c r="U1964" s="200">
        <f>L1964*M1964</f>
        <v>319.68</v>
      </c>
      <c r="V1964" s="12"/>
      <c r="W1964" s="12"/>
    </row>
    <row r="1965" spans="1:23" x14ac:dyDescent="0.3">
      <c r="A1965" s="193">
        <v>807</v>
      </c>
      <c r="B1965" s="46" t="s">
        <v>775</v>
      </c>
      <c r="C1965" s="315"/>
      <c r="D1965" s="316"/>
      <c r="E1965" s="315"/>
      <c r="F1965" s="315"/>
      <c r="G1965" s="315"/>
      <c r="H1965" s="194" t="s">
        <v>1368</v>
      </c>
      <c r="I1965" s="12"/>
      <c r="J1965" s="46" t="s">
        <v>1412</v>
      </c>
      <c r="K1965" s="12"/>
      <c r="L1965" s="197">
        <v>318</v>
      </c>
      <c r="M1965" s="197">
        <v>2</v>
      </c>
      <c r="N1965" s="290">
        <v>1000</v>
      </c>
      <c r="O1965" s="46"/>
      <c r="P1965" s="46" t="s">
        <v>39</v>
      </c>
      <c r="Q1965" s="12"/>
      <c r="R1965" s="192" t="str">
        <f>CONCATENATE(N1965,P1965)</f>
        <v>1000grams</v>
      </c>
      <c r="S1965" s="198">
        <f>M1965*N1965</f>
        <v>2000</v>
      </c>
      <c r="T1965" s="199" t="str">
        <f>CONCATENATE(S1965,Q1965,P1965)</f>
        <v>2000grams</v>
      </c>
      <c r="U1965" s="200">
        <f>L1965*M1965</f>
        <v>636</v>
      </c>
      <c r="V1965" s="12"/>
      <c r="W1965" s="12"/>
    </row>
    <row r="1966" spans="1:23" x14ac:dyDescent="0.3">
      <c r="A1966" s="193">
        <v>807</v>
      </c>
      <c r="B1966" s="46" t="s">
        <v>775</v>
      </c>
      <c r="C1966" s="315"/>
      <c r="D1966" s="316"/>
      <c r="E1966" s="315"/>
      <c r="F1966" s="315"/>
      <c r="G1966" s="315"/>
      <c r="H1966" s="194" t="s">
        <v>2023</v>
      </c>
      <c r="I1966" s="12"/>
      <c r="J1966" s="46" t="s">
        <v>987</v>
      </c>
      <c r="K1966" s="12"/>
      <c r="L1966" s="197">
        <v>28</v>
      </c>
      <c r="M1966" s="197">
        <v>19</v>
      </c>
      <c r="N1966" s="290">
        <v>44</v>
      </c>
      <c r="O1966" s="46"/>
      <c r="P1966" s="46" t="s">
        <v>39</v>
      </c>
      <c r="Q1966" s="12"/>
      <c r="R1966" s="192" t="str">
        <f>CONCATENATE(N1966,P1966)</f>
        <v>44grams</v>
      </c>
      <c r="S1966" s="198">
        <f>M1966*N1966</f>
        <v>836</v>
      </c>
      <c r="T1966" s="199" t="str">
        <f>CONCATENATE(S1966,Q1966,P1966)</f>
        <v>836grams</v>
      </c>
      <c r="U1966" s="200">
        <f>L1966*M1966</f>
        <v>532</v>
      </c>
      <c r="V1966" s="12"/>
      <c r="W1966" s="12"/>
    </row>
    <row r="1967" spans="1:23" x14ac:dyDescent="0.3">
      <c r="A1967" s="193">
        <v>807</v>
      </c>
      <c r="B1967" s="46" t="s">
        <v>775</v>
      </c>
      <c r="C1967" s="315"/>
      <c r="D1967" s="316"/>
      <c r="E1967" s="315"/>
      <c r="F1967" s="315"/>
      <c r="G1967" s="315"/>
      <c r="H1967" s="194" t="s">
        <v>2022</v>
      </c>
      <c r="I1967" s="12"/>
      <c r="J1967" s="46" t="s">
        <v>987</v>
      </c>
      <c r="K1967" s="12"/>
      <c r="L1967" s="197">
        <v>28</v>
      </c>
      <c r="M1967" s="197">
        <v>12</v>
      </c>
      <c r="N1967" s="290">
        <v>44</v>
      </c>
      <c r="O1967" s="46"/>
      <c r="P1967" s="46" t="s">
        <v>39</v>
      </c>
      <c r="Q1967" s="12"/>
      <c r="R1967" s="192" t="str">
        <f>CONCATENATE(N1967,P1967)</f>
        <v>44grams</v>
      </c>
      <c r="S1967" s="198">
        <f>M1967*N1967</f>
        <v>528</v>
      </c>
      <c r="T1967" s="199" t="str">
        <f>CONCATENATE(S1967,Q1967,P1967)</f>
        <v>528grams</v>
      </c>
      <c r="U1967" s="200">
        <f>L1967*M1967</f>
        <v>336</v>
      </c>
      <c r="V1967" s="12"/>
      <c r="W1967" s="12"/>
    </row>
    <row r="1968" spans="1:23" x14ac:dyDescent="0.3">
      <c r="A1968" s="193">
        <v>807</v>
      </c>
      <c r="B1968" s="46" t="s">
        <v>775</v>
      </c>
      <c r="C1968" s="315"/>
      <c r="D1968" s="316"/>
      <c r="E1968" s="315"/>
      <c r="F1968" s="315"/>
      <c r="G1968" s="315"/>
      <c r="H1968" s="194" t="s">
        <v>2021</v>
      </c>
      <c r="I1968" s="12"/>
      <c r="J1968" s="46" t="s">
        <v>987</v>
      </c>
      <c r="K1968" s="12"/>
      <c r="L1968" s="216">
        <v>27.7</v>
      </c>
      <c r="M1968" s="216">
        <v>7</v>
      </c>
      <c r="N1968" s="293">
        <v>44</v>
      </c>
      <c r="O1968" s="219"/>
      <c r="P1968" s="219" t="s">
        <v>39</v>
      </c>
      <c r="Q1968" s="12"/>
      <c r="R1968" s="192" t="str">
        <f>CONCATENATE(N1968,P1968)</f>
        <v>44grams</v>
      </c>
      <c r="S1968" s="198">
        <f>M1968*N1968</f>
        <v>308</v>
      </c>
      <c r="T1968" s="199" t="str">
        <f>CONCATENATE(S1968,Q1968,P1968)</f>
        <v>308grams</v>
      </c>
      <c r="U1968" s="200">
        <f>L1968*M1968</f>
        <v>193.9</v>
      </c>
      <c r="V1968" s="12"/>
      <c r="W1968" s="12"/>
    </row>
    <row r="1969" spans="1:23" x14ac:dyDescent="0.3">
      <c r="A1969" s="193">
        <v>807</v>
      </c>
      <c r="B1969" s="46" t="s">
        <v>775</v>
      </c>
      <c r="C1969" s="315"/>
      <c r="D1969" s="316"/>
      <c r="E1969" s="315"/>
      <c r="F1969" s="315"/>
      <c r="G1969" s="315"/>
      <c r="H1969" s="194" t="s">
        <v>2020</v>
      </c>
      <c r="I1969" s="12"/>
      <c r="J1969" s="46" t="s">
        <v>987</v>
      </c>
      <c r="K1969" s="12"/>
      <c r="L1969" s="197">
        <v>27.7</v>
      </c>
      <c r="M1969" s="197">
        <v>12</v>
      </c>
      <c r="N1969" s="290">
        <v>44</v>
      </c>
      <c r="O1969" s="46"/>
      <c r="P1969" s="46" t="s">
        <v>39</v>
      </c>
      <c r="Q1969" s="12"/>
      <c r="R1969" s="192" t="str">
        <f>CONCATENATE(N1969,P1969)</f>
        <v>44grams</v>
      </c>
      <c r="S1969" s="198">
        <f>M1969*N1969</f>
        <v>528</v>
      </c>
      <c r="T1969" s="199" t="str">
        <f>CONCATENATE(S1969,Q1969,P1969)</f>
        <v>528grams</v>
      </c>
      <c r="U1969" s="200">
        <f>L1969*M1969</f>
        <v>332.4</v>
      </c>
      <c r="V1969" s="12"/>
      <c r="W1969" s="12"/>
    </row>
    <row r="1970" spans="1:23" x14ac:dyDescent="0.3">
      <c r="A1970" s="193">
        <v>808</v>
      </c>
      <c r="B1970" s="46" t="s">
        <v>1665</v>
      </c>
      <c r="C1970" s="315"/>
      <c r="D1970" s="316"/>
      <c r="E1970" s="315"/>
      <c r="F1970" s="315"/>
      <c r="G1970" s="315"/>
      <c r="H1970" s="194" t="s">
        <v>2023</v>
      </c>
      <c r="I1970" s="12"/>
      <c r="J1970" s="46" t="s">
        <v>1666</v>
      </c>
      <c r="K1970" s="12"/>
      <c r="L1970" s="197">
        <v>140</v>
      </c>
      <c r="M1970" s="197">
        <v>1</v>
      </c>
      <c r="N1970" s="290">
        <v>1</v>
      </c>
      <c r="O1970" s="46"/>
      <c r="P1970" s="46" t="s">
        <v>213</v>
      </c>
      <c r="Q1970" s="12"/>
      <c r="R1970" s="192" t="str">
        <f>CONCATENATE(N1970,P1970)</f>
        <v>1kilos</v>
      </c>
      <c r="S1970" s="198">
        <f>M1970*N1970</f>
        <v>1</v>
      </c>
      <c r="T1970" s="199" t="str">
        <f>CONCATENATE(S1970,Q1970,P1970)</f>
        <v>1kilos</v>
      </c>
      <c r="U1970" s="200">
        <f>L1970*M1970</f>
        <v>140</v>
      </c>
      <c r="V1970" s="12"/>
      <c r="W1970" s="12"/>
    </row>
    <row r="1971" spans="1:23" x14ac:dyDescent="0.3">
      <c r="A1971" s="193">
        <v>808</v>
      </c>
      <c r="B1971" s="46" t="s">
        <v>1665</v>
      </c>
      <c r="C1971" s="315"/>
      <c r="D1971" s="316"/>
      <c r="E1971" s="315"/>
      <c r="F1971" s="315"/>
      <c r="G1971" s="315"/>
      <c r="H1971" s="194" t="s">
        <v>2021</v>
      </c>
      <c r="I1971" s="12"/>
      <c r="J1971" s="215"/>
      <c r="K1971" s="12"/>
      <c r="L1971" s="216">
        <v>250</v>
      </c>
      <c r="M1971" s="216">
        <v>4</v>
      </c>
      <c r="N1971" s="293">
        <v>60</v>
      </c>
      <c r="O1971" s="219"/>
      <c r="P1971" s="219" t="s">
        <v>92</v>
      </c>
      <c r="Q1971" s="12"/>
      <c r="R1971" s="192" t="str">
        <f>CONCATENATE(N1971,P1971)</f>
        <v>60pieces</v>
      </c>
      <c r="S1971" s="198">
        <f>M1971*N1971</f>
        <v>240</v>
      </c>
      <c r="T1971" s="199" t="str">
        <f>CONCATENATE(S1971,Q1971,P1971)</f>
        <v>240pieces</v>
      </c>
      <c r="U1971" s="200">
        <f>L1971*M1971</f>
        <v>1000</v>
      </c>
      <c r="V1971" s="12"/>
      <c r="W1971" s="12"/>
    </row>
    <row r="1972" spans="1:23" x14ac:dyDescent="0.3">
      <c r="A1972" s="193">
        <v>809</v>
      </c>
      <c r="B1972" s="46" t="s">
        <v>1667</v>
      </c>
      <c r="C1972" s="315"/>
      <c r="D1972" s="316"/>
      <c r="E1972" s="315"/>
      <c r="F1972" s="315"/>
      <c r="G1972" s="315"/>
      <c r="H1972" s="194" t="s">
        <v>1368</v>
      </c>
      <c r="I1972" s="12"/>
      <c r="J1972" s="170"/>
      <c r="K1972" s="12"/>
      <c r="L1972" s="197">
        <v>40</v>
      </c>
      <c r="M1972" s="197">
        <v>10</v>
      </c>
      <c r="N1972" s="290">
        <v>1000</v>
      </c>
      <c r="O1972" s="46"/>
      <c r="P1972" s="46" t="s">
        <v>39</v>
      </c>
      <c r="Q1972" s="12"/>
      <c r="R1972" s="192" t="str">
        <f>CONCATENATE(N1972,P1972)</f>
        <v>1000grams</v>
      </c>
      <c r="S1972" s="198">
        <f>M1972*N1972</f>
        <v>10000</v>
      </c>
      <c r="T1972" s="199" t="str">
        <f>CONCATENATE(S1972,Q1972,P1972)</f>
        <v>10000grams</v>
      </c>
      <c r="U1972" s="200">
        <f>L1972*M1972</f>
        <v>400</v>
      </c>
      <c r="V1972" s="12"/>
      <c r="W1972" s="12"/>
    </row>
    <row r="1973" spans="1:23" x14ac:dyDescent="0.3">
      <c r="A1973" s="193">
        <v>809</v>
      </c>
      <c r="B1973" s="46" t="s">
        <v>1667</v>
      </c>
      <c r="C1973" s="315"/>
      <c r="D1973" s="316"/>
      <c r="E1973" s="315"/>
      <c r="F1973" s="315"/>
      <c r="G1973" s="315"/>
      <c r="H1973" s="400" t="s">
        <v>2027</v>
      </c>
      <c r="I1973" s="12"/>
      <c r="J1973" s="46" t="s">
        <v>1945</v>
      </c>
      <c r="K1973" s="12"/>
      <c r="L1973" s="195">
        <v>120</v>
      </c>
      <c r="M1973" s="197">
        <v>1</v>
      </c>
      <c r="N1973" s="360">
        <v>1</v>
      </c>
      <c r="O1973" s="61"/>
      <c r="P1973" s="61" t="s">
        <v>213</v>
      </c>
      <c r="Q1973" s="12"/>
      <c r="R1973" s="192" t="str">
        <f>CONCATENATE(N1973,P1973)</f>
        <v>1kilos</v>
      </c>
      <c r="S1973" s="198">
        <f>M1973*N1973</f>
        <v>1</v>
      </c>
      <c r="T1973" s="199" t="str">
        <f>CONCATENATE(S1973,Q1973,P1973)</f>
        <v>1kilos</v>
      </c>
      <c r="U1973" s="200">
        <f>L1973*M1973</f>
        <v>120</v>
      </c>
      <c r="V1973" s="12"/>
      <c r="W1973" s="12"/>
    </row>
    <row r="1974" spans="1:23" x14ac:dyDescent="0.3">
      <c r="A1974" s="193">
        <v>810</v>
      </c>
      <c r="B1974" s="46" t="s">
        <v>1668</v>
      </c>
      <c r="C1974" s="315"/>
      <c r="D1974" s="316"/>
      <c r="E1974" s="315"/>
      <c r="F1974" s="315"/>
      <c r="G1974" s="315"/>
      <c r="H1974" s="194" t="s">
        <v>29</v>
      </c>
      <c r="I1974" s="12"/>
      <c r="J1974" s="46" t="s">
        <v>1101</v>
      </c>
      <c r="K1974" s="12"/>
      <c r="L1974" s="197">
        <v>70</v>
      </c>
      <c r="M1974" s="197">
        <v>5</v>
      </c>
      <c r="N1974" s="290">
        <v>360</v>
      </c>
      <c r="O1974" s="46"/>
      <c r="P1974" s="46" t="s">
        <v>39</v>
      </c>
      <c r="Q1974" s="12"/>
      <c r="R1974" s="192" t="str">
        <f>CONCATENATE(N1974,P1974)</f>
        <v>360grams</v>
      </c>
      <c r="S1974" s="198">
        <f>M1974*N1974</f>
        <v>1800</v>
      </c>
      <c r="T1974" s="199" t="str">
        <f>CONCATENATE(S1974,Q1974,P1974)</f>
        <v>1800grams</v>
      </c>
      <c r="U1974" s="200">
        <f>L1974*M1974</f>
        <v>350</v>
      </c>
      <c r="V1974" s="12"/>
      <c r="W1974" s="12"/>
    </row>
    <row r="1975" spans="1:23" x14ac:dyDescent="0.3">
      <c r="A1975" s="193">
        <v>810</v>
      </c>
      <c r="B1975" s="46" t="s">
        <v>1668</v>
      </c>
      <c r="C1975" s="315"/>
      <c r="D1975" s="316"/>
      <c r="E1975" s="315"/>
      <c r="F1975" s="315"/>
      <c r="G1975" s="315"/>
      <c r="H1975" s="194" t="s">
        <v>1368</v>
      </c>
      <c r="I1975" s="12"/>
      <c r="J1975" s="46" t="s">
        <v>1669</v>
      </c>
      <c r="K1975" s="12"/>
      <c r="L1975" s="197">
        <v>285</v>
      </c>
      <c r="M1975" s="197">
        <v>1</v>
      </c>
      <c r="N1975" s="290">
        <v>500</v>
      </c>
      <c r="O1975" s="46"/>
      <c r="P1975" s="46" t="s">
        <v>39</v>
      </c>
      <c r="Q1975" s="12"/>
      <c r="R1975" s="192" t="str">
        <f>CONCATENATE(N1975,P1975)</f>
        <v>500grams</v>
      </c>
      <c r="S1975" s="198">
        <f>M1975*N1975</f>
        <v>500</v>
      </c>
      <c r="T1975" s="199" t="str">
        <f>CONCATENATE(S1975,Q1975,P1975)</f>
        <v>500grams</v>
      </c>
      <c r="U1975" s="200">
        <f>L1975*M1975</f>
        <v>285</v>
      </c>
      <c r="V1975" s="12"/>
      <c r="W1975" s="12"/>
    </row>
    <row r="1976" spans="1:23" x14ac:dyDescent="0.3">
      <c r="A1976" s="193">
        <v>810</v>
      </c>
      <c r="B1976" s="46" t="s">
        <v>1668</v>
      </c>
      <c r="C1976" s="315"/>
      <c r="D1976" s="316"/>
      <c r="E1976" s="315"/>
      <c r="F1976" s="315"/>
      <c r="G1976" s="315"/>
      <c r="H1976" s="194" t="s">
        <v>2020</v>
      </c>
      <c r="I1976" s="12"/>
      <c r="J1976" s="46" t="s">
        <v>1098</v>
      </c>
      <c r="K1976" s="12"/>
      <c r="L1976" s="197">
        <v>70</v>
      </c>
      <c r="M1976" s="197">
        <v>1</v>
      </c>
      <c r="N1976" s="290">
        <v>400</v>
      </c>
      <c r="O1976" s="46"/>
      <c r="P1976" s="46" t="s">
        <v>39</v>
      </c>
      <c r="Q1976" s="12"/>
      <c r="R1976" s="192" t="str">
        <f>CONCATENATE(N1976,P1976)</f>
        <v>400grams</v>
      </c>
      <c r="S1976" s="198">
        <f>M1976*N1976</f>
        <v>400</v>
      </c>
      <c r="T1976" s="199" t="str">
        <f>CONCATENATE(S1976,Q1976,P1976)</f>
        <v>400grams</v>
      </c>
      <c r="U1976" s="200">
        <f>L1976*M1976</f>
        <v>70</v>
      </c>
      <c r="V1976" s="12"/>
      <c r="W1976" s="12"/>
    </row>
    <row r="1977" spans="1:23" x14ac:dyDescent="0.3">
      <c r="A1977" s="193">
        <v>811</v>
      </c>
      <c r="B1977" s="46" t="s">
        <v>2002</v>
      </c>
      <c r="C1977" s="315"/>
      <c r="D1977" s="316"/>
      <c r="E1977" s="315"/>
      <c r="F1977" s="315"/>
      <c r="G1977" s="315"/>
      <c r="H1977" s="400" t="s">
        <v>2027</v>
      </c>
      <c r="I1977" s="12"/>
      <c r="J1977" s="46" t="s">
        <v>2003</v>
      </c>
      <c r="K1977" s="12"/>
      <c r="L1977" s="195">
        <v>5.85</v>
      </c>
      <c r="M1977" s="197">
        <v>60</v>
      </c>
      <c r="N1977" s="360">
        <v>1</v>
      </c>
      <c r="O1977" s="61"/>
      <c r="P1977" s="61" t="s">
        <v>92</v>
      </c>
      <c r="Q1977" s="12"/>
      <c r="R1977" s="192" t="str">
        <f>CONCATENATE(N1977,P1977)</f>
        <v>1pieces</v>
      </c>
      <c r="S1977" s="198">
        <f>M1977*N1977</f>
        <v>60</v>
      </c>
      <c r="T1977" s="199" t="str">
        <f>CONCATENATE(S1977,Q1977,P1977)</f>
        <v>60pieces</v>
      </c>
      <c r="U1977" s="200">
        <f>L1977*M1977</f>
        <v>351</v>
      </c>
      <c r="V1977" s="12"/>
      <c r="W1977" s="12"/>
    </row>
    <row r="1978" spans="1:23" x14ac:dyDescent="0.3">
      <c r="A1978" s="479">
        <v>812</v>
      </c>
      <c r="B1978" s="194" t="s">
        <v>440</v>
      </c>
      <c r="C1978" s="487"/>
      <c r="D1978" s="485" t="str">
        <f ca="1">IFERROR(__xludf.DUMMYFUNCTION("IF(J563="""",""n/a"",IFERROR(SPLIT(J563,""/"")))"),"M.Y San")</f>
        <v>M.Y San</v>
      </c>
      <c r="E1978" s="485" t="str">
        <f ca="1">IFERROR(__xludf.DUMMYFUNCTION("""COMPUTED_VALUE""")," pack (10pcsx25grams)")</f>
        <v xml:space="preserve"> pack (10pcsx25grams)</v>
      </c>
      <c r="F1978" s="487"/>
      <c r="G1978" s="487"/>
      <c r="H1978" s="183" t="s">
        <v>1895</v>
      </c>
      <c r="I1978" s="487"/>
      <c r="J1978" s="46" t="s">
        <v>441</v>
      </c>
      <c r="K1978" s="487"/>
      <c r="L1978" s="195">
        <v>5.73</v>
      </c>
      <c r="M1978" s="197">
        <v>600</v>
      </c>
      <c r="N1978" s="61">
        <v>1</v>
      </c>
      <c r="O1978" s="61" t="str">
        <f ca="1">E1978</f>
        <v xml:space="preserve"> pack (10pcsx25grams)</v>
      </c>
      <c r="P1978" s="61" t="s">
        <v>92</v>
      </c>
      <c r="Q1978" s="487"/>
      <c r="R1978" s="192" t="str">
        <f>CONCATENATE(N1978,P1978)</f>
        <v>1pieces</v>
      </c>
      <c r="S1978" s="198">
        <f>M1978*N1978</f>
        <v>600</v>
      </c>
      <c r="T1978" s="199" t="str">
        <f>CONCATENATE(S1978,Q1978,P1978)</f>
        <v>600pieces</v>
      </c>
      <c r="U1978" s="200">
        <f>L1978*M1978</f>
        <v>3438.0000000000005</v>
      </c>
      <c r="V1978" s="12"/>
      <c r="W1978" s="12"/>
    </row>
    <row r="1979" spans="1:23" x14ac:dyDescent="0.3">
      <c r="A1979" s="193">
        <v>813</v>
      </c>
      <c r="B1979" s="46" t="s">
        <v>1670</v>
      </c>
      <c r="C1979" s="315"/>
      <c r="D1979" s="316"/>
      <c r="E1979" s="315"/>
      <c r="F1979" s="315"/>
      <c r="G1979" s="315"/>
      <c r="H1979" s="194" t="s">
        <v>2026</v>
      </c>
      <c r="I1979" s="12"/>
      <c r="J1979" s="46" t="s">
        <v>1087</v>
      </c>
      <c r="K1979" s="12"/>
      <c r="L1979" s="197">
        <v>82</v>
      </c>
      <c r="M1979" s="197">
        <v>2</v>
      </c>
      <c r="N1979" s="290">
        <v>250</v>
      </c>
      <c r="O1979" s="46"/>
      <c r="P1979" s="46" t="s">
        <v>39</v>
      </c>
      <c r="Q1979" s="12"/>
      <c r="R1979" s="192" t="str">
        <f>CONCATENATE(N1979,P1979)</f>
        <v>250grams</v>
      </c>
      <c r="S1979" s="198">
        <f>M1979*N1979</f>
        <v>500</v>
      </c>
      <c r="T1979" s="199" t="str">
        <f>CONCATENATE(S1979,Q1979,P1979)</f>
        <v>500grams</v>
      </c>
      <c r="U1979" s="200">
        <f>L1979*M1979</f>
        <v>164</v>
      </c>
      <c r="V1979" s="12"/>
      <c r="W1979" s="12"/>
    </row>
    <row r="1980" spans="1:23" x14ac:dyDescent="0.3">
      <c r="A1980" s="193">
        <v>813</v>
      </c>
      <c r="B1980" s="46" t="s">
        <v>1670</v>
      </c>
      <c r="C1980" s="315"/>
      <c r="D1980" s="316"/>
      <c r="E1980" s="315"/>
      <c r="F1980" s="315"/>
      <c r="G1980" s="315"/>
      <c r="H1980" s="194" t="s">
        <v>2022</v>
      </c>
      <c r="I1980" s="12"/>
      <c r="J1980" s="46" t="s">
        <v>1084</v>
      </c>
      <c r="K1980" s="12"/>
      <c r="L1980" s="197">
        <v>65</v>
      </c>
      <c r="M1980" s="197">
        <v>24</v>
      </c>
      <c r="N1980" s="290">
        <v>100</v>
      </c>
      <c r="O1980" s="46"/>
      <c r="P1980" s="46" t="s">
        <v>39</v>
      </c>
      <c r="Q1980" s="12"/>
      <c r="R1980" s="192" t="str">
        <f>CONCATENATE(N1980,P1980)</f>
        <v>100grams</v>
      </c>
      <c r="S1980" s="198">
        <f>M1980*N1980</f>
        <v>2400</v>
      </c>
      <c r="T1980" s="199" t="str">
        <f>CONCATENATE(S1980,Q1980,P1980)</f>
        <v>2400grams</v>
      </c>
      <c r="U1980" s="200">
        <f>L1980*M1980</f>
        <v>1560</v>
      </c>
      <c r="V1980" s="12"/>
      <c r="W1980" s="12"/>
    </row>
    <row r="1981" spans="1:23" x14ac:dyDescent="0.3">
      <c r="A1981" s="193">
        <v>813</v>
      </c>
      <c r="B1981" s="219" t="s">
        <v>1670</v>
      </c>
      <c r="C1981" s="315"/>
      <c r="D1981" s="316"/>
      <c r="E1981" s="315"/>
      <c r="F1981" s="315"/>
      <c r="G1981" s="315"/>
      <c r="H1981" s="194" t="s">
        <v>2021</v>
      </c>
      <c r="I1981" s="12"/>
      <c r="J1981" s="219" t="s">
        <v>1087</v>
      </c>
      <c r="K1981" s="12"/>
      <c r="L1981" s="216">
        <v>75</v>
      </c>
      <c r="M1981" s="216">
        <v>5</v>
      </c>
      <c r="N1981" s="293">
        <v>105</v>
      </c>
      <c r="O1981" s="219"/>
      <c r="P1981" s="219" t="s">
        <v>39</v>
      </c>
      <c r="Q1981" s="12"/>
      <c r="R1981" s="192" t="str">
        <f>CONCATENATE(N1981,P1981)</f>
        <v>105grams</v>
      </c>
      <c r="S1981" s="198">
        <f>M1981*N1981</f>
        <v>525</v>
      </c>
      <c r="T1981" s="199" t="str">
        <f>CONCATENATE(S1981,Q1981,P1981)</f>
        <v>525grams</v>
      </c>
      <c r="U1981" s="200">
        <f>L1981*M1981</f>
        <v>375</v>
      </c>
      <c r="V1981" s="12"/>
      <c r="W1981" s="12"/>
    </row>
    <row r="1982" spans="1:23" x14ac:dyDescent="0.3">
      <c r="A1982" s="193">
        <v>814</v>
      </c>
      <c r="B1982" s="46" t="s">
        <v>1671</v>
      </c>
      <c r="C1982" s="315"/>
      <c r="D1982" s="316"/>
      <c r="E1982" s="315"/>
      <c r="F1982" s="315"/>
      <c r="G1982" s="315"/>
      <c r="H1982" s="194" t="s">
        <v>2020</v>
      </c>
      <c r="I1982" s="12"/>
      <c r="J1982" s="46" t="s">
        <v>1672</v>
      </c>
      <c r="K1982" s="12"/>
      <c r="L1982" s="197">
        <v>31.5</v>
      </c>
      <c r="M1982" s="197">
        <v>1</v>
      </c>
      <c r="N1982" s="290">
        <v>60</v>
      </c>
      <c r="O1982" s="46"/>
      <c r="P1982" s="46" t="s">
        <v>39</v>
      </c>
      <c r="Q1982" s="12"/>
      <c r="R1982" s="192" t="str">
        <f>CONCATENATE(N1982,P1982)</f>
        <v>60grams</v>
      </c>
      <c r="S1982" s="198">
        <f>M1982*N1982</f>
        <v>60</v>
      </c>
      <c r="T1982" s="199" t="str">
        <f>CONCATENATE(S1982,Q1982,P1982)</f>
        <v>60grams</v>
      </c>
      <c r="U1982" s="200">
        <f>L1982*M1982</f>
        <v>31.5</v>
      </c>
      <c r="V1982" s="12"/>
      <c r="W1982" s="12"/>
    </row>
    <row r="1983" spans="1:23" x14ac:dyDescent="0.3">
      <c r="A1983" s="193">
        <v>814</v>
      </c>
      <c r="B1983" s="46" t="s">
        <v>1671</v>
      </c>
      <c r="C1983" s="315"/>
      <c r="D1983" s="316"/>
      <c r="E1983" s="315"/>
      <c r="F1983" s="315"/>
      <c r="G1983" s="315"/>
      <c r="H1983" s="194" t="s">
        <v>2026</v>
      </c>
      <c r="I1983" s="12"/>
      <c r="J1983" s="46" t="s">
        <v>1673</v>
      </c>
      <c r="K1983" s="12"/>
      <c r="L1983" s="197">
        <v>30.68</v>
      </c>
      <c r="M1983" s="197">
        <v>30</v>
      </c>
      <c r="N1983" s="290">
        <v>60</v>
      </c>
      <c r="O1983" s="46"/>
      <c r="P1983" s="46" t="s">
        <v>39</v>
      </c>
      <c r="Q1983" s="12"/>
      <c r="R1983" s="192" t="str">
        <f>CONCATENATE(N1983,P1983)</f>
        <v>60grams</v>
      </c>
      <c r="S1983" s="198">
        <f>M1983*N1983</f>
        <v>1800</v>
      </c>
      <c r="T1983" s="199" t="str">
        <f>CONCATENATE(S1983,Q1983,P1983)</f>
        <v>1800grams</v>
      </c>
      <c r="U1983" s="200">
        <f>L1983*M1983</f>
        <v>920.4</v>
      </c>
      <c r="V1983" s="12"/>
      <c r="W1983" s="12"/>
    </row>
    <row r="1984" spans="1:23" x14ac:dyDescent="0.3">
      <c r="A1984" s="193">
        <v>814</v>
      </c>
      <c r="B1984" s="46" t="s">
        <v>1671</v>
      </c>
      <c r="C1984" s="315"/>
      <c r="D1984" s="316"/>
      <c r="E1984" s="315"/>
      <c r="F1984" s="315"/>
      <c r="G1984" s="315"/>
      <c r="H1984" s="194" t="s">
        <v>2026</v>
      </c>
      <c r="I1984" s="12"/>
      <c r="J1984" s="46" t="s">
        <v>1674</v>
      </c>
      <c r="K1984" s="12"/>
      <c r="L1984" s="197">
        <v>13.69</v>
      </c>
      <c r="M1984" s="197">
        <v>50</v>
      </c>
      <c r="N1984" s="290">
        <v>50</v>
      </c>
      <c r="O1984" s="46"/>
      <c r="P1984" s="46" t="s">
        <v>39</v>
      </c>
      <c r="Q1984" s="12"/>
      <c r="R1984" s="192" t="str">
        <f>CONCATENATE(N1984,P1984)</f>
        <v>50grams</v>
      </c>
      <c r="S1984" s="198">
        <f>M1984*N1984</f>
        <v>2500</v>
      </c>
      <c r="T1984" s="199" t="str">
        <f>CONCATENATE(S1984,Q1984,P1984)</f>
        <v>2500grams</v>
      </c>
      <c r="U1984" s="200">
        <f>L1984*M1984</f>
        <v>684.5</v>
      </c>
      <c r="V1984" s="12"/>
      <c r="W1984" s="12"/>
    </row>
    <row r="1985" spans="1:23" x14ac:dyDescent="0.3">
      <c r="A1985" s="193">
        <v>814</v>
      </c>
      <c r="B1985" s="46" t="s">
        <v>1671</v>
      </c>
      <c r="C1985" s="315"/>
      <c r="D1985" s="316"/>
      <c r="E1985" s="315"/>
      <c r="F1985" s="315"/>
      <c r="G1985" s="315"/>
      <c r="H1985" s="194" t="s">
        <v>2023</v>
      </c>
      <c r="I1985" s="12"/>
      <c r="J1985" s="46" t="s">
        <v>1675</v>
      </c>
      <c r="K1985" s="12"/>
      <c r="L1985" s="197">
        <v>13.68</v>
      </c>
      <c r="M1985" s="197">
        <v>36</v>
      </c>
      <c r="N1985" s="290">
        <v>50</v>
      </c>
      <c r="O1985" s="46"/>
      <c r="P1985" s="46" t="s">
        <v>39</v>
      </c>
      <c r="Q1985" s="12"/>
      <c r="R1985" s="192" t="str">
        <f>CONCATENATE(N1985,P1985)</f>
        <v>50grams</v>
      </c>
      <c r="S1985" s="198">
        <f>M1985*N1985</f>
        <v>1800</v>
      </c>
      <c r="T1985" s="199" t="str">
        <f>CONCATENATE(S1985,Q1985,P1985)</f>
        <v>1800grams</v>
      </c>
      <c r="U1985" s="200">
        <f>L1985*M1985</f>
        <v>492.48</v>
      </c>
      <c r="V1985" s="12"/>
      <c r="W1985" s="12"/>
    </row>
    <row r="1986" spans="1:23" x14ac:dyDescent="0.3">
      <c r="A1986" s="193">
        <v>814</v>
      </c>
      <c r="B1986" s="46" t="s">
        <v>1671</v>
      </c>
      <c r="C1986" s="315"/>
      <c r="D1986" s="316"/>
      <c r="E1986" s="315"/>
      <c r="F1986" s="315"/>
      <c r="G1986" s="315"/>
      <c r="H1986" s="194" t="s">
        <v>2022</v>
      </c>
      <c r="I1986" s="12"/>
      <c r="J1986" s="46" t="s">
        <v>1676</v>
      </c>
      <c r="K1986" s="12"/>
      <c r="L1986" s="197">
        <v>13.68</v>
      </c>
      <c r="M1986" s="197">
        <v>7</v>
      </c>
      <c r="N1986" s="290">
        <v>50</v>
      </c>
      <c r="O1986" s="46"/>
      <c r="P1986" s="46" t="s">
        <v>39</v>
      </c>
      <c r="Q1986" s="12"/>
      <c r="R1986" s="192" t="str">
        <f>CONCATENATE(N1986,P1986)</f>
        <v>50grams</v>
      </c>
      <c r="S1986" s="198">
        <f>M1986*N1986</f>
        <v>350</v>
      </c>
      <c r="T1986" s="199" t="str">
        <f>CONCATENATE(S1986,Q1986,P1986)</f>
        <v>350grams</v>
      </c>
      <c r="U1986" s="200">
        <f>L1986*M1986</f>
        <v>95.759999999999991</v>
      </c>
      <c r="V1986" s="12"/>
      <c r="W1986" s="12"/>
    </row>
    <row r="1987" spans="1:23" x14ac:dyDescent="0.3">
      <c r="A1987" s="193">
        <v>815</v>
      </c>
      <c r="B1987" s="219" t="s">
        <v>1677</v>
      </c>
      <c r="C1987" s="315"/>
      <c r="D1987" s="316"/>
      <c r="E1987" s="315"/>
      <c r="F1987" s="315"/>
      <c r="G1987" s="315"/>
      <c r="H1987" s="194" t="s">
        <v>2021</v>
      </c>
      <c r="I1987" s="12"/>
      <c r="J1987" s="219" t="s">
        <v>1678</v>
      </c>
      <c r="K1987" s="12"/>
      <c r="L1987" s="216">
        <v>7.77</v>
      </c>
      <c r="M1987" s="216">
        <v>19</v>
      </c>
      <c r="N1987" s="293">
        <v>1</v>
      </c>
      <c r="O1987" s="219"/>
      <c r="P1987" s="219" t="s">
        <v>92</v>
      </c>
      <c r="Q1987" s="12"/>
      <c r="R1987" s="192" t="str">
        <f>CONCATENATE(N1987,P1987)</f>
        <v>1pieces</v>
      </c>
      <c r="S1987" s="198">
        <f>M1987*N1987</f>
        <v>19</v>
      </c>
      <c r="T1987" s="199" t="str">
        <f>CONCATENATE(S1987,Q1987,P1987)</f>
        <v>19pieces</v>
      </c>
      <c r="U1987" s="200">
        <f>L1987*M1987</f>
        <v>147.63</v>
      </c>
      <c r="V1987" s="12"/>
      <c r="W1987" s="12"/>
    </row>
    <row r="1988" spans="1:23" x14ac:dyDescent="0.3">
      <c r="A1988" s="193">
        <v>815</v>
      </c>
      <c r="B1988" s="219" t="s">
        <v>1677</v>
      </c>
      <c r="C1988" s="315"/>
      <c r="D1988" s="316"/>
      <c r="E1988" s="315"/>
      <c r="F1988" s="315"/>
      <c r="G1988" s="315"/>
      <c r="H1988" s="194" t="s">
        <v>2021</v>
      </c>
      <c r="I1988" s="12"/>
      <c r="J1988" s="219" t="s">
        <v>1679</v>
      </c>
      <c r="K1988" s="12"/>
      <c r="L1988" s="216">
        <v>7.77</v>
      </c>
      <c r="M1988" s="216">
        <v>13</v>
      </c>
      <c r="N1988" s="293">
        <v>1</v>
      </c>
      <c r="O1988" s="219"/>
      <c r="P1988" s="219" t="s">
        <v>92</v>
      </c>
      <c r="Q1988" s="12"/>
      <c r="R1988" s="192" t="str">
        <f>CONCATENATE(N1988,P1988)</f>
        <v>1pieces</v>
      </c>
      <c r="S1988" s="198">
        <f>M1988*N1988</f>
        <v>13</v>
      </c>
      <c r="T1988" s="199" t="str">
        <f>CONCATENATE(S1988,Q1988,P1988)</f>
        <v>13pieces</v>
      </c>
      <c r="U1988" s="200">
        <f>L1988*M1988</f>
        <v>101.00999999999999</v>
      </c>
      <c r="V1988" s="12"/>
      <c r="W1988" s="12"/>
    </row>
    <row r="1989" spans="1:23" x14ac:dyDescent="0.3">
      <c r="A1989" s="193">
        <v>815</v>
      </c>
      <c r="B1989" s="219" t="s">
        <v>1677</v>
      </c>
      <c r="C1989" s="315"/>
      <c r="D1989" s="316"/>
      <c r="E1989" s="315"/>
      <c r="F1989" s="315"/>
      <c r="G1989" s="315"/>
      <c r="H1989" s="194" t="s">
        <v>2021</v>
      </c>
      <c r="I1989" s="12"/>
      <c r="J1989" s="219" t="s">
        <v>1680</v>
      </c>
      <c r="K1989" s="12"/>
      <c r="L1989" s="216">
        <v>7.84</v>
      </c>
      <c r="M1989" s="216">
        <v>16</v>
      </c>
      <c r="N1989" s="293">
        <v>1</v>
      </c>
      <c r="O1989" s="219"/>
      <c r="P1989" s="219" t="s">
        <v>92</v>
      </c>
      <c r="Q1989" s="12"/>
      <c r="R1989" s="192" t="str">
        <f>CONCATENATE(N1989,P1989)</f>
        <v>1pieces</v>
      </c>
      <c r="S1989" s="198">
        <f>M1989*N1989</f>
        <v>16</v>
      </c>
      <c r="T1989" s="199" t="str">
        <f>CONCATENATE(S1989,Q1989,P1989)</f>
        <v>16pieces</v>
      </c>
      <c r="U1989" s="200">
        <f>L1989*M1989</f>
        <v>125.44</v>
      </c>
      <c r="V1989" s="12"/>
      <c r="W1989" s="12"/>
    </row>
    <row r="1990" spans="1:23" x14ac:dyDescent="0.3">
      <c r="A1990" s="193">
        <v>815</v>
      </c>
      <c r="B1990" s="46" t="s">
        <v>1677</v>
      </c>
      <c r="C1990" s="315"/>
      <c r="D1990" s="316"/>
      <c r="E1990" s="315"/>
      <c r="F1990" s="315"/>
      <c r="G1990" s="315"/>
      <c r="H1990" s="194" t="s">
        <v>2026</v>
      </c>
      <c r="I1990" s="12"/>
      <c r="J1990" s="46" t="s">
        <v>1681</v>
      </c>
      <c r="K1990" s="12"/>
      <c r="L1990" s="197">
        <v>8.65</v>
      </c>
      <c r="M1990" s="197">
        <v>30</v>
      </c>
      <c r="N1990" s="290">
        <v>27</v>
      </c>
      <c r="O1990" s="46"/>
      <c r="P1990" s="46" t="s">
        <v>39</v>
      </c>
      <c r="Q1990" s="12"/>
      <c r="R1990" s="192" t="str">
        <f>CONCATENATE(N1990,P1990)</f>
        <v>27grams</v>
      </c>
      <c r="S1990" s="198">
        <f>M1990*N1990</f>
        <v>810</v>
      </c>
      <c r="T1990" s="199" t="str">
        <f>CONCATENATE(S1990,Q1990,P1990)</f>
        <v>810grams</v>
      </c>
      <c r="U1990" s="200">
        <f>L1990*M1990</f>
        <v>259.5</v>
      </c>
      <c r="V1990" s="12"/>
      <c r="W1990" s="12"/>
    </row>
    <row r="1991" spans="1:23" x14ac:dyDescent="0.3">
      <c r="A1991" s="193">
        <v>815</v>
      </c>
      <c r="B1991" s="46" t="s">
        <v>1677</v>
      </c>
      <c r="C1991" s="315"/>
      <c r="D1991" s="316"/>
      <c r="E1991" s="315"/>
      <c r="F1991" s="315"/>
      <c r="G1991" s="315"/>
      <c r="H1991" s="194" t="s">
        <v>2026</v>
      </c>
      <c r="I1991" s="12"/>
      <c r="J1991" s="46" t="s">
        <v>1682</v>
      </c>
      <c r="K1991" s="12"/>
      <c r="L1991" s="197">
        <v>9.5299999999999994</v>
      </c>
      <c r="M1991" s="197">
        <v>36</v>
      </c>
      <c r="N1991" s="290">
        <v>28</v>
      </c>
      <c r="O1991" s="46"/>
      <c r="P1991" s="46" t="s">
        <v>39</v>
      </c>
      <c r="Q1991" s="12"/>
      <c r="R1991" s="192" t="str">
        <f>CONCATENATE(N1991,P1991)</f>
        <v>28grams</v>
      </c>
      <c r="S1991" s="198">
        <f>M1991*N1991</f>
        <v>1008</v>
      </c>
      <c r="T1991" s="199" t="str">
        <f>CONCATENATE(S1991,Q1991,P1991)</f>
        <v>1008grams</v>
      </c>
      <c r="U1991" s="200">
        <f>L1991*M1991</f>
        <v>343.08</v>
      </c>
      <c r="V1991" s="12"/>
      <c r="W1991" s="12"/>
    </row>
    <row r="1992" spans="1:23" x14ac:dyDescent="0.3">
      <c r="A1992" s="193">
        <v>815</v>
      </c>
      <c r="B1992" s="46" t="s">
        <v>1677</v>
      </c>
      <c r="C1992" s="315"/>
      <c r="D1992" s="316"/>
      <c r="E1992" s="315"/>
      <c r="F1992" s="315"/>
      <c r="G1992" s="315"/>
      <c r="H1992" s="194" t="s">
        <v>2020</v>
      </c>
      <c r="I1992" s="12"/>
      <c r="J1992" s="46" t="s">
        <v>1682</v>
      </c>
      <c r="K1992" s="12"/>
      <c r="L1992" s="197">
        <v>7.94</v>
      </c>
      <c r="M1992" s="197">
        <v>15</v>
      </c>
      <c r="N1992" s="290">
        <v>28</v>
      </c>
      <c r="O1992" s="46"/>
      <c r="P1992" s="46" t="s">
        <v>39</v>
      </c>
      <c r="Q1992" s="12"/>
      <c r="R1992" s="192" t="str">
        <f>CONCATENATE(N1992,P1992)</f>
        <v>28grams</v>
      </c>
      <c r="S1992" s="198">
        <f>M1992*N1992</f>
        <v>420</v>
      </c>
      <c r="T1992" s="199" t="str">
        <f>CONCATENATE(S1992,Q1992,P1992)</f>
        <v>420grams</v>
      </c>
      <c r="U1992" s="200">
        <f>L1992*M1992</f>
        <v>119.10000000000001</v>
      </c>
      <c r="V1992" s="12"/>
      <c r="W1992" s="12"/>
    </row>
    <row r="1993" spans="1:23" x14ac:dyDescent="0.3">
      <c r="A1993" s="193">
        <v>815</v>
      </c>
      <c r="B1993" s="46" t="s">
        <v>1677</v>
      </c>
      <c r="C1993" s="315"/>
      <c r="D1993" s="316"/>
      <c r="E1993" s="315"/>
      <c r="F1993" s="315"/>
      <c r="G1993" s="315"/>
      <c r="H1993" s="194" t="s">
        <v>2021</v>
      </c>
      <c r="I1993" s="12"/>
      <c r="J1993" s="219" t="s">
        <v>1683</v>
      </c>
      <c r="K1993" s="12"/>
      <c r="L1993" s="216">
        <v>15.1</v>
      </c>
      <c r="M1993" s="216">
        <v>1</v>
      </c>
      <c r="N1993" s="293">
        <v>50</v>
      </c>
      <c r="O1993" s="219"/>
      <c r="P1993" s="219" t="s">
        <v>39</v>
      </c>
      <c r="Q1993" s="12"/>
      <c r="R1993" s="192" t="str">
        <f>CONCATENATE(N1993,P1993)</f>
        <v>50grams</v>
      </c>
      <c r="S1993" s="198">
        <f>M1993*N1993</f>
        <v>50</v>
      </c>
      <c r="T1993" s="199" t="str">
        <f>CONCATENATE(S1993,Q1993,P1993)</f>
        <v>50grams</v>
      </c>
      <c r="U1993" s="200">
        <f>L1993*M1993</f>
        <v>15.1</v>
      </c>
      <c r="V1993" s="12"/>
      <c r="W1993" s="12"/>
    </row>
    <row r="1994" spans="1:23" x14ac:dyDescent="0.3">
      <c r="A1994" s="193">
        <v>815</v>
      </c>
      <c r="B1994" s="46" t="s">
        <v>1677</v>
      </c>
      <c r="C1994" s="315"/>
      <c r="D1994" s="316"/>
      <c r="E1994" s="315"/>
      <c r="F1994" s="315"/>
      <c r="G1994" s="315"/>
      <c r="H1994" s="194" t="s">
        <v>2021</v>
      </c>
      <c r="I1994" s="12"/>
      <c r="J1994" s="219" t="s">
        <v>1684</v>
      </c>
      <c r="K1994" s="12"/>
      <c r="L1994" s="216">
        <v>16.649999999999999</v>
      </c>
      <c r="M1994" s="216">
        <v>36</v>
      </c>
      <c r="N1994" s="293">
        <v>50</v>
      </c>
      <c r="O1994" s="219"/>
      <c r="P1994" s="219" t="s">
        <v>39</v>
      </c>
      <c r="Q1994" s="12"/>
      <c r="R1994" s="192" t="str">
        <f>CONCATENATE(N1994,P1994)</f>
        <v>50grams</v>
      </c>
      <c r="S1994" s="198">
        <f>M1994*N1994</f>
        <v>1800</v>
      </c>
      <c r="T1994" s="199" t="str">
        <f>CONCATENATE(S1994,Q1994,P1994)</f>
        <v>1800grams</v>
      </c>
      <c r="U1994" s="200">
        <f>L1994*M1994</f>
        <v>599.4</v>
      </c>
      <c r="V1994" s="12"/>
      <c r="W1994" s="12"/>
    </row>
    <row r="1995" spans="1:23" x14ac:dyDescent="0.3">
      <c r="A1995" s="193">
        <v>815</v>
      </c>
      <c r="B1995" s="46" t="s">
        <v>1677</v>
      </c>
      <c r="C1995" s="315"/>
      <c r="D1995" s="316"/>
      <c r="E1995" s="315"/>
      <c r="F1995" s="315"/>
      <c r="G1995" s="315"/>
      <c r="H1995" s="194" t="s">
        <v>2021</v>
      </c>
      <c r="I1995" s="12"/>
      <c r="J1995" s="219" t="s">
        <v>1685</v>
      </c>
      <c r="K1995" s="12"/>
      <c r="L1995" s="216">
        <v>8.2799999999999994</v>
      </c>
      <c r="M1995" s="216">
        <v>3</v>
      </c>
      <c r="N1995" s="293">
        <v>28</v>
      </c>
      <c r="O1995" s="219"/>
      <c r="P1995" s="219" t="s">
        <v>39</v>
      </c>
      <c r="Q1995" s="12"/>
      <c r="R1995" s="192" t="str">
        <f>CONCATENATE(N1995,P1995)</f>
        <v>28grams</v>
      </c>
      <c r="S1995" s="198">
        <f>M1995*N1995</f>
        <v>84</v>
      </c>
      <c r="T1995" s="199" t="str">
        <f>CONCATENATE(S1995,Q1995,P1995)</f>
        <v>84grams</v>
      </c>
      <c r="U1995" s="200">
        <f>L1995*M1995</f>
        <v>24.839999999999996</v>
      </c>
      <c r="V1995" s="12"/>
      <c r="W1995" s="12"/>
    </row>
    <row r="1996" spans="1:23" x14ac:dyDescent="0.3">
      <c r="A1996" s="193">
        <v>815</v>
      </c>
      <c r="B1996" s="46" t="s">
        <v>1677</v>
      </c>
      <c r="C1996" s="315"/>
      <c r="D1996" s="316"/>
      <c r="E1996" s="315"/>
      <c r="F1996" s="315"/>
      <c r="G1996" s="315"/>
      <c r="H1996" s="400" t="s">
        <v>2027</v>
      </c>
      <c r="I1996" s="12"/>
      <c r="J1996" s="170" t="s">
        <v>1682</v>
      </c>
      <c r="K1996" s="12"/>
      <c r="L1996" s="195">
        <v>7.79</v>
      </c>
      <c r="M1996" s="197">
        <v>6</v>
      </c>
      <c r="N1996" s="511">
        <v>1</v>
      </c>
      <c r="O1996" s="61"/>
      <c r="P1996" s="61" t="s">
        <v>92</v>
      </c>
      <c r="Q1996" s="12"/>
      <c r="R1996" s="192" t="str">
        <f>CONCATENATE(N1996,P1996)</f>
        <v>1pieces</v>
      </c>
      <c r="S1996" s="198">
        <f>M1996*N1996</f>
        <v>6</v>
      </c>
      <c r="T1996" s="199" t="str">
        <f>CONCATENATE(S1996,Q1996,P1996)</f>
        <v>6pieces</v>
      </c>
      <c r="U1996" s="200">
        <f>L1996*M1996</f>
        <v>46.74</v>
      </c>
      <c r="V1996" s="12"/>
      <c r="W1996" s="12"/>
    </row>
    <row r="1997" spans="1:23" x14ac:dyDescent="0.3">
      <c r="A1997" s="193">
        <v>816</v>
      </c>
      <c r="B1997" s="219" t="s">
        <v>1686</v>
      </c>
      <c r="C1997" s="315"/>
      <c r="D1997" s="316"/>
      <c r="E1997" s="315"/>
      <c r="F1997" s="315"/>
      <c r="G1997" s="315"/>
      <c r="H1997" s="194" t="s">
        <v>2020</v>
      </c>
      <c r="I1997" s="12"/>
      <c r="J1997" s="46" t="s">
        <v>1687</v>
      </c>
      <c r="K1997" s="12"/>
      <c r="L1997" s="197">
        <v>23.2</v>
      </c>
      <c r="M1997" s="197">
        <v>11</v>
      </c>
      <c r="N1997" s="290">
        <v>60</v>
      </c>
      <c r="O1997" s="46"/>
      <c r="P1997" s="46" t="s">
        <v>39</v>
      </c>
      <c r="Q1997" s="12"/>
      <c r="R1997" s="192" t="str">
        <f>CONCATENATE(N1997,P1997)</f>
        <v>60grams</v>
      </c>
      <c r="S1997" s="198">
        <f>M1997*N1997</f>
        <v>660</v>
      </c>
      <c r="T1997" s="199" t="str">
        <f>CONCATENATE(S1997,Q1997,P1997)</f>
        <v>660grams</v>
      </c>
      <c r="U1997" s="200">
        <f>L1997*M1997</f>
        <v>255.2</v>
      </c>
      <c r="V1997" s="12"/>
      <c r="W1997" s="12"/>
    </row>
    <row r="1998" spans="1:23" x14ac:dyDescent="0.3">
      <c r="A1998" s="193">
        <v>816</v>
      </c>
      <c r="B1998" s="219" t="s">
        <v>1686</v>
      </c>
      <c r="C1998" s="315"/>
      <c r="D1998" s="316"/>
      <c r="E1998" s="315"/>
      <c r="F1998" s="315"/>
      <c r="G1998" s="315"/>
      <c r="H1998" s="194" t="s">
        <v>2025</v>
      </c>
      <c r="I1998" s="12"/>
      <c r="J1998" s="46" t="s">
        <v>1688</v>
      </c>
      <c r="K1998" s="12"/>
      <c r="L1998" s="197">
        <v>24.25</v>
      </c>
      <c r="M1998" s="197">
        <v>60</v>
      </c>
      <c r="N1998" s="290">
        <v>45</v>
      </c>
      <c r="O1998" s="46"/>
      <c r="P1998" s="46" t="s">
        <v>39</v>
      </c>
      <c r="Q1998" s="12"/>
      <c r="R1998" s="192" t="str">
        <f>CONCATENATE(N1998,P1998)</f>
        <v>45grams</v>
      </c>
      <c r="S1998" s="198">
        <f>M1998*N1998</f>
        <v>2700</v>
      </c>
      <c r="T1998" s="199" t="str">
        <f>CONCATENATE(S1998,Q1998,P1998)</f>
        <v>2700grams</v>
      </c>
      <c r="U1998" s="200">
        <f>L1998*M1998</f>
        <v>1455</v>
      </c>
      <c r="V1998" s="12"/>
      <c r="W1998" s="12"/>
    </row>
    <row r="1999" spans="1:23" x14ac:dyDescent="0.3">
      <c r="A1999" s="193">
        <v>816</v>
      </c>
      <c r="B1999" s="46" t="s">
        <v>1686</v>
      </c>
      <c r="C1999" s="315"/>
      <c r="D1999" s="316"/>
      <c r="E1999" s="315"/>
      <c r="F1999" s="315"/>
      <c r="G1999" s="315"/>
      <c r="H1999" s="194" t="s">
        <v>2026</v>
      </c>
      <c r="I1999" s="12"/>
      <c r="J1999" s="46" t="s">
        <v>1689</v>
      </c>
      <c r="K1999" s="12"/>
      <c r="L1999" s="197">
        <v>7.1</v>
      </c>
      <c r="M1999" s="197">
        <v>24</v>
      </c>
      <c r="N1999" s="290">
        <v>1</v>
      </c>
      <c r="O1999" s="46"/>
      <c r="P1999" s="46" t="s">
        <v>92</v>
      </c>
      <c r="Q1999" s="12"/>
      <c r="R1999" s="192" t="str">
        <f>CONCATENATE(N1999,P1999)</f>
        <v>1pieces</v>
      </c>
      <c r="S1999" s="198">
        <f>M1999*N1999</f>
        <v>24</v>
      </c>
      <c r="T1999" s="199" t="str">
        <f>CONCATENATE(S1999,Q1999,P1999)</f>
        <v>24pieces</v>
      </c>
      <c r="U1999" s="200">
        <f>L1999*M1999</f>
        <v>170.39999999999998</v>
      </c>
      <c r="V1999" s="12"/>
      <c r="W1999" s="12"/>
    </row>
    <row r="2000" spans="1:23" x14ac:dyDescent="0.3">
      <c r="A2000" s="193">
        <v>816</v>
      </c>
      <c r="B2000" s="46" t="s">
        <v>1686</v>
      </c>
      <c r="C2000" s="315"/>
      <c r="D2000" s="316"/>
      <c r="E2000" s="315"/>
      <c r="F2000" s="315"/>
      <c r="G2000" s="315"/>
      <c r="H2000" s="194" t="s">
        <v>2026</v>
      </c>
      <c r="I2000" s="12"/>
      <c r="J2000" s="46" t="s">
        <v>1690</v>
      </c>
      <c r="K2000" s="12"/>
      <c r="L2000" s="197">
        <v>7.2</v>
      </c>
      <c r="M2000" s="197">
        <v>9</v>
      </c>
      <c r="N2000" s="290">
        <v>1</v>
      </c>
      <c r="O2000" s="46"/>
      <c r="P2000" s="46" t="s">
        <v>92</v>
      </c>
      <c r="Q2000" s="12"/>
      <c r="R2000" s="192" t="str">
        <f>CONCATENATE(N2000,P2000)</f>
        <v>1pieces</v>
      </c>
      <c r="S2000" s="198">
        <f>M2000*N2000</f>
        <v>9</v>
      </c>
      <c r="T2000" s="199" t="str">
        <f>CONCATENATE(S2000,Q2000,P2000)</f>
        <v>9pieces</v>
      </c>
      <c r="U2000" s="200">
        <f>L2000*M2000</f>
        <v>64.8</v>
      </c>
      <c r="V2000" s="12"/>
      <c r="W2000" s="12"/>
    </row>
    <row r="2001" spans="1:23" x14ac:dyDescent="0.3">
      <c r="A2001" s="193">
        <v>816</v>
      </c>
      <c r="B2001" s="219" t="s">
        <v>1686</v>
      </c>
      <c r="C2001" s="315"/>
      <c r="D2001" s="316"/>
      <c r="E2001" s="315"/>
      <c r="F2001" s="315"/>
      <c r="G2001" s="315"/>
      <c r="H2001" s="194" t="s">
        <v>2023</v>
      </c>
      <c r="I2001" s="12"/>
      <c r="J2001" s="219" t="s">
        <v>1691</v>
      </c>
      <c r="K2001" s="12"/>
      <c r="L2001" s="216">
        <v>18.8</v>
      </c>
      <c r="M2001" s="216">
        <v>10</v>
      </c>
      <c r="N2001" s="293">
        <v>1</v>
      </c>
      <c r="O2001" s="219"/>
      <c r="P2001" s="219" t="s">
        <v>304</v>
      </c>
      <c r="Q2001" s="12"/>
      <c r="R2001" s="192" t="str">
        <f>CONCATENATE(N2001,P2001)</f>
        <v>1packs</v>
      </c>
      <c r="S2001" s="198">
        <f>M2001*N2001</f>
        <v>10</v>
      </c>
      <c r="T2001" s="199" t="str">
        <f>CONCATENATE(S2001,Q2001,P2001)</f>
        <v>10packs</v>
      </c>
      <c r="U2001" s="200">
        <f>L2001*M2001</f>
        <v>188</v>
      </c>
      <c r="V2001" s="12"/>
      <c r="W2001" s="12"/>
    </row>
    <row r="2002" spans="1:23" x14ac:dyDescent="0.3">
      <c r="A2002" s="193">
        <v>816</v>
      </c>
      <c r="B2002" s="219" t="s">
        <v>1686</v>
      </c>
      <c r="C2002" s="315"/>
      <c r="D2002" s="316"/>
      <c r="E2002" s="315"/>
      <c r="F2002" s="315"/>
      <c r="G2002" s="315"/>
      <c r="H2002" s="194" t="s">
        <v>2023</v>
      </c>
      <c r="I2002" s="12"/>
      <c r="J2002" s="46" t="s">
        <v>1692</v>
      </c>
      <c r="K2002" s="12"/>
      <c r="L2002" s="197">
        <v>21.68</v>
      </c>
      <c r="M2002" s="197">
        <v>33</v>
      </c>
      <c r="N2002" s="290">
        <v>18</v>
      </c>
      <c r="O2002" s="46"/>
      <c r="P2002" s="46" t="s">
        <v>92</v>
      </c>
      <c r="Q2002" s="12"/>
      <c r="R2002" s="192" t="str">
        <f>CONCATENATE(N2002,P2002)</f>
        <v>18pieces</v>
      </c>
      <c r="S2002" s="198">
        <f>M2002*N2002</f>
        <v>594</v>
      </c>
      <c r="T2002" s="199" t="str">
        <f>CONCATENATE(S2002,Q2002,P2002)</f>
        <v>594pieces</v>
      </c>
      <c r="U2002" s="200">
        <f>L2002*M2002</f>
        <v>715.43999999999994</v>
      </c>
      <c r="V2002" s="12"/>
      <c r="W2002" s="12"/>
    </row>
    <row r="2003" spans="1:23" x14ac:dyDescent="0.3">
      <c r="A2003" s="193">
        <v>816</v>
      </c>
      <c r="B2003" s="46" t="s">
        <v>1686</v>
      </c>
      <c r="C2003" s="315"/>
      <c r="D2003" s="316"/>
      <c r="E2003" s="315"/>
      <c r="F2003" s="315"/>
      <c r="G2003" s="315"/>
      <c r="H2003" s="194" t="s">
        <v>2026</v>
      </c>
      <c r="I2003" s="12"/>
      <c r="J2003" s="46" t="s">
        <v>1693</v>
      </c>
      <c r="K2003" s="12"/>
      <c r="L2003" s="197">
        <v>19.32</v>
      </c>
      <c r="M2003" s="197">
        <v>30</v>
      </c>
      <c r="N2003" s="290">
        <v>90</v>
      </c>
      <c r="O2003" s="46"/>
      <c r="P2003" s="46" t="s">
        <v>39</v>
      </c>
      <c r="Q2003" s="12"/>
      <c r="R2003" s="192" t="str">
        <f>CONCATENATE(N2003,P2003)</f>
        <v>90grams</v>
      </c>
      <c r="S2003" s="198">
        <f>M2003*N2003</f>
        <v>2700</v>
      </c>
      <c r="T2003" s="199" t="str">
        <f>CONCATENATE(S2003,Q2003,P2003)</f>
        <v>2700grams</v>
      </c>
      <c r="U2003" s="200">
        <f>L2003*M2003</f>
        <v>579.6</v>
      </c>
      <c r="V2003" s="12"/>
      <c r="W2003" s="12"/>
    </row>
    <row r="2004" spans="1:23" x14ac:dyDescent="0.3">
      <c r="A2004" s="193">
        <v>816</v>
      </c>
      <c r="B2004" s="46" t="s">
        <v>1686</v>
      </c>
      <c r="C2004" s="315"/>
      <c r="D2004" s="316"/>
      <c r="E2004" s="315"/>
      <c r="F2004" s="315"/>
      <c r="G2004" s="315"/>
      <c r="H2004" s="194" t="s">
        <v>2025</v>
      </c>
      <c r="I2004" s="12"/>
      <c r="J2004" s="46" t="s">
        <v>1694</v>
      </c>
      <c r="K2004" s="12"/>
      <c r="L2004" s="197">
        <v>21.12</v>
      </c>
      <c r="M2004" s="197">
        <v>19</v>
      </c>
      <c r="N2004" s="290">
        <v>90</v>
      </c>
      <c r="O2004" s="46"/>
      <c r="P2004" s="46" t="s">
        <v>39</v>
      </c>
      <c r="Q2004" s="12"/>
      <c r="R2004" s="192" t="str">
        <f>CONCATENATE(N2004,P2004)</f>
        <v>90grams</v>
      </c>
      <c r="S2004" s="198">
        <f>M2004*N2004</f>
        <v>1710</v>
      </c>
      <c r="T2004" s="199" t="str">
        <f>CONCATENATE(S2004,Q2004,P2004)</f>
        <v>1710grams</v>
      </c>
      <c r="U2004" s="200">
        <f>L2004*M2004</f>
        <v>401.28000000000003</v>
      </c>
      <c r="V2004" s="12"/>
      <c r="W2004" s="12"/>
    </row>
    <row r="2005" spans="1:23" x14ac:dyDescent="0.3">
      <c r="A2005" s="193">
        <v>816</v>
      </c>
      <c r="B2005" s="46" t="s">
        <v>1686</v>
      </c>
      <c r="C2005" s="315"/>
      <c r="D2005" s="316"/>
      <c r="E2005" s="315"/>
      <c r="F2005" s="315"/>
      <c r="G2005" s="315"/>
      <c r="H2005" s="194" t="s">
        <v>2023</v>
      </c>
      <c r="I2005" s="12"/>
      <c r="J2005" s="46" t="s">
        <v>1694</v>
      </c>
      <c r="K2005" s="12"/>
      <c r="L2005" s="396">
        <v>19.899999999999999</v>
      </c>
      <c r="M2005" s="197">
        <v>20</v>
      </c>
      <c r="N2005" s="290">
        <v>90</v>
      </c>
      <c r="O2005" s="46"/>
      <c r="P2005" s="46" t="s">
        <v>39</v>
      </c>
      <c r="Q2005" s="12"/>
      <c r="R2005" s="192" t="str">
        <f>CONCATENATE(N2005,P2005)</f>
        <v>90grams</v>
      </c>
      <c r="S2005" s="198">
        <f>M2005*N2005</f>
        <v>1800</v>
      </c>
      <c r="T2005" s="199" t="str">
        <f>CONCATENATE(S2005,Q2005,P2005)</f>
        <v>1800grams</v>
      </c>
      <c r="U2005" s="200">
        <f>L2005*M2005</f>
        <v>398</v>
      </c>
      <c r="V2005" s="12"/>
      <c r="W2005" s="12"/>
    </row>
    <row r="2006" spans="1:23" x14ac:dyDescent="0.3">
      <c r="A2006" s="193">
        <v>816</v>
      </c>
      <c r="B2006" s="46" t="s">
        <v>1686</v>
      </c>
      <c r="C2006" s="315"/>
      <c r="D2006" s="316"/>
      <c r="E2006" s="315"/>
      <c r="F2006" s="315"/>
      <c r="G2006" s="315"/>
      <c r="H2006" s="194" t="s">
        <v>2025</v>
      </c>
      <c r="I2006" s="12"/>
      <c r="J2006" s="46" t="s">
        <v>1695</v>
      </c>
      <c r="K2006" s="12"/>
      <c r="L2006" s="197">
        <v>22.45</v>
      </c>
      <c r="M2006" s="197">
        <v>24</v>
      </c>
      <c r="N2006" s="290">
        <v>105</v>
      </c>
      <c r="O2006" s="46"/>
      <c r="P2006" s="46" t="s">
        <v>39</v>
      </c>
      <c r="Q2006" s="12"/>
      <c r="R2006" s="192" t="str">
        <f>CONCATENATE(N2006,P2006)</f>
        <v>105grams</v>
      </c>
      <c r="S2006" s="198">
        <f>M2006*N2006</f>
        <v>2520</v>
      </c>
      <c r="T2006" s="199" t="str">
        <f>CONCATENATE(S2006,Q2006,P2006)</f>
        <v>2520grams</v>
      </c>
      <c r="U2006" s="200">
        <f>L2006*M2006</f>
        <v>538.79999999999995</v>
      </c>
      <c r="V2006" s="12"/>
      <c r="W2006" s="12"/>
    </row>
    <row r="2007" spans="1:23" x14ac:dyDescent="0.3">
      <c r="A2007" s="193">
        <v>816</v>
      </c>
      <c r="B2007" s="46" t="s">
        <v>1686</v>
      </c>
      <c r="C2007" s="315"/>
      <c r="D2007" s="316"/>
      <c r="E2007" s="315"/>
      <c r="F2007" s="315"/>
      <c r="G2007" s="315"/>
      <c r="H2007" s="194" t="s">
        <v>2026</v>
      </c>
      <c r="I2007" s="12"/>
      <c r="J2007" s="46" t="s">
        <v>1696</v>
      </c>
      <c r="K2007" s="12"/>
      <c r="L2007" s="197">
        <v>16.7</v>
      </c>
      <c r="M2007" s="197">
        <v>9</v>
      </c>
      <c r="N2007" s="290">
        <v>60</v>
      </c>
      <c r="O2007" s="46"/>
      <c r="P2007" s="46" t="s">
        <v>92</v>
      </c>
      <c r="Q2007" s="12"/>
      <c r="R2007" s="192" t="str">
        <f>CONCATENATE(N2007,P2007)</f>
        <v>60pieces</v>
      </c>
      <c r="S2007" s="198">
        <f>M2007*N2007</f>
        <v>540</v>
      </c>
      <c r="T2007" s="199" t="str">
        <f>CONCATENATE(S2007,Q2007,P2007)</f>
        <v>540pieces</v>
      </c>
      <c r="U2007" s="200">
        <f>L2007*M2007</f>
        <v>150.29999999999998</v>
      </c>
      <c r="V2007" s="12"/>
      <c r="W2007" s="12"/>
    </row>
    <row r="2008" spans="1:23" x14ac:dyDescent="0.3">
      <c r="A2008" s="193">
        <v>816</v>
      </c>
      <c r="B2008" s="46" t="s">
        <v>1686</v>
      </c>
      <c r="C2008" s="315"/>
      <c r="D2008" s="316"/>
      <c r="E2008" s="315"/>
      <c r="F2008" s="315"/>
      <c r="G2008" s="315"/>
      <c r="H2008" s="194" t="s">
        <v>2023</v>
      </c>
      <c r="I2008" s="12"/>
      <c r="J2008" s="46" t="s">
        <v>1697</v>
      </c>
      <c r="K2008" s="12"/>
      <c r="L2008" s="197">
        <v>15</v>
      </c>
      <c r="M2008" s="197">
        <v>58</v>
      </c>
      <c r="N2008" s="290">
        <v>23</v>
      </c>
      <c r="O2008" s="46"/>
      <c r="P2008" s="46" t="s">
        <v>39</v>
      </c>
      <c r="Q2008" s="12"/>
      <c r="R2008" s="192" t="str">
        <f>CONCATENATE(N2008,P2008)</f>
        <v>23grams</v>
      </c>
      <c r="S2008" s="198">
        <f>M2008*N2008</f>
        <v>1334</v>
      </c>
      <c r="T2008" s="199" t="str">
        <f>CONCATENATE(S2008,Q2008,P2008)</f>
        <v>1334grams</v>
      </c>
      <c r="U2008" s="200">
        <f>L2008*M2008</f>
        <v>870</v>
      </c>
      <c r="V2008" s="12"/>
      <c r="W2008" s="12"/>
    </row>
    <row r="2009" spans="1:23" x14ac:dyDescent="0.3">
      <c r="A2009" s="193">
        <v>816</v>
      </c>
      <c r="B2009" s="46" t="s">
        <v>1686</v>
      </c>
      <c r="C2009" s="315"/>
      <c r="D2009" s="316"/>
      <c r="E2009" s="315"/>
      <c r="F2009" s="315"/>
      <c r="G2009" s="315"/>
      <c r="H2009" s="194" t="s">
        <v>2025</v>
      </c>
      <c r="I2009" s="12"/>
      <c r="J2009" s="46" t="s">
        <v>1698</v>
      </c>
      <c r="K2009" s="12"/>
      <c r="L2009" s="197">
        <v>16.95</v>
      </c>
      <c r="M2009" s="197">
        <v>47</v>
      </c>
      <c r="N2009" s="290">
        <v>110</v>
      </c>
      <c r="O2009" s="46"/>
      <c r="P2009" s="46" t="s">
        <v>39</v>
      </c>
      <c r="Q2009" s="12"/>
      <c r="R2009" s="192" t="str">
        <f>CONCATENATE(N2009,P2009)</f>
        <v>110grams</v>
      </c>
      <c r="S2009" s="198">
        <f>M2009*N2009</f>
        <v>5170</v>
      </c>
      <c r="T2009" s="199" t="str">
        <f>CONCATENATE(S2009,Q2009,P2009)</f>
        <v>5170grams</v>
      </c>
      <c r="U2009" s="200">
        <f>L2009*M2009</f>
        <v>796.65</v>
      </c>
      <c r="V2009" s="12"/>
      <c r="W2009" s="12"/>
    </row>
    <row r="2010" spans="1:23" x14ac:dyDescent="0.3">
      <c r="A2010" s="193">
        <v>816</v>
      </c>
      <c r="B2010" s="46" t="s">
        <v>1686</v>
      </c>
      <c r="C2010" s="315"/>
      <c r="D2010" s="316"/>
      <c r="E2010" s="315"/>
      <c r="F2010" s="315"/>
      <c r="G2010" s="315"/>
      <c r="H2010" s="194" t="s">
        <v>1368</v>
      </c>
      <c r="I2010" s="12"/>
      <c r="J2010" s="46" t="s">
        <v>1699</v>
      </c>
      <c r="K2010" s="12"/>
      <c r="L2010" s="197">
        <v>23.5</v>
      </c>
      <c r="M2010" s="197">
        <v>19</v>
      </c>
      <c r="N2010" s="290">
        <v>100</v>
      </c>
      <c r="O2010" s="46"/>
      <c r="P2010" s="46" t="s">
        <v>39</v>
      </c>
      <c r="Q2010" s="12"/>
      <c r="R2010" s="192" t="str">
        <f>CONCATENATE(N2010,P2010)</f>
        <v>100grams</v>
      </c>
      <c r="S2010" s="198">
        <f>M2010*N2010</f>
        <v>1900</v>
      </c>
      <c r="T2010" s="199" t="str">
        <f>CONCATENATE(S2010,Q2010,P2010)</f>
        <v>1900grams</v>
      </c>
      <c r="U2010" s="200">
        <f>L2010*M2010</f>
        <v>446.5</v>
      </c>
      <c r="V2010" s="12"/>
      <c r="W2010" s="12"/>
    </row>
    <row r="2011" spans="1:23" x14ac:dyDescent="0.3">
      <c r="A2011" s="193">
        <v>816</v>
      </c>
      <c r="B2011" s="46" t="s">
        <v>1686</v>
      </c>
      <c r="C2011" s="315"/>
      <c r="D2011" s="316"/>
      <c r="E2011" s="315"/>
      <c r="F2011" s="315"/>
      <c r="G2011" s="315"/>
      <c r="H2011" s="194" t="s">
        <v>2026</v>
      </c>
      <c r="I2011" s="12"/>
      <c r="J2011" s="46" t="s">
        <v>1699</v>
      </c>
      <c r="K2011" s="12"/>
      <c r="L2011" s="197">
        <v>21.66</v>
      </c>
      <c r="M2011" s="197">
        <v>50</v>
      </c>
      <c r="N2011" s="290">
        <v>98</v>
      </c>
      <c r="O2011" s="46"/>
      <c r="P2011" s="46" t="s">
        <v>39</v>
      </c>
      <c r="Q2011" s="12"/>
      <c r="R2011" s="192" t="str">
        <f>CONCATENATE(N2011,P2011)</f>
        <v>98grams</v>
      </c>
      <c r="S2011" s="198">
        <f>M2011*N2011</f>
        <v>4900</v>
      </c>
      <c r="T2011" s="199" t="str">
        <f>CONCATENATE(S2011,Q2011,P2011)</f>
        <v>4900grams</v>
      </c>
      <c r="U2011" s="200">
        <f>L2011*M2011</f>
        <v>1083</v>
      </c>
      <c r="V2011" s="12"/>
      <c r="W2011" s="12"/>
    </row>
    <row r="2012" spans="1:23" x14ac:dyDescent="0.3">
      <c r="A2012" s="193">
        <v>816</v>
      </c>
      <c r="B2012" s="46" t="s">
        <v>1686</v>
      </c>
      <c r="C2012" s="315"/>
      <c r="D2012" s="316"/>
      <c r="E2012" s="315"/>
      <c r="F2012" s="315"/>
      <c r="G2012" s="315"/>
      <c r="H2012" s="194" t="s">
        <v>1368</v>
      </c>
      <c r="I2012" s="12"/>
      <c r="J2012" s="46" t="s">
        <v>1700</v>
      </c>
      <c r="K2012" s="12"/>
      <c r="L2012" s="197">
        <v>35.15</v>
      </c>
      <c r="M2012" s="197">
        <v>17</v>
      </c>
      <c r="N2012" s="290">
        <v>78</v>
      </c>
      <c r="O2012" s="46"/>
      <c r="P2012" s="46" t="s">
        <v>39</v>
      </c>
      <c r="Q2012" s="12"/>
      <c r="R2012" s="192" t="str">
        <f>CONCATENATE(N2012,P2012)</f>
        <v>78grams</v>
      </c>
      <c r="S2012" s="198">
        <f>M2012*N2012</f>
        <v>1326</v>
      </c>
      <c r="T2012" s="199" t="str">
        <f>CONCATENATE(S2012,Q2012,P2012)</f>
        <v>1326grams</v>
      </c>
      <c r="U2012" s="200">
        <f>L2012*M2012</f>
        <v>597.54999999999995</v>
      </c>
      <c r="V2012" s="12"/>
      <c r="W2012" s="12"/>
    </row>
    <row r="2013" spans="1:23" x14ac:dyDescent="0.3">
      <c r="A2013" s="193">
        <v>816</v>
      </c>
      <c r="B2013" s="46" t="s">
        <v>1686</v>
      </c>
      <c r="C2013" s="315"/>
      <c r="D2013" s="316"/>
      <c r="E2013" s="315"/>
      <c r="F2013" s="315"/>
      <c r="G2013" s="315"/>
      <c r="H2013" s="194" t="s">
        <v>2026</v>
      </c>
      <c r="I2013" s="12"/>
      <c r="J2013" s="46" t="s">
        <v>1701</v>
      </c>
      <c r="K2013" s="12"/>
      <c r="L2013" s="197">
        <v>33.5</v>
      </c>
      <c r="M2013" s="197">
        <v>100</v>
      </c>
      <c r="N2013" s="290">
        <v>78</v>
      </c>
      <c r="O2013" s="46"/>
      <c r="P2013" s="46" t="s">
        <v>39</v>
      </c>
      <c r="Q2013" s="12"/>
      <c r="R2013" s="192" t="str">
        <f>CONCATENATE(N2013,P2013)</f>
        <v>78grams</v>
      </c>
      <c r="S2013" s="198">
        <f>M2013*N2013</f>
        <v>7800</v>
      </c>
      <c r="T2013" s="199" t="str">
        <f>CONCATENATE(S2013,Q2013,P2013)</f>
        <v>7800grams</v>
      </c>
      <c r="U2013" s="200">
        <f>L2013*M2013</f>
        <v>3350</v>
      </c>
      <c r="V2013" s="12"/>
      <c r="W2013" s="12"/>
    </row>
    <row r="2014" spans="1:23" x14ac:dyDescent="0.3">
      <c r="A2014" s="193">
        <v>816</v>
      </c>
      <c r="B2014" s="46" t="s">
        <v>1686</v>
      </c>
      <c r="C2014" s="315"/>
      <c r="D2014" s="316"/>
      <c r="E2014" s="315"/>
      <c r="F2014" s="315"/>
      <c r="G2014" s="315"/>
      <c r="H2014" s="194" t="s">
        <v>2023</v>
      </c>
      <c r="I2014" s="12"/>
      <c r="J2014" s="46" t="s">
        <v>1701</v>
      </c>
      <c r="K2014" s="12"/>
      <c r="L2014" s="197">
        <v>33.5</v>
      </c>
      <c r="M2014" s="197">
        <v>150</v>
      </c>
      <c r="N2014" s="290">
        <v>78</v>
      </c>
      <c r="O2014" s="46"/>
      <c r="P2014" s="46" t="s">
        <v>39</v>
      </c>
      <c r="Q2014" s="12"/>
      <c r="R2014" s="192" t="str">
        <f>CONCATENATE(N2014,P2014)</f>
        <v>78grams</v>
      </c>
      <c r="S2014" s="198">
        <f>M2014*N2014</f>
        <v>11700</v>
      </c>
      <c r="T2014" s="199" t="str">
        <f>CONCATENATE(S2014,Q2014,P2014)</f>
        <v>11700grams</v>
      </c>
      <c r="U2014" s="200">
        <f>L2014*M2014</f>
        <v>5025</v>
      </c>
      <c r="V2014" s="12"/>
      <c r="W2014" s="12"/>
    </row>
    <row r="2015" spans="1:23" x14ac:dyDescent="0.3">
      <c r="A2015" s="193">
        <v>816</v>
      </c>
      <c r="B2015" s="46" t="s">
        <v>1686</v>
      </c>
      <c r="C2015" s="315"/>
      <c r="D2015" s="316"/>
      <c r="E2015" s="315"/>
      <c r="F2015" s="315"/>
      <c r="G2015" s="315"/>
      <c r="H2015" s="194" t="s">
        <v>2023</v>
      </c>
      <c r="I2015" s="12"/>
      <c r="J2015" s="46" t="s">
        <v>1702</v>
      </c>
      <c r="K2015" s="12"/>
      <c r="L2015" s="197">
        <v>34.9</v>
      </c>
      <c r="M2015" s="197">
        <v>25</v>
      </c>
      <c r="N2015" s="290">
        <v>100</v>
      </c>
      <c r="O2015" s="46"/>
      <c r="P2015" s="46" t="s">
        <v>39</v>
      </c>
      <c r="Q2015" s="12"/>
      <c r="R2015" s="192" t="str">
        <f>CONCATENATE(N2015,P2015)</f>
        <v>100grams</v>
      </c>
      <c r="S2015" s="198">
        <f>M2015*N2015</f>
        <v>2500</v>
      </c>
      <c r="T2015" s="199" t="str">
        <f>CONCATENATE(S2015,Q2015,P2015)</f>
        <v>2500grams</v>
      </c>
      <c r="U2015" s="200">
        <f>L2015*M2015</f>
        <v>872.5</v>
      </c>
      <c r="V2015" s="12"/>
      <c r="W2015" s="12"/>
    </row>
    <row r="2016" spans="1:23" x14ac:dyDescent="0.3">
      <c r="A2016" s="193">
        <v>816</v>
      </c>
      <c r="B2016" s="46" t="s">
        <v>1686</v>
      </c>
      <c r="C2016" s="315"/>
      <c r="D2016" s="316"/>
      <c r="E2016" s="315"/>
      <c r="F2016" s="315"/>
      <c r="G2016" s="315"/>
      <c r="H2016" s="194" t="s">
        <v>2026</v>
      </c>
      <c r="I2016" s="12"/>
      <c r="J2016" s="46" t="s">
        <v>1703</v>
      </c>
      <c r="K2016" s="12"/>
      <c r="L2016" s="197">
        <v>22.38</v>
      </c>
      <c r="M2016" s="197">
        <v>30</v>
      </c>
      <c r="N2016" s="290">
        <v>75</v>
      </c>
      <c r="O2016" s="46"/>
      <c r="P2016" s="46" t="s">
        <v>39</v>
      </c>
      <c r="Q2016" s="12"/>
      <c r="R2016" s="192" t="str">
        <f>CONCATENATE(N2016,P2016)</f>
        <v>75grams</v>
      </c>
      <c r="S2016" s="198">
        <f>M2016*N2016</f>
        <v>2250</v>
      </c>
      <c r="T2016" s="199" t="str">
        <f>CONCATENATE(S2016,Q2016,P2016)</f>
        <v>2250grams</v>
      </c>
      <c r="U2016" s="200">
        <f>L2016*M2016</f>
        <v>671.4</v>
      </c>
      <c r="V2016" s="12"/>
      <c r="W2016" s="12"/>
    </row>
    <row r="2017" spans="1:23" x14ac:dyDescent="0.3">
      <c r="A2017" s="193">
        <v>816</v>
      </c>
      <c r="B2017" s="46" t="s">
        <v>1686</v>
      </c>
      <c r="C2017" s="315"/>
      <c r="D2017" s="316"/>
      <c r="E2017" s="315"/>
      <c r="F2017" s="315"/>
      <c r="G2017" s="315"/>
      <c r="H2017" s="194" t="s">
        <v>2026</v>
      </c>
      <c r="I2017" s="12"/>
      <c r="J2017" s="46" t="s">
        <v>1704</v>
      </c>
      <c r="K2017" s="12"/>
      <c r="L2017" s="197">
        <v>12.54</v>
      </c>
      <c r="M2017" s="197">
        <v>18</v>
      </c>
      <c r="N2017" s="290">
        <v>56</v>
      </c>
      <c r="O2017" s="46"/>
      <c r="P2017" s="46" t="s">
        <v>39</v>
      </c>
      <c r="Q2017" s="12"/>
      <c r="R2017" s="192" t="str">
        <f>CONCATENATE(N2017,P2017)</f>
        <v>56grams</v>
      </c>
      <c r="S2017" s="198">
        <f>M2017*N2017</f>
        <v>1008</v>
      </c>
      <c r="T2017" s="199" t="str">
        <f>CONCATENATE(S2017,Q2017,P2017)</f>
        <v>1008grams</v>
      </c>
      <c r="U2017" s="200">
        <f>L2017*M2017</f>
        <v>225.71999999999997</v>
      </c>
      <c r="V2017" s="12"/>
      <c r="W2017" s="12"/>
    </row>
    <row r="2018" spans="1:23" x14ac:dyDescent="0.3">
      <c r="A2018" s="193">
        <v>816</v>
      </c>
      <c r="B2018" s="219" t="s">
        <v>1686</v>
      </c>
      <c r="C2018" s="315"/>
      <c r="D2018" s="316"/>
      <c r="E2018" s="315"/>
      <c r="F2018" s="315"/>
      <c r="G2018" s="315"/>
      <c r="H2018" s="194" t="s">
        <v>2020</v>
      </c>
      <c r="I2018" s="12"/>
      <c r="J2018" s="46" t="s">
        <v>1705</v>
      </c>
      <c r="K2018" s="12"/>
      <c r="L2018" s="197">
        <v>23.1</v>
      </c>
      <c r="M2018" s="197">
        <v>2</v>
      </c>
      <c r="N2018" s="290">
        <v>85</v>
      </c>
      <c r="O2018" s="46"/>
      <c r="P2018" s="46" t="s">
        <v>39</v>
      </c>
      <c r="Q2018" s="12"/>
      <c r="R2018" s="192" t="str">
        <f>CONCATENATE(N2018,P2018)</f>
        <v>85grams</v>
      </c>
      <c r="S2018" s="198">
        <f>M2018*N2018</f>
        <v>170</v>
      </c>
      <c r="T2018" s="199" t="str">
        <f>CONCATENATE(S2018,Q2018,P2018)</f>
        <v>170grams</v>
      </c>
      <c r="U2018" s="200">
        <f>L2018*M2018</f>
        <v>46.2</v>
      </c>
      <c r="V2018" s="12"/>
      <c r="W2018" s="12"/>
    </row>
    <row r="2019" spans="1:23" x14ac:dyDescent="0.3">
      <c r="A2019" s="193">
        <v>816</v>
      </c>
      <c r="B2019" s="219" t="s">
        <v>1686</v>
      </c>
      <c r="C2019" s="315"/>
      <c r="D2019" s="316"/>
      <c r="E2019" s="315"/>
      <c r="F2019" s="315"/>
      <c r="G2019" s="315"/>
      <c r="H2019" s="194" t="s">
        <v>2025</v>
      </c>
      <c r="I2019" s="12"/>
      <c r="J2019" s="46" t="s">
        <v>1705</v>
      </c>
      <c r="K2019" s="12"/>
      <c r="L2019" s="197">
        <v>22.45</v>
      </c>
      <c r="M2019" s="197">
        <v>1</v>
      </c>
      <c r="N2019" s="290">
        <v>85</v>
      </c>
      <c r="O2019" s="46"/>
      <c r="P2019" s="46" t="s">
        <v>39</v>
      </c>
      <c r="Q2019" s="12"/>
      <c r="R2019" s="192" t="str">
        <f>CONCATENATE(N2019,P2019)</f>
        <v>85grams</v>
      </c>
      <c r="S2019" s="198">
        <f>M2019*N2019</f>
        <v>85</v>
      </c>
      <c r="T2019" s="199" t="str">
        <f>CONCATENATE(S2019,Q2019,P2019)</f>
        <v>85grams</v>
      </c>
      <c r="U2019" s="200">
        <f>L2019*M2019</f>
        <v>22.45</v>
      </c>
      <c r="V2019" s="12"/>
      <c r="W2019" s="12"/>
    </row>
    <row r="2020" spans="1:23" x14ac:dyDescent="0.3">
      <c r="A2020" s="193">
        <v>816</v>
      </c>
      <c r="B2020" s="46" t="s">
        <v>1686</v>
      </c>
      <c r="C2020" s="315"/>
      <c r="D2020" s="316"/>
      <c r="E2020" s="315"/>
      <c r="F2020" s="315"/>
      <c r="G2020" s="315"/>
      <c r="H2020" s="194" t="s">
        <v>2025</v>
      </c>
      <c r="I2020" s="12"/>
      <c r="J2020" s="46" t="s">
        <v>1706</v>
      </c>
      <c r="K2020" s="12"/>
      <c r="L2020" s="197">
        <v>85</v>
      </c>
      <c r="M2020" s="197">
        <v>15</v>
      </c>
      <c r="N2020" s="290">
        <v>350</v>
      </c>
      <c r="O2020" s="46"/>
      <c r="P2020" s="46" t="s">
        <v>32</v>
      </c>
      <c r="Q2020" s="12"/>
      <c r="R2020" s="192" t="str">
        <f>CONCATENATE(N2020,P2020)</f>
        <v>350ml</v>
      </c>
      <c r="S2020" s="198">
        <f>M2020*N2020</f>
        <v>5250</v>
      </c>
      <c r="T2020" s="199" t="str">
        <f>CONCATENATE(S2020,Q2020,P2020)</f>
        <v>5250ml</v>
      </c>
      <c r="U2020" s="200">
        <f>L2020*M2020</f>
        <v>1275</v>
      </c>
      <c r="V2020" s="12"/>
      <c r="W2020" s="12"/>
    </row>
    <row r="2021" spans="1:23" x14ac:dyDescent="0.3">
      <c r="A2021" s="193">
        <v>816</v>
      </c>
      <c r="B2021" s="46" t="s">
        <v>1686</v>
      </c>
      <c r="C2021" s="315"/>
      <c r="D2021" s="316"/>
      <c r="E2021" s="315"/>
      <c r="F2021" s="315"/>
      <c r="G2021" s="315"/>
      <c r="H2021" s="194" t="s">
        <v>2025</v>
      </c>
      <c r="I2021" s="12"/>
      <c r="J2021" s="46" t="s">
        <v>1706</v>
      </c>
      <c r="K2021" s="12"/>
      <c r="L2021" s="197">
        <v>120</v>
      </c>
      <c r="M2021" s="197">
        <v>7</v>
      </c>
      <c r="N2021" s="290">
        <v>750</v>
      </c>
      <c r="O2021" s="46"/>
      <c r="P2021" s="46" t="s">
        <v>32</v>
      </c>
      <c r="Q2021" s="12"/>
      <c r="R2021" s="192" t="str">
        <f>CONCATENATE(N2021,P2021)</f>
        <v>750ml</v>
      </c>
      <c r="S2021" s="198">
        <f>M2021*N2021</f>
        <v>5250</v>
      </c>
      <c r="T2021" s="199" t="str">
        <f>CONCATENATE(S2021,Q2021,P2021)</f>
        <v>5250ml</v>
      </c>
      <c r="U2021" s="200">
        <f>L2021*M2021</f>
        <v>840</v>
      </c>
      <c r="V2021" s="12"/>
      <c r="W2021" s="12"/>
    </row>
    <row r="2022" spans="1:23" x14ac:dyDescent="0.3">
      <c r="A2022" s="193">
        <v>816</v>
      </c>
      <c r="B2022" s="46" t="s">
        <v>1686</v>
      </c>
      <c r="C2022" s="315"/>
      <c r="D2022" s="316"/>
      <c r="E2022" s="315"/>
      <c r="F2022" s="315"/>
      <c r="G2022" s="315"/>
      <c r="H2022" s="194" t="s">
        <v>1368</v>
      </c>
      <c r="I2022" s="12"/>
      <c r="J2022" s="46" t="s">
        <v>1707</v>
      </c>
      <c r="K2022" s="12"/>
      <c r="L2022" s="197">
        <v>34.200000000000003</v>
      </c>
      <c r="M2022" s="197">
        <v>20</v>
      </c>
      <c r="N2022" s="290">
        <v>85</v>
      </c>
      <c r="O2022" s="46"/>
      <c r="P2022" s="46" t="s">
        <v>39</v>
      </c>
      <c r="Q2022" s="12"/>
      <c r="R2022" s="192" t="str">
        <f>CONCATENATE(N2022,P2022)</f>
        <v>85grams</v>
      </c>
      <c r="S2022" s="198">
        <f>M2022*N2022</f>
        <v>1700</v>
      </c>
      <c r="T2022" s="199" t="str">
        <f>CONCATENATE(S2022,Q2022,P2022)</f>
        <v>1700grams</v>
      </c>
      <c r="U2022" s="200">
        <f>L2022*M2022</f>
        <v>684</v>
      </c>
      <c r="V2022" s="12"/>
      <c r="W2022" s="12"/>
    </row>
    <row r="2023" spans="1:23" x14ac:dyDescent="0.3">
      <c r="A2023" s="193">
        <v>816</v>
      </c>
      <c r="B2023" s="46" t="s">
        <v>1686</v>
      </c>
      <c r="C2023" s="315"/>
      <c r="D2023" s="316"/>
      <c r="E2023" s="315"/>
      <c r="F2023" s="315"/>
      <c r="G2023" s="315"/>
      <c r="H2023" s="194" t="s">
        <v>2025</v>
      </c>
      <c r="I2023" s="12"/>
      <c r="J2023" s="46" t="s">
        <v>1708</v>
      </c>
      <c r="K2023" s="12"/>
      <c r="L2023" s="197">
        <v>56.45</v>
      </c>
      <c r="M2023" s="197">
        <v>18</v>
      </c>
      <c r="N2023" s="290">
        <v>180</v>
      </c>
      <c r="O2023" s="46"/>
      <c r="P2023" s="46" t="s">
        <v>39</v>
      </c>
      <c r="Q2023" s="12"/>
      <c r="R2023" s="192" t="str">
        <f>CONCATENATE(N2023,P2023)</f>
        <v>180grams</v>
      </c>
      <c r="S2023" s="198">
        <f>M2023*N2023</f>
        <v>3240</v>
      </c>
      <c r="T2023" s="199" t="str">
        <f>CONCATENATE(S2023,Q2023,P2023)</f>
        <v>3240grams</v>
      </c>
      <c r="U2023" s="200">
        <f>L2023*M2023</f>
        <v>1016.1</v>
      </c>
      <c r="V2023" s="12"/>
      <c r="W2023" s="12"/>
    </row>
    <row r="2024" spans="1:23" x14ac:dyDescent="0.3">
      <c r="A2024" s="193">
        <v>816</v>
      </c>
      <c r="B2024" s="46" t="s">
        <v>1686</v>
      </c>
      <c r="C2024" s="315"/>
      <c r="D2024" s="316"/>
      <c r="E2024" s="315"/>
      <c r="F2024" s="315"/>
      <c r="G2024" s="315"/>
      <c r="H2024" s="194" t="s">
        <v>2026</v>
      </c>
      <c r="I2024" s="12"/>
      <c r="J2024" s="46" t="s">
        <v>1709</v>
      </c>
      <c r="K2024" s="12"/>
      <c r="L2024" s="197">
        <v>40.1</v>
      </c>
      <c r="M2024" s="197">
        <v>3</v>
      </c>
      <c r="N2024" s="290">
        <v>150</v>
      </c>
      <c r="O2024" s="46"/>
      <c r="P2024" s="46" t="s">
        <v>39</v>
      </c>
      <c r="Q2024" s="12"/>
      <c r="R2024" s="192" t="str">
        <f>CONCATENATE(N2024,P2024)</f>
        <v>150grams</v>
      </c>
      <c r="S2024" s="198">
        <f>M2024*N2024</f>
        <v>450</v>
      </c>
      <c r="T2024" s="199" t="str">
        <f>CONCATENATE(S2024,Q2024,P2024)</f>
        <v>450grams</v>
      </c>
      <c r="U2024" s="200">
        <f>L2024*M2024</f>
        <v>120.30000000000001</v>
      </c>
      <c r="V2024" s="12"/>
      <c r="W2024" s="12"/>
    </row>
    <row r="2025" spans="1:23" x14ac:dyDescent="0.3">
      <c r="A2025" s="193">
        <v>816</v>
      </c>
      <c r="B2025" s="46" t="s">
        <v>1686</v>
      </c>
      <c r="C2025" s="315"/>
      <c r="D2025" s="316"/>
      <c r="E2025" s="315"/>
      <c r="F2025" s="315"/>
      <c r="G2025" s="315"/>
      <c r="H2025" s="194" t="s">
        <v>2026</v>
      </c>
      <c r="I2025" s="12"/>
      <c r="J2025" s="46" t="s">
        <v>1710</v>
      </c>
      <c r="K2025" s="12"/>
      <c r="L2025" s="197">
        <v>15.8</v>
      </c>
      <c r="M2025" s="197">
        <v>250</v>
      </c>
      <c r="N2025" s="290">
        <v>60</v>
      </c>
      <c r="O2025" s="46"/>
      <c r="P2025" s="46" t="s">
        <v>39</v>
      </c>
      <c r="Q2025" s="12"/>
      <c r="R2025" s="192" t="str">
        <f>CONCATENATE(N2025,P2025)</f>
        <v>60grams</v>
      </c>
      <c r="S2025" s="198">
        <f>M2025*N2025</f>
        <v>15000</v>
      </c>
      <c r="T2025" s="199" t="str">
        <f>CONCATENATE(S2025,Q2025,P2025)</f>
        <v>15000grams</v>
      </c>
      <c r="U2025" s="200">
        <f>L2025*M2025</f>
        <v>3950</v>
      </c>
      <c r="V2025" s="12"/>
      <c r="W2025" s="12"/>
    </row>
    <row r="2026" spans="1:23" x14ac:dyDescent="0.3">
      <c r="A2026" s="193">
        <v>816</v>
      </c>
      <c r="B2026" s="46" t="s">
        <v>1686</v>
      </c>
      <c r="C2026" s="315"/>
      <c r="D2026" s="316"/>
      <c r="E2026" s="315"/>
      <c r="F2026" s="315"/>
      <c r="G2026" s="315"/>
      <c r="H2026" s="194" t="s">
        <v>2023</v>
      </c>
      <c r="I2026" s="12"/>
      <c r="J2026" s="46" t="s">
        <v>1710</v>
      </c>
      <c r="K2026" s="12"/>
      <c r="L2026" s="197">
        <v>16</v>
      </c>
      <c r="M2026" s="197">
        <v>200</v>
      </c>
      <c r="N2026" s="290">
        <v>60</v>
      </c>
      <c r="O2026" s="46"/>
      <c r="P2026" s="46" t="s">
        <v>39</v>
      </c>
      <c r="Q2026" s="12"/>
      <c r="R2026" s="192" t="str">
        <f>CONCATENATE(N2026,P2026)</f>
        <v>60grams</v>
      </c>
      <c r="S2026" s="198">
        <f>M2026*N2026</f>
        <v>12000</v>
      </c>
      <c r="T2026" s="199" t="str">
        <f>CONCATENATE(S2026,Q2026,P2026)</f>
        <v>12000grams</v>
      </c>
      <c r="U2026" s="200">
        <f>L2026*M2026</f>
        <v>3200</v>
      </c>
      <c r="V2026" s="12"/>
      <c r="W2026" s="12"/>
    </row>
    <row r="2027" spans="1:23" x14ac:dyDescent="0.3">
      <c r="A2027" s="193">
        <v>816</v>
      </c>
      <c r="B2027" s="46" t="s">
        <v>1686</v>
      </c>
      <c r="C2027" s="315"/>
      <c r="D2027" s="316"/>
      <c r="E2027" s="315"/>
      <c r="F2027" s="315"/>
      <c r="G2027" s="315"/>
      <c r="H2027" s="194" t="s">
        <v>1368</v>
      </c>
      <c r="I2027" s="12"/>
      <c r="J2027" s="46" t="s">
        <v>1711</v>
      </c>
      <c r="K2027" s="12"/>
      <c r="L2027" s="197">
        <v>48.8</v>
      </c>
      <c r="M2027" s="197">
        <v>2</v>
      </c>
      <c r="N2027" s="290">
        <v>200</v>
      </c>
      <c r="O2027" s="46"/>
      <c r="P2027" s="46" t="s">
        <v>39</v>
      </c>
      <c r="Q2027" s="12"/>
      <c r="R2027" s="192" t="str">
        <f>CONCATENATE(N2027,P2027)</f>
        <v>200grams</v>
      </c>
      <c r="S2027" s="198">
        <f>M2027*N2027</f>
        <v>400</v>
      </c>
      <c r="T2027" s="199" t="str">
        <f>CONCATENATE(S2027,Q2027,P2027)</f>
        <v>400grams</v>
      </c>
      <c r="U2027" s="200">
        <f>L2027*M2027</f>
        <v>97.6</v>
      </c>
      <c r="V2027" s="12"/>
      <c r="W2027" s="12"/>
    </row>
    <row r="2028" spans="1:23" x14ac:dyDescent="0.3">
      <c r="A2028" s="193">
        <v>816</v>
      </c>
      <c r="B2028" s="46" t="s">
        <v>1686</v>
      </c>
      <c r="C2028" s="315"/>
      <c r="D2028" s="316"/>
      <c r="E2028" s="315"/>
      <c r="F2028" s="315"/>
      <c r="G2028" s="315"/>
      <c r="H2028" s="194" t="s">
        <v>1368</v>
      </c>
      <c r="I2028" s="12"/>
      <c r="J2028" s="46" t="s">
        <v>1712</v>
      </c>
      <c r="K2028" s="12"/>
      <c r="L2028" s="197">
        <v>65.25</v>
      </c>
      <c r="M2028" s="197">
        <v>2</v>
      </c>
      <c r="N2028" s="290">
        <v>250</v>
      </c>
      <c r="O2028" s="46"/>
      <c r="P2028" s="46" t="s">
        <v>39</v>
      </c>
      <c r="Q2028" s="12"/>
      <c r="R2028" s="192" t="str">
        <f>CONCATENATE(N2028,P2028)</f>
        <v>250grams</v>
      </c>
      <c r="S2028" s="198">
        <f>M2028*N2028</f>
        <v>500</v>
      </c>
      <c r="T2028" s="199" t="str">
        <f>CONCATENATE(S2028,Q2028,P2028)</f>
        <v>500grams</v>
      </c>
      <c r="U2028" s="200">
        <f>L2028*M2028</f>
        <v>130.5</v>
      </c>
      <c r="V2028" s="12"/>
      <c r="W2028" s="12"/>
    </row>
    <row r="2029" spans="1:23" x14ac:dyDescent="0.3">
      <c r="A2029" s="193">
        <v>816</v>
      </c>
      <c r="B2029" s="46" t="s">
        <v>1686</v>
      </c>
      <c r="C2029" s="315"/>
      <c r="D2029" s="316"/>
      <c r="E2029" s="315"/>
      <c r="F2029" s="315"/>
      <c r="G2029" s="315"/>
      <c r="H2029" s="194" t="s">
        <v>2026</v>
      </c>
      <c r="I2029" s="12"/>
      <c r="J2029" s="46" t="s">
        <v>1713</v>
      </c>
      <c r="K2029" s="12"/>
      <c r="L2029" s="197">
        <v>6.03</v>
      </c>
      <c r="M2029" s="197">
        <v>100</v>
      </c>
      <c r="N2029" s="290">
        <v>24</v>
      </c>
      <c r="O2029" s="46"/>
      <c r="P2029" s="46" t="s">
        <v>39</v>
      </c>
      <c r="Q2029" s="12"/>
      <c r="R2029" s="192" t="str">
        <f>CONCATENATE(N2029,P2029)</f>
        <v>24grams</v>
      </c>
      <c r="S2029" s="198">
        <f>M2029*N2029</f>
        <v>2400</v>
      </c>
      <c r="T2029" s="199" t="str">
        <f>CONCATENATE(S2029,Q2029,P2029)</f>
        <v>2400grams</v>
      </c>
      <c r="U2029" s="200">
        <f>L2029*M2029</f>
        <v>603</v>
      </c>
      <c r="V2029" s="12"/>
      <c r="W2029" s="12"/>
    </row>
    <row r="2030" spans="1:23" x14ac:dyDescent="0.3">
      <c r="A2030" s="193">
        <v>816</v>
      </c>
      <c r="B2030" s="46" t="s">
        <v>1686</v>
      </c>
      <c r="C2030" s="315"/>
      <c r="D2030" s="316"/>
      <c r="E2030" s="315"/>
      <c r="F2030" s="315"/>
      <c r="G2030" s="315"/>
      <c r="H2030" s="194" t="s">
        <v>2026</v>
      </c>
      <c r="I2030" s="12"/>
      <c r="J2030" s="46" t="s">
        <v>1714</v>
      </c>
      <c r="K2030" s="12"/>
      <c r="L2030" s="197">
        <v>40.1</v>
      </c>
      <c r="M2030" s="197">
        <v>10</v>
      </c>
      <c r="N2030" s="290">
        <v>150</v>
      </c>
      <c r="O2030" s="46"/>
      <c r="P2030" s="46" t="s">
        <v>39</v>
      </c>
      <c r="Q2030" s="12"/>
      <c r="R2030" s="192" t="str">
        <f>CONCATENATE(N2030,P2030)</f>
        <v>150grams</v>
      </c>
      <c r="S2030" s="198">
        <f>M2030*N2030</f>
        <v>1500</v>
      </c>
      <c r="T2030" s="199" t="str">
        <f>CONCATENATE(S2030,Q2030,P2030)</f>
        <v>1500grams</v>
      </c>
      <c r="U2030" s="200">
        <f>L2030*M2030</f>
        <v>401</v>
      </c>
      <c r="V2030" s="12"/>
      <c r="W2030" s="12"/>
    </row>
    <row r="2031" spans="1:23" x14ac:dyDescent="0.3">
      <c r="A2031" s="193">
        <v>816</v>
      </c>
      <c r="B2031" s="46" t="s">
        <v>1686</v>
      </c>
      <c r="C2031" s="315"/>
      <c r="D2031" s="316"/>
      <c r="E2031" s="315"/>
      <c r="F2031" s="315"/>
      <c r="G2031" s="315"/>
      <c r="H2031" s="194" t="s">
        <v>2026</v>
      </c>
      <c r="I2031" s="12"/>
      <c r="J2031" s="46" t="s">
        <v>1715</v>
      </c>
      <c r="K2031" s="12"/>
      <c r="L2031" s="197">
        <v>12.1</v>
      </c>
      <c r="M2031" s="197">
        <v>31</v>
      </c>
      <c r="N2031" s="290">
        <v>40</v>
      </c>
      <c r="O2031" s="46"/>
      <c r="P2031" s="46" t="s">
        <v>39</v>
      </c>
      <c r="Q2031" s="12"/>
      <c r="R2031" s="192" t="str">
        <f>CONCATENATE(N2031,P2031)</f>
        <v>40grams</v>
      </c>
      <c r="S2031" s="198">
        <f>M2031*N2031</f>
        <v>1240</v>
      </c>
      <c r="T2031" s="199" t="str">
        <f>CONCATENATE(S2031,Q2031,P2031)</f>
        <v>1240grams</v>
      </c>
      <c r="U2031" s="200">
        <f>L2031*M2031</f>
        <v>375.09999999999997</v>
      </c>
      <c r="V2031" s="12"/>
      <c r="W2031" s="12"/>
    </row>
    <row r="2032" spans="1:23" x14ac:dyDescent="0.3">
      <c r="A2032" s="193">
        <v>816</v>
      </c>
      <c r="B2032" s="46" t="s">
        <v>1686</v>
      </c>
      <c r="C2032" s="315"/>
      <c r="D2032" s="316"/>
      <c r="E2032" s="315"/>
      <c r="F2032" s="315"/>
      <c r="G2032" s="315"/>
      <c r="H2032" s="194" t="s">
        <v>2026</v>
      </c>
      <c r="I2032" s="12"/>
      <c r="J2032" s="46" t="s">
        <v>1716</v>
      </c>
      <c r="K2032" s="12"/>
      <c r="L2032" s="197">
        <v>24.23</v>
      </c>
      <c r="M2032" s="197">
        <v>50</v>
      </c>
      <c r="N2032" s="290">
        <v>110</v>
      </c>
      <c r="O2032" s="46"/>
      <c r="P2032" s="46" t="s">
        <v>39</v>
      </c>
      <c r="Q2032" s="12"/>
      <c r="R2032" s="192" t="str">
        <f>CONCATENATE(N2032,P2032)</f>
        <v>110grams</v>
      </c>
      <c r="S2032" s="198">
        <f>M2032*N2032</f>
        <v>5500</v>
      </c>
      <c r="T2032" s="199" t="str">
        <f>CONCATENATE(S2032,Q2032,P2032)</f>
        <v>5500grams</v>
      </c>
      <c r="U2032" s="200">
        <f>L2032*M2032</f>
        <v>1211.5</v>
      </c>
      <c r="V2032" s="12"/>
      <c r="W2032" s="12"/>
    </row>
    <row r="2033" spans="1:23" x14ac:dyDescent="0.3">
      <c r="A2033" s="193">
        <v>816</v>
      </c>
      <c r="B2033" s="219" t="s">
        <v>1686</v>
      </c>
      <c r="C2033" s="315"/>
      <c r="D2033" s="316"/>
      <c r="E2033" s="315"/>
      <c r="F2033" s="315"/>
      <c r="G2033" s="315"/>
      <c r="H2033" s="194" t="s">
        <v>2021</v>
      </c>
      <c r="I2033" s="12"/>
      <c r="J2033" s="219" t="s">
        <v>1717</v>
      </c>
      <c r="K2033" s="12"/>
      <c r="L2033" s="216">
        <v>11.2</v>
      </c>
      <c r="M2033" s="216">
        <v>81</v>
      </c>
      <c r="N2033" s="293">
        <v>42</v>
      </c>
      <c r="O2033" s="219"/>
      <c r="P2033" s="219" t="s">
        <v>92</v>
      </c>
      <c r="Q2033" s="12"/>
      <c r="R2033" s="192" t="str">
        <f>CONCATENATE(N2033,P2033)</f>
        <v>42pieces</v>
      </c>
      <c r="S2033" s="198">
        <f>M2033*N2033</f>
        <v>3402</v>
      </c>
      <c r="T2033" s="199" t="str">
        <f>CONCATENATE(S2033,Q2033,P2033)</f>
        <v>3402pieces</v>
      </c>
      <c r="U2033" s="200">
        <f>L2033*M2033</f>
        <v>907.19999999999993</v>
      </c>
      <c r="V2033" s="12"/>
      <c r="W2033" s="12"/>
    </row>
    <row r="2034" spans="1:23" x14ac:dyDescent="0.3">
      <c r="A2034" s="193">
        <v>816</v>
      </c>
      <c r="B2034" s="219" t="s">
        <v>1686</v>
      </c>
      <c r="C2034" s="315"/>
      <c r="D2034" s="316"/>
      <c r="E2034" s="315"/>
      <c r="F2034" s="315"/>
      <c r="G2034" s="315"/>
      <c r="H2034" s="194" t="s">
        <v>2021</v>
      </c>
      <c r="I2034" s="12"/>
      <c r="J2034" s="219" t="s">
        <v>1718</v>
      </c>
      <c r="K2034" s="12"/>
      <c r="L2034" s="216">
        <v>11.3</v>
      </c>
      <c r="M2034" s="216">
        <v>4</v>
      </c>
      <c r="N2034" s="293">
        <v>42</v>
      </c>
      <c r="O2034" s="219"/>
      <c r="P2034" s="219" t="s">
        <v>92</v>
      </c>
      <c r="Q2034" s="12"/>
      <c r="R2034" s="192" t="str">
        <f>CONCATENATE(N2034,P2034)</f>
        <v>42pieces</v>
      </c>
      <c r="S2034" s="198">
        <f>M2034*N2034</f>
        <v>168</v>
      </c>
      <c r="T2034" s="199" t="str">
        <f>CONCATENATE(S2034,Q2034,P2034)</f>
        <v>168pieces</v>
      </c>
      <c r="U2034" s="200">
        <f>L2034*M2034</f>
        <v>45.2</v>
      </c>
      <c r="V2034" s="12"/>
      <c r="W2034" s="12"/>
    </row>
    <row r="2035" spans="1:23" x14ac:dyDescent="0.3">
      <c r="A2035" s="193">
        <v>816</v>
      </c>
      <c r="B2035" s="46" t="s">
        <v>1686</v>
      </c>
      <c r="C2035" s="315"/>
      <c r="D2035" s="316"/>
      <c r="E2035" s="315"/>
      <c r="F2035" s="315"/>
      <c r="G2035" s="315"/>
      <c r="H2035" s="194" t="s">
        <v>2023</v>
      </c>
      <c r="I2035" s="12"/>
      <c r="J2035" s="46" t="s">
        <v>1719</v>
      </c>
      <c r="K2035" s="12"/>
      <c r="L2035" s="197">
        <v>36</v>
      </c>
      <c r="M2035" s="197">
        <v>360</v>
      </c>
      <c r="N2035" s="290">
        <v>130</v>
      </c>
      <c r="O2035" s="46"/>
      <c r="P2035" s="46" t="s">
        <v>39</v>
      </c>
      <c r="Q2035" s="12"/>
      <c r="R2035" s="192" t="str">
        <f>CONCATENATE(N2035,P2035)</f>
        <v>130grams</v>
      </c>
      <c r="S2035" s="198">
        <f>M2035*N2035</f>
        <v>46800</v>
      </c>
      <c r="T2035" s="199" t="str">
        <f>CONCATENATE(S2035,Q2035,P2035)</f>
        <v>46800grams</v>
      </c>
      <c r="U2035" s="200">
        <f>L2035*M2035</f>
        <v>12960</v>
      </c>
      <c r="V2035" s="12"/>
      <c r="W2035" s="12"/>
    </row>
    <row r="2036" spans="1:23" x14ac:dyDescent="0.3">
      <c r="A2036" s="193">
        <v>816</v>
      </c>
      <c r="B2036" s="46" t="s">
        <v>1686</v>
      </c>
      <c r="C2036" s="315"/>
      <c r="D2036" s="316"/>
      <c r="E2036" s="315"/>
      <c r="F2036" s="315"/>
      <c r="G2036" s="315"/>
      <c r="H2036" s="194" t="s">
        <v>2025</v>
      </c>
      <c r="I2036" s="12"/>
      <c r="J2036" s="46" t="s">
        <v>1720</v>
      </c>
      <c r="K2036" s="12"/>
      <c r="L2036" s="197">
        <v>24.8</v>
      </c>
      <c r="M2036" s="197">
        <v>39</v>
      </c>
      <c r="N2036" s="290">
        <v>90</v>
      </c>
      <c r="O2036" s="46"/>
      <c r="P2036" s="46" t="s">
        <v>39</v>
      </c>
      <c r="Q2036" s="12"/>
      <c r="R2036" s="192" t="str">
        <f>CONCATENATE(N2036,P2036)</f>
        <v>90grams</v>
      </c>
      <c r="S2036" s="198">
        <f>M2036*N2036</f>
        <v>3510</v>
      </c>
      <c r="T2036" s="199" t="str">
        <f>CONCATENATE(S2036,Q2036,P2036)</f>
        <v>3510grams</v>
      </c>
      <c r="U2036" s="200">
        <f>L2036*M2036</f>
        <v>967.2</v>
      </c>
      <c r="V2036" s="12"/>
      <c r="W2036" s="12"/>
    </row>
    <row r="2037" spans="1:23" x14ac:dyDescent="0.3">
      <c r="A2037" s="193">
        <v>816</v>
      </c>
      <c r="B2037" s="46" t="s">
        <v>1686</v>
      </c>
      <c r="C2037" s="315"/>
      <c r="D2037" s="316"/>
      <c r="E2037" s="315"/>
      <c r="F2037" s="315"/>
      <c r="G2037" s="315"/>
      <c r="H2037" s="194" t="s">
        <v>2025</v>
      </c>
      <c r="I2037" s="12"/>
      <c r="J2037" s="46" t="s">
        <v>1721</v>
      </c>
      <c r="K2037" s="12"/>
      <c r="L2037" s="197">
        <v>19.16</v>
      </c>
      <c r="M2037" s="197">
        <v>30</v>
      </c>
      <c r="N2037" s="290">
        <v>1</v>
      </c>
      <c r="O2037" s="46"/>
      <c r="P2037" s="46" t="s">
        <v>92</v>
      </c>
      <c r="Q2037" s="12"/>
      <c r="R2037" s="192" t="str">
        <f>CONCATENATE(N2037,P2037)</f>
        <v>1pieces</v>
      </c>
      <c r="S2037" s="198">
        <f>M2037*N2037</f>
        <v>30</v>
      </c>
      <c r="T2037" s="199" t="str">
        <f>CONCATENATE(S2037,Q2037,P2037)</f>
        <v>30pieces</v>
      </c>
      <c r="U2037" s="200">
        <f>L2037*M2037</f>
        <v>574.79999999999995</v>
      </c>
      <c r="V2037" s="12"/>
      <c r="W2037" s="12"/>
    </row>
    <row r="2038" spans="1:23" x14ac:dyDescent="0.3">
      <c r="A2038" s="193">
        <v>816</v>
      </c>
      <c r="B2038" s="46" t="s">
        <v>1686</v>
      </c>
      <c r="C2038" s="315"/>
      <c r="D2038" s="316"/>
      <c r="E2038" s="315"/>
      <c r="F2038" s="315"/>
      <c r="G2038" s="315"/>
      <c r="H2038" s="194" t="s">
        <v>2026</v>
      </c>
      <c r="I2038" s="12"/>
      <c r="J2038" s="46" t="s">
        <v>1722</v>
      </c>
      <c r="K2038" s="12"/>
      <c r="L2038" s="197">
        <v>16.329999999999998</v>
      </c>
      <c r="M2038" s="197">
        <v>50</v>
      </c>
      <c r="N2038" s="290">
        <v>60</v>
      </c>
      <c r="O2038" s="46"/>
      <c r="P2038" s="46" t="s">
        <v>39</v>
      </c>
      <c r="Q2038" s="12"/>
      <c r="R2038" s="192" t="str">
        <f>CONCATENATE(N2038,P2038)</f>
        <v>60grams</v>
      </c>
      <c r="S2038" s="198">
        <f>M2038*N2038</f>
        <v>3000</v>
      </c>
      <c r="T2038" s="199" t="str">
        <f>CONCATENATE(S2038,Q2038,P2038)</f>
        <v>3000grams</v>
      </c>
      <c r="U2038" s="200">
        <f>L2038*M2038</f>
        <v>816.49999999999989</v>
      </c>
      <c r="V2038" s="12"/>
      <c r="W2038" s="12"/>
    </row>
    <row r="2039" spans="1:23" x14ac:dyDescent="0.3">
      <c r="A2039" s="193">
        <v>816</v>
      </c>
      <c r="B2039" s="46" t="s">
        <v>1686</v>
      </c>
      <c r="C2039" s="315"/>
      <c r="D2039" s="316"/>
      <c r="E2039" s="315"/>
      <c r="F2039" s="315"/>
      <c r="G2039" s="315"/>
      <c r="H2039" s="194" t="s">
        <v>1368</v>
      </c>
      <c r="I2039" s="12"/>
      <c r="J2039" s="46" t="s">
        <v>1723</v>
      </c>
      <c r="K2039" s="12"/>
      <c r="L2039" s="197">
        <v>25.25</v>
      </c>
      <c r="M2039" s="197">
        <v>35</v>
      </c>
      <c r="N2039" s="290">
        <v>110</v>
      </c>
      <c r="O2039" s="46"/>
      <c r="P2039" s="46" t="s">
        <v>39</v>
      </c>
      <c r="Q2039" s="12"/>
      <c r="R2039" s="192" t="str">
        <f>CONCATENATE(N2039,P2039)</f>
        <v>110grams</v>
      </c>
      <c r="S2039" s="198">
        <f>M2039*N2039</f>
        <v>3850</v>
      </c>
      <c r="T2039" s="199" t="str">
        <f>CONCATENATE(S2039,Q2039,P2039)</f>
        <v>3850grams</v>
      </c>
      <c r="U2039" s="200">
        <f>L2039*M2039</f>
        <v>883.75</v>
      </c>
      <c r="V2039" s="12"/>
      <c r="W2039" s="12"/>
    </row>
    <row r="2040" spans="1:23" x14ac:dyDescent="0.3">
      <c r="A2040" s="193">
        <v>816</v>
      </c>
      <c r="B2040" s="46" t="s">
        <v>1686</v>
      </c>
      <c r="C2040" s="315"/>
      <c r="D2040" s="316"/>
      <c r="E2040" s="315"/>
      <c r="F2040" s="315"/>
      <c r="G2040" s="315"/>
      <c r="H2040" s="194" t="s">
        <v>2022</v>
      </c>
      <c r="I2040" s="12"/>
      <c r="J2040" s="46" t="s">
        <v>1700</v>
      </c>
      <c r="K2040" s="12"/>
      <c r="L2040" s="197">
        <v>35</v>
      </c>
      <c r="M2040" s="197">
        <v>1</v>
      </c>
      <c r="N2040" s="290">
        <v>78</v>
      </c>
      <c r="O2040" s="46"/>
      <c r="P2040" s="46" t="s">
        <v>39</v>
      </c>
      <c r="Q2040" s="12"/>
      <c r="R2040" s="192" t="str">
        <f>CONCATENATE(N2040,P2040)</f>
        <v>78grams</v>
      </c>
      <c r="S2040" s="198">
        <f>M2040*N2040</f>
        <v>78</v>
      </c>
      <c r="T2040" s="199" t="str">
        <f>CONCATENATE(S2040,Q2040,P2040)</f>
        <v>78grams</v>
      </c>
      <c r="U2040" s="200">
        <f>L2040*M2040</f>
        <v>35</v>
      </c>
      <c r="V2040" s="12"/>
      <c r="W2040" s="12"/>
    </row>
    <row r="2041" spans="1:23" x14ac:dyDescent="0.3">
      <c r="A2041" s="193">
        <v>816</v>
      </c>
      <c r="B2041" s="46" t="s">
        <v>1686</v>
      </c>
      <c r="C2041" s="315"/>
      <c r="D2041" s="316"/>
      <c r="E2041" s="315"/>
      <c r="F2041" s="315"/>
      <c r="G2041" s="315"/>
      <c r="H2041" s="194" t="s">
        <v>2026</v>
      </c>
      <c r="I2041" s="12"/>
      <c r="J2041" s="46" t="s">
        <v>1724</v>
      </c>
      <c r="K2041" s="12"/>
      <c r="L2041" s="197">
        <v>7.07</v>
      </c>
      <c r="M2041" s="197">
        <v>105</v>
      </c>
      <c r="N2041" s="290">
        <v>24</v>
      </c>
      <c r="O2041" s="46"/>
      <c r="P2041" s="46" t="s">
        <v>39</v>
      </c>
      <c r="Q2041" s="12"/>
      <c r="R2041" s="192" t="str">
        <f>CONCATENATE(N2041,P2041)</f>
        <v>24grams</v>
      </c>
      <c r="S2041" s="198">
        <f>M2041*N2041</f>
        <v>2520</v>
      </c>
      <c r="T2041" s="199" t="str">
        <f>CONCATENATE(S2041,Q2041,P2041)</f>
        <v>2520grams</v>
      </c>
      <c r="U2041" s="200">
        <f>L2041*M2041</f>
        <v>742.35</v>
      </c>
      <c r="V2041" s="12"/>
      <c r="W2041" s="12"/>
    </row>
    <row r="2042" spans="1:23" x14ac:dyDescent="0.3">
      <c r="A2042" s="193">
        <v>816</v>
      </c>
      <c r="B2042" s="46" t="s">
        <v>1686</v>
      </c>
      <c r="C2042" s="315"/>
      <c r="D2042" s="316"/>
      <c r="E2042" s="315"/>
      <c r="F2042" s="315"/>
      <c r="G2042" s="315"/>
      <c r="H2042" s="194" t="s">
        <v>2025</v>
      </c>
      <c r="I2042" s="12"/>
      <c r="J2042" s="46" t="s">
        <v>1725</v>
      </c>
      <c r="K2042" s="12"/>
      <c r="L2042" s="197">
        <v>22.1</v>
      </c>
      <c r="M2042" s="197">
        <v>17</v>
      </c>
      <c r="N2042" s="290">
        <v>90</v>
      </c>
      <c r="O2042" s="46"/>
      <c r="P2042" s="46" t="s">
        <v>39</v>
      </c>
      <c r="Q2042" s="12"/>
      <c r="R2042" s="192" t="str">
        <f>CONCATENATE(N2042,P2042)</f>
        <v>90grams</v>
      </c>
      <c r="S2042" s="198">
        <f>M2042*N2042</f>
        <v>1530</v>
      </c>
      <c r="T2042" s="199" t="str">
        <f>CONCATENATE(S2042,Q2042,P2042)</f>
        <v>1530grams</v>
      </c>
      <c r="U2042" s="200">
        <f>L2042*M2042</f>
        <v>375.70000000000005</v>
      </c>
      <c r="V2042" s="12"/>
      <c r="W2042" s="12"/>
    </row>
    <row r="2043" spans="1:23" x14ac:dyDescent="0.3">
      <c r="A2043" s="193">
        <v>816</v>
      </c>
      <c r="B2043" s="46" t="s">
        <v>1686</v>
      </c>
      <c r="C2043" s="315"/>
      <c r="D2043" s="316"/>
      <c r="E2043" s="315"/>
      <c r="F2043" s="315"/>
      <c r="G2043" s="315"/>
      <c r="H2043" s="194" t="s">
        <v>2020</v>
      </c>
      <c r="I2043" s="12"/>
      <c r="J2043" s="46" t="s">
        <v>1725</v>
      </c>
      <c r="K2043" s="12"/>
      <c r="L2043" s="197">
        <v>14.1</v>
      </c>
      <c r="M2043" s="197">
        <v>1</v>
      </c>
      <c r="N2043" s="290">
        <v>50</v>
      </c>
      <c r="O2043" s="46"/>
      <c r="P2043" s="46" t="s">
        <v>39</v>
      </c>
      <c r="Q2043" s="12"/>
      <c r="R2043" s="192" t="str">
        <f>CONCATENATE(N2043,P2043)</f>
        <v>50grams</v>
      </c>
      <c r="S2043" s="198">
        <f>M2043*N2043</f>
        <v>50</v>
      </c>
      <c r="T2043" s="199" t="str">
        <f>CONCATENATE(S2043,Q2043,P2043)</f>
        <v>50grams</v>
      </c>
      <c r="U2043" s="200">
        <f>L2043*M2043</f>
        <v>14.1</v>
      </c>
      <c r="V2043" s="12"/>
      <c r="W2043" s="12"/>
    </row>
    <row r="2044" spans="1:23" x14ac:dyDescent="0.3">
      <c r="A2044" s="193">
        <v>816</v>
      </c>
      <c r="B2044" s="46" t="s">
        <v>1686</v>
      </c>
      <c r="C2044" s="315"/>
      <c r="D2044" s="316"/>
      <c r="E2044" s="315"/>
      <c r="F2044" s="315"/>
      <c r="G2044" s="315"/>
      <c r="H2044" s="194" t="s">
        <v>2023</v>
      </c>
      <c r="I2044" s="12"/>
      <c r="J2044" s="46" t="s">
        <v>1720</v>
      </c>
      <c r="K2044" s="12"/>
      <c r="L2044" s="197">
        <v>23</v>
      </c>
      <c r="M2044" s="197">
        <v>1</v>
      </c>
      <c r="N2044" s="290">
        <v>90</v>
      </c>
      <c r="O2044" s="46"/>
      <c r="P2044" s="46" t="s">
        <v>39</v>
      </c>
      <c r="Q2044" s="12"/>
      <c r="R2044" s="192" t="str">
        <f>CONCATENATE(N2044,P2044)</f>
        <v>90grams</v>
      </c>
      <c r="S2044" s="198">
        <f>M2044*N2044</f>
        <v>90</v>
      </c>
      <c r="T2044" s="199" t="str">
        <f>CONCATENATE(S2044,Q2044,P2044)</f>
        <v>90grams</v>
      </c>
      <c r="U2044" s="200">
        <f>L2044*M2044</f>
        <v>23</v>
      </c>
      <c r="V2044" s="12"/>
      <c r="W2044" s="12"/>
    </row>
    <row r="2045" spans="1:23" x14ac:dyDescent="0.3">
      <c r="A2045" s="193">
        <v>816</v>
      </c>
      <c r="B2045" s="46" t="s">
        <v>1686</v>
      </c>
      <c r="C2045" s="315"/>
      <c r="D2045" s="316"/>
      <c r="E2045" s="315"/>
      <c r="F2045" s="315"/>
      <c r="G2045" s="315"/>
      <c r="H2045" s="194" t="s">
        <v>2026</v>
      </c>
      <c r="I2045" s="12"/>
      <c r="J2045" s="46" t="s">
        <v>1725</v>
      </c>
      <c r="K2045" s="12"/>
      <c r="L2045" s="197">
        <v>13.56</v>
      </c>
      <c r="M2045" s="197">
        <v>50</v>
      </c>
      <c r="N2045" s="290">
        <v>50</v>
      </c>
      <c r="O2045" s="46"/>
      <c r="P2045" s="46" t="s">
        <v>39</v>
      </c>
      <c r="Q2045" s="12"/>
      <c r="R2045" s="192" t="str">
        <f>CONCATENATE(N2045,P2045)</f>
        <v>50grams</v>
      </c>
      <c r="S2045" s="198">
        <f>M2045*N2045</f>
        <v>2500</v>
      </c>
      <c r="T2045" s="199" t="str">
        <f>CONCATENATE(S2045,Q2045,P2045)</f>
        <v>2500grams</v>
      </c>
      <c r="U2045" s="200">
        <f>L2045*M2045</f>
        <v>678</v>
      </c>
      <c r="V2045" s="12"/>
      <c r="W2045" s="12"/>
    </row>
    <row r="2046" spans="1:23" x14ac:dyDescent="0.3">
      <c r="A2046" s="193">
        <v>816</v>
      </c>
      <c r="B2046" s="46" t="s">
        <v>1686</v>
      </c>
      <c r="C2046" s="315"/>
      <c r="D2046" s="316"/>
      <c r="E2046" s="315"/>
      <c r="F2046" s="315"/>
      <c r="G2046" s="315"/>
      <c r="H2046" s="194" t="s">
        <v>2023</v>
      </c>
      <c r="I2046" s="12"/>
      <c r="J2046" s="46" t="s">
        <v>1726</v>
      </c>
      <c r="K2046" s="12"/>
      <c r="L2046" s="197">
        <v>7</v>
      </c>
      <c r="M2046" s="197">
        <v>11</v>
      </c>
      <c r="N2046" s="290">
        <v>42</v>
      </c>
      <c r="O2046" s="46"/>
      <c r="P2046" s="46" t="s">
        <v>39</v>
      </c>
      <c r="Q2046" s="12"/>
      <c r="R2046" s="192" t="str">
        <f>CONCATENATE(N2046,P2046)</f>
        <v>42grams</v>
      </c>
      <c r="S2046" s="198">
        <f>M2046*N2046</f>
        <v>462</v>
      </c>
      <c r="T2046" s="199" t="str">
        <f>CONCATENATE(S2046,Q2046,P2046)</f>
        <v>462grams</v>
      </c>
      <c r="U2046" s="200">
        <f>L2046*M2046</f>
        <v>77</v>
      </c>
      <c r="V2046" s="12"/>
      <c r="W2046" s="12"/>
    </row>
    <row r="2047" spans="1:23" x14ac:dyDescent="0.3">
      <c r="A2047" s="193">
        <v>816</v>
      </c>
      <c r="B2047" s="46" t="s">
        <v>1686</v>
      </c>
      <c r="C2047" s="315"/>
      <c r="D2047" s="316"/>
      <c r="E2047" s="315"/>
      <c r="F2047" s="315"/>
      <c r="G2047" s="315"/>
      <c r="H2047" s="194" t="s">
        <v>2023</v>
      </c>
      <c r="I2047" s="12"/>
      <c r="J2047" s="46" t="s">
        <v>1705</v>
      </c>
      <c r="K2047" s="12"/>
      <c r="L2047" s="197">
        <v>23.1</v>
      </c>
      <c r="M2047" s="197">
        <v>8</v>
      </c>
      <c r="N2047" s="290">
        <v>85</v>
      </c>
      <c r="O2047" s="46"/>
      <c r="P2047" s="46" t="s">
        <v>39</v>
      </c>
      <c r="Q2047" s="12"/>
      <c r="R2047" s="192" t="str">
        <f>CONCATENATE(N2047,P2047)</f>
        <v>85grams</v>
      </c>
      <c r="S2047" s="198">
        <f>M2047*N2047</f>
        <v>680</v>
      </c>
      <c r="T2047" s="199" t="str">
        <f>CONCATENATE(S2047,Q2047,P2047)</f>
        <v>680grams</v>
      </c>
      <c r="U2047" s="200">
        <f>L2047*M2047</f>
        <v>184.8</v>
      </c>
      <c r="V2047" s="12"/>
      <c r="W2047" s="12"/>
    </row>
    <row r="2048" spans="1:23" x14ac:dyDescent="0.3">
      <c r="A2048" s="193">
        <v>816</v>
      </c>
      <c r="B2048" s="46" t="s">
        <v>1686</v>
      </c>
      <c r="C2048" s="315"/>
      <c r="D2048" s="316"/>
      <c r="E2048" s="315"/>
      <c r="F2048" s="315"/>
      <c r="G2048" s="315"/>
      <c r="H2048" s="194" t="s">
        <v>2025</v>
      </c>
      <c r="I2048" s="12"/>
      <c r="J2048" s="46" t="s">
        <v>1727</v>
      </c>
      <c r="K2048" s="12"/>
      <c r="L2048" s="197">
        <v>22.45</v>
      </c>
      <c r="M2048" s="197">
        <v>7</v>
      </c>
      <c r="N2048" s="290">
        <v>90</v>
      </c>
      <c r="O2048" s="314"/>
      <c r="P2048" s="314" t="s">
        <v>39</v>
      </c>
      <c r="Q2048" s="12"/>
      <c r="R2048" s="192" t="str">
        <f>CONCATENATE(N2048,P2048)</f>
        <v>90grams</v>
      </c>
      <c r="S2048" s="198">
        <f>M2048*N2048</f>
        <v>630</v>
      </c>
      <c r="T2048" s="199" t="str">
        <f>CONCATENATE(S2048,Q2048,P2048)</f>
        <v>630grams</v>
      </c>
      <c r="U2048" s="200">
        <f>L2048*M2048</f>
        <v>157.15</v>
      </c>
      <c r="V2048" s="12"/>
      <c r="W2048" s="12"/>
    </row>
    <row r="2049" spans="1:23" x14ac:dyDescent="0.3">
      <c r="A2049" s="193">
        <v>816</v>
      </c>
      <c r="B2049" s="46" t="s">
        <v>1686</v>
      </c>
      <c r="C2049" s="315"/>
      <c r="D2049" s="316"/>
      <c r="E2049" s="315"/>
      <c r="F2049" s="315"/>
      <c r="G2049" s="315"/>
      <c r="H2049" s="194" t="s">
        <v>2026</v>
      </c>
      <c r="I2049" s="12"/>
      <c r="J2049" s="46" t="s">
        <v>1728</v>
      </c>
      <c r="K2049" s="12"/>
      <c r="L2049" s="197">
        <v>15.72</v>
      </c>
      <c r="M2049" s="197">
        <v>17</v>
      </c>
      <c r="N2049" s="290">
        <v>60</v>
      </c>
      <c r="O2049" s="46"/>
      <c r="P2049" s="46" t="s">
        <v>39</v>
      </c>
      <c r="Q2049" s="12"/>
      <c r="R2049" s="192" t="str">
        <f>CONCATENATE(N2049,P2049)</f>
        <v>60grams</v>
      </c>
      <c r="S2049" s="198">
        <f>M2049*N2049</f>
        <v>1020</v>
      </c>
      <c r="T2049" s="199" t="str">
        <f>CONCATENATE(S2049,Q2049,P2049)</f>
        <v>1020grams</v>
      </c>
      <c r="U2049" s="200">
        <f>L2049*M2049</f>
        <v>267.24</v>
      </c>
      <c r="V2049" s="12"/>
      <c r="W2049" s="12"/>
    </row>
    <row r="2050" spans="1:23" x14ac:dyDescent="0.3">
      <c r="A2050" s="193">
        <v>816</v>
      </c>
      <c r="B2050" s="46" t="s">
        <v>1686</v>
      </c>
      <c r="C2050" s="315"/>
      <c r="D2050" s="316"/>
      <c r="E2050" s="315"/>
      <c r="F2050" s="315"/>
      <c r="G2050" s="315"/>
      <c r="H2050" s="194" t="s">
        <v>2025</v>
      </c>
      <c r="I2050" s="12"/>
      <c r="J2050" s="46" t="s">
        <v>1729</v>
      </c>
      <c r="K2050" s="12"/>
      <c r="L2050" s="197">
        <v>22.37</v>
      </c>
      <c r="M2050" s="197">
        <v>30</v>
      </c>
      <c r="N2050" s="290">
        <v>75</v>
      </c>
      <c r="O2050" s="46"/>
      <c r="P2050" s="46" t="s">
        <v>39</v>
      </c>
      <c r="Q2050" s="12"/>
      <c r="R2050" s="192" t="str">
        <f>CONCATENATE(N2050,P2050)</f>
        <v>75grams</v>
      </c>
      <c r="S2050" s="198">
        <f>M2050*N2050</f>
        <v>2250</v>
      </c>
      <c r="T2050" s="199" t="str">
        <f>CONCATENATE(S2050,Q2050,P2050)</f>
        <v>2250grams</v>
      </c>
      <c r="U2050" s="200">
        <f>L2050*M2050</f>
        <v>671.1</v>
      </c>
      <c r="V2050" s="12"/>
      <c r="W2050" s="12"/>
    </row>
    <row r="2051" spans="1:23" x14ac:dyDescent="0.3">
      <c r="A2051" s="193">
        <v>816</v>
      </c>
      <c r="B2051" s="46" t="s">
        <v>1686</v>
      </c>
      <c r="C2051" s="315"/>
      <c r="D2051" s="316"/>
      <c r="E2051" s="315"/>
      <c r="F2051" s="315"/>
      <c r="G2051" s="315"/>
      <c r="H2051" s="194" t="s">
        <v>2024</v>
      </c>
      <c r="I2051" s="12"/>
      <c r="J2051" s="46" t="s">
        <v>1729</v>
      </c>
      <c r="K2051" s="12"/>
      <c r="L2051" s="197">
        <v>671.35</v>
      </c>
      <c r="M2051" s="197">
        <v>90</v>
      </c>
      <c r="N2051" s="290">
        <v>75</v>
      </c>
      <c r="O2051" s="46"/>
      <c r="P2051" s="46" t="s">
        <v>39</v>
      </c>
      <c r="Q2051" s="12"/>
      <c r="R2051" s="192" t="str">
        <f>CONCATENATE(N2051,P2051)</f>
        <v>75grams</v>
      </c>
      <c r="S2051" s="198">
        <f>M2051*N2051</f>
        <v>6750</v>
      </c>
      <c r="T2051" s="199" t="str">
        <f>CONCATENATE(S2051,Q2051,P2051)</f>
        <v>6750grams</v>
      </c>
      <c r="U2051" s="200">
        <f>L2051*M2051</f>
        <v>60421.5</v>
      </c>
      <c r="V2051" s="12"/>
      <c r="W2051" s="12"/>
    </row>
    <row r="2052" spans="1:23" x14ac:dyDescent="0.3">
      <c r="A2052" s="193">
        <v>816</v>
      </c>
      <c r="B2052" s="46" t="s">
        <v>1686</v>
      </c>
      <c r="C2052" s="315"/>
      <c r="D2052" s="316"/>
      <c r="E2052" s="315"/>
      <c r="F2052" s="315"/>
      <c r="G2052" s="315"/>
      <c r="H2052" s="194" t="s">
        <v>2026</v>
      </c>
      <c r="I2052" s="12"/>
      <c r="J2052" s="46" t="s">
        <v>1729</v>
      </c>
      <c r="K2052" s="12"/>
      <c r="L2052" s="197">
        <v>22.38</v>
      </c>
      <c r="M2052" s="197">
        <v>60</v>
      </c>
      <c r="N2052" s="290">
        <v>75</v>
      </c>
      <c r="O2052" s="46"/>
      <c r="P2052" s="46" t="s">
        <v>39</v>
      </c>
      <c r="Q2052" s="12"/>
      <c r="R2052" s="192" t="str">
        <f>CONCATENATE(N2052,P2052)</f>
        <v>75grams</v>
      </c>
      <c r="S2052" s="198">
        <f>M2052*N2052</f>
        <v>4500</v>
      </c>
      <c r="T2052" s="199" t="str">
        <f>CONCATENATE(S2052,Q2052,P2052)</f>
        <v>4500grams</v>
      </c>
      <c r="U2052" s="200">
        <f>L2052*M2052</f>
        <v>1342.8</v>
      </c>
      <c r="V2052" s="12"/>
      <c r="W2052" s="12"/>
    </row>
    <row r="2053" spans="1:23" x14ac:dyDescent="0.3">
      <c r="A2053" s="193">
        <v>816</v>
      </c>
      <c r="B2053" s="46" t="s">
        <v>1686</v>
      </c>
      <c r="C2053" s="315"/>
      <c r="D2053" s="316"/>
      <c r="E2053" s="315"/>
      <c r="F2053" s="315"/>
      <c r="G2053" s="315"/>
      <c r="H2053" s="194" t="s">
        <v>2023</v>
      </c>
      <c r="I2053" s="12"/>
      <c r="J2053" s="46" t="s">
        <v>1729</v>
      </c>
      <c r="K2053" s="12"/>
      <c r="L2053" s="197">
        <v>22.37</v>
      </c>
      <c r="M2053" s="197">
        <v>30</v>
      </c>
      <c r="N2053" s="290">
        <v>75</v>
      </c>
      <c r="O2053" s="46"/>
      <c r="P2053" s="46" t="s">
        <v>39</v>
      </c>
      <c r="Q2053" s="12"/>
      <c r="R2053" s="192" t="str">
        <f>CONCATENATE(N2053,P2053)</f>
        <v>75grams</v>
      </c>
      <c r="S2053" s="198">
        <f>M2053*N2053</f>
        <v>2250</v>
      </c>
      <c r="T2053" s="199" t="str">
        <f>CONCATENATE(S2053,Q2053,P2053)</f>
        <v>2250grams</v>
      </c>
      <c r="U2053" s="200">
        <f>L2053*M2053</f>
        <v>671.1</v>
      </c>
      <c r="V2053" s="12"/>
      <c r="W2053" s="12"/>
    </row>
    <row r="2054" spans="1:23" x14ac:dyDescent="0.3">
      <c r="A2054" s="193">
        <v>816</v>
      </c>
      <c r="B2054" s="46" t="s">
        <v>1686</v>
      </c>
      <c r="C2054" s="315"/>
      <c r="D2054" s="316"/>
      <c r="E2054" s="315"/>
      <c r="F2054" s="315"/>
      <c r="G2054" s="315"/>
      <c r="H2054" s="194" t="s">
        <v>2025</v>
      </c>
      <c r="I2054" s="12"/>
      <c r="J2054" s="46" t="s">
        <v>1730</v>
      </c>
      <c r="K2054" s="12"/>
      <c r="L2054" s="197">
        <v>19.16</v>
      </c>
      <c r="M2054" s="197">
        <v>53</v>
      </c>
      <c r="N2054" s="290">
        <v>120</v>
      </c>
      <c r="O2054" s="46"/>
      <c r="P2054" s="46" t="s">
        <v>39</v>
      </c>
      <c r="Q2054" s="12"/>
      <c r="R2054" s="192" t="str">
        <f>CONCATENATE(N2054,P2054)</f>
        <v>120grams</v>
      </c>
      <c r="S2054" s="198">
        <f>M2054*N2054</f>
        <v>6360</v>
      </c>
      <c r="T2054" s="199" t="str">
        <f>CONCATENATE(S2054,Q2054,P2054)</f>
        <v>6360grams</v>
      </c>
      <c r="U2054" s="200">
        <f>L2054*M2054</f>
        <v>1015.48</v>
      </c>
      <c r="V2054" s="12"/>
      <c r="W2054" s="12"/>
    </row>
    <row r="2055" spans="1:23" x14ac:dyDescent="0.3">
      <c r="A2055" s="193">
        <v>816</v>
      </c>
      <c r="B2055" s="46" t="s">
        <v>1686</v>
      </c>
      <c r="C2055" s="315"/>
      <c r="D2055" s="316"/>
      <c r="E2055" s="315"/>
      <c r="F2055" s="315"/>
      <c r="G2055" s="315"/>
      <c r="H2055" s="194" t="s">
        <v>2023</v>
      </c>
      <c r="I2055" s="12"/>
      <c r="J2055" s="46" t="s">
        <v>1731</v>
      </c>
      <c r="K2055" s="12"/>
      <c r="L2055" s="197">
        <v>19.61</v>
      </c>
      <c r="M2055" s="197">
        <v>25</v>
      </c>
      <c r="N2055" s="290">
        <v>100</v>
      </c>
      <c r="O2055" s="46"/>
      <c r="P2055" s="46" t="s">
        <v>39</v>
      </c>
      <c r="Q2055" s="12"/>
      <c r="R2055" s="192" t="str">
        <f>CONCATENATE(N2055,P2055)</f>
        <v>100grams</v>
      </c>
      <c r="S2055" s="198">
        <f>M2055*N2055</f>
        <v>2500</v>
      </c>
      <c r="T2055" s="199" t="str">
        <f>CONCATENATE(S2055,Q2055,P2055)</f>
        <v>2500grams</v>
      </c>
      <c r="U2055" s="200">
        <f>L2055*M2055</f>
        <v>490.25</v>
      </c>
      <c r="V2055" s="12"/>
      <c r="W2055" s="12"/>
    </row>
    <row r="2056" spans="1:23" x14ac:dyDescent="0.3">
      <c r="A2056" s="193">
        <v>816</v>
      </c>
      <c r="B2056" s="46" t="s">
        <v>1686</v>
      </c>
      <c r="C2056" s="315"/>
      <c r="D2056" s="316"/>
      <c r="E2056" s="315"/>
      <c r="F2056" s="315"/>
      <c r="G2056" s="315"/>
      <c r="H2056" s="194" t="s">
        <v>2025</v>
      </c>
      <c r="I2056" s="12"/>
      <c r="J2056" s="46" t="s">
        <v>1731</v>
      </c>
      <c r="K2056" s="12"/>
      <c r="L2056" s="197">
        <v>21.45</v>
      </c>
      <c r="M2056" s="197">
        <v>13</v>
      </c>
      <c r="N2056" s="290">
        <v>100</v>
      </c>
      <c r="O2056" s="46"/>
      <c r="P2056" s="46" t="s">
        <v>39</v>
      </c>
      <c r="Q2056" s="12"/>
      <c r="R2056" s="192" t="str">
        <f>CONCATENATE(N2056,P2056)</f>
        <v>100grams</v>
      </c>
      <c r="S2056" s="198">
        <f>M2056*N2056</f>
        <v>1300</v>
      </c>
      <c r="T2056" s="199" t="str">
        <f>CONCATENATE(S2056,Q2056,P2056)</f>
        <v>1300grams</v>
      </c>
      <c r="U2056" s="200">
        <f>L2056*M2056</f>
        <v>278.84999999999997</v>
      </c>
      <c r="V2056" s="12"/>
      <c r="W2056" s="12"/>
    </row>
    <row r="2057" spans="1:23" x14ac:dyDescent="0.3">
      <c r="A2057" s="193">
        <v>816</v>
      </c>
      <c r="B2057" s="46" t="s">
        <v>1686</v>
      </c>
      <c r="C2057" s="315"/>
      <c r="D2057" s="316"/>
      <c r="E2057" s="315"/>
      <c r="F2057" s="315"/>
      <c r="G2057" s="315"/>
      <c r="H2057" s="194" t="s">
        <v>2026</v>
      </c>
      <c r="I2057" s="12"/>
      <c r="J2057" s="46" t="s">
        <v>1732</v>
      </c>
      <c r="K2057" s="12"/>
      <c r="L2057" s="197">
        <v>7.74</v>
      </c>
      <c r="M2057" s="197">
        <v>25</v>
      </c>
      <c r="N2057" s="290">
        <v>60</v>
      </c>
      <c r="O2057" s="46"/>
      <c r="P2057" s="46" t="s">
        <v>39</v>
      </c>
      <c r="Q2057" s="12"/>
      <c r="R2057" s="192" t="str">
        <f>CONCATENATE(N2057,P2057)</f>
        <v>60grams</v>
      </c>
      <c r="S2057" s="198">
        <f>M2057*N2057</f>
        <v>1500</v>
      </c>
      <c r="T2057" s="199" t="str">
        <f>CONCATENATE(S2057,Q2057,P2057)</f>
        <v>1500grams</v>
      </c>
      <c r="U2057" s="200">
        <f>L2057*M2057</f>
        <v>193.5</v>
      </c>
      <c r="V2057" s="12"/>
      <c r="W2057" s="12"/>
    </row>
    <row r="2058" spans="1:23" x14ac:dyDescent="0.3">
      <c r="A2058" s="193">
        <v>816</v>
      </c>
      <c r="B2058" s="46" t="s">
        <v>1686</v>
      </c>
      <c r="C2058" s="315"/>
      <c r="D2058" s="316"/>
      <c r="E2058" s="315"/>
      <c r="F2058" s="315"/>
      <c r="G2058" s="315"/>
      <c r="H2058" s="194" t="s">
        <v>2023</v>
      </c>
      <c r="I2058" s="12"/>
      <c r="J2058" s="46" t="s">
        <v>1732</v>
      </c>
      <c r="K2058" s="12"/>
      <c r="L2058" s="216">
        <v>15.45</v>
      </c>
      <c r="M2058" s="216">
        <v>19</v>
      </c>
      <c r="N2058" s="290">
        <v>60</v>
      </c>
      <c r="O2058" s="46"/>
      <c r="P2058" s="46" t="s">
        <v>39</v>
      </c>
      <c r="Q2058" s="12"/>
      <c r="R2058" s="192" t="str">
        <f>CONCATENATE(N2058,P2058)</f>
        <v>60grams</v>
      </c>
      <c r="S2058" s="198">
        <f>M2058*N2058</f>
        <v>1140</v>
      </c>
      <c r="T2058" s="199" t="str">
        <f>CONCATENATE(S2058,Q2058,P2058)</f>
        <v>1140grams</v>
      </c>
      <c r="U2058" s="200">
        <f>L2058*M2058</f>
        <v>293.55</v>
      </c>
      <c r="V2058" s="12"/>
      <c r="W2058" s="12"/>
    </row>
    <row r="2059" spans="1:23" x14ac:dyDescent="0.3">
      <c r="A2059" s="193">
        <v>816</v>
      </c>
      <c r="B2059" s="46" t="s">
        <v>1686</v>
      </c>
      <c r="C2059" s="315"/>
      <c r="D2059" s="316"/>
      <c r="E2059" s="315"/>
      <c r="F2059" s="315"/>
      <c r="G2059" s="315"/>
      <c r="H2059" s="400" t="s">
        <v>2027</v>
      </c>
      <c r="I2059" s="12"/>
      <c r="J2059" s="46" t="s">
        <v>1914</v>
      </c>
      <c r="K2059" s="12"/>
      <c r="L2059" s="195">
        <v>15.1</v>
      </c>
      <c r="M2059" s="197">
        <v>25</v>
      </c>
      <c r="N2059" s="360">
        <v>1</v>
      </c>
      <c r="O2059" s="61"/>
      <c r="P2059" s="61" t="s">
        <v>92</v>
      </c>
      <c r="Q2059" s="12"/>
      <c r="R2059" s="192" t="str">
        <f>CONCATENATE(N2059,P2059)</f>
        <v>1pieces</v>
      </c>
      <c r="S2059" s="198">
        <f>M2059*N2059</f>
        <v>25</v>
      </c>
      <c r="T2059" s="199" t="str">
        <f>CONCATENATE(S2059,Q2059,P2059)</f>
        <v>25pieces</v>
      </c>
      <c r="U2059" s="200">
        <f>L2059*M2059</f>
        <v>377.5</v>
      </c>
      <c r="V2059" s="12"/>
      <c r="W2059" s="12"/>
    </row>
    <row r="2060" spans="1:23" x14ac:dyDescent="0.3">
      <c r="A2060" s="193">
        <v>816</v>
      </c>
      <c r="B2060" s="46" t="s">
        <v>1686</v>
      </c>
      <c r="C2060" s="315"/>
      <c r="D2060" s="316"/>
      <c r="E2060" s="315"/>
      <c r="F2060" s="315"/>
      <c r="G2060" s="315"/>
      <c r="H2060" s="400" t="s">
        <v>2027</v>
      </c>
      <c r="I2060" s="12"/>
      <c r="J2060" s="46" t="s">
        <v>1725</v>
      </c>
      <c r="K2060" s="12"/>
      <c r="L2060" s="195">
        <v>14.1</v>
      </c>
      <c r="M2060" s="197">
        <v>28</v>
      </c>
      <c r="N2060" s="360">
        <v>1</v>
      </c>
      <c r="O2060" s="61"/>
      <c r="P2060" s="61" t="s">
        <v>92</v>
      </c>
      <c r="Q2060" s="12"/>
      <c r="R2060" s="192" t="str">
        <f>CONCATENATE(N2060,P2060)</f>
        <v>1pieces</v>
      </c>
      <c r="S2060" s="198">
        <f>M2060*N2060</f>
        <v>28</v>
      </c>
      <c r="T2060" s="199" t="str">
        <f>CONCATENATE(S2060,Q2060,P2060)</f>
        <v>28pieces</v>
      </c>
      <c r="U2060" s="200">
        <f>L2060*M2060</f>
        <v>394.8</v>
      </c>
      <c r="V2060" s="12"/>
      <c r="W2060" s="12"/>
    </row>
    <row r="2061" spans="1:23" x14ac:dyDescent="0.3">
      <c r="A2061" s="193">
        <v>817</v>
      </c>
      <c r="B2061" s="46" t="s">
        <v>2004</v>
      </c>
      <c r="C2061" s="315"/>
      <c r="D2061" s="316"/>
      <c r="E2061" s="315"/>
      <c r="F2061" s="315"/>
      <c r="G2061" s="315"/>
      <c r="H2061" s="400" t="s">
        <v>2027</v>
      </c>
      <c r="I2061" s="12"/>
      <c r="J2061" s="170"/>
      <c r="K2061" s="12"/>
      <c r="L2061" s="195">
        <v>15.3</v>
      </c>
      <c r="M2061" s="197">
        <v>25</v>
      </c>
      <c r="N2061" s="360">
        <v>1</v>
      </c>
      <c r="O2061" s="61"/>
      <c r="P2061" s="61" t="s">
        <v>92</v>
      </c>
      <c r="Q2061" s="12"/>
      <c r="R2061" s="192" t="str">
        <f>CONCATENATE(N2061,P2061)</f>
        <v>1pieces</v>
      </c>
      <c r="S2061" s="198">
        <f>M2061*N2061</f>
        <v>25</v>
      </c>
      <c r="T2061" s="199" t="str">
        <f>CONCATENATE(S2061,Q2061,P2061)</f>
        <v>25pieces</v>
      </c>
      <c r="U2061" s="200">
        <f>L2061*M2061</f>
        <v>382.5</v>
      </c>
      <c r="V2061" s="12"/>
      <c r="W2061" s="12"/>
    </row>
    <row r="2062" spans="1:23" x14ac:dyDescent="0.3">
      <c r="A2062" s="193">
        <v>818</v>
      </c>
      <c r="B2062" s="46" t="s">
        <v>1733</v>
      </c>
      <c r="C2062" s="315"/>
      <c r="D2062" s="316"/>
      <c r="E2062" s="315"/>
      <c r="F2062" s="315"/>
      <c r="G2062" s="315"/>
      <c r="H2062" s="194" t="s">
        <v>2020</v>
      </c>
      <c r="I2062" s="12"/>
      <c r="J2062" s="170"/>
      <c r="K2062" s="12"/>
      <c r="L2062" s="197">
        <v>12</v>
      </c>
      <c r="M2062" s="197">
        <v>65</v>
      </c>
      <c r="N2062" s="290">
        <v>1</v>
      </c>
      <c r="O2062" s="46"/>
      <c r="P2062" s="46" t="s">
        <v>1734</v>
      </c>
      <c r="Q2062" s="12"/>
      <c r="R2062" s="192" t="str">
        <f>CONCATENATE(N2062,P2062)</f>
        <v>1pair</v>
      </c>
      <c r="S2062" s="198">
        <f>M2062*N2062</f>
        <v>65</v>
      </c>
      <c r="T2062" s="199" t="str">
        <f>CONCATENATE(S2062,Q2062,P2062)</f>
        <v>65pair</v>
      </c>
      <c r="U2062" s="200">
        <f>L2062*M2062</f>
        <v>780</v>
      </c>
      <c r="V2062" s="12"/>
      <c r="W2062" s="12"/>
    </row>
    <row r="2063" spans="1:23" x14ac:dyDescent="0.3">
      <c r="A2063" s="193">
        <v>819</v>
      </c>
      <c r="B2063" s="170" t="s">
        <v>1735</v>
      </c>
      <c r="C2063" s="315"/>
      <c r="D2063" s="316"/>
      <c r="E2063" s="315"/>
      <c r="F2063" s="315"/>
      <c r="G2063" s="315"/>
      <c r="H2063" s="194" t="s">
        <v>2022</v>
      </c>
      <c r="I2063" s="12"/>
      <c r="J2063" s="46" t="s">
        <v>1736</v>
      </c>
      <c r="K2063" s="12"/>
      <c r="L2063" s="197">
        <v>16.079999999999998</v>
      </c>
      <c r="M2063" s="197">
        <v>12</v>
      </c>
      <c r="N2063" s="290">
        <v>290</v>
      </c>
      <c r="O2063" s="46"/>
      <c r="P2063" s="46" t="s">
        <v>32</v>
      </c>
      <c r="Q2063" s="12"/>
      <c r="R2063" s="192" t="str">
        <f>CONCATENATE(N2063,P2063)</f>
        <v>290ml</v>
      </c>
      <c r="S2063" s="198">
        <f>M2063*N2063</f>
        <v>3480</v>
      </c>
      <c r="T2063" s="199" t="str">
        <f>CONCATENATE(S2063,Q2063,P2063)</f>
        <v>3480ml</v>
      </c>
      <c r="U2063" s="200">
        <f>L2063*M2063</f>
        <v>192.95999999999998</v>
      </c>
      <c r="V2063" s="12"/>
      <c r="W2063" s="12"/>
    </row>
    <row r="2064" spans="1:23" x14ac:dyDescent="0.3">
      <c r="A2064" s="193">
        <v>819</v>
      </c>
      <c r="B2064" s="170" t="s">
        <v>1735</v>
      </c>
      <c r="C2064" s="315"/>
      <c r="D2064" s="316"/>
      <c r="E2064" s="315"/>
      <c r="F2064" s="315"/>
      <c r="G2064" s="315"/>
      <c r="H2064" s="194" t="s">
        <v>2025</v>
      </c>
      <c r="I2064" s="12"/>
      <c r="J2064" s="46" t="s">
        <v>1736</v>
      </c>
      <c r="K2064" s="12"/>
      <c r="L2064" s="197">
        <v>33</v>
      </c>
      <c r="M2064" s="197">
        <v>7</v>
      </c>
      <c r="N2064" s="290">
        <v>1</v>
      </c>
      <c r="O2064" s="314"/>
      <c r="P2064" s="314" t="s">
        <v>92</v>
      </c>
      <c r="Q2064" s="12"/>
      <c r="R2064" s="192" t="str">
        <f>CONCATENATE(N2064,P2064)</f>
        <v>1pieces</v>
      </c>
      <c r="S2064" s="198">
        <f>M2064*N2064</f>
        <v>7</v>
      </c>
      <c r="T2064" s="199" t="str">
        <f>CONCATENATE(S2064,Q2064,P2064)</f>
        <v>7pieces</v>
      </c>
      <c r="U2064" s="200">
        <f>L2064*M2064</f>
        <v>231</v>
      </c>
      <c r="V2064" s="12"/>
      <c r="W2064" s="12"/>
    </row>
    <row r="2065" spans="1:23" x14ac:dyDescent="0.3">
      <c r="A2065" s="193">
        <v>819</v>
      </c>
      <c r="B2065" s="46" t="s">
        <v>1735</v>
      </c>
      <c r="C2065" s="315"/>
      <c r="D2065" s="316"/>
      <c r="E2065" s="315"/>
      <c r="F2065" s="315"/>
      <c r="G2065" s="315"/>
      <c r="H2065" s="194" t="s">
        <v>2026</v>
      </c>
      <c r="I2065" s="12"/>
      <c r="J2065" s="46" t="s">
        <v>1736</v>
      </c>
      <c r="K2065" s="12"/>
      <c r="L2065" s="197">
        <v>27.64</v>
      </c>
      <c r="M2065" s="197">
        <v>26</v>
      </c>
      <c r="N2065" s="290">
        <v>320</v>
      </c>
      <c r="O2065" s="46"/>
      <c r="P2065" s="46" t="s">
        <v>32</v>
      </c>
      <c r="Q2065" s="12"/>
      <c r="R2065" s="192" t="str">
        <f>CONCATENATE(N2065,P2065)</f>
        <v>320ml</v>
      </c>
      <c r="S2065" s="198">
        <f>M2065*N2065</f>
        <v>8320</v>
      </c>
      <c r="T2065" s="199" t="str">
        <f>CONCATENATE(S2065,Q2065,P2065)</f>
        <v>8320ml</v>
      </c>
      <c r="U2065" s="200">
        <f>L2065*M2065</f>
        <v>718.64</v>
      </c>
      <c r="V2065" s="12"/>
      <c r="W2065" s="12"/>
    </row>
    <row r="2066" spans="1:23" x14ac:dyDescent="0.3">
      <c r="A2066" s="193">
        <v>819</v>
      </c>
      <c r="B2066" s="46" t="s">
        <v>1735</v>
      </c>
      <c r="C2066" s="315"/>
      <c r="D2066" s="316"/>
      <c r="E2066" s="315"/>
      <c r="F2066" s="315"/>
      <c r="G2066" s="315"/>
      <c r="H2066" s="194" t="s">
        <v>2026</v>
      </c>
      <c r="I2066" s="12"/>
      <c r="J2066" s="46" t="s">
        <v>1737</v>
      </c>
      <c r="K2066" s="12"/>
      <c r="L2066" s="197">
        <v>30.07</v>
      </c>
      <c r="M2066" s="197">
        <v>24</v>
      </c>
      <c r="N2066" s="290">
        <v>320</v>
      </c>
      <c r="O2066" s="46"/>
      <c r="P2066" s="46" t="s">
        <v>32</v>
      </c>
      <c r="Q2066" s="12"/>
      <c r="R2066" s="192" t="str">
        <f>CONCATENATE(N2066,P2066)</f>
        <v>320ml</v>
      </c>
      <c r="S2066" s="198">
        <f>M2066*N2066</f>
        <v>7680</v>
      </c>
      <c r="T2066" s="199" t="str">
        <f>CONCATENATE(S2066,Q2066,P2066)</f>
        <v>7680ml</v>
      </c>
      <c r="U2066" s="200">
        <f>L2066*M2066</f>
        <v>721.68000000000006</v>
      </c>
      <c r="V2066" s="12"/>
      <c r="W2066" s="12"/>
    </row>
    <row r="2067" spans="1:23" x14ac:dyDescent="0.3">
      <c r="A2067" s="193">
        <v>819</v>
      </c>
      <c r="B2067" s="170" t="s">
        <v>1735</v>
      </c>
      <c r="C2067" s="315"/>
      <c r="D2067" s="316"/>
      <c r="E2067" s="315"/>
      <c r="F2067" s="315"/>
      <c r="G2067" s="315"/>
      <c r="H2067" s="194" t="s">
        <v>2025</v>
      </c>
      <c r="I2067" s="12"/>
      <c r="J2067" s="46" t="s">
        <v>1738</v>
      </c>
      <c r="K2067" s="12"/>
      <c r="L2067" s="197">
        <v>32.6</v>
      </c>
      <c r="M2067" s="197">
        <v>22</v>
      </c>
      <c r="N2067" s="290">
        <v>320</v>
      </c>
      <c r="O2067" s="46"/>
      <c r="P2067" s="46" t="s">
        <v>32</v>
      </c>
      <c r="Q2067" s="12"/>
      <c r="R2067" s="192" t="str">
        <f>CONCATENATE(N2067,P2067)</f>
        <v>320ml</v>
      </c>
      <c r="S2067" s="198">
        <f>M2067*N2067</f>
        <v>7040</v>
      </c>
      <c r="T2067" s="199" t="str">
        <f>CONCATENATE(S2067,Q2067,P2067)</f>
        <v>7040ml</v>
      </c>
      <c r="U2067" s="200">
        <f>L2067*M2067</f>
        <v>717.2</v>
      </c>
      <c r="V2067" s="12"/>
      <c r="W2067" s="12"/>
    </row>
    <row r="2068" spans="1:23" x14ac:dyDescent="0.3">
      <c r="A2068" s="193">
        <v>819</v>
      </c>
      <c r="B2068" s="170" t="s">
        <v>1735</v>
      </c>
      <c r="C2068" s="315"/>
      <c r="D2068" s="316"/>
      <c r="E2068" s="315"/>
      <c r="F2068" s="315"/>
      <c r="G2068" s="315"/>
      <c r="H2068" s="194" t="s">
        <v>2026</v>
      </c>
      <c r="I2068" s="12"/>
      <c r="J2068" s="46" t="s">
        <v>1739</v>
      </c>
      <c r="K2068" s="12"/>
      <c r="L2068" s="197">
        <v>25.63</v>
      </c>
      <c r="M2068" s="197">
        <v>24</v>
      </c>
      <c r="N2068" s="290">
        <v>250</v>
      </c>
      <c r="O2068" s="46"/>
      <c r="P2068" s="46" t="s">
        <v>32</v>
      </c>
      <c r="Q2068" s="12"/>
      <c r="R2068" s="192" t="str">
        <f>CONCATENATE(N2068,P2068)</f>
        <v>250ml</v>
      </c>
      <c r="S2068" s="198">
        <f>M2068*N2068</f>
        <v>6000</v>
      </c>
      <c r="T2068" s="199" t="str">
        <f>CONCATENATE(S2068,Q2068,P2068)</f>
        <v>6000ml</v>
      </c>
      <c r="U2068" s="200">
        <f>L2068*M2068</f>
        <v>615.12</v>
      </c>
      <c r="V2068" s="12"/>
      <c r="W2068" s="12"/>
    </row>
    <row r="2069" spans="1:23" x14ac:dyDescent="0.3">
      <c r="A2069" s="193">
        <v>819</v>
      </c>
      <c r="B2069" s="170" t="s">
        <v>1735</v>
      </c>
      <c r="C2069" s="315"/>
      <c r="D2069" s="316"/>
      <c r="E2069" s="315"/>
      <c r="F2069" s="315"/>
      <c r="G2069" s="315"/>
      <c r="H2069" s="194" t="s">
        <v>2024</v>
      </c>
      <c r="I2069" s="12"/>
      <c r="J2069" s="46" t="s">
        <v>1740</v>
      </c>
      <c r="K2069" s="12"/>
      <c r="L2069" s="197">
        <v>25.63</v>
      </c>
      <c r="M2069" s="197">
        <v>40</v>
      </c>
      <c r="N2069" s="290">
        <v>250</v>
      </c>
      <c r="O2069" s="46"/>
      <c r="P2069" s="46" t="s">
        <v>32</v>
      </c>
      <c r="Q2069" s="12"/>
      <c r="R2069" s="192" t="str">
        <f>CONCATENATE(N2069,P2069)</f>
        <v>250ml</v>
      </c>
      <c r="S2069" s="198">
        <f>M2069*N2069</f>
        <v>10000</v>
      </c>
      <c r="T2069" s="199" t="str">
        <f>CONCATENATE(S2069,Q2069,P2069)</f>
        <v>10000ml</v>
      </c>
      <c r="U2069" s="200">
        <f>L2069*M2069</f>
        <v>1025.2</v>
      </c>
      <c r="V2069" s="12"/>
      <c r="W2069" s="12"/>
    </row>
    <row r="2070" spans="1:23" x14ac:dyDescent="0.3">
      <c r="A2070" s="193">
        <v>819</v>
      </c>
      <c r="B2070" s="170" t="s">
        <v>1735</v>
      </c>
      <c r="C2070" s="315"/>
      <c r="D2070" s="316"/>
      <c r="E2070" s="315"/>
      <c r="F2070" s="315"/>
      <c r="G2070" s="315"/>
      <c r="H2070" s="194" t="s">
        <v>2026</v>
      </c>
      <c r="I2070" s="12"/>
      <c r="J2070" s="46" t="s">
        <v>1740</v>
      </c>
      <c r="K2070" s="12"/>
      <c r="L2070" s="197">
        <v>25.63</v>
      </c>
      <c r="M2070" s="197">
        <v>24</v>
      </c>
      <c r="N2070" s="290">
        <v>250</v>
      </c>
      <c r="O2070" s="46"/>
      <c r="P2070" s="46" t="s">
        <v>32</v>
      </c>
      <c r="Q2070" s="12"/>
      <c r="R2070" s="192" t="str">
        <f>CONCATENATE(N2070,P2070)</f>
        <v>250ml</v>
      </c>
      <c r="S2070" s="198">
        <f>M2070*N2070</f>
        <v>6000</v>
      </c>
      <c r="T2070" s="199" t="str">
        <f>CONCATENATE(S2070,Q2070,P2070)</f>
        <v>6000ml</v>
      </c>
      <c r="U2070" s="200">
        <f>L2070*M2070</f>
        <v>615.12</v>
      </c>
      <c r="V2070" s="12"/>
      <c r="W2070" s="12"/>
    </row>
    <row r="2071" spans="1:23" x14ac:dyDescent="0.3">
      <c r="A2071" s="193">
        <v>819</v>
      </c>
      <c r="B2071" s="170" t="s">
        <v>1735</v>
      </c>
      <c r="C2071" s="315"/>
      <c r="D2071" s="316"/>
      <c r="E2071" s="315"/>
      <c r="F2071" s="315"/>
      <c r="G2071" s="315"/>
      <c r="H2071" s="194" t="s">
        <v>2025</v>
      </c>
      <c r="I2071" s="12"/>
      <c r="J2071" s="46" t="s">
        <v>1739</v>
      </c>
      <c r="K2071" s="12"/>
      <c r="L2071" s="197">
        <v>24</v>
      </c>
      <c r="M2071" s="197">
        <v>35</v>
      </c>
      <c r="N2071" s="290">
        <v>250</v>
      </c>
      <c r="O2071" s="46"/>
      <c r="P2071" s="46" t="s">
        <v>32</v>
      </c>
      <c r="Q2071" s="12"/>
      <c r="R2071" s="192" t="str">
        <f>CONCATENATE(N2071,P2071)</f>
        <v>250ml</v>
      </c>
      <c r="S2071" s="198">
        <f>M2071*N2071</f>
        <v>8750</v>
      </c>
      <c r="T2071" s="199" t="str">
        <f>CONCATENATE(S2071,Q2071,P2071)</f>
        <v>8750ml</v>
      </c>
      <c r="U2071" s="200">
        <f>L2071*M2071</f>
        <v>840</v>
      </c>
      <c r="V2071" s="12"/>
      <c r="W2071" s="12"/>
    </row>
    <row r="2072" spans="1:23" x14ac:dyDescent="0.3">
      <c r="A2072" s="193">
        <v>819</v>
      </c>
      <c r="B2072" s="170" t="s">
        <v>1735</v>
      </c>
      <c r="C2072" s="315"/>
      <c r="D2072" s="316"/>
      <c r="E2072" s="315"/>
      <c r="F2072" s="315"/>
      <c r="G2072" s="315"/>
      <c r="H2072" s="194" t="s">
        <v>2025</v>
      </c>
      <c r="I2072" s="12"/>
      <c r="J2072" s="46" t="s">
        <v>1741</v>
      </c>
      <c r="K2072" s="12"/>
      <c r="L2072" s="197">
        <v>24</v>
      </c>
      <c r="M2072" s="197">
        <v>11</v>
      </c>
      <c r="N2072" s="290">
        <v>250</v>
      </c>
      <c r="O2072" s="46"/>
      <c r="P2072" s="46" t="s">
        <v>32</v>
      </c>
      <c r="Q2072" s="12"/>
      <c r="R2072" s="192" t="str">
        <f>CONCATENATE(N2072,P2072)</f>
        <v>250ml</v>
      </c>
      <c r="S2072" s="198">
        <f>M2072*N2072</f>
        <v>2750</v>
      </c>
      <c r="T2072" s="199" t="str">
        <f>CONCATENATE(S2072,Q2072,P2072)</f>
        <v>2750ml</v>
      </c>
      <c r="U2072" s="200">
        <f>L2072*M2072</f>
        <v>264</v>
      </c>
      <c r="V2072" s="12"/>
      <c r="W2072" s="12"/>
    </row>
    <row r="2073" spans="1:23" x14ac:dyDescent="0.3">
      <c r="A2073" s="193">
        <v>819</v>
      </c>
      <c r="B2073" s="219" t="s">
        <v>1735</v>
      </c>
      <c r="C2073" s="315"/>
      <c r="D2073" s="316"/>
      <c r="E2073" s="315"/>
      <c r="F2073" s="315"/>
      <c r="G2073" s="315"/>
      <c r="H2073" s="194" t="s">
        <v>2021</v>
      </c>
      <c r="I2073" s="12"/>
      <c r="J2073" s="219" t="s">
        <v>1742</v>
      </c>
      <c r="K2073" s="12"/>
      <c r="L2073" s="216">
        <v>61</v>
      </c>
      <c r="M2073" s="216">
        <v>2</v>
      </c>
      <c r="N2073" s="293">
        <v>2</v>
      </c>
      <c r="O2073" s="219"/>
      <c r="P2073" s="219" t="s">
        <v>773</v>
      </c>
      <c r="Q2073" s="12"/>
      <c r="R2073" s="192" t="str">
        <f>CONCATENATE(N2073,P2073)</f>
        <v>2liters</v>
      </c>
      <c r="S2073" s="198">
        <f>M2073*N2073</f>
        <v>4</v>
      </c>
      <c r="T2073" s="199" t="str">
        <f>CONCATENATE(S2073,Q2073,P2073)</f>
        <v>4liters</v>
      </c>
      <c r="U2073" s="200">
        <f>L2073*M2073</f>
        <v>122</v>
      </c>
      <c r="V2073" s="12"/>
      <c r="W2073" s="12"/>
    </row>
    <row r="2074" spans="1:23" x14ac:dyDescent="0.3">
      <c r="A2074" s="193">
        <v>819</v>
      </c>
      <c r="B2074" s="219" t="s">
        <v>1735</v>
      </c>
      <c r="C2074" s="315"/>
      <c r="D2074" s="316"/>
      <c r="E2074" s="315"/>
      <c r="F2074" s="315"/>
      <c r="G2074" s="315"/>
      <c r="H2074" s="194" t="s">
        <v>2022</v>
      </c>
      <c r="I2074" s="12"/>
      <c r="J2074" s="219" t="s">
        <v>1742</v>
      </c>
      <c r="K2074" s="12"/>
      <c r="L2074" s="197">
        <v>63</v>
      </c>
      <c r="M2074" s="197">
        <v>51</v>
      </c>
      <c r="N2074" s="290">
        <v>2</v>
      </c>
      <c r="O2074" s="46"/>
      <c r="P2074" s="46" t="s">
        <v>773</v>
      </c>
      <c r="Q2074" s="12"/>
      <c r="R2074" s="192" t="str">
        <f>CONCATENATE(N2074,P2074)</f>
        <v>2liters</v>
      </c>
      <c r="S2074" s="198">
        <f>M2074*N2074</f>
        <v>102</v>
      </c>
      <c r="T2074" s="199" t="str">
        <f>CONCATENATE(S2074,Q2074,P2074)</f>
        <v>102liters</v>
      </c>
      <c r="U2074" s="200">
        <f>L2074*M2074</f>
        <v>3213</v>
      </c>
      <c r="V2074" s="12"/>
      <c r="W2074" s="12"/>
    </row>
    <row r="2075" spans="1:23" x14ac:dyDescent="0.3">
      <c r="A2075" s="193">
        <v>819</v>
      </c>
      <c r="B2075" s="46" t="s">
        <v>1735</v>
      </c>
      <c r="C2075" s="315"/>
      <c r="D2075" s="316"/>
      <c r="E2075" s="315"/>
      <c r="F2075" s="315"/>
      <c r="G2075" s="315"/>
      <c r="H2075" s="194" t="s">
        <v>2022</v>
      </c>
      <c r="I2075" s="12"/>
      <c r="J2075" s="46" t="s">
        <v>1743</v>
      </c>
      <c r="K2075" s="12"/>
      <c r="L2075" s="197">
        <v>22.16</v>
      </c>
      <c r="M2075" s="197">
        <v>4</v>
      </c>
      <c r="N2075" s="290">
        <v>180</v>
      </c>
      <c r="O2075" s="46"/>
      <c r="P2075" s="46" t="s">
        <v>32</v>
      </c>
      <c r="Q2075" s="12"/>
      <c r="R2075" s="192" t="str">
        <f>CONCATENATE(N2075,P2075)</f>
        <v>180ml</v>
      </c>
      <c r="S2075" s="198">
        <f>M2075*N2075</f>
        <v>720</v>
      </c>
      <c r="T2075" s="199" t="str">
        <f>CONCATENATE(S2075,Q2075,P2075)</f>
        <v>720ml</v>
      </c>
      <c r="U2075" s="200">
        <f>L2075*M2075</f>
        <v>88.64</v>
      </c>
      <c r="V2075" s="12"/>
      <c r="W2075" s="12"/>
    </row>
    <row r="2076" spans="1:23" x14ac:dyDescent="0.3">
      <c r="A2076" s="193">
        <v>819</v>
      </c>
      <c r="B2076" s="46" t="s">
        <v>1735</v>
      </c>
      <c r="C2076" s="315"/>
      <c r="D2076" s="316"/>
      <c r="E2076" s="315"/>
      <c r="F2076" s="315"/>
      <c r="G2076" s="315"/>
      <c r="H2076" s="194" t="s">
        <v>2020</v>
      </c>
      <c r="I2076" s="12"/>
      <c r="J2076" s="46" t="s">
        <v>1744</v>
      </c>
      <c r="K2076" s="12"/>
      <c r="L2076" s="197">
        <v>16.66</v>
      </c>
      <c r="M2076" s="197">
        <v>12</v>
      </c>
      <c r="N2076" s="290">
        <v>290</v>
      </c>
      <c r="O2076" s="46"/>
      <c r="P2076" s="46" t="s">
        <v>32</v>
      </c>
      <c r="Q2076" s="12"/>
      <c r="R2076" s="192" t="str">
        <f>CONCATENATE(N2076,P2076)</f>
        <v>290ml</v>
      </c>
      <c r="S2076" s="198">
        <f>M2076*N2076</f>
        <v>3480</v>
      </c>
      <c r="T2076" s="199" t="str">
        <f>CONCATENATE(S2076,Q2076,P2076)</f>
        <v>3480ml</v>
      </c>
      <c r="U2076" s="200">
        <f>L2076*M2076</f>
        <v>199.92000000000002</v>
      </c>
      <c r="V2076" s="12"/>
      <c r="W2076" s="12"/>
    </row>
    <row r="2077" spans="1:23" x14ac:dyDescent="0.3">
      <c r="A2077" s="193">
        <v>819</v>
      </c>
      <c r="B2077" s="46" t="s">
        <v>1735</v>
      </c>
      <c r="C2077" s="315"/>
      <c r="D2077" s="316"/>
      <c r="E2077" s="315"/>
      <c r="F2077" s="315"/>
      <c r="G2077" s="315"/>
      <c r="H2077" s="194" t="s">
        <v>1368</v>
      </c>
      <c r="I2077" s="12"/>
      <c r="J2077" s="219" t="s">
        <v>1742</v>
      </c>
      <c r="K2077" s="12"/>
      <c r="L2077" s="197">
        <v>65.25</v>
      </c>
      <c r="M2077" s="197">
        <v>36</v>
      </c>
      <c r="N2077" s="290">
        <v>2</v>
      </c>
      <c r="O2077" s="46"/>
      <c r="P2077" s="46" t="s">
        <v>773</v>
      </c>
      <c r="Q2077" s="12"/>
      <c r="R2077" s="192" t="str">
        <f>CONCATENATE(N2077,P2077)</f>
        <v>2liters</v>
      </c>
      <c r="S2077" s="198">
        <f>M2077*N2077</f>
        <v>72</v>
      </c>
      <c r="T2077" s="199" t="str">
        <f>CONCATENATE(S2077,Q2077,P2077)</f>
        <v>72liters</v>
      </c>
      <c r="U2077" s="200">
        <f>L2077*M2077</f>
        <v>2349</v>
      </c>
      <c r="V2077" s="12"/>
      <c r="W2077" s="12"/>
    </row>
    <row r="2078" spans="1:23" x14ac:dyDescent="0.3">
      <c r="A2078" s="193">
        <v>819</v>
      </c>
      <c r="B2078" s="46" t="s">
        <v>1735</v>
      </c>
      <c r="C2078" s="315"/>
      <c r="D2078" s="316"/>
      <c r="E2078" s="315"/>
      <c r="F2078" s="315"/>
      <c r="G2078" s="315"/>
      <c r="H2078" s="194" t="s">
        <v>2026</v>
      </c>
      <c r="I2078" s="12"/>
      <c r="J2078" s="46" t="s">
        <v>1745</v>
      </c>
      <c r="K2078" s="12"/>
      <c r="L2078" s="197">
        <v>754.3</v>
      </c>
      <c r="M2078" s="197">
        <v>72</v>
      </c>
      <c r="N2078" s="290">
        <v>320</v>
      </c>
      <c r="O2078" s="46"/>
      <c r="P2078" s="46" t="s">
        <v>32</v>
      </c>
      <c r="Q2078" s="12"/>
      <c r="R2078" s="192" t="str">
        <f>CONCATENATE(N2078,P2078)</f>
        <v>320ml</v>
      </c>
      <c r="S2078" s="198">
        <f>M2078*N2078</f>
        <v>23040</v>
      </c>
      <c r="T2078" s="199" t="str">
        <f>CONCATENATE(S2078,Q2078,P2078)</f>
        <v>23040ml</v>
      </c>
      <c r="U2078" s="200">
        <f>L2078*M2078</f>
        <v>54309.599999999999</v>
      </c>
      <c r="V2078" s="12"/>
      <c r="W2078" s="12"/>
    </row>
    <row r="2079" spans="1:23" x14ac:dyDescent="0.3">
      <c r="A2079" s="193">
        <v>819</v>
      </c>
      <c r="B2079" s="46" t="s">
        <v>1735</v>
      </c>
      <c r="C2079" s="315"/>
      <c r="D2079" s="316"/>
      <c r="E2079" s="315"/>
      <c r="F2079" s="315"/>
      <c r="G2079" s="315"/>
      <c r="H2079" s="194" t="s">
        <v>2023</v>
      </c>
      <c r="I2079" s="12"/>
      <c r="J2079" s="46" t="s">
        <v>1745</v>
      </c>
      <c r="K2079" s="12"/>
      <c r="L2079" s="197">
        <v>32.700000000000003</v>
      </c>
      <c r="M2079" s="197">
        <v>15</v>
      </c>
      <c r="N2079" s="290">
        <v>320</v>
      </c>
      <c r="O2079" s="46"/>
      <c r="P2079" s="46" t="s">
        <v>32</v>
      </c>
      <c r="Q2079" s="12"/>
      <c r="R2079" s="192" t="str">
        <f>CONCATENATE(N2079,P2079)</f>
        <v>320ml</v>
      </c>
      <c r="S2079" s="198">
        <f>M2079*N2079</f>
        <v>4800</v>
      </c>
      <c r="T2079" s="199" t="str">
        <f>CONCATENATE(S2079,Q2079,P2079)</f>
        <v>4800ml</v>
      </c>
      <c r="U2079" s="200">
        <f>L2079*M2079</f>
        <v>490.50000000000006</v>
      </c>
      <c r="V2079" s="12"/>
      <c r="W2079" s="12"/>
    </row>
    <row r="2080" spans="1:23" x14ac:dyDescent="0.3">
      <c r="A2080" s="193">
        <v>819</v>
      </c>
      <c r="B2080" s="46" t="s">
        <v>1735</v>
      </c>
      <c r="C2080" s="315"/>
      <c r="D2080" s="316"/>
      <c r="E2080" s="315"/>
      <c r="F2080" s="315"/>
      <c r="G2080" s="315"/>
      <c r="H2080" s="194" t="s">
        <v>2021</v>
      </c>
      <c r="I2080" s="12"/>
      <c r="J2080" s="46" t="s">
        <v>1745</v>
      </c>
      <c r="K2080" s="12"/>
      <c r="L2080" s="216">
        <v>30.4</v>
      </c>
      <c r="M2080" s="216">
        <v>25</v>
      </c>
      <c r="N2080" s="293">
        <v>320</v>
      </c>
      <c r="O2080" s="219"/>
      <c r="P2080" s="219" t="s">
        <v>32</v>
      </c>
      <c r="Q2080" s="12"/>
      <c r="R2080" s="192" t="str">
        <f>CONCATENATE(N2080,P2080)</f>
        <v>320ml</v>
      </c>
      <c r="S2080" s="198">
        <f>M2080*N2080</f>
        <v>8000</v>
      </c>
      <c r="T2080" s="199" t="str">
        <f>CONCATENATE(S2080,Q2080,P2080)</f>
        <v>8000ml</v>
      </c>
      <c r="U2080" s="200">
        <f>L2080*M2080</f>
        <v>760</v>
      </c>
      <c r="V2080" s="12"/>
      <c r="W2080" s="12"/>
    </row>
    <row r="2081" spans="1:23" x14ac:dyDescent="0.3">
      <c r="A2081" s="193">
        <v>819</v>
      </c>
      <c r="B2081" s="46" t="s">
        <v>1735</v>
      </c>
      <c r="C2081" s="315"/>
      <c r="D2081" s="316"/>
      <c r="E2081" s="315"/>
      <c r="F2081" s="315"/>
      <c r="G2081" s="315"/>
      <c r="H2081" s="194" t="s">
        <v>2025</v>
      </c>
      <c r="I2081" s="12"/>
      <c r="J2081" s="46" t="s">
        <v>1745</v>
      </c>
      <c r="K2081" s="12"/>
      <c r="L2081" s="197">
        <v>32.6</v>
      </c>
      <c r="M2081" s="197">
        <v>32</v>
      </c>
      <c r="N2081" s="293">
        <v>320</v>
      </c>
      <c r="O2081" s="219"/>
      <c r="P2081" s="219" t="s">
        <v>32</v>
      </c>
      <c r="Q2081" s="12"/>
      <c r="R2081" s="192" t="str">
        <f>CONCATENATE(N2081,P2081)</f>
        <v>320ml</v>
      </c>
      <c r="S2081" s="198">
        <f>M2081*N2081</f>
        <v>10240</v>
      </c>
      <c r="T2081" s="199" t="str">
        <f>CONCATENATE(S2081,Q2081,P2081)</f>
        <v>10240ml</v>
      </c>
      <c r="U2081" s="200">
        <f>L2081*M2081</f>
        <v>1043.2</v>
      </c>
      <c r="V2081" s="12"/>
      <c r="W2081" s="12"/>
    </row>
    <row r="2082" spans="1:23" x14ac:dyDescent="0.3">
      <c r="A2082" s="193">
        <v>819</v>
      </c>
      <c r="B2082" s="46" t="s">
        <v>1735</v>
      </c>
      <c r="C2082" s="315"/>
      <c r="D2082" s="316"/>
      <c r="E2082" s="315"/>
      <c r="F2082" s="315"/>
      <c r="G2082" s="315"/>
      <c r="H2082" s="194" t="s">
        <v>2021</v>
      </c>
      <c r="I2082" s="12"/>
      <c r="J2082" s="219" t="s">
        <v>1746</v>
      </c>
      <c r="K2082" s="12"/>
      <c r="L2082" s="216">
        <v>68.5</v>
      </c>
      <c r="M2082" s="216">
        <v>20</v>
      </c>
      <c r="N2082" s="293">
        <v>2</v>
      </c>
      <c r="O2082" s="219"/>
      <c r="P2082" s="219" t="s">
        <v>773</v>
      </c>
      <c r="Q2082" s="12"/>
      <c r="R2082" s="192" t="str">
        <f>CONCATENATE(N2082,P2082)</f>
        <v>2liters</v>
      </c>
      <c r="S2082" s="198">
        <f>M2082*N2082</f>
        <v>40</v>
      </c>
      <c r="T2082" s="199" t="str">
        <f>CONCATENATE(S2082,Q2082,P2082)</f>
        <v>40liters</v>
      </c>
      <c r="U2082" s="200">
        <f>L2082*M2082</f>
        <v>1370</v>
      </c>
      <c r="V2082" s="12"/>
      <c r="W2082" s="12"/>
    </row>
    <row r="2083" spans="1:23" x14ac:dyDescent="0.3">
      <c r="A2083" s="193">
        <v>819</v>
      </c>
      <c r="B2083" s="46" t="s">
        <v>1735</v>
      </c>
      <c r="C2083" s="315"/>
      <c r="D2083" s="316"/>
      <c r="E2083" s="315"/>
      <c r="F2083" s="315"/>
      <c r="G2083" s="315"/>
      <c r="H2083" s="194" t="s">
        <v>2024</v>
      </c>
      <c r="I2083" s="12"/>
      <c r="J2083" s="46" t="s">
        <v>1747</v>
      </c>
      <c r="K2083" s="12"/>
      <c r="L2083" s="197">
        <v>31.6</v>
      </c>
      <c r="M2083" s="197">
        <v>5</v>
      </c>
      <c r="N2083" s="290">
        <v>320</v>
      </c>
      <c r="O2083" s="46"/>
      <c r="P2083" s="46" t="s">
        <v>32</v>
      </c>
      <c r="Q2083" s="12"/>
      <c r="R2083" s="192" t="str">
        <f>CONCATENATE(N2083,P2083)</f>
        <v>320ml</v>
      </c>
      <c r="S2083" s="198">
        <f>M2083*N2083</f>
        <v>1600</v>
      </c>
      <c r="T2083" s="199" t="str">
        <f>CONCATENATE(S2083,Q2083,P2083)</f>
        <v>1600ml</v>
      </c>
      <c r="U2083" s="200">
        <f>L2083*M2083</f>
        <v>158</v>
      </c>
      <c r="V2083" s="12"/>
      <c r="W2083" s="12"/>
    </row>
    <row r="2084" spans="1:23" x14ac:dyDescent="0.3">
      <c r="A2084" s="193">
        <v>819</v>
      </c>
      <c r="B2084" s="46" t="s">
        <v>1735</v>
      </c>
      <c r="C2084" s="315"/>
      <c r="D2084" s="316"/>
      <c r="E2084" s="315"/>
      <c r="F2084" s="315"/>
      <c r="G2084" s="315"/>
      <c r="H2084" s="194" t="s">
        <v>2026</v>
      </c>
      <c r="I2084" s="12"/>
      <c r="J2084" s="46" t="s">
        <v>1747</v>
      </c>
      <c r="K2084" s="12"/>
      <c r="L2084" s="197">
        <v>31.57</v>
      </c>
      <c r="M2084" s="197">
        <v>60</v>
      </c>
      <c r="N2084" s="290">
        <v>320</v>
      </c>
      <c r="O2084" s="46"/>
      <c r="P2084" s="46" t="s">
        <v>32</v>
      </c>
      <c r="Q2084" s="12"/>
      <c r="R2084" s="192" t="str">
        <f>CONCATENATE(N2084,P2084)</f>
        <v>320ml</v>
      </c>
      <c r="S2084" s="198">
        <f>M2084*N2084</f>
        <v>19200</v>
      </c>
      <c r="T2084" s="199" t="str">
        <f>CONCATENATE(S2084,Q2084,P2084)</f>
        <v>19200ml</v>
      </c>
      <c r="U2084" s="200">
        <f>L2084*M2084</f>
        <v>1894.2</v>
      </c>
      <c r="V2084" s="12"/>
      <c r="W2084" s="12"/>
    </row>
    <row r="2085" spans="1:23" x14ac:dyDescent="0.3">
      <c r="A2085" s="193">
        <v>819</v>
      </c>
      <c r="B2085" s="46" t="s">
        <v>1735</v>
      </c>
      <c r="C2085" s="315"/>
      <c r="D2085" s="316"/>
      <c r="E2085" s="315"/>
      <c r="F2085" s="315"/>
      <c r="G2085" s="315"/>
      <c r="H2085" s="194" t="s">
        <v>2023</v>
      </c>
      <c r="I2085" s="12"/>
      <c r="J2085" s="46" t="s">
        <v>1747</v>
      </c>
      <c r="K2085" s="12"/>
      <c r="L2085" s="197">
        <v>32.840000000000003</v>
      </c>
      <c r="M2085" s="197">
        <v>24</v>
      </c>
      <c r="N2085" s="290">
        <v>320</v>
      </c>
      <c r="O2085" s="46"/>
      <c r="P2085" s="46" t="s">
        <v>32</v>
      </c>
      <c r="Q2085" s="12"/>
      <c r="R2085" s="192" t="str">
        <f>CONCATENATE(N2085,P2085)</f>
        <v>320ml</v>
      </c>
      <c r="S2085" s="198">
        <f>M2085*N2085</f>
        <v>7680</v>
      </c>
      <c r="T2085" s="199" t="str">
        <f>CONCATENATE(S2085,Q2085,P2085)</f>
        <v>7680ml</v>
      </c>
      <c r="U2085" s="200">
        <f>L2085*M2085</f>
        <v>788.16000000000008</v>
      </c>
      <c r="V2085" s="12"/>
      <c r="W2085" s="12"/>
    </row>
    <row r="2086" spans="1:23" x14ac:dyDescent="0.3">
      <c r="A2086" s="193">
        <v>819</v>
      </c>
      <c r="B2086" s="46" t="s">
        <v>1735</v>
      </c>
      <c r="C2086" s="315"/>
      <c r="D2086" s="316"/>
      <c r="E2086" s="315"/>
      <c r="F2086" s="315"/>
      <c r="G2086" s="315"/>
      <c r="H2086" s="194" t="s">
        <v>2025</v>
      </c>
      <c r="I2086" s="12"/>
      <c r="J2086" s="46" t="s">
        <v>1747</v>
      </c>
      <c r="K2086" s="12"/>
      <c r="L2086" s="197">
        <v>32.6</v>
      </c>
      <c r="M2086" s="197">
        <v>52</v>
      </c>
      <c r="N2086" s="290">
        <v>320</v>
      </c>
      <c r="O2086" s="46"/>
      <c r="P2086" s="46" t="s">
        <v>32</v>
      </c>
      <c r="Q2086" s="12"/>
      <c r="R2086" s="192" t="str">
        <f>CONCATENATE(N2086,P2086)</f>
        <v>320ml</v>
      </c>
      <c r="S2086" s="198">
        <f>M2086*N2086</f>
        <v>16640</v>
      </c>
      <c r="T2086" s="199" t="str">
        <f>CONCATENATE(S2086,Q2086,P2086)</f>
        <v>16640ml</v>
      </c>
      <c r="U2086" s="200">
        <f>L2086*M2086</f>
        <v>1695.2</v>
      </c>
      <c r="V2086" s="12"/>
      <c r="W2086" s="12"/>
    </row>
    <row r="2087" spans="1:23" x14ac:dyDescent="0.3">
      <c r="A2087" s="193">
        <v>819</v>
      </c>
      <c r="B2087" s="46" t="s">
        <v>1735</v>
      </c>
      <c r="C2087" s="315"/>
      <c r="D2087" s="316"/>
      <c r="E2087" s="315"/>
      <c r="F2087" s="315"/>
      <c r="G2087" s="315"/>
      <c r="H2087" s="194" t="s">
        <v>2021</v>
      </c>
      <c r="I2087" s="12"/>
      <c r="J2087" s="219" t="s">
        <v>1748</v>
      </c>
      <c r="K2087" s="12"/>
      <c r="L2087" s="216">
        <v>61</v>
      </c>
      <c r="M2087" s="216">
        <v>1</v>
      </c>
      <c r="N2087" s="293">
        <v>2</v>
      </c>
      <c r="O2087" s="219"/>
      <c r="P2087" s="219" t="s">
        <v>773</v>
      </c>
      <c r="Q2087" s="12"/>
      <c r="R2087" s="192" t="str">
        <f>CONCATENATE(N2087,P2087)</f>
        <v>2liters</v>
      </c>
      <c r="S2087" s="198">
        <f>M2087*N2087</f>
        <v>2</v>
      </c>
      <c r="T2087" s="199" t="str">
        <f>CONCATENATE(S2087,Q2087,P2087)</f>
        <v>2liters</v>
      </c>
      <c r="U2087" s="200">
        <f>L2087*M2087</f>
        <v>61</v>
      </c>
      <c r="V2087" s="12"/>
      <c r="W2087" s="12"/>
    </row>
    <row r="2088" spans="1:23" x14ac:dyDescent="0.3">
      <c r="A2088" s="193">
        <v>819</v>
      </c>
      <c r="B2088" s="46" t="s">
        <v>1735</v>
      </c>
      <c r="C2088" s="315"/>
      <c r="D2088" s="316"/>
      <c r="E2088" s="315"/>
      <c r="F2088" s="315"/>
      <c r="G2088" s="315"/>
      <c r="H2088" s="194" t="s">
        <v>2020</v>
      </c>
      <c r="I2088" s="12"/>
      <c r="J2088" s="46" t="s">
        <v>1749</v>
      </c>
      <c r="K2088" s="12"/>
      <c r="L2088" s="197">
        <v>16.14</v>
      </c>
      <c r="M2088" s="197">
        <v>12</v>
      </c>
      <c r="N2088" s="290">
        <v>250</v>
      </c>
      <c r="O2088" s="46"/>
      <c r="P2088" s="46" t="s">
        <v>32</v>
      </c>
      <c r="Q2088" s="12"/>
      <c r="R2088" s="192" t="str">
        <f>CONCATENATE(N2088,P2088)</f>
        <v>250ml</v>
      </c>
      <c r="S2088" s="198">
        <f>M2088*N2088</f>
        <v>3000</v>
      </c>
      <c r="T2088" s="199" t="str">
        <f>CONCATENATE(S2088,Q2088,P2088)</f>
        <v>3000ml</v>
      </c>
      <c r="U2088" s="200">
        <f>L2088*M2088</f>
        <v>193.68</v>
      </c>
      <c r="V2088" s="12"/>
      <c r="W2088" s="12"/>
    </row>
    <row r="2089" spans="1:23" x14ac:dyDescent="0.3">
      <c r="A2089" s="193">
        <v>819</v>
      </c>
      <c r="B2089" s="46" t="s">
        <v>1735</v>
      </c>
      <c r="C2089" s="315"/>
      <c r="D2089" s="316"/>
      <c r="E2089" s="315"/>
      <c r="F2089" s="315"/>
      <c r="G2089" s="315"/>
      <c r="H2089" s="194" t="s">
        <v>2022</v>
      </c>
      <c r="I2089" s="12"/>
      <c r="J2089" s="46" t="s">
        <v>1750</v>
      </c>
      <c r="K2089" s="12"/>
      <c r="L2089" s="197">
        <v>32.840000000000003</v>
      </c>
      <c r="M2089" s="197">
        <v>15</v>
      </c>
      <c r="N2089" s="290">
        <v>320</v>
      </c>
      <c r="O2089" s="46"/>
      <c r="P2089" s="46" t="s">
        <v>32</v>
      </c>
      <c r="Q2089" s="12"/>
      <c r="R2089" s="192" t="str">
        <f>CONCATENATE(N2089,P2089)</f>
        <v>320ml</v>
      </c>
      <c r="S2089" s="198">
        <f>M2089*N2089</f>
        <v>4800</v>
      </c>
      <c r="T2089" s="199" t="str">
        <f>CONCATENATE(S2089,Q2089,P2089)</f>
        <v>4800ml</v>
      </c>
      <c r="U2089" s="200">
        <f>L2089*M2089</f>
        <v>492.6</v>
      </c>
      <c r="V2089" s="12"/>
      <c r="W2089" s="12"/>
    </row>
    <row r="2090" spans="1:23" x14ac:dyDescent="0.3">
      <c r="A2090" s="193">
        <v>819</v>
      </c>
      <c r="B2090" s="46" t="s">
        <v>1735</v>
      </c>
      <c r="C2090" s="315"/>
      <c r="D2090" s="316"/>
      <c r="E2090" s="315"/>
      <c r="F2090" s="315"/>
      <c r="G2090" s="315"/>
      <c r="H2090" s="194" t="s">
        <v>2021</v>
      </c>
      <c r="I2090" s="12"/>
      <c r="J2090" s="46" t="s">
        <v>1750</v>
      </c>
      <c r="K2090" s="12"/>
      <c r="L2090" s="216">
        <v>30.4</v>
      </c>
      <c r="M2090" s="216">
        <v>23</v>
      </c>
      <c r="N2090" s="293">
        <v>320</v>
      </c>
      <c r="O2090" s="219"/>
      <c r="P2090" s="219" t="s">
        <v>32</v>
      </c>
      <c r="Q2090" s="12"/>
      <c r="R2090" s="192" t="str">
        <f>CONCATENATE(N2090,P2090)</f>
        <v>320ml</v>
      </c>
      <c r="S2090" s="198">
        <f>M2090*N2090</f>
        <v>7360</v>
      </c>
      <c r="T2090" s="199" t="str">
        <f>CONCATENATE(S2090,Q2090,P2090)</f>
        <v>7360ml</v>
      </c>
      <c r="U2090" s="200">
        <f>L2090*M2090</f>
        <v>699.19999999999993</v>
      </c>
      <c r="V2090" s="12"/>
      <c r="W2090" s="12"/>
    </row>
    <row r="2091" spans="1:23" x14ac:dyDescent="0.3">
      <c r="A2091" s="193">
        <v>819</v>
      </c>
      <c r="B2091" s="46" t="s">
        <v>1735</v>
      </c>
      <c r="C2091" s="315"/>
      <c r="D2091" s="316"/>
      <c r="E2091" s="315"/>
      <c r="F2091" s="315"/>
      <c r="G2091" s="315"/>
      <c r="H2091" s="194" t="s">
        <v>2025</v>
      </c>
      <c r="I2091" s="12"/>
      <c r="J2091" s="46" t="s">
        <v>1750</v>
      </c>
      <c r="K2091" s="12"/>
      <c r="L2091" s="197">
        <v>31.35</v>
      </c>
      <c r="M2091" s="197">
        <v>49</v>
      </c>
      <c r="N2091" s="293">
        <v>320</v>
      </c>
      <c r="O2091" s="219"/>
      <c r="P2091" s="219" t="s">
        <v>32</v>
      </c>
      <c r="Q2091" s="12"/>
      <c r="R2091" s="192" t="str">
        <f>CONCATENATE(N2091,P2091)</f>
        <v>320ml</v>
      </c>
      <c r="S2091" s="198">
        <f>M2091*N2091</f>
        <v>15680</v>
      </c>
      <c r="T2091" s="199" t="str">
        <f>CONCATENATE(S2091,Q2091,P2091)</f>
        <v>15680ml</v>
      </c>
      <c r="U2091" s="200">
        <f>L2091*M2091</f>
        <v>1536.15</v>
      </c>
      <c r="V2091" s="12"/>
      <c r="W2091" s="12"/>
    </row>
    <row r="2092" spans="1:23" x14ac:dyDescent="0.3">
      <c r="A2092" s="193">
        <v>819</v>
      </c>
      <c r="B2092" s="46" t="s">
        <v>1735</v>
      </c>
      <c r="C2092" s="315"/>
      <c r="D2092" s="316"/>
      <c r="E2092" s="315"/>
      <c r="F2092" s="315"/>
      <c r="G2092" s="315"/>
      <c r="H2092" s="194" t="s">
        <v>2022</v>
      </c>
      <c r="I2092" s="12"/>
      <c r="J2092" s="219" t="s">
        <v>1748</v>
      </c>
      <c r="K2092" s="12"/>
      <c r="L2092" s="197">
        <v>63</v>
      </c>
      <c r="M2092" s="197">
        <v>14</v>
      </c>
      <c r="N2092" s="290">
        <v>2</v>
      </c>
      <c r="O2092" s="46"/>
      <c r="P2092" s="46" t="s">
        <v>773</v>
      </c>
      <c r="Q2092" s="12"/>
      <c r="R2092" s="192" t="str">
        <f>CONCATENATE(N2092,P2092)</f>
        <v>2liters</v>
      </c>
      <c r="S2092" s="198">
        <f>M2092*N2092</f>
        <v>28</v>
      </c>
      <c r="T2092" s="199" t="str">
        <f>CONCATENATE(S2092,Q2092,P2092)</f>
        <v>28liters</v>
      </c>
      <c r="U2092" s="200">
        <f>L2092*M2092</f>
        <v>882</v>
      </c>
      <c r="V2092" s="12"/>
      <c r="W2092" s="12"/>
    </row>
    <row r="2093" spans="1:23" x14ac:dyDescent="0.3">
      <c r="A2093" s="193">
        <v>819</v>
      </c>
      <c r="B2093" s="46" t="s">
        <v>1735</v>
      </c>
      <c r="C2093" s="315"/>
      <c r="D2093" s="316"/>
      <c r="E2093" s="315"/>
      <c r="F2093" s="315"/>
      <c r="G2093" s="315"/>
      <c r="H2093" s="194" t="s">
        <v>2022</v>
      </c>
      <c r="I2093" s="12"/>
      <c r="J2093" s="219" t="s">
        <v>1751</v>
      </c>
      <c r="K2093" s="12"/>
      <c r="L2093" s="197">
        <v>63</v>
      </c>
      <c r="M2093" s="197">
        <v>12</v>
      </c>
      <c r="N2093" s="290">
        <v>2</v>
      </c>
      <c r="O2093" s="46"/>
      <c r="P2093" s="46" t="s">
        <v>773</v>
      </c>
      <c r="Q2093" s="12"/>
      <c r="R2093" s="192" t="str">
        <f>CONCATENATE(N2093,P2093)</f>
        <v>2liters</v>
      </c>
      <c r="S2093" s="198">
        <f>M2093*N2093</f>
        <v>24</v>
      </c>
      <c r="T2093" s="199" t="str">
        <f>CONCATENATE(S2093,Q2093,P2093)</f>
        <v>24liters</v>
      </c>
      <c r="U2093" s="200">
        <f>L2093*M2093</f>
        <v>756</v>
      </c>
      <c r="V2093" s="12"/>
      <c r="W2093" s="12"/>
    </row>
    <row r="2094" spans="1:23" x14ac:dyDescent="0.3">
      <c r="A2094" s="193">
        <v>819</v>
      </c>
      <c r="B2094" s="46" t="s">
        <v>1735</v>
      </c>
      <c r="C2094" s="315"/>
      <c r="D2094" s="316"/>
      <c r="E2094" s="315"/>
      <c r="F2094" s="315"/>
      <c r="G2094" s="315"/>
      <c r="H2094" s="194" t="s">
        <v>2021</v>
      </c>
      <c r="I2094" s="12"/>
      <c r="J2094" s="219" t="s">
        <v>1751</v>
      </c>
      <c r="K2094" s="12"/>
      <c r="L2094" s="216">
        <v>61</v>
      </c>
      <c r="M2094" s="216">
        <v>1</v>
      </c>
      <c r="N2094" s="293">
        <v>2</v>
      </c>
      <c r="O2094" s="219"/>
      <c r="P2094" s="219" t="s">
        <v>773</v>
      </c>
      <c r="Q2094" s="12"/>
      <c r="R2094" s="192" t="str">
        <f>CONCATENATE(N2094,P2094)</f>
        <v>2liters</v>
      </c>
      <c r="S2094" s="198">
        <f>M2094*N2094</f>
        <v>2</v>
      </c>
      <c r="T2094" s="199" t="str">
        <f>CONCATENATE(S2094,Q2094,P2094)</f>
        <v>2liters</v>
      </c>
      <c r="U2094" s="200">
        <f>L2094*M2094</f>
        <v>61</v>
      </c>
      <c r="V2094" s="12"/>
      <c r="W2094" s="12"/>
    </row>
    <row r="2095" spans="1:23" x14ac:dyDescent="0.3">
      <c r="A2095" s="193">
        <v>819</v>
      </c>
      <c r="B2095" s="46" t="s">
        <v>1735</v>
      </c>
      <c r="C2095" s="315"/>
      <c r="D2095" s="316"/>
      <c r="E2095" s="315"/>
      <c r="F2095" s="315"/>
      <c r="G2095" s="315"/>
      <c r="H2095" s="194" t="s">
        <v>2020</v>
      </c>
      <c r="I2095" s="12"/>
      <c r="J2095" s="46" t="s">
        <v>1752</v>
      </c>
      <c r="K2095" s="12"/>
      <c r="L2095" s="197">
        <v>16.66</v>
      </c>
      <c r="M2095" s="197">
        <v>19</v>
      </c>
      <c r="N2095" s="290">
        <v>290</v>
      </c>
      <c r="O2095" s="46"/>
      <c r="P2095" s="46" t="s">
        <v>32</v>
      </c>
      <c r="Q2095" s="12"/>
      <c r="R2095" s="192" t="str">
        <f>CONCATENATE(N2095,P2095)</f>
        <v>290ml</v>
      </c>
      <c r="S2095" s="198">
        <f>M2095*N2095</f>
        <v>5510</v>
      </c>
      <c r="T2095" s="199" t="str">
        <f>CONCATENATE(S2095,Q2095,P2095)</f>
        <v>5510ml</v>
      </c>
      <c r="U2095" s="200">
        <f>L2095*M2095</f>
        <v>316.54000000000002</v>
      </c>
      <c r="V2095" s="12"/>
      <c r="W2095" s="12"/>
    </row>
    <row r="2096" spans="1:23" x14ac:dyDescent="0.3">
      <c r="A2096" s="193">
        <v>819</v>
      </c>
      <c r="B2096" s="46" t="s">
        <v>1735</v>
      </c>
      <c r="C2096" s="315"/>
      <c r="D2096" s="316"/>
      <c r="E2096" s="315"/>
      <c r="F2096" s="315"/>
      <c r="G2096" s="315"/>
      <c r="H2096" s="194" t="s">
        <v>2026</v>
      </c>
      <c r="I2096" s="12"/>
      <c r="J2096" s="46" t="s">
        <v>1753</v>
      </c>
      <c r="K2096" s="12"/>
      <c r="L2096" s="197">
        <v>31.57</v>
      </c>
      <c r="M2096" s="197">
        <v>48</v>
      </c>
      <c r="N2096" s="290">
        <v>320</v>
      </c>
      <c r="O2096" s="46"/>
      <c r="P2096" s="46" t="s">
        <v>32</v>
      </c>
      <c r="Q2096" s="12"/>
      <c r="R2096" s="192" t="str">
        <f>CONCATENATE(N2096,P2096)</f>
        <v>320ml</v>
      </c>
      <c r="S2096" s="198">
        <f>M2096*N2096</f>
        <v>15360</v>
      </c>
      <c r="T2096" s="199" t="str">
        <f>CONCATENATE(S2096,Q2096,P2096)</f>
        <v>15360ml</v>
      </c>
      <c r="U2096" s="200">
        <f>L2096*M2096</f>
        <v>1515.3600000000001</v>
      </c>
      <c r="V2096" s="12"/>
      <c r="W2096" s="12"/>
    </row>
    <row r="2097" spans="1:23" x14ac:dyDescent="0.3">
      <c r="A2097" s="193">
        <v>819</v>
      </c>
      <c r="B2097" s="46" t="s">
        <v>1735</v>
      </c>
      <c r="C2097" s="315"/>
      <c r="D2097" s="316"/>
      <c r="E2097" s="315"/>
      <c r="F2097" s="315"/>
      <c r="G2097" s="315"/>
      <c r="H2097" s="194" t="s">
        <v>2023</v>
      </c>
      <c r="I2097" s="12"/>
      <c r="J2097" s="46" t="s">
        <v>1753</v>
      </c>
      <c r="K2097" s="12"/>
      <c r="L2097" s="197">
        <v>32.840000000000003</v>
      </c>
      <c r="M2097" s="197">
        <v>9</v>
      </c>
      <c r="N2097" s="290">
        <v>320</v>
      </c>
      <c r="O2097" s="46"/>
      <c r="P2097" s="46" t="s">
        <v>32</v>
      </c>
      <c r="Q2097" s="12"/>
      <c r="R2097" s="192" t="str">
        <f>CONCATENATE(N2097,P2097)</f>
        <v>320ml</v>
      </c>
      <c r="S2097" s="198">
        <f>M2097*N2097</f>
        <v>2880</v>
      </c>
      <c r="T2097" s="199" t="str">
        <f>CONCATENATE(S2097,Q2097,P2097)</f>
        <v>2880ml</v>
      </c>
      <c r="U2097" s="200">
        <f>L2097*M2097</f>
        <v>295.56000000000006</v>
      </c>
      <c r="V2097" s="12"/>
      <c r="W2097" s="12"/>
    </row>
    <row r="2098" spans="1:23" x14ac:dyDescent="0.3">
      <c r="A2098" s="193">
        <v>819</v>
      </c>
      <c r="B2098" s="46" t="s">
        <v>1735</v>
      </c>
      <c r="C2098" s="315"/>
      <c r="D2098" s="316"/>
      <c r="E2098" s="315"/>
      <c r="F2098" s="315"/>
      <c r="G2098" s="315"/>
      <c r="H2098" s="194" t="s">
        <v>2021</v>
      </c>
      <c r="I2098" s="12"/>
      <c r="J2098" s="46" t="s">
        <v>1753</v>
      </c>
      <c r="K2098" s="12"/>
      <c r="L2098" s="216">
        <v>30.4</v>
      </c>
      <c r="M2098" s="216">
        <v>23</v>
      </c>
      <c r="N2098" s="293">
        <v>320</v>
      </c>
      <c r="O2098" s="219"/>
      <c r="P2098" s="219" t="s">
        <v>32</v>
      </c>
      <c r="Q2098" s="12"/>
      <c r="R2098" s="192" t="str">
        <f>CONCATENATE(N2098,P2098)</f>
        <v>320ml</v>
      </c>
      <c r="S2098" s="198">
        <f>M2098*N2098</f>
        <v>7360</v>
      </c>
      <c r="T2098" s="199" t="str">
        <f>CONCATENATE(S2098,Q2098,P2098)</f>
        <v>7360ml</v>
      </c>
      <c r="U2098" s="200">
        <f>L2098*M2098</f>
        <v>699.19999999999993</v>
      </c>
      <c r="V2098" s="12"/>
      <c r="W2098" s="12"/>
    </row>
    <row r="2099" spans="1:23" x14ac:dyDescent="0.3">
      <c r="A2099" s="193">
        <v>819</v>
      </c>
      <c r="B2099" s="46" t="s">
        <v>1735</v>
      </c>
      <c r="C2099" s="315"/>
      <c r="D2099" s="316"/>
      <c r="E2099" s="315"/>
      <c r="F2099" s="315"/>
      <c r="G2099" s="315"/>
      <c r="H2099" s="400" t="s">
        <v>2027</v>
      </c>
      <c r="I2099" s="12"/>
      <c r="J2099" s="46" t="s">
        <v>2005</v>
      </c>
      <c r="K2099" s="12"/>
      <c r="L2099" s="195">
        <v>16.16</v>
      </c>
      <c r="M2099" s="197">
        <v>60</v>
      </c>
      <c r="N2099" s="360">
        <v>1</v>
      </c>
      <c r="O2099" s="61"/>
      <c r="P2099" s="61" t="s">
        <v>92</v>
      </c>
      <c r="Q2099" s="12"/>
      <c r="R2099" s="192" t="str">
        <f>CONCATENATE(N2099,P2099)</f>
        <v>1pieces</v>
      </c>
      <c r="S2099" s="198">
        <f>M2099*N2099</f>
        <v>60</v>
      </c>
      <c r="T2099" s="199" t="str">
        <f>CONCATENATE(S2099,Q2099,P2099)</f>
        <v>60pieces</v>
      </c>
      <c r="U2099" s="200">
        <f>L2099*M2099</f>
        <v>969.6</v>
      </c>
      <c r="V2099" s="12"/>
      <c r="W2099" s="12"/>
    </row>
    <row r="2100" spans="1:23" x14ac:dyDescent="0.3">
      <c r="A2100" s="193">
        <v>819</v>
      </c>
      <c r="B2100" s="46" t="s">
        <v>1735</v>
      </c>
      <c r="C2100" s="315"/>
      <c r="D2100" s="316"/>
      <c r="E2100" s="315"/>
      <c r="F2100" s="315"/>
      <c r="G2100" s="315"/>
      <c r="H2100" s="400" t="s">
        <v>2027</v>
      </c>
      <c r="I2100" s="12"/>
      <c r="J2100" s="46" t="s">
        <v>2006</v>
      </c>
      <c r="K2100" s="12"/>
      <c r="L2100" s="195">
        <v>10.16</v>
      </c>
      <c r="M2100" s="197">
        <v>31</v>
      </c>
      <c r="N2100" s="360">
        <v>1</v>
      </c>
      <c r="O2100" s="61"/>
      <c r="P2100" s="61" t="s">
        <v>92</v>
      </c>
      <c r="Q2100" s="12"/>
      <c r="R2100" s="192" t="str">
        <f>CONCATENATE(N2100,P2100)</f>
        <v>1pieces</v>
      </c>
      <c r="S2100" s="198">
        <f>M2100*N2100</f>
        <v>31</v>
      </c>
      <c r="T2100" s="199" t="str">
        <f>CONCATENATE(S2100,Q2100,P2100)</f>
        <v>31pieces</v>
      </c>
      <c r="U2100" s="200">
        <f>L2100*M2100</f>
        <v>314.95999999999998</v>
      </c>
      <c r="V2100" s="12"/>
      <c r="W2100" s="12"/>
    </row>
    <row r="2101" spans="1:23" x14ac:dyDescent="0.3">
      <c r="A2101" s="193">
        <v>819</v>
      </c>
      <c r="B2101" s="46" t="s">
        <v>1735</v>
      </c>
      <c r="C2101" s="315"/>
      <c r="D2101" s="316"/>
      <c r="E2101" s="315"/>
      <c r="F2101" s="315"/>
      <c r="G2101" s="315"/>
      <c r="H2101" s="400" t="s">
        <v>2027</v>
      </c>
      <c r="I2101" s="12"/>
      <c r="J2101" s="46" t="s">
        <v>1736</v>
      </c>
      <c r="K2101" s="12"/>
      <c r="L2101" s="195">
        <v>16.8</v>
      </c>
      <c r="M2101" s="197">
        <v>46</v>
      </c>
      <c r="N2101" s="360">
        <v>1</v>
      </c>
      <c r="O2101" s="61"/>
      <c r="P2101" s="61" t="s">
        <v>92</v>
      </c>
      <c r="Q2101" s="12"/>
      <c r="R2101" s="192" t="str">
        <f>CONCATENATE(N2101,P2101)</f>
        <v>1pieces</v>
      </c>
      <c r="S2101" s="198">
        <f>M2101*N2101</f>
        <v>46</v>
      </c>
      <c r="T2101" s="199" t="str">
        <f>CONCATENATE(S2101,Q2101,P2101)</f>
        <v>46pieces</v>
      </c>
      <c r="U2101" s="200">
        <f>L2101*M2101</f>
        <v>772.80000000000007</v>
      </c>
      <c r="V2101" s="12"/>
      <c r="W2101" s="12"/>
    </row>
    <row r="2102" spans="1:23" x14ac:dyDescent="0.3">
      <c r="A2102" s="479">
        <v>820</v>
      </c>
      <c r="B2102" s="194" t="s">
        <v>329</v>
      </c>
      <c r="C2102" s="487"/>
      <c r="D2102" s="485" t="str">
        <f ca="1">IFERROR(__xludf.DUMMYFUNCTION("IF(J564="""",""n/a"",IFERROR(SPLIT(J564,""/"")))"),"Goodlife")</f>
        <v>Goodlife</v>
      </c>
      <c r="E2102" s="485" t="str">
        <f ca="1">IFERROR(__xludf.DUMMYFUNCTION("""COMPUTED_VALUE"""),"pack")</f>
        <v>pack</v>
      </c>
      <c r="F2102" s="485" t="str">
        <f ca="1">IFERROR(__xludf.DUMMYFUNCTION("""COMPUTED_VALUE"""),"1000grams")</f>
        <v>1000grams</v>
      </c>
      <c r="G2102" s="487"/>
      <c r="H2102" s="183" t="s">
        <v>1895</v>
      </c>
      <c r="I2102" s="487"/>
      <c r="J2102" s="46" t="s">
        <v>49</v>
      </c>
      <c r="K2102" s="487"/>
      <c r="L2102" s="195">
        <v>291.60000000000002</v>
      </c>
      <c r="M2102" s="197">
        <v>4</v>
      </c>
      <c r="N2102" s="61">
        <v>1</v>
      </c>
      <c r="O2102" s="61" t="str">
        <f ca="1">E2102</f>
        <v>pack</v>
      </c>
      <c r="P2102" s="61" t="s">
        <v>39</v>
      </c>
      <c r="Q2102" s="487"/>
      <c r="R2102" s="192" t="str">
        <f>CONCATENATE(N2102,P2102)</f>
        <v>1grams</v>
      </c>
      <c r="S2102" s="198">
        <f>M2102*N2102</f>
        <v>4</v>
      </c>
      <c r="T2102" s="199" t="str">
        <f>CONCATENATE(S2102,Q2102,P2102)</f>
        <v>4grams</v>
      </c>
      <c r="U2102" s="200">
        <f>L2102*M2102</f>
        <v>1166.4000000000001</v>
      </c>
      <c r="V2102" s="12"/>
      <c r="W2102" s="12"/>
    </row>
    <row r="2103" spans="1:23" x14ac:dyDescent="0.3">
      <c r="A2103" s="479">
        <v>820</v>
      </c>
      <c r="B2103" s="194" t="s">
        <v>329</v>
      </c>
      <c r="C2103" s="487"/>
      <c r="D2103" s="485" t="str">
        <f ca="1">IFERROR(__xludf.DUMMYFUNCTION("IF(J565="""",""n/a"",IFERROR(SPLIT(J565,""/"")))"),"n/a")</f>
        <v>n/a</v>
      </c>
      <c r="E2103" s="487"/>
      <c r="F2103" s="487"/>
      <c r="G2103" s="487"/>
      <c r="H2103" s="206" t="s">
        <v>1898</v>
      </c>
      <c r="I2103" s="487"/>
      <c r="J2103" s="170"/>
      <c r="K2103" s="487"/>
      <c r="L2103" s="197">
        <v>0.28999999999999998</v>
      </c>
      <c r="M2103" s="386">
        <v>1000</v>
      </c>
      <c r="N2103" s="208">
        <v>1000</v>
      </c>
      <c r="O2103" s="170">
        <f>E2103</f>
        <v>0</v>
      </c>
      <c r="P2103" s="61" t="s">
        <v>39</v>
      </c>
      <c r="Q2103" s="487"/>
      <c r="R2103" s="192" t="str">
        <f>CONCATENATE(N2103,P2103)</f>
        <v>1000grams</v>
      </c>
      <c r="S2103" s="198">
        <f>M2103*N2103</f>
        <v>1000000</v>
      </c>
      <c r="T2103" s="199" t="str">
        <f>CONCATENATE(S2103,Q2103,P2103)</f>
        <v>1000000grams</v>
      </c>
      <c r="U2103" s="200">
        <f>L2103*M2103</f>
        <v>290</v>
      </c>
      <c r="V2103" s="12"/>
      <c r="W2103" s="12"/>
    </row>
    <row r="2104" spans="1:23" x14ac:dyDescent="0.3">
      <c r="A2104" s="193">
        <v>820</v>
      </c>
      <c r="B2104" s="46" t="s">
        <v>329</v>
      </c>
      <c r="C2104" s="315"/>
      <c r="D2104" s="316"/>
      <c r="E2104" s="315"/>
      <c r="F2104" s="315"/>
      <c r="G2104" s="315"/>
      <c r="H2104" s="194" t="s">
        <v>2024</v>
      </c>
      <c r="I2104" s="12"/>
      <c r="J2104" s="46" t="s">
        <v>1754</v>
      </c>
      <c r="K2104" s="12"/>
      <c r="L2104" s="197">
        <v>310</v>
      </c>
      <c r="M2104" s="197">
        <v>6</v>
      </c>
      <c r="N2104" s="290">
        <v>1</v>
      </c>
      <c r="O2104" s="46"/>
      <c r="P2104" s="46" t="s">
        <v>213</v>
      </c>
      <c r="Q2104" s="12"/>
      <c r="R2104" s="192" t="str">
        <f>CONCATENATE(N2104,P2104)</f>
        <v>1kilos</v>
      </c>
      <c r="S2104" s="198">
        <f>M2104*N2104</f>
        <v>6</v>
      </c>
      <c r="T2104" s="199" t="str">
        <f>CONCATENATE(S2104,Q2104,P2104)</f>
        <v>6kilos</v>
      </c>
      <c r="U2104" s="200">
        <f>L2104*M2104</f>
        <v>1860</v>
      </c>
      <c r="V2104" s="12"/>
      <c r="W2104" s="12"/>
    </row>
    <row r="2105" spans="1:23" x14ac:dyDescent="0.3">
      <c r="A2105" s="193">
        <v>820</v>
      </c>
      <c r="B2105" s="46" t="s">
        <v>329</v>
      </c>
      <c r="C2105" s="315"/>
      <c r="D2105" s="316"/>
      <c r="E2105" s="315"/>
      <c r="F2105" s="315"/>
      <c r="G2105" s="315"/>
      <c r="H2105" s="194" t="s">
        <v>2025</v>
      </c>
      <c r="I2105" s="12"/>
      <c r="J2105" s="46" t="s">
        <v>1754</v>
      </c>
      <c r="K2105" s="12"/>
      <c r="L2105" s="197">
        <v>250</v>
      </c>
      <c r="M2105" s="197">
        <v>0</v>
      </c>
      <c r="N2105" s="290">
        <v>1</v>
      </c>
      <c r="O2105" s="46"/>
      <c r="P2105" s="46" t="s">
        <v>213</v>
      </c>
      <c r="Q2105" s="12"/>
      <c r="R2105" s="192" t="str">
        <f>CONCATENATE(N2105,P2105)</f>
        <v>1kilos</v>
      </c>
      <c r="S2105" s="198">
        <f>M2105*N2105</f>
        <v>0</v>
      </c>
      <c r="T2105" s="199" t="str">
        <f>CONCATENATE(S2105,Q2105,P2105)</f>
        <v>0kilos</v>
      </c>
      <c r="U2105" s="200">
        <f>L2105*M2105</f>
        <v>0</v>
      </c>
      <c r="V2105" s="12"/>
      <c r="W2105" s="12"/>
    </row>
    <row r="2106" spans="1:23" x14ac:dyDescent="0.3">
      <c r="A2106" s="193">
        <v>820</v>
      </c>
      <c r="B2106" s="46" t="s">
        <v>329</v>
      </c>
      <c r="C2106" s="315"/>
      <c r="D2106" s="316"/>
      <c r="E2106" s="315"/>
      <c r="F2106" s="315"/>
      <c r="G2106" s="315"/>
      <c r="H2106" s="194" t="s">
        <v>2026</v>
      </c>
      <c r="I2106" s="12"/>
      <c r="J2106" s="46" t="s">
        <v>980</v>
      </c>
      <c r="K2106" s="12"/>
      <c r="L2106" s="197">
        <v>158.80000000000001</v>
      </c>
      <c r="M2106" s="197">
        <v>2</v>
      </c>
      <c r="N2106" s="290">
        <v>500</v>
      </c>
      <c r="O2106" s="46"/>
      <c r="P2106" s="46" t="s">
        <v>39</v>
      </c>
      <c r="Q2106" s="12"/>
      <c r="R2106" s="192" t="str">
        <f>CONCATENATE(N2106,P2106)</f>
        <v>500grams</v>
      </c>
      <c r="S2106" s="198">
        <f>M2106*N2106</f>
        <v>1000</v>
      </c>
      <c r="T2106" s="199" t="str">
        <f>CONCATENATE(S2106,Q2106,P2106)</f>
        <v>1000grams</v>
      </c>
      <c r="U2106" s="200">
        <f>L2106*M2106</f>
        <v>317.60000000000002</v>
      </c>
      <c r="V2106" s="12"/>
      <c r="W2106" s="12"/>
    </row>
    <row r="2107" spans="1:23" x14ac:dyDescent="0.3">
      <c r="A2107" s="193">
        <v>820</v>
      </c>
      <c r="B2107" s="46" t="s">
        <v>329</v>
      </c>
      <c r="C2107" s="315"/>
      <c r="D2107" s="316"/>
      <c r="E2107" s="315"/>
      <c r="F2107" s="315"/>
      <c r="G2107" s="315"/>
      <c r="H2107" s="194" t="s">
        <v>1368</v>
      </c>
      <c r="I2107" s="12"/>
      <c r="J2107" s="46" t="s">
        <v>1755</v>
      </c>
      <c r="K2107" s="12"/>
      <c r="L2107" s="197">
        <v>106.5</v>
      </c>
      <c r="M2107" s="197">
        <v>2</v>
      </c>
      <c r="N2107" s="290">
        <v>800</v>
      </c>
      <c r="O2107" s="46"/>
      <c r="P2107" s="46" t="s">
        <v>39</v>
      </c>
      <c r="Q2107" s="12"/>
      <c r="R2107" s="192" t="str">
        <f>CONCATENATE(N2107,P2107)</f>
        <v>800grams</v>
      </c>
      <c r="S2107" s="198">
        <f>M2107*N2107</f>
        <v>1600</v>
      </c>
      <c r="T2107" s="199" t="str">
        <f>CONCATENATE(S2107,Q2107,P2107)</f>
        <v>1600grams</v>
      </c>
      <c r="U2107" s="200">
        <f>L2107*M2107</f>
        <v>213</v>
      </c>
      <c r="V2107" s="12"/>
      <c r="W2107" s="12"/>
    </row>
    <row r="2108" spans="1:23" x14ac:dyDescent="0.3">
      <c r="A2108" s="193">
        <v>820</v>
      </c>
      <c r="B2108" s="46" t="s">
        <v>329</v>
      </c>
      <c r="C2108" s="315"/>
      <c r="D2108" s="316"/>
      <c r="E2108" s="315"/>
      <c r="F2108" s="315"/>
      <c r="G2108" s="315"/>
      <c r="H2108" s="194" t="s">
        <v>1368</v>
      </c>
      <c r="I2108" s="12"/>
      <c r="J2108" s="46" t="s">
        <v>980</v>
      </c>
      <c r="K2108" s="12"/>
      <c r="L2108" s="197">
        <v>164</v>
      </c>
      <c r="M2108" s="197">
        <v>2</v>
      </c>
      <c r="N2108" s="290">
        <v>32</v>
      </c>
      <c r="O2108" s="46"/>
      <c r="P2108" s="46" t="s">
        <v>1224</v>
      </c>
      <c r="Q2108" s="12"/>
      <c r="R2108" s="192" t="str">
        <f>CONCATENATE(N2108,P2108)</f>
        <v>32ounces</v>
      </c>
      <c r="S2108" s="198">
        <f>M2108*N2108</f>
        <v>64</v>
      </c>
      <c r="T2108" s="199" t="str">
        <f>CONCATENATE(S2108,Q2108,P2108)</f>
        <v>64ounces</v>
      </c>
      <c r="U2108" s="200">
        <f>L2108*M2108</f>
        <v>328</v>
      </c>
      <c r="V2108" s="12"/>
      <c r="W2108" s="12"/>
    </row>
    <row r="2109" spans="1:23" x14ac:dyDescent="0.3">
      <c r="A2109" s="193">
        <v>821</v>
      </c>
      <c r="B2109" s="194" t="s">
        <v>776</v>
      </c>
      <c r="C2109" s="487"/>
      <c r="D2109" s="485" t="str">
        <f ca="1">IFERROR(__xludf.DUMMYFUNCTION("IF(J566="""",""n/a"",IFERROR(SPLIT(J566,""/"")))"),"n/a")</f>
        <v>n/a</v>
      </c>
      <c r="E2109" s="487"/>
      <c r="F2109" s="487"/>
      <c r="G2109" s="487"/>
      <c r="H2109" s="206" t="s">
        <v>1898</v>
      </c>
      <c r="I2109" s="487"/>
      <c r="J2109" s="170"/>
      <c r="K2109" s="487"/>
      <c r="L2109" s="197">
        <v>0.88</v>
      </c>
      <c r="M2109" s="385">
        <v>60</v>
      </c>
      <c r="N2109" s="208">
        <v>60</v>
      </c>
      <c r="O2109" s="170">
        <f>E2109</f>
        <v>0</v>
      </c>
      <c r="P2109" s="61" t="s">
        <v>39</v>
      </c>
      <c r="Q2109" s="12"/>
      <c r="R2109" s="192" t="str">
        <f>CONCATENATE(N2109,P2109)</f>
        <v>60grams</v>
      </c>
      <c r="S2109" s="198">
        <f>M2109*N2109</f>
        <v>3600</v>
      </c>
      <c r="T2109" s="199" t="str">
        <f>CONCATENATE(S2109,Q2109,P2109)</f>
        <v>3600grams</v>
      </c>
      <c r="U2109" s="200">
        <f>L2109*M2109</f>
        <v>52.8</v>
      </c>
      <c r="V2109" s="12"/>
      <c r="W2109" s="12"/>
    </row>
    <row r="2110" spans="1:23" x14ac:dyDescent="0.3">
      <c r="A2110" s="193">
        <v>822</v>
      </c>
      <c r="B2110" s="194" t="s">
        <v>777</v>
      </c>
      <c r="C2110" s="487"/>
      <c r="D2110" s="485" t="str">
        <f ca="1">IFERROR(__xludf.DUMMYFUNCTION("IF(J567="""",""n/a"",IFERROR(SPLIT(J567,""/"")))"),"n/a")</f>
        <v>n/a</v>
      </c>
      <c r="E2110" s="487"/>
      <c r="F2110" s="487"/>
      <c r="G2110" s="487"/>
      <c r="H2110" s="206" t="s">
        <v>1898</v>
      </c>
      <c r="I2110" s="487"/>
      <c r="J2110" s="170"/>
      <c r="K2110" s="487"/>
      <c r="L2110" s="197">
        <v>1.01</v>
      </c>
      <c r="M2110" s="386">
        <v>440</v>
      </c>
      <c r="N2110" s="208">
        <v>55</v>
      </c>
      <c r="O2110" s="170">
        <f>E2110</f>
        <v>0</v>
      </c>
      <c r="P2110" s="61" t="s">
        <v>39</v>
      </c>
      <c r="Q2110" s="12"/>
      <c r="R2110" s="192" t="str">
        <f>CONCATENATE(N2110,P2110)</f>
        <v>55grams</v>
      </c>
      <c r="S2110" s="198">
        <f>M2110*N2110</f>
        <v>24200</v>
      </c>
      <c r="T2110" s="199" t="str">
        <f>CONCATENATE(S2110,Q2110,P2110)</f>
        <v>24200grams</v>
      </c>
      <c r="U2110" s="200">
        <f>L2110*M2110</f>
        <v>444.4</v>
      </c>
      <c r="V2110" s="12"/>
      <c r="W2110" s="12"/>
    </row>
    <row r="2111" spans="1:23" x14ac:dyDescent="0.3">
      <c r="A2111" s="193">
        <v>823</v>
      </c>
      <c r="B2111" s="194" t="s">
        <v>778</v>
      </c>
      <c r="C2111" s="487"/>
      <c r="D2111" s="485" t="str">
        <f ca="1">IFERROR(__xludf.DUMMYFUNCTION("IF(J568="""",""n/a"",IFERROR(SPLIT(J568,""/"")))"),"n/a")</f>
        <v>n/a</v>
      </c>
      <c r="E2111" s="487"/>
      <c r="F2111" s="487"/>
      <c r="G2111" s="487"/>
      <c r="H2111" s="206" t="s">
        <v>1898</v>
      </c>
      <c r="I2111" s="487"/>
      <c r="J2111" s="170"/>
      <c r="K2111" s="487"/>
      <c r="L2111" s="197">
        <v>0.89</v>
      </c>
      <c r="M2111" s="386">
        <v>124</v>
      </c>
      <c r="N2111" s="208">
        <v>62</v>
      </c>
      <c r="O2111" s="170">
        <f>E2111</f>
        <v>0</v>
      </c>
      <c r="P2111" s="61" t="s">
        <v>39</v>
      </c>
      <c r="Q2111" s="12"/>
      <c r="R2111" s="192" t="str">
        <f>CONCATENATE(N2111,P2111)</f>
        <v>62grams</v>
      </c>
      <c r="S2111" s="198">
        <f>M2111*N2111</f>
        <v>7688</v>
      </c>
      <c r="T2111" s="199" t="str">
        <f>CONCATENATE(S2111,Q2111,P2111)</f>
        <v>7688grams</v>
      </c>
      <c r="U2111" s="200">
        <f>L2111*M2111</f>
        <v>110.36</v>
      </c>
      <c r="V2111" s="12"/>
      <c r="W2111" s="12"/>
    </row>
    <row r="2112" spans="1:23" x14ac:dyDescent="0.3">
      <c r="A2112" s="193">
        <v>824</v>
      </c>
      <c r="B2112" s="46" t="s">
        <v>1756</v>
      </c>
      <c r="C2112" s="315"/>
      <c r="D2112" s="316"/>
      <c r="E2112" s="315"/>
      <c r="F2112" s="315"/>
      <c r="G2112" s="315"/>
      <c r="H2112" s="194" t="s">
        <v>2022</v>
      </c>
      <c r="I2112" s="12"/>
      <c r="J2112" s="46" t="s">
        <v>1757</v>
      </c>
      <c r="K2112" s="12"/>
      <c r="L2112" s="197">
        <v>65</v>
      </c>
      <c r="M2112" s="197">
        <v>17</v>
      </c>
      <c r="N2112" s="290">
        <v>53</v>
      </c>
      <c r="O2112" s="46"/>
      <c r="P2112" s="46" t="s">
        <v>39</v>
      </c>
      <c r="Q2112" s="12"/>
      <c r="R2112" s="192" t="str">
        <f>CONCATENATE(N2112,P2112)</f>
        <v>53grams</v>
      </c>
      <c r="S2112" s="198">
        <f>M2112*N2112</f>
        <v>901</v>
      </c>
      <c r="T2112" s="199" t="str">
        <f>CONCATENATE(S2112,Q2112,P2112)</f>
        <v>901grams</v>
      </c>
      <c r="U2112" s="200">
        <f>L2112*M2112</f>
        <v>1105</v>
      </c>
      <c r="V2112" s="12"/>
      <c r="W2112" s="12"/>
    </row>
    <row r="2113" spans="1:23" x14ac:dyDescent="0.3">
      <c r="A2113" s="193">
        <v>824</v>
      </c>
      <c r="B2113" s="46" t="s">
        <v>1756</v>
      </c>
      <c r="C2113" s="315"/>
      <c r="D2113" s="316"/>
      <c r="E2113" s="315"/>
      <c r="F2113" s="315"/>
      <c r="G2113" s="315"/>
      <c r="H2113" s="194" t="s">
        <v>2020</v>
      </c>
      <c r="I2113" s="12"/>
      <c r="J2113" s="46" t="s">
        <v>1757</v>
      </c>
      <c r="K2113" s="12"/>
      <c r="L2113" s="197">
        <v>52.8</v>
      </c>
      <c r="M2113" s="197">
        <v>1</v>
      </c>
      <c r="N2113" s="290">
        <v>53</v>
      </c>
      <c r="O2113" s="46"/>
      <c r="P2113" s="46" t="s">
        <v>39</v>
      </c>
      <c r="Q2113" s="12"/>
      <c r="R2113" s="192" t="str">
        <f>CONCATENATE(N2113,P2113)</f>
        <v>53grams</v>
      </c>
      <c r="S2113" s="198">
        <f>M2113*N2113</f>
        <v>53</v>
      </c>
      <c r="T2113" s="199" t="str">
        <f>CONCATENATE(S2113,Q2113,P2113)</f>
        <v>53grams</v>
      </c>
      <c r="U2113" s="200">
        <f>L2113*M2113</f>
        <v>52.8</v>
      </c>
      <c r="V2113" s="12"/>
      <c r="W2113" s="12"/>
    </row>
    <row r="2114" spans="1:23" x14ac:dyDescent="0.3">
      <c r="A2114" s="193">
        <v>824</v>
      </c>
      <c r="B2114" s="46" t="s">
        <v>1756</v>
      </c>
      <c r="C2114" s="315"/>
      <c r="D2114" s="316"/>
      <c r="E2114" s="315"/>
      <c r="F2114" s="315"/>
      <c r="G2114" s="315"/>
      <c r="H2114" s="194" t="s">
        <v>2023</v>
      </c>
      <c r="I2114" s="12"/>
      <c r="J2114" s="46" t="s">
        <v>1757</v>
      </c>
      <c r="K2114" s="12"/>
      <c r="L2114" s="197">
        <v>52.6</v>
      </c>
      <c r="M2114" s="197">
        <v>3</v>
      </c>
      <c r="N2114" s="290">
        <v>53</v>
      </c>
      <c r="O2114" s="46"/>
      <c r="P2114" s="46" t="s">
        <v>39</v>
      </c>
      <c r="Q2114" s="12"/>
      <c r="R2114" s="192" t="str">
        <f>CONCATENATE(N2114,P2114)</f>
        <v>53grams</v>
      </c>
      <c r="S2114" s="198">
        <f>M2114*N2114</f>
        <v>159</v>
      </c>
      <c r="T2114" s="199" t="str">
        <f>CONCATENATE(S2114,Q2114,P2114)</f>
        <v>159grams</v>
      </c>
      <c r="U2114" s="200">
        <f>L2114*M2114</f>
        <v>157.80000000000001</v>
      </c>
      <c r="V2114" s="12"/>
      <c r="W2114" s="12"/>
    </row>
    <row r="2115" spans="1:23" x14ac:dyDescent="0.3">
      <c r="A2115" s="193">
        <v>825</v>
      </c>
      <c r="B2115" s="194" t="s">
        <v>779</v>
      </c>
      <c r="C2115" s="487"/>
      <c r="D2115" s="485" t="str">
        <f ca="1">IFERROR(__xludf.DUMMYFUNCTION("IF(J569="""",""n/a"",IFERROR(SPLIT(J569,""/"")))"),"n/a")</f>
        <v>n/a</v>
      </c>
      <c r="E2115" s="487"/>
      <c r="F2115" s="487"/>
      <c r="G2115" s="487"/>
      <c r="H2115" s="206" t="s">
        <v>1898</v>
      </c>
      <c r="I2115" s="487"/>
      <c r="J2115" s="170"/>
      <c r="K2115" s="487"/>
      <c r="L2115" s="197">
        <v>0.99</v>
      </c>
      <c r="M2115" s="386">
        <v>901</v>
      </c>
      <c r="N2115" s="208">
        <v>53</v>
      </c>
      <c r="O2115" s="170">
        <f>E2115</f>
        <v>0</v>
      </c>
      <c r="P2115" s="61" t="s">
        <v>39</v>
      </c>
      <c r="Q2115" s="12"/>
      <c r="R2115" s="192" t="str">
        <f>CONCATENATE(N2115,P2115)</f>
        <v>53grams</v>
      </c>
      <c r="S2115" s="198">
        <f>M2115*N2115</f>
        <v>47753</v>
      </c>
      <c r="T2115" s="199" t="str">
        <f>CONCATENATE(S2115,Q2115,P2115)</f>
        <v>47753grams</v>
      </c>
      <c r="U2115" s="200">
        <f>L2115*M2115</f>
        <v>891.99</v>
      </c>
      <c r="V2115" s="12"/>
      <c r="W2115" s="12"/>
    </row>
    <row r="2116" spans="1:23" x14ac:dyDescent="0.3">
      <c r="A2116" s="193">
        <v>826</v>
      </c>
      <c r="B2116" s="214" t="s">
        <v>780</v>
      </c>
      <c r="C2116" s="489"/>
      <c r="D2116" s="485" t="str">
        <f ca="1">IFERROR(__xludf.DUMMYFUNCTION("IF(J570="""",""n/a"",IFERROR(SPLIT(J570,""/"")))"),"pck")</f>
        <v>pck</v>
      </c>
      <c r="E2116" s="489"/>
      <c r="F2116" s="489"/>
      <c r="G2116" s="489"/>
      <c r="H2116" s="183" t="s">
        <v>1897</v>
      </c>
      <c r="I2116" s="487"/>
      <c r="J2116" s="219" t="s">
        <v>781</v>
      </c>
      <c r="K2116" s="487"/>
      <c r="L2116" s="217">
        <v>68</v>
      </c>
      <c r="M2116" s="217">
        <v>1</v>
      </c>
      <c r="N2116" s="220">
        <v>1</v>
      </c>
      <c r="O2116" s="170">
        <f>E2116</f>
        <v>0</v>
      </c>
      <c r="P2116" s="209" t="s">
        <v>92</v>
      </c>
      <c r="Q2116" s="12"/>
      <c r="R2116" s="192" t="str">
        <f>CONCATENATE(N2116,P2116)</f>
        <v>1pieces</v>
      </c>
      <c r="S2116" s="198">
        <f>M2116*N2116</f>
        <v>1</v>
      </c>
      <c r="T2116" s="199" t="str">
        <f>CONCATENATE(S2116,Q2116,P2116)</f>
        <v>1pieces</v>
      </c>
      <c r="U2116" s="200">
        <f>L2116*M2116</f>
        <v>68</v>
      </c>
      <c r="V2116" s="12"/>
      <c r="W2116" s="12"/>
    </row>
    <row r="2117" spans="1:23" x14ac:dyDescent="0.3">
      <c r="A2117" s="193">
        <v>827</v>
      </c>
      <c r="B2117" s="194" t="s">
        <v>286</v>
      </c>
      <c r="C2117" s="487"/>
      <c r="D2117" s="485" t="str">
        <f ca="1">IFERROR(__xludf.DUMMYFUNCTION("IF(J571="""",""n/a"",IFERROR(SPLIT(J571,""/"")))"),"Ticman")</f>
        <v>Ticman</v>
      </c>
      <c r="E2117" s="485" t="str">
        <f ca="1">IFERROR(__xludf.DUMMYFUNCTION("""COMPUTED_VALUE"""),"gallon")</f>
        <v>gallon</v>
      </c>
      <c r="F2117" s="485" t="str">
        <f ca="1">IFERROR(__xludf.DUMMYFUNCTION("""COMPUTED_VALUE"""),"3500ml")</f>
        <v>3500ml</v>
      </c>
      <c r="G2117" s="487"/>
      <c r="H2117" s="183" t="s">
        <v>1897</v>
      </c>
      <c r="I2117" s="487"/>
      <c r="J2117" s="46" t="s">
        <v>239</v>
      </c>
      <c r="K2117" s="487"/>
      <c r="L2117" s="202">
        <v>73</v>
      </c>
      <c r="M2117" s="202">
        <v>18</v>
      </c>
      <c r="N2117" s="203">
        <v>1</v>
      </c>
      <c r="O2117" s="61" t="str">
        <f ca="1">E2117</f>
        <v>gallon</v>
      </c>
      <c r="P2117" s="61" t="s">
        <v>200</v>
      </c>
      <c r="Q2117" s="12"/>
      <c r="R2117" s="192" t="str">
        <f>CONCATENATE(N2117,P2117)</f>
        <v>1gal</v>
      </c>
      <c r="S2117" s="198">
        <f>M2117*N2117</f>
        <v>18</v>
      </c>
      <c r="T2117" s="199" t="str">
        <f>CONCATENATE(S2117,Q2117,P2117)</f>
        <v>18gal</v>
      </c>
      <c r="U2117" s="200">
        <f>L2117*M2117</f>
        <v>1314</v>
      </c>
      <c r="V2117" s="62"/>
      <c r="W2117" s="12"/>
    </row>
    <row r="2118" spans="1:23" x14ac:dyDescent="0.3">
      <c r="A2118" s="193">
        <v>827</v>
      </c>
      <c r="B2118" s="194" t="s">
        <v>286</v>
      </c>
      <c r="C2118" s="487"/>
      <c r="D2118" s="485" t="str">
        <f ca="1">IFERROR(__xludf.DUMMYFUNCTION("IF(J572="""",""n/a"",IFERROR(SPLIT(J572,""/"")))"),"Hermano")</f>
        <v>Hermano</v>
      </c>
      <c r="E2118" s="485" t="str">
        <f ca="1">IFERROR(__xludf.DUMMYFUNCTION("""COMPUTED_VALUE"""),"pack")</f>
        <v>pack</v>
      </c>
      <c r="F2118" s="485" t="str">
        <f ca="1">IFERROR(__xludf.DUMMYFUNCTION("""COMPUTED_VALUE"""),"1000grams")</f>
        <v>1000grams</v>
      </c>
      <c r="G2118" s="487"/>
      <c r="H2118" s="183" t="s">
        <v>1897</v>
      </c>
      <c r="I2118" s="487"/>
      <c r="J2118" s="46" t="s">
        <v>82</v>
      </c>
      <c r="K2118" s="487"/>
      <c r="L2118" s="195">
        <v>0.09</v>
      </c>
      <c r="M2118" s="202">
        <v>10000</v>
      </c>
      <c r="N2118" s="203">
        <v>1000</v>
      </c>
      <c r="O2118" s="61" t="str">
        <f ca="1">E2118</f>
        <v>pack</v>
      </c>
      <c r="P2118" s="61" t="s">
        <v>39</v>
      </c>
      <c r="Q2118" s="12"/>
      <c r="R2118" s="192" t="str">
        <f>CONCATENATE(N2118,P2118)</f>
        <v>1000grams</v>
      </c>
      <c r="S2118" s="198">
        <f>M2118*N2118</f>
        <v>10000000</v>
      </c>
      <c r="T2118" s="199" t="str">
        <f>CONCATENATE(S2118,Q2118,P2118)</f>
        <v>10000000grams</v>
      </c>
      <c r="U2118" s="200">
        <f>L2118*M2118</f>
        <v>900</v>
      </c>
      <c r="V2118" s="205"/>
      <c r="W2118" s="62"/>
    </row>
    <row r="2119" spans="1:23" x14ac:dyDescent="0.3">
      <c r="A2119" s="193">
        <v>827</v>
      </c>
      <c r="B2119" s="194" t="s">
        <v>286</v>
      </c>
      <c r="C2119" s="487"/>
      <c r="D2119" s="485" t="str">
        <f ca="1">IFERROR(__xludf.DUMMYFUNCTION("IF(J573="""",""n/a"",IFERROR(SPLIT(J573,""/"")))"),"Kikkoman")</f>
        <v>Kikkoman</v>
      </c>
      <c r="E2119" s="485" t="str">
        <f ca="1">IFERROR(__xludf.DUMMYFUNCTION("""COMPUTED_VALUE"""),"bottle")</f>
        <v>bottle</v>
      </c>
      <c r="F2119" s="485" t="str">
        <f ca="1">IFERROR(__xludf.DUMMYFUNCTION("""COMPUTED_VALUE"""),"1000ml")</f>
        <v>1000ml</v>
      </c>
      <c r="G2119" s="487"/>
      <c r="H2119" s="183" t="s">
        <v>1897</v>
      </c>
      <c r="I2119" s="487"/>
      <c r="J2119" s="46" t="s">
        <v>782</v>
      </c>
      <c r="K2119" s="487"/>
      <c r="L2119" s="202">
        <v>0.25</v>
      </c>
      <c r="M2119" s="202">
        <v>1000</v>
      </c>
      <c r="N2119" s="203">
        <v>1000</v>
      </c>
      <c r="O2119" s="61" t="str">
        <f ca="1">E2119</f>
        <v>bottle</v>
      </c>
      <c r="P2119" s="61" t="s">
        <v>32</v>
      </c>
      <c r="Q2119" s="12"/>
      <c r="R2119" s="192" t="str">
        <f>CONCATENATE(N2119,P2119)</f>
        <v>1000ml</v>
      </c>
      <c r="S2119" s="198">
        <f>M2119*N2119</f>
        <v>1000000</v>
      </c>
      <c r="T2119" s="199" t="str">
        <f>CONCATENATE(S2119,Q2119,P2119)</f>
        <v>1000000ml</v>
      </c>
      <c r="U2119" s="200">
        <f>L2119*M2119</f>
        <v>250</v>
      </c>
      <c r="V2119" s="62"/>
      <c r="W2119" s="12"/>
    </row>
    <row r="2120" spans="1:23" x14ac:dyDescent="0.3">
      <c r="A2120" s="193">
        <v>827</v>
      </c>
      <c r="B2120" s="194" t="s">
        <v>286</v>
      </c>
      <c r="C2120" s="487"/>
      <c r="D2120" s="485" t="str">
        <f ca="1">IFERROR(__xludf.DUMMYFUNCTION("IF(J574="""",""n/a"",IFERROR(SPLIT(J574,""/"")))"),"Ticman")</f>
        <v>Ticman</v>
      </c>
      <c r="E2120" s="485" t="str">
        <f ca="1">IFERROR(__xludf.DUMMYFUNCTION("""COMPUTED_VALUE"""),"gallon")</f>
        <v>gallon</v>
      </c>
      <c r="F2120" s="485" t="str">
        <f ca="1">IFERROR(__xludf.DUMMYFUNCTION("""COMPUTED_VALUE"""),"3500ml")</f>
        <v>3500ml</v>
      </c>
      <c r="G2120" s="487"/>
      <c r="H2120" s="183" t="s">
        <v>1895</v>
      </c>
      <c r="I2120" s="487"/>
      <c r="J2120" s="46" t="s">
        <v>239</v>
      </c>
      <c r="K2120" s="487"/>
      <c r="L2120" s="195">
        <v>73</v>
      </c>
      <c r="M2120" s="197">
        <v>17</v>
      </c>
      <c r="N2120" s="61">
        <v>1</v>
      </c>
      <c r="O2120" s="61" t="str">
        <f ca="1">E2120</f>
        <v>gallon</v>
      </c>
      <c r="P2120" s="61" t="s">
        <v>200</v>
      </c>
      <c r="Q2120" s="12"/>
      <c r="R2120" s="192" t="str">
        <f>CONCATENATE(N2120,P2120)</f>
        <v>1gal</v>
      </c>
      <c r="S2120" s="198">
        <f>M2120*N2120</f>
        <v>17</v>
      </c>
      <c r="T2120" s="199" t="str">
        <f>CONCATENATE(S2120,Q2120,P2120)</f>
        <v>17gal</v>
      </c>
      <c r="U2120" s="200">
        <f>L2120*M2120</f>
        <v>1241</v>
      </c>
      <c r="V2120" s="12"/>
      <c r="W2120" s="12"/>
    </row>
    <row r="2121" spans="1:23" x14ac:dyDescent="0.3">
      <c r="A2121" s="193">
        <v>827</v>
      </c>
      <c r="B2121" s="194" t="s">
        <v>286</v>
      </c>
      <c r="C2121" s="487"/>
      <c r="D2121" s="485" t="str">
        <f ca="1">IFERROR(__xludf.DUMMYFUNCTION("IF(J575="""",""n/a"",IFERROR(SPLIT(J575,""/"")))"),"n/a")</f>
        <v>n/a</v>
      </c>
      <c r="E2121" s="487"/>
      <c r="F2121" s="487"/>
      <c r="G2121" s="487"/>
      <c r="H2121" s="206" t="s">
        <v>1898</v>
      </c>
      <c r="I2121" s="487"/>
      <c r="J2121" s="170"/>
      <c r="K2121" s="487"/>
      <c r="L2121" s="197">
        <v>65</v>
      </c>
      <c r="M2121" s="386">
        <v>3</v>
      </c>
      <c r="N2121" s="208">
        <v>1</v>
      </c>
      <c r="O2121" s="170">
        <f>E2121</f>
        <v>0</v>
      </c>
      <c r="P2121" s="61" t="s">
        <v>200</v>
      </c>
      <c r="Q2121" s="12"/>
      <c r="R2121" s="192" t="str">
        <f>CONCATENATE(N2121,P2121)</f>
        <v>1gal</v>
      </c>
      <c r="S2121" s="198">
        <f>M2121*N2121</f>
        <v>3</v>
      </c>
      <c r="T2121" s="199" t="str">
        <f>CONCATENATE(S2121,Q2121,P2121)</f>
        <v>3gal</v>
      </c>
      <c r="U2121" s="200">
        <f>L2121*M2121</f>
        <v>195</v>
      </c>
      <c r="V2121" s="12"/>
      <c r="W2121" s="12"/>
    </row>
    <row r="2122" spans="1:23" x14ac:dyDescent="0.3">
      <c r="A2122" s="193">
        <v>827</v>
      </c>
      <c r="B2122" s="194" t="s">
        <v>286</v>
      </c>
      <c r="C2122" s="487"/>
      <c r="D2122" s="485" t="str">
        <f ca="1">IFERROR(__xludf.DUMMYFUNCTION("IF(J576="""",""n/a"",IFERROR(SPLIT(J576,""/"")))"),"n/a")</f>
        <v>n/a</v>
      </c>
      <c r="E2122" s="487"/>
      <c r="F2122" s="487"/>
      <c r="G2122" s="487"/>
      <c r="H2122" s="206" t="s">
        <v>1898</v>
      </c>
      <c r="I2122" s="487"/>
      <c r="J2122" s="170"/>
      <c r="K2122" s="487"/>
      <c r="L2122" s="197">
        <v>0.26</v>
      </c>
      <c r="M2122" s="385">
        <v>2000</v>
      </c>
      <c r="N2122" s="207">
        <v>1000</v>
      </c>
      <c r="O2122" s="170">
        <f>E2122</f>
        <v>0</v>
      </c>
      <c r="P2122" s="209" t="s">
        <v>32</v>
      </c>
      <c r="Q2122" s="12"/>
      <c r="R2122" s="192" t="str">
        <f>CONCATENATE(N2122,P2122)</f>
        <v>1000ml</v>
      </c>
      <c r="S2122" s="198">
        <f>M2122*N2122</f>
        <v>2000000</v>
      </c>
      <c r="T2122" s="199" t="str">
        <f>CONCATENATE(S2122,Q2122,P2122)</f>
        <v>2000000ml</v>
      </c>
      <c r="U2122" s="200">
        <f>L2122*M2122</f>
        <v>520</v>
      </c>
      <c r="V2122" s="12"/>
      <c r="W2122" s="12"/>
    </row>
    <row r="2123" spans="1:23" x14ac:dyDescent="0.3">
      <c r="A2123" s="193">
        <v>827</v>
      </c>
      <c r="B2123" s="46" t="s">
        <v>286</v>
      </c>
      <c r="C2123" s="315"/>
      <c r="D2123" s="316"/>
      <c r="E2123" s="315"/>
      <c r="F2123" s="315"/>
      <c r="G2123" s="315"/>
      <c r="H2123" s="194" t="s">
        <v>29</v>
      </c>
      <c r="I2123" s="12"/>
      <c r="J2123" s="46" t="s">
        <v>1069</v>
      </c>
      <c r="K2123" s="12"/>
      <c r="L2123" s="197">
        <v>73</v>
      </c>
      <c r="M2123" s="197">
        <v>1</v>
      </c>
      <c r="N2123" s="290">
        <v>3500</v>
      </c>
      <c r="O2123" s="46"/>
      <c r="P2123" s="46" t="s">
        <v>32</v>
      </c>
      <c r="Q2123" s="12"/>
      <c r="R2123" s="192" t="str">
        <f>CONCATENATE(N2123,P2123)</f>
        <v>3500ml</v>
      </c>
      <c r="S2123" s="198">
        <f>M2123*N2123</f>
        <v>3500</v>
      </c>
      <c r="T2123" s="199" t="str">
        <f>CONCATENATE(S2123,Q2123,P2123)</f>
        <v>3500ml</v>
      </c>
      <c r="U2123" s="200">
        <f>L2123*M2123</f>
        <v>73</v>
      </c>
      <c r="V2123" s="12"/>
      <c r="W2123" s="12"/>
    </row>
    <row r="2124" spans="1:23" x14ac:dyDescent="0.3">
      <c r="A2124" s="193">
        <v>827</v>
      </c>
      <c r="B2124" s="46" t="s">
        <v>286</v>
      </c>
      <c r="C2124" s="315"/>
      <c r="D2124" s="316"/>
      <c r="E2124" s="315"/>
      <c r="F2124" s="315"/>
      <c r="G2124" s="315"/>
      <c r="H2124" s="194" t="s">
        <v>2024</v>
      </c>
      <c r="I2124" s="12"/>
      <c r="J2124" s="46" t="s">
        <v>1069</v>
      </c>
      <c r="K2124" s="12"/>
      <c r="L2124" s="197">
        <v>73</v>
      </c>
      <c r="M2124" s="197">
        <v>29</v>
      </c>
      <c r="N2124" s="290">
        <v>3500</v>
      </c>
      <c r="O2124" s="60"/>
      <c r="P2124" s="60" t="s">
        <v>32</v>
      </c>
      <c r="Q2124" s="12"/>
      <c r="R2124" s="192" t="str">
        <f>CONCATENATE(N2124,P2124)</f>
        <v>3500ml</v>
      </c>
      <c r="S2124" s="198">
        <f>M2124*N2124</f>
        <v>101500</v>
      </c>
      <c r="T2124" s="199" t="str">
        <f>CONCATENATE(S2124,Q2124,P2124)</f>
        <v>101500ml</v>
      </c>
      <c r="U2124" s="200">
        <f>L2124*M2124</f>
        <v>2117</v>
      </c>
      <c r="V2124" s="12"/>
      <c r="W2124" s="12"/>
    </row>
    <row r="2125" spans="1:23" x14ac:dyDescent="0.3">
      <c r="A2125" s="193">
        <v>827</v>
      </c>
      <c r="B2125" s="46" t="s">
        <v>286</v>
      </c>
      <c r="C2125" s="315"/>
      <c r="D2125" s="316"/>
      <c r="E2125" s="315"/>
      <c r="F2125" s="315"/>
      <c r="G2125" s="315"/>
      <c r="H2125" s="194" t="s">
        <v>2025</v>
      </c>
      <c r="I2125" s="12"/>
      <c r="J2125" s="46" t="s">
        <v>1758</v>
      </c>
      <c r="K2125" s="12"/>
      <c r="L2125" s="197">
        <v>187.8</v>
      </c>
      <c r="M2125" s="197">
        <v>1</v>
      </c>
      <c r="N2125" s="290">
        <v>4</v>
      </c>
      <c r="O2125" s="46"/>
      <c r="P2125" s="46" t="s">
        <v>773</v>
      </c>
      <c r="Q2125" s="12"/>
      <c r="R2125" s="192" t="str">
        <f>CONCATENATE(N2125,P2125)</f>
        <v>4liters</v>
      </c>
      <c r="S2125" s="198">
        <f>M2125*N2125</f>
        <v>4</v>
      </c>
      <c r="T2125" s="199" t="str">
        <f>CONCATENATE(S2125,Q2125,P2125)</f>
        <v>4liters</v>
      </c>
      <c r="U2125" s="200">
        <f>L2125*M2125</f>
        <v>187.8</v>
      </c>
      <c r="V2125" s="12"/>
      <c r="W2125" s="12"/>
    </row>
    <row r="2126" spans="1:23" x14ac:dyDescent="0.3">
      <c r="A2126" s="193">
        <v>827</v>
      </c>
      <c r="B2126" s="46" t="s">
        <v>286</v>
      </c>
      <c r="C2126" s="315"/>
      <c r="D2126" s="316"/>
      <c r="E2126" s="315"/>
      <c r="F2126" s="315"/>
      <c r="G2126" s="315"/>
      <c r="H2126" s="194" t="s">
        <v>2026</v>
      </c>
      <c r="I2126" s="12"/>
      <c r="J2126" s="46" t="s">
        <v>1252</v>
      </c>
      <c r="K2126" s="12"/>
      <c r="L2126" s="197">
        <v>80</v>
      </c>
      <c r="M2126" s="197">
        <v>1</v>
      </c>
      <c r="N2126" s="290">
        <v>3500</v>
      </c>
      <c r="O2126" s="46"/>
      <c r="P2126" s="46" t="s">
        <v>32</v>
      </c>
      <c r="Q2126" s="12"/>
      <c r="R2126" s="192" t="str">
        <f>CONCATENATE(N2126,P2126)</f>
        <v>3500ml</v>
      </c>
      <c r="S2126" s="198">
        <f>M2126*N2126</f>
        <v>3500</v>
      </c>
      <c r="T2126" s="199" t="str">
        <f>CONCATENATE(S2126,Q2126,P2126)</f>
        <v>3500ml</v>
      </c>
      <c r="U2126" s="200">
        <f>L2126*M2126</f>
        <v>80</v>
      </c>
      <c r="V2126" s="12"/>
      <c r="W2126" s="12"/>
    </row>
    <row r="2127" spans="1:23" x14ac:dyDescent="0.3">
      <c r="A2127" s="193">
        <v>827</v>
      </c>
      <c r="B2127" s="46" t="s">
        <v>286</v>
      </c>
      <c r="C2127" s="315"/>
      <c r="D2127" s="316"/>
      <c r="E2127" s="315"/>
      <c r="F2127" s="315"/>
      <c r="G2127" s="315"/>
      <c r="H2127" s="194" t="s">
        <v>2023</v>
      </c>
      <c r="I2127" s="12"/>
      <c r="J2127" s="46" t="s">
        <v>1359</v>
      </c>
      <c r="K2127" s="12"/>
      <c r="L2127" s="197">
        <v>370</v>
      </c>
      <c r="M2127" s="197">
        <v>1</v>
      </c>
      <c r="N2127" s="290">
        <v>1</v>
      </c>
      <c r="O2127" s="46"/>
      <c r="P2127" s="46" t="s">
        <v>773</v>
      </c>
      <c r="Q2127" s="12"/>
      <c r="R2127" s="192" t="str">
        <f>CONCATENATE(N2127,P2127)</f>
        <v>1liters</v>
      </c>
      <c r="S2127" s="198">
        <f>M2127*N2127</f>
        <v>1</v>
      </c>
      <c r="T2127" s="199" t="str">
        <f>CONCATENATE(S2127,Q2127,P2127)</f>
        <v>1liters</v>
      </c>
      <c r="U2127" s="200">
        <f>L2127*M2127</f>
        <v>370</v>
      </c>
      <c r="V2127" s="12"/>
      <c r="W2127" s="12"/>
    </row>
    <row r="2128" spans="1:23" x14ac:dyDescent="0.3">
      <c r="A2128" s="193">
        <v>827</v>
      </c>
      <c r="B2128" s="219" t="s">
        <v>1759</v>
      </c>
      <c r="C2128" s="315"/>
      <c r="D2128" s="316"/>
      <c r="E2128" s="315"/>
      <c r="F2128" s="315"/>
      <c r="G2128" s="315"/>
      <c r="H2128" s="194" t="s">
        <v>2023</v>
      </c>
      <c r="I2128" s="12"/>
      <c r="J2128" s="215"/>
      <c r="K2128" s="12"/>
      <c r="L2128" s="216">
        <v>11</v>
      </c>
      <c r="M2128" s="216">
        <v>1</v>
      </c>
      <c r="N2128" s="293">
        <v>200</v>
      </c>
      <c r="O2128" s="219"/>
      <c r="P2128" s="219" t="s">
        <v>32</v>
      </c>
      <c r="Q2128" s="12"/>
      <c r="R2128" s="192" t="str">
        <f>CONCATENATE(N2128,P2128)</f>
        <v>200ml</v>
      </c>
      <c r="S2128" s="198">
        <f>M2128*N2128</f>
        <v>200</v>
      </c>
      <c r="T2128" s="199" t="str">
        <f>CONCATENATE(S2128,Q2128,P2128)</f>
        <v>200ml</v>
      </c>
      <c r="U2128" s="200">
        <f>L2128*M2128</f>
        <v>11</v>
      </c>
      <c r="V2128" s="12"/>
      <c r="W2128" s="12"/>
    </row>
    <row r="2129" spans="1:23" x14ac:dyDescent="0.3">
      <c r="A2129" s="193">
        <v>827</v>
      </c>
      <c r="B2129" s="46" t="s">
        <v>286</v>
      </c>
      <c r="C2129" s="315"/>
      <c r="D2129" s="316"/>
      <c r="E2129" s="315"/>
      <c r="F2129" s="315"/>
      <c r="G2129" s="315"/>
      <c r="H2129" s="194" t="s">
        <v>2023</v>
      </c>
      <c r="I2129" s="12"/>
      <c r="J2129" s="46" t="s">
        <v>1069</v>
      </c>
      <c r="K2129" s="12"/>
      <c r="L2129" s="197">
        <v>73</v>
      </c>
      <c r="M2129" s="197">
        <v>16</v>
      </c>
      <c r="N2129" s="290">
        <v>3500</v>
      </c>
      <c r="O2129" s="46"/>
      <c r="P2129" s="46" t="s">
        <v>32</v>
      </c>
      <c r="Q2129" s="12"/>
      <c r="R2129" s="192" t="str">
        <f>CONCATENATE(N2129,P2129)</f>
        <v>3500ml</v>
      </c>
      <c r="S2129" s="198">
        <f>M2129*N2129</f>
        <v>56000</v>
      </c>
      <c r="T2129" s="199" t="str">
        <f>CONCATENATE(S2129,Q2129,P2129)</f>
        <v>56000ml</v>
      </c>
      <c r="U2129" s="200">
        <f>L2129*M2129</f>
        <v>1168</v>
      </c>
      <c r="V2129" s="12"/>
      <c r="W2129" s="12"/>
    </row>
    <row r="2130" spans="1:23" x14ac:dyDescent="0.3">
      <c r="A2130" s="193">
        <v>827</v>
      </c>
      <c r="B2130" s="46" t="s">
        <v>286</v>
      </c>
      <c r="C2130" s="315"/>
      <c r="D2130" s="316"/>
      <c r="E2130" s="315"/>
      <c r="F2130" s="315"/>
      <c r="G2130" s="315"/>
      <c r="H2130" s="194" t="s">
        <v>2022</v>
      </c>
      <c r="I2130" s="12"/>
      <c r="J2130" s="46" t="s">
        <v>1071</v>
      </c>
      <c r="K2130" s="12"/>
      <c r="L2130" s="197">
        <v>10</v>
      </c>
      <c r="M2130" s="197">
        <v>65</v>
      </c>
      <c r="N2130" s="290">
        <v>1</v>
      </c>
      <c r="O2130" s="46"/>
      <c r="P2130" s="46" t="s">
        <v>200</v>
      </c>
      <c r="Q2130" s="12"/>
      <c r="R2130" s="192" t="str">
        <f>CONCATENATE(N2130,P2130)</f>
        <v>1gal</v>
      </c>
      <c r="S2130" s="198">
        <f>M2130*N2130</f>
        <v>65</v>
      </c>
      <c r="T2130" s="199" t="str">
        <f>CONCATENATE(S2130,Q2130,P2130)</f>
        <v>65gal</v>
      </c>
      <c r="U2130" s="200">
        <f>L2130*M2130</f>
        <v>650</v>
      </c>
      <c r="V2130" s="12"/>
      <c r="W2130" s="12"/>
    </row>
    <row r="2131" spans="1:23" x14ac:dyDescent="0.3">
      <c r="A2131" s="193">
        <v>827</v>
      </c>
      <c r="B2131" s="219" t="s">
        <v>286</v>
      </c>
      <c r="C2131" s="315"/>
      <c r="D2131" s="316"/>
      <c r="E2131" s="315"/>
      <c r="F2131" s="315"/>
      <c r="G2131" s="315"/>
      <c r="H2131" s="194" t="s">
        <v>2021</v>
      </c>
      <c r="I2131" s="12"/>
      <c r="J2131" s="219" t="s">
        <v>1069</v>
      </c>
      <c r="K2131" s="12"/>
      <c r="L2131" s="216">
        <v>70</v>
      </c>
      <c r="M2131" s="216">
        <v>6</v>
      </c>
      <c r="N2131" s="293">
        <v>3500</v>
      </c>
      <c r="O2131" s="219"/>
      <c r="P2131" s="219" t="s">
        <v>32</v>
      </c>
      <c r="Q2131" s="12"/>
      <c r="R2131" s="192" t="str">
        <f>CONCATENATE(N2131,P2131)</f>
        <v>3500ml</v>
      </c>
      <c r="S2131" s="198">
        <f>M2131*N2131</f>
        <v>21000</v>
      </c>
      <c r="T2131" s="199" t="str">
        <f>CONCATENATE(S2131,Q2131,P2131)</f>
        <v>21000ml</v>
      </c>
      <c r="U2131" s="200">
        <f>L2131*M2131</f>
        <v>420</v>
      </c>
      <c r="V2131" s="12"/>
      <c r="W2131" s="12"/>
    </row>
    <row r="2132" spans="1:23" x14ac:dyDescent="0.3">
      <c r="A2132" s="193">
        <v>827</v>
      </c>
      <c r="B2132" s="46" t="s">
        <v>1759</v>
      </c>
      <c r="C2132" s="315"/>
      <c r="D2132" s="316"/>
      <c r="E2132" s="315"/>
      <c r="F2132" s="315"/>
      <c r="G2132" s="315"/>
      <c r="H2132" s="194" t="s">
        <v>2020</v>
      </c>
      <c r="I2132" s="12"/>
      <c r="J2132" s="46" t="s">
        <v>1069</v>
      </c>
      <c r="K2132" s="12"/>
      <c r="L2132" s="197">
        <v>73</v>
      </c>
      <c r="M2132" s="197">
        <v>1</v>
      </c>
      <c r="N2132" s="290">
        <v>1</v>
      </c>
      <c r="O2132" s="46"/>
      <c r="P2132" s="46" t="s">
        <v>200</v>
      </c>
      <c r="Q2132" s="12"/>
      <c r="R2132" s="192" t="str">
        <f>CONCATENATE(N2132,P2132)</f>
        <v>1gal</v>
      </c>
      <c r="S2132" s="198">
        <f>M2132*N2132</f>
        <v>1</v>
      </c>
      <c r="T2132" s="199" t="str">
        <f>CONCATENATE(S2132,Q2132,P2132)</f>
        <v>1gal</v>
      </c>
      <c r="U2132" s="200">
        <f>L2132*M2132</f>
        <v>73</v>
      </c>
      <c r="V2132" s="12"/>
      <c r="W2132" s="12"/>
    </row>
    <row r="2133" spans="1:23" x14ac:dyDescent="0.3">
      <c r="A2133" s="193">
        <v>827</v>
      </c>
      <c r="B2133" s="46" t="s">
        <v>286</v>
      </c>
      <c r="C2133" s="315"/>
      <c r="D2133" s="316"/>
      <c r="E2133" s="315"/>
      <c r="F2133" s="315"/>
      <c r="G2133" s="315"/>
      <c r="H2133" s="194" t="s">
        <v>2022</v>
      </c>
      <c r="I2133" s="12"/>
      <c r="J2133" s="46" t="s">
        <v>1359</v>
      </c>
      <c r="K2133" s="12"/>
      <c r="L2133" s="197">
        <v>198</v>
      </c>
      <c r="M2133" s="197">
        <v>1</v>
      </c>
      <c r="N2133" s="290">
        <v>500</v>
      </c>
      <c r="O2133" s="46"/>
      <c r="P2133" s="46" t="s">
        <v>32</v>
      </c>
      <c r="Q2133" s="12"/>
      <c r="R2133" s="192" t="str">
        <f>CONCATENATE(N2133,P2133)</f>
        <v>500ml</v>
      </c>
      <c r="S2133" s="198">
        <f>M2133*N2133</f>
        <v>500</v>
      </c>
      <c r="T2133" s="199" t="str">
        <f>CONCATENATE(S2133,Q2133,P2133)</f>
        <v>500ml</v>
      </c>
      <c r="U2133" s="200">
        <f>L2133*M2133</f>
        <v>198</v>
      </c>
      <c r="V2133" s="12"/>
      <c r="W2133" s="12"/>
    </row>
    <row r="2134" spans="1:23" x14ac:dyDescent="0.3">
      <c r="A2134" s="193">
        <v>827</v>
      </c>
      <c r="B2134" s="46" t="s">
        <v>286</v>
      </c>
      <c r="C2134" s="315"/>
      <c r="D2134" s="316"/>
      <c r="E2134" s="315"/>
      <c r="F2134" s="315"/>
      <c r="G2134" s="315"/>
      <c r="H2134" s="194" t="s">
        <v>1368</v>
      </c>
      <c r="I2134" s="12"/>
      <c r="J2134" s="46" t="s">
        <v>1760</v>
      </c>
      <c r="K2134" s="12"/>
      <c r="L2134" s="197">
        <v>184</v>
      </c>
      <c r="M2134" s="197">
        <v>14</v>
      </c>
      <c r="N2134" s="290">
        <v>1</v>
      </c>
      <c r="O2134" s="46"/>
      <c r="P2134" s="46" t="s">
        <v>200</v>
      </c>
      <c r="Q2134" s="12"/>
      <c r="R2134" s="192" t="str">
        <f>CONCATENATE(N2134,P2134)</f>
        <v>1gal</v>
      </c>
      <c r="S2134" s="198">
        <f>M2134*N2134</f>
        <v>14</v>
      </c>
      <c r="T2134" s="199" t="str">
        <f>CONCATENATE(S2134,Q2134,P2134)</f>
        <v>14gal</v>
      </c>
      <c r="U2134" s="200">
        <f>L2134*M2134</f>
        <v>2576</v>
      </c>
      <c r="V2134" s="12"/>
      <c r="W2134" s="12"/>
    </row>
    <row r="2135" spans="1:23" x14ac:dyDescent="0.3">
      <c r="A2135" s="193">
        <v>827</v>
      </c>
      <c r="B2135" s="46" t="s">
        <v>286</v>
      </c>
      <c r="C2135" s="315"/>
      <c r="D2135" s="316"/>
      <c r="E2135" s="315"/>
      <c r="F2135" s="315"/>
      <c r="G2135" s="315"/>
      <c r="H2135" s="400" t="s">
        <v>2027</v>
      </c>
      <c r="I2135" s="12"/>
      <c r="J2135" s="46" t="s">
        <v>1929</v>
      </c>
      <c r="K2135" s="12"/>
      <c r="L2135" s="195">
        <v>73</v>
      </c>
      <c r="M2135" s="197">
        <v>4</v>
      </c>
      <c r="N2135" s="360">
        <v>1</v>
      </c>
      <c r="O2135" s="61"/>
      <c r="P2135" s="61" t="s">
        <v>200</v>
      </c>
      <c r="Q2135" s="12"/>
      <c r="R2135" s="192" t="str">
        <f>CONCATENATE(N2135,P2135)</f>
        <v>1gal</v>
      </c>
      <c r="S2135" s="198">
        <f>M2135*N2135</f>
        <v>4</v>
      </c>
      <c r="T2135" s="199" t="str">
        <f>CONCATENATE(S2135,Q2135,P2135)</f>
        <v>4gal</v>
      </c>
      <c r="U2135" s="200">
        <f>L2135*M2135</f>
        <v>292</v>
      </c>
      <c r="V2135" s="12"/>
      <c r="W2135" s="12"/>
    </row>
    <row r="2136" spans="1:23" x14ac:dyDescent="0.3">
      <c r="A2136" s="193">
        <v>828</v>
      </c>
      <c r="B2136" s="194" t="s">
        <v>330</v>
      </c>
      <c r="C2136" s="487"/>
      <c r="D2136" s="485" t="str">
        <f ca="1">IFERROR(__xludf.DUMMYFUNCTION("IF(J577="""",""n/a"",IFERROR(SPLIT(J577,""/"")))"),"Sunshine")</f>
        <v>Sunshine</v>
      </c>
      <c r="E2136" s="485" t="str">
        <f ca="1">IFERROR(__xludf.DUMMYFUNCTION("""COMPUTED_VALUE"""),"pack")</f>
        <v>pack</v>
      </c>
      <c r="F2136" s="485" t="str">
        <f ca="1">IFERROR(__xludf.DUMMYFUNCTION("""COMPUTED_VALUE"""),"900grams")</f>
        <v>900grams</v>
      </c>
      <c r="G2136" s="487"/>
      <c r="H2136" s="183" t="s">
        <v>1897</v>
      </c>
      <c r="I2136" s="487"/>
      <c r="J2136" s="46" t="s">
        <v>784</v>
      </c>
      <c r="K2136" s="487"/>
      <c r="L2136" s="195">
        <v>0.09</v>
      </c>
      <c r="M2136" s="202">
        <v>3600</v>
      </c>
      <c r="N2136" s="203">
        <v>900</v>
      </c>
      <c r="O2136" s="61" t="str">
        <f ca="1">E2136</f>
        <v>pack</v>
      </c>
      <c r="P2136" s="61" t="s">
        <v>39</v>
      </c>
      <c r="Q2136" s="12"/>
      <c r="R2136" s="192" t="str">
        <f>CONCATENATE(N2136,P2136)</f>
        <v>900grams</v>
      </c>
      <c r="S2136" s="198">
        <f>M2136*N2136</f>
        <v>3240000</v>
      </c>
      <c r="T2136" s="199" t="str">
        <f>CONCATENATE(S2136,Q2136,P2136)</f>
        <v>3240000grams</v>
      </c>
      <c r="U2136" s="200">
        <f>L2136*M2136</f>
        <v>324</v>
      </c>
      <c r="V2136" s="12"/>
      <c r="W2136" s="12"/>
    </row>
    <row r="2137" spans="1:23" x14ac:dyDescent="0.3">
      <c r="A2137" s="193">
        <v>828</v>
      </c>
      <c r="B2137" s="194" t="s">
        <v>330</v>
      </c>
      <c r="C2137" s="487"/>
      <c r="D2137" s="485" t="str">
        <f ca="1">IFERROR(__xludf.DUMMYFUNCTION("IF(J578="""",""n/a"",IFERROR(SPLIT(J578,""/"")))"),"Ideal")</f>
        <v>Ideal</v>
      </c>
      <c r="E2137" s="485" t="str">
        <f ca="1">IFERROR(__xludf.DUMMYFUNCTION("""COMPUTED_VALUE"""),"pack")</f>
        <v>pack</v>
      </c>
      <c r="F2137" s="485" t="str">
        <f ca="1">IFERROR(__xludf.DUMMYFUNCTION("""COMPUTED_VALUE"""),"1000grams")</f>
        <v>1000grams</v>
      </c>
      <c r="G2137" s="487"/>
      <c r="H2137" s="183" t="s">
        <v>1895</v>
      </c>
      <c r="I2137" s="487"/>
      <c r="J2137" s="46" t="s">
        <v>326</v>
      </c>
      <c r="K2137" s="487"/>
      <c r="L2137" s="195">
        <v>65</v>
      </c>
      <c r="M2137" s="197">
        <v>3</v>
      </c>
      <c r="N2137" s="61">
        <v>1</v>
      </c>
      <c r="O2137" s="61" t="str">
        <f ca="1">E2137</f>
        <v>pack</v>
      </c>
      <c r="P2137" s="61" t="s">
        <v>39</v>
      </c>
      <c r="Q2137" s="12"/>
      <c r="R2137" s="192" t="str">
        <f>CONCATENATE(N2137,P2137)</f>
        <v>1grams</v>
      </c>
      <c r="S2137" s="198">
        <f>M2137*N2137</f>
        <v>3</v>
      </c>
      <c r="T2137" s="199" t="str">
        <f>CONCATENATE(S2137,Q2137,P2137)</f>
        <v>3grams</v>
      </c>
      <c r="U2137" s="200">
        <f>L2137*M2137</f>
        <v>195</v>
      </c>
      <c r="V2137" s="12"/>
      <c r="W2137" s="12"/>
    </row>
    <row r="2138" spans="1:23" x14ac:dyDescent="0.3">
      <c r="A2138" s="193">
        <v>828</v>
      </c>
      <c r="B2138" s="194" t="s">
        <v>330</v>
      </c>
      <c r="C2138" s="487"/>
      <c r="D2138" s="485" t="str">
        <f ca="1">IFERROR(__xludf.DUMMYFUNCTION("IF(J579="""",""n/a"",IFERROR(SPLIT(J579,""/"")))"),"n/a")</f>
        <v>n/a</v>
      </c>
      <c r="E2138" s="487"/>
      <c r="F2138" s="487"/>
      <c r="G2138" s="487"/>
      <c r="H2138" s="206" t="s">
        <v>1898</v>
      </c>
      <c r="I2138" s="487"/>
      <c r="J2138" s="170"/>
      <c r="K2138" s="487"/>
      <c r="L2138" s="197">
        <v>0.08</v>
      </c>
      <c r="M2138" s="386">
        <v>2700</v>
      </c>
      <c r="N2138" s="208">
        <v>900</v>
      </c>
      <c r="O2138" s="170">
        <f>E2138</f>
        <v>0</v>
      </c>
      <c r="P2138" s="61" t="s">
        <v>39</v>
      </c>
      <c r="Q2138" s="12"/>
      <c r="R2138" s="192" t="str">
        <f>CONCATENATE(N2138,P2138)</f>
        <v>900grams</v>
      </c>
      <c r="S2138" s="198">
        <f>M2138*N2138</f>
        <v>2430000</v>
      </c>
      <c r="T2138" s="199" t="str">
        <f>CONCATENATE(S2138,Q2138,P2138)</f>
        <v>2430000grams</v>
      </c>
      <c r="U2138" s="200">
        <f>L2138*M2138</f>
        <v>216</v>
      </c>
      <c r="V2138" s="12"/>
      <c r="W2138" s="12"/>
    </row>
    <row r="2139" spans="1:23" x14ac:dyDescent="0.3">
      <c r="A2139" s="193">
        <v>828</v>
      </c>
      <c r="B2139" s="219" t="s">
        <v>330</v>
      </c>
      <c r="C2139" s="315"/>
      <c r="D2139" s="316"/>
      <c r="E2139" s="315"/>
      <c r="F2139" s="315"/>
      <c r="G2139" s="315"/>
      <c r="H2139" s="194" t="s">
        <v>29</v>
      </c>
      <c r="I2139" s="12"/>
      <c r="J2139" s="46" t="s">
        <v>1349</v>
      </c>
      <c r="K2139" s="12"/>
      <c r="L2139" s="197">
        <v>71.2</v>
      </c>
      <c r="M2139" s="197">
        <v>3</v>
      </c>
      <c r="N2139" s="290">
        <v>800</v>
      </c>
      <c r="O2139" s="46"/>
      <c r="P2139" s="46" t="s">
        <v>39</v>
      </c>
      <c r="Q2139" s="12"/>
      <c r="R2139" s="192" t="str">
        <f>CONCATENATE(N2139,P2139)</f>
        <v>800grams</v>
      </c>
      <c r="S2139" s="198">
        <f>M2139*N2139</f>
        <v>2400</v>
      </c>
      <c r="T2139" s="199" t="str">
        <f>CONCATENATE(S2139,Q2139,P2139)</f>
        <v>2400grams</v>
      </c>
      <c r="U2139" s="200">
        <f>L2139*M2139</f>
        <v>213.60000000000002</v>
      </c>
      <c r="V2139" s="12"/>
      <c r="W2139" s="12"/>
    </row>
    <row r="2140" spans="1:23" x14ac:dyDescent="0.3">
      <c r="A2140" s="193">
        <v>828</v>
      </c>
      <c r="B2140" s="46" t="s">
        <v>330</v>
      </c>
      <c r="C2140" s="315"/>
      <c r="D2140" s="316"/>
      <c r="E2140" s="315"/>
      <c r="F2140" s="315"/>
      <c r="G2140" s="315"/>
      <c r="H2140" s="194" t="s">
        <v>2024</v>
      </c>
      <c r="I2140" s="12"/>
      <c r="J2140" s="46" t="s">
        <v>1761</v>
      </c>
      <c r="K2140" s="12"/>
      <c r="L2140" s="197">
        <v>80</v>
      </c>
      <c r="M2140" s="197">
        <v>3</v>
      </c>
      <c r="N2140" s="290">
        <v>800</v>
      </c>
      <c r="O2140" s="46"/>
      <c r="P2140" s="46" t="s">
        <v>39</v>
      </c>
      <c r="Q2140" s="12"/>
      <c r="R2140" s="192" t="str">
        <f>CONCATENATE(N2140,P2140)</f>
        <v>800grams</v>
      </c>
      <c r="S2140" s="198">
        <f>M2140*N2140</f>
        <v>2400</v>
      </c>
      <c r="T2140" s="199" t="str">
        <f>CONCATENATE(S2140,Q2140,P2140)</f>
        <v>2400grams</v>
      </c>
      <c r="U2140" s="200">
        <f>L2140*M2140</f>
        <v>240</v>
      </c>
      <c r="V2140" s="12"/>
      <c r="W2140" s="12"/>
    </row>
    <row r="2141" spans="1:23" x14ac:dyDescent="0.3">
      <c r="A2141" s="193">
        <v>828</v>
      </c>
      <c r="B2141" s="46" t="s">
        <v>330</v>
      </c>
      <c r="C2141" s="315"/>
      <c r="D2141" s="316"/>
      <c r="E2141" s="315"/>
      <c r="F2141" s="315"/>
      <c r="G2141" s="315"/>
      <c r="H2141" s="194" t="s">
        <v>1368</v>
      </c>
      <c r="I2141" s="12"/>
      <c r="J2141" s="46" t="s">
        <v>1762</v>
      </c>
      <c r="K2141" s="12"/>
      <c r="L2141" s="197">
        <v>116</v>
      </c>
      <c r="M2141" s="197">
        <v>3</v>
      </c>
      <c r="N2141" s="290">
        <v>900</v>
      </c>
      <c r="O2141" s="46"/>
      <c r="P2141" s="46" t="s">
        <v>39</v>
      </c>
      <c r="Q2141" s="12"/>
      <c r="R2141" s="192" t="str">
        <f>CONCATENATE(N2141,P2141)</f>
        <v>900grams</v>
      </c>
      <c r="S2141" s="198">
        <f>M2141*N2141</f>
        <v>2700</v>
      </c>
      <c r="T2141" s="199" t="str">
        <f>CONCATENATE(S2141,Q2141,P2141)</f>
        <v>2700grams</v>
      </c>
      <c r="U2141" s="200">
        <f>L2141*M2141</f>
        <v>348</v>
      </c>
      <c r="V2141" s="12"/>
      <c r="W2141" s="12"/>
    </row>
    <row r="2142" spans="1:23" x14ac:dyDescent="0.3">
      <c r="A2142" s="193">
        <v>828</v>
      </c>
      <c r="B2142" s="46" t="s">
        <v>330</v>
      </c>
      <c r="C2142" s="315"/>
      <c r="D2142" s="316"/>
      <c r="E2142" s="315"/>
      <c r="F2142" s="315"/>
      <c r="G2142" s="315"/>
      <c r="H2142" s="194" t="s">
        <v>2023</v>
      </c>
      <c r="I2142" s="12"/>
      <c r="J2142" s="46" t="s">
        <v>1761</v>
      </c>
      <c r="K2142" s="12"/>
      <c r="L2142" s="197">
        <v>75</v>
      </c>
      <c r="M2142" s="197">
        <v>12</v>
      </c>
      <c r="N2142" s="290">
        <v>1</v>
      </c>
      <c r="O2142" s="46"/>
      <c r="P2142" s="46" t="s">
        <v>213</v>
      </c>
      <c r="Q2142" s="12"/>
      <c r="R2142" s="192" t="str">
        <f>CONCATENATE(N2142,P2142)</f>
        <v>1kilos</v>
      </c>
      <c r="S2142" s="198">
        <f>M2142*N2142</f>
        <v>12</v>
      </c>
      <c r="T2142" s="199" t="str">
        <f>CONCATENATE(S2142,Q2142,P2142)</f>
        <v>12kilos</v>
      </c>
      <c r="U2142" s="200">
        <f>L2142*M2142</f>
        <v>900</v>
      </c>
      <c r="V2142" s="12"/>
      <c r="W2142" s="12"/>
    </row>
    <row r="2143" spans="1:23" x14ac:dyDescent="0.3">
      <c r="A2143" s="193">
        <v>828</v>
      </c>
      <c r="B2143" s="219" t="s">
        <v>330</v>
      </c>
      <c r="C2143" s="315"/>
      <c r="D2143" s="316"/>
      <c r="E2143" s="315"/>
      <c r="F2143" s="315"/>
      <c r="G2143" s="315"/>
      <c r="H2143" s="194" t="s">
        <v>2021</v>
      </c>
      <c r="I2143" s="12"/>
      <c r="J2143" s="219" t="s">
        <v>1761</v>
      </c>
      <c r="K2143" s="12"/>
      <c r="L2143" s="391">
        <v>75</v>
      </c>
      <c r="M2143" s="216">
        <v>12</v>
      </c>
      <c r="N2143" s="293">
        <v>800</v>
      </c>
      <c r="O2143" s="219"/>
      <c r="P2143" s="219" t="s">
        <v>39</v>
      </c>
      <c r="Q2143" s="12"/>
      <c r="R2143" s="192" t="str">
        <f>CONCATENATE(N2143,P2143)</f>
        <v>800grams</v>
      </c>
      <c r="S2143" s="198">
        <f>M2143*N2143</f>
        <v>9600</v>
      </c>
      <c r="T2143" s="199" t="str">
        <f>CONCATENATE(S2143,Q2143,P2143)</f>
        <v>9600grams</v>
      </c>
      <c r="U2143" s="200">
        <f>L2143*M2143</f>
        <v>900</v>
      </c>
      <c r="V2143" s="12"/>
      <c r="W2143" s="12"/>
    </row>
    <row r="2144" spans="1:23" x14ac:dyDescent="0.3">
      <c r="A2144" s="193">
        <v>828</v>
      </c>
      <c r="B2144" s="46" t="s">
        <v>330</v>
      </c>
      <c r="C2144" s="315"/>
      <c r="D2144" s="316"/>
      <c r="E2144" s="315"/>
      <c r="F2144" s="315"/>
      <c r="G2144" s="315"/>
      <c r="H2144" s="194" t="s">
        <v>2025</v>
      </c>
      <c r="I2144" s="12"/>
      <c r="J2144" s="46" t="s">
        <v>1761</v>
      </c>
      <c r="K2144" s="12"/>
      <c r="L2144" s="197">
        <v>80</v>
      </c>
      <c r="M2144" s="197">
        <v>4</v>
      </c>
      <c r="N2144" s="290">
        <v>900</v>
      </c>
      <c r="O2144" s="46"/>
      <c r="P2144" s="46" t="s">
        <v>39</v>
      </c>
      <c r="Q2144" s="12"/>
      <c r="R2144" s="192" t="str">
        <f>CONCATENATE(N2144,P2144)</f>
        <v>900grams</v>
      </c>
      <c r="S2144" s="198">
        <f>M2144*N2144</f>
        <v>3600</v>
      </c>
      <c r="T2144" s="199" t="str">
        <f>CONCATENATE(S2144,Q2144,P2144)</f>
        <v>3600grams</v>
      </c>
      <c r="U2144" s="200">
        <f>L2144*M2144</f>
        <v>320</v>
      </c>
      <c r="V2144" s="12"/>
      <c r="W2144" s="12"/>
    </row>
    <row r="2145" spans="1:23" x14ac:dyDescent="0.3">
      <c r="A2145" s="193">
        <v>828</v>
      </c>
      <c r="B2145" s="46" t="s">
        <v>330</v>
      </c>
      <c r="C2145" s="315"/>
      <c r="D2145" s="316"/>
      <c r="E2145" s="315"/>
      <c r="F2145" s="315"/>
      <c r="G2145" s="315"/>
      <c r="H2145" s="194" t="s">
        <v>2026</v>
      </c>
      <c r="I2145" s="12"/>
      <c r="J2145" s="46" t="s">
        <v>1763</v>
      </c>
      <c r="K2145" s="12"/>
      <c r="L2145" s="197">
        <v>78.56</v>
      </c>
      <c r="M2145" s="197">
        <v>1</v>
      </c>
      <c r="N2145" s="290">
        <v>800</v>
      </c>
      <c r="O2145" s="46"/>
      <c r="P2145" s="46" t="s">
        <v>39</v>
      </c>
      <c r="Q2145" s="12"/>
      <c r="R2145" s="192" t="str">
        <f>CONCATENATE(N2145,P2145)</f>
        <v>800grams</v>
      </c>
      <c r="S2145" s="198">
        <f>M2145*N2145</f>
        <v>800</v>
      </c>
      <c r="T2145" s="199" t="str">
        <f>CONCATENATE(S2145,Q2145,P2145)</f>
        <v>800grams</v>
      </c>
      <c r="U2145" s="200">
        <f>L2145*M2145</f>
        <v>78.56</v>
      </c>
      <c r="V2145" s="12"/>
      <c r="W2145" s="12"/>
    </row>
    <row r="2146" spans="1:23" x14ac:dyDescent="0.3">
      <c r="A2146" s="193">
        <v>829</v>
      </c>
      <c r="B2146" s="219" t="s">
        <v>1764</v>
      </c>
      <c r="C2146" s="315"/>
      <c r="D2146" s="316"/>
      <c r="E2146" s="315"/>
      <c r="F2146" s="315"/>
      <c r="G2146" s="315"/>
      <c r="H2146" s="194" t="s">
        <v>2021</v>
      </c>
      <c r="I2146" s="12"/>
      <c r="J2146" s="219" t="s">
        <v>1765</v>
      </c>
      <c r="K2146" s="12"/>
      <c r="L2146" s="216">
        <v>2.48</v>
      </c>
      <c r="M2146" s="216">
        <v>457</v>
      </c>
      <c r="N2146" s="293">
        <v>1</v>
      </c>
      <c r="O2146" s="219"/>
      <c r="P2146" s="219" t="s">
        <v>92</v>
      </c>
      <c r="Q2146" s="12"/>
      <c r="R2146" s="192" t="str">
        <f>CONCATENATE(N2146,P2146)</f>
        <v>1pieces</v>
      </c>
      <c r="S2146" s="198">
        <f>M2146*N2146</f>
        <v>457</v>
      </c>
      <c r="T2146" s="199" t="str">
        <f>CONCATENATE(S2146,Q2146,P2146)</f>
        <v>457pieces</v>
      </c>
      <c r="U2146" s="200">
        <f>L2146*M2146</f>
        <v>1133.3599999999999</v>
      </c>
      <c r="V2146" s="12"/>
      <c r="W2146" s="12"/>
    </row>
    <row r="2147" spans="1:23" x14ac:dyDescent="0.3">
      <c r="A2147" s="193">
        <v>829</v>
      </c>
      <c r="B2147" s="46" t="s">
        <v>1764</v>
      </c>
      <c r="C2147" s="315"/>
      <c r="D2147" s="316"/>
      <c r="E2147" s="315"/>
      <c r="F2147" s="315"/>
      <c r="G2147" s="315"/>
      <c r="H2147" s="194" t="s">
        <v>2025</v>
      </c>
      <c r="I2147" s="12"/>
      <c r="J2147" s="170"/>
      <c r="K2147" s="12"/>
      <c r="L2147" s="197">
        <v>4</v>
      </c>
      <c r="M2147" s="197">
        <v>28</v>
      </c>
      <c r="N2147" s="290">
        <v>1</v>
      </c>
      <c r="O2147" s="46"/>
      <c r="P2147" s="46" t="s">
        <v>92</v>
      </c>
      <c r="Q2147" s="12"/>
      <c r="R2147" s="192" t="str">
        <f>CONCATENATE(N2147,P2147)</f>
        <v>1pieces</v>
      </c>
      <c r="S2147" s="198">
        <f>M2147*N2147</f>
        <v>28</v>
      </c>
      <c r="T2147" s="199" t="str">
        <f>CONCATENATE(S2147,Q2147,P2147)</f>
        <v>28pieces</v>
      </c>
      <c r="U2147" s="200">
        <f>L2147*M2147</f>
        <v>112</v>
      </c>
      <c r="V2147" s="12"/>
      <c r="W2147" s="12"/>
    </row>
    <row r="2148" spans="1:23" x14ac:dyDescent="0.3">
      <c r="A2148" s="193">
        <v>830</v>
      </c>
      <c r="B2148" s="46" t="s">
        <v>1766</v>
      </c>
      <c r="C2148" s="315"/>
      <c r="D2148" s="316"/>
      <c r="E2148" s="315"/>
      <c r="F2148" s="315"/>
      <c r="G2148" s="315"/>
      <c r="H2148" s="194" t="s">
        <v>2020</v>
      </c>
      <c r="I2148" s="12"/>
      <c r="J2148" s="46" t="s">
        <v>1241</v>
      </c>
      <c r="K2148" s="12"/>
      <c r="L2148" s="197">
        <v>139.9</v>
      </c>
      <c r="M2148" s="197">
        <v>4</v>
      </c>
      <c r="N2148" s="290">
        <v>1</v>
      </c>
      <c r="O2148" s="46"/>
      <c r="P2148" s="46" t="s">
        <v>213</v>
      </c>
      <c r="Q2148" s="12"/>
      <c r="R2148" s="192" t="str">
        <f>CONCATENATE(N2148,P2148)</f>
        <v>1kilos</v>
      </c>
      <c r="S2148" s="198">
        <f>M2148*N2148</f>
        <v>4</v>
      </c>
      <c r="T2148" s="199" t="str">
        <f>CONCATENATE(S2148,Q2148,P2148)</f>
        <v>4kilos</v>
      </c>
      <c r="U2148" s="200">
        <f>L2148*M2148</f>
        <v>559.6</v>
      </c>
      <c r="V2148" s="12"/>
      <c r="W2148" s="12"/>
    </row>
    <row r="2149" spans="1:23" x14ac:dyDescent="0.3">
      <c r="A2149" s="193">
        <v>831</v>
      </c>
      <c r="B2149" s="46" t="s">
        <v>1767</v>
      </c>
      <c r="C2149" s="315"/>
      <c r="D2149" s="316"/>
      <c r="E2149" s="315"/>
      <c r="F2149" s="315"/>
      <c r="G2149" s="315"/>
      <c r="H2149" s="194" t="s">
        <v>2023</v>
      </c>
      <c r="I2149" s="12"/>
      <c r="J2149" s="46" t="s">
        <v>641</v>
      </c>
      <c r="K2149" s="12"/>
      <c r="L2149" s="197">
        <v>99.6</v>
      </c>
      <c r="M2149" s="197">
        <v>11</v>
      </c>
      <c r="N2149" s="290">
        <v>900</v>
      </c>
      <c r="O2149" s="46"/>
      <c r="P2149" s="46" t="s">
        <v>39</v>
      </c>
      <c r="Q2149" s="12"/>
      <c r="R2149" s="192" t="str">
        <f>CONCATENATE(N2149,P2149)</f>
        <v>900grams</v>
      </c>
      <c r="S2149" s="198">
        <f>M2149*N2149</f>
        <v>9900</v>
      </c>
      <c r="T2149" s="199" t="str">
        <f>CONCATENATE(S2149,Q2149,P2149)</f>
        <v>9900grams</v>
      </c>
      <c r="U2149" s="200">
        <f>L2149*M2149</f>
        <v>1095.5999999999999</v>
      </c>
      <c r="V2149" s="12"/>
      <c r="W2149" s="12"/>
    </row>
    <row r="2150" spans="1:23" x14ac:dyDescent="0.3">
      <c r="A2150" s="193">
        <v>832</v>
      </c>
      <c r="B2150" s="46" t="s">
        <v>1768</v>
      </c>
      <c r="C2150" s="315"/>
      <c r="D2150" s="316"/>
      <c r="E2150" s="315"/>
      <c r="F2150" s="315"/>
      <c r="G2150" s="315"/>
      <c r="H2150" s="194" t="s">
        <v>2025</v>
      </c>
      <c r="I2150" s="12"/>
      <c r="J2150" s="46" t="s">
        <v>1769</v>
      </c>
      <c r="K2150" s="12"/>
      <c r="L2150" s="197">
        <v>60</v>
      </c>
      <c r="M2150" s="197">
        <v>1</v>
      </c>
      <c r="N2150" s="290">
        <v>1</v>
      </c>
      <c r="O2150" s="46"/>
      <c r="P2150" s="46" t="s">
        <v>213</v>
      </c>
      <c r="Q2150" s="12"/>
      <c r="R2150" s="192" t="str">
        <f>CONCATENATE(N2150,P2150)</f>
        <v>1kilos</v>
      </c>
      <c r="S2150" s="198">
        <f>M2150*N2150</f>
        <v>1</v>
      </c>
      <c r="T2150" s="199" t="str">
        <f>CONCATENATE(S2150,Q2150,P2150)</f>
        <v>1kilos</v>
      </c>
      <c r="U2150" s="200">
        <f>L2150*M2150</f>
        <v>60</v>
      </c>
      <c r="V2150" s="12"/>
      <c r="W2150" s="12"/>
    </row>
    <row r="2151" spans="1:23" x14ac:dyDescent="0.3">
      <c r="A2151" s="193">
        <v>833</v>
      </c>
      <c r="B2151" s="194" t="s">
        <v>785</v>
      </c>
      <c r="C2151" s="487"/>
      <c r="D2151" s="485" t="str">
        <f ca="1">IFERROR(__xludf.DUMMYFUNCTION("IF(J580="""",""n/a"",IFERROR(SPLIT(J580,""/"")))"),"n/a")</f>
        <v>n/a</v>
      </c>
      <c r="E2151" s="487"/>
      <c r="F2151" s="487"/>
      <c r="G2151" s="487"/>
      <c r="H2151" s="206" t="s">
        <v>1898</v>
      </c>
      <c r="I2151" s="487"/>
      <c r="J2151" s="170"/>
      <c r="K2151" s="487"/>
      <c r="L2151" s="197">
        <v>0.62</v>
      </c>
      <c r="M2151" s="385">
        <v>5100</v>
      </c>
      <c r="N2151" s="208">
        <v>340</v>
      </c>
      <c r="O2151" s="170">
        <f>E2151</f>
        <v>0</v>
      </c>
      <c r="P2151" s="61" t="s">
        <v>39</v>
      </c>
      <c r="Q2151" s="12"/>
      <c r="R2151" s="192" t="str">
        <f>CONCATENATE(N2151,P2151)</f>
        <v>340grams</v>
      </c>
      <c r="S2151" s="198">
        <f>M2151*N2151</f>
        <v>1734000</v>
      </c>
      <c r="T2151" s="199" t="str">
        <f>CONCATENATE(S2151,Q2151,P2151)</f>
        <v>1734000grams</v>
      </c>
      <c r="U2151" s="200">
        <f>L2151*M2151</f>
        <v>3162</v>
      </c>
      <c r="V2151" s="12"/>
      <c r="W2151" s="12"/>
    </row>
    <row r="2152" spans="1:23" x14ac:dyDescent="0.3">
      <c r="A2152" s="193">
        <v>834</v>
      </c>
      <c r="B2152" s="46" t="s">
        <v>1770</v>
      </c>
      <c r="C2152" s="315"/>
      <c r="D2152" s="316"/>
      <c r="E2152" s="315"/>
      <c r="F2152" s="315"/>
      <c r="G2152" s="315"/>
      <c r="H2152" s="194" t="s">
        <v>2023</v>
      </c>
      <c r="I2152" s="12"/>
      <c r="J2152" s="219" t="s">
        <v>854</v>
      </c>
      <c r="K2152" s="12"/>
      <c r="L2152" s="197">
        <v>29.75</v>
      </c>
      <c r="M2152" s="197">
        <v>1</v>
      </c>
      <c r="N2152" s="290">
        <v>34</v>
      </c>
      <c r="O2152" s="46"/>
      <c r="P2152" s="46" t="s">
        <v>39</v>
      </c>
      <c r="Q2152" s="12"/>
      <c r="R2152" s="192" t="str">
        <f>CONCATENATE(N2152,P2152)</f>
        <v>34grams</v>
      </c>
      <c r="S2152" s="198">
        <f>M2152*N2152</f>
        <v>34</v>
      </c>
      <c r="T2152" s="199" t="str">
        <f>CONCATENATE(S2152,Q2152,P2152)</f>
        <v>34grams</v>
      </c>
      <c r="U2152" s="200">
        <f>L2152*M2152</f>
        <v>29.75</v>
      </c>
      <c r="V2152" s="12"/>
      <c r="W2152" s="12"/>
    </row>
    <row r="2153" spans="1:23" x14ac:dyDescent="0.3">
      <c r="A2153" s="193">
        <v>834</v>
      </c>
      <c r="B2153" s="46" t="s">
        <v>1770</v>
      </c>
      <c r="C2153" s="315"/>
      <c r="D2153" s="316"/>
      <c r="E2153" s="315"/>
      <c r="F2153" s="315"/>
      <c r="G2153" s="315"/>
      <c r="H2153" s="194" t="s">
        <v>2022</v>
      </c>
      <c r="I2153" s="12"/>
      <c r="J2153" s="46" t="s">
        <v>854</v>
      </c>
      <c r="K2153" s="12"/>
      <c r="L2153" s="197">
        <v>78</v>
      </c>
      <c r="M2153" s="197">
        <v>3</v>
      </c>
      <c r="N2153" s="290">
        <v>34</v>
      </c>
      <c r="O2153" s="46"/>
      <c r="P2153" s="46" t="s">
        <v>39</v>
      </c>
      <c r="Q2153" s="12"/>
      <c r="R2153" s="192" t="str">
        <f>CONCATENATE(N2153,P2153)</f>
        <v>34grams</v>
      </c>
      <c r="S2153" s="198">
        <f>M2153*N2153</f>
        <v>102</v>
      </c>
      <c r="T2153" s="199" t="str">
        <f>CONCATENATE(S2153,Q2153,P2153)</f>
        <v>102grams</v>
      </c>
      <c r="U2153" s="200">
        <f>L2153*M2153</f>
        <v>234</v>
      </c>
      <c r="V2153" s="12"/>
      <c r="W2153" s="12"/>
    </row>
    <row r="2154" spans="1:23" x14ac:dyDescent="0.3">
      <c r="A2154" s="193">
        <v>835</v>
      </c>
      <c r="B2154" s="46" t="s">
        <v>1771</v>
      </c>
      <c r="C2154" s="315"/>
      <c r="D2154" s="316"/>
      <c r="E2154" s="315"/>
      <c r="F2154" s="315"/>
      <c r="G2154" s="315"/>
      <c r="H2154" s="194" t="s">
        <v>2025</v>
      </c>
      <c r="I2154" s="12"/>
      <c r="J2154" s="46" t="s">
        <v>854</v>
      </c>
      <c r="K2154" s="12"/>
      <c r="L2154" s="197">
        <v>5.8</v>
      </c>
      <c r="M2154" s="197">
        <v>15</v>
      </c>
      <c r="N2154" s="290">
        <v>1</v>
      </c>
      <c r="O2154" s="46"/>
      <c r="P2154" s="46" t="s">
        <v>92</v>
      </c>
      <c r="Q2154" s="12"/>
      <c r="R2154" s="192" t="str">
        <f>CONCATENATE(N2154,P2154)</f>
        <v>1pieces</v>
      </c>
      <c r="S2154" s="198">
        <f>M2154*N2154</f>
        <v>15</v>
      </c>
      <c r="T2154" s="199" t="str">
        <f>CONCATENATE(S2154,Q2154,P2154)</f>
        <v>15pieces</v>
      </c>
      <c r="U2154" s="200">
        <f>L2154*M2154</f>
        <v>87</v>
      </c>
      <c r="V2154" s="12"/>
      <c r="W2154" s="12"/>
    </row>
    <row r="2155" spans="1:23" x14ac:dyDescent="0.3">
      <c r="A2155" s="193">
        <v>836</v>
      </c>
      <c r="B2155" s="46" t="s">
        <v>2007</v>
      </c>
      <c r="C2155" s="315"/>
      <c r="D2155" s="316"/>
      <c r="E2155" s="315"/>
      <c r="F2155" s="315"/>
      <c r="G2155" s="315"/>
      <c r="H2155" s="400" t="s">
        <v>2027</v>
      </c>
      <c r="I2155" s="12"/>
      <c r="J2155" s="170"/>
      <c r="K2155" s="12"/>
      <c r="L2155" s="195">
        <v>23.45</v>
      </c>
      <c r="M2155" s="197">
        <v>2</v>
      </c>
      <c r="N2155" s="360">
        <v>1</v>
      </c>
      <c r="O2155" s="61"/>
      <c r="P2155" s="61" t="s">
        <v>92</v>
      </c>
      <c r="Q2155" s="12"/>
      <c r="R2155" s="192" t="str">
        <f>CONCATENATE(N2155,P2155)</f>
        <v>1pieces</v>
      </c>
      <c r="S2155" s="198">
        <f>M2155*N2155</f>
        <v>2</v>
      </c>
      <c r="T2155" s="199" t="str">
        <f>CONCATENATE(S2155,Q2155,P2155)</f>
        <v>2pieces</v>
      </c>
      <c r="U2155" s="200">
        <f>L2155*M2155</f>
        <v>46.9</v>
      </c>
      <c r="V2155" s="12"/>
      <c r="W2155" s="12"/>
    </row>
    <row r="2156" spans="1:23" x14ac:dyDescent="0.3">
      <c r="A2156" s="193">
        <v>837</v>
      </c>
      <c r="B2156" s="46" t="s">
        <v>1772</v>
      </c>
      <c r="C2156" s="315"/>
      <c r="D2156" s="316"/>
      <c r="E2156" s="315"/>
      <c r="F2156" s="315"/>
      <c r="G2156" s="315"/>
      <c r="H2156" s="194" t="s">
        <v>2022</v>
      </c>
      <c r="I2156" s="12"/>
      <c r="J2156" s="46" t="s">
        <v>1219</v>
      </c>
      <c r="K2156" s="12"/>
      <c r="L2156" s="197">
        <v>72</v>
      </c>
      <c r="M2156" s="197">
        <v>2</v>
      </c>
      <c r="N2156" s="290">
        <v>500</v>
      </c>
      <c r="O2156" s="46"/>
      <c r="P2156" s="46" t="s">
        <v>39</v>
      </c>
      <c r="Q2156" s="12"/>
      <c r="R2156" s="192" t="str">
        <f>CONCATENATE(N2156,P2156)</f>
        <v>500grams</v>
      </c>
      <c r="S2156" s="198">
        <f>M2156*N2156</f>
        <v>1000</v>
      </c>
      <c r="T2156" s="199" t="str">
        <f>CONCATENATE(S2156,Q2156,P2156)</f>
        <v>1000grams</v>
      </c>
      <c r="U2156" s="200">
        <f>L2156*M2156</f>
        <v>144</v>
      </c>
      <c r="V2156" s="12"/>
      <c r="W2156" s="12"/>
    </row>
    <row r="2157" spans="1:23" x14ac:dyDescent="0.3">
      <c r="A2157" s="193">
        <v>838</v>
      </c>
      <c r="B2157" s="194" t="s">
        <v>786</v>
      </c>
      <c r="C2157" s="487"/>
      <c r="D2157" s="485" t="str">
        <f ca="1">IFERROR(__xludf.DUMMYFUNCTION("IF(J581="""",""n/a"",IFERROR(SPLIT(J581,""/"")))"),"Scotchbrite")</f>
        <v>Scotchbrite</v>
      </c>
      <c r="E2157" s="487"/>
      <c r="F2157" s="487"/>
      <c r="G2157" s="487"/>
      <c r="H2157" s="183" t="s">
        <v>1897</v>
      </c>
      <c r="I2157" s="487"/>
      <c r="J2157" s="46" t="s">
        <v>206</v>
      </c>
      <c r="K2157" s="487"/>
      <c r="L2157" s="195">
        <v>19.399999999999999</v>
      </c>
      <c r="M2157" s="202">
        <v>3</v>
      </c>
      <c r="N2157" s="203">
        <v>1</v>
      </c>
      <c r="O2157" s="170">
        <f>E2157</f>
        <v>0</v>
      </c>
      <c r="P2157" s="61" t="s">
        <v>92</v>
      </c>
      <c r="Q2157" s="12"/>
      <c r="R2157" s="192" t="str">
        <f>CONCATENATE(N2157,P2157)</f>
        <v>1pieces</v>
      </c>
      <c r="S2157" s="198">
        <f>M2157*N2157</f>
        <v>3</v>
      </c>
      <c r="T2157" s="199" t="str">
        <f>CONCATENATE(S2157,Q2157,P2157)</f>
        <v>3pieces</v>
      </c>
      <c r="U2157" s="200">
        <f>L2157*M2157</f>
        <v>58.199999999999996</v>
      </c>
      <c r="V2157" s="205"/>
      <c r="W2157" s="62"/>
    </row>
    <row r="2158" spans="1:23" x14ac:dyDescent="0.3">
      <c r="A2158" s="193">
        <v>838</v>
      </c>
      <c r="B2158" s="46" t="s">
        <v>786</v>
      </c>
      <c r="C2158" s="315"/>
      <c r="D2158" s="316"/>
      <c r="E2158" s="315"/>
      <c r="F2158" s="315"/>
      <c r="G2158" s="315"/>
      <c r="H2158" s="194" t="s">
        <v>2023</v>
      </c>
      <c r="I2158" s="12"/>
      <c r="J2158" s="46" t="s">
        <v>1773</v>
      </c>
      <c r="K2158" s="12"/>
      <c r="L2158" s="197">
        <v>33</v>
      </c>
      <c r="M2158" s="197">
        <v>14</v>
      </c>
      <c r="N2158" s="290">
        <v>1</v>
      </c>
      <c r="O2158" s="46"/>
      <c r="P2158" s="46" t="s">
        <v>92</v>
      </c>
      <c r="Q2158" s="12"/>
      <c r="R2158" s="192" t="str">
        <f>CONCATENATE(N2158,P2158)</f>
        <v>1pieces</v>
      </c>
      <c r="S2158" s="198">
        <f>M2158*N2158</f>
        <v>14</v>
      </c>
      <c r="T2158" s="199" t="str">
        <f>CONCATENATE(S2158,Q2158,P2158)</f>
        <v>14pieces</v>
      </c>
      <c r="U2158" s="200">
        <f>L2158*M2158</f>
        <v>462</v>
      </c>
      <c r="V2158" s="12"/>
      <c r="W2158" s="12"/>
    </row>
    <row r="2159" spans="1:23" x14ac:dyDescent="0.3">
      <c r="A2159" s="193">
        <v>838</v>
      </c>
      <c r="B2159" s="46" t="s">
        <v>786</v>
      </c>
      <c r="C2159" s="315"/>
      <c r="D2159" s="316"/>
      <c r="E2159" s="315"/>
      <c r="F2159" s="315"/>
      <c r="G2159" s="315"/>
      <c r="H2159" s="194" t="s">
        <v>2021</v>
      </c>
      <c r="I2159" s="12"/>
      <c r="J2159" s="219" t="s">
        <v>1773</v>
      </c>
      <c r="K2159" s="12"/>
      <c r="L2159" s="216">
        <v>20</v>
      </c>
      <c r="M2159" s="216">
        <v>2</v>
      </c>
      <c r="N2159" s="293">
        <v>1</v>
      </c>
      <c r="O2159" s="219"/>
      <c r="P2159" s="219" t="s">
        <v>92</v>
      </c>
      <c r="Q2159" s="12"/>
      <c r="R2159" s="192" t="str">
        <f>CONCATENATE(N2159,P2159)</f>
        <v>1pieces</v>
      </c>
      <c r="S2159" s="198">
        <f>M2159*N2159</f>
        <v>2</v>
      </c>
      <c r="T2159" s="199" t="str">
        <f>CONCATENATE(S2159,Q2159,P2159)</f>
        <v>2pieces</v>
      </c>
      <c r="U2159" s="200">
        <f>L2159*M2159</f>
        <v>40</v>
      </c>
      <c r="V2159" s="12"/>
      <c r="W2159" s="12"/>
    </row>
    <row r="2160" spans="1:23" x14ac:dyDescent="0.3">
      <c r="A2160" s="193">
        <v>838</v>
      </c>
      <c r="B2160" s="46" t="s">
        <v>786</v>
      </c>
      <c r="C2160" s="315"/>
      <c r="D2160" s="316"/>
      <c r="E2160" s="315"/>
      <c r="F2160" s="315"/>
      <c r="G2160" s="315"/>
      <c r="H2160" s="194" t="s">
        <v>1368</v>
      </c>
      <c r="I2160" s="12"/>
      <c r="J2160" s="46" t="s">
        <v>1774</v>
      </c>
      <c r="K2160" s="12"/>
      <c r="L2160" s="197">
        <v>65</v>
      </c>
      <c r="M2160" s="197">
        <v>2</v>
      </c>
      <c r="N2160" s="290">
        <v>1</v>
      </c>
      <c r="O2160" s="46"/>
      <c r="P2160" s="46" t="s">
        <v>92</v>
      </c>
      <c r="Q2160" s="12"/>
      <c r="R2160" s="192" t="str">
        <f>CONCATENATE(N2160,P2160)</f>
        <v>1pieces</v>
      </c>
      <c r="S2160" s="198">
        <f>M2160*N2160</f>
        <v>2</v>
      </c>
      <c r="T2160" s="199" t="str">
        <f>CONCATENATE(S2160,Q2160,P2160)</f>
        <v>2pieces</v>
      </c>
      <c r="U2160" s="200">
        <f>L2160*M2160</f>
        <v>130</v>
      </c>
      <c r="V2160" s="12"/>
      <c r="W2160" s="12"/>
    </row>
    <row r="2161" spans="1:23" x14ac:dyDescent="0.3">
      <c r="A2161" s="193">
        <v>838</v>
      </c>
      <c r="B2161" s="46" t="s">
        <v>786</v>
      </c>
      <c r="C2161" s="315"/>
      <c r="D2161" s="316"/>
      <c r="E2161" s="315"/>
      <c r="F2161" s="315"/>
      <c r="G2161" s="315"/>
      <c r="H2161" s="194" t="s">
        <v>2025</v>
      </c>
      <c r="I2161" s="12"/>
      <c r="J2161" s="170"/>
      <c r="K2161" s="12"/>
      <c r="L2161" s="197">
        <v>19</v>
      </c>
      <c r="M2161" s="197">
        <v>6</v>
      </c>
      <c r="N2161" s="290">
        <v>1</v>
      </c>
      <c r="O2161" s="46"/>
      <c r="P2161" s="46" t="s">
        <v>92</v>
      </c>
      <c r="Q2161" s="12"/>
      <c r="R2161" s="192" t="str">
        <f>CONCATENATE(N2161,P2161)</f>
        <v>1pieces</v>
      </c>
      <c r="S2161" s="198">
        <f>M2161*N2161</f>
        <v>6</v>
      </c>
      <c r="T2161" s="199" t="str">
        <f>CONCATENATE(S2161,Q2161,P2161)</f>
        <v>6pieces</v>
      </c>
      <c r="U2161" s="200">
        <f>L2161*M2161</f>
        <v>114</v>
      </c>
      <c r="V2161" s="12"/>
      <c r="W2161" s="12"/>
    </row>
    <row r="2162" spans="1:23" x14ac:dyDescent="0.3">
      <c r="A2162" s="193">
        <v>838</v>
      </c>
      <c r="B2162" s="46" t="s">
        <v>786</v>
      </c>
      <c r="C2162" s="315"/>
      <c r="D2162" s="316"/>
      <c r="E2162" s="315"/>
      <c r="F2162" s="315"/>
      <c r="G2162" s="315"/>
      <c r="H2162" s="194" t="s">
        <v>1368</v>
      </c>
      <c r="I2162" s="12"/>
      <c r="J2162" s="46" t="s">
        <v>1272</v>
      </c>
      <c r="K2162" s="12"/>
      <c r="L2162" s="197">
        <v>49</v>
      </c>
      <c r="M2162" s="197">
        <v>3</v>
      </c>
      <c r="N2162" s="290">
        <v>1</v>
      </c>
      <c r="O2162" s="46"/>
      <c r="P2162" s="46" t="s">
        <v>92</v>
      </c>
      <c r="Q2162" s="12"/>
      <c r="R2162" s="192" t="str">
        <f>CONCATENATE(N2162,P2162)</f>
        <v>1pieces</v>
      </c>
      <c r="S2162" s="198">
        <f>M2162*N2162</f>
        <v>3</v>
      </c>
      <c r="T2162" s="199" t="str">
        <f>CONCATENATE(S2162,Q2162,P2162)</f>
        <v>3pieces</v>
      </c>
      <c r="U2162" s="200">
        <f>L2162*M2162</f>
        <v>147</v>
      </c>
      <c r="V2162" s="12"/>
      <c r="W2162" s="12"/>
    </row>
    <row r="2163" spans="1:23" x14ac:dyDescent="0.3">
      <c r="A2163" s="193">
        <v>838</v>
      </c>
      <c r="B2163" s="46" t="s">
        <v>786</v>
      </c>
      <c r="C2163" s="315"/>
      <c r="D2163" s="316"/>
      <c r="E2163" s="315"/>
      <c r="F2163" s="315"/>
      <c r="G2163" s="315"/>
      <c r="H2163" s="194" t="s">
        <v>1368</v>
      </c>
      <c r="I2163" s="12"/>
      <c r="J2163" s="46" t="s">
        <v>1773</v>
      </c>
      <c r="K2163" s="12"/>
      <c r="L2163" s="197">
        <v>27.75</v>
      </c>
      <c r="M2163" s="197">
        <v>1</v>
      </c>
      <c r="N2163" s="290">
        <v>1</v>
      </c>
      <c r="O2163" s="46"/>
      <c r="P2163" s="46" t="s">
        <v>92</v>
      </c>
      <c r="Q2163" s="12"/>
      <c r="R2163" s="192" t="str">
        <f>CONCATENATE(N2163,P2163)</f>
        <v>1pieces</v>
      </c>
      <c r="S2163" s="198">
        <f>M2163*N2163</f>
        <v>1</v>
      </c>
      <c r="T2163" s="199" t="str">
        <f>CONCATENATE(S2163,Q2163,P2163)</f>
        <v>1pieces</v>
      </c>
      <c r="U2163" s="200">
        <f>L2163*M2163</f>
        <v>27.75</v>
      </c>
      <c r="V2163" s="12"/>
      <c r="W2163" s="12"/>
    </row>
    <row r="2164" spans="1:23" x14ac:dyDescent="0.3">
      <c r="A2164" s="193">
        <v>838</v>
      </c>
      <c r="B2164" s="46" t="s">
        <v>786</v>
      </c>
      <c r="C2164" s="315"/>
      <c r="D2164" s="316"/>
      <c r="E2164" s="315"/>
      <c r="F2164" s="315"/>
      <c r="G2164" s="315"/>
      <c r="H2164" s="194" t="s">
        <v>2020</v>
      </c>
      <c r="I2164" s="12"/>
      <c r="J2164" s="46" t="s">
        <v>1272</v>
      </c>
      <c r="K2164" s="12"/>
      <c r="L2164" s="197">
        <v>25</v>
      </c>
      <c r="M2164" s="197">
        <v>10</v>
      </c>
      <c r="N2164" s="290">
        <v>1</v>
      </c>
      <c r="O2164" s="46"/>
      <c r="P2164" s="46" t="s">
        <v>92</v>
      </c>
      <c r="Q2164" s="12"/>
      <c r="R2164" s="192" t="str">
        <f>CONCATENATE(N2164,P2164)</f>
        <v>1pieces</v>
      </c>
      <c r="S2164" s="198">
        <f>M2164*N2164</f>
        <v>10</v>
      </c>
      <c r="T2164" s="199" t="str">
        <f>CONCATENATE(S2164,Q2164,P2164)</f>
        <v>10pieces</v>
      </c>
      <c r="U2164" s="200">
        <f>L2164*M2164</f>
        <v>250</v>
      </c>
      <c r="V2164" s="12"/>
      <c r="W2164" s="12"/>
    </row>
    <row r="2165" spans="1:23" x14ac:dyDescent="0.3">
      <c r="A2165" s="193">
        <v>838</v>
      </c>
      <c r="B2165" s="46" t="s">
        <v>786</v>
      </c>
      <c r="C2165" s="315"/>
      <c r="D2165" s="316"/>
      <c r="E2165" s="315"/>
      <c r="F2165" s="315"/>
      <c r="G2165" s="315"/>
      <c r="H2165" s="194" t="s">
        <v>2026</v>
      </c>
      <c r="I2165" s="12"/>
      <c r="J2165" s="46" t="s">
        <v>1272</v>
      </c>
      <c r="K2165" s="12"/>
      <c r="L2165" s="197">
        <v>33.76</v>
      </c>
      <c r="M2165" s="197">
        <v>17</v>
      </c>
      <c r="N2165" s="290">
        <v>1</v>
      </c>
      <c r="O2165" s="46"/>
      <c r="P2165" s="46" t="s">
        <v>92</v>
      </c>
      <c r="Q2165" s="12"/>
      <c r="R2165" s="192" t="str">
        <f>CONCATENATE(N2165,P2165)</f>
        <v>1pieces</v>
      </c>
      <c r="S2165" s="198">
        <f>M2165*N2165</f>
        <v>17</v>
      </c>
      <c r="T2165" s="199" t="str">
        <f>CONCATENATE(S2165,Q2165,P2165)</f>
        <v>17pieces</v>
      </c>
      <c r="U2165" s="200">
        <f>L2165*M2165</f>
        <v>573.91999999999996</v>
      </c>
      <c r="V2165" s="12"/>
      <c r="W2165" s="12"/>
    </row>
    <row r="2166" spans="1:23" x14ac:dyDescent="0.3">
      <c r="A2166" s="193">
        <v>838</v>
      </c>
      <c r="B2166" s="46" t="s">
        <v>786</v>
      </c>
      <c r="C2166" s="315"/>
      <c r="D2166" s="316"/>
      <c r="E2166" s="315"/>
      <c r="F2166" s="315"/>
      <c r="G2166" s="315"/>
      <c r="H2166" s="400" t="s">
        <v>2027</v>
      </c>
      <c r="I2166" s="12"/>
      <c r="J2166" s="46" t="s">
        <v>1999</v>
      </c>
      <c r="K2166" s="12"/>
      <c r="L2166" s="195">
        <v>27.75</v>
      </c>
      <c r="M2166" s="197">
        <v>6</v>
      </c>
      <c r="N2166" s="360">
        <v>1</v>
      </c>
      <c r="O2166" s="61"/>
      <c r="P2166" s="61" t="s">
        <v>92</v>
      </c>
      <c r="Q2166" s="12"/>
      <c r="R2166" s="192" t="str">
        <f>CONCATENATE(N2166,P2166)</f>
        <v>1pieces</v>
      </c>
      <c r="S2166" s="198">
        <f>M2166*N2166</f>
        <v>6</v>
      </c>
      <c r="T2166" s="199" t="str">
        <f>CONCATENATE(S2166,Q2166,P2166)</f>
        <v>6pieces</v>
      </c>
      <c r="U2166" s="200">
        <f>L2166*M2166</f>
        <v>166.5</v>
      </c>
      <c r="V2166" s="12"/>
      <c r="W2166" s="12"/>
    </row>
    <row r="2167" spans="1:23" x14ac:dyDescent="0.3">
      <c r="A2167" s="193">
        <v>839</v>
      </c>
      <c r="B2167" s="194" t="s">
        <v>787</v>
      </c>
      <c r="C2167" s="487"/>
      <c r="D2167" s="485" t="str">
        <f ca="1">IFERROR(__xludf.DUMMYFUNCTION("IF(J582="""",""n/a"",IFERROR(SPLIT(J582,""/"")))"),"Scotchbrite")</f>
        <v>Scotchbrite</v>
      </c>
      <c r="E2167" s="487"/>
      <c r="F2167" s="487"/>
      <c r="G2167" s="487"/>
      <c r="H2167" s="183" t="s">
        <v>1897</v>
      </c>
      <c r="I2167" s="487"/>
      <c r="J2167" s="46" t="s">
        <v>206</v>
      </c>
      <c r="K2167" s="487"/>
      <c r="L2167" s="195">
        <v>33.700000000000003</v>
      </c>
      <c r="M2167" s="202">
        <v>12</v>
      </c>
      <c r="N2167" s="203">
        <v>1</v>
      </c>
      <c r="O2167" s="170">
        <f>E2167</f>
        <v>0</v>
      </c>
      <c r="P2167" s="61" t="s">
        <v>92</v>
      </c>
      <c r="Q2167" s="12"/>
      <c r="R2167" s="192" t="str">
        <f>CONCATENATE(N2167,P2167)</f>
        <v>1pieces</v>
      </c>
      <c r="S2167" s="198">
        <f>M2167*N2167</f>
        <v>12</v>
      </c>
      <c r="T2167" s="199" t="str">
        <f>CONCATENATE(S2167,Q2167,P2167)</f>
        <v>12pieces</v>
      </c>
      <c r="U2167" s="200">
        <f>L2167*M2167</f>
        <v>404.40000000000003</v>
      </c>
      <c r="V2167" s="205"/>
      <c r="W2167" s="62"/>
    </row>
    <row r="2168" spans="1:23" x14ac:dyDescent="0.3">
      <c r="A2168" s="193">
        <v>840</v>
      </c>
      <c r="B2168" s="194" t="s">
        <v>788</v>
      </c>
      <c r="C2168" s="487"/>
      <c r="D2168" s="485" t="str">
        <f ca="1">IFERROR(__xludf.DUMMYFUNCTION("IF(J583="""",""n/a"",IFERROR(SPLIT(J583,""/"")))"),"n/a")</f>
        <v>n/a</v>
      </c>
      <c r="E2168" s="487"/>
      <c r="F2168" s="487"/>
      <c r="G2168" s="487"/>
      <c r="H2168" s="206" t="s">
        <v>1898</v>
      </c>
      <c r="I2168" s="487"/>
      <c r="J2168" s="170"/>
      <c r="K2168" s="487"/>
      <c r="L2168" s="197">
        <v>96.9</v>
      </c>
      <c r="M2168" s="386">
        <v>2</v>
      </c>
      <c r="N2168" s="208">
        <v>1</v>
      </c>
      <c r="O2168" s="170">
        <f>E2168</f>
        <v>0</v>
      </c>
      <c r="P2168" s="61" t="s">
        <v>92</v>
      </c>
      <c r="Q2168" s="12"/>
      <c r="R2168" s="192" t="str">
        <f>CONCATENATE(N2168,P2168)</f>
        <v>1pieces</v>
      </c>
      <c r="S2168" s="198">
        <f>M2168*N2168</f>
        <v>2</v>
      </c>
      <c r="T2168" s="199" t="str">
        <f>CONCATENATE(S2168,Q2168,P2168)</f>
        <v>2pieces</v>
      </c>
      <c r="U2168" s="200">
        <f>L2168*M2168</f>
        <v>193.8</v>
      </c>
      <c r="V2168" s="12"/>
      <c r="W2168" s="12"/>
    </row>
    <row r="2169" spans="1:23" x14ac:dyDescent="0.3">
      <c r="A2169" s="193">
        <v>840</v>
      </c>
      <c r="B2169" s="170" t="s">
        <v>788</v>
      </c>
      <c r="C2169" s="315"/>
      <c r="D2169" s="316"/>
      <c r="E2169" s="315"/>
      <c r="F2169" s="315"/>
      <c r="G2169" s="315"/>
      <c r="H2169" s="194" t="s">
        <v>2025</v>
      </c>
      <c r="I2169" s="12"/>
      <c r="J2169" s="46" t="s">
        <v>1775</v>
      </c>
      <c r="K2169" s="12"/>
      <c r="L2169" s="197">
        <v>12.4</v>
      </c>
      <c r="M2169" s="197">
        <v>2</v>
      </c>
      <c r="N2169" s="290">
        <v>27</v>
      </c>
      <c r="O2169" s="46"/>
      <c r="P2169" s="46" t="s">
        <v>32</v>
      </c>
      <c r="Q2169" s="12"/>
      <c r="R2169" s="192" t="str">
        <f>CONCATENATE(N2169,P2169)</f>
        <v>27ml</v>
      </c>
      <c r="S2169" s="198">
        <f>M2169*N2169</f>
        <v>54</v>
      </c>
      <c r="T2169" s="199" t="str">
        <f>CONCATENATE(S2169,Q2169,P2169)</f>
        <v>54ml</v>
      </c>
      <c r="U2169" s="200">
        <f>L2169*M2169</f>
        <v>24.8</v>
      </c>
      <c r="V2169" s="12"/>
      <c r="W2169" s="12"/>
    </row>
    <row r="2170" spans="1:23" x14ac:dyDescent="0.3">
      <c r="A2170" s="193">
        <v>840</v>
      </c>
      <c r="B2170" s="170" t="s">
        <v>788</v>
      </c>
      <c r="C2170" s="315"/>
      <c r="D2170" s="316"/>
      <c r="E2170" s="315"/>
      <c r="F2170" s="315"/>
      <c r="G2170" s="315"/>
      <c r="H2170" s="194" t="s">
        <v>2025</v>
      </c>
      <c r="I2170" s="12"/>
      <c r="J2170" s="46" t="s">
        <v>1776</v>
      </c>
      <c r="K2170" s="12"/>
      <c r="L2170" s="197">
        <v>12.4</v>
      </c>
      <c r="M2170" s="197">
        <v>6</v>
      </c>
      <c r="N2170" s="290">
        <v>27</v>
      </c>
      <c r="O2170" s="46"/>
      <c r="P2170" s="46" t="s">
        <v>32</v>
      </c>
      <c r="Q2170" s="12"/>
      <c r="R2170" s="192" t="str">
        <f>CONCATENATE(N2170,P2170)</f>
        <v>27ml</v>
      </c>
      <c r="S2170" s="198">
        <f>M2170*N2170</f>
        <v>162</v>
      </c>
      <c r="T2170" s="199" t="str">
        <f>CONCATENATE(S2170,Q2170,P2170)</f>
        <v>162ml</v>
      </c>
      <c r="U2170" s="200">
        <f>L2170*M2170</f>
        <v>74.400000000000006</v>
      </c>
      <c r="V2170" s="12"/>
      <c r="W2170" s="12"/>
    </row>
    <row r="2171" spans="1:23" x14ac:dyDescent="0.3">
      <c r="A2171" s="193">
        <v>840</v>
      </c>
      <c r="B2171" s="170" t="s">
        <v>788</v>
      </c>
      <c r="C2171" s="315"/>
      <c r="D2171" s="316"/>
      <c r="E2171" s="315"/>
      <c r="F2171" s="315"/>
      <c r="G2171" s="315"/>
      <c r="H2171" s="194" t="s">
        <v>2025</v>
      </c>
      <c r="I2171" s="12"/>
      <c r="J2171" s="46" t="s">
        <v>1777</v>
      </c>
      <c r="K2171" s="12"/>
      <c r="L2171" s="197">
        <v>12.4</v>
      </c>
      <c r="M2171" s="197">
        <v>1</v>
      </c>
      <c r="N2171" s="290">
        <v>27</v>
      </c>
      <c r="O2171" s="60"/>
      <c r="P2171" s="60" t="s">
        <v>32</v>
      </c>
      <c r="Q2171" s="12"/>
      <c r="R2171" s="192" t="str">
        <f>CONCATENATE(N2171,P2171)</f>
        <v>27ml</v>
      </c>
      <c r="S2171" s="198">
        <f>M2171*N2171</f>
        <v>27</v>
      </c>
      <c r="T2171" s="199" t="str">
        <f>CONCATENATE(S2171,Q2171,P2171)</f>
        <v>27ml</v>
      </c>
      <c r="U2171" s="200">
        <f>L2171*M2171</f>
        <v>12.4</v>
      </c>
      <c r="V2171" s="12"/>
      <c r="W2171" s="12"/>
    </row>
    <row r="2172" spans="1:23" x14ac:dyDescent="0.3">
      <c r="A2172" s="193">
        <v>840</v>
      </c>
      <c r="B2172" s="46" t="s">
        <v>788</v>
      </c>
      <c r="C2172" s="315"/>
      <c r="D2172" s="316"/>
      <c r="E2172" s="315"/>
      <c r="F2172" s="315"/>
      <c r="G2172" s="315"/>
      <c r="H2172" s="194" t="s">
        <v>2025</v>
      </c>
      <c r="I2172" s="12"/>
      <c r="J2172" s="46" t="s">
        <v>1778</v>
      </c>
      <c r="K2172" s="12"/>
      <c r="L2172" s="197">
        <v>12.2</v>
      </c>
      <c r="M2172" s="197">
        <v>7</v>
      </c>
      <c r="N2172" s="290">
        <v>24</v>
      </c>
      <c r="O2172" s="46"/>
      <c r="P2172" s="46" t="s">
        <v>39</v>
      </c>
      <c r="Q2172" s="12"/>
      <c r="R2172" s="192" t="str">
        <f>CONCATENATE(N2172,P2172)</f>
        <v>24grams</v>
      </c>
      <c r="S2172" s="198">
        <f>M2172*N2172</f>
        <v>168</v>
      </c>
      <c r="T2172" s="199" t="str">
        <f>CONCATENATE(S2172,Q2172,P2172)</f>
        <v>168grams</v>
      </c>
      <c r="U2172" s="200">
        <f>L2172*M2172</f>
        <v>85.399999999999991</v>
      </c>
      <c r="V2172" s="12"/>
      <c r="W2172" s="12"/>
    </row>
    <row r="2173" spans="1:23" x14ac:dyDescent="0.3">
      <c r="A2173" s="193">
        <v>840</v>
      </c>
      <c r="B2173" s="46" t="s">
        <v>788</v>
      </c>
      <c r="C2173" s="315"/>
      <c r="D2173" s="316"/>
      <c r="E2173" s="315"/>
      <c r="F2173" s="315"/>
      <c r="G2173" s="315"/>
      <c r="H2173" s="194" t="s">
        <v>2025</v>
      </c>
      <c r="I2173" s="12"/>
      <c r="J2173" s="46" t="s">
        <v>1779</v>
      </c>
      <c r="K2173" s="12"/>
      <c r="L2173" s="197">
        <v>12.2</v>
      </c>
      <c r="M2173" s="197">
        <v>5</v>
      </c>
      <c r="N2173" s="290">
        <v>24</v>
      </c>
      <c r="O2173" s="46"/>
      <c r="P2173" s="46" t="s">
        <v>39</v>
      </c>
      <c r="Q2173" s="12"/>
      <c r="R2173" s="192" t="str">
        <f>CONCATENATE(N2173,P2173)</f>
        <v>24grams</v>
      </c>
      <c r="S2173" s="198">
        <f>M2173*N2173</f>
        <v>120</v>
      </c>
      <c r="T2173" s="199" t="str">
        <f>CONCATENATE(S2173,Q2173,P2173)</f>
        <v>120grams</v>
      </c>
      <c r="U2173" s="200">
        <f>L2173*M2173</f>
        <v>61</v>
      </c>
      <c r="V2173" s="12"/>
      <c r="W2173" s="12"/>
    </row>
    <row r="2174" spans="1:23" x14ac:dyDescent="0.3">
      <c r="A2174" s="193">
        <v>841</v>
      </c>
      <c r="B2174" s="219" t="s">
        <v>1780</v>
      </c>
      <c r="C2174" s="315"/>
      <c r="D2174" s="316"/>
      <c r="E2174" s="315"/>
      <c r="F2174" s="315"/>
      <c r="G2174" s="315"/>
      <c r="H2174" s="194" t="s">
        <v>2021</v>
      </c>
      <c r="I2174" s="12"/>
      <c r="J2174" s="219" t="s">
        <v>1781</v>
      </c>
      <c r="K2174" s="12"/>
      <c r="L2174" s="216">
        <v>100</v>
      </c>
      <c r="M2174" s="216">
        <v>1</v>
      </c>
      <c r="N2174" s="293">
        <v>1</v>
      </c>
      <c r="O2174" s="219"/>
      <c r="P2174" s="219" t="s">
        <v>304</v>
      </c>
      <c r="Q2174" s="12"/>
      <c r="R2174" s="192" t="str">
        <f>CONCATENATE(N2174,P2174)</f>
        <v>1packs</v>
      </c>
      <c r="S2174" s="198">
        <f>M2174*N2174</f>
        <v>1</v>
      </c>
      <c r="T2174" s="199" t="str">
        <f>CONCATENATE(S2174,Q2174,P2174)</f>
        <v>1packs</v>
      </c>
      <c r="U2174" s="200">
        <f>L2174*M2174</f>
        <v>100</v>
      </c>
      <c r="V2174" s="12"/>
      <c r="W2174" s="12"/>
    </row>
    <row r="2175" spans="1:23" x14ac:dyDescent="0.3">
      <c r="A2175" s="193">
        <v>842</v>
      </c>
      <c r="B2175" s="46" t="s">
        <v>1782</v>
      </c>
      <c r="C2175" s="315"/>
      <c r="D2175" s="316"/>
      <c r="E2175" s="315"/>
      <c r="F2175" s="315"/>
      <c r="G2175" s="315"/>
      <c r="H2175" s="194" t="s">
        <v>29</v>
      </c>
      <c r="I2175" s="12"/>
      <c r="J2175" s="46" t="s">
        <v>1221</v>
      </c>
      <c r="K2175" s="12"/>
      <c r="L2175" s="197">
        <v>100</v>
      </c>
      <c r="M2175" s="197">
        <v>2</v>
      </c>
      <c r="N2175" s="290">
        <v>250</v>
      </c>
      <c r="O2175" s="46"/>
      <c r="P2175" s="46" t="s">
        <v>39</v>
      </c>
      <c r="Q2175" s="12"/>
      <c r="R2175" s="192" t="str">
        <f>CONCATENATE(N2175,P2175)</f>
        <v>250grams</v>
      </c>
      <c r="S2175" s="198">
        <f>M2175*N2175</f>
        <v>500</v>
      </c>
      <c r="T2175" s="199" t="str">
        <f>CONCATENATE(S2175,Q2175,P2175)</f>
        <v>500grams</v>
      </c>
      <c r="U2175" s="200">
        <f>L2175*M2175</f>
        <v>200</v>
      </c>
      <c r="V2175" s="12"/>
      <c r="W2175" s="12"/>
    </row>
    <row r="2176" spans="1:23" x14ac:dyDescent="0.3">
      <c r="A2176" s="193">
        <v>842</v>
      </c>
      <c r="B2176" s="46" t="s">
        <v>1782</v>
      </c>
      <c r="C2176" s="315"/>
      <c r="D2176" s="316"/>
      <c r="E2176" s="315"/>
      <c r="F2176" s="315"/>
      <c r="G2176" s="315"/>
      <c r="H2176" s="194" t="s">
        <v>2025</v>
      </c>
      <c r="I2176" s="12"/>
      <c r="J2176" s="46" t="s">
        <v>1221</v>
      </c>
      <c r="K2176" s="12"/>
      <c r="L2176" s="197">
        <v>55</v>
      </c>
      <c r="M2176" s="197">
        <v>5</v>
      </c>
      <c r="N2176" s="290">
        <v>500</v>
      </c>
      <c r="O2176" s="46"/>
      <c r="P2176" s="46" t="s">
        <v>39</v>
      </c>
      <c r="Q2176" s="12"/>
      <c r="R2176" s="192" t="str">
        <f>CONCATENATE(N2176,P2176)</f>
        <v>500grams</v>
      </c>
      <c r="S2176" s="198">
        <f>M2176*N2176</f>
        <v>2500</v>
      </c>
      <c r="T2176" s="199" t="str">
        <f>CONCATENATE(S2176,Q2176,P2176)</f>
        <v>2500grams</v>
      </c>
      <c r="U2176" s="200">
        <f>L2176*M2176</f>
        <v>275</v>
      </c>
      <c r="V2176" s="12"/>
      <c r="W2176" s="12"/>
    </row>
    <row r="2177" spans="1:23" x14ac:dyDescent="0.3">
      <c r="A2177" s="193">
        <v>842</v>
      </c>
      <c r="B2177" s="46" t="s">
        <v>1782</v>
      </c>
      <c r="C2177" s="315"/>
      <c r="D2177" s="316"/>
      <c r="E2177" s="315"/>
      <c r="F2177" s="315"/>
      <c r="G2177" s="315"/>
      <c r="H2177" s="194" t="s">
        <v>2023</v>
      </c>
      <c r="I2177" s="12"/>
      <c r="J2177" s="46" t="s">
        <v>1221</v>
      </c>
      <c r="K2177" s="12"/>
      <c r="L2177" s="197">
        <v>120</v>
      </c>
      <c r="M2177" s="197">
        <v>5</v>
      </c>
      <c r="N2177" s="290">
        <v>1</v>
      </c>
      <c r="O2177" s="46"/>
      <c r="P2177" s="46" t="s">
        <v>213</v>
      </c>
      <c r="Q2177" s="12"/>
      <c r="R2177" s="192" t="str">
        <f>CONCATENATE(N2177,P2177)</f>
        <v>1kilos</v>
      </c>
      <c r="S2177" s="198">
        <f>M2177*N2177</f>
        <v>5</v>
      </c>
      <c r="T2177" s="199" t="str">
        <f>CONCATENATE(S2177,Q2177,P2177)</f>
        <v>5kilos</v>
      </c>
      <c r="U2177" s="200">
        <f>L2177*M2177</f>
        <v>600</v>
      </c>
      <c r="V2177" s="12"/>
      <c r="W2177" s="12"/>
    </row>
    <row r="2178" spans="1:23" x14ac:dyDescent="0.3">
      <c r="A2178" s="193">
        <v>842</v>
      </c>
      <c r="B2178" s="46" t="s">
        <v>1782</v>
      </c>
      <c r="C2178" s="315"/>
      <c r="D2178" s="316"/>
      <c r="E2178" s="315"/>
      <c r="F2178" s="315"/>
      <c r="G2178" s="315"/>
      <c r="H2178" s="194" t="s">
        <v>2022</v>
      </c>
      <c r="I2178" s="12"/>
      <c r="J2178" s="46" t="s">
        <v>1783</v>
      </c>
      <c r="K2178" s="12"/>
      <c r="L2178" s="197">
        <v>120</v>
      </c>
      <c r="M2178" s="197">
        <v>2</v>
      </c>
      <c r="N2178" s="290">
        <v>1</v>
      </c>
      <c r="O2178" s="46"/>
      <c r="P2178" s="46" t="s">
        <v>213</v>
      </c>
      <c r="Q2178" s="12"/>
      <c r="R2178" s="192" t="str">
        <f>CONCATENATE(N2178,P2178)</f>
        <v>1kilos</v>
      </c>
      <c r="S2178" s="198">
        <f>M2178*N2178</f>
        <v>2</v>
      </c>
      <c r="T2178" s="199" t="str">
        <f>CONCATENATE(S2178,Q2178,P2178)</f>
        <v>2kilos</v>
      </c>
      <c r="U2178" s="200">
        <f>L2178*M2178</f>
        <v>240</v>
      </c>
      <c r="V2178" s="12"/>
      <c r="W2178" s="12"/>
    </row>
    <row r="2179" spans="1:23" x14ac:dyDescent="0.3">
      <c r="A2179" s="193">
        <v>842</v>
      </c>
      <c r="B2179" s="46" t="s">
        <v>1782</v>
      </c>
      <c r="C2179" s="315"/>
      <c r="D2179" s="316"/>
      <c r="E2179" s="315"/>
      <c r="F2179" s="315"/>
      <c r="G2179" s="315"/>
      <c r="H2179" s="194" t="s">
        <v>2020</v>
      </c>
      <c r="I2179" s="12"/>
      <c r="J2179" s="46" t="s">
        <v>1098</v>
      </c>
      <c r="K2179" s="12"/>
      <c r="L2179" s="197">
        <v>65</v>
      </c>
      <c r="M2179" s="197">
        <v>3</v>
      </c>
      <c r="N2179" s="290">
        <v>750</v>
      </c>
      <c r="O2179" s="46"/>
      <c r="P2179" s="46" t="s">
        <v>39</v>
      </c>
      <c r="Q2179" s="12"/>
      <c r="R2179" s="192" t="str">
        <f>CONCATENATE(N2179,P2179)</f>
        <v>750grams</v>
      </c>
      <c r="S2179" s="198">
        <f>M2179*N2179</f>
        <v>2250</v>
      </c>
      <c r="T2179" s="199" t="str">
        <f>CONCATENATE(S2179,Q2179,P2179)</f>
        <v>2250grams</v>
      </c>
      <c r="U2179" s="200">
        <f>L2179*M2179</f>
        <v>195</v>
      </c>
      <c r="V2179" s="12"/>
      <c r="W2179" s="12"/>
    </row>
    <row r="2180" spans="1:23" x14ac:dyDescent="0.3">
      <c r="A2180" s="193">
        <v>843</v>
      </c>
      <c r="B2180" s="194" t="s">
        <v>789</v>
      </c>
      <c r="C2180" s="487"/>
      <c r="D2180" s="485" t="str">
        <f ca="1">IFERROR(__xludf.DUMMYFUNCTION("IF(J584="""",""n/a"",IFERROR(SPLIT(J584,""/"")))"),"Lipa Spices")</f>
        <v>Lipa Spices</v>
      </c>
      <c r="E2180" s="485" t="str">
        <f ca="1">IFERROR(__xludf.DUMMYFUNCTION("""COMPUTED_VALUE"""),"pack")</f>
        <v>pack</v>
      </c>
      <c r="F2180" s="485" t="str">
        <f ca="1">IFERROR(__xludf.DUMMYFUNCTION("""COMPUTED_VALUE"""),"1000grams")</f>
        <v>1000grams</v>
      </c>
      <c r="G2180" s="487"/>
      <c r="H2180" s="183" t="s">
        <v>1897</v>
      </c>
      <c r="I2180" s="487"/>
      <c r="J2180" s="46" t="s">
        <v>790</v>
      </c>
      <c r="K2180" s="487"/>
      <c r="L2180" s="202">
        <v>0.85</v>
      </c>
      <c r="M2180" s="202">
        <v>500</v>
      </c>
      <c r="N2180" s="203">
        <v>1000</v>
      </c>
      <c r="O2180" s="61" t="str">
        <f ca="1">E2180</f>
        <v>pack</v>
      </c>
      <c r="P2180" s="61" t="s">
        <v>39</v>
      </c>
      <c r="Q2180" s="12"/>
      <c r="R2180" s="192" t="str">
        <f>CONCATENATE(N2180,P2180)</f>
        <v>1000grams</v>
      </c>
      <c r="S2180" s="198">
        <f>M2180*N2180</f>
        <v>500000</v>
      </c>
      <c r="T2180" s="199" t="str">
        <f>CONCATENATE(S2180,Q2180,P2180)</f>
        <v>500000grams</v>
      </c>
      <c r="U2180" s="200">
        <f>L2180*M2180</f>
        <v>425</v>
      </c>
      <c r="V2180" s="62"/>
      <c r="W2180" s="12"/>
    </row>
    <row r="2181" spans="1:23" x14ac:dyDescent="0.3">
      <c r="A2181" s="193">
        <v>843</v>
      </c>
      <c r="B2181" s="194" t="s">
        <v>789</v>
      </c>
      <c r="C2181" s="487"/>
      <c r="D2181" s="485" t="str">
        <f ca="1">IFERROR(__xludf.DUMMYFUNCTION("IF(J585="""",""n/a"",IFERROR(SPLIT(J585,""/"")))"),"n/a")</f>
        <v>n/a</v>
      </c>
      <c r="E2181" s="487"/>
      <c r="F2181" s="487"/>
      <c r="G2181" s="487"/>
      <c r="H2181" s="206" t="s">
        <v>1898</v>
      </c>
      <c r="I2181" s="487"/>
      <c r="J2181" s="170"/>
      <c r="K2181" s="487"/>
      <c r="L2181" s="197">
        <v>0.35</v>
      </c>
      <c r="M2181" s="385">
        <v>800</v>
      </c>
      <c r="N2181" s="208">
        <v>1000</v>
      </c>
      <c r="O2181" s="170">
        <f>E2181</f>
        <v>0</v>
      </c>
      <c r="P2181" s="61" t="s">
        <v>39</v>
      </c>
      <c r="Q2181" s="12"/>
      <c r="R2181" s="192" t="str">
        <f>CONCATENATE(N2181,P2181)</f>
        <v>1000grams</v>
      </c>
      <c r="S2181" s="198">
        <f>M2181*N2181</f>
        <v>800000</v>
      </c>
      <c r="T2181" s="199" t="str">
        <f>CONCATENATE(S2181,Q2181,P2181)</f>
        <v>800000grams</v>
      </c>
      <c r="U2181" s="200">
        <f>L2181*M2181</f>
        <v>280</v>
      </c>
      <c r="V2181" s="12"/>
      <c r="W2181" s="12"/>
    </row>
    <row r="2182" spans="1:23" x14ac:dyDescent="0.3">
      <c r="A2182" s="193">
        <v>843</v>
      </c>
      <c r="B2182" s="46" t="s">
        <v>789</v>
      </c>
      <c r="C2182" s="315"/>
      <c r="D2182" s="316"/>
      <c r="E2182" s="315"/>
      <c r="F2182" s="315"/>
      <c r="G2182" s="315"/>
      <c r="H2182" s="194" t="s">
        <v>29</v>
      </c>
      <c r="I2182" s="12"/>
      <c r="J2182" s="219" t="s">
        <v>854</v>
      </c>
      <c r="K2182" s="12"/>
      <c r="L2182" s="197">
        <v>31</v>
      </c>
      <c r="M2182" s="197">
        <v>4</v>
      </c>
      <c r="N2182" s="290">
        <v>20</v>
      </c>
      <c r="O2182" s="47"/>
      <c r="P2182" s="47" t="s">
        <v>39</v>
      </c>
      <c r="Q2182" s="12"/>
      <c r="R2182" s="192" t="str">
        <f>CONCATENATE(N2182,P2182)</f>
        <v>20grams</v>
      </c>
      <c r="S2182" s="198">
        <f>M2182*N2182</f>
        <v>80</v>
      </c>
      <c r="T2182" s="199" t="str">
        <f>CONCATENATE(S2182,Q2182,P2182)</f>
        <v>80grams</v>
      </c>
      <c r="U2182" s="200">
        <f>L2182*M2182</f>
        <v>124</v>
      </c>
      <c r="V2182" s="12"/>
      <c r="W2182" s="12"/>
    </row>
    <row r="2183" spans="1:23" x14ac:dyDescent="0.3">
      <c r="A2183" s="193">
        <v>843</v>
      </c>
      <c r="B2183" s="46" t="s">
        <v>789</v>
      </c>
      <c r="C2183" s="315"/>
      <c r="D2183" s="316"/>
      <c r="E2183" s="315"/>
      <c r="F2183" s="315"/>
      <c r="G2183" s="315"/>
      <c r="H2183" s="194" t="s">
        <v>2025</v>
      </c>
      <c r="I2183" s="12"/>
      <c r="J2183" s="46" t="s">
        <v>962</v>
      </c>
      <c r="K2183" s="12"/>
      <c r="L2183" s="197">
        <v>730</v>
      </c>
      <c r="M2183" s="197">
        <v>2</v>
      </c>
      <c r="N2183" s="290">
        <v>1</v>
      </c>
      <c r="O2183" s="47"/>
      <c r="P2183" s="47" t="s">
        <v>213</v>
      </c>
      <c r="Q2183" s="12"/>
      <c r="R2183" s="192" t="str">
        <f>CONCATENATE(N2183,P2183)</f>
        <v>1kilos</v>
      </c>
      <c r="S2183" s="198">
        <f>M2183*N2183</f>
        <v>2</v>
      </c>
      <c r="T2183" s="199" t="str">
        <f>CONCATENATE(S2183,Q2183,P2183)</f>
        <v>2kilos</v>
      </c>
      <c r="U2183" s="200">
        <f>L2183*M2183</f>
        <v>1460</v>
      </c>
      <c r="V2183" s="12"/>
      <c r="W2183" s="12"/>
    </row>
    <row r="2184" spans="1:23" x14ac:dyDescent="0.3">
      <c r="A2184" s="193">
        <v>843</v>
      </c>
      <c r="B2184" s="46" t="s">
        <v>789</v>
      </c>
      <c r="C2184" s="315"/>
      <c r="D2184" s="316"/>
      <c r="E2184" s="315"/>
      <c r="F2184" s="315"/>
      <c r="G2184" s="315"/>
      <c r="H2184" s="194" t="s">
        <v>2026</v>
      </c>
      <c r="I2184" s="12"/>
      <c r="J2184" s="46" t="s">
        <v>851</v>
      </c>
      <c r="K2184" s="12"/>
      <c r="L2184" s="197">
        <v>31</v>
      </c>
      <c r="M2184" s="197">
        <v>1</v>
      </c>
      <c r="N2184" s="290">
        <v>50</v>
      </c>
      <c r="O2184" s="516"/>
      <c r="P2184" s="516" t="s">
        <v>39</v>
      </c>
      <c r="Q2184" s="12"/>
      <c r="R2184" s="192" t="str">
        <f>CONCATENATE(N2184,P2184)</f>
        <v>50grams</v>
      </c>
      <c r="S2184" s="198">
        <f>M2184*N2184</f>
        <v>50</v>
      </c>
      <c r="T2184" s="199" t="str">
        <f>CONCATENATE(S2184,Q2184,P2184)</f>
        <v>50grams</v>
      </c>
      <c r="U2184" s="200">
        <f>L2184*M2184</f>
        <v>31</v>
      </c>
      <c r="V2184" s="12"/>
      <c r="W2184" s="12"/>
    </row>
    <row r="2185" spans="1:23" x14ac:dyDescent="0.3">
      <c r="A2185" s="193">
        <v>843</v>
      </c>
      <c r="B2185" s="46" t="s">
        <v>789</v>
      </c>
      <c r="C2185" s="315"/>
      <c r="D2185" s="316"/>
      <c r="E2185" s="315"/>
      <c r="F2185" s="315"/>
      <c r="G2185" s="315"/>
      <c r="H2185" s="194" t="s">
        <v>2023</v>
      </c>
      <c r="I2185" s="12"/>
      <c r="J2185" s="46" t="s">
        <v>962</v>
      </c>
      <c r="K2185" s="12"/>
      <c r="L2185" s="241">
        <v>800</v>
      </c>
      <c r="M2185" s="241">
        <v>1</v>
      </c>
      <c r="N2185" s="508">
        <v>1</v>
      </c>
      <c r="O2185" s="47"/>
      <c r="P2185" s="47" t="s">
        <v>213</v>
      </c>
      <c r="Q2185" s="12"/>
      <c r="R2185" s="192" t="str">
        <f>CONCATENATE(N2185,P2185)</f>
        <v>1kilos</v>
      </c>
      <c r="S2185" s="198">
        <f>M2185*N2185</f>
        <v>1</v>
      </c>
      <c r="T2185" s="199" t="str">
        <f>CONCATENATE(S2185,Q2185,P2185)</f>
        <v>1kilos</v>
      </c>
      <c r="U2185" s="200">
        <f>L2185*M2185</f>
        <v>800</v>
      </c>
      <c r="V2185" s="12"/>
      <c r="W2185" s="12"/>
    </row>
    <row r="2186" spans="1:23" x14ac:dyDescent="0.3">
      <c r="A2186" s="193">
        <v>844</v>
      </c>
      <c r="B2186" s="194" t="s">
        <v>792</v>
      </c>
      <c r="C2186" s="487"/>
      <c r="D2186" s="485" t="str">
        <f ca="1">IFERROR(__xludf.DUMMYFUNCTION("IF(J586="""",""n/a"",IFERROR(SPLIT(J586,""/"")))"),"n/a")</f>
        <v>n/a</v>
      </c>
      <c r="E2186" s="487"/>
      <c r="F2186" s="487"/>
      <c r="G2186" s="487"/>
      <c r="H2186" s="206" t="s">
        <v>1898</v>
      </c>
      <c r="I2186" s="487"/>
      <c r="J2186" s="170"/>
      <c r="K2186" s="487"/>
      <c r="L2186" s="197">
        <v>11.3</v>
      </c>
      <c r="M2186" s="386">
        <v>33</v>
      </c>
      <c r="N2186" s="208">
        <v>1</v>
      </c>
      <c r="O2186" s="237">
        <f>E2186</f>
        <v>0</v>
      </c>
      <c r="P2186" s="240" t="s">
        <v>92</v>
      </c>
      <c r="Q2186" s="12"/>
      <c r="R2186" s="192" t="str">
        <f>CONCATENATE(N2186,P2186)</f>
        <v>1pieces</v>
      </c>
      <c r="S2186" s="198">
        <f>M2186*N2186</f>
        <v>33</v>
      </c>
      <c r="T2186" s="199" t="str">
        <f>CONCATENATE(S2186,Q2186,P2186)</f>
        <v>33pieces</v>
      </c>
      <c r="U2186" s="200">
        <f>L2186*M2186</f>
        <v>372.90000000000003</v>
      </c>
      <c r="V2186" s="12"/>
      <c r="W2186" s="12"/>
    </row>
    <row r="2187" spans="1:23" x14ac:dyDescent="0.3">
      <c r="A2187" s="193">
        <v>845</v>
      </c>
      <c r="B2187" s="46" t="s">
        <v>1784</v>
      </c>
      <c r="C2187" s="315"/>
      <c r="D2187" s="316"/>
      <c r="E2187" s="315"/>
      <c r="F2187" s="315"/>
      <c r="G2187" s="315"/>
      <c r="H2187" s="194" t="s">
        <v>2022</v>
      </c>
      <c r="I2187" s="12"/>
      <c r="J2187" s="46" t="s">
        <v>1785</v>
      </c>
      <c r="K2187" s="12"/>
      <c r="L2187" s="197">
        <v>202</v>
      </c>
      <c r="M2187" s="197">
        <v>1</v>
      </c>
      <c r="N2187" s="290">
        <v>142</v>
      </c>
      <c r="O2187" s="47"/>
      <c r="P2187" s="47" t="s">
        <v>39</v>
      </c>
      <c r="Q2187" s="12"/>
      <c r="R2187" s="192" t="str">
        <f>CONCATENATE(N2187,P2187)</f>
        <v>142grams</v>
      </c>
      <c r="S2187" s="198">
        <f>M2187*N2187</f>
        <v>142</v>
      </c>
      <c r="T2187" s="199" t="str">
        <f>CONCATENATE(S2187,Q2187,P2187)</f>
        <v>142grams</v>
      </c>
      <c r="U2187" s="200">
        <f>L2187*M2187</f>
        <v>202</v>
      </c>
      <c r="V2187" s="12"/>
      <c r="W2187" s="12"/>
    </row>
    <row r="2188" spans="1:23" x14ac:dyDescent="0.3">
      <c r="A2188" s="193">
        <v>846</v>
      </c>
      <c r="B2188" s="219" t="s">
        <v>1786</v>
      </c>
      <c r="C2188" s="315"/>
      <c r="D2188" s="316"/>
      <c r="E2188" s="315"/>
      <c r="F2188" s="315"/>
      <c r="G2188" s="315"/>
      <c r="H2188" s="194" t="s">
        <v>1368</v>
      </c>
      <c r="I2188" s="12"/>
      <c r="J2188" s="46" t="s">
        <v>1787</v>
      </c>
      <c r="K2188" s="12"/>
      <c r="L2188" s="197">
        <v>30</v>
      </c>
      <c r="M2188" s="197">
        <v>6</v>
      </c>
      <c r="N2188" s="290">
        <v>1</v>
      </c>
      <c r="O2188" s="47"/>
      <c r="P2188" s="47" t="s">
        <v>92</v>
      </c>
      <c r="Q2188" s="12"/>
      <c r="R2188" s="192" t="str">
        <f>CONCATENATE(N2188,P2188)</f>
        <v>1pieces</v>
      </c>
      <c r="S2188" s="198">
        <f>M2188*N2188</f>
        <v>6</v>
      </c>
      <c r="T2188" s="199" t="str">
        <f>CONCATENATE(S2188,Q2188,P2188)</f>
        <v>6pieces</v>
      </c>
      <c r="U2188" s="200">
        <f>L2188*M2188</f>
        <v>180</v>
      </c>
      <c r="V2188" s="12"/>
      <c r="W2188" s="12"/>
    </row>
    <row r="2189" spans="1:23" x14ac:dyDescent="0.3">
      <c r="A2189" s="193">
        <v>846</v>
      </c>
      <c r="B2189" s="219" t="s">
        <v>1786</v>
      </c>
      <c r="C2189" s="315"/>
      <c r="D2189" s="316"/>
      <c r="E2189" s="315"/>
      <c r="F2189" s="315"/>
      <c r="G2189" s="315"/>
      <c r="H2189" s="194" t="s">
        <v>2021</v>
      </c>
      <c r="I2189" s="12"/>
      <c r="J2189" s="46" t="s">
        <v>1272</v>
      </c>
      <c r="K2189" s="12"/>
      <c r="L2189" s="216">
        <v>41</v>
      </c>
      <c r="M2189" s="216">
        <v>5</v>
      </c>
      <c r="N2189" s="293">
        <v>1</v>
      </c>
      <c r="O2189" s="47"/>
      <c r="P2189" s="47" t="s">
        <v>92</v>
      </c>
      <c r="Q2189" s="12"/>
      <c r="R2189" s="192" t="str">
        <f>CONCATENATE(N2189,P2189)</f>
        <v>1pieces</v>
      </c>
      <c r="S2189" s="198">
        <f>M2189*N2189</f>
        <v>5</v>
      </c>
      <c r="T2189" s="199" t="str">
        <f>CONCATENATE(S2189,Q2189,P2189)</f>
        <v>5pieces</v>
      </c>
      <c r="U2189" s="200">
        <f>L2189*M2189</f>
        <v>205</v>
      </c>
      <c r="V2189" s="12"/>
      <c r="W2189" s="12"/>
    </row>
    <row r="2190" spans="1:23" x14ac:dyDescent="0.3">
      <c r="A2190" s="193">
        <v>847</v>
      </c>
      <c r="B2190" s="194" t="s">
        <v>119</v>
      </c>
      <c r="C2190" s="487"/>
      <c r="D2190" s="485" t="str">
        <f ca="1">IFERROR(__xludf.DUMMYFUNCTION("IF(J587="""",""n/a"",IFERROR(SPLIT(J587,""/"")))"),"Pepsi")</f>
        <v>Pepsi</v>
      </c>
      <c r="E2190" s="485" t="str">
        <f ca="1">IFERROR(__xludf.DUMMYFUNCTION("""COMPUTED_VALUE"""),"case (24pcsx320ml)")</f>
        <v>case (24pcsx320ml)</v>
      </c>
      <c r="F2190" s="487"/>
      <c r="G2190" s="487"/>
      <c r="H2190" s="183" t="s">
        <v>1895</v>
      </c>
      <c r="I2190" s="487"/>
      <c r="J2190" s="46" t="s">
        <v>120</v>
      </c>
      <c r="K2190" s="487"/>
      <c r="L2190" s="195">
        <v>18.440000000000001</v>
      </c>
      <c r="M2190" s="197">
        <v>373</v>
      </c>
      <c r="N2190" s="61">
        <v>1</v>
      </c>
      <c r="O2190" s="240" t="str">
        <f ca="1">E2190</f>
        <v>case (24pcsx320ml)</v>
      </c>
      <c r="P2190" s="240" t="s">
        <v>92</v>
      </c>
      <c r="Q2190" s="12"/>
      <c r="R2190" s="192" t="str">
        <f>CONCATENATE(N2190,P2190)</f>
        <v>1pieces</v>
      </c>
      <c r="S2190" s="198">
        <f>M2190*N2190</f>
        <v>373</v>
      </c>
      <c r="T2190" s="199" t="str">
        <f>CONCATENATE(S2190,Q2190,P2190)</f>
        <v>373pieces</v>
      </c>
      <c r="U2190" s="200">
        <f>L2190*M2190</f>
        <v>6878.1200000000008</v>
      </c>
      <c r="V2190" s="12"/>
      <c r="W2190" s="12"/>
    </row>
    <row r="2191" spans="1:23" x14ac:dyDescent="0.3">
      <c r="A2191" s="193">
        <v>848</v>
      </c>
      <c r="B2191" s="46" t="s">
        <v>1788</v>
      </c>
      <c r="C2191" s="315"/>
      <c r="D2191" s="316"/>
      <c r="E2191" s="315"/>
      <c r="F2191" s="315"/>
      <c r="G2191" s="315"/>
      <c r="H2191" s="194" t="s">
        <v>2020</v>
      </c>
      <c r="I2191" s="12"/>
      <c r="J2191" s="170"/>
      <c r="K2191" s="12"/>
      <c r="L2191" s="197">
        <v>13.25</v>
      </c>
      <c r="M2191" s="197">
        <v>5</v>
      </c>
      <c r="N2191" s="290">
        <v>1</v>
      </c>
      <c r="O2191" s="47"/>
      <c r="P2191" s="47" t="s">
        <v>304</v>
      </c>
      <c r="Q2191" s="12"/>
      <c r="R2191" s="192" t="str">
        <f>CONCATENATE(N2191,P2191)</f>
        <v>1packs</v>
      </c>
      <c r="S2191" s="198">
        <f>M2191*N2191</f>
        <v>5</v>
      </c>
      <c r="T2191" s="199" t="str">
        <f>CONCATENATE(S2191,Q2191,P2191)</f>
        <v>5packs</v>
      </c>
      <c r="U2191" s="200">
        <f>L2191*M2191</f>
        <v>66.25</v>
      </c>
      <c r="V2191" s="12"/>
      <c r="W2191" s="12"/>
    </row>
    <row r="2192" spans="1:23" x14ac:dyDescent="0.3">
      <c r="A2192" s="193">
        <v>849</v>
      </c>
      <c r="B2192" s="47" t="s">
        <v>1789</v>
      </c>
      <c r="C2192" s="315"/>
      <c r="D2192" s="316"/>
      <c r="E2192" s="315"/>
      <c r="F2192" s="315"/>
      <c r="G2192" s="315"/>
      <c r="H2192" s="194" t="s">
        <v>2026</v>
      </c>
      <c r="I2192" s="12"/>
      <c r="J2192" s="46" t="s">
        <v>1486</v>
      </c>
      <c r="K2192" s="12"/>
      <c r="L2192" s="496">
        <v>150</v>
      </c>
      <c r="M2192" s="255">
        <v>1</v>
      </c>
      <c r="N2192" s="333">
        <v>320</v>
      </c>
      <c r="O2192" s="47"/>
      <c r="P2192" s="47" t="s">
        <v>39</v>
      </c>
      <c r="Q2192" s="12"/>
      <c r="R2192" s="192" t="str">
        <f>CONCATENATE(N2192,P2192)</f>
        <v>320grams</v>
      </c>
      <c r="S2192" s="198">
        <f>M2192*N2192</f>
        <v>320</v>
      </c>
      <c r="T2192" s="199" t="str">
        <f>CONCATENATE(S2192,Q2192,P2192)</f>
        <v>320grams</v>
      </c>
      <c r="U2192" s="200">
        <f>L2192*M2192</f>
        <v>150</v>
      </c>
      <c r="V2192" s="12"/>
      <c r="W2192" s="12"/>
    </row>
    <row r="2193" spans="1:23" x14ac:dyDescent="0.3">
      <c r="A2193" s="193">
        <v>850</v>
      </c>
      <c r="B2193" s="327" t="s">
        <v>1790</v>
      </c>
      <c r="C2193" s="315"/>
      <c r="D2193" s="316"/>
      <c r="E2193" s="315"/>
      <c r="F2193" s="315"/>
      <c r="G2193" s="315"/>
      <c r="H2193" s="194" t="s">
        <v>2021</v>
      </c>
      <c r="I2193" s="12"/>
      <c r="J2193" s="219" t="s">
        <v>1791</v>
      </c>
      <c r="K2193" s="12"/>
      <c r="L2193" s="497">
        <v>25</v>
      </c>
      <c r="M2193" s="285">
        <v>3</v>
      </c>
      <c r="N2193" s="336">
        <v>1</v>
      </c>
      <c r="O2193" s="327"/>
      <c r="P2193" s="327" t="s">
        <v>92</v>
      </c>
      <c r="Q2193" s="12"/>
      <c r="R2193" s="192" t="str">
        <f>CONCATENATE(N2193,P2193)</f>
        <v>1pieces</v>
      </c>
      <c r="S2193" s="198">
        <f>M2193*N2193</f>
        <v>3</v>
      </c>
      <c r="T2193" s="199" t="str">
        <f>CONCATENATE(S2193,Q2193,P2193)</f>
        <v>3pieces</v>
      </c>
      <c r="U2193" s="200">
        <f>L2193*M2193</f>
        <v>75</v>
      </c>
      <c r="V2193" s="12"/>
      <c r="W2193" s="12"/>
    </row>
    <row r="2194" spans="1:23" x14ac:dyDescent="0.3">
      <c r="A2194" s="193">
        <v>851</v>
      </c>
      <c r="B2194" s="244" t="s">
        <v>793</v>
      </c>
      <c r="C2194" s="487"/>
      <c r="D2194" s="485" t="str">
        <f ca="1">IFERROR(__xludf.DUMMYFUNCTION("IF(J588="""",""n/a"",IFERROR(SPLIT(J588,""/"")))"),"Hermano")</f>
        <v>Hermano</v>
      </c>
      <c r="E2194" s="485" t="str">
        <f ca="1">IFERROR(__xludf.DUMMYFUNCTION("""COMPUTED_VALUE"""),"pack")</f>
        <v>pack</v>
      </c>
      <c r="F2194" s="485" t="str">
        <f ca="1">IFERROR(__xludf.DUMMYFUNCTION("""COMPUTED_VALUE"""),"1000grams")</f>
        <v>1000grams</v>
      </c>
      <c r="G2194" s="487"/>
      <c r="H2194" s="206" t="s">
        <v>1898</v>
      </c>
      <c r="I2194" s="487"/>
      <c r="J2194" s="46" t="s">
        <v>82</v>
      </c>
      <c r="K2194" s="487"/>
      <c r="L2194" s="241">
        <v>0.09</v>
      </c>
      <c r="M2194" s="390">
        <v>37000</v>
      </c>
      <c r="N2194" s="260">
        <v>1000</v>
      </c>
      <c r="O2194" s="249" t="str">
        <f ca="1">E2194</f>
        <v>pack</v>
      </c>
      <c r="P2194" s="249" t="s">
        <v>39</v>
      </c>
      <c r="Q2194" s="12"/>
      <c r="R2194" s="192" t="str">
        <f>CONCATENATE(N2194,P2194)</f>
        <v>1000grams</v>
      </c>
      <c r="S2194" s="198">
        <f>M2194*N2194</f>
        <v>37000000</v>
      </c>
      <c r="T2194" s="199" t="str">
        <f>CONCATENATE(S2194,Q2194,P2194)</f>
        <v>37000000grams</v>
      </c>
      <c r="U2194" s="200">
        <f>L2194*M2194</f>
        <v>3330</v>
      </c>
      <c r="V2194" s="12"/>
      <c r="W2194" s="12"/>
    </row>
    <row r="2195" spans="1:23" x14ac:dyDescent="0.3">
      <c r="A2195" s="193">
        <v>852</v>
      </c>
      <c r="B2195" s="244" t="s">
        <v>794</v>
      </c>
      <c r="C2195" s="487"/>
      <c r="D2195" s="485" t="str">
        <f ca="1">IFERROR(__xludf.DUMMYFUNCTION("IF(J589="""",""n/a"",IFERROR(SPLIT(J589,""/"")))"),"Cilgar")</f>
        <v>Cilgar</v>
      </c>
      <c r="E2195" s="485" t="str">
        <f ca="1">IFERROR(__xludf.DUMMYFUNCTION("""COMPUTED_VALUE"""),"pack (pcsx1gram)")</f>
        <v>pack (pcsx1gram)</v>
      </c>
      <c r="F2195" s="487"/>
      <c r="G2195" s="487"/>
      <c r="H2195" s="183" t="s">
        <v>1897</v>
      </c>
      <c r="I2195" s="487"/>
      <c r="J2195" s="46" t="s">
        <v>795</v>
      </c>
      <c r="K2195" s="487"/>
      <c r="L2195" s="195">
        <v>1.3</v>
      </c>
      <c r="M2195" s="271">
        <v>305</v>
      </c>
      <c r="N2195" s="203">
        <v>1</v>
      </c>
      <c r="O2195" s="249" t="str">
        <f ca="1">E2195</f>
        <v>pack (pcsx1gram)</v>
      </c>
      <c r="P2195" s="249" t="s">
        <v>92</v>
      </c>
      <c r="Q2195" s="12"/>
      <c r="R2195" s="192" t="str">
        <f>CONCATENATE(N2195,P2195)</f>
        <v>1pieces</v>
      </c>
      <c r="S2195" s="198">
        <f>M2195*N2195</f>
        <v>305</v>
      </c>
      <c r="T2195" s="199" t="str">
        <f>CONCATENATE(S2195,Q2195,P2195)</f>
        <v>305pieces</v>
      </c>
      <c r="U2195" s="200">
        <f>L2195*M2195</f>
        <v>396.5</v>
      </c>
      <c r="V2195" s="205"/>
      <c r="W2195" s="62"/>
    </row>
    <row r="2196" spans="1:23" x14ac:dyDescent="0.3">
      <c r="A2196" s="193">
        <v>853</v>
      </c>
      <c r="B2196" s="244" t="s">
        <v>81</v>
      </c>
      <c r="C2196" s="487"/>
      <c r="D2196" s="485" t="str">
        <f ca="1">IFERROR(__xludf.DUMMYFUNCTION("IF(J590="""",""n/a"",IFERROR(SPLIT(J590,""/"")))"),"Hermano")</f>
        <v>Hermano</v>
      </c>
      <c r="E2196" s="485" t="str">
        <f ca="1">IFERROR(__xludf.DUMMYFUNCTION("""COMPUTED_VALUE"""),"pack")</f>
        <v>pack</v>
      </c>
      <c r="F2196" s="485" t="str">
        <f ca="1">IFERROR(__xludf.DUMMYFUNCTION("""COMPUTED_VALUE"""),"1000grams")</f>
        <v>1000grams</v>
      </c>
      <c r="G2196" s="487"/>
      <c r="H2196" s="183" t="s">
        <v>1895</v>
      </c>
      <c r="I2196" s="487"/>
      <c r="J2196" s="47" t="s">
        <v>82</v>
      </c>
      <c r="K2196" s="487"/>
      <c r="L2196" s="254">
        <v>79.09</v>
      </c>
      <c r="M2196" s="255">
        <v>8</v>
      </c>
      <c r="N2196" s="100">
        <v>1000</v>
      </c>
      <c r="O2196" s="240" t="str">
        <f ca="1">E2196</f>
        <v>pack</v>
      </c>
      <c r="P2196" s="240" t="s">
        <v>39</v>
      </c>
      <c r="Q2196" s="12"/>
      <c r="R2196" s="192" t="str">
        <f>CONCATENATE(N2196,P2196)</f>
        <v>1000grams</v>
      </c>
      <c r="S2196" s="198">
        <f>M2196*N2196</f>
        <v>8000</v>
      </c>
      <c r="T2196" s="199" t="str">
        <f>CONCATENATE(S2196,Q2196,P2196)</f>
        <v>8000grams</v>
      </c>
      <c r="U2196" s="200">
        <f>L2196*M2196</f>
        <v>632.72</v>
      </c>
      <c r="V2196" s="12"/>
      <c r="W2196" s="12"/>
    </row>
    <row r="2197" spans="1:23" x14ac:dyDescent="0.3">
      <c r="A2197" s="193">
        <v>853</v>
      </c>
      <c r="B2197" s="244" t="s">
        <v>81</v>
      </c>
      <c r="C2197" s="487"/>
      <c r="D2197" s="485" t="str">
        <f ca="1">IFERROR(__xludf.DUMMYFUNCTION("IF(J591="""",""n/a"",IFERROR(SPLIT(J591,""/"")))"),"Hermano")</f>
        <v>Hermano</v>
      </c>
      <c r="E2197" s="485" t="str">
        <f ca="1">IFERROR(__xludf.DUMMYFUNCTION("""COMPUTED_VALUE"""),"pack")</f>
        <v>pack</v>
      </c>
      <c r="F2197" s="485" t="str">
        <f ca="1">IFERROR(__xludf.DUMMYFUNCTION("""COMPUTED_VALUE"""),"1000grams")</f>
        <v>1000grams</v>
      </c>
      <c r="G2197" s="487"/>
      <c r="H2197" s="206" t="s">
        <v>1898</v>
      </c>
      <c r="I2197" s="487"/>
      <c r="J2197" s="96" t="s">
        <v>82</v>
      </c>
      <c r="K2197" s="487"/>
      <c r="L2197" s="255">
        <v>0.08</v>
      </c>
      <c r="M2197" s="389">
        <v>38000</v>
      </c>
      <c r="N2197" s="250">
        <v>1000</v>
      </c>
      <c r="O2197" s="100" t="str">
        <f ca="1">E2197</f>
        <v>pack</v>
      </c>
      <c r="P2197" s="100" t="s">
        <v>39</v>
      </c>
      <c r="Q2197" s="12"/>
      <c r="R2197" s="192" t="str">
        <f>CONCATENATE(N2197,P2197)</f>
        <v>1000grams</v>
      </c>
      <c r="S2197" s="198">
        <f>M2197*N2197</f>
        <v>38000000</v>
      </c>
      <c r="T2197" s="199" t="str">
        <f>CONCATENATE(S2197,Q2197,P2197)</f>
        <v>38000000grams</v>
      </c>
      <c r="U2197" s="200">
        <f>L2197*M2197</f>
        <v>3040</v>
      </c>
      <c r="V2197" s="12"/>
      <c r="W2197" s="12"/>
    </row>
    <row r="2198" spans="1:23" x14ac:dyDescent="0.3">
      <c r="A2198" s="193">
        <v>853</v>
      </c>
      <c r="B2198" s="96" t="s">
        <v>81</v>
      </c>
      <c r="C2198" s="315"/>
      <c r="D2198" s="316"/>
      <c r="E2198" s="315"/>
      <c r="F2198" s="315"/>
      <c r="G2198" s="315"/>
      <c r="H2198" s="194" t="s">
        <v>29</v>
      </c>
      <c r="I2198" s="12"/>
      <c r="J2198" s="96" t="s">
        <v>1792</v>
      </c>
      <c r="K2198" s="12"/>
      <c r="L2198" s="255">
        <v>80.599999999999994</v>
      </c>
      <c r="M2198" s="255">
        <v>1</v>
      </c>
      <c r="N2198" s="333">
        <v>1</v>
      </c>
      <c r="O2198" s="96"/>
      <c r="P2198" s="96" t="s">
        <v>213</v>
      </c>
      <c r="Q2198" s="12"/>
      <c r="R2198" s="192" t="str">
        <f>CONCATENATE(N2198,P2198)</f>
        <v>1kilos</v>
      </c>
      <c r="S2198" s="198">
        <f>M2198*N2198</f>
        <v>1</v>
      </c>
      <c r="T2198" s="199" t="str">
        <f>CONCATENATE(S2198,Q2198,P2198)</f>
        <v>1kilos</v>
      </c>
      <c r="U2198" s="200">
        <f>L2198*M2198</f>
        <v>80.599999999999994</v>
      </c>
      <c r="V2198" s="12"/>
      <c r="W2198" s="12"/>
    </row>
    <row r="2199" spans="1:23" x14ac:dyDescent="0.3">
      <c r="A2199" s="193">
        <v>853</v>
      </c>
      <c r="B2199" s="96" t="s">
        <v>81</v>
      </c>
      <c r="C2199" s="315"/>
      <c r="D2199" s="316"/>
      <c r="E2199" s="315"/>
      <c r="F2199" s="315"/>
      <c r="G2199" s="315"/>
      <c r="H2199" s="194" t="s">
        <v>2024</v>
      </c>
      <c r="I2199" s="12"/>
      <c r="J2199" s="96" t="s">
        <v>1792</v>
      </c>
      <c r="K2199" s="12"/>
      <c r="L2199" s="255">
        <v>42.8</v>
      </c>
      <c r="M2199" s="255">
        <v>53</v>
      </c>
      <c r="N2199" s="333">
        <v>500</v>
      </c>
      <c r="O2199" s="518"/>
      <c r="P2199" s="518" t="s">
        <v>39</v>
      </c>
      <c r="Q2199" s="12"/>
      <c r="R2199" s="192" t="str">
        <f>CONCATENATE(N2199,P2199)</f>
        <v>500grams</v>
      </c>
      <c r="S2199" s="198">
        <f>M2199*N2199</f>
        <v>26500</v>
      </c>
      <c r="T2199" s="199" t="str">
        <f>CONCATENATE(S2199,Q2199,P2199)</f>
        <v>26500grams</v>
      </c>
      <c r="U2199" s="200">
        <f>L2199*M2199</f>
        <v>2268.3999999999996</v>
      </c>
      <c r="V2199" s="12"/>
      <c r="W2199" s="12"/>
    </row>
    <row r="2200" spans="1:23" x14ac:dyDescent="0.3">
      <c r="A2200" s="193">
        <v>853</v>
      </c>
      <c r="B2200" s="96" t="s">
        <v>81</v>
      </c>
      <c r="C2200" s="315"/>
      <c r="D2200" s="316"/>
      <c r="E2200" s="315"/>
      <c r="F2200" s="315"/>
      <c r="G2200" s="315"/>
      <c r="H2200" s="194" t="s">
        <v>2025</v>
      </c>
      <c r="I2200" s="12"/>
      <c r="J2200" s="96" t="s">
        <v>1792</v>
      </c>
      <c r="K2200" s="12"/>
      <c r="L2200" s="255">
        <v>82.8</v>
      </c>
      <c r="M2200" s="255">
        <v>21</v>
      </c>
      <c r="N2200" s="333">
        <v>1</v>
      </c>
      <c r="O2200" s="96"/>
      <c r="P2200" s="96" t="s">
        <v>213</v>
      </c>
      <c r="Q2200" s="12"/>
      <c r="R2200" s="192" t="str">
        <f>CONCATENATE(N2200,P2200)</f>
        <v>1kilos</v>
      </c>
      <c r="S2200" s="198">
        <f>M2200*N2200</f>
        <v>21</v>
      </c>
      <c r="T2200" s="199" t="str">
        <f>CONCATENATE(S2200,Q2200,P2200)</f>
        <v>21kilos</v>
      </c>
      <c r="U2200" s="200">
        <f>L2200*M2200</f>
        <v>1738.8</v>
      </c>
      <c r="V2200" s="12"/>
      <c r="W2200" s="12"/>
    </row>
    <row r="2201" spans="1:23" x14ac:dyDescent="0.3">
      <c r="A2201" s="193">
        <v>853</v>
      </c>
      <c r="B2201" s="96" t="s">
        <v>81</v>
      </c>
      <c r="C2201" s="315"/>
      <c r="D2201" s="316"/>
      <c r="E2201" s="315"/>
      <c r="F2201" s="315"/>
      <c r="G2201" s="315"/>
      <c r="H2201" s="194" t="s">
        <v>2026</v>
      </c>
      <c r="I2201" s="12"/>
      <c r="J2201" s="96" t="s">
        <v>1792</v>
      </c>
      <c r="K2201" s="12"/>
      <c r="L2201" s="255">
        <v>80.599999999999994</v>
      </c>
      <c r="M2201" s="255">
        <v>12</v>
      </c>
      <c r="N2201" s="333">
        <v>1</v>
      </c>
      <c r="O2201" s="96"/>
      <c r="P2201" s="96" t="s">
        <v>213</v>
      </c>
      <c r="Q2201" s="12"/>
      <c r="R2201" s="192" t="str">
        <f>CONCATENATE(N2201,P2201)</f>
        <v>1kilos</v>
      </c>
      <c r="S2201" s="198">
        <f>M2201*N2201</f>
        <v>12</v>
      </c>
      <c r="T2201" s="199" t="str">
        <f>CONCATENATE(S2201,Q2201,P2201)</f>
        <v>12kilos</v>
      </c>
      <c r="U2201" s="200">
        <f>L2201*M2201</f>
        <v>967.19999999999993</v>
      </c>
      <c r="V2201" s="12"/>
      <c r="W2201" s="12"/>
    </row>
    <row r="2202" spans="1:23" x14ac:dyDescent="0.3">
      <c r="A2202" s="193">
        <v>853</v>
      </c>
      <c r="B2202" s="96" t="s">
        <v>81</v>
      </c>
      <c r="C2202" s="315"/>
      <c r="D2202" s="316"/>
      <c r="E2202" s="315"/>
      <c r="F2202" s="315"/>
      <c r="G2202" s="315"/>
      <c r="H2202" s="194" t="s">
        <v>1368</v>
      </c>
      <c r="I2202" s="12"/>
      <c r="J2202" s="96" t="s">
        <v>1793</v>
      </c>
      <c r="K2202" s="12"/>
      <c r="L2202" s="255">
        <v>68</v>
      </c>
      <c r="M2202" s="255">
        <v>36</v>
      </c>
      <c r="N2202" s="333">
        <v>1</v>
      </c>
      <c r="O2202" s="96"/>
      <c r="P2202" s="96" t="s">
        <v>213</v>
      </c>
      <c r="Q2202" s="12"/>
      <c r="R2202" s="192" t="str">
        <f>CONCATENATE(N2202,P2202)</f>
        <v>1kilos</v>
      </c>
      <c r="S2202" s="198">
        <f>M2202*N2202</f>
        <v>36</v>
      </c>
      <c r="T2202" s="199" t="str">
        <f>CONCATENATE(S2202,Q2202,P2202)</f>
        <v>36kilos</v>
      </c>
      <c r="U2202" s="200">
        <f>L2202*M2202</f>
        <v>2448</v>
      </c>
      <c r="V2202" s="12"/>
      <c r="W2202" s="12"/>
    </row>
    <row r="2203" spans="1:23" x14ac:dyDescent="0.3">
      <c r="A2203" s="193">
        <v>853</v>
      </c>
      <c r="B2203" s="96" t="s">
        <v>81</v>
      </c>
      <c r="C2203" s="315"/>
      <c r="D2203" s="316"/>
      <c r="E2203" s="315"/>
      <c r="F2203" s="315"/>
      <c r="G2203" s="315"/>
      <c r="H2203" s="194" t="s">
        <v>2023</v>
      </c>
      <c r="I2203" s="12"/>
      <c r="J2203" s="96" t="s">
        <v>1792</v>
      </c>
      <c r="K2203" s="12"/>
      <c r="L2203" s="255">
        <v>86.2</v>
      </c>
      <c r="M2203" s="255">
        <v>25</v>
      </c>
      <c r="N2203" s="333">
        <v>1</v>
      </c>
      <c r="O2203" s="96"/>
      <c r="P2203" s="96" t="s">
        <v>213</v>
      </c>
      <c r="Q2203" s="12"/>
      <c r="R2203" s="192" t="str">
        <f>CONCATENATE(N2203,P2203)</f>
        <v>1kilos</v>
      </c>
      <c r="S2203" s="198">
        <f>M2203*N2203</f>
        <v>25</v>
      </c>
      <c r="T2203" s="199" t="str">
        <f>CONCATENATE(S2203,Q2203,P2203)</f>
        <v>25kilos</v>
      </c>
      <c r="U2203" s="200">
        <f>L2203*M2203</f>
        <v>2155</v>
      </c>
      <c r="V2203" s="12"/>
      <c r="W2203" s="12"/>
    </row>
    <row r="2204" spans="1:23" x14ac:dyDescent="0.3">
      <c r="A2204" s="193">
        <v>853</v>
      </c>
      <c r="B2204" s="219" t="s">
        <v>81</v>
      </c>
      <c r="C2204" s="315"/>
      <c r="D2204" s="316"/>
      <c r="E2204" s="315"/>
      <c r="F2204" s="315"/>
      <c r="G2204" s="315"/>
      <c r="H2204" s="194" t="s">
        <v>2021</v>
      </c>
      <c r="I2204" s="12"/>
      <c r="J2204" s="253"/>
      <c r="K2204" s="12"/>
      <c r="L2204" s="285">
        <v>76</v>
      </c>
      <c r="M2204" s="285">
        <v>18</v>
      </c>
      <c r="N2204" s="333">
        <v>1</v>
      </c>
      <c r="O2204" s="96"/>
      <c r="P2204" s="96" t="s">
        <v>213</v>
      </c>
      <c r="Q2204" s="12"/>
      <c r="R2204" s="192" t="str">
        <f>CONCATENATE(N2204,P2204)</f>
        <v>1kilos</v>
      </c>
      <c r="S2204" s="198">
        <f>M2204*N2204</f>
        <v>18</v>
      </c>
      <c r="T2204" s="199" t="str">
        <f>CONCATENATE(S2204,Q2204,P2204)</f>
        <v>18kilos</v>
      </c>
      <c r="U2204" s="200">
        <f>L2204*M2204</f>
        <v>1368</v>
      </c>
      <c r="V2204" s="12"/>
      <c r="W2204" s="12"/>
    </row>
    <row r="2205" spans="1:23" x14ac:dyDescent="0.3">
      <c r="A2205" s="193">
        <v>853</v>
      </c>
      <c r="B2205" s="96" t="s">
        <v>81</v>
      </c>
      <c r="C2205" s="315"/>
      <c r="D2205" s="316"/>
      <c r="E2205" s="315"/>
      <c r="F2205" s="315"/>
      <c r="G2205" s="315"/>
      <c r="H2205" s="194" t="s">
        <v>2020</v>
      </c>
      <c r="I2205" s="12"/>
      <c r="J2205" s="96" t="s">
        <v>1792</v>
      </c>
      <c r="K2205" s="12"/>
      <c r="L2205" s="255">
        <v>79.7</v>
      </c>
      <c r="M2205" s="255">
        <v>9</v>
      </c>
      <c r="N2205" s="333">
        <v>1</v>
      </c>
      <c r="O2205" s="96"/>
      <c r="P2205" s="96" t="s">
        <v>213</v>
      </c>
      <c r="Q2205" s="12"/>
      <c r="R2205" s="192" t="str">
        <f>CONCATENATE(N2205,P2205)</f>
        <v>1kilos</v>
      </c>
      <c r="S2205" s="198">
        <f>M2205*N2205</f>
        <v>9</v>
      </c>
      <c r="T2205" s="199" t="str">
        <f>CONCATENATE(S2205,Q2205,P2205)</f>
        <v>9kilos</v>
      </c>
      <c r="U2205" s="200">
        <f>L2205*M2205</f>
        <v>717.30000000000007</v>
      </c>
      <c r="V2205" s="12"/>
      <c r="W2205" s="12"/>
    </row>
    <row r="2206" spans="1:23" x14ac:dyDescent="0.3">
      <c r="A2206" s="193">
        <v>853</v>
      </c>
      <c r="B2206" s="344" t="s">
        <v>81</v>
      </c>
      <c r="C2206" s="315"/>
      <c r="D2206" s="316"/>
      <c r="E2206" s="315"/>
      <c r="F2206" s="315"/>
      <c r="G2206" s="315"/>
      <c r="H2206" s="194" t="s">
        <v>2024</v>
      </c>
      <c r="I2206" s="12"/>
      <c r="J2206" s="344" t="s">
        <v>1792</v>
      </c>
      <c r="K2206" s="12"/>
      <c r="L2206" s="259">
        <v>80.599999999999994</v>
      </c>
      <c r="M2206" s="259">
        <v>40</v>
      </c>
      <c r="N2206" s="338">
        <v>1</v>
      </c>
      <c r="O2206" s="96"/>
      <c r="P2206" s="96" t="s">
        <v>213</v>
      </c>
      <c r="Q2206" s="12"/>
      <c r="R2206" s="192" t="str">
        <f>CONCATENATE(N2206,P2206)</f>
        <v>1kilos</v>
      </c>
      <c r="S2206" s="198">
        <f>M2206*N2206</f>
        <v>40</v>
      </c>
      <c r="T2206" s="199" t="str">
        <f>CONCATENATE(S2206,Q2206,P2206)</f>
        <v>40kilos</v>
      </c>
      <c r="U2206" s="200">
        <f>L2206*M2206</f>
        <v>3224</v>
      </c>
      <c r="V2206" s="12"/>
      <c r="W2206" s="12"/>
    </row>
    <row r="2207" spans="1:23" x14ac:dyDescent="0.3">
      <c r="A2207" s="193">
        <v>854</v>
      </c>
      <c r="B2207" s="194" t="s">
        <v>796</v>
      </c>
      <c r="C2207" s="487"/>
      <c r="D2207" s="485" t="str">
        <f ca="1">IFERROR(__xludf.DUMMYFUNCTION("IF(J592="""",""n/a"",IFERROR(SPLIT(J592,""/"")))"),"My Everyday")</f>
        <v>My Everyday</v>
      </c>
      <c r="E2207" s="485" t="str">
        <f ca="1">IFERROR(__xludf.DUMMYFUNCTION("""COMPUTED_VALUE"""),"sachet")</f>
        <v>sachet</v>
      </c>
      <c r="F2207" s="485" t="str">
        <f ca="1">IFERROR(__xludf.DUMMYFUNCTION("""COMPUTED_VALUE"""),"5grams")</f>
        <v>5grams</v>
      </c>
      <c r="G2207" s="487"/>
      <c r="H2207" s="206" t="s">
        <v>1898</v>
      </c>
      <c r="I2207" s="487"/>
      <c r="J2207" s="46" t="s">
        <v>797</v>
      </c>
      <c r="K2207" s="487"/>
      <c r="L2207" s="197">
        <v>0.24</v>
      </c>
      <c r="M2207" s="386">
        <v>2250</v>
      </c>
      <c r="N2207" s="208">
        <v>5</v>
      </c>
      <c r="O2207" s="100" t="str">
        <f ca="1">E2207</f>
        <v>sachet</v>
      </c>
      <c r="P2207" s="100" t="s">
        <v>39</v>
      </c>
      <c r="Q2207" s="12"/>
      <c r="R2207" s="192" t="str">
        <f>CONCATENATE(N2207,P2207)</f>
        <v>5grams</v>
      </c>
      <c r="S2207" s="198">
        <f>M2207*N2207</f>
        <v>11250</v>
      </c>
      <c r="T2207" s="199" t="str">
        <f>CONCATENATE(S2207,Q2207,P2207)</f>
        <v>11250grams</v>
      </c>
      <c r="U2207" s="200">
        <f>L2207*M2207</f>
        <v>540</v>
      </c>
      <c r="V2207" s="12"/>
      <c r="W2207" s="12"/>
    </row>
    <row r="2208" spans="1:23" x14ac:dyDescent="0.3">
      <c r="A2208" s="193">
        <v>855</v>
      </c>
      <c r="B2208" s="194" t="s">
        <v>798</v>
      </c>
      <c r="C2208" s="487"/>
      <c r="D2208" s="485" t="str">
        <f ca="1">IFERROR(__xludf.DUMMYFUNCTION("IF(J593="""",""n/a"",IFERROR(SPLIT(J593,""/"")))"),"Injoy")</f>
        <v>Injoy</v>
      </c>
      <c r="E2208" s="485" t="str">
        <f ca="1">IFERROR(__xludf.DUMMYFUNCTION("""COMPUTED_VALUE"""),"pack")</f>
        <v>pack</v>
      </c>
      <c r="F2208" s="485" t="str">
        <f ca="1">IFERROR(__xludf.DUMMYFUNCTION("""COMPUTED_VALUE"""),"200grams")</f>
        <v>200grams</v>
      </c>
      <c r="G2208" s="487"/>
      <c r="H2208" s="206" t="s">
        <v>1898</v>
      </c>
      <c r="I2208" s="487"/>
      <c r="J2208" s="46" t="s">
        <v>799</v>
      </c>
      <c r="K2208" s="487"/>
      <c r="L2208" s="197">
        <v>0.19</v>
      </c>
      <c r="M2208" s="386">
        <v>200</v>
      </c>
      <c r="N2208" s="208">
        <v>200</v>
      </c>
      <c r="O2208" s="100" t="str">
        <f ca="1">E2208</f>
        <v>pack</v>
      </c>
      <c r="P2208" s="100" t="s">
        <v>39</v>
      </c>
      <c r="Q2208" s="12"/>
      <c r="R2208" s="192" t="str">
        <f>CONCATENATE(N2208,P2208)</f>
        <v>200grams</v>
      </c>
      <c r="S2208" s="198">
        <f>M2208*N2208</f>
        <v>40000</v>
      </c>
      <c r="T2208" s="199" t="str">
        <f>CONCATENATE(S2208,Q2208,P2208)</f>
        <v>40000grams</v>
      </c>
      <c r="U2208" s="200">
        <f>L2208*M2208</f>
        <v>38</v>
      </c>
      <c r="V2208" s="12"/>
      <c r="W2208" s="12"/>
    </row>
    <row r="2209" spans="1:23" x14ac:dyDescent="0.3">
      <c r="A2209" s="193">
        <v>856</v>
      </c>
      <c r="B2209" s="46" t="s">
        <v>1794</v>
      </c>
      <c r="C2209" s="315"/>
      <c r="D2209" s="316"/>
      <c r="E2209" s="315"/>
      <c r="F2209" s="315"/>
      <c r="G2209" s="315"/>
      <c r="H2209" s="194" t="s">
        <v>2024</v>
      </c>
      <c r="I2209" s="12"/>
      <c r="J2209" s="46" t="s">
        <v>1795</v>
      </c>
      <c r="K2209" s="12"/>
      <c r="L2209" s="197">
        <v>22</v>
      </c>
      <c r="M2209" s="197">
        <v>5</v>
      </c>
      <c r="N2209" s="290">
        <v>1</v>
      </c>
      <c r="O2209" s="518"/>
      <c r="P2209" s="518" t="s">
        <v>39</v>
      </c>
      <c r="Q2209" s="12"/>
      <c r="R2209" s="192" t="str">
        <f>CONCATENATE(N2209,P2209)</f>
        <v>1grams</v>
      </c>
      <c r="S2209" s="198">
        <f>M2209*N2209</f>
        <v>5</v>
      </c>
      <c r="T2209" s="199" t="str">
        <f>CONCATENATE(S2209,Q2209,P2209)</f>
        <v>5grams</v>
      </c>
      <c r="U2209" s="200">
        <f>L2209*M2209</f>
        <v>110</v>
      </c>
      <c r="V2209" s="12"/>
      <c r="W2209" s="12"/>
    </row>
    <row r="2210" spans="1:23" x14ac:dyDescent="0.3">
      <c r="A2210" s="193">
        <v>856</v>
      </c>
      <c r="B2210" s="46" t="s">
        <v>1794</v>
      </c>
      <c r="C2210" s="315"/>
      <c r="D2210" s="316"/>
      <c r="E2210" s="315"/>
      <c r="F2210" s="315"/>
      <c r="G2210" s="315"/>
      <c r="H2210" s="194" t="s">
        <v>2026</v>
      </c>
      <c r="I2210" s="12"/>
      <c r="J2210" s="46" t="s">
        <v>1796</v>
      </c>
      <c r="K2210" s="12"/>
      <c r="L2210" s="197">
        <v>75</v>
      </c>
      <c r="M2210" s="197">
        <v>9</v>
      </c>
      <c r="N2210" s="290">
        <v>50</v>
      </c>
      <c r="O2210" s="518"/>
      <c r="P2210" s="518" t="s">
        <v>92</v>
      </c>
      <c r="Q2210" s="12"/>
      <c r="R2210" s="192" t="str">
        <f>CONCATENATE(N2210,P2210)</f>
        <v>50pieces</v>
      </c>
      <c r="S2210" s="198">
        <f>M2210*N2210</f>
        <v>450</v>
      </c>
      <c r="T2210" s="199" t="str">
        <f>CONCATENATE(S2210,Q2210,P2210)</f>
        <v>450pieces</v>
      </c>
      <c r="U2210" s="200">
        <f>L2210*M2210</f>
        <v>675</v>
      </c>
      <c r="V2210" s="12"/>
      <c r="W2210" s="12"/>
    </row>
    <row r="2211" spans="1:23" x14ac:dyDescent="0.3">
      <c r="A2211" s="193">
        <v>856</v>
      </c>
      <c r="B2211" s="46" t="s">
        <v>1794</v>
      </c>
      <c r="C2211" s="315"/>
      <c r="D2211" s="316"/>
      <c r="E2211" s="315"/>
      <c r="F2211" s="315"/>
      <c r="G2211" s="315"/>
      <c r="H2211" s="194" t="s">
        <v>2023</v>
      </c>
      <c r="I2211" s="12"/>
      <c r="J2211" s="46" t="s">
        <v>1796</v>
      </c>
      <c r="K2211" s="12"/>
      <c r="L2211" s="197">
        <v>1.5</v>
      </c>
      <c r="M2211" s="197">
        <v>10</v>
      </c>
      <c r="N2211" s="333">
        <v>50</v>
      </c>
      <c r="O2211" s="297"/>
      <c r="P2211" s="297" t="s">
        <v>92</v>
      </c>
      <c r="Q2211" s="12"/>
      <c r="R2211" s="192" t="str">
        <f>CONCATENATE(N2211,P2211)</f>
        <v>50pieces</v>
      </c>
      <c r="S2211" s="198">
        <f>M2211*N2211</f>
        <v>500</v>
      </c>
      <c r="T2211" s="199" t="str">
        <f>CONCATENATE(S2211,Q2211,P2211)</f>
        <v>500pieces</v>
      </c>
      <c r="U2211" s="200">
        <f>L2211*M2211</f>
        <v>15</v>
      </c>
      <c r="V2211" s="12"/>
      <c r="W2211" s="12"/>
    </row>
    <row r="2212" spans="1:23" x14ac:dyDescent="0.3">
      <c r="A2212" s="193">
        <v>856</v>
      </c>
      <c r="B2212" s="46" t="s">
        <v>1794</v>
      </c>
      <c r="C2212" s="315"/>
      <c r="D2212" s="316"/>
      <c r="E2212" s="315"/>
      <c r="F2212" s="315"/>
      <c r="G2212" s="315"/>
      <c r="H2212" s="194" t="s">
        <v>2023</v>
      </c>
      <c r="I2212" s="12"/>
      <c r="J2212" s="46" t="s">
        <v>1797</v>
      </c>
      <c r="K2212" s="12"/>
      <c r="L2212" s="255">
        <v>1.65</v>
      </c>
      <c r="M2212" s="255">
        <v>978</v>
      </c>
      <c r="N2212" s="333">
        <v>5</v>
      </c>
      <c r="O2212" s="516"/>
      <c r="P2212" s="516" t="s">
        <v>39</v>
      </c>
      <c r="Q2212" s="12"/>
      <c r="R2212" s="192" t="str">
        <f>CONCATENATE(N2212,P2212)</f>
        <v>5grams</v>
      </c>
      <c r="S2212" s="198">
        <f>M2212*N2212</f>
        <v>4890</v>
      </c>
      <c r="T2212" s="199" t="str">
        <f>CONCATENATE(S2212,Q2212,P2212)</f>
        <v>4890grams</v>
      </c>
      <c r="U2212" s="200">
        <f>L2212*M2212</f>
        <v>1613.6999999999998</v>
      </c>
      <c r="V2212" s="12"/>
      <c r="W2212" s="12"/>
    </row>
    <row r="2213" spans="1:23" x14ac:dyDescent="0.3">
      <c r="A2213" s="193">
        <v>856</v>
      </c>
      <c r="B2213" s="46" t="s">
        <v>1794</v>
      </c>
      <c r="C2213" s="315"/>
      <c r="D2213" s="316"/>
      <c r="E2213" s="315"/>
      <c r="F2213" s="315"/>
      <c r="G2213" s="315"/>
      <c r="H2213" s="194" t="s">
        <v>2022</v>
      </c>
      <c r="I2213" s="12"/>
      <c r="J2213" s="46" t="s">
        <v>1798</v>
      </c>
      <c r="K2213" s="12"/>
      <c r="L2213" s="255">
        <v>1.06</v>
      </c>
      <c r="M2213" s="255">
        <v>1500</v>
      </c>
      <c r="N2213" s="333">
        <v>5</v>
      </c>
      <c r="O2213" s="516"/>
      <c r="P2213" s="516" t="s">
        <v>39</v>
      </c>
      <c r="Q2213" s="12"/>
      <c r="R2213" s="192" t="str">
        <f>CONCATENATE(N2213,P2213)</f>
        <v>5grams</v>
      </c>
      <c r="S2213" s="198">
        <f>M2213*N2213</f>
        <v>7500</v>
      </c>
      <c r="T2213" s="199" t="str">
        <f>CONCATENATE(S2213,Q2213,P2213)</f>
        <v>7500grams</v>
      </c>
      <c r="U2213" s="200">
        <f>L2213*M2213</f>
        <v>1590</v>
      </c>
      <c r="V2213" s="12"/>
      <c r="W2213" s="12"/>
    </row>
    <row r="2214" spans="1:23" x14ac:dyDescent="0.3">
      <c r="A2214" s="193">
        <v>856</v>
      </c>
      <c r="B2214" s="219" t="s">
        <v>1794</v>
      </c>
      <c r="C2214" s="315"/>
      <c r="D2214" s="316"/>
      <c r="E2214" s="315"/>
      <c r="F2214" s="315"/>
      <c r="G2214" s="315"/>
      <c r="H2214" s="194" t="s">
        <v>2021</v>
      </c>
      <c r="I2214" s="12"/>
      <c r="J2214" s="219" t="s">
        <v>1797</v>
      </c>
      <c r="K2214" s="12"/>
      <c r="L2214" s="285">
        <v>1.2</v>
      </c>
      <c r="M2214" s="285">
        <v>23</v>
      </c>
      <c r="N2214" s="336">
        <v>5</v>
      </c>
      <c r="O2214" s="514"/>
      <c r="P2214" s="514" t="s">
        <v>39</v>
      </c>
      <c r="Q2214" s="12"/>
      <c r="R2214" s="192" t="str">
        <f>CONCATENATE(N2214,P2214)</f>
        <v>5grams</v>
      </c>
      <c r="S2214" s="198">
        <f>M2214*N2214</f>
        <v>115</v>
      </c>
      <c r="T2214" s="199" t="str">
        <f>CONCATENATE(S2214,Q2214,P2214)</f>
        <v>115grams</v>
      </c>
      <c r="U2214" s="200">
        <f>L2214*M2214</f>
        <v>27.599999999999998</v>
      </c>
      <c r="V2214" s="12"/>
      <c r="W2214" s="12"/>
    </row>
    <row r="2215" spans="1:23" x14ac:dyDescent="0.3">
      <c r="A2215" s="193">
        <v>857</v>
      </c>
      <c r="B2215" s="194" t="s">
        <v>83</v>
      </c>
      <c r="C2215" s="487"/>
      <c r="D2215" s="485" t="str">
        <f ca="1">IFERROR(__xludf.DUMMYFUNCTION("IF(J594="""",""n/a"",IFERROR(SPLIT(J594,""/"")))"),"Hermano")</f>
        <v>Hermano</v>
      </c>
      <c r="E2215" s="485" t="str">
        <f ca="1">IFERROR(__xludf.DUMMYFUNCTION("""COMPUTED_VALUE"""),"pack")</f>
        <v>pack</v>
      </c>
      <c r="F2215" s="485" t="str">
        <f ca="1">IFERROR(__xludf.DUMMYFUNCTION("""COMPUTED_VALUE"""),"1000grams")</f>
        <v>1000grams</v>
      </c>
      <c r="G2215" s="487"/>
      <c r="H2215" s="183" t="s">
        <v>1895</v>
      </c>
      <c r="I2215" s="487"/>
      <c r="J2215" s="46" t="s">
        <v>82</v>
      </c>
      <c r="K2215" s="487"/>
      <c r="L2215" s="254">
        <v>80.319999999999993</v>
      </c>
      <c r="M2215" s="255">
        <v>71</v>
      </c>
      <c r="N2215" s="100">
        <v>1000</v>
      </c>
      <c r="O2215" s="240" t="str">
        <f ca="1">E2215</f>
        <v>pack</v>
      </c>
      <c r="P2215" s="240" t="s">
        <v>39</v>
      </c>
      <c r="Q2215" s="12"/>
      <c r="R2215" s="192" t="str">
        <f>CONCATENATE(N2215,P2215)</f>
        <v>1000grams</v>
      </c>
      <c r="S2215" s="198">
        <f>M2215*N2215</f>
        <v>71000</v>
      </c>
      <c r="T2215" s="199" t="str">
        <f>CONCATENATE(S2215,Q2215,P2215)</f>
        <v>71000grams</v>
      </c>
      <c r="U2215" s="200">
        <f>L2215*M2215</f>
        <v>5702.7199999999993</v>
      </c>
      <c r="V2215" s="12"/>
      <c r="W2215" s="12"/>
    </row>
    <row r="2216" spans="1:23" x14ac:dyDescent="0.3">
      <c r="A2216" s="193">
        <v>857</v>
      </c>
      <c r="B2216" s="46" t="s">
        <v>83</v>
      </c>
      <c r="C2216" s="315"/>
      <c r="D2216" s="316"/>
      <c r="E2216" s="315"/>
      <c r="F2216" s="315"/>
      <c r="G2216" s="315"/>
      <c r="H2216" s="194" t="s">
        <v>2026</v>
      </c>
      <c r="I2216" s="12"/>
      <c r="J2216" s="46" t="s">
        <v>1792</v>
      </c>
      <c r="K2216" s="12"/>
      <c r="L2216" s="255">
        <v>86.2</v>
      </c>
      <c r="M2216" s="255">
        <v>5</v>
      </c>
      <c r="N2216" s="333">
        <v>1</v>
      </c>
      <c r="O2216" s="46"/>
      <c r="P2216" s="46" t="s">
        <v>213</v>
      </c>
      <c r="Q2216" s="12"/>
      <c r="R2216" s="192" t="str">
        <f>CONCATENATE(N2216,P2216)</f>
        <v>1kilos</v>
      </c>
      <c r="S2216" s="198">
        <f>M2216*N2216</f>
        <v>5</v>
      </c>
      <c r="T2216" s="199" t="str">
        <f>CONCATENATE(S2216,Q2216,P2216)</f>
        <v>5kilos</v>
      </c>
      <c r="U2216" s="200">
        <f>L2216*M2216</f>
        <v>431</v>
      </c>
      <c r="V2216" s="12"/>
      <c r="W2216" s="12"/>
    </row>
    <row r="2217" spans="1:23" x14ac:dyDescent="0.3">
      <c r="A2217" s="193">
        <v>857</v>
      </c>
      <c r="B2217" s="46" t="s">
        <v>83</v>
      </c>
      <c r="C2217" s="315"/>
      <c r="D2217" s="316"/>
      <c r="E2217" s="315"/>
      <c r="F2217" s="315"/>
      <c r="G2217" s="315"/>
      <c r="H2217" s="194" t="s">
        <v>2022</v>
      </c>
      <c r="I2217" s="12"/>
      <c r="J2217" s="46" t="s">
        <v>991</v>
      </c>
      <c r="K2217" s="12"/>
      <c r="L2217" s="255">
        <v>60</v>
      </c>
      <c r="M2217" s="255">
        <v>24</v>
      </c>
      <c r="N2217" s="333">
        <v>1</v>
      </c>
      <c r="O2217" s="46"/>
      <c r="P2217" s="46" t="s">
        <v>213</v>
      </c>
      <c r="Q2217" s="12"/>
      <c r="R2217" s="192" t="str">
        <f>CONCATENATE(N2217,P2217)</f>
        <v>1kilos</v>
      </c>
      <c r="S2217" s="198">
        <f>M2217*N2217</f>
        <v>24</v>
      </c>
      <c r="T2217" s="199" t="str">
        <f>CONCATENATE(S2217,Q2217,P2217)</f>
        <v>24kilos</v>
      </c>
      <c r="U2217" s="200">
        <f>L2217*M2217</f>
        <v>1440</v>
      </c>
      <c r="V2217" s="12"/>
      <c r="W2217" s="12"/>
    </row>
    <row r="2218" spans="1:23" x14ac:dyDescent="0.3">
      <c r="A2218" s="193">
        <v>857</v>
      </c>
      <c r="B2218" s="46" t="s">
        <v>83</v>
      </c>
      <c r="C2218" s="315"/>
      <c r="D2218" s="316"/>
      <c r="E2218" s="315"/>
      <c r="F2218" s="315"/>
      <c r="G2218" s="315"/>
      <c r="H2218" s="400" t="s">
        <v>2027</v>
      </c>
      <c r="I2218" s="12"/>
      <c r="J2218" s="96" t="s">
        <v>1792</v>
      </c>
      <c r="K2218" s="12"/>
      <c r="L2218" s="254">
        <v>82</v>
      </c>
      <c r="M2218" s="255">
        <v>17</v>
      </c>
      <c r="N2218" s="366">
        <v>1</v>
      </c>
      <c r="O2218" s="240"/>
      <c r="P2218" s="240" t="s">
        <v>213</v>
      </c>
      <c r="Q2218" s="12"/>
      <c r="R2218" s="192" t="str">
        <f>CONCATENATE(N2218,P2218)</f>
        <v>1kilos</v>
      </c>
      <c r="S2218" s="198">
        <f>M2218*N2218</f>
        <v>17</v>
      </c>
      <c r="T2218" s="199" t="str">
        <f>CONCATENATE(S2218,Q2218,P2218)</f>
        <v>17kilos</v>
      </c>
      <c r="U2218" s="200">
        <f>L2218*M2218</f>
        <v>1394</v>
      </c>
      <c r="V2218" s="12"/>
      <c r="W2218" s="12"/>
    </row>
    <row r="2219" spans="1:23" x14ac:dyDescent="0.3">
      <c r="A2219" s="193">
        <v>858</v>
      </c>
      <c r="B2219" s="194" t="s">
        <v>84</v>
      </c>
      <c r="C2219" s="487"/>
      <c r="D2219" s="485" t="str">
        <f ca="1">IFERROR(__xludf.DUMMYFUNCTION("IF(J595="""",""n/a"",IFERROR(SPLIT(J595,""/"")))"),"Hermano")</f>
        <v>Hermano</v>
      </c>
      <c r="E2219" s="485" t="str">
        <f ca="1">IFERROR(__xludf.DUMMYFUNCTION("""COMPUTED_VALUE"""),"pack")</f>
        <v>pack</v>
      </c>
      <c r="F2219" s="485" t="str">
        <f ca="1">IFERROR(__xludf.DUMMYFUNCTION("""COMPUTED_VALUE"""),"1000grams")</f>
        <v>1000grams</v>
      </c>
      <c r="G2219" s="487"/>
      <c r="H2219" s="183" t="s">
        <v>1895</v>
      </c>
      <c r="I2219" s="487"/>
      <c r="J2219" s="96" t="s">
        <v>82</v>
      </c>
      <c r="K2219" s="487"/>
      <c r="L2219" s="254">
        <v>84.44</v>
      </c>
      <c r="M2219" s="255">
        <v>22</v>
      </c>
      <c r="N2219" s="100">
        <v>1000</v>
      </c>
      <c r="O2219" s="240" t="str">
        <f ca="1">E2219</f>
        <v>pack</v>
      </c>
      <c r="P2219" s="240" t="s">
        <v>39</v>
      </c>
      <c r="Q2219" s="12"/>
      <c r="R2219" s="192" t="str">
        <f>CONCATENATE(N2219,P2219)</f>
        <v>1000grams</v>
      </c>
      <c r="S2219" s="198">
        <f>M2219*N2219</f>
        <v>22000</v>
      </c>
      <c r="T2219" s="199" t="str">
        <f>CONCATENATE(S2219,Q2219,P2219)</f>
        <v>22000grams</v>
      </c>
      <c r="U2219" s="200">
        <f>L2219*M2219</f>
        <v>1857.6799999999998</v>
      </c>
      <c r="V2219" s="12"/>
      <c r="W2219" s="12"/>
    </row>
    <row r="2220" spans="1:23" x14ac:dyDescent="0.3">
      <c r="A2220" s="193">
        <v>858</v>
      </c>
      <c r="B2220" s="46" t="s">
        <v>84</v>
      </c>
      <c r="C2220" s="315"/>
      <c r="D2220" s="316"/>
      <c r="E2220" s="315"/>
      <c r="F2220" s="315"/>
      <c r="G2220" s="315"/>
      <c r="H2220" s="194" t="s">
        <v>2025</v>
      </c>
      <c r="I2220" s="12"/>
      <c r="J2220" s="96" t="s">
        <v>1792</v>
      </c>
      <c r="K2220" s="12"/>
      <c r="L2220" s="255">
        <v>89.3</v>
      </c>
      <c r="M2220" s="255">
        <v>12</v>
      </c>
      <c r="N2220" s="333">
        <v>1</v>
      </c>
      <c r="O2220" s="47"/>
      <c r="P2220" s="47" t="s">
        <v>213</v>
      </c>
      <c r="Q2220" s="12"/>
      <c r="R2220" s="192" t="str">
        <f>CONCATENATE(N2220,P2220)</f>
        <v>1kilos</v>
      </c>
      <c r="S2220" s="198">
        <f>M2220*N2220</f>
        <v>12</v>
      </c>
      <c r="T2220" s="199" t="str">
        <f>CONCATENATE(S2220,Q2220,P2220)</f>
        <v>12kilos</v>
      </c>
      <c r="U2220" s="200">
        <f>L2220*M2220</f>
        <v>1071.5999999999999</v>
      </c>
      <c r="V2220" s="12"/>
      <c r="W2220" s="12"/>
    </row>
    <row r="2221" spans="1:23" x14ac:dyDescent="0.3">
      <c r="A2221" s="193">
        <v>858</v>
      </c>
      <c r="B2221" s="46" t="s">
        <v>84</v>
      </c>
      <c r="C2221" s="315"/>
      <c r="D2221" s="316"/>
      <c r="E2221" s="315"/>
      <c r="F2221" s="315"/>
      <c r="G2221" s="315"/>
      <c r="H2221" s="194" t="s">
        <v>2026</v>
      </c>
      <c r="I2221" s="12"/>
      <c r="J2221" s="96" t="s">
        <v>1792</v>
      </c>
      <c r="K2221" s="12"/>
      <c r="L2221" s="255">
        <v>85.5</v>
      </c>
      <c r="M2221" s="255">
        <v>15</v>
      </c>
      <c r="N2221" s="333">
        <v>1</v>
      </c>
      <c r="O2221" s="47"/>
      <c r="P2221" s="47" t="s">
        <v>213</v>
      </c>
      <c r="Q2221" s="12"/>
      <c r="R2221" s="192" t="str">
        <f>CONCATENATE(N2221,P2221)</f>
        <v>1kilos</v>
      </c>
      <c r="S2221" s="198">
        <f>M2221*N2221</f>
        <v>15</v>
      </c>
      <c r="T2221" s="199" t="str">
        <f>CONCATENATE(S2221,Q2221,P2221)</f>
        <v>15kilos</v>
      </c>
      <c r="U2221" s="200">
        <f>L2221*M2221</f>
        <v>1282.5</v>
      </c>
      <c r="V2221" s="12"/>
      <c r="W2221" s="12"/>
    </row>
    <row r="2222" spans="1:23" x14ac:dyDescent="0.3">
      <c r="A2222" s="193">
        <v>858</v>
      </c>
      <c r="B2222" s="46" t="s">
        <v>84</v>
      </c>
      <c r="C2222" s="315"/>
      <c r="D2222" s="316"/>
      <c r="E2222" s="315"/>
      <c r="F2222" s="315"/>
      <c r="G2222" s="315"/>
      <c r="H2222" s="194" t="s">
        <v>1368</v>
      </c>
      <c r="I2222" s="12"/>
      <c r="J2222" s="264" t="s">
        <v>1799</v>
      </c>
      <c r="K2222" s="12"/>
      <c r="L2222" s="255">
        <v>90</v>
      </c>
      <c r="M2222" s="255">
        <v>16</v>
      </c>
      <c r="N2222" s="333">
        <v>1</v>
      </c>
      <c r="O2222" s="96"/>
      <c r="P2222" s="96" t="s">
        <v>213</v>
      </c>
      <c r="Q2222" s="12"/>
      <c r="R2222" s="192" t="str">
        <f>CONCATENATE(N2222,P2222)</f>
        <v>1kilos</v>
      </c>
      <c r="S2222" s="198">
        <f>M2222*N2222</f>
        <v>16</v>
      </c>
      <c r="T2222" s="199" t="str">
        <f>CONCATENATE(S2222,Q2222,P2222)</f>
        <v>16kilos</v>
      </c>
      <c r="U2222" s="200">
        <f>L2222*M2222</f>
        <v>1440</v>
      </c>
      <c r="V2222" s="12"/>
      <c r="W2222" s="12"/>
    </row>
    <row r="2223" spans="1:23" x14ac:dyDescent="0.3">
      <c r="A2223" s="193">
        <v>858</v>
      </c>
      <c r="B2223" s="46" t="s">
        <v>84</v>
      </c>
      <c r="C2223" s="315"/>
      <c r="D2223" s="316"/>
      <c r="E2223" s="315"/>
      <c r="F2223" s="315"/>
      <c r="G2223" s="315"/>
      <c r="H2223" s="194" t="s">
        <v>2023</v>
      </c>
      <c r="I2223" s="12"/>
      <c r="J2223" s="46" t="s">
        <v>1792</v>
      </c>
      <c r="K2223" s="12"/>
      <c r="L2223" s="255">
        <v>98</v>
      </c>
      <c r="M2223" s="255">
        <v>23</v>
      </c>
      <c r="N2223" s="333">
        <v>1</v>
      </c>
      <c r="O2223" s="96"/>
      <c r="P2223" s="96" t="s">
        <v>213</v>
      </c>
      <c r="Q2223" s="12"/>
      <c r="R2223" s="192" t="str">
        <f>CONCATENATE(N2223,P2223)</f>
        <v>1kilos</v>
      </c>
      <c r="S2223" s="198">
        <f>M2223*N2223</f>
        <v>23</v>
      </c>
      <c r="T2223" s="199" t="str">
        <f>CONCATENATE(S2223,Q2223,P2223)</f>
        <v>23kilos</v>
      </c>
      <c r="U2223" s="200">
        <f>L2223*M2223</f>
        <v>2254</v>
      </c>
      <c r="V2223" s="12"/>
      <c r="W2223" s="12"/>
    </row>
    <row r="2224" spans="1:23" x14ac:dyDescent="0.3">
      <c r="A2224" s="193">
        <v>858</v>
      </c>
      <c r="B2224" s="46" t="s">
        <v>84</v>
      </c>
      <c r="C2224" s="315"/>
      <c r="D2224" s="316"/>
      <c r="E2224" s="315"/>
      <c r="F2224" s="315"/>
      <c r="G2224" s="315"/>
      <c r="H2224" s="194" t="s">
        <v>2022</v>
      </c>
      <c r="I2224" s="12"/>
      <c r="J2224" s="46" t="s">
        <v>991</v>
      </c>
      <c r="K2224" s="12"/>
      <c r="L2224" s="255">
        <v>68</v>
      </c>
      <c r="M2224" s="255">
        <v>22</v>
      </c>
      <c r="N2224" s="333">
        <v>1</v>
      </c>
      <c r="O2224" s="96"/>
      <c r="P2224" s="96" t="s">
        <v>213</v>
      </c>
      <c r="Q2224" s="12"/>
      <c r="R2224" s="192" t="str">
        <f>CONCATENATE(N2224,P2224)</f>
        <v>1kilos</v>
      </c>
      <c r="S2224" s="198">
        <f>M2224*N2224</f>
        <v>22</v>
      </c>
      <c r="T2224" s="199" t="str">
        <f>CONCATENATE(S2224,Q2224,P2224)</f>
        <v>22kilos</v>
      </c>
      <c r="U2224" s="200">
        <f>L2224*M2224</f>
        <v>1496</v>
      </c>
      <c r="V2224" s="12"/>
      <c r="W2224" s="12"/>
    </row>
    <row r="2225" spans="1:23" x14ac:dyDescent="0.3">
      <c r="A2225" s="193">
        <v>858</v>
      </c>
      <c r="B2225" s="219" t="s">
        <v>84</v>
      </c>
      <c r="C2225" s="315"/>
      <c r="D2225" s="316"/>
      <c r="E2225" s="315"/>
      <c r="F2225" s="315"/>
      <c r="G2225" s="315"/>
      <c r="H2225" s="194" t="s">
        <v>2021</v>
      </c>
      <c r="I2225" s="12"/>
      <c r="J2225" s="46" t="s">
        <v>858</v>
      </c>
      <c r="K2225" s="12"/>
      <c r="L2225" s="285">
        <v>1.32</v>
      </c>
      <c r="M2225" s="285">
        <v>200</v>
      </c>
      <c r="N2225" s="336">
        <v>1</v>
      </c>
      <c r="O2225" s="517"/>
      <c r="P2225" s="517" t="s">
        <v>39</v>
      </c>
      <c r="Q2225" s="12"/>
      <c r="R2225" s="192" t="str">
        <f>CONCATENATE(N2225,P2225)</f>
        <v>1grams</v>
      </c>
      <c r="S2225" s="198">
        <f>M2225*N2225</f>
        <v>200</v>
      </c>
      <c r="T2225" s="199" t="str">
        <f>CONCATENATE(S2225,Q2225,P2225)</f>
        <v>200grams</v>
      </c>
      <c r="U2225" s="200">
        <f>L2225*M2225</f>
        <v>264</v>
      </c>
      <c r="V2225" s="12"/>
      <c r="W2225" s="12"/>
    </row>
    <row r="2226" spans="1:23" x14ac:dyDescent="0.3">
      <c r="A2226" s="193">
        <v>858</v>
      </c>
      <c r="B2226" s="46" t="s">
        <v>84</v>
      </c>
      <c r="C2226" s="315"/>
      <c r="D2226" s="316"/>
      <c r="E2226" s="315"/>
      <c r="F2226" s="315"/>
      <c r="G2226" s="315"/>
      <c r="H2226" s="194" t="s">
        <v>2020</v>
      </c>
      <c r="I2226" s="12"/>
      <c r="J2226" s="46" t="s">
        <v>1792</v>
      </c>
      <c r="K2226" s="12"/>
      <c r="L2226" s="255">
        <v>82</v>
      </c>
      <c r="M2226" s="255">
        <v>4</v>
      </c>
      <c r="N2226" s="333">
        <v>1</v>
      </c>
      <c r="O2226" s="96"/>
      <c r="P2226" s="96" t="s">
        <v>213</v>
      </c>
      <c r="Q2226" s="12"/>
      <c r="R2226" s="192" t="str">
        <f>CONCATENATE(N2226,P2226)</f>
        <v>1kilos</v>
      </c>
      <c r="S2226" s="198">
        <f>M2226*N2226</f>
        <v>4</v>
      </c>
      <c r="T2226" s="199" t="str">
        <f>CONCATENATE(S2226,Q2226,P2226)</f>
        <v>4kilos</v>
      </c>
      <c r="U2226" s="200">
        <f>L2226*M2226</f>
        <v>328</v>
      </c>
      <c r="V2226" s="12"/>
      <c r="W2226" s="12"/>
    </row>
    <row r="2227" spans="1:23" x14ac:dyDescent="0.3">
      <c r="A2227" s="193">
        <v>858</v>
      </c>
      <c r="B2227" s="219" t="s">
        <v>84</v>
      </c>
      <c r="C2227" s="315"/>
      <c r="D2227" s="316"/>
      <c r="E2227" s="315"/>
      <c r="F2227" s="315"/>
      <c r="G2227" s="315"/>
      <c r="H2227" s="194" t="s">
        <v>2021</v>
      </c>
      <c r="I2227" s="12"/>
      <c r="J2227" s="215"/>
      <c r="K2227" s="12"/>
      <c r="L2227" s="285">
        <v>78</v>
      </c>
      <c r="M2227" s="285">
        <v>18</v>
      </c>
      <c r="N2227" s="333">
        <v>1</v>
      </c>
      <c r="O2227" s="46"/>
      <c r="P2227" s="46" t="s">
        <v>213</v>
      </c>
      <c r="Q2227" s="12"/>
      <c r="R2227" s="192" t="str">
        <f>CONCATENATE(N2227,P2227)</f>
        <v>1kilos</v>
      </c>
      <c r="S2227" s="198">
        <f>M2227*N2227</f>
        <v>18</v>
      </c>
      <c r="T2227" s="199" t="str">
        <f>CONCATENATE(S2227,Q2227,P2227)</f>
        <v>18kilos</v>
      </c>
      <c r="U2227" s="200">
        <f>L2227*M2227</f>
        <v>1404</v>
      </c>
      <c r="V2227" s="12"/>
      <c r="W2227" s="12"/>
    </row>
    <row r="2228" spans="1:23" x14ac:dyDescent="0.3">
      <c r="A2228" s="193">
        <v>858</v>
      </c>
      <c r="B2228" s="46" t="s">
        <v>84</v>
      </c>
      <c r="C2228" s="315"/>
      <c r="D2228" s="316"/>
      <c r="E2228" s="315"/>
      <c r="F2228" s="315"/>
      <c r="G2228" s="315"/>
      <c r="H2228" s="400" t="s">
        <v>2027</v>
      </c>
      <c r="I2228" s="12"/>
      <c r="J2228" s="46" t="s">
        <v>1792</v>
      </c>
      <c r="K2228" s="12"/>
      <c r="L2228" s="254">
        <v>85.5</v>
      </c>
      <c r="M2228" s="255">
        <v>7</v>
      </c>
      <c r="N2228" s="366">
        <v>1</v>
      </c>
      <c r="O2228" s="61"/>
      <c r="P2228" s="61" t="s">
        <v>213</v>
      </c>
      <c r="Q2228" s="12"/>
      <c r="R2228" s="192" t="str">
        <f>CONCATENATE(N2228,P2228)</f>
        <v>1kilos</v>
      </c>
      <c r="S2228" s="198">
        <f>M2228*N2228</f>
        <v>7</v>
      </c>
      <c r="T2228" s="199" t="str">
        <f>CONCATENATE(S2228,Q2228,P2228)</f>
        <v>7kilos</v>
      </c>
      <c r="U2228" s="200">
        <f>L2228*M2228</f>
        <v>598.5</v>
      </c>
      <c r="V2228" s="12"/>
      <c r="W2228" s="12"/>
    </row>
    <row r="2229" spans="1:23" x14ac:dyDescent="0.3">
      <c r="A2229" s="193">
        <v>859</v>
      </c>
      <c r="B2229" s="194" t="s">
        <v>800</v>
      </c>
      <c r="C2229" s="487"/>
      <c r="D2229" s="485" t="str">
        <f ca="1">IFERROR(__xludf.DUMMYFUNCTION("IF(J596="""",""n/a"",IFERROR(SPLIT(J596,""/"")))"),"Hermano")</f>
        <v>Hermano</v>
      </c>
      <c r="E2229" s="485" t="str">
        <f ca="1">IFERROR(__xludf.DUMMYFUNCTION("""COMPUTED_VALUE"""),"pack")</f>
        <v>pack</v>
      </c>
      <c r="F2229" s="485" t="str">
        <f ca="1">IFERROR(__xludf.DUMMYFUNCTION("""COMPUTED_VALUE"""),"1000grams")</f>
        <v>1000grams</v>
      </c>
      <c r="G2229" s="487"/>
      <c r="H2229" s="206" t="s">
        <v>1898</v>
      </c>
      <c r="I2229" s="487"/>
      <c r="J2229" s="46" t="s">
        <v>82</v>
      </c>
      <c r="K2229" s="487"/>
      <c r="L2229" s="255">
        <v>0.1</v>
      </c>
      <c r="M2229" s="390">
        <v>12000</v>
      </c>
      <c r="N2229" s="250">
        <v>1000</v>
      </c>
      <c r="O2229" s="100" t="str">
        <f ca="1">E2229</f>
        <v>pack</v>
      </c>
      <c r="P2229" s="269" t="s">
        <v>39</v>
      </c>
      <c r="Q2229" s="12"/>
      <c r="R2229" s="192" t="str">
        <f>CONCATENATE(N2229,P2229)</f>
        <v>1000grams</v>
      </c>
      <c r="S2229" s="198">
        <f>M2229*N2229</f>
        <v>12000000</v>
      </c>
      <c r="T2229" s="199" t="str">
        <f>CONCATENATE(S2229,Q2229,P2229)</f>
        <v>12000000grams</v>
      </c>
      <c r="U2229" s="200">
        <f>L2229*M2229</f>
        <v>1200</v>
      </c>
      <c r="V2229" s="12"/>
      <c r="W2229" s="12"/>
    </row>
    <row r="2230" spans="1:23" x14ac:dyDescent="0.3">
      <c r="A2230" s="193">
        <v>860</v>
      </c>
      <c r="B2230" s="46" t="s">
        <v>1800</v>
      </c>
      <c r="C2230" s="315"/>
      <c r="D2230" s="316"/>
      <c r="E2230" s="315"/>
      <c r="F2230" s="315"/>
      <c r="G2230" s="315"/>
      <c r="H2230" s="194" t="s">
        <v>2022</v>
      </c>
      <c r="I2230" s="12"/>
      <c r="J2230" s="46" t="s">
        <v>880</v>
      </c>
      <c r="K2230" s="12"/>
      <c r="L2230" s="255">
        <v>179</v>
      </c>
      <c r="M2230" s="255">
        <v>1</v>
      </c>
      <c r="N2230" s="333">
        <v>190</v>
      </c>
      <c r="O2230" s="96"/>
      <c r="P2230" s="96" t="s">
        <v>39</v>
      </c>
      <c r="Q2230" s="12"/>
      <c r="R2230" s="192" t="str">
        <f>CONCATENATE(N2230,P2230)</f>
        <v>190grams</v>
      </c>
      <c r="S2230" s="198">
        <f>M2230*N2230</f>
        <v>190</v>
      </c>
      <c r="T2230" s="199" t="str">
        <f>CONCATENATE(S2230,Q2230,P2230)</f>
        <v>190grams</v>
      </c>
      <c r="U2230" s="200">
        <f>L2230*M2230</f>
        <v>179</v>
      </c>
      <c r="V2230" s="12"/>
      <c r="W2230" s="12"/>
    </row>
    <row r="2231" spans="1:23" x14ac:dyDescent="0.3">
      <c r="A2231" s="193">
        <v>861</v>
      </c>
      <c r="B2231" s="219" t="s">
        <v>1801</v>
      </c>
      <c r="C2231" s="315"/>
      <c r="D2231" s="316"/>
      <c r="E2231" s="315"/>
      <c r="F2231" s="315"/>
      <c r="G2231" s="315"/>
      <c r="H2231" s="194" t="s">
        <v>2021</v>
      </c>
      <c r="I2231" s="12"/>
      <c r="J2231" s="219" t="s">
        <v>1184</v>
      </c>
      <c r="K2231" s="12"/>
      <c r="L2231" s="285">
        <v>40</v>
      </c>
      <c r="M2231" s="285">
        <v>2</v>
      </c>
      <c r="N2231" s="336">
        <v>340</v>
      </c>
      <c r="O2231" s="340"/>
      <c r="P2231" s="340" t="s">
        <v>39</v>
      </c>
      <c r="Q2231" s="12"/>
      <c r="R2231" s="192" t="str">
        <f>CONCATENATE(N2231,P2231)</f>
        <v>340grams</v>
      </c>
      <c r="S2231" s="198">
        <f>M2231*N2231</f>
        <v>680</v>
      </c>
      <c r="T2231" s="199" t="str">
        <f>CONCATENATE(S2231,Q2231,P2231)</f>
        <v>680grams</v>
      </c>
      <c r="U2231" s="200">
        <f>L2231*M2231</f>
        <v>80</v>
      </c>
      <c r="V2231" s="12"/>
      <c r="W2231" s="12"/>
    </row>
    <row r="2232" spans="1:23" x14ac:dyDescent="0.3">
      <c r="A2232" s="193">
        <v>862</v>
      </c>
      <c r="B2232" s="46" t="s">
        <v>1802</v>
      </c>
      <c r="C2232" s="315"/>
      <c r="D2232" s="316"/>
      <c r="E2232" s="315"/>
      <c r="F2232" s="315"/>
      <c r="G2232" s="315"/>
      <c r="H2232" s="194" t="s">
        <v>2024</v>
      </c>
      <c r="I2232" s="12"/>
      <c r="J2232" s="483" t="s">
        <v>869</v>
      </c>
      <c r="K2232" s="12"/>
      <c r="L2232" s="255">
        <v>48.45</v>
      </c>
      <c r="M2232" s="255">
        <v>2</v>
      </c>
      <c r="N2232" s="333">
        <v>250</v>
      </c>
      <c r="O2232" s="96"/>
      <c r="P2232" s="96" t="s">
        <v>39</v>
      </c>
      <c r="Q2232" s="12"/>
      <c r="R2232" s="192" t="str">
        <f>CONCATENATE(N2232,P2232)</f>
        <v>250grams</v>
      </c>
      <c r="S2232" s="198">
        <f>M2232*N2232</f>
        <v>500</v>
      </c>
      <c r="T2232" s="199" t="str">
        <f>CONCATENATE(S2232,Q2232,P2232)</f>
        <v>500grams</v>
      </c>
      <c r="U2232" s="200">
        <f>L2232*M2232</f>
        <v>96.9</v>
      </c>
      <c r="V2232" s="12"/>
      <c r="W2232" s="12"/>
    </row>
    <row r="2233" spans="1:23" x14ac:dyDescent="0.3">
      <c r="A2233" s="193">
        <v>862</v>
      </c>
      <c r="B2233" s="219" t="s">
        <v>1802</v>
      </c>
      <c r="C2233" s="315"/>
      <c r="D2233" s="316"/>
      <c r="E2233" s="315"/>
      <c r="F2233" s="315"/>
      <c r="G2233" s="315"/>
      <c r="H2233" s="194" t="s">
        <v>2025</v>
      </c>
      <c r="I2233" s="12"/>
      <c r="J2233" s="46" t="s">
        <v>869</v>
      </c>
      <c r="K2233" s="12"/>
      <c r="L2233" s="255">
        <v>65</v>
      </c>
      <c r="M2233" s="255">
        <v>0</v>
      </c>
      <c r="N2233" s="333">
        <v>250</v>
      </c>
      <c r="O2233" s="96"/>
      <c r="P2233" s="96" t="s">
        <v>39</v>
      </c>
      <c r="Q2233" s="12"/>
      <c r="R2233" s="192" t="str">
        <f>CONCATENATE(N2233,P2233)</f>
        <v>250grams</v>
      </c>
      <c r="S2233" s="198">
        <f>M2233*N2233</f>
        <v>0</v>
      </c>
      <c r="T2233" s="199" t="str">
        <f>CONCATENATE(S2233,Q2233,P2233)</f>
        <v>0grams</v>
      </c>
      <c r="U2233" s="200">
        <f>L2233*M2233</f>
        <v>0</v>
      </c>
      <c r="V2233" s="12"/>
      <c r="W2233" s="12"/>
    </row>
    <row r="2234" spans="1:23" x14ac:dyDescent="0.3">
      <c r="A2234" s="193">
        <v>862</v>
      </c>
      <c r="B2234" s="46" t="s">
        <v>1802</v>
      </c>
      <c r="C2234" s="315"/>
      <c r="D2234" s="316"/>
      <c r="E2234" s="315"/>
      <c r="F2234" s="315"/>
      <c r="G2234" s="315"/>
      <c r="H2234" s="400" t="s">
        <v>2027</v>
      </c>
      <c r="I2234" s="12"/>
      <c r="J2234" s="46" t="s">
        <v>2008</v>
      </c>
      <c r="K2234" s="12"/>
      <c r="L2234" s="254">
        <v>65</v>
      </c>
      <c r="M2234" s="255">
        <v>12</v>
      </c>
      <c r="N2234" s="366">
        <v>1</v>
      </c>
      <c r="O2234" s="100"/>
      <c r="P2234" s="100" t="s">
        <v>213</v>
      </c>
      <c r="Q2234" s="12"/>
      <c r="R2234" s="192" t="str">
        <f>CONCATENATE(N2234,P2234)</f>
        <v>1kilos</v>
      </c>
      <c r="S2234" s="198">
        <f>M2234*N2234</f>
        <v>12</v>
      </c>
      <c r="T2234" s="199" t="str">
        <f>CONCATENATE(S2234,Q2234,P2234)</f>
        <v>12kilos</v>
      </c>
      <c r="U2234" s="200">
        <f>L2234*M2234</f>
        <v>780</v>
      </c>
      <c r="V2234" s="12"/>
      <c r="W2234" s="12"/>
    </row>
    <row r="2235" spans="1:23" x14ac:dyDescent="0.3">
      <c r="A2235" s="193">
        <v>863</v>
      </c>
      <c r="B2235" s="194" t="s">
        <v>801</v>
      </c>
      <c r="C2235" s="487"/>
      <c r="D2235" s="485" t="str">
        <f ca="1">IFERROR(__xludf.DUMMYFUNCTION("IF(J597="""",""n/a"",IFERROR(SPLIT(J597,""/"")))"),"Everyday")</f>
        <v>Everyday</v>
      </c>
      <c r="E2235" s="485" t="str">
        <f ca="1">IFERROR(__xludf.DUMMYFUNCTION("""COMPUTED_VALUE"""),"pack by 1000s'")</f>
        <v>pack by 1000s'</v>
      </c>
      <c r="F2235" s="487"/>
      <c r="G2235" s="487"/>
      <c r="H2235" s="183" t="s">
        <v>1897</v>
      </c>
      <c r="I2235" s="487"/>
      <c r="J2235" s="96" t="s">
        <v>352</v>
      </c>
      <c r="K2235" s="487"/>
      <c r="L2235" s="271">
        <v>52.52</v>
      </c>
      <c r="M2235" s="271">
        <v>8</v>
      </c>
      <c r="N2235" s="247">
        <v>1</v>
      </c>
      <c r="O2235" s="100" t="str">
        <f ca="1">E2235</f>
        <v>pack by 1000s'</v>
      </c>
      <c r="P2235" s="100" t="s">
        <v>304</v>
      </c>
      <c r="Q2235" s="12"/>
      <c r="R2235" s="192" t="str">
        <f>CONCATENATE(N2235,P2235)</f>
        <v>1packs</v>
      </c>
      <c r="S2235" s="198">
        <f>M2235*N2235</f>
        <v>8</v>
      </c>
      <c r="T2235" s="199" t="str">
        <f>CONCATENATE(S2235,Q2235,P2235)</f>
        <v>8packs</v>
      </c>
      <c r="U2235" s="200">
        <f>L2235*M2235</f>
        <v>420.16</v>
      </c>
      <c r="V2235" s="12"/>
      <c r="W2235" s="12"/>
    </row>
    <row r="2236" spans="1:23" x14ac:dyDescent="0.3">
      <c r="A2236" s="193">
        <v>863</v>
      </c>
      <c r="B2236" s="46" t="s">
        <v>1803</v>
      </c>
      <c r="C2236" s="315"/>
      <c r="D2236" s="316"/>
      <c r="E2236" s="315"/>
      <c r="F2236" s="315"/>
      <c r="G2236" s="315"/>
      <c r="H2236" s="194" t="s">
        <v>2025</v>
      </c>
      <c r="I2236" s="12"/>
      <c r="J2236" s="96" t="s">
        <v>1804</v>
      </c>
      <c r="K2236" s="12"/>
      <c r="L2236" s="255">
        <v>90</v>
      </c>
      <c r="M2236" s="255">
        <v>1</v>
      </c>
      <c r="N2236" s="333">
        <v>1</v>
      </c>
      <c r="O2236" s="96"/>
      <c r="P2236" s="96" t="s">
        <v>304</v>
      </c>
      <c r="Q2236" s="12"/>
      <c r="R2236" s="192" t="str">
        <f>CONCATENATE(N2236,P2236)</f>
        <v>1packs</v>
      </c>
      <c r="S2236" s="198">
        <f>M2236*N2236</f>
        <v>1</v>
      </c>
      <c r="T2236" s="199" t="str">
        <f>CONCATENATE(S2236,Q2236,P2236)</f>
        <v>1packs</v>
      </c>
      <c r="U2236" s="200">
        <f>L2236*M2236</f>
        <v>90</v>
      </c>
      <c r="V2236" s="12"/>
      <c r="W2236" s="12"/>
    </row>
    <row r="2237" spans="1:23" x14ac:dyDescent="0.3">
      <c r="A2237" s="193">
        <v>863</v>
      </c>
      <c r="B2237" s="347" t="s">
        <v>1803</v>
      </c>
      <c r="C2237" s="315"/>
      <c r="D2237" s="316"/>
      <c r="E2237" s="315"/>
      <c r="F2237" s="315"/>
      <c r="G2237" s="315"/>
      <c r="H2237" s="194" t="s">
        <v>2026</v>
      </c>
      <c r="I2237" s="12"/>
      <c r="J2237" s="96" t="s">
        <v>858</v>
      </c>
      <c r="K2237" s="12"/>
      <c r="L2237" s="255">
        <v>53.6</v>
      </c>
      <c r="M2237" s="255">
        <v>4</v>
      </c>
      <c r="N2237" s="333">
        <v>1</v>
      </c>
      <c r="O2237" s="96"/>
      <c r="P2237" s="96" t="s">
        <v>304</v>
      </c>
      <c r="Q2237" s="12"/>
      <c r="R2237" s="192" t="str">
        <f>CONCATENATE(N2237,P2237)</f>
        <v>1packs</v>
      </c>
      <c r="S2237" s="198">
        <f>M2237*N2237</f>
        <v>4</v>
      </c>
      <c r="T2237" s="199" t="str">
        <f>CONCATENATE(S2237,Q2237,P2237)</f>
        <v>4packs</v>
      </c>
      <c r="U2237" s="200">
        <f>L2237*M2237</f>
        <v>214.4</v>
      </c>
      <c r="V2237" s="12"/>
      <c r="W2237" s="12"/>
    </row>
    <row r="2238" spans="1:23" x14ac:dyDescent="0.3">
      <c r="A2238" s="193">
        <v>864</v>
      </c>
      <c r="B2238" s="268" t="s">
        <v>351</v>
      </c>
      <c r="C2238" s="487"/>
      <c r="D2238" s="485" t="str">
        <f ca="1">IFERROR(__xludf.DUMMYFUNCTION("IF(J598="""",""n/a"",IFERROR(SPLIT(J598,""/"")))"),"Everyday")</f>
        <v>Everyday</v>
      </c>
      <c r="E2238" s="485" t="str">
        <f ca="1">IFERROR(__xludf.DUMMYFUNCTION("""COMPUTED_VALUE"""),"pack by 1000s'")</f>
        <v>pack by 1000s'</v>
      </c>
      <c r="F2238" s="487"/>
      <c r="G2238" s="487"/>
      <c r="H2238" s="183" t="s">
        <v>1895</v>
      </c>
      <c r="I2238" s="487"/>
      <c r="J2238" s="96" t="s">
        <v>352</v>
      </c>
      <c r="K2238" s="487"/>
      <c r="L2238" s="254">
        <v>74</v>
      </c>
      <c r="M2238" s="255">
        <v>3</v>
      </c>
      <c r="N2238" s="100">
        <v>1</v>
      </c>
      <c r="O2238" s="100" t="str">
        <f ca="1">E2238</f>
        <v>pack by 1000s'</v>
      </c>
      <c r="P2238" s="100" t="s">
        <v>304</v>
      </c>
      <c r="Q2238" s="12"/>
      <c r="R2238" s="192" t="str">
        <f>CONCATENATE(N2238,P2238)</f>
        <v>1packs</v>
      </c>
      <c r="S2238" s="198">
        <f>M2238*N2238</f>
        <v>3</v>
      </c>
      <c r="T2238" s="199" t="str">
        <f>CONCATENATE(S2238,Q2238,P2238)</f>
        <v>3packs</v>
      </c>
      <c r="U2238" s="200">
        <f>L2238*M2238</f>
        <v>222</v>
      </c>
      <c r="V2238" s="12"/>
      <c r="W2238" s="12"/>
    </row>
    <row r="2239" spans="1:23" x14ac:dyDescent="0.3">
      <c r="A2239" s="193">
        <v>865</v>
      </c>
      <c r="B2239" s="96" t="s">
        <v>1805</v>
      </c>
      <c r="C2239" s="315"/>
      <c r="D2239" s="316"/>
      <c r="E2239" s="315"/>
      <c r="F2239" s="315"/>
      <c r="G2239" s="315"/>
      <c r="H2239" s="194" t="s">
        <v>1368</v>
      </c>
      <c r="I2239" s="12"/>
      <c r="J2239" s="96" t="s">
        <v>1806</v>
      </c>
      <c r="K2239" s="12"/>
      <c r="L2239" s="255">
        <v>154.5</v>
      </c>
      <c r="M2239" s="255">
        <v>1</v>
      </c>
      <c r="N2239" s="333">
        <v>100</v>
      </c>
      <c r="O2239" s="96"/>
      <c r="P2239" s="96" t="s">
        <v>39</v>
      </c>
      <c r="Q2239" s="12"/>
      <c r="R2239" s="192" t="str">
        <f>CONCATENATE(N2239,P2239)</f>
        <v>100grams</v>
      </c>
      <c r="S2239" s="198">
        <f>M2239*N2239</f>
        <v>100</v>
      </c>
      <c r="T2239" s="199" t="str">
        <f>CONCATENATE(S2239,Q2239,P2239)</f>
        <v>100grams</v>
      </c>
      <c r="U2239" s="200">
        <f>L2239*M2239</f>
        <v>154.5</v>
      </c>
      <c r="V2239" s="12"/>
      <c r="W2239" s="12"/>
    </row>
    <row r="2240" spans="1:23" x14ac:dyDescent="0.3">
      <c r="A2240" s="193">
        <v>866</v>
      </c>
      <c r="B2240" s="96" t="s">
        <v>1807</v>
      </c>
      <c r="C2240" s="315"/>
      <c r="D2240" s="316"/>
      <c r="E2240" s="315"/>
      <c r="F2240" s="315"/>
      <c r="G2240" s="315"/>
      <c r="H2240" s="194" t="s">
        <v>2024</v>
      </c>
      <c r="I2240" s="12"/>
      <c r="J2240" s="96" t="s">
        <v>854</v>
      </c>
      <c r="K2240" s="12"/>
      <c r="L2240" s="255">
        <v>71.25</v>
      </c>
      <c r="M2240" s="255">
        <v>2</v>
      </c>
      <c r="N2240" s="333">
        <v>40</v>
      </c>
      <c r="O2240" s="96"/>
      <c r="P2240" s="96" t="s">
        <v>39</v>
      </c>
      <c r="Q2240" s="12"/>
      <c r="R2240" s="192" t="str">
        <f>CONCATENATE(N2240,P2240)</f>
        <v>40grams</v>
      </c>
      <c r="S2240" s="198">
        <f>M2240*N2240</f>
        <v>80</v>
      </c>
      <c r="T2240" s="199" t="str">
        <f>CONCATENATE(S2240,Q2240,P2240)</f>
        <v>80grams</v>
      </c>
      <c r="U2240" s="200">
        <f>L2240*M2240</f>
        <v>142.5</v>
      </c>
      <c r="V2240" s="12"/>
      <c r="W2240" s="12"/>
    </row>
    <row r="2241" spans="1:23" x14ac:dyDescent="0.3">
      <c r="A2241" s="193">
        <v>867</v>
      </c>
      <c r="B2241" s="96" t="s">
        <v>1808</v>
      </c>
      <c r="C2241" s="315"/>
      <c r="D2241" s="316"/>
      <c r="E2241" s="315"/>
      <c r="F2241" s="315"/>
      <c r="G2241" s="315"/>
      <c r="H2241" s="194" t="s">
        <v>2025</v>
      </c>
      <c r="I2241" s="12"/>
      <c r="J2241" s="239"/>
      <c r="K2241" s="12"/>
      <c r="L2241" s="255">
        <v>70</v>
      </c>
      <c r="M2241" s="255">
        <v>3</v>
      </c>
      <c r="N2241" s="333">
        <v>1</v>
      </c>
      <c r="O2241" s="96"/>
      <c r="P2241" s="96" t="s">
        <v>213</v>
      </c>
      <c r="Q2241" s="12"/>
      <c r="R2241" s="192" t="str">
        <f>CONCATENATE(N2241,P2241)</f>
        <v>1kilos</v>
      </c>
      <c r="S2241" s="198">
        <f>M2241*N2241</f>
        <v>3</v>
      </c>
      <c r="T2241" s="199" t="str">
        <f>CONCATENATE(S2241,Q2241,P2241)</f>
        <v>3kilos</v>
      </c>
      <c r="U2241" s="200">
        <f>L2241*M2241</f>
        <v>210</v>
      </c>
      <c r="V2241" s="12"/>
      <c r="W2241" s="12"/>
    </row>
    <row r="2242" spans="1:23" x14ac:dyDescent="0.3">
      <c r="A2242" s="193">
        <v>867</v>
      </c>
      <c r="B2242" s="347" t="s">
        <v>1808</v>
      </c>
      <c r="C2242" s="315"/>
      <c r="D2242" s="316"/>
      <c r="E2242" s="315"/>
      <c r="F2242" s="315"/>
      <c r="G2242" s="315"/>
      <c r="H2242" s="194" t="s">
        <v>1368</v>
      </c>
      <c r="I2242" s="12"/>
      <c r="J2242" s="239"/>
      <c r="K2242" s="12"/>
      <c r="L2242" s="255">
        <v>40</v>
      </c>
      <c r="M2242" s="255">
        <v>4</v>
      </c>
      <c r="N2242" s="333">
        <v>1</v>
      </c>
      <c r="O2242" s="96"/>
      <c r="P2242" s="96" t="s">
        <v>213</v>
      </c>
      <c r="Q2242" s="12"/>
      <c r="R2242" s="192" t="str">
        <f>CONCATENATE(N2242,P2242)</f>
        <v>1kilos</v>
      </c>
      <c r="S2242" s="198">
        <f>M2242*N2242</f>
        <v>4</v>
      </c>
      <c r="T2242" s="199" t="str">
        <f>CONCATENATE(S2242,Q2242,P2242)</f>
        <v>4kilos</v>
      </c>
      <c r="U2242" s="200">
        <f>L2242*M2242</f>
        <v>160</v>
      </c>
      <c r="V2242" s="12"/>
      <c r="W2242" s="12"/>
    </row>
    <row r="2243" spans="1:23" x14ac:dyDescent="0.3">
      <c r="A2243" s="193">
        <v>867</v>
      </c>
      <c r="B2243" s="347" t="s">
        <v>1808</v>
      </c>
      <c r="C2243" s="315"/>
      <c r="D2243" s="316"/>
      <c r="E2243" s="315"/>
      <c r="F2243" s="315"/>
      <c r="G2243" s="315"/>
      <c r="H2243" s="194" t="s">
        <v>2023</v>
      </c>
      <c r="I2243" s="12"/>
      <c r="J2243" s="239"/>
      <c r="K2243" s="12"/>
      <c r="L2243" s="255">
        <v>140</v>
      </c>
      <c r="M2243" s="255">
        <v>2</v>
      </c>
      <c r="N2243" s="333">
        <v>1</v>
      </c>
      <c r="O2243" s="96"/>
      <c r="P2243" s="96" t="s">
        <v>213</v>
      </c>
      <c r="Q2243" s="12"/>
      <c r="R2243" s="192" t="str">
        <f>CONCATENATE(N2243,P2243)</f>
        <v>1kilos</v>
      </c>
      <c r="S2243" s="198">
        <f>M2243*N2243</f>
        <v>2</v>
      </c>
      <c r="T2243" s="199" t="str">
        <f>CONCATENATE(S2243,Q2243,P2243)</f>
        <v>2kilos</v>
      </c>
      <c r="U2243" s="200">
        <f>L2243*M2243</f>
        <v>280</v>
      </c>
      <c r="V2243" s="12"/>
      <c r="W2243" s="12"/>
    </row>
    <row r="2244" spans="1:23" x14ac:dyDescent="0.3">
      <c r="A2244" s="193">
        <v>867</v>
      </c>
      <c r="B2244" s="347" t="s">
        <v>1808</v>
      </c>
      <c r="C2244" s="315"/>
      <c r="D2244" s="316"/>
      <c r="E2244" s="315"/>
      <c r="F2244" s="315"/>
      <c r="G2244" s="315"/>
      <c r="H2244" s="400" t="s">
        <v>2027</v>
      </c>
      <c r="I2244" s="12"/>
      <c r="J2244" s="96" t="s">
        <v>1945</v>
      </c>
      <c r="K2244" s="12"/>
      <c r="L2244" s="254">
        <v>85</v>
      </c>
      <c r="M2244" s="255">
        <v>0</v>
      </c>
      <c r="N2244" s="366">
        <v>1</v>
      </c>
      <c r="O2244" s="100"/>
      <c r="P2244" s="100" t="s">
        <v>213</v>
      </c>
      <c r="Q2244" s="12"/>
      <c r="R2244" s="192" t="str">
        <f>CONCATENATE(N2244,P2244)</f>
        <v>1kilos</v>
      </c>
      <c r="S2244" s="198">
        <f>M2244*N2244</f>
        <v>0</v>
      </c>
      <c r="T2244" s="199" t="str">
        <f>CONCATENATE(S2244,Q2244,P2244)</f>
        <v>0kilos</v>
      </c>
      <c r="U2244" s="200">
        <f>L2244*M2244</f>
        <v>0</v>
      </c>
      <c r="V2244" s="12"/>
      <c r="W2244" s="12"/>
    </row>
    <row r="2245" spans="1:23" x14ac:dyDescent="0.3">
      <c r="A2245" s="193">
        <v>868</v>
      </c>
      <c r="B2245" s="309" t="s">
        <v>1809</v>
      </c>
      <c r="C2245" s="315"/>
      <c r="D2245" s="316"/>
      <c r="E2245" s="315"/>
      <c r="F2245" s="315"/>
      <c r="G2245" s="315"/>
      <c r="H2245" s="194" t="s">
        <v>2025</v>
      </c>
      <c r="I2245" s="12"/>
      <c r="J2245" s="239"/>
      <c r="K2245" s="12"/>
      <c r="L2245" s="255">
        <v>270</v>
      </c>
      <c r="M2245" s="255">
        <v>1</v>
      </c>
      <c r="N2245" s="333">
        <v>1</v>
      </c>
      <c r="O2245" s="96"/>
      <c r="P2245" s="96" t="s">
        <v>213</v>
      </c>
      <c r="Q2245" s="12"/>
      <c r="R2245" s="192" t="str">
        <f>CONCATENATE(N2245,P2245)</f>
        <v>1kilos</v>
      </c>
      <c r="S2245" s="198">
        <f>M2245*N2245</f>
        <v>1</v>
      </c>
      <c r="T2245" s="199" t="str">
        <f>CONCATENATE(S2245,Q2245,P2245)</f>
        <v>1kilos</v>
      </c>
      <c r="U2245" s="200">
        <f>L2245*M2245</f>
        <v>270</v>
      </c>
      <c r="V2245" s="12"/>
      <c r="W2245" s="12"/>
    </row>
    <row r="2246" spans="1:23" x14ac:dyDescent="0.3">
      <c r="A2246" s="193">
        <v>868</v>
      </c>
      <c r="B2246" s="349" t="s">
        <v>1809</v>
      </c>
      <c r="C2246" s="315"/>
      <c r="D2246" s="316"/>
      <c r="E2246" s="315"/>
      <c r="F2246" s="315"/>
      <c r="G2246" s="315"/>
      <c r="H2246" s="400" t="s">
        <v>2027</v>
      </c>
      <c r="I2246" s="12"/>
      <c r="J2246" s="96" t="s">
        <v>1928</v>
      </c>
      <c r="K2246" s="12"/>
      <c r="L2246" s="254">
        <v>265</v>
      </c>
      <c r="M2246" s="255">
        <v>8</v>
      </c>
      <c r="N2246" s="366">
        <v>1</v>
      </c>
      <c r="O2246" s="100"/>
      <c r="P2246" s="100" t="s">
        <v>213</v>
      </c>
      <c r="Q2246" s="12"/>
      <c r="R2246" s="192" t="str">
        <f>CONCATENATE(N2246,P2246)</f>
        <v>1kilos</v>
      </c>
      <c r="S2246" s="198">
        <f>M2246*N2246</f>
        <v>8</v>
      </c>
      <c r="T2246" s="199" t="str">
        <f>CONCATENATE(S2246,Q2246,P2246)</f>
        <v>8kilos</v>
      </c>
      <c r="U2246" s="200">
        <f>L2246*M2246</f>
        <v>2120</v>
      </c>
      <c r="V2246" s="12"/>
      <c r="W2246" s="12"/>
    </row>
    <row r="2247" spans="1:23" x14ac:dyDescent="0.3">
      <c r="A2247" s="193">
        <v>869</v>
      </c>
      <c r="B2247" s="347" t="s">
        <v>1810</v>
      </c>
      <c r="C2247" s="315"/>
      <c r="D2247" s="316"/>
      <c r="E2247" s="315"/>
      <c r="F2247" s="315"/>
      <c r="G2247" s="315"/>
      <c r="H2247" s="194" t="s">
        <v>2026</v>
      </c>
      <c r="I2247" s="12"/>
      <c r="J2247" s="239"/>
      <c r="K2247" s="12"/>
      <c r="L2247" s="255">
        <v>100</v>
      </c>
      <c r="M2247" s="255">
        <v>0</v>
      </c>
      <c r="N2247" s="333">
        <v>1</v>
      </c>
      <c r="O2247" s="96"/>
      <c r="P2247" s="96" t="s">
        <v>213</v>
      </c>
      <c r="Q2247" s="12"/>
      <c r="R2247" s="192" t="str">
        <f>CONCATENATE(N2247,P2247)</f>
        <v>1kilos</v>
      </c>
      <c r="S2247" s="198">
        <f>M2247*N2247</f>
        <v>0</v>
      </c>
      <c r="T2247" s="199" t="str">
        <f>CONCATENATE(S2247,Q2247,P2247)</f>
        <v>0kilos</v>
      </c>
      <c r="U2247" s="200">
        <f>L2247*M2247</f>
        <v>0</v>
      </c>
      <c r="V2247" s="12"/>
      <c r="W2247" s="12"/>
    </row>
    <row r="2248" spans="1:23" x14ac:dyDescent="0.3">
      <c r="A2248" s="193">
        <v>869</v>
      </c>
      <c r="B2248" s="96" t="s">
        <v>1810</v>
      </c>
      <c r="C2248" s="315"/>
      <c r="D2248" s="316"/>
      <c r="E2248" s="315"/>
      <c r="F2248" s="315"/>
      <c r="G2248" s="315"/>
      <c r="H2248" s="194" t="s">
        <v>1368</v>
      </c>
      <c r="I2248" s="12"/>
      <c r="J2248" s="170"/>
      <c r="K2248" s="12"/>
      <c r="L2248" s="255">
        <v>7.5</v>
      </c>
      <c r="M2248" s="255">
        <v>11</v>
      </c>
      <c r="N2248" s="333">
        <v>1</v>
      </c>
      <c r="O2248" s="96"/>
      <c r="P2248" s="96" t="s">
        <v>213</v>
      </c>
      <c r="Q2248" s="12"/>
      <c r="R2248" s="192" t="str">
        <f>CONCATENATE(N2248,P2248)</f>
        <v>1kilos</v>
      </c>
      <c r="S2248" s="198">
        <f>M2248*N2248</f>
        <v>11</v>
      </c>
      <c r="T2248" s="199" t="str">
        <f>CONCATENATE(S2248,Q2248,P2248)</f>
        <v>11kilos</v>
      </c>
      <c r="U2248" s="200">
        <f>L2248*M2248</f>
        <v>82.5</v>
      </c>
      <c r="V2248" s="12"/>
      <c r="W2248" s="12"/>
    </row>
    <row r="2249" spans="1:23" x14ac:dyDescent="0.3">
      <c r="A2249" s="193">
        <v>869</v>
      </c>
      <c r="B2249" s="46" t="s">
        <v>1810</v>
      </c>
      <c r="C2249" s="315"/>
      <c r="D2249" s="316"/>
      <c r="E2249" s="315"/>
      <c r="F2249" s="315"/>
      <c r="G2249" s="315"/>
      <c r="H2249" s="194" t="s">
        <v>2023</v>
      </c>
      <c r="I2249" s="12"/>
      <c r="J2249" s="170"/>
      <c r="K2249" s="12"/>
      <c r="L2249" s="276">
        <v>60</v>
      </c>
      <c r="M2249" s="255">
        <v>0</v>
      </c>
      <c r="N2249" s="333">
        <v>1</v>
      </c>
      <c r="O2249" s="46"/>
      <c r="P2249" s="46" t="s">
        <v>1331</v>
      </c>
      <c r="Q2249" s="12"/>
      <c r="R2249" s="192" t="str">
        <f>CONCATENATE(N2249,P2249)</f>
        <v>1bundle</v>
      </c>
      <c r="S2249" s="198">
        <f>M2249*N2249</f>
        <v>0</v>
      </c>
      <c r="T2249" s="199" t="str">
        <f>CONCATENATE(S2249,Q2249,P2249)</f>
        <v>0bundle</v>
      </c>
      <c r="U2249" s="200">
        <f>L2249*M2249</f>
        <v>0</v>
      </c>
      <c r="V2249" s="12"/>
      <c r="W2249" s="12"/>
    </row>
    <row r="2250" spans="1:23" x14ac:dyDescent="0.3">
      <c r="A2250" s="193">
        <v>869</v>
      </c>
      <c r="B2250" s="46" t="s">
        <v>1810</v>
      </c>
      <c r="C2250" s="315"/>
      <c r="D2250" s="316"/>
      <c r="E2250" s="315"/>
      <c r="F2250" s="315"/>
      <c r="G2250" s="315"/>
      <c r="H2250" s="194" t="s">
        <v>2022</v>
      </c>
      <c r="I2250" s="12"/>
      <c r="J2250" s="46" t="s">
        <v>912</v>
      </c>
      <c r="K2250" s="12"/>
      <c r="L2250" s="255">
        <v>160</v>
      </c>
      <c r="M2250" s="255">
        <v>1</v>
      </c>
      <c r="N2250" s="333">
        <v>1</v>
      </c>
      <c r="O2250" s="46"/>
      <c r="P2250" s="46" t="s">
        <v>213</v>
      </c>
      <c r="Q2250" s="12"/>
      <c r="R2250" s="192" t="str">
        <f>CONCATENATE(N2250,P2250)</f>
        <v>1kilos</v>
      </c>
      <c r="S2250" s="198">
        <f>M2250*N2250</f>
        <v>1</v>
      </c>
      <c r="T2250" s="199" t="str">
        <f>CONCATENATE(S2250,Q2250,P2250)</f>
        <v>1kilos</v>
      </c>
      <c r="U2250" s="200">
        <f>L2250*M2250</f>
        <v>160</v>
      </c>
      <c r="V2250" s="12"/>
      <c r="W2250" s="12"/>
    </row>
    <row r="2251" spans="1:23" x14ac:dyDescent="0.3">
      <c r="A2251" s="193">
        <v>869</v>
      </c>
      <c r="B2251" s="46" t="s">
        <v>1810</v>
      </c>
      <c r="C2251" s="315"/>
      <c r="D2251" s="316"/>
      <c r="E2251" s="315"/>
      <c r="F2251" s="315"/>
      <c r="G2251" s="315"/>
      <c r="H2251" s="400" t="s">
        <v>2027</v>
      </c>
      <c r="I2251" s="12"/>
      <c r="J2251" s="46" t="s">
        <v>1945</v>
      </c>
      <c r="K2251" s="12"/>
      <c r="L2251" s="254">
        <v>10</v>
      </c>
      <c r="M2251" s="255">
        <v>1</v>
      </c>
      <c r="N2251" s="366">
        <v>1</v>
      </c>
      <c r="O2251" s="61"/>
      <c r="P2251" s="61" t="s">
        <v>213</v>
      </c>
      <c r="Q2251" s="12"/>
      <c r="R2251" s="192" t="str">
        <f>CONCATENATE(N2251,P2251)</f>
        <v>1kilos</v>
      </c>
      <c r="S2251" s="198">
        <f>M2251*N2251</f>
        <v>1</v>
      </c>
      <c r="T2251" s="199" t="str">
        <f>CONCATENATE(S2251,Q2251,P2251)</f>
        <v>1kilos</v>
      </c>
      <c r="U2251" s="200">
        <f>L2251*M2251</f>
        <v>10</v>
      </c>
      <c r="V2251" s="12"/>
      <c r="W2251" s="12"/>
    </row>
    <row r="2252" spans="1:23" x14ac:dyDescent="0.3">
      <c r="A2252" s="193">
        <v>870</v>
      </c>
      <c r="B2252" s="194" t="s">
        <v>802</v>
      </c>
      <c r="C2252" s="487"/>
      <c r="D2252" s="485" t="str">
        <f ca="1">IFERROR(__xludf.DUMMYFUNCTION("IF(J599="""",""n/a"",IFERROR(SPLIT(J599,""/"")))"),"n/a")</f>
        <v>n/a</v>
      </c>
      <c r="E2252" s="487"/>
      <c r="F2252" s="487"/>
      <c r="G2252" s="487"/>
      <c r="H2252" s="206" t="s">
        <v>1898</v>
      </c>
      <c r="I2252" s="487"/>
      <c r="J2252" s="170"/>
      <c r="K2252" s="487"/>
      <c r="L2252" s="255">
        <v>0.44</v>
      </c>
      <c r="M2252" s="389">
        <v>3000</v>
      </c>
      <c r="N2252" s="250">
        <v>1000</v>
      </c>
      <c r="O2252" s="170">
        <f>E2252</f>
        <v>0</v>
      </c>
      <c r="P2252" s="61" t="s">
        <v>39</v>
      </c>
      <c r="Q2252" s="12"/>
      <c r="R2252" s="192" t="str">
        <f>CONCATENATE(N2252,P2252)</f>
        <v>1000grams</v>
      </c>
      <c r="S2252" s="198">
        <f>M2252*N2252</f>
        <v>3000000</v>
      </c>
      <c r="T2252" s="199" t="str">
        <f>CONCATENATE(S2252,Q2252,P2252)</f>
        <v>3000000grams</v>
      </c>
      <c r="U2252" s="200">
        <f>L2252*M2252</f>
        <v>1320</v>
      </c>
      <c r="V2252" s="12"/>
      <c r="W2252" s="12"/>
    </row>
    <row r="2253" spans="1:23" x14ac:dyDescent="0.3">
      <c r="A2253" s="193">
        <v>870</v>
      </c>
      <c r="B2253" s="46" t="s">
        <v>802</v>
      </c>
      <c r="C2253" s="315"/>
      <c r="D2253" s="316"/>
      <c r="E2253" s="315"/>
      <c r="F2253" s="315"/>
      <c r="G2253" s="315"/>
      <c r="H2253" s="194" t="s">
        <v>2023</v>
      </c>
      <c r="I2253" s="12"/>
      <c r="J2253" s="296"/>
      <c r="K2253" s="12"/>
      <c r="L2253" s="197">
        <v>420</v>
      </c>
      <c r="M2253" s="197">
        <v>3</v>
      </c>
      <c r="N2253" s="290">
        <v>1</v>
      </c>
      <c r="O2253" s="320"/>
      <c r="P2253" s="320" t="s">
        <v>213</v>
      </c>
      <c r="Q2253" s="12"/>
      <c r="R2253" s="192" t="str">
        <f>CONCATENATE(N2253,P2253)</f>
        <v>1kilos</v>
      </c>
      <c r="S2253" s="198">
        <f>M2253*N2253</f>
        <v>3</v>
      </c>
      <c r="T2253" s="199" t="str">
        <f>CONCATENATE(S2253,Q2253,P2253)</f>
        <v>3kilos</v>
      </c>
      <c r="U2253" s="200">
        <f>L2253*M2253</f>
        <v>1260</v>
      </c>
      <c r="V2253" s="12"/>
      <c r="W2253" s="12"/>
    </row>
    <row r="2254" spans="1:23" x14ac:dyDescent="0.3">
      <c r="A2254" s="193">
        <v>871</v>
      </c>
      <c r="B2254" s="46" t="s">
        <v>1811</v>
      </c>
      <c r="C2254" s="315"/>
      <c r="D2254" s="316"/>
      <c r="E2254" s="315"/>
      <c r="F2254" s="315"/>
      <c r="G2254" s="315"/>
      <c r="H2254" s="194" t="s">
        <v>2026</v>
      </c>
      <c r="I2254" s="12"/>
      <c r="J2254" s="219" t="s">
        <v>854</v>
      </c>
      <c r="K2254" s="12"/>
      <c r="L2254" s="197">
        <v>83</v>
      </c>
      <c r="M2254" s="197">
        <v>1</v>
      </c>
      <c r="N2254" s="290">
        <v>5</v>
      </c>
      <c r="O2254" s="320"/>
      <c r="P2254" s="320" t="s">
        <v>39</v>
      </c>
      <c r="Q2254" s="12"/>
      <c r="R2254" s="192" t="str">
        <f>CONCATENATE(N2254,P2254)</f>
        <v>5grams</v>
      </c>
      <c r="S2254" s="198">
        <f>M2254*N2254</f>
        <v>5</v>
      </c>
      <c r="T2254" s="199" t="str">
        <f>CONCATENATE(S2254,Q2254,P2254)</f>
        <v>5grams</v>
      </c>
      <c r="U2254" s="200">
        <f>L2254*M2254</f>
        <v>83</v>
      </c>
      <c r="V2254" s="12"/>
      <c r="W2254" s="12"/>
    </row>
    <row r="2255" spans="1:23" x14ac:dyDescent="0.3">
      <c r="A2255" s="193">
        <v>871</v>
      </c>
      <c r="B2255" s="46" t="s">
        <v>1811</v>
      </c>
      <c r="C2255" s="315"/>
      <c r="D2255" s="316"/>
      <c r="E2255" s="315"/>
      <c r="F2255" s="315"/>
      <c r="G2255" s="315"/>
      <c r="H2255" s="194" t="s">
        <v>2025</v>
      </c>
      <c r="I2255" s="12"/>
      <c r="J2255" s="46" t="s">
        <v>854</v>
      </c>
      <c r="K2255" s="12"/>
      <c r="L2255" s="197">
        <v>37</v>
      </c>
      <c r="M2255" s="197">
        <v>1</v>
      </c>
      <c r="N2255" s="290">
        <v>5</v>
      </c>
      <c r="O2255" s="320"/>
      <c r="P2255" s="320" t="s">
        <v>39</v>
      </c>
      <c r="Q2255" s="12"/>
      <c r="R2255" s="192" t="str">
        <f>CONCATENATE(N2255,P2255)</f>
        <v>5grams</v>
      </c>
      <c r="S2255" s="198">
        <f>M2255*N2255</f>
        <v>5</v>
      </c>
      <c r="T2255" s="199" t="str">
        <f>CONCATENATE(S2255,Q2255,P2255)</f>
        <v>5grams</v>
      </c>
      <c r="U2255" s="200">
        <f>L2255*M2255</f>
        <v>37</v>
      </c>
      <c r="V2255" s="12"/>
      <c r="W2255" s="12"/>
    </row>
    <row r="2256" spans="1:23" x14ac:dyDescent="0.3">
      <c r="A2256" s="193">
        <v>872</v>
      </c>
      <c r="B2256" s="46" t="s">
        <v>2009</v>
      </c>
      <c r="C2256" s="315"/>
      <c r="D2256" s="316"/>
      <c r="E2256" s="315"/>
      <c r="F2256" s="315"/>
      <c r="G2256" s="315"/>
      <c r="H2256" s="400" t="s">
        <v>2027</v>
      </c>
      <c r="I2256" s="12"/>
      <c r="J2256" s="170"/>
      <c r="K2256" s="12"/>
      <c r="L2256" s="195">
        <v>22.37</v>
      </c>
      <c r="M2256" s="197">
        <v>11</v>
      </c>
      <c r="N2256" s="360">
        <v>1</v>
      </c>
      <c r="O2256" s="273"/>
      <c r="P2256" s="273" t="s">
        <v>92</v>
      </c>
      <c r="Q2256" s="12"/>
      <c r="R2256" s="192" t="str">
        <f>CONCATENATE(N2256,P2256)</f>
        <v>1pieces</v>
      </c>
      <c r="S2256" s="198">
        <f>M2256*N2256</f>
        <v>11</v>
      </c>
      <c r="T2256" s="199" t="str">
        <f>CONCATENATE(S2256,Q2256,P2256)</f>
        <v>11pieces</v>
      </c>
      <c r="U2256" s="200">
        <f>L2256*M2256</f>
        <v>246.07000000000002</v>
      </c>
      <c r="V2256" s="12"/>
      <c r="W2256" s="12"/>
    </row>
    <row r="2257" spans="1:23" x14ac:dyDescent="0.3">
      <c r="A2257" s="193">
        <v>873</v>
      </c>
      <c r="B2257" s="194" t="s">
        <v>803</v>
      </c>
      <c r="C2257" s="487"/>
      <c r="D2257" s="485" t="str">
        <f ca="1">IFERROR(__xludf.DUMMYFUNCTION("IF(J600="""",""n/a"",IFERROR(SPLIT(J600,""/"")))"),"Oishi")</f>
        <v>Oishi</v>
      </c>
      <c r="E2257" s="485" t="str">
        <f ca="1">IFERROR(__xludf.DUMMYFUNCTION("""COMPUTED_VALUE"""),"packs")</f>
        <v>packs</v>
      </c>
      <c r="F2257" s="485" t="str">
        <f ca="1">IFERROR(__xludf.DUMMYFUNCTION("""COMPUTED_VALUE"""),"75grams")</f>
        <v>75grams</v>
      </c>
      <c r="G2257" s="487"/>
      <c r="H2257" s="183" t="s">
        <v>1897</v>
      </c>
      <c r="I2257" s="487"/>
      <c r="J2257" s="96" t="s">
        <v>804</v>
      </c>
      <c r="K2257" s="487"/>
      <c r="L2257" s="498">
        <v>22.38</v>
      </c>
      <c r="M2257" s="217">
        <v>6</v>
      </c>
      <c r="N2257" s="247">
        <v>1</v>
      </c>
      <c r="O2257" s="240" t="str">
        <f ca="1">E2257</f>
        <v>packs</v>
      </c>
      <c r="P2257" s="240" t="s">
        <v>92</v>
      </c>
      <c r="Q2257" s="12"/>
      <c r="R2257" s="192" t="str">
        <f>CONCATENATE(N2257,P2257)</f>
        <v>1pieces</v>
      </c>
      <c r="S2257" s="198">
        <f>M2257*N2257</f>
        <v>6</v>
      </c>
      <c r="T2257" s="199" t="str">
        <f>CONCATENATE(S2257,Q2257,P2257)</f>
        <v>6pieces</v>
      </c>
      <c r="U2257" s="200">
        <f>L2257*M2257</f>
        <v>134.28</v>
      </c>
      <c r="V2257" s="12"/>
      <c r="W2257" s="12"/>
    </row>
    <row r="2258" spans="1:23" x14ac:dyDescent="0.3">
      <c r="A2258" s="193">
        <v>874</v>
      </c>
      <c r="B2258" s="194" t="s">
        <v>805</v>
      </c>
      <c r="C2258" s="487"/>
      <c r="D2258" s="485" t="str">
        <f ca="1">IFERROR(__xludf.DUMMYFUNCTION("IF(J601="""",""n/a"",IFERROR(SPLIT(J601,""/"")))"),"n/a")</f>
        <v>n/a</v>
      </c>
      <c r="E2258" s="487"/>
      <c r="F2258" s="487"/>
      <c r="G2258" s="487"/>
      <c r="H2258" s="206" t="s">
        <v>1898</v>
      </c>
      <c r="I2258" s="487"/>
      <c r="J2258" s="170"/>
      <c r="K2258" s="487"/>
      <c r="L2258" s="274">
        <v>22.38</v>
      </c>
      <c r="M2258" s="386">
        <v>30</v>
      </c>
      <c r="N2258" s="250">
        <v>30</v>
      </c>
      <c r="O2258" s="237">
        <f>E2258</f>
        <v>0</v>
      </c>
      <c r="P2258" s="240" t="s">
        <v>92</v>
      </c>
      <c r="Q2258" s="12"/>
      <c r="R2258" s="192" t="str">
        <f>CONCATENATE(N2258,P2258)</f>
        <v>30pieces</v>
      </c>
      <c r="S2258" s="198">
        <f>M2258*N2258</f>
        <v>900</v>
      </c>
      <c r="T2258" s="199" t="str">
        <f>CONCATENATE(S2258,Q2258,P2258)</f>
        <v>900pieces</v>
      </c>
      <c r="U2258" s="200">
        <f>L2258*M2258</f>
        <v>671.4</v>
      </c>
      <c r="V2258" s="12"/>
      <c r="W2258" s="12"/>
    </row>
    <row r="2259" spans="1:23" x14ac:dyDescent="0.3">
      <c r="A2259" s="193">
        <v>875</v>
      </c>
      <c r="B2259" s="46" t="s">
        <v>2010</v>
      </c>
      <c r="C2259" s="315"/>
      <c r="D2259" s="316"/>
      <c r="E2259" s="315"/>
      <c r="F2259" s="315"/>
      <c r="G2259" s="315"/>
      <c r="H2259" s="400" t="s">
        <v>2027</v>
      </c>
      <c r="I2259" s="12"/>
      <c r="J2259" s="170"/>
      <c r="K2259" s="12"/>
      <c r="L2259" s="254">
        <v>14.45</v>
      </c>
      <c r="M2259" s="255">
        <v>28</v>
      </c>
      <c r="N2259" s="366">
        <v>1</v>
      </c>
      <c r="O2259" s="240"/>
      <c r="P2259" s="240" t="s">
        <v>92</v>
      </c>
      <c r="Q2259" s="12"/>
      <c r="R2259" s="192" t="str">
        <f>CONCATENATE(N2259,P2259)</f>
        <v>1pieces</v>
      </c>
      <c r="S2259" s="198">
        <f>M2259*N2259</f>
        <v>28</v>
      </c>
      <c r="T2259" s="199" t="str">
        <f>CONCATENATE(S2259,Q2259,P2259)</f>
        <v>28pieces</v>
      </c>
      <c r="U2259" s="200">
        <f>L2259*M2259</f>
        <v>404.59999999999997</v>
      </c>
      <c r="V2259" s="12"/>
      <c r="W2259" s="12"/>
    </row>
    <row r="2260" spans="1:23" x14ac:dyDescent="0.3">
      <c r="A2260" s="193">
        <v>876</v>
      </c>
      <c r="B2260" s="96" t="s">
        <v>2011</v>
      </c>
      <c r="C2260" s="315"/>
      <c r="D2260" s="316"/>
      <c r="E2260" s="315"/>
      <c r="F2260" s="315"/>
      <c r="G2260" s="315"/>
      <c r="H2260" s="400" t="s">
        <v>2027</v>
      </c>
      <c r="I2260" s="12"/>
      <c r="J2260" s="96" t="s">
        <v>1928</v>
      </c>
      <c r="K2260" s="12"/>
      <c r="L2260" s="254">
        <v>180</v>
      </c>
      <c r="M2260" s="255">
        <v>2</v>
      </c>
      <c r="N2260" s="366">
        <v>1</v>
      </c>
      <c r="O2260" s="240"/>
      <c r="P2260" s="240" t="s">
        <v>213</v>
      </c>
      <c r="Q2260" s="12"/>
      <c r="R2260" s="192" t="str">
        <f>CONCATENATE(N2260,P2260)</f>
        <v>1kilos</v>
      </c>
      <c r="S2260" s="198">
        <f>M2260*N2260</f>
        <v>2</v>
      </c>
      <c r="T2260" s="199" t="str">
        <f>CONCATENATE(S2260,Q2260,P2260)</f>
        <v>2kilos</v>
      </c>
      <c r="U2260" s="200">
        <f>L2260*M2260</f>
        <v>360</v>
      </c>
      <c r="V2260" s="12"/>
      <c r="W2260" s="12"/>
    </row>
    <row r="2261" spans="1:23" x14ac:dyDescent="0.3">
      <c r="A2261" s="193">
        <v>877</v>
      </c>
      <c r="B2261" s="96" t="s">
        <v>1812</v>
      </c>
      <c r="C2261" s="315"/>
      <c r="D2261" s="316"/>
      <c r="E2261" s="315"/>
      <c r="F2261" s="315"/>
      <c r="G2261" s="315"/>
      <c r="H2261" s="194" t="s">
        <v>2020</v>
      </c>
      <c r="I2261" s="12"/>
      <c r="J2261" s="96" t="s">
        <v>1813</v>
      </c>
      <c r="K2261" s="12"/>
      <c r="L2261" s="255">
        <v>15</v>
      </c>
      <c r="M2261" s="255">
        <v>21</v>
      </c>
      <c r="N2261" s="333">
        <v>1</v>
      </c>
      <c r="O2261" s="47"/>
      <c r="P2261" s="47" t="s">
        <v>92</v>
      </c>
      <c r="Q2261" s="12"/>
      <c r="R2261" s="192" t="str">
        <f>CONCATENATE(N2261,P2261)</f>
        <v>1pieces</v>
      </c>
      <c r="S2261" s="198">
        <f>M2261*N2261</f>
        <v>21</v>
      </c>
      <c r="T2261" s="199" t="str">
        <f>CONCATENATE(S2261,Q2261,P2261)</f>
        <v>21pieces</v>
      </c>
      <c r="U2261" s="200">
        <f>L2261*M2261</f>
        <v>315</v>
      </c>
      <c r="V2261" s="12"/>
      <c r="W2261" s="12"/>
    </row>
    <row r="2262" spans="1:23" x14ac:dyDescent="0.3">
      <c r="A2262" s="193">
        <v>877</v>
      </c>
      <c r="B2262" s="96" t="s">
        <v>1812</v>
      </c>
      <c r="C2262" s="315"/>
      <c r="D2262" s="316"/>
      <c r="E2262" s="315"/>
      <c r="F2262" s="315"/>
      <c r="G2262" s="315"/>
      <c r="H2262" s="194" t="s">
        <v>2020</v>
      </c>
      <c r="I2262" s="12"/>
      <c r="J2262" s="96" t="s">
        <v>1814</v>
      </c>
      <c r="K2262" s="12"/>
      <c r="L2262" s="255">
        <v>15</v>
      </c>
      <c r="M2262" s="255">
        <v>6</v>
      </c>
      <c r="N2262" s="333">
        <v>1</v>
      </c>
      <c r="O2262" s="47"/>
      <c r="P2262" s="47" t="s">
        <v>92</v>
      </c>
      <c r="Q2262" s="12"/>
      <c r="R2262" s="192" t="str">
        <f>CONCATENATE(N2262,P2262)</f>
        <v>1pieces</v>
      </c>
      <c r="S2262" s="198">
        <f>M2262*N2262</f>
        <v>6</v>
      </c>
      <c r="T2262" s="199" t="str">
        <f>CONCATENATE(S2262,Q2262,P2262)</f>
        <v>6pieces</v>
      </c>
      <c r="U2262" s="200">
        <f>L2262*M2262</f>
        <v>90</v>
      </c>
      <c r="V2262" s="12"/>
      <c r="W2262" s="12"/>
    </row>
    <row r="2263" spans="1:23" x14ac:dyDescent="0.3">
      <c r="A2263" s="193">
        <v>878</v>
      </c>
      <c r="B2263" s="347" t="s">
        <v>1815</v>
      </c>
      <c r="C2263" s="315"/>
      <c r="D2263" s="316"/>
      <c r="E2263" s="315"/>
      <c r="F2263" s="315"/>
      <c r="G2263" s="315"/>
      <c r="H2263" s="194" t="s">
        <v>2024</v>
      </c>
      <c r="I2263" s="12"/>
      <c r="J2263" s="96" t="s">
        <v>1816</v>
      </c>
      <c r="K2263" s="12"/>
      <c r="L2263" s="255">
        <v>8.59</v>
      </c>
      <c r="M2263" s="255">
        <v>15</v>
      </c>
      <c r="N2263" s="333">
        <v>2</v>
      </c>
      <c r="O2263" s="47"/>
      <c r="P2263" s="47" t="s">
        <v>39</v>
      </c>
      <c r="Q2263" s="12"/>
      <c r="R2263" s="192" t="str">
        <f>CONCATENATE(N2263,P2263)</f>
        <v>2grams</v>
      </c>
      <c r="S2263" s="198">
        <f>M2263*N2263</f>
        <v>30</v>
      </c>
      <c r="T2263" s="199" t="str">
        <f>CONCATENATE(S2263,Q2263,P2263)</f>
        <v>30grams</v>
      </c>
      <c r="U2263" s="200">
        <f>L2263*M2263</f>
        <v>128.85</v>
      </c>
      <c r="V2263" s="12"/>
      <c r="W2263" s="12"/>
    </row>
    <row r="2264" spans="1:23" x14ac:dyDescent="0.3">
      <c r="A2264" s="193">
        <v>878</v>
      </c>
      <c r="B2264" s="347" t="s">
        <v>1815</v>
      </c>
      <c r="C2264" s="315"/>
      <c r="D2264" s="316"/>
      <c r="E2264" s="315"/>
      <c r="F2264" s="315"/>
      <c r="G2264" s="315"/>
      <c r="H2264" s="194" t="s">
        <v>2023</v>
      </c>
      <c r="I2264" s="12"/>
      <c r="J2264" s="96" t="s">
        <v>1816</v>
      </c>
      <c r="K2264" s="12"/>
      <c r="L2264" s="197">
        <v>5.44</v>
      </c>
      <c r="M2264" s="197">
        <v>150</v>
      </c>
      <c r="N2264" s="512">
        <v>1.5</v>
      </c>
      <c r="O2264" s="46"/>
      <c r="P2264" s="46" t="s">
        <v>39</v>
      </c>
      <c r="Q2264" s="12"/>
      <c r="R2264" s="192" t="str">
        <f>CONCATENATE(N2264,P2264)</f>
        <v>1.5grams</v>
      </c>
      <c r="S2264" s="198">
        <f>M2264*N2264</f>
        <v>225</v>
      </c>
      <c r="T2264" s="199" t="str">
        <f>CONCATENATE(S2264,Q2264,P2264)</f>
        <v>225grams</v>
      </c>
      <c r="U2264" s="200">
        <f>L2264*M2264</f>
        <v>816.00000000000011</v>
      </c>
      <c r="V2264" s="12"/>
      <c r="W2264" s="12"/>
    </row>
    <row r="2265" spans="1:23" x14ac:dyDescent="0.3">
      <c r="A2265" s="193">
        <v>878</v>
      </c>
      <c r="B2265" s="347" t="s">
        <v>1815</v>
      </c>
      <c r="C2265" s="315"/>
      <c r="D2265" s="316"/>
      <c r="E2265" s="315"/>
      <c r="F2265" s="315"/>
      <c r="G2265" s="315"/>
      <c r="H2265" s="194" t="s">
        <v>2022</v>
      </c>
      <c r="I2265" s="12"/>
      <c r="J2265" s="96" t="s">
        <v>1816</v>
      </c>
      <c r="K2265" s="12"/>
      <c r="L2265" s="255">
        <v>8.59</v>
      </c>
      <c r="M2265" s="255">
        <v>6</v>
      </c>
      <c r="N2265" s="333">
        <v>2</v>
      </c>
      <c r="O2265" s="46"/>
      <c r="P2265" s="46" t="s">
        <v>39</v>
      </c>
      <c r="Q2265" s="12"/>
      <c r="R2265" s="192" t="str">
        <f>CONCATENATE(N2265,P2265)</f>
        <v>2grams</v>
      </c>
      <c r="S2265" s="198">
        <f>M2265*N2265</f>
        <v>12</v>
      </c>
      <c r="T2265" s="199" t="str">
        <f>CONCATENATE(S2265,Q2265,P2265)</f>
        <v>12grams</v>
      </c>
      <c r="U2265" s="200">
        <f>L2265*M2265</f>
        <v>51.54</v>
      </c>
      <c r="V2265" s="12"/>
      <c r="W2265" s="12"/>
    </row>
    <row r="2266" spans="1:23" x14ac:dyDescent="0.3">
      <c r="A2266" s="193">
        <v>878</v>
      </c>
      <c r="B2266" s="347" t="s">
        <v>1815</v>
      </c>
      <c r="C2266" s="315"/>
      <c r="D2266" s="316"/>
      <c r="E2266" s="315"/>
      <c r="F2266" s="315"/>
      <c r="G2266" s="315"/>
      <c r="H2266" s="194" t="s">
        <v>2021</v>
      </c>
      <c r="I2266" s="12"/>
      <c r="J2266" s="96" t="s">
        <v>1816</v>
      </c>
      <c r="K2266" s="12"/>
      <c r="L2266" s="285">
        <v>9.99</v>
      </c>
      <c r="M2266" s="285">
        <v>2</v>
      </c>
      <c r="N2266" s="506">
        <v>1.5</v>
      </c>
      <c r="O2266" s="327"/>
      <c r="P2266" s="327" t="s">
        <v>39</v>
      </c>
      <c r="Q2266" s="12"/>
      <c r="R2266" s="192" t="str">
        <f>CONCATENATE(N2266,P2266)</f>
        <v>1.5grams</v>
      </c>
      <c r="S2266" s="198">
        <f>M2266*N2266</f>
        <v>3</v>
      </c>
      <c r="T2266" s="199" t="str">
        <f>CONCATENATE(S2266,Q2266,P2266)</f>
        <v>3grams</v>
      </c>
      <c r="U2266" s="200">
        <f>L2266*M2266</f>
        <v>19.98</v>
      </c>
      <c r="V2266" s="12"/>
      <c r="W2266" s="12"/>
    </row>
    <row r="2267" spans="1:23" x14ac:dyDescent="0.3">
      <c r="A2267" s="193">
        <v>879</v>
      </c>
      <c r="B2267" s="96" t="s">
        <v>1817</v>
      </c>
      <c r="C2267" s="315"/>
      <c r="D2267" s="316"/>
      <c r="E2267" s="315"/>
      <c r="F2267" s="315"/>
      <c r="G2267" s="315"/>
      <c r="H2267" s="194" t="s">
        <v>2024</v>
      </c>
      <c r="I2267" s="12"/>
      <c r="J2267" s="96" t="s">
        <v>1816</v>
      </c>
      <c r="K2267" s="12"/>
      <c r="L2267" s="255">
        <v>4.8600000000000003</v>
      </c>
      <c r="M2267" s="255">
        <v>46</v>
      </c>
      <c r="N2267" s="333">
        <v>2</v>
      </c>
      <c r="O2267" s="47"/>
      <c r="P2267" s="47" t="s">
        <v>39</v>
      </c>
      <c r="Q2267" s="12"/>
      <c r="R2267" s="192" t="str">
        <f>CONCATENATE(N2267,P2267)</f>
        <v>2grams</v>
      </c>
      <c r="S2267" s="198">
        <f>M2267*N2267</f>
        <v>92</v>
      </c>
      <c r="T2267" s="199" t="str">
        <f>CONCATENATE(S2267,Q2267,P2267)</f>
        <v>92grams</v>
      </c>
      <c r="U2267" s="200">
        <f>L2267*M2267</f>
        <v>223.56</v>
      </c>
      <c r="V2267" s="12"/>
      <c r="W2267" s="12"/>
    </row>
    <row r="2268" spans="1:23" x14ac:dyDescent="0.3">
      <c r="A2268" s="193">
        <v>879</v>
      </c>
      <c r="B2268" s="96" t="s">
        <v>1817</v>
      </c>
      <c r="C2268" s="315"/>
      <c r="D2268" s="316"/>
      <c r="E2268" s="315"/>
      <c r="F2268" s="315"/>
      <c r="G2268" s="315"/>
      <c r="H2268" s="194" t="s">
        <v>2023</v>
      </c>
      <c r="I2268" s="12"/>
      <c r="J2268" s="96" t="s">
        <v>1816</v>
      </c>
      <c r="K2268" s="12"/>
      <c r="L2268" s="285">
        <v>10.09</v>
      </c>
      <c r="M2268" s="285">
        <v>217</v>
      </c>
      <c r="N2268" s="336">
        <v>2</v>
      </c>
      <c r="O2268" s="327"/>
      <c r="P2268" s="327" t="s">
        <v>39</v>
      </c>
      <c r="Q2268" s="12"/>
      <c r="R2268" s="192" t="str">
        <f>CONCATENATE(N2268,P2268)</f>
        <v>2grams</v>
      </c>
      <c r="S2268" s="198">
        <f>M2268*N2268</f>
        <v>434</v>
      </c>
      <c r="T2268" s="199" t="str">
        <f>CONCATENATE(S2268,Q2268,P2268)</f>
        <v>434grams</v>
      </c>
      <c r="U2268" s="200">
        <f>L2268*M2268</f>
        <v>2189.5299999999997</v>
      </c>
      <c r="V2268" s="12"/>
      <c r="W2268" s="12"/>
    </row>
    <row r="2269" spans="1:23" x14ac:dyDescent="0.3">
      <c r="A2269" s="193">
        <v>879</v>
      </c>
      <c r="B2269" s="96" t="s">
        <v>1817</v>
      </c>
      <c r="C2269" s="315"/>
      <c r="D2269" s="316"/>
      <c r="E2269" s="315"/>
      <c r="F2269" s="315"/>
      <c r="G2269" s="315"/>
      <c r="H2269" s="194" t="s">
        <v>2022</v>
      </c>
      <c r="I2269" s="12"/>
      <c r="J2269" s="96" t="s">
        <v>1816</v>
      </c>
      <c r="K2269" s="12"/>
      <c r="L2269" s="255">
        <v>4.79</v>
      </c>
      <c r="M2269" s="255">
        <v>62</v>
      </c>
      <c r="N2269" s="333">
        <v>2</v>
      </c>
      <c r="O2269" s="47"/>
      <c r="P2269" s="47" t="s">
        <v>39</v>
      </c>
      <c r="Q2269" s="12"/>
      <c r="R2269" s="192" t="str">
        <f>CONCATENATE(N2269,P2269)</f>
        <v>2grams</v>
      </c>
      <c r="S2269" s="198">
        <f>M2269*N2269</f>
        <v>124</v>
      </c>
      <c r="T2269" s="199" t="str">
        <f>CONCATENATE(S2269,Q2269,P2269)</f>
        <v>124grams</v>
      </c>
      <c r="U2269" s="200">
        <f>L2269*M2269</f>
        <v>296.98</v>
      </c>
      <c r="V2269" s="12"/>
      <c r="W2269" s="12"/>
    </row>
    <row r="2270" spans="1:23" x14ac:dyDescent="0.3">
      <c r="A2270" s="193">
        <v>880</v>
      </c>
      <c r="B2270" s="194" t="s">
        <v>806</v>
      </c>
      <c r="C2270" s="487"/>
      <c r="D2270" s="485" t="str">
        <f ca="1">IFERROR(__xludf.DUMMYFUNCTION("IF(J602="""",""n/a"",IFERROR(SPLIT(J602,""/"")))"),"Below Zero")</f>
        <v>Below Zero</v>
      </c>
      <c r="E2270" s="485" t="str">
        <f ca="1">IFERROR(__xludf.DUMMYFUNCTION("""COMPUTED_VALUE"""),"box (24pcsx500ml)")</f>
        <v>box (24pcsx500ml)</v>
      </c>
      <c r="F2270" s="487"/>
      <c r="G2270" s="487"/>
      <c r="H2270" s="183" t="s">
        <v>1897</v>
      </c>
      <c r="I2270" s="487"/>
      <c r="J2270" s="46" t="s">
        <v>104</v>
      </c>
      <c r="K2270" s="487"/>
      <c r="L2270" s="270">
        <v>7.5</v>
      </c>
      <c r="M2270" s="271">
        <v>1001</v>
      </c>
      <c r="N2270" s="247">
        <v>1</v>
      </c>
      <c r="O2270" s="240" t="str">
        <f ca="1">E2270</f>
        <v>box (24pcsx500ml)</v>
      </c>
      <c r="P2270" s="240" t="s">
        <v>92</v>
      </c>
      <c r="Q2270" s="12"/>
      <c r="R2270" s="192" t="str">
        <f>CONCATENATE(N2270,P2270)</f>
        <v>1pieces</v>
      </c>
      <c r="S2270" s="198">
        <f>M2270*N2270</f>
        <v>1001</v>
      </c>
      <c r="T2270" s="199" t="str">
        <f>CONCATENATE(S2270,Q2270,P2270)</f>
        <v>1001pieces</v>
      </c>
      <c r="U2270" s="200">
        <f>L2270*M2270</f>
        <v>7507.5</v>
      </c>
      <c r="V2270" s="205"/>
      <c r="W2270" s="62"/>
    </row>
    <row r="2271" spans="1:23" x14ac:dyDescent="0.3">
      <c r="A2271" s="193">
        <v>880</v>
      </c>
      <c r="B2271" s="46" t="s">
        <v>806</v>
      </c>
      <c r="C2271" s="315"/>
      <c r="D2271" s="316"/>
      <c r="E2271" s="315"/>
      <c r="F2271" s="315"/>
      <c r="G2271" s="315"/>
      <c r="H2271" s="400" t="s">
        <v>2027</v>
      </c>
      <c r="I2271" s="12"/>
      <c r="J2271" s="170"/>
      <c r="K2271" s="12"/>
      <c r="L2271" s="254">
        <v>21.45</v>
      </c>
      <c r="M2271" s="255">
        <v>4</v>
      </c>
      <c r="N2271" s="366">
        <v>1</v>
      </c>
      <c r="O2271" s="100"/>
      <c r="P2271" s="100" t="s">
        <v>92</v>
      </c>
      <c r="Q2271" s="12"/>
      <c r="R2271" s="192" t="str">
        <f>CONCATENATE(N2271,P2271)</f>
        <v>1pieces</v>
      </c>
      <c r="S2271" s="198">
        <f>M2271*N2271</f>
        <v>4</v>
      </c>
      <c r="T2271" s="199" t="str">
        <f>CONCATENATE(S2271,Q2271,P2271)</f>
        <v>4pieces</v>
      </c>
      <c r="U2271" s="200">
        <f>L2271*M2271</f>
        <v>85.8</v>
      </c>
      <c r="V2271" s="12"/>
      <c r="W2271" s="12"/>
    </row>
    <row r="2272" spans="1:23" x14ac:dyDescent="0.3">
      <c r="A2272" s="193">
        <v>881</v>
      </c>
      <c r="B2272" s="219" t="s">
        <v>1818</v>
      </c>
      <c r="C2272" s="315"/>
      <c r="D2272" s="316"/>
      <c r="E2272" s="315"/>
      <c r="F2272" s="315"/>
      <c r="G2272" s="315"/>
      <c r="H2272" s="194" t="s">
        <v>2021</v>
      </c>
      <c r="I2272" s="12"/>
      <c r="J2272" s="219" t="s">
        <v>1819</v>
      </c>
      <c r="K2272" s="12"/>
      <c r="L2272" s="285">
        <v>220</v>
      </c>
      <c r="M2272" s="285">
        <v>1</v>
      </c>
      <c r="N2272" s="336">
        <v>700</v>
      </c>
      <c r="O2272" s="327"/>
      <c r="P2272" s="327" t="s">
        <v>39</v>
      </c>
      <c r="Q2272" s="12"/>
      <c r="R2272" s="192" t="str">
        <f>CONCATENATE(N2272,P2272)</f>
        <v>700grams</v>
      </c>
      <c r="S2272" s="198">
        <f>M2272*N2272</f>
        <v>700</v>
      </c>
      <c r="T2272" s="199" t="str">
        <f>CONCATENATE(S2272,Q2272,P2272)</f>
        <v>700grams</v>
      </c>
      <c r="U2272" s="200">
        <f>L2272*M2272</f>
        <v>220</v>
      </c>
      <c r="V2272" s="12"/>
      <c r="W2272" s="12"/>
    </row>
    <row r="2273" spans="1:23" x14ac:dyDescent="0.3">
      <c r="A2273" s="193">
        <v>882</v>
      </c>
      <c r="B2273" s="194" t="s">
        <v>807</v>
      </c>
      <c r="C2273" s="487"/>
      <c r="D2273" s="485" t="str">
        <f ca="1">IFERROR(__xludf.DUMMYFUNCTION("IF(J603="""",""n/a"",IFERROR(SPLIT(J603,""/"")))"),"pack")</f>
        <v>pack</v>
      </c>
      <c r="E2273" s="485" t="str">
        <f ca="1">IFERROR(__xludf.DUMMYFUNCTION("""COMPUTED_VALUE"""),"1000grams")</f>
        <v>1000grams</v>
      </c>
      <c r="F2273" s="487"/>
      <c r="G2273" s="487"/>
      <c r="H2273" s="183" t="s">
        <v>1897</v>
      </c>
      <c r="I2273" s="487"/>
      <c r="J2273" s="46" t="s">
        <v>51</v>
      </c>
      <c r="K2273" s="487"/>
      <c r="L2273" s="271">
        <v>0.34</v>
      </c>
      <c r="M2273" s="271">
        <v>250</v>
      </c>
      <c r="N2273" s="247">
        <v>1000</v>
      </c>
      <c r="O2273" s="240" t="str">
        <f ca="1">E2273</f>
        <v>1000grams</v>
      </c>
      <c r="P2273" s="240" t="s">
        <v>39</v>
      </c>
      <c r="Q2273" s="12"/>
      <c r="R2273" s="192" t="str">
        <f>CONCATENATE(N2273,P2273)</f>
        <v>1000grams</v>
      </c>
      <c r="S2273" s="198">
        <f>M2273*N2273</f>
        <v>250000</v>
      </c>
      <c r="T2273" s="199" t="str">
        <f>CONCATENATE(S2273,Q2273,P2273)</f>
        <v>250000grams</v>
      </c>
      <c r="U2273" s="200">
        <f>L2273*M2273</f>
        <v>85</v>
      </c>
      <c r="V2273" s="12"/>
      <c r="W2273" s="12"/>
    </row>
    <row r="2274" spans="1:23" x14ac:dyDescent="0.3">
      <c r="A2274" s="193">
        <v>882</v>
      </c>
      <c r="B2274" s="194" t="s">
        <v>807</v>
      </c>
      <c r="C2274" s="487"/>
      <c r="D2274" s="485" t="str">
        <f ca="1">IFERROR(__xludf.DUMMYFUNCTION("IF(J604="""",""n/a"",IFERROR(SPLIT(J604,""/"")))"),"n/a")</f>
        <v>n/a</v>
      </c>
      <c r="E2274" s="487"/>
      <c r="F2274" s="487"/>
      <c r="G2274" s="487"/>
      <c r="H2274" s="206" t="s">
        <v>1898</v>
      </c>
      <c r="I2274" s="487"/>
      <c r="J2274" s="173"/>
      <c r="K2274" s="487"/>
      <c r="L2274" s="255">
        <v>0.65</v>
      </c>
      <c r="M2274" s="389">
        <v>200</v>
      </c>
      <c r="N2274" s="260">
        <v>1000</v>
      </c>
      <c r="O2274" s="239">
        <f>E2274</f>
        <v>0</v>
      </c>
      <c r="P2274" s="100" t="s">
        <v>39</v>
      </c>
      <c r="Q2274" s="12"/>
      <c r="R2274" s="192" t="str">
        <f>CONCATENATE(N2274,P2274)</f>
        <v>1000grams</v>
      </c>
      <c r="S2274" s="198">
        <f>M2274*N2274</f>
        <v>200000</v>
      </c>
      <c r="T2274" s="199" t="str">
        <f>CONCATENATE(S2274,Q2274,P2274)</f>
        <v>200000grams</v>
      </c>
      <c r="U2274" s="200">
        <f>L2274*M2274</f>
        <v>130</v>
      </c>
      <c r="V2274" s="12"/>
      <c r="W2274" s="12"/>
    </row>
    <row r="2275" spans="1:23" x14ac:dyDescent="0.3">
      <c r="A2275" s="193">
        <v>882</v>
      </c>
      <c r="B2275" s="356" t="s">
        <v>807</v>
      </c>
      <c r="C2275" s="315"/>
      <c r="D2275" s="316"/>
      <c r="E2275" s="315"/>
      <c r="F2275" s="315"/>
      <c r="G2275" s="315"/>
      <c r="H2275" s="194" t="s">
        <v>2022</v>
      </c>
      <c r="I2275" s="12"/>
      <c r="J2275" s="46" t="s">
        <v>867</v>
      </c>
      <c r="K2275" s="12"/>
      <c r="L2275" s="255">
        <v>80</v>
      </c>
      <c r="M2275" s="255">
        <v>2</v>
      </c>
      <c r="N2275" s="333">
        <v>500</v>
      </c>
      <c r="O2275" s="47"/>
      <c r="P2275" s="47" t="s">
        <v>39</v>
      </c>
      <c r="Q2275" s="12"/>
      <c r="R2275" s="192" t="str">
        <f>CONCATENATE(N2275,P2275)</f>
        <v>500grams</v>
      </c>
      <c r="S2275" s="198">
        <f>M2275*N2275</f>
        <v>1000</v>
      </c>
      <c r="T2275" s="199" t="str">
        <f>CONCATENATE(S2275,Q2275,P2275)</f>
        <v>1000grams</v>
      </c>
      <c r="U2275" s="200">
        <f>L2275*M2275</f>
        <v>160</v>
      </c>
      <c r="V2275" s="12"/>
      <c r="W2275" s="12"/>
    </row>
    <row r="2276" spans="1:23" x14ac:dyDescent="0.3">
      <c r="A2276" s="193">
        <v>883</v>
      </c>
      <c r="B2276" s="356" t="s">
        <v>1820</v>
      </c>
      <c r="C2276" s="315"/>
      <c r="D2276" s="316"/>
      <c r="E2276" s="315"/>
      <c r="F2276" s="315"/>
      <c r="G2276" s="315"/>
      <c r="H2276" s="194" t="s">
        <v>2025</v>
      </c>
      <c r="I2276" s="12"/>
      <c r="J2276" s="46" t="s">
        <v>1359</v>
      </c>
      <c r="K2276" s="12"/>
      <c r="L2276" s="255">
        <v>289</v>
      </c>
      <c r="M2276" s="255">
        <v>1</v>
      </c>
      <c r="N2276" s="333">
        <v>1</v>
      </c>
      <c r="O2276" s="47"/>
      <c r="P2276" s="47" t="s">
        <v>773</v>
      </c>
      <c r="Q2276" s="12"/>
      <c r="R2276" s="192" t="str">
        <f>CONCATENATE(N2276,P2276)</f>
        <v>1liters</v>
      </c>
      <c r="S2276" s="198">
        <f>M2276*N2276</f>
        <v>1</v>
      </c>
      <c r="T2276" s="199" t="str">
        <f>CONCATENATE(S2276,Q2276,P2276)</f>
        <v>1liters</v>
      </c>
      <c r="U2276" s="200">
        <f>L2276*M2276</f>
        <v>289</v>
      </c>
      <c r="V2276" s="12"/>
      <c r="W2276" s="12"/>
    </row>
    <row r="2277" spans="1:23" x14ac:dyDescent="0.3">
      <c r="A2277" s="193">
        <v>883</v>
      </c>
      <c r="B2277" s="355" t="s">
        <v>1820</v>
      </c>
      <c r="C2277" s="315"/>
      <c r="D2277" s="316"/>
      <c r="E2277" s="315"/>
      <c r="F2277" s="315"/>
      <c r="G2277" s="315"/>
      <c r="H2277" s="194" t="s">
        <v>2021</v>
      </c>
      <c r="I2277" s="12"/>
      <c r="J2277" s="219" t="s">
        <v>1359</v>
      </c>
      <c r="K2277" s="12"/>
      <c r="L2277" s="285">
        <v>315</v>
      </c>
      <c r="M2277" s="285">
        <v>1</v>
      </c>
      <c r="N2277" s="336">
        <v>1</v>
      </c>
      <c r="O2277" s="327"/>
      <c r="P2277" s="327" t="s">
        <v>773</v>
      </c>
      <c r="Q2277" s="12"/>
      <c r="R2277" s="192" t="str">
        <f>CONCATENATE(N2277,P2277)</f>
        <v>1liters</v>
      </c>
      <c r="S2277" s="198">
        <f>M2277*N2277</f>
        <v>1</v>
      </c>
      <c r="T2277" s="199" t="str">
        <f>CONCATENATE(S2277,Q2277,P2277)</f>
        <v>1liters</v>
      </c>
      <c r="U2277" s="200">
        <f>L2277*M2277</f>
        <v>315</v>
      </c>
      <c r="V2277" s="12"/>
      <c r="W2277" s="12"/>
    </row>
    <row r="2278" spans="1:23" x14ac:dyDescent="0.3">
      <c r="A2278" s="193">
        <v>884</v>
      </c>
      <c r="B2278" s="46" t="s">
        <v>1821</v>
      </c>
      <c r="C2278" s="315"/>
      <c r="D2278" s="316"/>
      <c r="E2278" s="315"/>
      <c r="F2278" s="315"/>
      <c r="G2278" s="315"/>
      <c r="H2278" s="194" t="s">
        <v>2024</v>
      </c>
      <c r="I2278" s="12"/>
      <c r="J2278" s="46" t="s">
        <v>1822</v>
      </c>
      <c r="K2278" s="12"/>
      <c r="L2278" s="276">
        <v>8.86</v>
      </c>
      <c r="M2278" s="255">
        <v>20</v>
      </c>
      <c r="N2278" s="333">
        <v>250</v>
      </c>
      <c r="O2278" s="47"/>
      <c r="P2278" s="47" t="s">
        <v>32</v>
      </c>
      <c r="Q2278" s="12"/>
      <c r="R2278" s="192" t="str">
        <f>CONCATENATE(N2278,P2278)</f>
        <v>250ml</v>
      </c>
      <c r="S2278" s="198">
        <f>M2278*N2278</f>
        <v>5000</v>
      </c>
      <c r="T2278" s="199" t="str">
        <f>CONCATENATE(S2278,Q2278,P2278)</f>
        <v>5000ml</v>
      </c>
      <c r="U2278" s="200">
        <f>L2278*M2278</f>
        <v>177.2</v>
      </c>
      <c r="V2278" s="12"/>
      <c r="W2278" s="12"/>
    </row>
    <row r="2279" spans="1:23" x14ac:dyDescent="0.3">
      <c r="A2279" s="193">
        <v>885</v>
      </c>
      <c r="B2279" s="46" t="s">
        <v>1823</v>
      </c>
      <c r="C2279" s="315"/>
      <c r="D2279" s="316"/>
      <c r="E2279" s="315"/>
      <c r="F2279" s="315"/>
      <c r="G2279" s="315"/>
      <c r="H2279" s="194" t="s">
        <v>2024</v>
      </c>
      <c r="I2279" s="12"/>
      <c r="J2279" s="46" t="s">
        <v>1822</v>
      </c>
      <c r="K2279" s="12"/>
      <c r="L2279" s="255">
        <v>9.74</v>
      </c>
      <c r="M2279" s="255">
        <v>20</v>
      </c>
      <c r="N2279" s="333">
        <v>250</v>
      </c>
      <c r="O2279" s="47"/>
      <c r="P2279" s="47" t="s">
        <v>32</v>
      </c>
      <c r="Q2279" s="12"/>
      <c r="R2279" s="192" t="str">
        <f>CONCATENATE(N2279,P2279)</f>
        <v>250ml</v>
      </c>
      <c r="S2279" s="198">
        <f>M2279*N2279</f>
        <v>5000</v>
      </c>
      <c r="T2279" s="199" t="str">
        <f>CONCATENATE(S2279,Q2279,P2279)</f>
        <v>5000ml</v>
      </c>
      <c r="U2279" s="200">
        <f>L2279*M2279</f>
        <v>194.8</v>
      </c>
      <c r="V2279" s="12"/>
      <c r="W2279" s="12"/>
    </row>
    <row r="2280" spans="1:23" x14ac:dyDescent="0.3">
      <c r="A2280" s="193">
        <v>886</v>
      </c>
      <c r="B2280" s="46" t="s">
        <v>1824</v>
      </c>
      <c r="C2280" s="315"/>
      <c r="D2280" s="316"/>
      <c r="E2280" s="315"/>
      <c r="F2280" s="315"/>
      <c r="G2280" s="315"/>
      <c r="H2280" s="194" t="s">
        <v>2024</v>
      </c>
      <c r="I2280" s="12"/>
      <c r="J2280" s="46" t="s">
        <v>1822</v>
      </c>
      <c r="K2280" s="12"/>
      <c r="L2280" s="255">
        <v>8.86</v>
      </c>
      <c r="M2280" s="255">
        <v>20</v>
      </c>
      <c r="N2280" s="333">
        <v>250</v>
      </c>
      <c r="O2280" s="47"/>
      <c r="P2280" s="47" t="s">
        <v>32</v>
      </c>
      <c r="Q2280" s="12"/>
      <c r="R2280" s="192" t="str">
        <f>CONCATENATE(N2280,P2280)</f>
        <v>250ml</v>
      </c>
      <c r="S2280" s="198">
        <f>M2280*N2280</f>
        <v>5000</v>
      </c>
      <c r="T2280" s="199" t="str">
        <f>CONCATENATE(S2280,Q2280,P2280)</f>
        <v>5000ml</v>
      </c>
      <c r="U2280" s="200">
        <f>L2280*M2280</f>
        <v>177.2</v>
      </c>
      <c r="V2280" s="12"/>
      <c r="W2280" s="12"/>
    </row>
    <row r="2281" spans="1:23" x14ac:dyDescent="0.3">
      <c r="A2281" s="193">
        <v>887</v>
      </c>
      <c r="B2281" s="46" t="s">
        <v>1825</v>
      </c>
      <c r="C2281" s="315"/>
      <c r="D2281" s="316"/>
      <c r="E2281" s="315"/>
      <c r="F2281" s="315"/>
      <c r="G2281" s="315"/>
      <c r="H2281" s="194" t="s">
        <v>2026</v>
      </c>
      <c r="I2281" s="12"/>
      <c r="J2281" s="219" t="s">
        <v>854</v>
      </c>
      <c r="K2281" s="12"/>
      <c r="L2281" s="255">
        <v>66</v>
      </c>
      <c r="M2281" s="255">
        <v>1</v>
      </c>
      <c r="N2281" s="357">
        <v>14</v>
      </c>
      <c r="O2281" s="47"/>
      <c r="P2281" s="47" t="s">
        <v>39</v>
      </c>
      <c r="Q2281" s="12"/>
      <c r="R2281" s="192" t="str">
        <f>CONCATENATE(N2281,P2281)</f>
        <v>14grams</v>
      </c>
      <c r="S2281" s="198">
        <f>M2281*N2281</f>
        <v>14</v>
      </c>
      <c r="T2281" s="199" t="str">
        <f>CONCATENATE(S2281,Q2281,P2281)</f>
        <v>14grams</v>
      </c>
      <c r="U2281" s="200">
        <f>L2281*M2281</f>
        <v>66</v>
      </c>
      <c r="V2281" s="12"/>
      <c r="W2281" s="12"/>
    </row>
    <row r="2282" spans="1:23" x14ac:dyDescent="0.3">
      <c r="A2282" s="193">
        <v>887</v>
      </c>
      <c r="B2282" s="340" t="s">
        <v>1825</v>
      </c>
      <c r="C2282" s="315"/>
      <c r="D2282" s="316"/>
      <c r="E2282" s="315"/>
      <c r="F2282" s="315"/>
      <c r="G2282" s="315"/>
      <c r="H2282" s="194" t="s">
        <v>2021</v>
      </c>
      <c r="I2282" s="12"/>
      <c r="J2282" s="219" t="s">
        <v>854</v>
      </c>
      <c r="K2282" s="12"/>
      <c r="L2282" s="285">
        <v>57</v>
      </c>
      <c r="M2282" s="285">
        <v>1</v>
      </c>
      <c r="N2282" s="510">
        <v>14</v>
      </c>
      <c r="O2282" s="327"/>
      <c r="P2282" s="327" t="s">
        <v>39</v>
      </c>
      <c r="Q2282" s="12"/>
      <c r="R2282" s="192" t="str">
        <f>CONCATENATE(N2282,P2282)</f>
        <v>14grams</v>
      </c>
      <c r="S2282" s="198">
        <f>M2282*N2282</f>
        <v>14</v>
      </c>
      <c r="T2282" s="199" t="str">
        <f>CONCATENATE(S2282,Q2282,P2282)</f>
        <v>14grams</v>
      </c>
      <c r="U2282" s="200">
        <f>L2282*M2282</f>
        <v>57</v>
      </c>
      <c r="V2282" s="12"/>
      <c r="W2282" s="12"/>
    </row>
    <row r="2283" spans="1:23" x14ac:dyDescent="0.3">
      <c r="A2283" s="193">
        <v>887</v>
      </c>
      <c r="B2283" s="46" t="s">
        <v>1825</v>
      </c>
      <c r="C2283" s="315"/>
      <c r="D2283" s="316"/>
      <c r="E2283" s="315"/>
      <c r="F2283" s="315"/>
      <c r="G2283" s="315"/>
      <c r="H2283" s="194" t="s">
        <v>2025</v>
      </c>
      <c r="I2283" s="12"/>
      <c r="J2283" s="46" t="s">
        <v>854</v>
      </c>
      <c r="K2283" s="12"/>
      <c r="L2283" s="276">
        <v>66.5</v>
      </c>
      <c r="M2283" s="255">
        <v>0</v>
      </c>
      <c r="N2283" s="333">
        <v>14</v>
      </c>
      <c r="O2283" s="47"/>
      <c r="P2283" s="47" t="s">
        <v>39</v>
      </c>
      <c r="Q2283" s="12"/>
      <c r="R2283" s="192" t="str">
        <f>CONCATENATE(N2283,P2283)</f>
        <v>14grams</v>
      </c>
      <c r="S2283" s="198">
        <f>M2283*N2283</f>
        <v>0</v>
      </c>
      <c r="T2283" s="199" t="str">
        <f>CONCATENATE(S2283,Q2283,P2283)</f>
        <v>0grams</v>
      </c>
      <c r="U2283" s="200">
        <f>L2283*M2283</f>
        <v>0</v>
      </c>
      <c r="V2283" s="12"/>
      <c r="W2283" s="12"/>
    </row>
    <row r="2284" spans="1:23" x14ac:dyDescent="0.3">
      <c r="A2284" s="193">
        <v>887</v>
      </c>
      <c r="B2284" s="46" t="s">
        <v>1825</v>
      </c>
      <c r="C2284" s="315"/>
      <c r="D2284" s="316"/>
      <c r="E2284" s="315"/>
      <c r="F2284" s="315"/>
      <c r="G2284" s="315"/>
      <c r="H2284" s="194" t="s">
        <v>2022</v>
      </c>
      <c r="I2284" s="12"/>
      <c r="J2284" s="46" t="s">
        <v>854</v>
      </c>
      <c r="K2284" s="12"/>
      <c r="L2284" s="255">
        <v>67</v>
      </c>
      <c r="M2284" s="255">
        <v>1</v>
      </c>
      <c r="N2284" s="333">
        <v>14</v>
      </c>
      <c r="O2284" s="47"/>
      <c r="P2284" s="47" t="s">
        <v>39</v>
      </c>
      <c r="Q2284" s="12"/>
      <c r="R2284" s="192" t="str">
        <f>CONCATENATE(N2284,P2284)</f>
        <v>14grams</v>
      </c>
      <c r="S2284" s="198">
        <f>M2284*N2284</f>
        <v>14</v>
      </c>
      <c r="T2284" s="199" t="str">
        <f>CONCATENATE(S2284,Q2284,P2284)</f>
        <v>14grams</v>
      </c>
      <c r="U2284" s="200">
        <f>L2284*M2284</f>
        <v>67</v>
      </c>
      <c r="V2284" s="12"/>
      <c r="W2284" s="12"/>
    </row>
    <row r="2285" spans="1:23" x14ac:dyDescent="0.3">
      <c r="A2285" s="193">
        <v>887</v>
      </c>
      <c r="B2285" s="219" t="s">
        <v>1825</v>
      </c>
      <c r="C2285" s="315"/>
      <c r="D2285" s="316"/>
      <c r="E2285" s="315"/>
      <c r="F2285" s="315"/>
      <c r="G2285" s="315"/>
      <c r="H2285" s="194" t="s">
        <v>2021</v>
      </c>
      <c r="I2285" s="12"/>
      <c r="J2285" s="219" t="s">
        <v>1074</v>
      </c>
      <c r="K2285" s="12"/>
      <c r="L2285" s="285">
        <v>9.6999999999999993</v>
      </c>
      <c r="M2285" s="285">
        <v>3</v>
      </c>
      <c r="N2285" s="336">
        <v>10</v>
      </c>
      <c r="O2285" s="327"/>
      <c r="P2285" s="327" t="s">
        <v>39</v>
      </c>
      <c r="Q2285" s="12"/>
      <c r="R2285" s="192" t="str">
        <f>CONCATENATE(N2285,P2285)</f>
        <v>10grams</v>
      </c>
      <c r="S2285" s="198">
        <f>M2285*N2285</f>
        <v>30</v>
      </c>
      <c r="T2285" s="199" t="str">
        <f>CONCATENATE(S2285,Q2285,P2285)</f>
        <v>30grams</v>
      </c>
      <c r="U2285" s="200">
        <f>L2285*M2285</f>
        <v>29.099999999999998</v>
      </c>
      <c r="V2285" s="12"/>
      <c r="W2285" s="12"/>
    </row>
    <row r="2286" spans="1:23" x14ac:dyDescent="0.3">
      <c r="A2286" s="193">
        <v>887</v>
      </c>
      <c r="B2286" s="96" t="s">
        <v>1825</v>
      </c>
      <c r="C2286" s="315"/>
      <c r="D2286" s="316"/>
      <c r="E2286" s="315"/>
      <c r="F2286" s="315"/>
      <c r="G2286" s="315"/>
      <c r="H2286" s="400" t="s">
        <v>2027</v>
      </c>
      <c r="I2286" s="12"/>
      <c r="J2286" s="96" t="s">
        <v>1994</v>
      </c>
      <c r="K2286" s="12"/>
      <c r="L2286" s="254">
        <v>36.520000000000003</v>
      </c>
      <c r="M2286" s="255">
        <v>2</v>
      </c>
      <c r="N2286" s="366">
        <v>1</v>
      </c>
      <c r="O2286" s="100"/>
      <c r="P2286" s="100" t="s">
        <v>304</v>
      </c>
      <c r="Q2286" s="12"/>
      <c r="R2286" s="192" t="str">
        <f>CONCATENATE(N2286,P2286)</f>
        <v>1packs</v>
      </c>
      <c r="S2286" s="198">
        <f>M2286*N2286</f>
        <v>2</v>
      </c>
      <c r="T2286" s="199" t="str">
        <f>CONCATENATE(S2286,Q2286,P2286)</f>
        <v>2packs</v>
      </c>
      <c r="U2286" s="200">
        <f>L2286*M2286</f>
        <v>73.040000000000006</v>
      </c>
      <c r="V2286" s="12"/>
      <c r="W2286" s="12"/>
    </row>
    <row r="2287" spans="1:23" x14ac:dyDescent="0.3">
      <c r="A2287" s="193">
        <v>888</v>
      </c>
      <c r="B2287" s="96" t="s">
        <v>1841</v>
      </c>
      <c r="C2287" s="315"/>
      <c r="D2287" s="316"/>
      <c r="E2287" s="315"/>
      <c r="F2287" s="315"/>
      <c r="G2287" s="315"/>
      <c r="H2287" s="400" t="s">
        <v>2027</v>
      </c>
      <c r="I2287" s="12"/>
      <c r="J2287" s="239"/>
      <c r="K2287" s="12"/>
      <c r="L2287" s="254">
        <v>5.68</v>
      </c>
      <c r="M2287" s="255">
        <v>57</v>
      </c>
      <c r="N2287" s="366">
        <v>1</v>
      </c>
      <c r="O2287" s="100"/>
      <c r="P2287" s="100" t="s">
        <v>92</v>
      </c>
      <c r="Q2287" s="12"/>
      <c r="R2287" s="192" t="str">
        <f>CONCATENATE(N2287,P2287)</f>
        <v>1pieces</v>
      </c>
      <c r="S2287" s="198">
        <f>M2287*N2287</f>
        <v>57</v>
      </c>
      <c r="T2287" s="199" t="str">
        <f>CONCATENATE(S2287,Q2287,P2287)</f>
        <v>57pieces</v>
      </c>
      <c r="U2287" s="200">
        <f>L2287*M2287</f>
        <v>323.76</v>
      </c>
      <c r="V2287" s="12"/>
      <c r="W2287" s="12"/>
    </row>
    <row r="2288" spans="1:23" x14ac:dyDescent="0.3">
      <c r="A2288" s="193">
        <v>889</v>
      </c>
      <c r="B2288" s="279" t="s">
        <v>808</v>
      </c>
      <c r="C2288" s="487"/>
      <c r="D2288" s="485" t="str">
        <f ca="1">IFERROR(__xludf.DUMMYFUNCTION("IF(J605="""",""n/a"",IFERROR(SPLIT(J605,""/"")))"),"Indicate ave weight")</f>
        <v>Indicate ave weight</v>
      </c>
      <c r="E2288" s="485" t="str">
        <f ca="1">IFERROR(__xludf.DUMMYFUNCTION("""COMPUTED_VALUE"""),"piece")</f>
        <v>piece</v>
      </c>
      <c r="F2288" s="487"/>
      <c r="G2288" s="487"/>
      <c r="H2288" s="183" t="s">
        <v>1897</v>
      </c>
      <c r="I2288" s="487"/>
      <c r="J2288" s="495" t="s">
        <v>297</v>
      </c>
      <c r="K2288" s="487"/>
      <c r="L2288" s="499">
        <v>0.15</v>
      </c>
      <c r="M2288" s="271">
        <v>4000</v>
      </c>
      <c r="N2288" s="280">
        <v>1000</v>
      </c>
      <c r="O2288" s="240" t="str">
        <f ca="1">E2288</f>
        <v>piece</v>
      </c>
      <c r="P2288" s="240" t="s">
        <v>39</v>
      </c>
      <c r="Q2288" s="12"/>
      <c r="R2288" s="192" t="str">
        <f>CONCATENATE(N2288,P2288)</f>
        <v>1000grams</v>
      </c>
      <c r="S2288" s="198">
        <f>M2288*N2288</f>
        <v>4000000</v>
      </c>
      <c r="T2288" s="199" t="str">
        <f>CONCATENATE(S2288,Q2288,P2288)</f>
        <v>4000000grams</v>
      </c>
      <c r="U2288" s="200">
        <f>L2288*M2288</f>
        <v>600</v>
      </c>
      <c r="V2288" s="12"/>
      <c r="W2288" s="12"/>
    </row>
    <row r="2289" spans="1:23" x14ac:dyDescent="0.3">
      <c r="A2289" s="193">
        <v>889</v>
      </c>
      <c r="B2289" s="46" t="s">
        <v>808</v>
      </c>
      <c r="C2289" s="315"/>
      <c r="D2289" s="316"/>
      <c r="E2289" s="315"/>
      <c r="F2289" s="315"/>
      <c r="G2289" s="315"/>
      <c r="H2289" s="194" t="s">
        <v>29</v>
      </c>
      <c r="I2289" s="12"/>
      <c r="J2289" s="237"/>
      <c r="K2289" s="12"/>
      <c r="L2289" s="197">
        <v>150</v>
      </c>
      <c r="M2289" s="255">
        <v>2</v>
      </c>
      <c r="N2289" s="333">
        <v>1</v>
      </c>
      <c r="O2289" s="46"/>
      <c r="P2289" s="46" t="s">
        <v>213</v>
      </c>
      <c r="Q2289" s="12"/>
      <c r="R2289" s="192" t="str">
        <f>CONCATENATE(N2289,P2289)</f>
        <v>1kilos</v>
      </c>
      <c r="S2289" s="198">
        <f>M2289*N2289</f>
        <v>2</v>
      </c>
      <c r="T2289" s="199" t="str">
        <f>CONCATENATE(S2289,Q2289,P2289)</f>
        <v>2kilos</v>
      </c>
      <c r="U2289" s="200">
        <f>L2289*M2289</f>
        <v>300</v>
      </c>
      <c r="V2289" s="12"/>
      <c r="W2289" s="12"/>
    </row>
    <row r="2290" spans="1:23" x14ac:dyDescent="0.3">
      <c r="A2290" s="193">
        <v>889</v>
      </c>
      <c r="B2290" s="46" t="s">
        <v>808</v>
      </c>
      <c r="C2290" s="315"/>
      <c r="D2290" s="316"/>
      <c r="E2290" s="315"/>
      <c r="F2290" s="315"/>
      <c r="G2290" s="315"/>
      <c r="H2290" s="194" t="s">
        <v>2025</v>
      </c>
      <c r="I2290" s="12"/>
      <c r="J2290" s="170"/>
      <c r="K2290" s="12"/>
      <c r="L2290" s="197">
        <v>150</v>
      </c>
      <c r="M2290" s="255">
        <v>4</v>
      </c>
      <c r="N2290" s="357">
        <v>1</v>
      </c>
      <c r="O2290" s="47"/>
      <c r="P2290" s="47" t="s">
        <v>213</v>
      </c>
      <c r="Q2290" s="12"/>
      <c r="R2290" s="192" t="str">
        <f>CONCATENATE(N2290,P2290)</f>
        <v>1kilos</v>
      </c>
      <c r="S2290" s="198">
        <f>M2290*N2290</f>
        <v>4</v>
      </c>
      <c r="T2290" s="199" t="str">
        <f>CONCATENATE(S2290,Q2290,P2290)</f>
        <v>4kilos</v>
      </c>
      <c r="U2290" s="200">
        <f>L2290*M2290</f>
        <v>600</v>
      </c>
      <c r="V2290" s="12"/>
      <c r="W2290" s="12"/>
    </row>
    <row r="2291" spans="1:23" x14ac:dyDescent="0.3">
      <c r="A2291" s="193">
        <v>889</v>
      </c>
      <c r="B2291" s="46" t="s">
        <v>808</v>
      </c>
      <c r="C2291" s="315"/>
      <c r="D2291" s="316"/>
      <c r="E2291" s="315"/>
      <c r="F2291" s="315"/>
      <c r="G2291" s="315"/>
      <c r="H2291" s="194" t="s">
        <v>2023</v>
      </c>
      <c r="I2291" s="12"/>
      <c r="J2291" s="296"/>
      <c r="K2291" s="12"/>
      <c r="L2291" s="197">
        <v>160</v>
      </c>
      <c r="M2291" s="255">
        <v>16</v>
      </c>
      <c r="N2291" s="333">
        <v>1</v>
      </c>
      <c r="O2291" s="46"/>
      <c r="P2291" s="46" t="s">
        <v>213</v>
      </c>
      <c r="Q2291" s="12"/>
      <c r="R2291" s="192" t="str">
        <f>CONCATENATE(N2291,P2291)</f>
        <v>1kilos</v>
      </c>
      <c r="S2291" s="198">
        <f>M2291*N2291</f>
        <v>16</v>
      </c>
      <c r="T2291" s="199" t="str">
        <f>CONCATENATE(S2291,Q2291,P2291)</f>
        <v>16kilos</v>
      </c>
      <c r="U2291" s="200">
        <f>L2291*M2291</f>
        <v>2560</v>
      </c>
      <c r="V2291" s="12"/>
      <c r="W2291" s="12"/>
    </row>
    <row r="2292" spans="1:23" x14ac:dyDescent="0.3">
      <c r="A2292" s="193">
        <v>889</v>
      </c>
      <c r="B2292" s="46" t="s">
        <v>808</v>
      </c>
      <c r="C2292" s="315"/>
      <c r="D2292" s="316"/>
      <c r="E2292" s="315"/>
      <c r="F2292" s="315"/>
      <c r="G2292" s="315"/>
      <c r="H2292" s="400" t="s">
        <v>2027</v>
      </c>
      <c r="I2292" s="12"/>
      <c r="J2292" s="46" t="s">
        <v>1928</v>
      </c>
      <c r="K2292" s="12"/>
      <c r="L2292" s="195">
        <v>155</v>
      </c>
      <c r="M2292" s="255">
        <v>10</v>
      </c>
      <c r="N2292" s="366">
        <v>1</v>
      </c>
      <c r="O2292" s="61"/>
      <c r="P2292" s="61" t="s">
        <v>213</v>
      </c>
      <c r="Q2292" s="12"/>
      <c r="R2292" s="192" t="str">
        <f>CONCATENATE(N2292,P2292)</f>
        <v>1kilos</v>
      </c>
      <c r="S2292" s="198">
        <f>M2292*N2292</f>
        <v>10</v>
      </c>
      <c r="T2292" s="199" t="str">
        <f>CONCATENATE(S2292,Q2292,P2292)</f>
        <v>10kilos</v>
      </c>
      <c r="U2292" s="200">
        <f>L2292*M2292</f>
        <v>1550</v>
      </c>
      <c r="V2292" s="12"/>
      <c r="W2292" s="12"/>
    </row>
    <row r="2293" spans="1:23" x14ac:dyDescent="0.3">
      <c r="A2293" s="193">
        <v>890</v>
      </c>
      <c r="B2293" s="194" t="s">
        <v>292</v>
      </c>
      <c r="C2293" s="487"/>
      <c r="D2293" s="485" t="str">
        <f ca="1">IFERROR(__xludf.DUMMYFUNCTION("IF(J606="""",""n/a"",IFERROR(SPLIT(J606,""/"")))"),"n/a")</f>
        <v>n/a</v>
      </c>
      <c r="E2293" s="487"/>
      <c r="F2293" s="487"/>
      <c r="G2293" s="487"/>
      <c r="H2293" s="183" t="s">
        <v>1895</v>
      </c>
      <c r="I2293" s="487"/>
      <c r="J2293" s="170"/>
      <c r="K2293" s="487"/>
      <c r="L2293" s="195">
        <v>320</v>
      </c>
      <c r="M2293" s="255">
        <v>4</v>
      </c>
      <c r="N2293" s="100">
        <v>1</v>
      </c>
      <c r="O2293" s="170">
        <f>E2293</f>
        <v>0</v>
      </c>
      <c r="P2293" s="61" t="s">
        <v>39</v>
      </c>
      <c r="Q2293" s="12"/>
      <c r="R2293" s="192" t="str">
        <f>CONCATENATE(N2293,P2293)</f>
        <v>1grams</v>
      </c>
      <c r="S2293" s="198">
        <f>M2293*N2293</f>
        <v>4</v>
      </c>
      <c r="T2293" s="199" t="str">
        <f>CONCATENATE(S2293,Q2293,P2293)</f>
        <v>4grams</v>
      </c>
      <c r="U2293" s="200">
        <f>L2293*M2293</f>
        <v>1280</v>
      </c>
      <c r="V2293" s="12"/>
      <c r="W2293" s="12"/>
    </row>
    <row r="2294" spans="1:23" x14ac:dyDescent="0.3">
      <c r="A2294" s="193">
        <v>891</v>
      </c>
      <c r="B2294" s="194" t="s">
        <v>809</v>
      </c>
      <c r="C2294" s="487"/>
      <c r="D2294" s="485" t="str">
        <f ca="1">IFERROR(__xludf.DUMMYFUNCTION("IF(J607="""",""n/a"",IFERROR(SPLIT(J607,""/"")))"),"n/a")</f>
        <v>n/a</v>
      </c>
      <c r="E2294" s="487"/>
      <c r="F2294" s="487"/>
      <c r="G2294" s="487"/>
      <c r="H2294" s="206" t="s">
        <v>1898</v>
      </c>
      <c r="I2294" s="487"/>
      <c r="J2294" s="170"/>
      <c r="K2294" s="487"/>
      <c r="L2294" s="197">
        <v>0.24</v>
      </c>
      <c r="M2294" s="389">
        <v>1000</v>
      </c>
      <c r="N2294" s="250">
        <v>500</v>
      </c>
      <c r="O2294" s="170">
        <f>E2294</f>
        <v>0</v>
      </c>
      <c r="P2294" s="61" t="s">
        <v>39</v>
      </c>
      <c r="Q2294" s="12"/>
      <c r="R2294" s="192" t="str">
        <f>CONCATENATE(N2294,P2294)</f>
        <v>500grams</v>
      </c>
      <c r="S2294" s="198">
        <f>M2294*N2294</f>
        <v>500000</v>
      </c>
      <c r="T2294" s="199" t="str">
        <f>CONCATENATE(S2294,Q2294,P2294)</f>
        <v>500000grams</v>
      </c>
      <c r="U2294" s="200">
        <f>L2294*M2294</f>
        <v>240</v>
      </c>
      <c r="V2294" s="12"/>
      <c r="W2294" s="12"/>
    </row>
    <row r="2295" spans="1:23" x14ac:dyDescent="0.3">
      <c r="A2295" s="193">
        <v>891</v>
      </c>
      <c r="B2295" s="46" t="s">
        <v>809</v>
      </c>
      <c r="C2295" s="315"/>
      <c r="D2295" s="316"/>
      <c r="E2295" s="315"/>
      <c r="F2295" s="315"/>
      <c r="G2295" s="315"/>
      <c r="H2295" s="194" t="s">
        <v>2024</v>
      </c>
      <c r="I2295" s="12"/>
      <c r="J2295" s="170"/>
      <c r="K2295" s="12"/>
      <c r="L2295" s="197">
        <v>120</v>
      </c>
      <c r="M2295" s="255">
        <v>1</v>
      </c>
      <c r="N2295" s="333">
        <v>500</v>
      </c>
      <c r="O2295" s="46"/>
      <c r="P2295" s="46" t="s">
        <v>39</v>
      </c>
      <c r="Q2295" s="12"/>
      <c r="R2295" s="192" t="str">
        <f>CONCATENATE(N2295,P2295)</f>
        <v>500grams</v>
      </c>
      <c r="S2295" s="198">
        <f>M2295*N2295</f>
        <v>500</v>
      </c>
      <c r="T2295" s="199" t="str">
        <f>CONCATENATE(S2295,Q2295,P2295)</f>
        <v>500grams</v>
      </c>
      <c r="U2295" s="200">
        <f>L2295*M2295</f>
        <v>120</v>
      </c>
      <c r="V2295" s="12"/>
      <c r="W2295" s="12"/>
    </row>
    <row r="2296" spans="1:23" x14ac:dyDescent="0.3">
      <c r="A2296" s="193">
        <v>892</v>
      </c>
      <c r="B2296" s="244" t="s">
        <v>810</v>
      </c>
      <c r="C2296" s="487"/>
      <c r="D2296" s="485" t="str">
        <f ca="1">IFERROR(__xludf.DUMMYFUNCTION("IF(J608="""",""n/a"",IFERROR(SPLIT(J608,""/"")))"),"Femme")</f>
        <v>Femme</v>
      </c>
      <c r="E2296" s="487"/>
      <c r="F2296" s="487"/>
      <c r="G2296" s="487"/>
      <c r="H2296" s="183" t="s">
        <v>1895</v>
      </c>
      <c r="I2296" s="487"/>
      <c r="J2296" s="96" t="s">
        <v>336</v>
      </c>
      <c r="K2296" s="487"/>
      <c r="L2296" s="254">
        <v>15.2</v>
      </c>
      <c r="M2296" s="255">
        <v>30</v>
      </c>
      <c r="N2296" s="100" t="s">
        <v>337</v>
      </c>
      <c r="O2296" s="239">
        <f>E2296</f>
        <v>0</v>
      </c>
      <c r="P2296" s="100" t="s">
        <v>92</v>
      </c>
      <c r="Q2296" s="12"/>
      <c r="R2296" s="192" t="str">
        <f>CONCATENATE(N2296,P2296)</f>
        <v>1`pieces</v>
      </c>
      <c r="S2296" s="198" t="e">
        <f>M2296*N2296</f>
        <v>#VALUE!</v>
      </c>
      <c r="T2296" s="199" t="e">
        <f>CONCATENATE(S2296,Q2296,P2296)</f>
        <v>#VALUE!</v>
      </c>
      <c r="U2296" s="200">
        <f>L2296*M2296</f>
        <v>456</v>
      </c>
      <c r="V2296" s="12"/>
      <c r="W2296" s="12"/>
    </row>
    <row r="2297" spans="1:23" x14ac:dyDescent="0.3">
      <c r="A2297" s="193">
        <v>892</v>
      </c>
      <c r="B2297" s="244" t="s">
        <v>810</v>
      </c>
      <c r="C2297" s="487"/>
      <c r="D2297" s="485" t="str">
        <f ca="1">IFERROR(__xludf.DUMMYFUNCTION("IF(J609="""",""n/a"",IFERROR(SPLIT(J609,""/"")))"),"n/a")</f>
        <v>n/a</v>
      </c>
      <c r="E2297" s="487"/>
      <c r="F2297" s="487"/>
      <c r="G2297" s="487"/>
      <c r="H2297" s="206" t="s">
        <v>1898</v>
      </c>
      <c r="I2297" s="487"/>
      <c r="J2297" s="170"/>
      <c r="K2297" s="487"/>
      <c r="L2297" s="197">
        <v>63.5</v>
      </c>
      <c r="M2297" s="386">
        <v>10</v>
      </c>
      <c r="N2297" s="208">
        <v>1</v>
      </c>
      <c r="O2297" s="170">
        <f>E2297</f>
        <v>0</v>
      </c>
      <c r="P2297" s="61" t="s">
        <v>92</v>
      </c>
      <c r="Q2297" s="12"/>
      <c r="R2297" s="192" t="str">
        <f>CONCATENATE(N2297,P2297)</f>
        <v>1pieces</v>
      </c>
      <c r="S2297" s="198">
        <f>M2297*N2297</f>
        <v>10</v>
      </c>
      <c r="T2297" s="199" t="str">
        <f>CONCATENATE(S2297,Q2297,P2297)</f>
        <v>10pieces</v>
      </c>
      <c r="U2297" s="200">
        <f>L2297*M2297</f>
        <v>635</v>
      </c>
      <c r="V2297" s="12"/>
      <c r="W2297" s="12"/>
    </row>
    <row r="2298" spans="1:23" x14ac:dyDescent="0.3">
      <c r="A2298" s="193">
        <v>892</v>
      </c>
      <c r="B2298" s="46" t="s">
        <v>810</v>
      </c>
      <c r="C2298" s="315"/>
      <c r="D2298" s="316"/>
      <c r="E2298" s="315"/>
      <c r="F2298" s="315"/>
      <c r="G2298" s="315"/>
      <c r="H2298" s="194" t="s">
        <v>2022</v>
      </c>
      <c r="I2298" s="12"/>
      <c r="J2298" s="46" t="s">
        <v>867</v>
      </c>
      <c r="K2298" s="12"/>
      <c r="L2298" s="197">
        <v>12.36</v>
      </c>
      <c r="M2298" s="197">
        <v>32</v>
      </c>
      <c r="N2298" s="290">
        <v>1</v>
      </c>
      <c r="O2298" s="46"/>
      <c r="P2298" s="46" t="s">
        <v>304</v>
      </c>
      <c r="Q2298" s="12"/>
      <c r="R2298" s="192" t="str">
        <f>CONCATENATE(N2298,P2298)</f>
        <v>1packs</v>
      </c>
      <c r="S2298" s="198">
        <f>M2298*N2298</f>
        <v>32</v>
      </c>
      <c r="T2298" s="199" t="str">
        <f>CONCATENATE(S2298,Q2298,P2298)</f>
        <v>32packs</v>
      </c>
      <c r="U2298" s="200">
        <f>L2298*M2298</f>
        <v>395.52</v>
      </c>
      <c r="V2298" s="12"/>
      <c r="W2298" s="12"/>
    </row>
    <row r="2299" spans="1:23" x14ac:dyDescent="0.3">
      <c r="A2299" s="193">
        <v>892</v>
      </c>
      <c r="B2299" s="219" t="s">
        <v>810</v>
      </c>
      <c r="C2299" s="315"/>
      <c r="D2299" s="316"/>
      <c r="E2299" s="315"/>
      <c r="F2299" s="315"/>
      <c r="G2299" s="315"/>
      <c r="H2299" s="194" t="s">
        <v>2020</v>
      </c>
      <c r="I2299" s="12"/>
      <c r="J2299" s="46" t="s">
        <v>1826</v>
      </c>
      <c r="K2299" s="12"/>
      <c r="L2299" s="197">
        <v>60</v>
      </c>
      <c r="M2299" s="197">
        <v>3</v>
      </c>
      <c r="N2299" s="290">
        <v>3</v>
      </c>
      <c r="O2299" s="46"/>
      <c r="P2299" s="46" t="s">
        <v>304</v>
      </c>
      <c r="Q2299" s="12"/>
      <c r="R2299" s="192" t="str">
        <f>CONCATENATE(N2299,P2299)</f>
        <v>3packs</v>
      </c>
      <c r="S2299" s="198">
        <f>M2299*N2299</f>
        <v>9</v>
      </c>
      <c r="T2299" s="199" t="str">
        <f>CONCATENATE(S2299,Q2299,P2299)</f>
        <v>9packs</v>
      </c>
      <c r="U2299" s="200">
        <f>L2299*M2299</f>
        <v>180</v>
      </c>
      <c r="V2299" s="12"/>
      <c r="W2299" s="12"/>
    </row>
    <row r="2300" spans="1:23" x14ac:dyDescent="0.3">
      <c r="A2300" s="193">
        <v>892</v>
      </c>
      <c r="B2300" s="46" t="s">
        <v>810</v>
      </c>
      <c r="C2300" s="315"/>
      <c r="D2300" s="316"/>
      <c r="E2300" s="315"/>
      <c r="F2300" s="315"/>
      <c r="G2300" s="315"/>
      <c r="H2300" s="194" t="s">
        <v>2022</v>
      </c>
      <c r="I2300" s="12"/>
      <c r="J2300" s="46" t="s">
        <v>336</v>
      </c>
      <c r="K2300" s="12"/>
      <c r="L2300" s="197">
        <v>15.2</v>
      </c>
      <c r="M2300" s="197">
        <v>4</v>
      </c>
      <c r="N2300" s="290">
        <v>1</v>
      </c>
      <c r="O2300" s="46"/>
      <c r="P2300" s="46" t="s">
        <v>304</v>
      </c>
      <c r="Q2300" s="12"/>
      <c r="R2300" s="192" t="str">
        <f>CONCATENATE(N2300,P2300)</f>
        <v>1packs</v>
      </c>
      <c r="S2300" s="198">
        <f>M2300*N2300</f>
        <v>4</v>
      </c>
      <c r="T2300" s="199" t="str">
        <f>CONCATENATE(S2300,Q2300,P2300)</f>
        <v>4packs</v>
      </c>
      <c r="U2300" s="200">
        <f>L2300*M2300</f>
        <v>60.8</v>
      </c>
      <c r="V2300" s="12"/>
      <c r="W2300" s="12"/>
    </row>
    <row r="2301" spans="1:23" x14ac:dyDescent="0.3">
      <c r="A2301" s="193">
        <v>893</v>
      </c>
      <c r="B2301" s="194" t="s">
        <v>353</v>
      </c>
      <c r="C2301" s="487"/>
      <c r="D2301" s="485" t="str">
        <f ca="1">IFERROR(__xludf.DUMMYFUNCTION("IF(J610="""",""n/a"",IFERROR(SPLIT(J610,""/"")))"),"Jade ")</f>
        <v xml:space="preserve">Jade </v>
      </c>
      <c r="E2301" s="485" t="str">
        <f ca="1">IFERROR(__xludf.DUMMYFUNCTION("""COMPUTED_VALUE"""),"pack")</f>
        <v>pack</v>
      </c>
      <c r="F2301" s="485" t="str">
        <f ca="1">IFERROR(__xludf.DUMMYFUNCTION("""COMPUTED_VALUE"""),"1000s'")</f>
        <v>1000s'</v>
      </c>
      <c r="G2301" s="487"/>
      <c r="H2301" s="183" t="s">
        <v>1895</v>
      </c>
      <c r="I2301" s="487"/>
      <c r="J2301" s="46" t="s">
        <v>354</v>
      </c>
      <c r="K2301" s="487"/>
      <c r="L2301" s="195">
        <v>52.64</v>
      </c>
      <c r="M2301" s="197">
        <v>70</v>
      </c>
      <c r="N2301" s="61">
        <v>1</v>
      </c>
      <c r="O2301" s="61" t="str">
        <f ca="1">E2301</f>
        <v>pack</v>
      </c>
      <c r="P2301" s="61" t="s">
        <v>92</v>
      </c>
      <c r="Q2301" s="12"/>
      <c r="R2301" s="192" t="str">
        <f>CONCATENATE(N2301,P2301)</f>
        <v>1pieces</v>
      </c>
      <c r="S2301" s="198">
        <f>M2301*N2301</f>
        <v>70</v>
      </c>
      <c r="T2301" s="199" t="str">
        <f>CONCATENATE(S2301,Q2301,P2301)</f>
        <v>70pieces</v>
      </c>
      <c r="U2301" s="200">
        <f>L2301*M2301</f>
        <v>3684.8</v>
      </c>
      <c r="V2301" s="12"/>
      <c r="W2301" s="12"/>
    </row>
    <row r="2302" spans="1:23" x14ac:dyDescent="0.3">
      <c r="A2302" s="193">
        <v>894</v>
      </c>
      <c r="B2302" s="340" t="s">
        <v>1827</v>
      </c>
      <c r="C2302" s="315"/>
      <c r="D2302" s="316"/>
      <c r="E2302" s="315"/>
      <c r="F2302" s="315"/>
      <c r="G2302" s="315"/>
      <c r="H2302" s="194" t="s">
        <v>2021</v>
      </c>
      <c r="I2302" s="12"/>
      <c r="J2302" s="253"/>
      <c r="K2302" s="12"/>
      <c r="L2302" s="285">
        <v>100</v>
      </c>
      <c r="M2302" s="285">
        <v>1</v>
      </c>
      <c r="N2302" s="293">
        <v>1</v>
      </c>
      <c r="O2302" s="219"/>
      <c r="P2302" s="219" t="s">
        <v>304</v>
      </c>
      <c r="Q2302" s="12"/>
      <c r="R2302" s="192" t="str">
        <f>CONCATENATE(N2302,P2302)</f>
        <v>1packs</v>
      </c>
      <c r="S2302" s="198">
        <f>M2302*N2302</f>
        <v>1</v>
      </c>
      <c r="T2302" s="199" t="str">
        <f>CONCATENATE(S2302,Q2302,P2302)</f>
        <v>1packs</v>
      </c>
      <c r="U2302" s="200">
        <f>L2302*M2302</f>
        <v>100</v>
      </c>
      <c r="V2302" s="12"/>
      <c r="W2302" s="12"/>
    </row>
    <row r="2303" spans="1:23" x14ac:dyDescent="0.3">
      <c r="A2303" s="193">
        <v>895</v>
      </c>
      <c r="B2303" s="194" t="s">
        <v>811</v>
      </c>
      <c r="C2303" s="487"/>
      <c r="D2303" s="485" t="str">
        <f ca="1">IFERROR(__xludf.DUMMYFUNCTION("IF(J611="""",""n/a"",IFERROR(SPLIT(J611,""/"")))"),"n/a")</f>
        <v>n/a</v>
      </c>
      <c r="E2303" s="487"/>
      <c r="F2303" s="487"/>
      <c r="G2303" s="487"/>
      <c r="H2303" s="206" t="s">
        <v>1898</v>
      </c>
      <c r="I2303" s="487"/>
      <c r="J2303" s="170"/>
      <c r="K2303" s="487"/>
      <c r="L2303" s="197">
        <v>52</v>
      </c>
      <c r="M2303" s="386">
        <v>40</v>
      </c>
      <c r="N2303" s="208">
        <v>1</v>
      </c>
      <c r="O2303" s="237">
        <f>E2303</f>
        <v>0</v>
      </c>
      <c r="P2303" s="240" t="s">
        <v>304</v>
      </c>
      <c r="Q2303" s="12"/>
      <c r="R2303" s="192" t="str">
        <f>CONCATENATE(N2303,P2303)</f>
        <v>1packs</v>
      </c>
      <c r="S2303" s="198">
        <f>M2303*N2303</f>
        <v>40</v>
      </c>
      <c r="T2303" s="199" t="str">
        <f>CONCATENATE(S2303,Q2303,P2303)</f>
        <v>40packs</v>
      </c>
      <c r="U2303" s="200">
        <f>L2303*M2303</f>
        <v>2080</v>
      </c>
      <c r="V2303" s="12"/>
      <c r="W2303" s="12"/>
    </row>
    <row r="2304" spans="1:23" x14ac:dyDescent="0.3">
      <c r="A2304" s="193">
        <v>895</v>
      </c>
      <c r="B2304" s="194" t="s">
        <v>811</v>
      </c>
      <c r="C2304" s="487"/>
      <c r="D2304" s="485" t="str">
        <f ca="1">IFERROR(__xludf.DUMMYFUNCTION("IF(J612="""",""n/a"",IFERROR(SPLIT(J612,""/"")))"),"n/a")</f>
        <v>n/a</v>
      </c>
      <c r="E2304" s="487"/>
      <c r="F2304" s="487"/>
      <c r="G2304" s="487"/>
      <c r="H2304" s="206" t="s">
        <v>1898</v>
      </c>
      <c r="I2304" s="487"/>
      <c r="J2304" s="170"/>
      <c r="K2304" s="487"/>
      <c r="L2304" s="197">
        <v>52</v>
      </c>
      <c r="M2304" s="386">
        <v>15</v>
      </c>
      <c r="N2304" s="208">
        <v>1</v>
      </c>
      <c r="O2304" s="237">
        <f>E2304</f>
        <v>0</v>
      </c>
      <c r="P2304" s="240" t="s">
        <v>304</v>
      </c>
      <c r="Q2304" s="12"/>
      <c r="R2304" s="192" t="str">
        <f>CONCATENATE(N2304,P2304)</f>
        <v>1packs</v>
      </c>
      <c r="S2304" s="198">
        <f>M2304*N2304</f>
        <v>15</v>
      </c>
      <c r="T2304" s="199" t="str">
        <f>CONCATENATE(S2304,Q2304,P2304)</f>
        <v>15packs</v>
      </c>
      <c r="U2304" s="200">
        <f>L2304*M2304</f>
        <v>780</v>
      </c>
      <c r="V2304" s="12"/>
      <c r="W2304" s="12"/>
    </row>
    <row r="2305" spans="1:23" x14ac:dyDescent="0.3">
      <c r="A2305" s="193">
        <v>896</v>
      </c>
      <c r="B2305" s="46" t="s">
        <v>1828</v>
      </c>
      <c r="C2305" s="315"/>
      <c r="D2305" s="316"/>
      <c r="E2305" s="315"/>
      <c r="F2305" s="315"/>
      <c r="G2305" s="315"/>
      <c r="H2305" s="194" t="s">
        <v>2026</v>
      </c>
      <c r="I2305" s="12"/>
      <c r="J2305" s="46" t="s">
        <v>1368</v>
      </c>
      <c r="K2305" s="12"/>
      <c r="L2305" s="241">
        <v>75</v>
      </c>
      <c r="M2305" s="241">
        <v>2</v>
      </c>
      <c r="N2305" s="508">
        <v>225</v>
      </c>
      <c r="O2305" s="47"/>
      <c r="P2305" s="47" t="s">
        <v>39</v>
      </c>
      <c r="Q2305" s="12"/>
      <c r="R2305" s="192" t="str">
        <f>CONCATENATE(N2305,P2305)</f>
        <v>225grams</v>
      </c>
      <c r="S2305" s="198">
        <f>M2305*N2305</f>
        <v>450</v>
      </c>
      <c r="T2305" s="199" t="str">
        <f>CONCATENATE(S2305,Q2305,P2305)</f>
        <v>450grams</v>
      </c>
      <c r="U2305" s="200">
        <f>L2305*M2305</f>
        <v>150</v>
      </c>
      <c r="V2305" s="12"/>
      <c r="W2305" s="12"/>
    </row>
    <row r="2306" spans="1:23" x14ac:dyDescent="0.3">
      <c r="A2306" s="193">
        <v>897</v>
      </c>
      <c r="B2306" s="46" t="s">
        <v>1829</v>
      </c>
      <c r="C2306" s="315"/>
      <c r="D2306" s="316"/>
      <c r="E2306" s="315"/>
      <c r="F2306" s="315"/>
      <c r="G2306" s="315"/>
      <c r="H2306" s="194" t="s">
        <v>29</v>
      </c>
      <c r="I2306" s="12"/>
      <c r="J2306" s="46" t="s">
        <v>1368</v>
      </c>
      <c r="K2306" s="12"/>
      <c r="L2306" s="197">
        <v>126.9</v>
      </c>
      <c r="M2306" s="197">
        <v>1</v>
      </c>
      <c r="N2306" s="290">
        <v>450</v>
      </c>
      <c r="O2306" s="47"/>
      <c r="P2306" s="47" t="s">
        <v>39</v>
      </c>
      <c r="Q2306" s="12"/>
      <c r="R2306" s="192" t="str">
        <f>CONCATENATE(N2306,P2306)</f>
        <v>450grams</v>
      </c>
      <c r="S2306" s="198">
        <f>M2306*N2306</f>
        <v>450</v>
      </c>
      <c r="T2306" s="199" t="str">
        <f>CONCATENATE(S2306,Q2306,P2306)</f>
        <v>450grams</v>
      </c>
      <c r="U2306" s="200">
        <f>L2306*M2306</f>
        <v>126.9</v>
      </c>
      <c r="V2306" s="12"/>
      <c r="W2306" s="12"/>
    </row>
    <row r="2307" spans="1:23" x14ac:dyDescent="0.3">
      <c r="A2307" s="193">
        <v>897</v>
      </c>
      <c r="B2307" s="46" t="s">
        <v>1829</v>
      </c>
      <c r="C2307" s="315"/>
      <c r="D2307" s="316"/>
      <c r="E2307" s="315"/>
      <c r="F2307" s="315"/>
      <c r="G2307" s="315"/>
      <c r="H2307" s="194" t="s">
        <v>2024</v>
      </c>
      <c r="I2307" s="12"/>
      <c r="J2307" s="46" t="s">
        <v>1830</v>
      </c>
      <c r="K2307" s="12"/>
      <c r="L2307" s="197">
        <v>240</v>
      </c>
      <c r="M2307" s="197">
        <v>1</v>
      </c>
      <c r="N2307" s="290">
        <v>1</v>
      </c>
      <c r="O2307" s="47"/>
      <c r="P2307" s="47" t="s">
        <v>213</v>
      </c>
      <c r="Q2307" s="12"/>
      <c r="R2307" s="192" t="str">
        <f>CONCATENATE(N2307,P2307)</f>
        <v>1kilos</v>
      </c>
      <c r="S2307" s="198">
        <f>M2307*N2307</f>
        <v>1</v>
      </c>
      <c r="T2307" s="199" t="str">
        <f>CONCATENATE(S2307,Q2307,P2307)</f>
        <v>1kilos</v>
      </c>
      <c r="U2307" s="200">
        <f>L2307*M2307</f>
        <v>240</v>
      </c>
      <c r="V2307" s="12"/>
      <c r="W2307" s="12"/>
    </row>
    <row r="2308" spans="1:23" x14ac:dyDescent="0.3">
      <c r="A2308" s="193">
        <v>897</v>
      </c>
      <c r="B2308" s="46" t="s">
        <v>1829</v>
      </c>
      <c r="C2308" s="315"/>
      <c r="D2308" s="316"/>
      <c r="E2308" s="315"/>
      <c r="F2308" s="315"/>
      <c r="G2308" s="315"/>
      <c r="H2308" s="194" t="s">
        <v>2026</v>
      </c>
      <c r="I2308" s="12"/>
      <c r="J2308" s="46" t="s">
        <v>1368</v>
      </c>
      <c r="K2308" s="12"/>
      <c r="L2308" s="197">
        <v>125</v>
      </c>
      <c r="M2308" s="197">
        <v>2</v>
      </c>
      <c r="N2308" s="290">
        <v>225</v>
      </c>
      <c r="O2308" s="47"/>
      <c r="P2308" s="47" t="s">
        <v>39</v>
      </c>
      <c r="Q2308" s="12"/>
      <c r="R2308" s="192" t="str">
        <f>CONCATENATE(N2308,P2308)</f>
        <v>225grams</v>
      </c>
      <c r="S2308" s="198">
        <f>M2308*N2308</f>
        <v>450</v>
      </c>
      <c r="T2308" s="199" t="str">
        <f>CONCATENATE(S2308,Q2308,P2308)</f>
        <v>450grams</v>
      </c>
      <c r="U2308" s="200">
        <f>L2308*M2308</f>
        <v>250</v>
      </c>
      <c r="V2308" s="12"/>
      <c r="W2308" s="12"/>
    </row>
    <row r="2309" spans="1:23" x14ac:dyDescent="0.3">
      <c r="A2309" s="193">
        <v>897</v>
      </c>
      <c r="B2309" s="46" t="s">
        <v>1829</v>
      </c>
      <c r="C2309" s="315"/>
      <c r="D2309" s="316"/>
      <c r="E2309" s="315"/>
      <c r="F2309" s="315"/>
      <c r="G2309" s="315"/>
      <c r="H2309" s="194" t="s">
        <v>2026</v>
      </c>
      <c r="I2309" s="12"/>
      <c r="J2309" s="46" t="s">
        <v>1368</v>
      </c>
      <c r="K2309" s="12"/>
      <c r="L2309" s="197">
        <v>125</v>
      </c>
      <c r="M2309" s="197">
        <v>2</v>
      </c>
      <c r="N2309" s="290">
        <v>450</v>
      </c>
      <c r="O2309" s="47"/>
      <c r="P2309" s="47" t="s">
        <v>39</v>
      </c>
      <c r="Q2309" s="12"/>
      <c r="R2309" s="192" t="str">
        <f>CONCATENATE(N2309,P2309)</f>
        <v>450grams</v>
      </c>
      <c r="S2309" s="198">
        <f>M2309*N2309</f>
        <v>900</v>
      </c>
      <c r="T2309" s="199" t="str">
        <f>CONCATENATE(S2309,Q2309,P2309)</f>
        <v>900grams</v>
      </c>
      <c r="U2309" s="200">
        <f>L2309*M2309</f>
        <v>250</v>
      </c>
      <c r="V2309" s="12"/>
      <c r="W2309" s="12"/>
    </row>
    <row r="2310" spans="1:23" x14ac:dyDescent="0.3">
      <c r="A2310" s="193">
        <v>897</v>
      </c>
      <c r="B2310" s="46" t="s">
        <v>1829</v>
      </c>
      <c r="C2310" s="315"/>
      <c r="D2310" s="316"/>
      <c r="E2310" s="315"/>
      <c r="F2310" s="315"/>
      <c r="G2310" s="315"/>
      <c r="H2310" s="194" t="s">
        <v>1368</v>
      </c>
      <c r="I2310" s="12"/>
      <c r="J2310" s="46" t="s">
        <v>1368</v>
      </c>
      <c r="K2310" s="12"/>
      <c r="L2310" s="197">
        <v>96.25</v>
      </c>
      <c r="M2310" s="197">
        <v>3</v>
      </c>
      <c r="N2310" s="290">
        <v>225</v>
      </c>
      <c r="O2310" s="47"/>
      <c r="P2310" s="47" t="s">
        <v>39</v>
      </c>
      <c r="Q2310" s="12"/>
      <c r="R2310" s="192" t="str">
        <f>CONCATENATE(N2310,P2310)</f>
        <v>225grams</v>
      </c>
      <c r="S2310" s="198">
        <f>M2310*N2310</f>
        <v>675</v>
      </c>
      <c r="T2310" s="199" t="str">
        <f>CONCATENATE(S2310,Q2310,P2310)</f>
        <v>675grams</v>
      </c>
      <c r="U2310" s="200">
        <f>L2310*M2310</f>
        <v>288.75</v>
      </c>
      <c r="V2310" s="12"/>
      <c r="W2310" s="12"/>
    </row>
    <row r="2311" spans="1:23" x14ac:dyDescent="0.3">
      <c r="A2311" s="193">
        <v>897</v>
      </c>
      <c r="B2311" s="68" t="s">
        <v>1829</v>
      </c>
      <c r="C2311" s="315"/>
      <c r="D2311" s="316"/>
      <c r="E2311" s="315"/>
      <c r="F2311" s="315"/>
      <c r="G2311" s="315"/>
      <c r="H2311" s="194" t="s">
        <v>2023</v>
      </c>
      <c r="I2311" s="12"/>
      <c r="J2311" s="46" t="s">
        <v>1368</v>
      </c>
      <c r="K2311" s="12"/>
      <c r="L2311" s="197">
        <v>126.9</v>
      </c>
      <c r="M2311" s="197">
        <v>12</v>
      </c>
      <c r="N2311" s="290">
        <v>450</v>
      </c>
      <c r="O2311" s="47"/>
      <c r="P2311" s="47" t="s">
        <v>39</v>
      </c>
      <c r="Q2311" s="12"/>
      <c r="R2311" s="192" t="str">
        <f>CONCATENATE(N2311,P2311)</f>
        <v>450grams</v>
      </c>
      <c r="S2311" s="198">
        <f>M2311*N2311</f>
        <v>5400</v>
      </c>
      <c r="T2311" s="199" t="str">
        <f>CONCATENATE(S2311,Q2311,P2311)</f>
        <v>5400grams</v>
      </c>
      <c r="U2311" s="200">
        <f>L2311*M2311</f>
        <v>1522.8000000000002</v>
      </c>
      <c r="V2311" s="12"/>
      <c r="W2311" s="12"/>
    </row>
    <row r="2312" spans="1:23" x14ac:dyDescent="0.3">
      <c r="A2312" s="193">
        <v>898</v>
      </c>
      <c r="B2312" s="96" t="s">
        <v>1831</v>
      </c>
      <c r="C2312" s="315"/>
      <c r="D2312" s="316"/>
      <c r="E2312" s="315"/>
      <c r="F2312" s="315"/>
      <c r="G2312" s="315"/>
      <c r="H2312" s="194" t="s">
        <v>2025</v>
      </c>
      <c r="I2312" s="12"/>
      <c r="J2312" s="170"/>
      <c r="K2312" s="12"/>
      <c r="L2312" s="496">
        <v>45</v>
      </c>
      <c r="M2312" s="255">
        <v>8</v>
      </c>
      <c r="N2312" s="333">
        <v>1</v>
      </c>
      <c r="O2312" s="47"/>
      <c r="P2312" s="47" t="s">
        <v>92</v>
      </c>
      <c r="Q2312" s="12"/>
      <c r="R2312" s="192" t="str">
        <f>CONCATENATE(N2312,P2312)</f>
        <v>1pieces</v>
      </c>
      <c r="S2312" s="198">
        <f>M2312*N2312</f>
        <v>8</v>
      </c>
      <c r="T2312" s="199" t="str">
        <f>CONCATENATE(S2312,Q2312,P2312)</f>
        <v>8pieces</v>
      </c>
      <c r="U2312" s="200">
        <f>L2312*M2312</f>
        <v>360</v>
      </c>
      <c r="V2312" s="12"/>
      <c r="W2312" s="12"/>
    </row>
    <row r="2313" spans="1:23" x14ac:dyDescent="0.3">
      <c r="A2313" s="193">
        <v>898</v>
      </c>
      <c r="B2313" s="96" t="s">
        <v>1831</v>
      </c>
      <c r="C2313" s="315"/>
      <c r="D2313" s="316"/>
      <c r="E2313" s="315"/>
      <c r="F2313" s="315"/>
      <c r="G2313" s="315"/>
      <c r="H2313" s="194" t="s">
        <v>2023</v>
      </c>
      <c r="I2313" s="12"/>
      <c r="J2313" s="46" t="s">
        <v>1832</v>
      </c>
      <c r="K2313" s="12"/>
      <c r="L2313" s="496">
        <v>50</v>
      </c>
      <c r="M2313" s="255">
        <v>1</v>
      </c>
      <c r="N2313" s="333">
        <v>500</v>
      </c>
      <c r="O2313" s="47"/>
      <c r="P2313" s="47" t="s">
        <v>39</v>
      </c>
      <c r="Q2313" s="12"/>
      <c r="R2313" s="192" t="str">
        <f>CONCATENATE(N2313,P2313)</f>
        <v>500grams</v>
      </c>
      <c r="S2313" s="198">
        <f>M2313*N2313</f>
        <v>500</v>
      </c>
      <c r="T2313" s="199" t="str">
        <f>CONCATENATE(S2313,Q2313,P2313)</f>
        <v>500grams</v>
      </c>
      <c r="U2313" s="200">
        <f>L2313*M2313</f>
        <v>50</v>
      </c>
      <c r="V2313" s="12"/>
      <c r="W2313" s="12"/>
    </row>
    <row r="2314" spans="1:23" x14ac:dyDescent="0.3">
      <c r="A2314" s="193">
        <v>899</v>
      </c>
      <c r="B2314" s="244" t="s">
        <v>812</v>
      </c>
      <c r="C2314" s="487"/>
      <c r="D2314" s="485" t="str">
        <f ca="1">IFERROR(__xludf.DUMMYFUNCTION("IF(J613="""",""n/a"",IFERROR(SPLIT(J613,""/"")))"),"S")</f>
        <v>S</v>
      </c>
      <c r="E2314" s="485" t="str">
        <f ca="1">IFERROR(__xludf.DUMMYFUNCTION("""COMPUTED_VALUE"""),"B")</f>
        <v>B</v>
      </c>
      <c r="F2314" s="487"/>
      <c r="G2314" s="487"/>
      <c r="H2314" s="183" t="s">
        <v>1897</v>
      </c>
      <c r="I2314" s="487"/>
      <c r="J2314" s="68" t="s">
        <v>813</v>
      </c>
      <c r="K2314" s="487"/>
      <c r="L2314" s="246">
        <v>0.85</v>
      </c>
      <c r="M2314" s="271">
        <v>300</v>
      </c>
      <c r="N2314" s="248">
        <v>300</v>
      </c>
      <c r="O2314" s="249" t="str">
        <f ca="1">E2314</f>
        <v>B</v>
      </c>
      <c r="P2314" s="249" t="s">
        <v>39</v>
      </c>
      <c r="Q2314" s="12"/>
      <c r="R2314" s="192" t="str">
        <f>CONCATENATE(N2314,P2314)</f>
        <v>300grams</v>
      </c>
      <c r="S2314" s="198">
        <f>M2314*N2314</f>
        <v>90000</v>
      </c>
      <c r="T2314" s="199" t="str">
        <f>CONCATENATE(S2314,Q2314,P2314)</f>
        <v>90000grams</v>
      </c>
      <c r="U2314" s="200">
        <f>L2314*M2314</f>
        <v>255</v>
      </c>
      <c r="V2314" s="12"/>
      <c r="W2314" s="12"/>
    </row>
    <row r="2315" spans="1:23" x14ac:dyDescent="0.3">
      <c r="A2315" s="193">
        <v>900</v>
      </c>
      <c r="B2315" s="96" t="s">
        <v>1833</v>
      </c>
      <c r="C2315" s="315"/>
      <c r="D2315" s="316"/>
      <c r="E2315" s="315"/>
      <c r="F2315" s="315"/>
      <c r="G2315" s="315"/>
      <c r="H2315" s="194" t="s">
        <v>2025</v>
      </c>
      <c r="I2315" s="12"/>
      <c r="J2315" s="173"/>
      <c r="K2315" s="12"/>
      <c r="L2315" s="197">
        <v>40</v>
      </c>
      <c r="M2315" s="255">
        <v>1</v>
      </c>
      <c r="N2315" s="290">
        <v>1</v>
      </c>
      <c r="O2315" s="339"/>
      <c r="P2315" s="339" t="s">
        <v>213</v>
      </c>
      <c r="Q2315" s="12"/>
      <c r="R2315" s="192" t="str">
        <f>CONCATENATE(N2315,P2315)</f>
        <v>1kilos</v>
      </c>
      <c r="S2315" s="198">
        <f>M2315*N2315</f>
        <v>1</v>
      </c>
      <c r="T2315" s="199" t="str">
        <f>CONCATENATE(S2315,Q2315,P2315)</f>
        <v>1kilos</v>
      </c>
      <c r="U2315" s="200">
        <f>L2315*M2315</f>
        <v>40</v>
      </c>
      <c r="V2315" s="12"/>
      <c r="W2315" s="12"/>
    </row>
    <row r="2316" spans="1:23" x14ac:dyDescent="0.3">
      <c r="A2316" s="193">
        <v>900</v>
      </c>
      <c r="B2316" s="96" t="s">
        <v>1833</v>
      </c>
      <c r="C2316" s="315"/>
      <c r="D2316" s="316"/>
      <c r="E2316" s="315"/>
      <c r="F2316" s="315"/>
      <c r="G2316" s="315"/>
      <c r="H2316" s="400" t="s">
        <v>2027</v>
      </c>
      <c r="I2316" s="12"/>
      <c r="J2316" s="96" t="s">
        <v>1945</v>
      </c>
      <c r="K2316" s="12"/>
      <c r="L2316" s="254">
        <v>40</v>
      </c>
      <c r="M2316" s="255">
        <v>1</v>
      </c>
      <c r="N2316" s="366">
        <v>1</v>
      </c>
      <c r="O2316" s="100"/>
      <c r="P2316" s="100" t="s">
        <v>213</v>
      </c>
      <c r="Q2316" s="12"/>
      <c r="R2316" s="192" t="str">
        <f>CONCATENATE(N2316,P2316)</f>
        <v>1kilos</v>
      </c>
      <c r="S2316" s="198">
        <f>M2316*N2316</f>
        <v>1</v>
      </c>
      <c r="T2316" s="199" t="str">
        <f>CONCATENATE(S2316,Q2316,P2316)</f>
        <v>1kilos</v>
      </c>
      <c r="U2316" s="200">
        <f>L2316*M2316</f>
        <v>40</v>
      </c>
      <c r="V2316" s="12"/>
      <c r="W2316" s="12"/>
    </row>
    <row r="2317" spans="1:23" x14ac:dyDescent="0.3">
      <c r="A2317" s="193">
        <v>901</v>
      </c>
      <c r="B2317" s="96" t="s">
        <v>1834</v>
      </c>
      <c r="C2317" s="315"/>
      <c r="D2317" s="316"/>
      <c r="E2317" s="315"/>
      <c r="F2317" s="315"/>
      <c r="G2317" s="315"/>
      <c r="H2317" s="194" t="s">
        <v>2026</v>
      </c>
      <c r="I2317" s="12"/>
      <c r="J2317" s="239"/>
      <c r="K2317" s="12"/>
      <c r="L2317" s="255">
        <v>180</v>
      </c>
      <c r="M2317" s="255">
        <v>5</v>
      </c>
      <c r="N2317" s="333">
        <v>1000</v>
      </c>
      <c r="O2317" s="96"/>
      <c r="P2317" s="96" t="s">
        <v>39</v>
      </c>
      <c r="Q2317" s="12"/>
      <c r="R2317" s="192" t="str">
        <f>CONCATENATE(N2317,P2317)</f>
        <v>1000grams</v>
      </c>
      <c r="S2317" s="198">
        <f>M2317*N2317</f>
        <v>5000</v>
      </c>
      <c r="T2317" s="199" t="str">
        <f>CONCATENATE(S2317,Q2317,P2317)</f>
        <v>5000grams</v>
      </c>
      <c r="U2317" s="200">
        <f>L2317*M2317</f>
        <v>900</v>
      </c>
      <c r="V2317" s="12"/>
      <c r="W2317" s="12"/>
    </row>
    <row r="2318" spans="1:23" x14ac:dyDescent="0.3">
      <c r="A2318" s="193">
        <v>902</v>
      </c>
      <c r="B2318" s="340" t="s">
        <v>1835</v>
      </c>
      <c r="C2318" s="315"/>
      <c r="D2318" s="316"/>
      <c r="E2318" s="315"/>
      <c r="F2318" s="315"/>
      <c r="G2318" s="315"/>
      <c r="H2318" s="194" t="s">
        <v>2023</v>
      </c>
      <c r="I2318" s="12"/>
      <c r="J2318" s="340" t="s">
        <v>1184</v>
      </c>
      <c r="K2318" s="12"/>
      <c r="L2318" s="285">
        <v>3.45</v>
      </c>
      <c r="M2318" s="285">
        <v>87</v>
      </c>
      <c r="N2318" s="336">
        <v>25</v>
      </c>
      <c r="O2318" s="340"/>
      <c r="P2318" s="340" t="s">
        <v>39</v>
      </c>
      <c r="Q2318" s="12"/>
      <c r="R2318" s="192" t="str">
        <f>CONCATENATE(N2318,P2318)</f>
        <v>25grams</v>
      </c>
      <c r="S2318" s="198">
        <f>M2318*N2318</f>
        <v>2175</v>
      </c>
      <c r="T2318" s="199" t="str">
        <f>CONCATENATE(S2318,Q2318,P2318)</f>
        <v>2175grams</v>
      </c>
      <c r="U2318" s="200">
        <f>L2318*M2318</f>
        <v>300.15000000000003</v>
      </c>
      <c r="V2318" s="12"/>
      <c r="W2318" s="12"/>
    </row>
    <row r="2319" spans="1:23" x14ac:dyDescent="0.3">
      <c r="A2319" s="193">
        <v>903</v>
      </c>
      <c r="B2319" s="244" t="s">
        <v>288</v>
      </c>
      <c r="C2319" s="487"/>
      <c r="D2319" s="485" t="str">
        <f ca="1">IFERROR(__xludf.DUMMYFUNCTION("IF(J614="""",""n/a"",IFERROR(SPLIT(J614,""/"")))"),"Del Monte")</f>
        <v>Del Monte</v>
      </c>
      <c r="E2319" s="485" t="str">
        <f ca="1">IFERROR(__xludf.DUMMYFUNCTION("""COMPUTED_VALUE"""),"sachet")</f>
        <v>sachet</v>
      </c>
      <c r="F2319" s="485" t="str">
        <f ca="1">IFERROR(__xludf.DUMMYFUNCTION("""COMPUTED_VALUE"""),"150grams")</f>
        <v>150grams</v>
      </c>
      <c r="G2319" s="487"/>
      <c r="H2319" s="183" t="s">
        <v>1895</v>
      </c>
      <c r="I2319" s="487"/>
      <c r="J2319" s="96" t="s">
        <v>289</v>
      </c>
      <c r="K2319" s="487"/>
      <c r="L2319" s="254">
        <v>30.57</v>
      </c>
      <c r="M2319" s="255">
        <v>48</v>
      </c>
      <c r="N2319" s="100">
        <v>1</v>
      </c>
      <c r="O2319" s="100" t="str">
        <f ca="1">E2319</f>
        <v>sachet</v>
      </c>
      <c r="P2319" s="100" t="s">
        <v>39</v>
      </c>
      <c r="Q2319" s="12"/>
      <c r="R2319" s="192" t="str">
        <f>CONCATENATE(N2319,P2319)</f>
        <v>1grams</v>
      </c>
      <c r="S2319" s="198">
        <f>M2319*N2319</f>
        <v>48</v>
      </c>
      <c r="T2319" s="199" t="str">
        <f>CONCATENATE(S2319,Q2319,P2319)</f>
        <v>48grams</v>
      </c>
      <c r="U2319" s="200">
        <f>L2319*M2319</f>
        <v>1467.3600000000001</v>
      </c>
      <c r="V2319" s="12"/>
      <c r="W2319" s="12"/>
    </row>
    <row r="2320" spans="1:23" x14ac:dyDescent="0.3">
      <c r="A2320" s="193">
        <v>903</v>
      </c>
      <c r="B2320" s="244" t="s">
        <v>288</v>
      </c>
      <c r="C2320" s="487"/>
      <c r="D2320" s="485" t="str">
        <f ca="1">IFERROR(__xludf.DUMMYFUNCTION("IF(J615="""",""n/a"",IFERROR(SPLIT(J615,""/"")))"),"n/a")</f>
        <v>n/a</v>
      </c>
      <c r="E2320" s="487"/>
      <c r="F2320" s="487"/>
      <c r="G2320" s="487"/>
      <c r="H2320" s="206" t="s">
        <v>1898</v>
      </c>
      <c r="I2320" s="487"/>
      <c r="J2320" s="239"/>
      <c r="K2320" s="487"/>
      <c r="L2320" s="255">
        <v>0.2</v>
      </c>
      <c r="M2320" s="389">
        <v>3450</v>
      </c>
      <c r="N2320" s="250">
        <v>150</v>
      </c>
      <c r="O2320" s="239">
        <f>E2320</f>
        <v>0</v>
      </c>
      <c r="P2320" s="100" t="s">
        <v>39</v>
      </c>
      <c r="Q2320" s="12"/>
      <c r="R2320" s="192" t="str">
        <f>CONCATENATE(N2320,P2320)</f>
        <v>150grams</v>
      </c>
      <c r="S2320" s="198">
        <f>M2320*N2320</f>
        <v>517500</v>
      </c>
      <c r="T2320" s="199" t="str">
        <f>CONCATENATE(S2320,Q2320,P2320)</f>
        <v>517500grams</v>
      </c>
      <c r="U2320" s="200">
        <f>L2320*M2320</f>
        <v>690</v>
      </c>
      <c r="V2320" s="12"/>
      <c r="W2320" s="12"/>
    </row>
    <row r="2321" spans="1:23" x14ac:dyDescent="0.3">
      <c r="A2321" s="193">
        <v>903</v>
      </c>
      <c r="B2321" s="96" t="s">
        <v>288</v>
      </c>
      <c r="C2321" s="315"/>
      <c r="D2321" s="316"/>
      <c r="E2321" s="315"/>
      <c r="F2321" s="315"/>
      <c r="G2321" s="315"/>
      <c r="H2321" s="194" t="s">
        <v>29</v>
      </c>
      <c r="I2321" s="12"/>
      <c r="J2321" s="96" t="s">
        <v>1241</v>
      </c>
      <c r="K2321" s="12"/>
      <c r="L2321" s="255">
        <v>31.2</v>
      </c>
      <c r="M2321" s="255">
        <v>7</v>
      </c>
      <c r="N2321" s="333">
        <v>150</v>
      </c>
      <c r="O2321" s="96"/>
      <c r="P2321" s="96" t="s">
        <v>39</v>
      </c>
      <c r="Q2321" s="12"/>
      <c r="R2321" s="192" t="str">
        <f>CONCATENATE(N2321,P2321)</f>
        <v>150grams</v>
      </c>
      <c r="S2321" s="198">
        <f>M2321*N2321</f>
        <v>1050</v>
      </c>
      <c r="T2321" s="199" t="str">
        <f>CONCATENATE(S2321,Q2321,P2321)</f>
        <v>1050grams</v>
      </c>
      <c r="U2321" s="200">
        <f>L2321*M2321</f>
        <v>218.4</v>
      </c>
      <c r="V2321" s="12"/>
      <c r="W2321" s="12"/>
    </row>
    <row r="2322" spans="1:23" x14ac:dyDescent="0.3">
      <c r="A2322" s="193">
        <v>903</v>
      </c>
      <c r="B2322" s="96" t="s">
        <v>288</v>
      </c>
      <c r="C2322" s="315"/>
      <c r="D2322" s="316"/>
      <c r="E2322" s="315"/>
      <c r="F2322" s="315"/>
      <c r="G2322" s="315"/>
      <c r="H2322" s="194" t="s">
        <v>2024</v>
      </c>
      <c r="I2322" s="12"/>
      <c r="J2322" s="96" t="s">
        <v>1241</v>
      </c>
      <c r="K2322" s="12"/>
      <c r="L2322" s="255">
        <v>18.190000000000001</v>
      </c>
      <c r="M2322" s="255">
        <v>62</v>
      </c>
      <c r="N2322" s="333">
        <v>70</v>
      </c>
      <c r="O2322" s="96"/>
      <c r="P2322" s="96" t="s">
        <v>39</v>
      </c>
      <c r="Q2322" s="12"/>
      <c r="R2322" s="192" t="str">
        <f>CONCATENATE(N2322,P2322)</f>
        <v>70grams</v>
      </c>
      <c r="S2322" s="198">
        <f>M2322*N2322</f>
        <v>4340</v>
      </c>
      <c r="T2322" s="199" t="str">
        <f>CONCATENATE(S2322,Q2322,P2322)</f>
        <v>4340grams</v>
      </c>
      <c r="U2322" s="200">
        <f>L2322*M2322</f>
        <v>1127.78</v>
      </c>
      <c r="V2322" s="12"/>
      <c r="W2322" s="12"/>
    </row>
    <row r="2323" spans="1:23" x14ac:dyDescent="0.3">
      <c r="A2323" s="193">
        <v>903</v>
      </c>
      <c r="B2323" s="96" t="s">
        <v>288</v>
      </c>
      <c r="C2323" s="315"/>
      <c r="D2323" s="316"/>
      <c r="E2323" s="315"/>
      <c r="F2323" s="315"/>
      <c r="G2323" s="315"/>
      <c r="H2323" s="194" t="s">
        <v>2026</v>
      </c>
      <c r="I2323" s="12"/>
      <c r="J2323" s="96" t="s">
        <v>1241</v>
      </c>
      <c r="K2323" s="12"/>
      <c r="L2323" s="255">
        <v>31.2</v>
      </c>
      <c r="M2323" s="255">
        <v>15</v>
      </c>
      <c r="N2323" s="333">
        <v>150</v>
      </c>
      <c r="O2323" s="96"/>
      <c r="P2323" s="96" t="s">
        <v>39</v>
      </c>
      <c r="Q2323" s="12"/>
      <c r="R2323" s="192" t="str">
        <f>CONCATENATE(N2323,P2323)</f>
        <v>150grams</v>
      </c>
      <c r="S2323" s="198">
        <f>M2323*N2323</f>
        <v>2250</v>
      </c>
      <c r="T2323" s="199" t="str">
        <f>CONCATENATE(S2323,Q2323,P2323)</f>
        <v>2250grams</v>
      </c>
      <c r="U2323" s="200">
        <f>L2323*M2323</f>
        <v>468</v>
      </c>
      <c r="V2323" s="12"/>
      <c r="W2323" s="12"/>
    </row>
    <row r="2324" spans="1:23" x14ac:dyDescent="0.3">
      <c r="A2324" s="193">
        <v>903</v>
      </c>
      <c r="B2324" s="344" t="s">
        <v>288</v>
      </c>
      <c r="C2324" s="315"/>
      <c r="D2324" s="316"/>
      <c r="E2324" s="315"/>
      <c r="F2324" s="315"/>
      <c r="G2324" s="315"/>
      <c r="H2324" s="194" t="s">
        <v>2022</v>
      </c>
      <c r="I2324" s="12"/>
      <c r="J2324" s="344" t="s">
        <v>1241</v>
      </c>
      <c r="K2324" s="12"/>
      <c r="L2324" s="259">
        <v>32</v>
      </c>
      <c r="M2324" s="259">
        <v>11</v>
      </c>
      <c r="N2324" s="338">
        <v>150</v>
      </c>
      <c r="O2324" s="96"/>
      <c r="P2324" s="96" t="s">
        <v>39</v>
      </c>
      <c r="Q2324" s="12"/>
      <c r="R2324" s="192" t="str">
        <f>CONCATENATE(N2324,P2324)</f>
        <v>150grams</v>
      </c>
      <c r="S2324" s="198">
        <f>M2324*N2324</f>
        <v>1650</v>
      </c>
      <c r="T2324" s="199" t="str">
        <f>CONCATENATE(S2324,Q2324,P2324)</f>
        <v>1650grams</v>
      </c>
      <c r="U2324" s="200">
        <f>L2324*M2324</f>
        <v>352</v>
      </c>
      <c r="V2324" s="12"/>
      <c r="W2324" s="12"/>
    </row>
    <row r="2325" spans="1:23" x14ac:dyDescent="0.3">
      <c r="A2325" s="193">
        <v>903</v>
      </c>
      <c r="B2325" s="219" t="s">
        <v>288</v>
      </c>
      <c r="C2325" s="315"/>
      <c r="D2325" s="316"/>
      <c r="E2325" s="315"/>
      <c r="F2325" s="315"/>
      <c r="G2325" s="315"/>
      <c r="H2325" s="194" t="s">
        <v>2021</v>
      </c>
      <c r="I2325" s="12"/>
      <c r="J2325" s="46" t="s">
        <v>1241</v>
      </c>
      <c r="K2325" s="12"/>
      <c r="L2325" s="216">
        <v>33</v>
      </c>
      <c r="M2325" s="216">
        <v>2</v>
      </c>
      <c r="N2325" s="293">
        <v>150</v>
      </c>
      <c r="O2325" s="340"/>
      <c r="P2325" s="340" t="s">
        <v>39</v>
      </c>
      <c r="Q2325" s="12"/>
      <c r="R2325" s="192" t="str">
        <f>CONCATENATE(N2325,P2325)</f>
        <v>150grams</v>
      </c>
      <c r="S2325" s="198">
        <f>M2325*N2325</f>
        <v>300</v>
      </c>
      <c r="T2325" s="199" t="str">
        <f>CONCATENATE(S2325,Q2325,P2325)</f>
        <v>300grams</v>
      </c>
      <c r="U2325" s="200">
        <f>L2325*M2325</f>
        <v>66</v>
      </c>
      <c r="V2325" s="12"/>
      <c r="W2325" s="12"/>
    </row>
    <row r="2326" spans="1:23" x14ac:dyDescent="0.3">
      <c r="A2326" s="193">
        <v>903</v>
      </c>
      <c r="B2326" s="46" t="s">
        <v>288</v>
      </c>
      <c r="C2326" s="315"/>
      <c r="D2326" s="316"/>
      <c r="E2326" s="315"/>
      <c r="F2326" s="315"/>
      <c r="G2326" s="315"/>
      <c r="H2326" s="194" t="s">
        <v>2020</v>
      </c>
      <c r="I2326" s="12"/>
      <c r="J2326" s="46" t="s">
        <v>1241</v>
      </c>
      <c r="K2326" s="12"/>
      <c r="L2326" s="197">
        <v>31.2</v>
      </c>
      <c r="M2326" s="197">
        <v>3</v>
      </c>
      <c r="N2326" s="290">
        <v>150</v>
      </c>
      <c r="O2326" s="96"/>
      <c r="P2326" s="96" t="s">
        <v>39</v>
      </c>
      <c r="Q2326" s="12"/>
      <c r="R2326" s="192" t="str">
        <f>CONCATENATE(N2326,P2326)</f>
        <v>150grams</v>
      </c>
      <c r="S2326" s="198">
        <f>M2326*N2326</f>
        <v>450</v>
      </c>
      <c r="T2326" s="199" t="str">
        <f>CONCATENATE(S2326,Q2326,P2326)</f>
        <v>450grams</v>
      </c>
      <c r="U2326" s="200">
        <f>L2326*M2326</f>
        <v>93.6</v>
      </c>
      <c r="V2326" s="12"/>
      <c r="W2326" s="12"/>
    </row>
    <row r="2327" spans="1:23" x14ac:dyDescent="0.3">
      <c r="A2327" s="193">
        <v>903</v>
      </c>
      <c r="B2327" s="46" t="s">
        <v>288</v>
      </c>
      <c r="C2327" s="315"/>
      <c r="D2327" s="316"/>
      <c r="E2327" s="315"/>
      <c r="F2327" s="315"/>
      <c r="G2327" s="315"/>
      <c r="H2327" s="400" t="s">
        <v>2027</v>
      </c>
      <c r="I2327" s="12"/>
      <c r="J2327" s="46" t="s">
        <v>2012</v>
      </c>
      <c r="K2327" s="12"/>
      <c r="L2327" s="195">
        <v>27.5</v>
      </c>
      <c r="M2327" s="197">
        <v>15</v>
      </c>
      <c r="N2327" s="360">
        <v>1</v>
      </c>
      <c r="O2327" s="100"/>
      <c r="P2327" s="100" t="s">
        <v>304</v>
      </c>
      <c r="Q2327" s="12"/>
      <c r="R2327" s="192" t="str">
        <f>CONCATENATE(N2327,P2327)</f>
        <v>1packs</v>
      </c>
      <c r="S2327" s="198">
        <f>M2327*N2327</f>
        <v>15</v>
      </c>
      <c r="T2327" s="199" t="str">
        <f>CONCATENATE(S2327,Q2327,P2327)</f>
        <v>15packs</v>
      </c>
      <c r="U2327" s="200">
        <f>L2327*M2327</f>
        <v>412.5</v>
      </c>
      <c r="V2327" s="12"/>
      <c r="W2327" s="12"/>
    </row>
    <row r="2328" spans="1:23" x14ac:dyDescent="0.3">
      <c r="A2328" s="193">
        <v>904</v>
      </c>
      <c r="B2328" s="194" t="s">
        <v>290</v>
      </c>
      <c r="C2328" s="487"/>
      <c r="D2328" s="485" t="str">
        <f ca="1">IFERROR(__xludf.DUMMYFUNCTION("IF(J616="""",""n/a"",IFERROR(SPLIT(J616,""/"")))"),"Ticman")</f>
        <v>Ticman</v>
      </c>
      <c r="E2328" s="485" t="str">
        <f ca="1">IFERROR(__xludf.DUMMYFUNCTION("""COMPUTED_VALUE"""),"gallon")</f>
        <v>gallon</v>
      </c>
      <c r="F2328" s="485" t="str">
        <f ca="1">IFERROR(__xludf.DUMMYFUNCTION("""COMPUTED_VALUE"""),"3500ml")</f>
        <v>3500ml</v>
      </c>
      <c r="G2328" s="487"/>
      <c r="H2328" s="183" t="s">
        <v>1897</v>
      </c>
      <c r="I2328" s="487"/>
      <c r="J2328" s="46" t="s">
        <v>239</v>
      </c>
      <c r="K2328" s="487"/>
      <c r="L2328" s="202">
        <v>135</v>
      </c>
      <c r="M2328" s="202">
        <v>2</v>
      </c>
      <c r="N2328" s="203">
        <v>1</v>
      </c>
      <c r="O2328" s="100" t="str">
        <f ca="1">E2328</f>
        <v>gallon</v>
      </c>
      <c r="P2328" s="100" t="s">
        <v>200</v>
      </c>
      <c r="Q2328" s="12"/>
      <c r="R2328" s="192" t="str">
        <f>CONCATENATE(N2328,P2328)</f>
        <v>1gal</v>
      </c>
      <c r="S2328" s="198">
        <f>M2328*N2328</f>
        <v>2</v>
      </c>
      <c r="T2328" s="199" t="str">
        <f>CONCATENATE(S2328,Q2328,P2328)</f>
        <v>2gal</v>
      </c>
      <c r="U2328" s="200">
        <f>L2328*M2328</f>
        <v>270</v>
      </c>
      <c r="V2328" s="62"/>
      <c r="W2328" s="12"/>
    </row>
    <row r="2329" spans="1:23" x14ac:dyDescent="0.3">
      <c r="A2329" s="193">
        <v>904</v>
      </c>
      <c r="B2329" s="194" t="s">
        <v>290</v>
      </c>
      <c r="C2329" s="487"/>
      <c r="D2329" s="485" t="str">
        <f ca="1">IFERROR(__xludf.DUMMYFUNCTION("IF(J617="""",""n/a"",IFERROR(SPLIT(J617,""/"")))"),"Ticman")</f>
        <v>Ticman</v>
      </c>
      <c r="E2329" s="485" t="str">
        <f ca="1">IFERROR(__xludf.DUMMYFUNCTION("""COMPUTED_VALUE"""),"gallon")</f>
        <v>gallon</v>
      </c>
      <c r="F2329" s="485" t="str">
        <f ca="1">IFERROR(__xludf.DUMMYFUNCTION("""COMPUTED_VALUE"""),"3500ml")</f>
        <v>3500ml</v>
      </c>
      <c r="G2329" s="487"/>
      <c r="H2329" s="183" t="s">
        <v>1895</v>
      </c>
      <c r="I2329" s="487"/>
      <c r="J2329" s="46" t="s">
        <v>239</v>
      </c>
      <c r="K2329" s="487"/>
      <c r="L2329" s="195">
        <v>135</v>
      </c>
      <c r="M2329" s="197">
        <v>7</v>
      </c>
      <c r="N2329" s="100">
        <v>1</v>
      </c>
      <c r="O2329" s="100" t="str">
        <f ca="1">E2329</f>
        <v>gallon</v>
      </c>
      <c r="P2329" s="100" t="s">
        <v>200</v>
      </c>
      <c r="Q2329" s="12"/>
      <c r="R2329" s="192" t="str">
        <f>CONCATENATE(N2329,P2329)</f>
        <v>1gal</v>
      </c>
      <c r="S2329" s="198">
        <f>M2329*N2329</f>
        <v>7</v>
      </c>
      <c r="T2329" s="199" t="str">
        <f>CONCATENATE(S2329,Q2329,P2329)</f>
        <v>7gal</v>
      </c>
      <c r="U2329" s="200">
        <f>L2329*M2329</f>
        <v>945</v>
      </c>
      <c r="V2329" s="12"/>
      <c r="W2329" s="12"/>
    </row>
    <row r="2330" spans="1:23" x14ac:dyDescent="0.3">
      <c r="A2330" s="193">
        <v>904</v>
      </c>
      <c r="B2330" s="194" t="s">
        <v>290</v>
      </c>
      <c r="C2330" s="487"/>
      <c r="D2330" s="485" t="str">
        <f ca="1">IFERROR(__xludf.DUMMYFUNCTION("IF(J618="""",""n/a"",IFERROR(SPLIT(J618,""/"")))"),"n/a")</f>
        <v>n/a</v>
      </c>
      <c r="E2330" s="487"/>
      <c r="F2330" s="487"/>
      <c r="G2330" s="487"/>
      <c r="H2330" s="206" t="s">
        <v>1898</v>
      </c>
      <c r="I2330" s="487"/>
      <c r="J2330" s="170"/>
      <c r="K2330" s="487"/>
      <c r="L2330" s="255">
        <v>0.04</v>
      </c>
      <c r="M2330" s="389">
        <v>14000</v>
      </c>
      <c r="N2330" s="250">
        <v>3500</v>
      </c>
      <c r="O2330" s="239">
        <f>E2330</f>
        <v>0</v>
      </c>
      <c r="P2330" s="100" t="s">
        <v>200</v>
      </c>
      <c r="Q2330" s="12"/>
      <c r="R2330" s="192" t="str">
        <f>CONCATENATE(N2330,P2330)</f>
        <v>3500gal</v>
      </c>
      <c r="S2330" s="198">
        <f>M2330*N2330</f>
        <v>49000000</v>
      </c>
      <c r="T2330" s="199" t="str">
        <f>CONCATENATE(S2330,Q2330,P2330)</f>
        <v>49000000gal</v>
      </c>
      <c r="U2330" s="200">
        <f>L2330*M2330</f>
        <v>560</v>
      </c>
      <c r="V2330" s="12"/>
      <c r="W2330" s="12"/>
    </row>
    <row r="2331" spans="1:23" x14ac:dyDescent="0.3">
      <c r="A2331" s="193">
        <v>904</v>
      </c>
      <c r="B2331" s="46" t="s">
        <v>290</v>
      </c>
      <c r="C2331" s="315"/>
      <c r="D2331" s="316"/>
      <c r="E2331" s="315"/>
      <c r="F2331" s="315"/>
      <c r="G2331" s="315"/>
      <c r="H2331" s="194" t="s">
        <v>29</v>
      </c>
      <c r="I2331" s="12"/>
      <c r="J2331" s="46" t="s">
        <v>1069</v>
      </c>
      <c r="K2331" s="12"/>
      <c r="L2331" s="255">
        <v>135</v>
      </c>
      <c r="M2331" s="255">
        <v>3</v>
      </c>
      <c r="N2331" s="333">
        <v>3500</v>
      </c>
      <c r="O2331" s="96"/>
      <c r="P2331" s="96" t="s">
        <v>32</v>
      </c>
      <c r="Q2331" s="12"/>
      <c r="R2331" s="192" t="str">
        <f>CONCATENATE(N2331,P2331)</f>
        <v>3500ml</v>
      </c>
      <c r="S2331" s="198">
        <f>M2331*N2331</f>
        <v>10500</v>
      </c>
      <c r="T2331" s="199" t="str">
        <f>CONCATENATE(S2331,Q2331,P2331)</f>
        <v>10500ml</v>
      </c>
      <c r="U2331" s="200">
        <f>L2331*M2331</f>
        <v>405</v>
      </c>
      <c r="V2331" s="12"/>
      <c r="W2331" s="12"/>
    </row>
    <row r="2332" spans="1:23" x14ac:dyDescent="0.3">
      <c r="A2332" s="193">
        <v>904</v>
      </c>
      <c r="B2332" s="46" t="s">
        <v>290</v>
      </c>
      <c r="C2332" s="315"/>
      <c r="D2332" s="316"/>
      <c r="E2332" s="315"/>
      <c r="F2332" s="315"/>
      <c r="G2332" s="315"/>
      <c r="H2332" s="194" t="s">
        <v>2024</v>
      </c>
      <c r="I2332" s="12"/>
      <c r="J2332" s="46" t="s">
        <v>1069</v>
      </c>
      <c r="K2332" s="12"/>
      <c r="L2332" s="255">
        <v>135</v>
      </c>
      <c r="M2332" s="255">
        <v>11</v>
      </c>
      <c r="N2332" s="333">
        <v>3500</v>
      </c>
      <c r="O2332" s="96"/>
      <c r="P2332" s="96" t="s">
        <v>32</v>
      </c>
      <c r="Q2332" s="12"/>
      <c r="R2332" s="192" t="str">
        <f>CONCATENATE(N2332,P2332)</f>
        <v>3500ml</v>
      </c>
      <c r="S2332" s="198">
        <f>M2332*N2332</f>
        <v>38500</v>
      </c>
      <c r="T2332" s="199" t="str">
        <f>CONCATENATE(S2332,Q2332,P2332)</f>
        <v>38500ml</v>
      </c>
      <c r="U2332" s="200">
        <f>L2332*M2332</f>
        <v>1485</v>
      </c>
      <c r="V2332" s="12"/>
      <c r="W2332" s="12"/>
    </row>
    <row r="2333" spans="1:23" x14ac:dyDescent="0.3">
      <c r="A2333" s="193">
        <v>904</v>
      </c>
      <c r="B2333" s="46" t="s">
        <v>290</v>
      </c>
      <c r="C2333" s="315"/>
      <c r="D2333" s="316"/>
      <c r="E2333" s="315"/>
      <c r="F2333" s="315"/>
      <c r="G2333" s="315"/>
      <c r="H2333" s="194" t="s">
        <v>2025</v>
      </c>
      <c r="I2333" s="12"/>
      <c r="J2333" s="46" t="s">
        <v>1069</v>
      </c>
      <c r="K2333" s="12"/>
      <c r="L2333" s="255">
        <v>135</v>
      </c>
      <c r="M2333" s="255">
        <v>1</v>
      </c>
      <c r="N2333" s="333">
        <v>3</v>
      </c>
      <c r="O2333" s="96"/>
      <c r="P2333" s="96" t="s">
        <v>213</v>
      </c>
      <c r="Q2333" s="12"/>
      <c r="R2333" s="192" t="str">
        <f>CONCATENATE(N2333,P2333)</f>
        <v>3kilos</v>
      </c>
      <c r="S2333" s="198">
        <f>M2333*N2333</f>
        <v>3</v>
      </c>
      <c r="T2333" s="199" t="str">
        <f>CONCATENATE(S2333,Q2333,P2333)</f>
        <v>3kilos</v>
      </c>
      <c r="U2333" s="200">
        <f>L2333*M2333</f>
        <v>135</v>
      </c>
      <c r="V2333" s="12"/>
      <c r="W2333" s="12"/>
    </row>
    <row r="2334" spans="1:23" x14ac:dyDescent="0.3">
      <c r="A2334" s="193">
        <v>904</v>
      </c>
      <c r="B2334" s="46" t="s">
        <v>290</v>
      </c>
      <c r="C2334" s="315"/>
      <c r="D2334" s="316"/>
      <c r="E2334" s="315"/>
      <c r="F2334" s="315"/>
      <c r="G2334" s="315"/>
      <c r="H2334" s="400" t="s">
        <v>2027</v>
      </c>
      <c r="I2334" s="12"/>
      <c r="J2334" s="46" t="s">
        <v>1929</v>
      </c>
      <c r="K2334" s="12"/>
      <c r="L2334" s="254">
        <v>135</v>
      </c>
      <c r="M2334" s="255">
        <v>1</v>
      </c>
      <c r="N2334" s="366">
        <v>1</v>
      </c>
      <c r="O2334" s="240"/>
      <c r="P2334" s="240" t="s">
        <v>200</v>
      </c>
      <c r="Q2334" s="12"/>
      <c r="R2334" s="192" t="str">
        <f>CONCATENATE(N2334,P2334)</f>
        <v>1gal</v>
      </c>
      <c r="S2334" s="198">
        <f>M2334*N2334</f>
        <v>1</v>
      </c>
      <c r="T2334" s="199" t="str">
        <f>CONCATENATE(S2334,Q2334,P2334)</f>
        <v>1gal</v>
      </c>
      <c r="U2334" s="200">
        <f>L2334*M2334</f>
        <v>135</v>
      </c>
      <c r="V2334" s="12"/>
      <c r="W2334" s="12"/>
    </row>
    <row r="2335" spans="1:23" x14ac:dyDescent="0.3">
      <c r="A2335" s="193">
        <v>905</v>
      </c>
      <c r="B2335" s="46" t="s">
        <v>1836</v>
      </c>
      <c r="C2335" s="315"/>
      <c r="D2335" s="316"/>
      <c r="E2335" s="315"/>
      <c r="F2335" s="315"/>
      <c r="G2335" s="315"/>
      <c r="H2335" s="194" t="s">
        <v>2026</v>
      </c>
      <c r="I2335" s="12"/>
      <c r="J2335" s="46" t="s">
        <v>1241</v>
      </c>
      <c r="K2335" s="12"/>
      <c r="L2335" s="255">
        <v>84.2</v>
      </c>
      <c r="M2335" s="255">
        <v>1</v>
      </c>
      <c r="N2335" s="333">
        <v>900</v>
      </c>
      <c r="O2335" s="47"/>
      <c r="P2335" s="47" t="s">
        <v>39</v>
      </c>
      <c r="Q2335" s="12"/>
      <c r="R2335" s="192" t="str">
        <f>CONCATENATE(N2335,P2335)</f>
        <v>900grams</v>
      </c>
      <c r="S2335" s="198">
        <f>M2335*N2335</f>
        <v>900</v>
      </c>
      <c r="T2335" s="199" t="str">
        <f>CONCATENATE(S2335,Q2335,P2335)</f>
        <v>900grams</v>
      </c>
      <c r="U2335" s="200">
        <f>L2335*M2335</f>
        <v>84.2</v>
      </c>
      <c r="V2335" s="12"/>
      <c r="W2335" s="12"/>
    </row>
    <row r="2336" spans="1:23" x14ac:dyDescent="0.3">
      <c r="A2336" s="193">
        <v>906</v>
      </c>
      <c r="B2336" s="46" t="s">
        <v>1837</v>
      </c>
      <c r="C2336" s="315"/>
      <c r="D2336" s="316"/>
      <c r="E2336" s="315"/>
      <c r="F2336" s="315"/>
      <c r="G2336" s="315"/>
      <c r="H2336" s="194" t="s">
        <v>2022</v>
      </c>
      <c r="I2336" s="12"/>
      <c r="J2336" s="46" t="s">
        <v>1241</v>
      </c>
      <c r="K2336" s="12"/>
      <c r="L2336" s="255">
        <v>82.8</v>
      </c>
      <c r="M2336" s="255">
        <v>5</v>
      </c>
      <c r="N2336" s="333">
        <v>900</v>
      </c>
      <c r="O2336" s="47"/>
      <c r="P2336" s="47" t="s">
        <v>39</v>
      </c>
      <c r="Q2336" s="12"/>
      <c r="R2336" s="192" t="str">
        <f>CONCATENATE(N2336,P2336)</f>
        <v>900grams</v>
      </c>
      <c r="S2336" s="198">
        <f>M2336*N2336</f>
        <v>4500</v>
      </c>
      <c r="T2336" s="199" t="str">
        <f>CONCATENATE(S2336,Q2336,P2336)</f>
        <v>4500grams</v>
      </c>
      <c r="U2336" s="200">
        <f>L2336*M2336</f>
        <v>414</v>
      </c>
      <c r="V2336" s="12"/>
      <c r="W2336" s="12"/>
    </row>
    <row r="2337" spans="1:23" x14ac:dyDescent="0.3">
      <c r="A2337" s="193">
        <v>907</v>
      </c>
      <c r="B2337" s="46" t="s">
        <v>2013</v>
      </c>
      <c r="C2337" s="315"/>
      <c r="D2337" s="316"/>
      <c r="E2337" s="315"/>
      <c r="F2337" s="315"/>
      <c r="G2337" s="315"/>
      <c r="H2337" s="400" t="s">
        <v>2027</v>
      </c>
      <c r="I2337" s="12"/>
      <c r="J2337" s="170"/>
      <c r="K2337" s="12"/>
      <c r="L2337" s="254">
        <v>24.8</v>
      </c>
      <c r="M2337" s="255">
        <v>18</v>
      </c>
      <c r="N2337" s="366">
        <v>1</v>
      </c>
      <c r="O2337" s="240"/>
      <c r="P2337" s="240" t="s">
        <v>92</v>
      </c>
      <c r="Q2337" s="12"/>
      <c r="R2337" s="192" t="str">
        <f>CONCATENATE(N2337,P2337)</f>
        <v>1pieces</v>
      </c>
      <c r="S2337" s="198">
        <f>M2337*N2337</f>
        <v>18</v>
      </c>
      <c r="T2337" s="199" t="str">
        <f>CONCATENATE(S2337,Q2337,P2337)</f>
        <v>18pieces</v>
      </c>
      <c r="U2337" s="200">
        <f>L2337*M2337</f>
        <v>446.40000000000003</v>
      </c>
      <c r="V2337" s="12"/>
      <c r="W2337" s="12"/>
    </row>
    <row r="2338" spans="1:23" x14ac:dyDescent="0.3">
      <c r="A2338" s="193">
        <v>908</v>
      </c>
      <c r="B2338" s="194" t="s">
        <v>814</v>
      </c>
      <c r="C2338" s="487"/>
      <c r="D2338" s="485" t="str">
        <f ca="1">IFERROR(__xludf.DUMMYFUNCTION("IF(J619="""",""n/a"",IFERROR(SPLIT(J619,""/"")))"),"Bulldog")</f>
        <v>Bulldog</v>
      </c>
      <c r="E2338" s="485" t="str">
        <f ca="1">IFERROR(__xludf.DUMMYFUNCTION("""COMPUTED_VALUE"""),"bottle")</f>
        <v>bottle</v>
      </c>
      <c r="F2338" s="487"/>
      <c r="G2338" s="487"/>
      <c r="H2338" s="183" t="s">
        <v>1897</v>
      </c>
      <c r="I2338" s="487"/>
      <c r="J2338" s="46" t="s">
        <v>815</v>
      </c>
      <c r="K2338" s="487"/>
      <c r="L2338" s="271">
        <v>0.18</v>
      </c>
      <c r="M2338" s="271">
        <v>1800</v>
      </c>
      <c r="N2338" s="247">
        <v>1800</v>
      </c>
      <c r="O2338" s="240" t="str">
        <f ca="1">E2338</f>
        <v>bottle</v>
      </c>
      <c r="P2338" s="240" t="s">
        <v>39</v>
      </c>
      <c r="Q2338" s="12"/>
      <c r="R2338" s="192" t="str">
        <f>CONCATENATE(N2338,P2338)</f>
        <v>1800grams</v>
      </c>
      <c r="S2338" s="198">
        <f>M2338*N2338</f>
        <v>3240000</v>
      </c>
      <c r="T2338" s="199" t="str">
        <f>CONCATENATE(S2338,Q2338,P2338)</f>
        <v>3240000grams</v>
      </c>
      <c r="U2338" s="200">
        <f>L2338*M2338</f>
        <v>324</v>
      </c>
      <c r="V2338" s="12"/>
      <c r="W2338" s="12"/>
    </row>
    <row r="2339" spans="1:23" x14ac:dyDescent="0.3">
      <c r="A2339" s="193">
        <v>908</v>
      </c>
      <c r="B2339" s="194" t="s">
        <v>814</v>
      </c>
      <c r="C2339" s="487"/>
      <c r="D2339" s="485" t="str">
        <f ca="1">IFERROR(__xludf.DUMMYFUNCTION("IF(J620="""",""n/a"",IFERROR(SPLIT(J620,""/"")))"),"n/a")</f>
        <v>n/a</v>
      </c>
      <c r="E2339" s="487"/>
      <c r="F2339" s="487"/>
      <c r="G2339" s="487"/>
      <c r="H2339" s="206" t="s">
        <v>1898</v>
      </c>
      <c r="I2339" s="487"/>
      <c r="J2339" s="239"/>
      <c r="K2339" s="487"/>
      <c r="L2339" s="255">
        <v>0.21</v>
      </c>
      <c r="M2339" s="389">
        <v>500</v>
      </c>
      <c r="N2339" s="250">
        <v>1800</v>
      </c>
      <c r="O2339" s="237">
        <f>E2339</f>
        <v>0</v>
      </c>
      <c r="P2339" s="240" t="s">
        <v>39</v>
      </c>
      <c r="Q2339" s="12"/>
      <c r="R2339" s="192" t="str">
        <f>CONCATENATE(N2339,P2339)</f>
        <v>1800grams</v>
      </c>
      <c r="S2339" s="198">
        <f>M2339*N2339</f>
        <v>900000</v>
      </c>
      <c r="T2339" s="199" t="str">
        <f>CONCATENATE(S2339,Q2339,P2339)</f>
        <v>900000grams</v>
      </c>
      <c r="U2339" s="200">
        <f>L2339*M2339</f>
        <v>105</v>
      </c>
      <c r="V2339" s="12"/>
      <c r="W2339" s="12"/>
    </row>
    <row r="2340" spans="1:23" x14ac:dyDescent="0.3">
      <c r="A2340" s="193">
        <v>909</v>
      </c>
      <c r="B2340" s="232" t="s">
        <v>338</v>
      </c>
      <c r="C2340" s="487"/>
      <c r="D2340" s="485" t="str">
        <f ca="1">IFERROR(__xludf.DUMMYFUNCTION("IF(J621="""",""n/a"",IFERROR(SPLIT(J621,""/"")))"),"Colgate")</f>
        <v>Colgate</v>
      </c>
      <c r="E2340" s="485" t="str">
        <f ca="1">IFERROR(__xludf.DUMMYFUNCTION("""COMPUTED_VALUE"""),"66g")</f>
        <v>66g</v>
      </c>
      <c r="F2340" s="487"/>
      <c r="G2340" s="487"/>
      <c r="H2340" s="183" t="s">
        <v>1897</v>
      </c>
      <c r="I2340" s="487"/>
      <c r="J2340" s="264" t="s">
        <v>816</v>
      </c>
      <c r="K2340" s="487"/>
      <c r="L2340" s="254">
        <v>68.099999999999994</v>
      </c>
      <c r="M2340" s="271">
        <v>4</v>
      </c>
      <c r="N2340" s="247">
        <v>1</v>
      </c>
      <c r="O2340" s="100" t="str">
        <f ca="1">E2340</f>
        <v>66g</v>
      </c>
      <c r="P2340" s="100" t="s">
        <v>92</v>
      </c>
      <c r="Q2340" s="12"/>
      <c r="R2340" s="192" t="str">
        <f>CONCATENATE(N2340,P2340)</f>
        <v>1pieces</v>
      </c>
      <c r="S2340" s="198">
        <f>M2340*N2340</f>
        <v>4</v>
      </c>
      <c r="T2340" s="199" t="str">
        <f>CONCATENATE(S2340,Q2340,P2340)</f>
        <v>4pieces</v>
      </c>
      <c r="U2340" s="200">
        <f>L2340*M2340</f>
        <v>272.39999999999998</v>
      </c>
      <c r="V2340" s="12"/>
      <c r="W2340" s="12"/>
    </row>
    <row r="2341" spans="1:23" x14ac:dyDescent="0.3">
      <c r="A2341" s="193">
        <v>909</v>
      </c>
      <c r="B2341" s="194" t="s">
        <v>338</v>
      </c>
      <c r="C2341" s="487"/>
      <c r="D2341" s="485" t="str">
        <f ca="1">IFERROR(__xludf.DUMMYFUNCTION("IF(J622="""",""n/a"",IFERROR(SPLIT(J622,""/"")))"),"Colgate")</f>
        <v>Colgate</v>
      </c>
      <c r="E2341" s="485" t="str">
        <f ca="1">IFERROR(__xludf.DUMMYFUNCTION("""COMPUTED_VALUE"""),"classic")</f>
        <v>classic</v>
      </c>
      <c r="F2341" s="485" t="str">
        <f ca="1">IFERROR(__xludf.DUMMYFUNCTION("""COMPUTED_VALUE"""),"adult")</f>
        <v>adult</v>
      </c>
      <c r="G2341" s="487"/>
      <c r="H2341" s="183" t="s">
        <v>1895</v>
      </c>
      <c r="I2341" s="487"/>
      <c r="J2341" s="46" t="s">
        <v>339</v>
      </c>
      <c r="K2341" s="487"/>
      <c r="L2341" s="254">
        <v>18.5</v>
      </c>
      <c r="M2341" s="255">
        <v>198</v>
      </c>
      <c r="N2341" s="100">
        <v>1</v>
      </c>
      <c r="O2341" s="100" t="str">
        <f ca="1">E2341</f>
        <v>classic</v>
      </c>
      <c r="P2341" s="100" t="s">
        <v>92</v>
      </c>
      <c r="Q2341" s="12"/>
      <c r="R2341" s="192" t="str">
        <f>CONCATENATE(N2341,P2341)</f>
        <v>1pieces</v>
      </c>
      <c r="S2341" s="198">
        <f>M2341*N2341</f>
        <v>198</v>
      </c>
      <c r="T2341" s="199" t="str">
        <f>CONCATENATE(S2341,Q2341,P2341)</f>
        <v>198pieces</v>
      </c>
      <c r="U2341" s="200">
        <f>L2341*M2341</f>
        <v>3663</v>
      </c>
      <c r="V2341" s="12"/>
      <c r="W2341" s="12"/>
    </row>
    <row r="2342" spans="1:23" x14ac:dyDescent="0.3">
      <c r="A2342" s="193">
        <v>909</v>
      </c>
      <c r="B2342" s="194" t="s">
        <v>338</v>
      </c>
      <c r="C2342" s="487"/>
      <c r="D2342" s="485" t="str">
        <f ca="1">IFERROR(__xludf.DUMMYFUNCTION("IF(J623="""",""n/a"",IFERROR(SPLIT(J623,""/"")))"),"n/a")</f>
        <v>n/a</v>
      </c>
      <c r="E2342" s="487"/>
      <c r="F2342" s="487"/>
      <c r="G2342" s="487"/>
      <c r="H2342" s="206" t="s">
        <v>1898</v>
      </c>
      <c r="I2342" s="487"/>
      <c r="J2342" s="170"/>
      <c r="K2342" s="487"/>
      <c r="L2342" s="255">
        <v>34.200000000000003</v>
      </c>
      <c r="M2342" s="389">
        <v>5</v>
      </c>
      <c r="N2342" s="250">
        <v>1</v>
      </c>
      <c r="O2342" s="239">
        <f>E2342</f>
        <v>0</v>
      </c>
      <c r="P2342" s="100" t="s">
        <v>92</v>
      </c>
      <c r="Q2342" s="12"/>
      <c r="R2342" s="192" t="str">
        <f>CONCATENATE(N2342,P2342)</f>
        <v>1pieces</v>
      </c>
      <c r="S2342" s="198">
        <f>M2342*N2342</f>
        <v>5</v>
      </c>
      <c r="T2342" s="199" t="str">
        <f>CONCATENATE(S2342,Q2342,P2342)</f>
        <v>5pieces</v>
      </c>
      <c r="U2342" s="200">
        <f>L2342*M2342</f>
        <v>171</v>
      </c>
      <c r="V2342" s="12"/>
      <c r="W2342" s="12"/>
    </row>
    <row r="2343" spans="1:23" x14ac:dyDescent="0.3">
      <c r="A2343" s="193">
        <v>909</v>
      </c>
      <c r="B2343" s="46" t="s">
        <v>338</v>
      </c>
      <c r="C2343" s="315"/>
      <c r="D2343" s="316"/>
      <c r="E2343" s="315"/>
      <c r="F2343" s="315"/>
      <c r="G2343" s="315"/>
      <c r="H2343" s="194" t="s">
        <v>2024</v>
      </c>
      <c r="I2343" s="12"/>
      <c r="J2343" s="46" t="s">
        <v>1838</v>
      </c>
      <c r="K2343" s="12"/>
      <c r="L2343" s="255">
        <v>13</v>
      </c>
      <c r="M2343" s="255">
        <v>3</v>
      </c>
      <c r="N2343" s="333">
        <v>1</v>
      </c>
      <c r="O2343" s="96"/>
      <c r="P2343" s="96" t="s">
        <v>92</v>
      </c>
      <c r="Q2343" s="12"/>
      <c r="R2343" s="192" t="str">
        <f>CONCATENATE(N2343,P2343)</f>
        <v>1pieces</v>
      </c>
      <c r="S2343" s="198">
        <f>M2343*N2343</f>
        <v>3</v>
      </c>
      <c r="T2343" s="199" t="str">
        <f>CONCATENATE(S2343,Q2343,P2343)</f>
        <v>3pieces</v>
      </c>
      <c r="U2343" s="200">
        <f>L2343*M2343</f>
        <v>39</v>
      </c>
      <c r="V2343" s="12"/>
      <c r="W2343" s="12"/>
    </row>
    <row r="2344" spans="1:23" x14ac:dyDescent="0.3">
      <c r="A2344" s="193">
        <v>909</v>
      </c>
      <c r="B2344" s="46" t="s">
        <v>338</v>
      </c>
      <c r="C2344" s="315"/>
      <c r="D2344" s="316"/>
      <c r="E2344" s="315"/>
      <c r="F2344" s="315"/>
      <c r="G2344" s="315"/>
      <c r="H2344" s="194" t="s">
        <v>1368</v>
      </c>
      <c r="I2344" s="12"/>
      <c r="J2344" s="46" t="s">
        <v>1838</v>
      </c>
      <c r="K2344" s="12"/>
      <c r="L2344" s="255">
        <v>27.75</v>
      </c>
      <c r="M2344" s="255">
        <v>4</v>
      </c>
      <c r="N2344" s="333">
        <v>1</v>
      </c>
      <c r="O2344" s="96"/>
      <c r="P2344" s="96" t="s">
        <v>92</v>
      </c>
      <c r="Q2344" s="12"/>
      <c r="R2344" s="192" t="str">
        <f>CONCATENATE(N2344,P2344)</f>
        <v>1pieces</v>
      </c>
      <c r="S2344" s="198">
        <f>M2344*N2344</f>
        <v>4</v>
      </c>
      <c r="T2344" s="199" t="str">
        <f>CONCATENATE(S2344,Q2344,P2344)</f>
        <v>4pieces</v>
      </c>
      <c r="U2344" s="200">
        <f>L2344*M2344</f>
        <v>111</v>
      </c>
      <c r="V2344" s="12"/>
      <c r="W2344" s="12"/>
    </row>
    <row r="2345" spans="1:23" x14ac:dyDescent="0.3">
      <c r="A2345" s="193">
        <v>909</v>
      </c>
      <c r="B2345" s="46" t="s">
        <v>338</v>
      </c>
      <c r="C2345" s="315"/>
      <c r="D2345" s="316"/>
      <c r="E2345" s="315"/>
      <c r="F2345" s="315"/>
      <c r="G2345" s="315"/>
      <c r="H2345" s="194" t="s">
        <v>2023</v>
      </c>
      <c r="I2345" s="12"/>
      <c r="J2345" s="46" t="s">
        <v>1838</v>
      </c>
      <c r="K2345" s="12"/>
      <c r="L2345" s="255">
        <v>25</v>
      </c>
      <c r="M2345" s="255">
        <v>19</v>
      </c>
      <c r="N2345" s="333">
        <v>1</v>
      </c>
      <c r="O2345" s="96"/>
      <c r="P2345" s="96" t="s">
        <v>92</v>
      </c>
      <c r="Q2345" s="12"/>
      <c r="R2345" s="192" t="str">
        <f>CONCATENATE(N2345,P2345)</f>
        <v>1pieces</v>
      </c>
      <c r="S2345" s="198">
        <f>M2345*N2345</f>
        <v>19</v>
      </c>
      <c r="T2345" s="199" t="str">
        <f>CONCATENATE(S2345,Q2345,P2345)</f>
        <v>19pieces</v>
      </c>
      <c r="U2345" s="200">
        <f>L2345*M2345</f>
        <v>475</v>
      </c>
      <c r="V2345" s="12"/>
      <c r="W2345" s="12"/>
    </row>
    <row r="2346" spans="1:23" x14ac:dyDescent="0.3">
      <c r="A2346" s="193">
        <v>909</v>
      </c>
      <c r="B2346" s="46" t="s">
        <v>338</v>
      </c>
      <c r="C2346" s="315"/>
      <c r="D2346" s="316"/>
      <c r="E2346" s="315"/>
      <c r="F2346" s="315"/>
      <c r="G2346" s="315"/>
      <c r="H2346" s="194" t="s">
        <v>2020</v>
      </c>
      <c r="I2346" s="12"/>
      <c r="J2346" s="46" t="s">
        <v>1838</v>
      </c>
      <c r="K2346" s="12"/>
      <c r="L2346" s="255">
        <v>12.56</v>
      </c>
      <c r="M2346" s="255">
        <v>8</v>
      </c>
      <c r="N2346" s="333">
        <v>1</v>
      </c>
      <c r="O2346" s="96"/>
      <c r="P2346" s="96" t="s">
        <v>92</v>
      </c>
      <c r="Q2346" s="12"/>
      <c r="R2346" s="192" t="str">
        <f>CONCATENATE(N2346,P2346)</f>
        <v>1pieces</v>
      </c>
      <c r="S2346" s="198">
        <f>M2346*N2346</f>
        <v>8</v>
      </c>
      <c r="T2346" s="199" t="str">
        <f>CONCATENATE(S2346,Q2346,P2346)</f>
        <v>8pieces</v>
      </c>
      <c r="U2346" s="200">
        <f>L2346*M2346</f>
        <v>100.48</v>
      </c>
      <c r="V2346" s="12"/>
      <c r="W2346" s="12"/>
    </row>
    <row r="2347" spans="1:23" x14ac:dyDescent="0.3">
      <c r="A2347" s="193">
        <v>909</v>
      </c>
      <c r="B2347" s="46" t="s">
        <v>338</v>
      </c>
      <c r="C2347" s="315"/>
      <c r="D2347" s="316"/>
      <c r="E2347" s="315"/>
      <c r="F2347" s="315"/>
      <c r="G2347" s="315"/>
      <c r="H2347" s="400" t="s">
        <v>2027</v>
      </c>
      <c r="I2347" s="12"/>
      <c r="J2347" s="46" t="s">
        <v>2014</v>
      </c>
      <c r="K2347" s="12"/>
      <c r="L2347" s="254">
        <v>16.2</v>
      </c>
      <c r="M2347" s="255">
        <v>12</v>
      </c>
      <c r="N2347" s="366">
        <v>1</v>
      </c>
      <c r="O2347" s="100"/>
      <c r="P2347" s="100" t="s">
        <v>92</v>
      </c>
      <c r="Q2347" s="12"/>
      <c r="R2347" s="192" t="str">
        <f>CONCATENATE(N2347,P2347)</f>
        <v>1pieces</v>
      </c>
      <c r="S2347" s="198">
        <f>M2347*N2347</f>
        <v>12</v>
      </c>
      <c r="T2347" s="199" t="str">
        <f>CONCATENATE(S2347,Q2347,P2347)</f>
        <v>12pieces</v>
      </c>
      <c r="U2347" s="200">
        <f>L2347*M2347</f>
        <v>194.39999999999998</v>
      </c>
      <c r="V2347" s="12"/>
      <c r="W2347" s="12"/>
    </row>
    <row r="2348" spans="1:23" x14ac:dyDescent="0.3">
      <c r="A2348" s="193">
        <v>910</v>
      </c>
      <c r="B2348" s="194" t="s">
        <v>340</v>
      </c>
      <c r="C2348" s="487"/>
      <c r="D2348" s="485" t="str">
        <f ca="1">IFERROR(__xludf.DUMMYFUNCTION("IF(J624="""",""n/a"",IFERROR(SPLIT(J624,""/"")))"),"Coca-Cola")</f>
        <v>Coca-Cola</v>
      </c>
      <c r="E2348" s="485" t="str">
        <f ca="1">IFERROR(__xludf.DUMMYFUNCTION("""COMPUTED_VALUE"""),"case (12x290ml)")</f>
        <v>case (12x290ml)</v>
      </c>
      <c r="F2348" s="487"/>
      <c r="G2348" s="487"/>
      <c r="H2348" s="183" t="s">
        <v>1897</v>
      </c>
      <c r="I2348" s="487"/>
      <c r="J2348" s="46" t="s">
        <v>96</v>
      </c>
      <c r="K2348" s="487"/>
      <c r="L2348" s="254">
        <v>16.14</v>
      </c>
      <c r="M2348" s="271">
        <v>48</v>
      </c>
      <c r="N2348" s="247">
        <v>1</v>
      </c>
      <c r="O2348" s="100" t="str">
        <f ca="1">E2348</f>
        <v>case (12x290ml)</v>
      </c>
      <c r="P2348" s="100" t="s">
        <v>92</v>
      </c>
      <c r="Q2348" s="12"/>
      <c r="R2348" s="192" t="str">
        <f>CONCATENATE(N2348,P2348)</f>
        <v>1pieces</v>
      </c>
      <c r="S2348" s="198">
        <f>M2348*N2348</f>
        <v>48</v>
      </c>
      <c r="T2348" s="199" t="str">
        <f>CONCATENATE(S2348,Q2348,P2348)</f>
        <v>48pieces</v>
      </c>
      <c r="U2348" s="200">
        <f>L2348*M2348</f>
        <v>774.72</v>
      </c>
      <c r="V2348" s="205"/>
      <c r="W2348" s="62"/>
    </row>
    <row r="2349" spans="1:23" x14ac:dyDescent="0.3">
      <c r="A2349" s="193">
        <v>910</v>
      </c>
      <c r="B2349" s="194" t="s">
        <v>340</v>
      </c>
      <c r="C2349" s="487"/>
      <c r="D2349" s="485" t="str">
        <f ca="1">IFERROR(__xludf.DUMMYFUNCTION("IF(J625="""",""n/a"",IFERROR(SPLIT(J625,""/"")))"),"Unique")</f>
        <v>Unique</v>
      </c>
      <c r="E2349" s="485" t="str">
        <f ca="1">IFERROR(__xludf.DUMMYFUNCTION("""COMPUTED_VALUE"""),"tube")</f>
        <v>tube</v>
      </c>
      <c r="F2349" s="485" t="str">
        <f ca="1">IFERROR(__xludf.DUMMYFUNCTION("""COMPUTED_VALUE"""),"50ml")</f>
        <v>50ml</v>
      </c>
      <c r="G2349" s="487"/>
      <c r="H2349" s="183" t="s">
        <v>1897</v>
      </c>
      <c r="I2349" s="487"/>
      <c r="J2349" s="46" t="s">
        <v>817</v>
      </c>
      <c r="K2349" s="487"/>
      <c r="L2349" s="254">
        <v>25.03</v>
      </c>
      <c r="M2349" s="271">
        <v>21</v>
      </c>
      <c r="N2349" s="247">
        <v>1</v>
      </c>
      <c r="O2349" s="100" t="str">
        <f ca="1">E2349</f>
        <v>tube</v>
      </c>
      <c r="P2349" s="100" t="s">
        <v>92</v>
      </c>
      <c r="Q2349" s="12"/>
      <c r="R2349" s="192" t="str">
        <f>CONCATENATE(N2349,P2349)</f>
        <v>1pieces</v>
      </c>
      <c r="S2349" s="198">
        <f>M2349*N2349</f>
        <v>21</v>
      </c>
      <c r="T2349" s="199" t="str">
        <f>CONCATENATE(S2349,Q2349,P2349)</f>
        <v>21pieces</v>
      </c>
      <c r="U2349" s="200">
        <f>L2349*M2349</f>
        <v>525.63</v>
      </c>
      <c r="V2349" s="12"/>
      <c r="W2349" s="12"/>
    </row>
    <row r="2350" spans="1:23" x14ac:dyDescent="0.3">
      <c r="A2350" s="193">
        <v>910</v>
      </c>
      <c r="B2350" s="194" t="s">
        <v>340</v>
      </c>
      <c r="C2350" s="487"/>
      <c r="D2350" s="485" t="str">
        <f ca="1">IFERROR(__xludf.DUMMYFUNCTION("IF(J626="""",""n/a"",IFERROR(SPLIT(J626,""/"")))"),"Unique")</f>
        <v>Unique</v>
      </c>
      <c r="E2350" s="485" t="str">
        <f ca="1">IFERROR(__xludf.DUMMYFUNCTION("""COMPUTED_VALUE"""),"tube")</f>
        <v>tube</v>
      </c>
      <c r="F2350" s="485" t="str">
        <f ca="1">IFERROR(__xludf.DUMMYFUNCTION("""COMPUTED_VALUE"""),"150ml")</f>
        <v>150ml</v>
      </c>
      <c r="G2350" s="487"/>
      <c r="H2350" s="183" t="s">
        <v>1895</v>
      </c>
      <c r="I2350" s="487"/>
      <c r="J2350" s="46" t="s">
        <v>341</v>
      </c>
      <c r="K2350" s="487"/>
      <c r="L2350" s="254">
        <v>57.41</v>
      </c>
      <c r="M2350" s="255">
        <v>2</v>
      </c>
      <c r="N2350" s="100">
        <v>1</v>
      </c>
      <c r="O2350" s="100" t="str">
        <f ca="1">E2350</f>
        <v>tube</v>
      </c>
      <c r="P2350" s="100" t="s">
        <v>92</v>
      </c>
      <c r="Q2350" s="12"/>
      <c r="R2350" s="192" t="str">
        <f>CONCATENATE(N2350,P2350)</f>
        <v>1pieces</v>
      </c>
      <c r="S2350" s="198">
        <f>M2350*N2350</f>
        <v>2</v>
      </c>
      <c r="T2350" s="199" t="str">
        <f>CONCATENATE(S2350,Q2350,P2350)</f>
        <v>2pieces</v>
      </c>
      <c r="U2350" s="200">
        <f>L2350*M2350</f>
        <v>114.82</v>
      </c>
      <c r="V2350" s="12"/>
      <c r="W2350" s="12"/>
    </row>
    <row r="2351" spans="1:23" x14ac:dyDescent="0.3">
      <c r="A2351" s="193">
        <v>910</v>
      </c>
      <c r="B2351" s="194" t="s">
        <v>340</v>
      </c>
      <c r="C2351" s="487"/>
      <c r="D2351" s="485" t="str">
        <f ca="1">IFERROR(__xludf.DUMMYFUNCTION("IF(J627="""",""n/a"",IFERROR(SPLIT(J627,""/"")))"),"Close-Up")</f>
        <v>Close-Up</v>
      </c>
      <c r="E2351" s="485" t="str">
        <f ca="1">IFERROR(__xludf.DUMMYFUNCTION("""COMPUTED_VALUE"""),"twinpack")</f>
        <v>twinpack</v>
      </c>
      <c r="F2351" s="485" t="str">
        <f ca="1">IFERROR(__xludf.DUMMYFUNCTION("""COMPUTED_VALUE"""),"20g")</f>
        <v>20g</v>
      </c>
      <c r="G2351" s="487"/>
      <c r="H2351" s="183" t="s">
        <v>1895</v>
      </c>
      <c r="I2351" s="487"/>
      <c r="J2351" s="46" t="s">
        <v>342</v>
      </c>
      <c r="K2351" s="487"/>
      <c r="L2351" s="254">
        <v>7.5</v>
      </c>
      <c r="M2351" s="255">
        <v>343</v>
      </c>
      <c r="N2351" s="100">
        <v>1</v>
      </c>
      <c r="O2351" s="100" t="str">
        <f ca="1">E2351</f>
        <v>twinpack</v>
      </c>
      <c r="P2351" s="100" t="s">
        <v>92</v>
      </c>
      <c r="Q2351" s="12"/>
      <c r="R2351" s="192" t="str">
        <f>CONCATENATE(N2351,P2351)</f>
        <v>1pieces</v>
      </c>
      <c r="S2351" s="198">
        <f>M2351*N2351</f>
        <v>343</v>
      </c>
      <c r="T2351" s="199" t="str">
        <f>CONCATENATE(S2351,Q2351,P2351)</f>
        <v>343pieces</v>
      </c>
      <c r="U2351" s="200">
        <f>L2351*M2351</f>
        <v>2572.5</v>
      </c>
      <c r="V2351" s="12"/>
      <c r="W2351" s="12"/>
    </row>
    <row r="2352" spans="1:23" x14ac:dyDescent="0.3">
      <c r="A2352" s="193">
        <v>910</v>
      </c>
      <c r="B2352" s="194" t="s">
        <v>340</v>
      </c>
      <c r="C2352" s="487"/>
      <c r="D2352" s="485" t="str">
        <f ca="1">IFERROR(__xludf.DUMMYFUNCTION("IF(J628="""",""n/a"",IFERROR(SPLIT(J628,""/"")))"),"n/a")</f>
        <v>n/a</v>
      </c>
      <c r="E2352" s="487"/>
      <c r="F2352" s="487"/>
      <c r="G2352" s="487"/>
      <c r="H2352" s="206" t="s">
        <v>1898</v>
      </c>
      <c r="I2352" s="487"/>
      <c r="J2352" s="170"/>
      <c r="K2352" s="487"/>
      <c r="L2352" s="255">
        <v>59.5</v>
      </c>
      <c r="M2352" s="389">
        <v>14</v>
      </c>
      <c r="N2352" s="250">
        <v>1</v>
      </c>
      <c r="O2352" s="239">
        <f>E2352</f>
        <v>0</v>
      </c>
      <c r="P2352" s="100" t="s">
        <v>92</v>
      </c>
      <c r="Q2352" s="12"/>
      <c r="R2352" s="192" t="str">
        <f>CONCATENATE(N2352,P2352)</f>
        <v>1pieces</v>
      </c>
      <c r="S2352" s="198">
        <f>M2352*N2352</f>
        <v>14</v>
      </c>
      <c r="T2352" s="199" t="str">
        <f>CONCATENATE(S2352,Q2352,P2352)</f>
        <v>14pieces</v>
      </c>
      <c r="U2352" s="200">
        <f>L2352*M2352</f>
        <v>833</v>
      </c>
      <c r="V2352" s="12"/>
      <c r="W2352" s="12"/>
    </row>
    <row r="2353" spans="1:23" x14ac:dyDescent="0.3">
      <c r="A2353" s="193">
        <v>910</v>
      </c>
      <c r="B2353" s="46" t="s">
        <v>340</v>
      </c>
      <c r="C2353" s="315"/>
      <c r="D2353" s="316"/>
      <c r="E2353" s="315"/>
      <c r="F2353" s="315"/>
      <c r="G2353" s="315"/>
      <c r="H2353" s="194" t="s">
        <v>1368</v>
      </c>
      <c r="I2353" s="12"/>
      <c r="J2353" s="96" t="s">
        <v>1838</v>
      </c>
      <c r="K2353" s="12"/>
      <c r="L2353" s="255">
        <v>9</v>
      </c>
      <c r="M2353" s="255">
        <v>24</v>
      </c>
      <c r="N2353" s="333">
        <v>25</v>
      </c>
      <c r="O2353" s="96"/>
      <c r="P2353" s="96" t="s">
        <v>32</v>
      </c>
      <c r="Q2353" s="12"/>
      <c r="R2353" s="192" t="str">
        <f>CONCATENATE(N2353,P2353)</f>
        <v>25ml</v>
      </c>
      <c r="S2353" s="198">
        <f>M2353*N2353</f>
        <v>600</v>
      </c>
      <c r="T2353" s="199" t="str">
        <f>CONCATENATE(S2353,Q2353,P2353)</f>
        <v>600ml</v>
      </c>
      <c r="U2353" s="200">
        <f>L2353*M2353</f>
        <v>216</v>
      </c>
      <c r="V2353" s="12"/>
      <c r="W2353" s="12"/>
    </row>
    <row r="2354" spans="1:23" x14ac:dyDescent="0.3">
      <c r="A2354" s="193">
        <v>910</v>
      </c>
      <c r="B2354" s="46" t="s">
        <v>340</v>
      </c>
      <c r="C2354" s="315"/>
      <c r="D2354" s="316"/>
      <c r="E2354" s="315"/>
      <c r="F2354" s="315"/>
      <c r="G2354" s="315"/>
      <c r="H2354" s="194" t="s">
        <v>2023</v>
      </c>
      <c r="I2354" s="12"/>
      <c r="J2354" s="96" t="s">
        <v>1839</v>
      </c>
      <c r="K2354" s="12"/>
      <c r="L2354" s="255">
        <v>8</v>
      </c>
      <c r="M2354" s="255">
        <v>2</v>
      </c>
      <c r="N2354" s="333">
        <v>20</v>
      </c>
      <c r="O2354" s="96"/>
      <c r="P2354" s="96" t="s">
        <v>32</v>
      </c>
      <c r="Q2354" s="12"/>
      <c r="R2354" s="192" t="str">
        <f>CONCATENATE(N2354,P2354)</f>
        <v>20ml</v>
      </c>
      <c r="S2354" s="198">
        <f>M2354*N2354</f>
        <v>40</v>
      </c>
      <c r="T2354" s="199" t="str">
        <f>CONCATENATE(S2354,Q2354,P2354)</f>
        <v>40ml</v>
      </c>
      <c r="U2354" s="200">
        <f>L2354*M2354</f>
        <v>16</v>
      </c>
      <c r="V2354" s="12"/>
      <c r="W2354" s="12"/>
    </row>
    <row r="2355" spans="1:23" x14ac:dyDescent="0.3">
      <c r="A2355" s="193">
        <v>910</v>
      </c>
      <c r="B2355" s="340" t="s">
        <v>340</v>
      </c>
      <c r="C2355" s="315"/>
      <c r="D2355" s="316"/>
      <c r="E2355" s="315"/>
      <c r="F2355" s="315"/>
      <c r="G2355" s="315"/>
      <c r="H2355" s="194" t="s">
        <v>2020</v>
      </c>
      <c r="I2355" s="12"/>
      <c r="J2355" s="96" t="s">
        <v>1838</v>
      </c>
      <c r="K2355" s="12"/>
      <c r="L2355" s="255">
        <v>8</v>
      </c>
      <c r="M2355" s="255">
        <v>9</v>
      </c>
      <c r="N2355" s="333">
        <v>1</v>
      </c>
      <c r="O2355" s="96"/>
      <c r="P2355" s="96" t="s">
        <v>92</v>
      </c>
      <c r="Q2355" s="12"/>
      <c r="R2355" s="192" t="str">
        <f>CONCATENATE(N2355,P2355)</f>
        <v>1pieces</v>
      </c>
      <c r="S2355" s="198">
        <f>M2355*N2355</f>
        <v>9</v>
      </c>
      <c r="T2355" s="199" t="str">
        <f>CONCATENATE(S2355,Q2355,P2355)</f>
        <v>9pieces</v>
      </c>
      <c r="U2355" s="200">
        <f>L2355*M2355</f>
        <v>72</v>
      </c>
      <c r="V2355" s="12"/>
      <c r="W2355" s="12"/>
    </row>
    <row r="2356" spans="1:23" x14ac:dyDescent="0.3">
      <c r="A2356" s="193">
        <v>910</v>
      </c>
      <c r="B2356" s="96" t="s">
        <v>340</v>
      </c>
      <c r="C2356" s="315"/>
      <c r="D2356" s="316"/>
      <c r="E2356" s="315"/>
      <c r="F2356" s="315"/>
      <c r="G2356" s="315"/>
      <c r="H2356" s="194" t="s">
        <v>2020</v>
      </c>
      <c r="I2356" s="12"/>
      <c r="J2356" s="96" t="s">
        <v>1840</v>
      </c>
      <c r="K2356" s="12"/>
      <c r="L2356" s="255">
        <v>8</v>
      </c>
      <c r="M2356" s="255">
        <v>12</v>
      </c>
      <c r="N2356" s="333">
        <v>1</v>
      </c>
      <c r="O2356" s="96"/>
      <c r="P2356" s="96" t="s">
        <v>92</v>
      </c>
      <c r="Q2356" s="12"/>
      <c r="R2356" s="192" t="str">
        <f>CONCATENATE(N2356,P2356)</f>
        <v>1pieces</v>
      </c>
      <c r="S2356" s="198">
        <f>M2356*N2356</f>
        <v>12</v>
      </c>
      <c r="T2356" s="199" t="str">
        <f>CONCATENATE(S2356,Q2356,P2356)</f>
        <v>12pieces</v>
      </c>
      <c r="U2356" s="200">
        <f>L2356*M2356</f>
        <v>96</v>
      </c>
      <c r="V2356" s="12"/>
      <c r="W2356" s="12"/>
    </row>
    <row r="2357" spans="1:23" x14ac:dyDescent="0.3">
      <c r="A2357" s="193">
        <v>910</v>
      </c>
      <c r="B2357" s="96" t="s">
        <v>340</v>
      </c>
      <c r="C2357" s="315"/>
      <c r="D2357" s="316"/>
      <c r="E2357" s="315"/>
      <c r="F2357" s="315"/>
      <c r="G2357" s="315"/>
      <c r="H2357" s="400" t="s">
        <v>2027</v>
      </c>
      <c r="I2357" s="12"/>
      <c r="J2357" s="96" t="s">
        <v>2015</v>
      </c>
      <c r="K2357" s="12"/>
      <c r="L2357" s="254">
        <v>4.9800000000000004</v>
      </c>
      <c r="M2357" s="255">
        <v>12</v>
      </c>
      <c r="N2357" s="366">
        <v>1</v>
      </c>
      <c r="O2357" s="100"/>
      <c r="P2357" s="100" t="s">
        <v>92</v>
      </c>
      <c r="Q2357" s="12"/>
      <c r="R2357" s="192" t="str">
        <f>CONCATENATE(N2357,P2357)</f>
        <v>1pieces</v>
      </c>
      <c r="S2357" s="198">
        <f>M2357*N2357</f>
        <v>12</v>
      </c>
      <c r="T2357" s="199" t="str">
        <f>CONCATENATE(S2357,Q2357,P2357)</f>
        <v>12pieces</v>
      </c>
      <c r="U2357" s="200">
        <f>L2357*M2357</f>
        <v>59.760000000000005</v>
      </c>
      <c r="V2357" s="12"/>
      <c r="W2357" s="12"/>
    </row>
    <row r="2358" spans="1:23" x14ac:dyDescent="0.3">
      <c r="A2358" s="193">
        <v>911</v>
      </c>
      <c r="B2358" s="244" t="s">
        <v>355</v>
      </c>
      <c r="C2358" s="487"/>
      <c r="D2358" s="485" t="str">
        <f ca="1">IFERROR(__xludf.DUMMYFUNCTION("IF(J629="""",""n/a"",IFERROR(SPLIT(J629,""/"")))"),"pack by 100's")</f>
        <v>pack by 100's</v>
      </c>
      <c r="E2358" s="487"/>
      <c r="F2358" s="487"/>
      <c r="G2358" s="487"/>
      <c r="H2358" s="183" t="s">
        <v>1895</v>
      </c>
      <c r="I2358" s="487"/>
      <c r="J2358" s="96" t="s">
        <v>356</v>
      </c>
      <c r="K2358" s="487"/>
      <c r="L2358" s="254">
        <v>15</v>
      </c>
      <c r="M2358" s="255">
        <v>6</v>
      </c>
      <c r="N2358" s="100">
        <v>1</v>
      </c>
      <c r="O2358" s="239">
        <f>E2358</f>
        <v>0</v>
      </c>
      <c r="P2358" s="100" t="s">
        <v>304</v>
      </c>
      <c r="Q2358" s="12"/>
      <c r="R2358" s="192" t="str">
        <f>CONCATENATE(N2358,P2358)</f>
        <v>1packs</v>
      </c>
      <c r="S2358" s="198">
        <f>M2358*N2358</f>
        <v>6</v>
      </c>
      <c r="T2358" s="199" t="str">
        <f>CONCATENATE(S2358,Q2358,P2358)</f>
        <v>6packs</v>
      </c>
      <c r="U2358" s="200">
        <f>L2358*M2358</f>
        <v>90</v>
      </c>
      <c r="V2358" s="12"/>
      <c r="W2358" s="12"/>
    </row>
    <row r="2359" spans="1:23" x14ac:dyDescent="0.3">
      <c r="A2359" s="193">
        <v>911</v>
      </c>
      <c r="B2359" s="96" t="s">
        <v>355</v>
      </c>
      <c r="C2359" s="315"/>
      <c r="D2359" s="316"/>
      <c r="E2359" s="315"/>
      <c r="F2359" s="315"/>
      <c r="G2359" s="315"/>
      <c r="H2359" s="194" t="s">
        <v>2024</v>
      </c>
      <c r="I2359" s="12"/>
      <c r="J2359" s="239"/>
      <c r="K2359" s="12"/>
      <c r="L2359" s="255">
        <v>25</v>
      </c>
      <c r="M2359" s="255">
        <v>3</v>
      </c>
      <c r="N2359" s="333">
        <v>1</v>
      </c>
      <c r="O2359" s="96"/>
      <c r="P2359" s="96" t="s">
        <v>304</v>
      </c>
      <c r="Q2359" s="12"/>
      <c r="R2359" s="192" t="str">
        <f>CONCATENATE(N2359,P2359)</f>
        <v>1packs</v>
      </c>
      <c r="S2359" s="198">
        <f>M2359*N2359</f>
        <v>3</v>
      </c>
      <c r="T2359" s="199" t="str">
        <f>CONCATENATE(S2359,Q2359,P2359)</f>
        <v>3packs</v>
      </c>
      <c r="U2359" s="200">
        <f>L2359*M2359</f>
        <v>75</v>
      </c>
      <c r="V2359" s="12"/>
      <c r="W2359" s="12"/>
    </row>
    <row r="2360" spans="1:23" x14ac:dyDescent="0.3">
      <c r="A2360" s="193">
        <v>911</v>
      </c>
      <c r="B2360" s="96" t="s">
        <v>355</v>
      </c>
      <c r="C2360" s="315"/>
      <c r="D2360" s="316"/>
      <c r="E2360" s="315"/>
      <c r="F2360" s="315"/>
      <c r="G2360" s="315"/>
      <c r="H2360" s="194" t="s">
        <v>1368</v>
      </c>
      <c r="I2360" s="12"/>
      <c r="J2360" s="96" t="s">
        <v>1841</v>
      </c>
      <c r="K2360" s="12"/>
      <c r="L2360" s="255">
        <v>15</v>
      </c>
      <c r="M2360" s="255">
        <v>31</v>
      </c>
      <c r="N2360" s="333">
        <v>1</v>
      </c>
      <c r="O2360" s="96"/>
      <c r="P2360" s="96" t="s">
        <v>1638</v>
      </c>
      <c r="Q2360" s="12"/>
      <c r="R2360" s="192" t="str">
        <f>CONCATENATE(N2360,P2360)</f>
        <v>1box</v>
      </c>
      <c r="S2360" s="198">
        <f>M2360*N2360</f>
        <v>31</v>
      </c>
      <c r="T2360" s="199" t="str">
        <f>CONCATENATE(S2360,Q2360,P2360)</f>
        <v>31box</v>
      </c>
      <c r="U2360" s="200">
        <f>L2360*M2360</f>
        <v>465</v>
      </c>
      <c r="V2360" s="12"/>
      <c r="W2360" s="12"/>
    </row>
    <row r="2361" spans="1:23" x14ac:dyDescent="0.3">
      <c r="A2361" s="193">
        <v>911</v>
      </c>
      <c r="B2361" s="96" t="s">
        <v>355</v>
      </c>
      <c r="C2361" s="315"/>
      <c r="D2361" s="316"/>
      <c r="E2361" s="315"/>
      <c r="F2361" s="315"/>
      <c r="G2361" s="315"/>
      <c r="H2361" s="194" t="s">
        <v>2020</v>
      </c>
      <c r="I2361" s="12"/>
      <c r="J2361" s="96" t="s">
        <v>900</v>
      </c>
      <c r="K2361" s="12"/>
      <c r="L2361" s="255">
        <v>15</v>
      </c>
      <c r="M2361" s="255">
        <v>3</v>
      </c>
      <c r="N2361" s="333">
        <v>1</v>
      </c>
      <c r="O2361" s="96"/>
      <c r="P2361" s="96" t="s">
        <v>304</v>
      </c>
      <c r="Q2361" s="12"/>
      <c r="R2361" s="192" t="str">
        <f>CONCATENATE(N2361,P2361)</f>
        <v>1packs</v>
      </c>
      <c r="S2361" s="198">
        <f>M2361*N2361</f>
        <v>3</v>
      </c>
      <c r="T2361" s="199" t="str">
        <f>CONCATENATE(S2361,Q2361,P2361)</f>
        <v>3packs</v>
      </c>
      <c r="U2361" s="200">
        <f>L2361*M2361</f>
        <v>45</v>
      </c>
      <c r="V2361" s="12"/>
      <c r="W2361" s="12"/>
    </row>
    <row r="2362" spans="1:23" x14ac:dyDescent="0.3">
      <c r="A2362" s="193">
        <v>912</v>
      </c>
      <c r="B2362" s="244" t="s">
        <v>442</v>
      </c>
      <c r="C2362" s="487"/>
      <c r="D2362" s="485" t="str">
        <f ca="1">IFERROR(__xludf.DUMMYFUNCTION("IF(J630="""",""n/a"",IFERROR(SPLIT(J630,""/"")))"),"Suncrest Food")</f>
        <v>Suncrest Food</v>
      </c>
      <c r="E2362" s="485" t="str">
        <f ca="1">IFERROR(__xludf.DUMMYFUNCTION("""COMPUTED_VALUE"""),"pack (10pcsx34grams)")</f>
        <v>pack (10pcsx34grams)</v>
      </c>
      <c r="F2362" s="487"/>
      <c r="G2362" s="487"/>
      <c r="H2362" s="183" t="s">
        <v>1895</v>
      </c>
      <c r="I2362" s="487"/>
      <c r="J2362" s="96" t="s">
        <v>443</v>
      </c>
      <c r="K2362" s="487"/>
      <c r="L2362" s="254">
        <v>7.39</v>
      </c>
      <c r="M2362" s="255">
        <v>100</v>
      </c>
      <c r="N2362" s="100">
        <v>1</v>
      </c>
      <c r="O2362" s="100" t="str">
        <f ca="1">E2362</f>
        <v>pack (10pcsx34grams)</v>
      </c>
      <c r="P2362" s="100" t="s">
        <v>92</v>
      </c>
      <c r="Q2362" s="12"/>
      <c r="R2362" s="192" t="str">
        <f>CONCATENATE(N2362,P2362)</f>
        <v>1pieces</v>
      </c>
      <c r="S2362" s="198">
        <f>M2362*N2362</f>
        <v>100</v>
      </c>
      <c r="T2362" s="199" t="str">
        <f>CONCATENATE(S2362,Q2362,P2362)</f>
        <v>100pieces</v>
      </c>
      <c r="U2362" s="200">
        <f>L2362*M2362</f>
        <v>739</v>
      </c>
      <c r="V2362" s="12"/>
      <c r="W2362" s="12"/>
    </row>
    <row r="2363" spans="1:23" x14ac:dyDescent="0.3">
      <c r="A2363" s="193">
        <v>913</v>
      </c>
      <c r="B2363" s="244" t="s">
        <v>444</v>
      </c>
      <c r="C2363" s="487"/>
      <c r="D2363" s="485" t="str">
        <f ca="1">IFERROR(__xludf.DUMMYFUNCTION("IF(J631="""",""n/a"",IFERROR(SPLIT(J631,""/"")))"),"Granny Goose")</f>
        <v>Granny Goose</v>
      </c>
      <c r="E2363" s="485" t="str">
        <f ca="1">IFERROR(__xludf.DUMMYFUNCTION("""COMPUTED_VALUE"""),"box(50pcsx100grams)")</f>
        <v>box(50pcsx100grams)</v>
      </c>
      <c r="F2363" s="487"/>
      <c r="G2363" s="487"/>
      <c r="H2363" s="183" t="s">
        <v>1895</v>
      </c>
      <c r="I2363" s="487"/>
      <c r="J2363" s="96" t="s">
        <v>445</v>
      </c>
      <c r="K2363" s="487"/>
      <c r="L2363" s="254">
        <v>24.37</v>
      </c>
      <c r="M2363" s="255">
        <v>50</v>
      </c>
      <c r="N2363" s="100">
        <v>1</v>
      </c>
      <c r="O2363" s="100" t="str">
        <f ca="1">E2363</f>
        <v>box(50pcsx100grams)</v>
      </c>
      <c r="P2363" s="100" t="s">
        <v>92</v>
      </c>
      <c r="Q2363" s="12"/>
      <c r="R2363" s="192" t="str">
        <f>CONCATENATE(N2363,P2363)</f>
        <v>1pieces</v>
      </c>
      <c r="S2363" s="198">
        <f>M2363*N2363</f>
        <v>50</v>
      </c>
      <c r="T2363" s="199" t="str">
        <f>CONCATENATE(S2363,Q2363,P2363)</f>
        <v>50pieces</v>
      </c>
      <c r="U2363" s="200">
        <f>L2363*M2363</f>
        <v>1218.5</v>
      </c>
      <c r="V2363" s="12"/>
      <c r="W2363" s="12"/>
    </row>
    <row r="2364" spans="1:23" x14ac:dyDescent="0.3">
      <c r="A2364" s="193">
        <v>914</v>
      </c>
      <c r="B2364" s="244" t="s">
        <v>818</v>
      </c>
      <c r="C2364" s="487"/>
      <c r="D2364" s="485" t="str">
        <f ca="1">IFERROR(__xludf.DUMMYFUNCTION("IF(J632="""",""n/a"",IFERROR(SPLIT(J632,""/"")))"),"Granny Goose")</f>
        <v>Granny Goose</v>
      </c>
      <c r="E2364" s="485" t="str">
        <f ca="1">IFERROR(__xludf.DUMMYFUNCTION("""COMPUTED_VALUE"""),"box(50pcsx72grams)")</f>
        <v>box(50pcsx72grams)</v>
      </c>
      <c r="F2364" s="487"/>
      <c r="G2364" s="487"/>
      <c r="H2364" s="183" t="s">
        <v>1897</v>
      </c>
      <c r="I2364" s="487"/>
      <c r="J2364" s="96" t="s">
        <v>819</v>
      </c>
      <c r="K2364" s="487"/>
      <c r="L2364" s="285">
        <v>32.770000000000003</v>
      </c>
      <c r="M2364" s="271">
        <v>11</v>
      </c>
      <c r="N2364" s="247">
        <v>1</v>
      </c>
      <c r="O2364" s="100" t="str">
        <f ca="1">E2364</f>
        <v>box(50pcsx72grams)</v>
      </c>
      <c r="P2364" s="100" t="s">
        <v>92</v>
      </c>
      <c r="Q2364" s="12"/>
      <c r="R2364" s="192" t="str">
        <f>CONCATENATE(N2364,P2364)</f>
        <v>1pieces</v>
      </c>
      <c r="S2364" s="198">
        <f>M2364*N2364</f>
        <v>11</v>
      </c>
      <c r="T2364" s="199" t="str">
        <f>CONCATENATE(S2364,Q2364,P2364)</f>
        <v>11pieces</v>
      </c>
      <c r="U2364" s="200">
        <f>L2364*M2364</f>
        <v>360.47</v>
      </c>
      <c r="V2364" s="12"/>
      <c r="W2364" s="12"/>
    </row>
    <row r="2365" spans="1:23" x14ac:dyDescent="0.3">
      <c r="A2365" s="193">
        <v>915</v>
      </c>
      <c r="B2365" s="96" t="s">
        <v>1842</v>
      </c>
      <c r="C2365" s="315"/>
      <c r="D2365" s="316"/>
      <c r="E2365" s="315"/>
      <c r="F2365" s="315"/>
      <c r="G2365" s="315"/>
      <c r="H2365" s="194" t="s">
        <v>2025</v>
      </c>
      <c r="I2365" s="12"/>
      <c r="J2365" s="96" t="s">
        <v>858</v>
      </c>
      <c r="K2365" s="12"/>
      <c r="L2365" s="255">
        <v>50.8</v>
      </c>
      <c r="M2365" s="255">
        <v>7</v>
      </c>
      <c r="N2365" s="333">
        <v>1</v>
      </c>
      <c r="O2365" s="96"/>
      <c r="P2365" s="96" t="s">
        <v>92</v>
      </c>
      <c r="Q2365" s="12"/>
      <c r="R2365" s="192" t="str">
        <f>CONCATENATE(N2365,P2365)</f>
        <v>1pieces</v>
      </c>
      <c r="S2365" s="198">
        <f>M2365*N2365</f>
        <v>7</v>
      </c>
      <c r="T2365" s="199" t="str">
        <f>CONCATENATE(S2365,Q2365,P2365)</f>
        <v>7pieces</v>
      </c>
      <c r="U2365" s="200">
        <f>L2365*M2365</f>
        <v>355.59999999999997</v>
      </c>
      <c r="V2365" s="12"/>
      <c r="W2365" s="12"/>
    </row>
    <row r="2366" spans="1:23" x14ac:dyDescent="0.3">
      <c r="A2366" s="193">
        <v>916</v>
      </c>
      <c r="B2366" s="244" t="s">
        <v>208</v>
      </c>
      <c r="C2366" s="487"/>
      <c r="D2366" s="485" t="str">
        <f ca="1">IFERROR(__xludf.DUMMYFUNCTION("IF(J633="""",""n/a"",IFERROR(SPLIT(J633,""/"")))"),"n/a")</f>
        <v>n/a</v>
      </c>
      <c r="E2366" s="487"/>
      <c r="F2366" s="487"/>
      <c r="G2366" s="487"/>
      <c r="H2366" s="183" t="s">
        <v>1897</v>
      </c>
      <c r="I2366" s="487"/>
      <c r="J2366" s="239"/>
      <c r="K2366" s="487"/>
      <c r="L2366" s="254">
        <v>5.8</v>
      </c>
      <c r="M2366" s="271">
        <v>100</v>
      </c>
      <c r="N2366" s="247">
        <v>1</v>
      </c>
      <c r="O2366" s="239">
        <f>E2366</f>
        <v>0</v>
      </c>
      <c r="P2366" s="100" t="s">
        <v>92</v>
      </c>
      <c r="Q2366" s="12"/>
      <c r="R2366" s="192" t="str">
        <f>CONCATENATE(N2366,P2366)</f>
        <v>1pieces</v>
      </c>
      <c r="S2366" s="198">
        <f>M2366*N2366</f>
        <v>100</v>
      </c>
      <c r="T2366" s="199" t="str">
        <f>CONCATENATE(S2366,Q2366,P2366)</f>
        <v>100pieces</v>
      </c>
      <c r="U2366" s="200">
        <f>L2366*M2366</f>
        <v>580</v>
      </c>
      <c r="V2366" s="205"/>
      <c r="W2366" s="62"/>
    </row>
    <row r="2367" spans="1:23" x14ac:dyDescent="0.3">
      <c r="A2367" s="193">
        <v>916</v>
      </c>
      <c r="B2367" s="194" t="s">
        <v>208</v>
      </c>
      <c r="C2367" s="487"/>
      <c r="D2367" s="485" t="str">
        <f ca="1">IFERROR(__xludf.DUMMYFUNCTION("IF(J634="""",""n/a"",IFERROR(SPLIT(J634,""/"")))"),"Superb")</f>
        <v>Superb</v>
      </c>
      <c r="E2367" s="485" t="str">
        <f ca="1">IFERROR(__xludf.DUMMYFUNCTION("""COMPUTED_VALUE"""),"rollx10pcs")</f>
        <v>rollx10pcs</v>
      </c>
      <c r="F2367" s="485" t="str">
        <f ca="1">IFERROR(__xludf.DUMMYFUNCTION("""COMPUTED_VALUE"""),"XXL")</f>
        <v>XXL</v>
      </c>
      <c r="G2367" s="487"/>
      <c r="H2367" s="183" t="s">
        <v>1897</v>
      </c>
      <c r="I2367" s="487"/>
      <c r="J2367" s="46" t="s">
        <v>209</v>
      </c>
      <c r="K2367" s="487"/>
      <c r="L2367" s="270">
        <v>62.97</v>
      </c>
      <c r="M2367" s="271">
        <v>28</v>
      </c>
      <c r="N2367" s="247">
        <v>1</v>
      </c>
      <c r="O2367" s="61" t="str">
        <f ca="1">E2367</f>
        <v>rollx10pcs</v>
      </c>
      <c r="P2367" s="61" t="s">
        <v>210</v>
      </c>
      <c r="Q2367" s="12"/>
      <c r="R2367" s="192" t="str">
        <f>CONCATENATE(N2367,P2367)</f>
        <v>1roll</v>
      </c>
      <c r="S2367" s="198">
        <f>M2367*N2367</f>
        <v>28</v>
      </c>
      <c r="T2367" s="199" t="str">
        <f>CONCATENATE(S2367,Q2367,P2367)</f>
        <v>28roll</v>
      </c>
      <c r="U2367" s="200">
        <f>L2367*M2367</f>
        <v>1763.1599999999999</v>
      </c>
      <c r="V2367" s="205"/>
      <c r="W2367" s="62"/>
    </row>
    <row r="2368" spans="1:23" x14ac:dyDescent="0.3">
      <c r="A2368" s="193">
        <v>916</v>
      </c>
      <c r="B2368" s="214" t="s">
        <v>208</v>
      </c>
      <c r="C2368" s="489"/>
      <c r="D2368" s="485" t="str">
        <f ca="1">IFERROR(__xludf.DUMMYFUNCTION("IF(J635="""",""n/a"",IFERROR(SPLIT(J635,""/"")))"),"Superb")</f>
        <v>Superb</v>
      </c>
      <c r="E2368" s="493" t="str">
        <f ca="1">IFERROR(__xludf.DUMMYFUNCTION("""COMPUTED_VALUE"""),"rollx10pcs")</f>
        <v>rollx10pcs</v>
      </c>
      <c r="F2368" s="493" t="str">
        <f ca="1">IFERROR(__xludf.DUMMYFUNCTION("""COMPUTED_VALUE"""),"XXL")</f>
        <v>XXL</v>
      </c>
      <c r="G2368" s="489"/>
      <c r="H2368" s="183" t="s">
        <v>1895</v>
      </c>
      <c r="I2368" s="487"/>
      <c r="J2368" s="46" t="s">
        <v>209</v>
      </c>
      <c r="K2368" s="487"/>
      <c r="L2368" s="254">
        <v>65</v>
      </c>
      <c r="M2368" s="255">
        <v>30</v>
      </c>
      <c r="N2368" s="100">
        <v>1</v>
      </c>
      <c r="O2368" s="61" t="str">
        <f ca="1">E2368</f>
        <v>rollx10pcs</v>
      </c>
      <c r="P2368" s="61" t="s">
        <v>210</v>
      </c>
      <c r="Q2368" s="12"/>
      <c r="R2368" s="192" t="str">
        <f>CONCATENATE(N2368,P2368)</f>
        <v>1roll</v>
      </c>
      <c r="S2368" s="198">
        <f>M2368*N2368</f>
        <v>30</v>
      </c>
      <c r="T2368" s="199" t="str">
        <f>CONCATENATE(S2368,Q2368,P2368)</f>
        <v>30roll</v>
      </c>
      <c r="U2368" s="200">
        <f>L2368*M2368</f>
        <v>1950</v>
      </c>
      <c r="V2368" s="12"/>
      <c r="W2368" s="12"/>
    </row>
    <row r="2369" spans="1:23" x14ac:dyDescent="0.3">
      <c r="A2369" s="193">
        <v>916</v>
      </c>
      <c r="B2369" s="219" t="s">
        <v>208</v>
      </c>
      <c r="C2369" s="315"/>
      <c r="D2369" s="316"/>
      <c r="E2369" s="315"/>
      <c r="F2369" s="315"/>
      <c r="G2369" s="315"/>
      <c r="H2369" s="194" t="s">
        <v>2023</v>
      </c>
      <c r="I2369" s="12"/>
      <c r="J2369" s="219" t="s">
        <v>1843</v>
      </c>
      <c r="K2369" s="12"/>
      <c r="L2369" s="285">
        <v>6</v>
      </c>
      <c r="M2369" s="255">
        <v>100</v>
      </c>
      <c r="N2369" s="336">
        <v>1</v>
      </c>
      <c r="O2369" s="219"/>
      <c r="P2369" s="219" t="s">
        <v>92</v>
      </c>
      <c r="Q2369" s="12"/>
      <c r="R2369" s="192" t="str">
        <f>CONCATENATE(N2369,P2369)</f>
        <v>1pieces</v>
      </c>
      <c r="S2369" s="198">
        <f>M2369*N2369</f>
        <v>100</v>
      </c>
      <c r="T2369" s="199" t="str">
        <f>CONCATENATE(S2369,Q2369,P2369)</f>
        <v>100pieces</v>
      </c>
      <c r="U2369" s="200">
        <f>L2369*M2369</f>
        <v>600</v>
      </c>
      <c r="V2369" s="12"/>
      <c r="W2369" s="12"/>
    </row>
    <row r="2370" spans="1:23" x14ac:dyDescent="0.3">
      <c r="A2370" s="193">
        <v>916</v>
      </c>
      <c r="B2370" s="46" t="s">
        <v>208</v>
      </c>
      <c r="C2370" s="315"/>
      <c r="D2370" s="316"/>
      <c r="E2370" s="315"/>
      <c r="F2370" s="315"/>
      <c r="G2370" s="315"/>
      <c r="H2370" s="194" t="s">
        <v>2020</v>
      </c>
      <c r="I2370" s="12"/>
      <c r="J2370" s="46" t="s">
        <v>858</v>
      </c>
      <c r="K2370" s="12"/>
      <c r="L2370" s="255">
        <v>62.97</v>
      </c>
      <c r="M2370" s="255">
        <v>16</v>
      </c>
      <c r="N2370" s="333">
        <v>1</v>
      </c>
      <c r="O2370" s="46"/>
      <c r="P2370" s="46" t="s">
        <v>210</v>
      </c>
      <c r="Q2370" s="12"/>
      <c r="R2370" s="192" t="str">
        <f>CONCATENATE(N2370,P2370)</f>
        <v>1roll</v>
      </c>
      <c r="S2370" s="198">
        <f>M2370*N2370</f>
        <v>16</v>
      </c>
      <c r="T2370" s="199" t="str">
        <f>CONCATENATE(S2370,Q2370,P2370)</f>
        <v>16roll</v>
      </c>
      <c r="U2370" s="200">
        <f>L2370*M2370</f>
        <v>1007.52</v>
      </c>
      <c r="V2370" s="12"/>
      <c r="W2370" s="12"/>
    </row>
    <row r="2371" spans="1:23" x14ac:dyDescent="0.3">
      <c r="A2371" s="193">
        <v>917</v>
      </c>
      <c r="B2371" s="219" t="s">
        <v>1844</v>
      </c>
      <c r="C2371" s="315"/>
      <c r="D2371" s="316"/>
      <c r="E2371" s="315"/>
      <c r="F2371" s="315"/>
      <c r="G2371" s="315"/>
      <c r="H2371" s="194" t="s">
        <v>2023</v>
      </c>
      <c r="I2371" s="12"/>
      <c r="J2371" s="219" t="s">
        <v>1500</v>
      </c>
      <c r="K2371" s="12"/>
      <c r="L2371" s="216">
        <v>6</v>
      </c>
      <c r="M2371" s="197">
        <v>113</v>
      </c>
      <c r="N2371" s="293">
        <v>1</v>
      </c>
      <c r="O2371" s="351"/>
      <c r="P2371" s="351" t="s">
        <v>92</v>
      </c>
      <c r="Q2371" s="12"/>
      <c r="R2371" s="192" t="str">
        <f>CONCATENATE(N2371,P2371)</f>
        <v>1pieces</v>
      </c>
      <c r="S2371" s="198">
        <f>M2371*N2371</f>
        <v>113</v>
      </c>
      <c r="T2371" s="199" t="str">
        <f>CONCATENATE(S2371,Q2371,P2371)</f>
        <v>113pieces</v>
      </c>
      <c r="U2371" s="200">
        <f>L2371*M2371</f>
        <v>678</v>
      </c>
      <c r="V2371" s="12"/>
      <c r="W2371" s="12"/>
    </row>
    <row r="2372" spans="1:23" x14ac:dyDescent="0.3">
      <c r="A2372" s="193">
        <v>917</v>
      </c>
      <c r="B2372" s="219" t="s">
        <v>1844</v>
      </c>
      <c r="C2372" s="315"/>
      <c r="D2372" s="316"/>
      <c r="E2372" s="315"/>
      <c r="F2372" s="315"/>
      <c r="G2372" s="315"/>
      <c r="H2372" s="194" t="s">
        <v>2021</v>
      </c>
      <c r="I2372" s="12"/>
      <c r="J2372" s="215"/>
      <c r="K2372" s="12"/>
      <c r="L2372" s="216">
        <v>7</v>
      </c>
      <c r="M2372" s="216">
        <v>41</v>
      </c>
      <c r="N2372" s="293">
        <v>1</v>
      </c>
      <c r="O2372" s="351"/>
      <c r="P2372" s="351" t="s">
        <v>92</v>
      </c>
      <c r="Q2372" s="12"/>
      <c r="R2372" s="192" t="str">
        <f>CONCATENATE(N2372,P2372)</f>
        <v>1pieces</v>
      </c>
      <c r="S2372" s="198">
        <f>M2372*N2372</f>
        <v>41</v>
      </c>
      <c r="T2372" s="199" t="str">
        <f>CONCATENATE(S2372,Q2372,P2372)</f>
        <v>41pieces</v>
      </c>
      <c r="U2372" s="200">
        <f>L2372*M2372</f>
        <v>287</v>
      </c>
      <c r="V2372" s="12"/>
      <c r="W2372" s="12"/>
    </row>
    <row r="2373" spans="1:23" x14ac:dyDescent="0.3">
      <c r="A2373" s="193">
        <v>918</v>
      </c>
      <c r="B2373" s="46" t="s">
        <v>1845</v>
      </c>
      <c r="C2373" s="315"/>
      <c r="D2373" s="316"/>
      <c r="E2373" s="315"/>
      <c r="F2373" s="315"/>
      <c r="G2373" s="315"/>
      <c r="H2373" s="194" t="s">
        <v>2026</v>
      </c>
      <c r="I2373" s="12"/>
      <c r="J2373" s="46" t="s">
        <v>858</v>
      </c>
      <c r="K2373" s="12"/>
      <c r="L2373" s="197">
        <v>50.81</v>
      </c>
      <c r="M2373" s="197">
        <v>30</v>
      </c>
      <c r="N2373" s="290">
        <v>1</v>
      </c>
      <c r="O2373" s="320"/>
      <c r="P2373" s="320" t="s">
        <v>210</v>
      </c>
      <c r="Q2373" s="12"/>
      <c r="R2373" s="192" t="str">
        <f>CONCATENATE(N2373,P2373)</f>
        <v>1roll</v>
      </c>
      <c r="S2373" s="198">
        <f>M2373*N2373</f>
        <v>30</v>
      </c>
      <c r="T2373" s="199" t="str">
        <f>CONCATENATE(S2373,Q2373,P2373)</f>
        <v>30roll</v>
      </c>
      <c r="U2373" s="200">
        <f>L2373*M2373</f>
        <v>1524.3000000000002</v>
      </c>
      <c r="V2373" s="12"/>
      <c r="W2373" s="12"/>
    </row>
    <row r="2374" spans="1:23" x14ac:dyDescent="0.3">
      <c r="A2374" s="193">
        <v>919</v>
      </c>
      <c r="B2374" s="194" t="s">
        <v>820</v>
      </c>
      <c r="C2374" s="487"/>
      <c r="D2374" s="485" t="str">
        <f ca="1">IFERROR(__xludf.DUMMYFUNCTION("IF(J636="""",""n/a"",IFERROR(SPLIT(J636,""/"")))"),"n/a")</f>
        <v>n/a</v>
      </c>
      <c r="E2374" s="487"/>
      <c r="F2374" s="487"/>
      <c r="G2374" s="487"/>
      <c r="H2374" s="206" t="s">
        <v>1898</v>
      </c>
      <c r="I2374" s="487"/>
      <c r="J2374" s="170"/>
      <c r="K2374" s="487"/>
      <c r="L2374" s="197">
        <v>508.05</v>
      </c>
      <c r="M2374" s="385">
        <v>1</v>
      </c>
      <c r="N2374" s="208">
        <v>1</v>
      </c>
      <c r="O2374" s="267">
        <f>E2374</f>
        <v>0</v>
      </c>
      <c r="P2374" s="273" t="s">
        <v>210</v>
      </c>
      <c r="Q2374" s="12"/>
      <c r="R2374" s="192" t="str">
        <f>CONCATENATE(N2374,P2374)</f>
        <v>1roll</v>
      </c>
      <c r="S2374" s="198">
        <f>M2374*N2374</f>
        <v>1</v>
      </c>
      <c r="T2374" s="199" t="str">
        <f>CONCATENATE(S2374,Q2374,P2374)</f>
        <v>1roll</v>
      </c>
      <c r="U2374" s="200">
        <f>L2374*M2374</f>
        <v>508.05</v>
      </c>
      <c r="V2374" s="12"/>
      <c r="W2374" s="12"/>
    </row>
    <row r="2375" spans="1:23" x14ac:dyDescent="0.3">
      <c r="A2375" s="193">
        <v>920</v>
      </c>
      <c r="B2375" s="194" t="s">
        <v>821</v>
      </c>
      <c r="C2375" s="487"/>
      <c r="D2375" s="485" t="str">
        <f ca="1">IFERROR(__xludf.DUMMYFUNCTION("IF(J637="""",""n/a"",IFERROR(SPLIT(J637,""/"")))"),"n/a")</f>
        <v>n/a</v>
      </c>
      <c r="E2375" s="487"/>
      <c r="F2375" s="487"/>
      <c r="G2375" s="487"/>
      <c r="H2375" s="206" t="s">
        <v>1898</v>
      </c>
      <c r="I2375" s="487"/>
      <c r="J2375" s="170"/>
      <c r="K2375" s="487"/>
      <c r="L2375" s="274">
        <v>629.70000000000005</v>
      </c>
      <c r="M2375" s="385">
        <v>1</v>
      </c>
      <c r="N2375" s="250">
        <v>1</v>
      </c>
      <c r="O2375" s="237">
        <f>E2375</f>
        <v>0</v>
      </c>
      <c r="P2375" s="240" t="s">
        <v>92</v>
      </c>
      <c r="Q2375" s="12"/>
      <c r="R2375" s="192" t="str">
        <f>CONCATENATE(N2375,P2375)</f>
        <v>1pieces</v>
      </c>
      <c r="S2375" s="198">
        <f>M2375*N2375</f>
        <v>1</v>
      </c>
      <c r="T2375" s="199" t="str">
        <f>CONCATENATE(S2375,Q2375,P2375)</f>
        <v>1pieces</v>
      </c>
      <c r="U2375" s="200">
        <f>L2375*M2375</f>
        <v>629.70000000000005</v>
      </c>
      <c r="V2375" s="12"/>
      <c r="W2375" s="12"/>
    </row>
    <row r="2376" spans="1:23" x14ac:dyDescent="0.3">
      <c r="A2376" s="193">
        <v>921</v>
      </c>
      <c r="B2376" s="194" t="s">
        <v>822</v>
      </c>
      <c r="C2376" s="487"/>
      <c r="D2376" s="485" t="str">
        <f ca="1">IFERROR(__xludf.DUMMYFUNCTION("IF(J638="""",""n/a"",IFERROR(SPLIT(J638,""/"")))"),"n/a")</f>
        <v>n/a</v>
      </c>
      <c r="E2376" s="487"/>
      <c r="F2376" s="487"/>
      <c r="G2376" s="487"/>
      <c r="H2376" s="206" t="s">
        <v>1898</v>
      </c>
      <c r="I2376" s="487"/>
      <c r="J2376" s="170"/>
      <c r="K2376" s="487"/>
      <c r="L2376" s="274">
        <v>668</v>
      </c>
      <c r="M2376" s="385">
        <v>1</v>
      </c>
      <c r="N2376" s="250">
        <v>1</v>
      </c>
      <c r="O2376" s="237">
        <f>E2376</f>
        <v>0</v>
      </c>
      <c r="P2376" s="240" t="s">
        <v>210</v>
      </c>
      <c r="Q2376" s="12"/>
      <c r="R2376" s="192" t="str">
        <f>CONCATENATE(N2376,P2376)</f>
        <v>1roll</v>
      </c>
      <c r="S2376" s="198">
        <f>M2376*N2376</f>
        <v>1</v>
      </c>
      <c r="T2376" s="199" t="str">
        <f>CONCATENATE(S2376,Q2376,P2376)</f>
        <v>1roll</v>
      </c>
      <c r="U2376" s="200">
        <f>L2376*M2376</f>
        <v>668</v>
      </c>
      <c r="V2376" s="12"/>
      <c r="W2376" s="12"/>
    </row>
    <row r="2377" spans="1:23" x14ac:dyDescent="0.3">
      <c r="A2377" s="193">
        <v>922</v>
      </c>
      <c r="B2377" s="46" t="s">
        <v>2016</v>
      </c>
      <c r="C2377" s="315"/>
      <c r="D2377" s="316"/>
      <c r="E2377" s="315"/>
      <c r="F2377" s="315"/>
      <c r="G2377" s="315"/>
      <c r="H2377" s="400" t="s">
        <v>2027</v>
      </c>
      <c r="I2377" s="12"/>
      <c r="J2377" s="170"/>
      <c r="K2377" s="12"/>
      <c r="L2377" s="254">
        <v>6.95</v>
      </c>
      <c r="M2377" s="255">
        <v>60</v>
      </c>
      <c r="N2377" s="366">
        <v>1</v>
      </c>
      <c r="O2377" s="240"/>
      <c r="P2377" s="240" t="s">
        <v>92</v>
      </c>
      <c r="Q2377" s="12"/>
      <c r="R2377" s="192" t="str">
        <f>CONCATENATE(N2377,P2377)</f>
        <v>1pieces</v>
      </c>
      <c r="S2377" s="198">
        <f>M2377*N2377</f>
        <v>60</v>
      </c>
      <c r="T2377" s="199" t="str">
        <f>CONCATENATE(S2377,Q2377,P2377)</f>
        <v>60pieces</v>
      </c>
      <c r="U2377" s="200">
        <f>L2377*M2377</f>
        <v>417</v>
      </c>
      <c r="V2377" s="12"/>
      <c r="W2377" s="12"/>
    </row>
    <row r="2378" spans="1:23" x14ac:dyDescent="0.3">
      <c r="A2378" s="193">
        <v>923</v>
      </c>
      <c r="B2378" s="96" t="s">
        <v>1846</v>
      </c>
      <c r="C2378" s="315"/>
      <c r="D2378" s="316"/>
      <c r="E2378" s="315"/>
      <c r="F2378" s="315"/>
      <c r="G2378" s="315"/>
      <c r="H2378" s="194" t="s">
        <v>2025</v>
      </c>
      <c r="I2378" s="12"/>
      <c r="J2378" s="239"/>
      <c r="K2378" s="12"/>
      <c r="L2378" s="255">
        <v>450</v>
      </c>
      <c r="M2378" s="255">
        <v>2</v>
      </c>
      <c r="N2378" s="333">
        <v>1</v>
      </c>
      <c r="O2378" s="47"/>
      <c r="P2378" s="47" t="s">
        <v>213</v>
      </c>
      <c r="Q2378" s="12"/>
      <c r="R2378" s="192" t="str">
        <f>CONCATENATE(N2378,P2378)</f>
        <v>1kilos</v>
      </c>
      <c r="S2378" s="198">
        <f>M2378*N2378</f>
        <v>2</v>
      </c>
      <c r="T2378" s="199" t="str">
        <f>CONCATENATE(S2378,Q2378,P2378)</f>
        <v>2kilos</v>
      </c>
      <c r="U2378" s="200">
        <f>L2378*M2378</f>
        <v>900</v>
      </c>
      <c r="V2378" s="12"/>
      <c r="W2378" s="12"/>
    </row>
    <row r="2379" spans="1:23" x14ac:dyDescent="0.3">
      <c r="A2379" s="193">
        <v>923</v>
      </c>
      <c r="B2379" s="96" t="s">
        <v>1846</v>
      </c>
      <c r="C2379" s="315"/>
      <c r="D2379" s="316"/>
      <c r="E2379" s="315"/>
      <c r="F2379" s="315"/>
      <c r="G2379" s="315"/>
      <c r="H2379" s="194" t="s">
        <v>2023</v>
      </c>
      <c r="I2379" s="12"/>
      <c r="J2379" s="96" t="s">
        <v>1847</v>
      </c>
      <c r="K2379" s="12"/>
      <c r="L2379" s="255">
        <v>460</v>
      </c>
      <c r="M2379" s="255">
        <v>2</v>
      </c>
      <c r="N2379" s="333">
        <v>1</v>
      </c>
      <c r="O2379" s="47"/>
      <c r="P2379" s="47" t="s">
        <v>213</v>
      </c>
      <c r="Q2379" s="12"/>
      <c r="R2379" s="192" t="str">
        <f>CONCATENATE(N2379,P2379)</f>
        <v>1kilos</v>
      </c>
      <c r="S2379" s="198">
        <f>M2379*N2379</f>
        <v>2</v>
      </c>
      <c r="T2379" s="199" t="str">
        <f>CONCATENATE(S2379,Q2379,P2379)</f>
        <v>2kilos</v>
      </c>
      <c r="U2379" s="200">
        <f>L2379*M2379</f>
        <v>920</v>
      </c>
      <c r="V2379" s="12"/>
      <c r="W2379" s="12"/>
    </row>
    <row r="2380" spans="1:23" x14ac:dyDescent="0.3">
      <c r="A2380" s="193">
        <v>924</v>
      </c>
      <c r="B2380" s="244" t="s">
        <v>823</v>
      </c>
      <c r="C2380" s="487"/>
      <c r="D2380" s="485" t="str">
        <f ca="1">IFERROR(__xludf.DUMMYFUNCTION("IF(J639="""",""n/a"",IFERROR(SPLIT(J639,""/"")))"),"n/a")</f>
        <v>n/a</v>
      </c>
      <c r="E2380" s="487"/>
      <c r="F2380" s="487"/>
      <c r="G2380" s="487"/>
      <c r="H2380" s="206" t="s">
        <v>1898</v>
      </c>
      <c r="I2380" s="487"/>
      <c r="J2380" s="239"/>
      <c r="K2380" s="487"/>
      <c r="L2380" s="255">
        <v>26.82</v>
      </c>
      <c r="M2380" s="389">
        <v>50</v>
      </c>
      <c r="N2380" s="250">
        <v>1</v>
      </c>
      <c r="O2380" s="237">
        <f>E2380</f>
        <v>0</v>
      </c>
      <c r="P2380" s="240" t="s">
        <v>92</v>
      </c>
      <c r="Q2380" s="12"/>
      <c r="R2380" s="192" t="str">
        <f>CONCATENATE(N2380,P2380)</f>
        <v>1pieces</v>
      </c>
      <c r="S2380" s="198">
        <f>M2380*N2380</f>
        <v>50</v>
      </c>
      <c r="T2380" s="199" t="str">
        <f>CONCATENATE(S2380,Q2380,P2380)</f>
        <v>50pieces</v>
      </c>
      <c r="U2380" s="200">
        <f>L2380*M2380</f>
        <v>1341</v>
      </c>
      <c r="V2380" s="12"/>
      <c r="W2380" s="12"/>
    </row>
    <row r="2381" spans="1:23" x14ac:dyDescent="0.3">
      <c r="A2381" s="193">
        <v>925</v>
      </c>
      <c r="B2381" s="244" t="s">
        <v>824</v>
      </c>
      <c r="C2381" s="487"/>
      <c r="D2381" s="485" t="str">
        <f ca="1">IFERROR(__xludf.DUMMYFUNCTION("IF(J640="""",""n/a"",IFERROR(SPLIT(J640,""/"")))"),"Maya")</f>
        <v>Maya</v>
      </c>
      <c r="E2381" s="485" t="str">
        <f ca="1">IFERROR(__xludf.DUMMYFUNCTION("""COMPUTED_VALUE"""),"box")</f>
        <v>box</v>
      </c>
      <c r="F2381" s="485" t="str">
        <f ca="1">IFERROR(__xludf.DUMMYFUNCTION("""COMPUTED_VALUE"""),"500grams")</f>
        <v>500grams</v>
      </c>
      <c r="G2381" s="487"/>
      <c r="H2381" s="183" t="s">
        <v>1897</v>
      </c>
      <c r="I2381" s="487"/>
      <c r="J2381" s="96" t="s">
        <v>74</v>
      </c>
      <c r="K2381" s="487"/>
      <c r="L2381" s="254">
        <v>0.11</v>
      </c>
      <c r="M2381" s="271">
        <v>7000</v>
      </c>
      <c r="N2381" s="247">
        <v>500</v>
      </c>
      <c r="O2381" s="240" t="str">
        <f ca="1">E2381</f>
        <v>box</v>
      </c>
      <c r="P2381" s="240" t="s">
        <v>39</v>
      </c>
      <c r="Q2381" s="12"/>
      <c r="R2381" s="192" t="str">
        <f>CONCATENATE(N2381,P2381)</f>
        <v>500grams</v>
      </c>
      <c r="S2381" s="198">
        <f>M2381*N2381</f>
        <v>3500000</v>
      </c>
      <c r="T2381" s="199" t="str">
        <f>CONCATENATE(S2381,Q2381,P2381)</f>
        <v>3500000grams</v>
      </c>
      <c r="U2381" s="200">
        <f>L2381*M2381</f>
        <v>770</v>
      </c>
      <c r="V2381" s="205"/>
      <c r="W2381" s="62"/>
    </row>
    <row r="2382" spans="1:23" x14ac:dyDescent="0.3">
      <c r="A2382" s="193">
        <v>925</v>
      </c>
      <c r="B2382" s="244" t="s">
        <v>824</v>
      </c>
      <c r="C2382" s="487"/>
      <c r="D2382" s="485" t="str">
        <f ca="1">IFERROR(__xludf.DUMMYFUNCTION("IF(J641="""",""n/a"",IFERROR(SPLIT(J641,""/"")))"),"Century")</f>
        <v>Century</v>
      </c>
      <c r="E2382" s="485" t="str">
        <f ca="1">IFERROR(__xludf.DUMMYFUNCTION("""COMPUTED_VALUE"""),"can420grams")</f>
        <v>can420grams</v>
      </c>
      <c r="F2382" s="487"/>
      <c r="G2382" s="487"/>
      <c r="H2382" s="183" t="s">
        <v>1897</v>
      </c>
      <c r="I2382" s="487"/>
      <c r="J2382" s="96" t="s">
        <v>825</v>
      </c>
      <c r="K2382" s="487"/>
      <c r="L2382" s="195">
        <v>0.23</v>
      </c>
      <c r="M2382" s="202">
        <v>2520</v>
      </c>
      <c r="N2382" s="247">
        <v>420</v>
      </c>
      <c r="O2382" s="240" t="str">
        <f ca="1">E2382</f>
        <v>can420grams</v>
      </c>
      <c r="P2382" s="286" t="s">
        <v>39</v>
      </c>
      <c r="Q2382" s="12"/>
      <c r="R2382" s="192" t="str">
        <f>CONCATENATE(N2382,P2382)</f>
        <v>420grams</v>
      </c>
      <c r="S2382" s="198">
        <f>M2382*N2382</f>
        <v>1058400</v>
      </c>
      <c r="T2382" s="199" t="str">
        <f>CONCATENATE(S2382,Q2382,P2382)</f>
        <v>1058400grams</v>
      </c>
      <c r="U2382" s="200">
        <f>L2382*M2382</f>
        <v>579.6</v>
      </c>
      <c r="V2382" s="205"/>
      <c r="W2382" s="62"/>
    </row>
    <row r="2383" spans="1:23" x14ac:dyDescent="0.3">
      <c r="A2383" s="193">
        <v>926</v>
      </c>
      <c r="B2383" s="244" t="s">
        <v>826</v>
      </c>
      <c r="C2383" s="487"/>
      <c r="D2383" s="485" t="str">
        <f ca="1">IFERROR(__xludf.DUMMYFUNCTION("IF(J642="""",""n/a"",IFERROR(SPLIT(J642,""/"")))"),"n/a")</f>
        <v>n/a</v>
      </c>
      <c r="E2383" s="487"/>
      <c r="F2383" s="487"/>
      <c r="G2383" s="487"/>
      <c r="H2383" s="206" t="s">
        <v>1898</v>
      </c>
      <c r="I2383" s="487"/>
      <c r="J2383" s="239"/>
      <c r="K2383" s="487"/>
      <c r="L2383" s="255">
        <v>0.44</v>
      </c>
      <c r="M2383" s="389">
        <v>2000</v>
      </c>
      <c r="N2383" s="250">
        <v>1000</v>
      </c>
      <c r="O2383" s="237">
        <f>E2383</f>
        <v>0</v>
      </c>
      <c r="P2383" s="240" t="s">
        <v>39</v>
      </c>
      <c r="Q2383" s="12"/>
      <c r="R2383" s="192" t="str">
        <f>CONCATENATE(N2383,P2383)</f>
        <v>1000grams</v>
      </c>
      <c r="S2383" s="198">
        <f>M2383*N2383</f>
        <v>2000000</v>
      </c>
      <c r="T2383" s="199" t="str">
        <f>CONCATENATE(S2383,Q2383,P2383)</f>
        <v>2000000grams</v>
      </c>
      <c r="U2383" s="200">
        <f>L2383*M2383</f>
        <v>880</v>
      </c>
      <c r="V2383" s="12"/>
      <c r="W2383" s="12"/>
    </row>
    <row r="2384" spans="1:23" x14ac:dyDescent="0.3">
      <c r="A2384" s="193">
        <v>927</v>
      </c>
      <c r="B2384" s="340" t="s">
        <v>1848</v>
      </c>
      <c r="C2384" s="315"/>
      <c r="D2384" s="316"/>
      <c r="E2384" s="315"/>
      <c r="F2384" s="315"/>
      <c r="G2384" s="315"/>
      <c r="H2384" s="194" t="s">
        <v>2022</v>
      </c>
      <c r="I2384" s="12"/>
      <c r="J2384" s="96" t="s">
        <v>854</v>
      </c>
      <c r="K2384" s="12"/>
      <c r="L2384" s="255">
        <v>78</v>
      </c>
      <c r="M2384" s="255">
        <v>1</v>
      </c>
      <c r="N2384" s="333">
        <v>31</v>
      </c>
      <c r="O2384" s="47"/>
      <c r="P2384" s="47" t="s">
        <v>39</v>
      </c>
      <c r="Q2384" s="12"/>
      <c r="R2384" s="192" t="str">
        <f>CONCATENATE(N2384,P2384)</f>
        <v>31grams</v>
      </c>
      <c r="S2384" s="198">
        <f>M2384*N2384</f>
        <v>31</v>
      </c>
      <c r="T2384" s="199" t="str">
        <f>CONCATENATE(S2384,Q2384,P2384)</f>
        <v>31grams</v>
      </c>
      <c r="U2384" s="200">
        <f>L2384*M2384</f>
        <v>78</v>
      </c>
      <c r="V2384" s="12"/>
      <c r="W2384" s="12"/>
    </row>
    <row r="2385" spans="1:23" x14ac:dyDescent="0.3">
      <c r="A2385" s="193">
        <v>927</v>
      </c>
      <c r="B2385" s="340" t="s">
        <v>1848</v>
      </c>
      <c r="C2385" s="315"/>
      <c r="D2385" s="316"/>
      <c r="E2385" s="315"/>
      <c r="F2385" s="315"/>
      <c r="G2385" s="315"/>
      <c r="H2385" s="194" t="s">
        <v>2021</v>
      </c>
      <c r="I2385" s="12"/>
      <c r="J2385" s="340" t="s">
        <v>1074</v>
      </c>
      <c r="K2385" s="12"/>
      <c r="L2385" s="285">
        <v>12.95</v>
      </c>
      <c r="M2385" s="285">
        <v>5</v>
      </c>
      <c r="N2385" s="336">
        <v>30</v>
      </c>
      <c r="O2385" s="327"/>
      <c r="P2385" s="327" t="s">
        <v>39</v>
      </c>
      <c r="Q2385" s="12"/>
      <c r="R2385" s="192" t="str">
        <f>CONCATENATE(N2385,P2385)</f>
        <v>30grams</v>
      </c>
      <c r="S2385" s="198">
        <f>M2385*N2385</f>
        <v>150</v>
      </c>
      <c r="T2385" s="199" t="str">
        <f>CONCATENATE(S2385,Q2385,P2385)</f>
        <v>150grams</v>
      </c>
      <c r="U2385" s="200">
        <f>L2385*M2385</f>
        <v>64.75</v>
      </c>
      <c r="V2385" s="12"/>
      <c r="W2385" s="12"/>
    </row>
    <row r="2386" spans="1:23" x14ac:dyDescent="0.3">
      <c r="A2386" s="193">
        <v>928</v>
      </c>
      <c r="B2386" s="96" t="s">
        <v>1849</v>
      </c>
      <c r="C2386" s="315"/>
      <c r="D2386" s="316"/>
      <c r="E2386" s="315"/>
      <c r="F2386" s="315"/>
      <c r="G2386" s="315"/>
      <c r="H2386" s="194" t="s">
        <v>1368</v>
      </c>
      <c r="I2386" s="12"/>
      <c r="J2386" s="239"/>
      <c r="K2386" s="12"/>
      <c r="L2386" s="255">
        <v>240</v>
      </c>
      <c r="M2386" s="255">
        <v>1</v>
      </c>
      <c r="N2386" s="333">
        <v>1</v>
      </c>
      <c r="O2386" s="47"/>
      <c r="P2386" s="47" t="s">
        <v>213</v>
      </c>
      <c r="Q2386" s="12"/>
      <c r="R2386" s="192" t="str">
        <f>CONCATENATE(N2386,P2386)</f>
        <v>1kilos</v>
      </c>
      <c r="S2386" s="198">
        <f>M2386*N2386</f>
        <v>1</v>
      </c>
      <c r="T2386" s="199" t="str">
        <f>CONCATENATE(S2386,Q2386,P2386)</f>
        <v>1kilos</v>
      </c>
      <c r="U2386" s="200">
        <f>L2386*M2386</f>
        <v>240</v>
      </c>
      <c r="V2386" s="12"/>
      <c r="W2386" s="12"/>
    </row>
    <row r="2387" spans="1:23" x14ac:dyDescent="0.3">
      <c r="A2387" s="193">
        <v>929</v>
      </c>
      <c r="B2387" s="244" t="s">
        <v>457</v>
      </c>
      <c r="C2387" s="487"/>
      <c r="D2387" s="485" t="str">
        <f ca="1">IFERROR(__xludf.DUMMYFUNCTION("IF(J643="""",""n/a"",IFERROR(SPLIT(J643,""/"")))"),"Fresh")</f>
        <v>Fresh</v>
      </c>
      <c r="E2387" s="487"/>
      <c r="F2387" s="487"/>
      <c r="G2387" s="487"/>
      <c r="H2387" s="183" t="s">
        <v>1897</v>
      </c>
      <c r="I2387" s="487"/>
      <c r="J2387" s="96" t="s">
        <v>216</v>
      </c>
      <c r="K2387" s="487"/>
      <c r="L2387" s="257">
        <v>55</v>
      </c>
      <c r="M2387" s="271">
        <v>5</v>
      </c>
      <c r="N2387" s="247">
        <v>1</v>
      </c>
      <c r="O2387" s="237">
        <f>E2387</f>
        <v>0</v>
      </c>
      <c r="P2387" s="240" t="s">
        <v>39</v>
      </c>
      <c r="Q2387" s="12"/>
      <c r="R2387" s="192" t="str">
        <f>CONCATENATE(N2387,P2387)</f>
        <v>1grams</v>
      </c>
      <c r="S2387" s="198">
        <f>M2387*N2387</f>
        <v>5</v>
      </c>
      <c r="T2387" s="199" t="str">
        <f>CONCATENATE(S2387,Q2387,P2387)</f>
        <v>5grams</v>
      </c>
      <c r="U2387" s="200">
        <f>L2387*M2387</f>
        <v>275</v>
      </c>
      <c r="V2387" s="12"/>
      <c r="W2387" s="12"/>
    </row>
    <row r="2388" spans="1:23" x14ac:dyDescent="0.3">
      <c r="A2388" s="193">
        <v>929</v>
      </c>
      <c r="B2388" s="194" t="s">
        <v>457</v>
      </c>
      <c r="C2388" s="487"/>
      <c r="D2388" s="485" t="str">
        <f ca="1">IFERROR(__xludf.DUMMYFUNCTION("IF(J644="""",""n/a"",IFERROR(SPLIT(J644,""/"")))"),"Fresh")</f>
        <v>Fresh</v>
      </c>
      <c r="E2388" s="487"/>
      <c r="F2388" s="487"/>
      <c r="G2388" s="487"/>
      <c r="H2388" s="183" t="s">
        <v>1895</v>
      </c>
      <c r="I2388" s="487"/>
      <c r="J2388" s="46" t="s">
        <v>216</v>
      </c>
      <c r="K2388" s="487"/>
      <c r="L2388" s="270">
        <v>35</v>
      </c>
      <c r="M2388" s="255">
        <v>2</v>
      </c>
      <c r="N2388" s="100">
        <v>1</v>
      </c>
      <c r="O2388" s="237">
        <f>E2388</f>
        <v>0</v>
      </c>
      <c r="P2388" s="240" t="s">
        <v>39</v>
      </c>
      <c r="Q2388" s="12"/>
      <c r="R2388" s="192" t="str">
        <f>CONCATENATE(N2388,P2388)</f>
        <v>1grams</v>
      </c>
      <c r="S2388" s="198">
        <f>M2388*N2388</f>
        <v>2</v>
      </c>
      <c r="T2388" s="199" t="str">
        <f>CONCATENATE(S2388,Q2388,P2388)</f>
        <v>2grams</v>
      </c>
      <c r="U2388" s="200">
        <f>L2388*M2388</f>
        <v>70</v>
      </c>
      <c r="V2388" s="12"/>
      <c r="W2388" s="12"/>
    </row>
    <row r="2389" spans="1:23" x14ac:dyDescent="0.3">
      <c r="A2389" s="193">
        <v>930</v>
      </c>
      <c r="B2389" s="46" t="s">
        <v>1850</v>
      </c>
      <c r="C2389" s="315"/>
      <c r="D2389" s="316"/>
      <c r="E2389" s="315"/>
      <c r="F2389" s="315"/>
      <c r="G2389" s="315"/>
      <c r="H2389" s="194" t="s">
        <v>1368</v>
      </c>
      <c r="I2389" s="12"/>
      <c r="J2389" s="46" t="s">
        <v>854</v>
      </c>
      <c r="K2389" s="12"/>
      <c r="L2389" s="255">
        <v>44</v>
      </c>
      <c r="M2389" s="255">
        <v>1</v>
      </c>
      <c r="N2389" s="333">
        <v>20</v>
      </c>
      <c r="O2389" s="96"/>
      <c r="P2389" s="96" t="s">
        <v>32</v>
      </c>
      <c r="Q2389" s="12"/>
      <c r="R2389" s="192" t="str">
        <f>CONCATENATE(N2389,P2389)</f>
        <v>20ml</v>
      </c>
      <c r="S2389" s="198">
        <f>M2389*N2389</f>
        <v>20</v>
      </c>
      <c r="T2389" s="199" t="str">
        <f>CONCATENATE(S2389,Q2389,P2389)</f>
        <v>20ml</v>
      </c>
      <c r="U2389" s="200">
        <f>L2389*M2389</f>
        <v>44</v>
      </c>
      <c r="V2389" s="12"/>
      <c r="W2389" s="12"/>
    </row>
    <row r="2390" spans="1:23" x14ac:dyDescent="0.3">
      <c r="A2390" s="193">
        <v>930</v>
      </c>
      <c r="B2390" s="46" t="s">
        <v>1850</v>
      </c>
      <c r="C2390" s="315"/>
      <c r="D2390" s="316"/>
      <c r="E2390" s="315"/>
      <c r="F2390" s="315"/>
      <c r="G2390" s="315"/>
      <c r="H2390" s="194" t="s">
        <v>2025</v>
      </c>
      <c r="I2390" s="12"/>
      <c r="J2390" s="46" t="s">
        <v>1227</v>
      </c>
      <c r="K2390" s="12"/>
      <c r="L2390" s="255">
        <v>46</v>
      </c>
      <c r="M2390" s="255">
        <v>2</v>
      </c>
      <c r="N2390" s="333">
        <v>375</v>
      </c>
      <c r="O2390" s="47"/>
      <c r="P2390" s="47" t="s">
        <v>32</v>
      </c>
      <c r="Q2390" s="12"/>
      <c r="R2390" s="192" t="str">
        <f>CONCATENATE(N2390,P2390)</f>
        <v>375ml</v>
      </c>
      <c r="S2390" s="198">
        <f>M2390*N2390</f>
        <v>750</v>
      </c>
      <c r="T2390" s="199" t="str">
        <f>CONCATENATE(S2390,Q2390,P2390)</f>
        <v>750ml</v>
      </c>
      <c r="U2390" s="200">
        <f>L2390*M2390</f>
        <v>92</v>
      </c>
      <c r="V2390" s="12"/>
      <c r="W2390" s="12"/>
    </row>
    <row r="2391" spans="1:23" x14ac:dyDescent="0.3">
      <c r="A2391" s="193">
        <v>930</v>
      </c>
      <c r="B2391" s="46" t="s">
        <v>1850</v>
      </c>
      <c r="C2391" s="315"/>
      <c r="D2391" s="316"/>
      <c r="E2391" s="315"/>
      <c r="F2391" s="315"/>
      <c r="G2391" s="315"/>
      <c r="H2391" s="194" t="s">
        <v>2026</v>
      </c>
      <c r="I2391" s="12"/>
      <c r="J2391" s="46" t="s">
        <v>1851</v>
      </c>
      <c r="K2391" s="12"/>
      <c r="L2391" s="255">
        <v>55</v>
      </c>
      <c r="M2391" s="255">
        <v>1</v>
      </c>
      <c r="N2391" s="333">
        <v>350</v>
      </c>
      <c r="O2391" s="47"/>
      <c r="P2391" s="47" t="s">
        <v>32</v>
      </c>
      <c r="Q2391" s="12"/>
      <c r="R2391" s="192" t="str">
        <f>CONCATENATE(N2391,P2391)</f>
        <v>350ml</v>
      </c>
      <c r="S2391" s="198">
        <f>M2391*N2391</f>
        <v>350</v>
      </c>
      <c r="T2391" s="199" t="str">
        <f>CONCATENATE(S2391,Q2391,P2391)</f>
        <v>350ml</v>
      </c>
      <c r="U2391" s="200">
        <f>L2391*M2391</f>
        <v>55</v>
      </c>
      <c r="V2391" s="12"/>
      <c r="W2391" s="12"/>
    </row>
    <row r="2392" spans="1:23" x14ac:dyDescent="0.3">
      <c r="A2392" s="193">
        <v>931</v>
      </c>
      <c r="B2392" s="194" t="s">
        <v>85</v>
      </c>
      <c r="C2392" s="487"/>
      <c r="D2392" s="485" t="str">
        <f ca="1">IFERROR(__xludf.DUMMYFUNCTION("IF(J645="""",""n/a"",IFERROR(SPLIT(J645,""/"")))"),"Orion")</f>
        <v>Orion</v>
      </c>
      <c r="E2392" s="485" t="str">
        <f ca="1">IFERROR(__xludf.DUMMYFUNCTION("""COMPUTED_VALUE"""),"bottle")</f>
        <v>bottle</v>
      </c>
      <c r="F2392" s="485" t="str">
        <f ca="1">IFERROR(__xludf.DUMMYFUNCTION("""COMPUTED_VALUE"""),"375ml")</f>
        <v>375ml</v>
      </c>
      <c r="G2392" s="487"/>
      <c r="H2392" s="183" t="s">
        <v>1895</v>
      </c>
      <c r="I2392" s="487"/>
      <c r="J2392" s="68" t="s">
        <v>86</v>
      </c>
      <c r="K2392" s="487"/>
      <c r="L2392" s="254">
        <v>50</v>
      </c>
      <c r="M2392" s="255">
        <v>4</v>
      </c>
      <c r="N2392" s="507">
        <v>375</v>
      </c>
      <c r="O2392" s="240" t="str">
        <f ca="1">E2392</f>
        <v>bottle</v>
      </c>
      <c r="P2392" s="240" t="s">
        <v>32</v>
      </c>
      <c r="Q2392" s="12"/>
      <c r="R2392" s="192" t="str">
        <f>CONCATENATE(N2392,P2392)</f>
        <v>375ml</v>
      </c>
      <c r="S2392" s="198">
        <f>M2392*N2392</f>
        <v>1500</v>
      </c>
      <c r="T2392" s="199" t="str">
        <f>CONCATENATE(S2392,Q2392,P2392)</f>
        <v>1500ml</v>
      </c>
      <c r="U2392" s="200">
        <f>L2392*M2392</f>
        <v>200</v>
      </c>
      <c r="V2392" s="12"/>
      <c r="W2392" s="12"/>
    </row>
    <row r="2393" spans="1:23" x14ac:dyDescent="0.3">
      <c r="A2393" s="193">
        <v>932</v>
      </c>
      <c r="B2393" s="243" t="s">
        <v>196</v>
      </c>
      <c r="C2393" s="487"/>
      <c r="D2393" s="485" t="str">
        <f ca="1">IFERROR(__xludf.DUMMYFUNCTION("IF(J646="""",""n/a"",IFERROR(SPLIT(J646,""/"")))"),"Argentina")</f>
        <v>Argentina</v>
      </c>
      <c r="E2393" s="485" t="str">
        <f ca="1">IFERROR(__xludf.DUMMYFUNCTION("""COMPUTED_VALUE"""),"can")</f>
        <v>can</v>
      </c>
      <c r="F2393" s="485" t="str">
        <f ca="1">IFERROR(__xludf.DUMMYFUNCTION("""COMPUTED_VALUE"""),"260grams")</f>
        <v>260grams</v>
      </c>
      <c r="G2393" s="487"/>
      <c r="H2393" s="183" t="s">
        <v>1897</v>
      </c>
      <c r="I2393" s="487"/>
      <c r="J2393" s="46" t="s">
        <v>172</v>
      </c>
      <c r="K2393" s="487"/>
      <c r="L2393" s="254">
        <v>0.19</v>
      </c>
      <c r="M2393" s="271">
        <v>2860</v>
      </c>
      <c r="N2393" s="247">
        <v>260</v>
      </c>
      <c r="O2393" s="240" t="str">
        <f ca="1">E2393</f>
        <v>can</v>
      </c>
      <c r="P2393" s="286" t="s">
        <v>519</v>
      </c>
      <c r="Q2393" s="12"/>
      <c r="R2393" s="192" t="str">
        <f>CONCATENATE(N2393,P2393)</f>
        <v>260drained weight grams</v>
      </c>
      <c r="S2393" s="198">
        <f>M2393*N2393</f>
        <v>743600</v>
      </c>
      <c r="T2393" s="199" t="str">
        <f>CONCATENATE(S2393,Q2393,P2393)</f>
        <v>743600drained weight grams</v>
      </c>
      <c r="U2393" s="200">
        <f>L2393*M2393</f>
        <v>543.4</v>
      </c>
      <c r="V2393" s="205"/>
      <c r="W2393" s="62"/>
    </row>
    <row r="2394" spans="1:23" x14ac:dyDescent="0.3">
      <c r="A2394" s="193">
        <v>932</v>
      </c>
      <c r="B2394" s="484" t="s">
        <v>196</v>
      </c>
      <c r="C2394" s="489"/>
      <c r="D2394" s="485" t="str">
        <f ca="1">IFERROR(__xludf.DUMMYFUNCTION("IF(J647="""",""n/a"",IFERROR(SPLIT(J647,""/"")))"),"Argentina")</f>
        <v>Argentina</v>
      </c>
      <c r="E2394" s="493" t="str">
        <f ca="1">IFERROR(__xludf.DUMMYFUNCTION("""COMPUTED_VALUE"""),"can")</f>
        <v>can</v>
      </c>
      <c r="F2394" s="493" t="str">
        <f ca="1">IFERROR(__xludf.DUMMYFUNCTION("""COMPUTED_VALUE"""),"260grams")</f>
        <v>260grams</v>
      </c>
      <c r="G2394" s="493" t="str">
        <f ca="1">IFERROR(__xludf.DUMMYFUNCTION("""COMPUTED_VALUE"""),"155drained weight")</f>
        <v>155drained weight</v>
      </c>
      <c r="H2394" s="183" t="s">
        <v>1895</v>
      </c>
      <c r="I2394" s="487"/>
      <c r="J2394" s="46" t="s">
        <v>197</v>
      </c>
      <c r="K2394" s="487"/>
      <c r="L2394" s="254">
        <v>49.92</v>
      </c>
      <c r="M2394" s="255">
        <v>19</v>
      </c>
      <c r="N2394" s="100">
        <v>1</v>
      </c>
      <c r="O2394" s="240" t="str">
        <f ca="1">E2394</f>
        <v>can</v>
      </c>
      <c r="P2394" s="240" t="s">
        <v>519</v>
      </c>
      <c r="Q2394" s="12"/>
      <c r="R2394" s="192" t="str">
        <f>CONCATENATE(N2394,P2394)</f>
        <v>1drained weight grams</v>
      </c>
      <c r="S2394" s="198">
        <f>M2394*N2394</f>
        <v>19</v>
      </c>
      <c r="T2394" s="199" t="str">
        <f>CONCATENATE(S2394,Q2394,P2394)</f>
        <v>19drained weight grams</v>
      </c>
      <c r="U2394" s="200">
        <f>L2394*M2394</f>
        <v>948.48</v>
      </c>
      <c r="V2394" s="12"/>
      <c r="W2394" s="12"/>
    </row>
    <row r="2395" spans="1:23" x14ac:dyDescent="0.3">
      <c r="A2395" s="193">
        <v>932</v>
      </c>
      <c r="B2395" s="480" t="s">
        <v>196</v>
      </c>
      <c r="C2395" s="315"/>
      <c r="D2395" s="316"/>
      <c r="E2395" s="315"/>
      <c r="F2395" s="315"/>
      <c r="G2395" s="315"/>
      <c r="H2395" s="194" t="s">
        <v>1368</v>
      </c>
      <c r="I2395" s="12"/>
      <c r="J2395" s="46" t="s">
        <v>910</v>
      </c>
      <c r="K2395" s="12"/>
      <c r="L2395" s="255">
        <v>51</v>
      </c>
      <c r="M2395" s="255">
        <v>7</v>
      </c>
      <c r="N2395" s="333">
        <v>260</v>
      </c>
      <c r="O2395" s="47"/>
      <c r="P2395" s="47" t="s">
        <v>39</v>
      </c>
      <c r="Q2395" s="12"/>
      <c r="R2395" s="192" t="str">
        <f>CONCATENATE(N2395,P2395)</f>
        <v>260grams</v>
      </c>
      <c r="S2395" s="198">
        <f>M2395*N2395</f>
        <v>1820</v>
      </c>
      <c r="T2395" s="199" t="str">
        <f>CONCATENATE(S2395,Q2395,P2395)</f>
        <v>1820grams</v>
      </c>
      <c r="U2395" s="200">
        <f>L2395*M2395</f>
        <v>357</v>
      </c>
      <c r="V2395" s="12"/>
      <c r="W2395" s="12"/>
    </row>
    <row r="2396" spans="1:23" x14ac:dyDescent="0.3">
      <c r="A2396" s="193">
        <v>932</v>
      </c>
      <c r="B2396" s="219" t="s">
        <v>196</v>
      </c>
      <c r="C2396" s="315"/>
      <c r="D2396" s="316"/>
      <c r="E2396" s="315"/>
      <c r="F2396" s="315"/>
      <c r="G2396" s="315"/>
      <c r="H2396" s="194" t="s">
        <v>2021</v>
      </c>
      <c r="I2396" s="12"/>
      <c r="J2396" s="219" t="s">
        <v>870</v>
      </c>
      <c r="K2396" s="12"/>
      <c r="L2396" s="399">
        <v>56.75</v>
      </c>
      <c r="M2396" s="285">
        <v>2</v>
      </c>
      <c r="N2396" s="336">
        <v>130</v>
      </c>
      <c r="O2396" s="327"/>
      <c r="P2396" s="327" t="s">
        <v>39</v>
      </c>
      <c r="Q2396" s="12"/>
      <c r="R2396" s="192" t="str">
        <f>CONCATENATE(N2396,P2396)</f>
        <v>130grams</v>
      </c>
      <c r="S2396" s="198">
        <f>M2396*N2396</f>
        <v>260</v>
      </c>
      <c r="T2396" s="199" t="str">
        <f>CONCATENATE(S2396,Q2396,P2396)</f>
        <v>260grams</v>
      </c>
      <c r="U2396" s="200">
        <f>L2396*M2396</f>
        <v>113.5</v>
      </c>
      <c r="V2396" s="12"/>
      <c r="W2396" s="12"/>
    </row>
    <row r="2397" spans="1:23" x14ac:dyDescent="0.3">
      <c r="A2397" s="193">
        <v>933</v>
      </c>
      <c r="B2397" s="194" t="s">
        <v>291</v>
      </c>
      <c r="C2397" s="487"/>
      <c r="D2397" s="485" t="str">
        <f ca="1">IFERROR(__xludf.DUMMYFUNCTION("IF(J648="""",""n/a"",IFERROR(SPLIT(J648,""/"")))"),"Ticman")</f>
        <v>Ticman</v>
      </c>
      <c r="E2397" s="485" t="str">
        <f ca="1">IFERROR(__xludf.DUMMYFUNCTION("""COMPUTED_VALUE"""),"gallon")</f>
        <v>gallon</v>
      </c>
      <c r="F2397" s="485" t="str">
        <f ca="1">IFERROR(__xludf.DUMMYFUNCTION("""COMPUTED_VALUE"""),"3500ml")</f>
        <v>3500ml</v>
      </c>
      <c r="G2397" s="487"/>
      <c r="H2397" s="183" t="s">
        <v>1897</v>
      </c>
      <c r="I2397" s="487"/>
      <c r="J2397" s="46" t="s">
        <v>239</v>
      </c>
      <c r="K2397" s="487"/>
      <c r="L2397" s="271">
        <v>70</v>
      </c>
      <c r="M2397" s="271">
        <v>15</v>
      </c>
      <c r="N2397" s="247">
        <v>1</v>
      </c>
      <c r="O2397" s="240" t="str">
        <f ca="1">E2397</f>
        <v>gallon</v>
      </c>
      <c r="P2397" s="240" t="s">
        <v>32</v>
      </c>
      <c r="Q2397" s="12"/>
      <c r="R2397" s="192" t="str">
        <f>CONCATENATE(N2397,P2397)</f>
        <v>1ml</v>
      </c>
      <c r="S2397" s="198">
        <f>M2397*N2397</f>
        <v>15</v>
      </c>
      <c r="T2397" s="199" t="str">
        <f>CONCATENATE(S2397,Q2397,P2397)</f>
        <v>15ml</v>
      </c>
      <c r="U2397" s="200">
        <f>L2397*M2397</f>
        <v>1050</v>
      </c>
      <c r="V2397" s="62"/>
      <c r="W2397" s="12"/>
    </row>
    <row r="2398" spans="1:23" x14ac:dyDescent="0.3">
      <c r="A2398" s="193">
        <v>933</v>
      </c>
      <c r="B2398" s="194" t="s">
        <v>291</v>
      </c>
      <c r="C2398" s="487"/>
      <c r="D2398" s="485" t="str">
        <f ca="1">IFERROR(__xludf.DUMMYFUNCTION("IF(J649="""",""n/a"",IFERROR(SPLIT(J649,""/"")))"),"Ticman")</f>
        <v>Ticman</v>
      </c>
      <c r="E2398" s="485" t="str">
        <f ca="1">IFERROR(__xludf.DUMMYFUNCTION("""COMPUTED_VALUE"""),"gallon")</f>
        <v>gallon</v>
      </c>
      <c r="F2398" s="485" t="str">
        <f ca="1">IFERROR(__xludf.DUMMYFUNCTION("""COMPUTED_VALUE"""),"3500ml")</f>
        <v>3500ml</v>
      </c>
      <c r="G2398" s="487"/>
      <c r="H2398" s="183" t="s">
        <v>1895</v>
      </c>
      <c r="I2398" s="487"/>
      <c r="J2398" s="46" t="s">
        <v>239</v>
      </c>
      <c r="K2398" s="487"/>
      <c r="L2398" s="254">
        <v>70</v>
      </c>
      <c r="M2398" s="255">
        <v>30</v>
      </c>
      <c r="N2398" s="100">
        <v>1</v>
      </c>
      <c r="O2398" s="240" t="str">
        <f ca="1">E2398</f>
        <v>gallon</v>
      </c>
      <c r="P2398" s="240" t="s">
        <v>200</v>
      </c>
      <c r="Q2398" s="12"/>
      <c r="R2398" s="192" t="str">
        <f>CONCATENATE(N2398,P2398)</f>
        <v>1gal</v>
      </c>
      <c r="S2398" s="198">
        <f>M2398*N2398</f>
        <v>30</v>
      </c>
      <c r="T2398" s="199" t="str">
        <f>CONCATENATE(S2398,Q2398,P2398)</f>
        <v>30gal</v>
      </c>
      <c r="U2398" s="200">
        <f>L2398*M2398</f>
        <v>2100</v>
      </c>
      <c r="V2398" s="12"/>
      <c r="W2398" s="12"/>
    </row>
    <row r="2399" spans="1:23" x14ac:dyDescent="0.3">
      <c r="A2399" s="193">
        <v>933</v>
      </c>
      <c r="B2399" s="194" t="s">
        <v>291</v>
      </c>
      <c r="C2399" s="487"/>
      <c r="D2399" s="485" t="str">
        <f ca="1">IFERROR(__xludf.DUMMYFUNCTION("IF(J650="""",""n/a"",IFERROR(SPLIT(J650,""/"")))"),"n/a")</f>
        <v>n/a</v>
      </c>
      <c r="E2399" s="487"/>
      <c r="F2399" s="487"/>
      <c r="G2399" s="487"/>
      <c r="H2399" s="206" t="s">
        <v>1898</v>
      </c>
      <c r="I2399" s="487"/>
      <c r="J2399" s="170"/>
      <c r="K2399" s="487"/>
      <c r="L2399" s="255">
        <v>70</v>
      </c>
      <c r="M2399" s="389">
        <v>5</v>
      </c>
      <c r="N2399" s="282">
        <v>1</v>
      </c>
      <c r="O2399" s="237">
        <f>E2399</f>
        <v>0</v>
      </c>
      <c r="P2399" s="240" t="s">
        <v>200</v>
      </c>
      <c r="Q2399" s="12"/>
      <c r="R2399" s="192" t="str">
        <f>CONCATENATE(N2399,P2399)</f>
        <v>1gal</v>
      </c>
      <c r="S2399" s="198">
        <f>M2399*N2399</f>
        <v>5</v>
      </c>
      <c r="T2399" s="199" t="str">
        <f>CONCATENATE(S2399,Q2399,P2399)</f>
        <v>5gal</v>
      </c>
      <c r="U2399" s="200">
        <f>L2399*M2399</f>
        <v>350</v>
      </c>
      <c r="V2399" s="12"/>
      <c r="W2399" s="12"/>
    </row>
    <row r="2400" spans="1:23" x14ac:dyDescent="0.3">
      <c r="A2400" s="193">
        <v>933</v>
      </c>
      <c r="B2400" s="244" t="s">
        <v>291</v>
      </c>
      <c r="C2400" s="487"/>
      <c r="D2400" s="485" t="str">
        <f ca="1">IFERROR(__xludf.DUMMYFUNCTION("IF(J651="""",""n/a"",IFERROR(SPLIT(J651,""/"")))"),"n/a")</f>
        <v>n/a</v>
      </c>
      <c r="E2400" s="487"/>
      <c r="F2400" s="487"/>
      <c r="G2400" s="487"/>
      <c r="H2400" s="206" t="s">
        <v>1898</v>
      </c>
      <c r="I2400" s="487"/>
      <c r="J2400" s="239"/>
      <c r="K2400" s="487"/>
      <c r="L2400" s="255">
        <v>0.19</v>
      </c>
      <c r="M2400" s="389">
        <v>1000</v>
      </c>
      <c r="N2400" s="505">
        <v>1800</v>
      </c>
      <c r="O2400" s="237">
        <f>E2400</f>
        <v>0</v>
      </c>
      <c r="P2400" s="240" t="s">
        <v>39</v>
      </c>
      <c r="Q2400" s="12"/>
      <c r="R2400" s="192" t="str">
        <f>CONCATENATE(N2400,P2400)</f>
        <v>1800grams</v>
      </c>
      <c r="S2400" s="198">
        <f>M2400*N2400</f>
        <v>1800000</v>
      </c>
      <c r="T2400" s="199" t="str">
        <f>CONCATENATE(S2400,Q2400,P2400)</f>
        <v>1800000grams</v>
      </c>
      <c r="U2400" s="200">
        <f>L2400*M2400</f>
        <v>190</v>
      </c>
      <c r="V2400" s="12"/>
      <c r="W2400" s="12"/>
    </row>
    <row r="2401" spans="1:23" x14ac:dyDescent="0.3">
      <c r="A2401" s="193">
        <v>933</v>
      </c>
      <c r="B2401" s="46" t="s">
        <v>291</v>
      </c>
      <c r="C2401" s="315"/>
      <c r="D2401" s="316"/>
      <c r="E2401" s="315"/>
      <c r="F2401" s="315"/>
      <c r="G2401" s="315"/>
      <c r="H2401" s="194" t="s">
        <v>29</v>
      </c>
      <c r="I2401" s="12"/>
      <c r="J2401" s="46" t="s">
        <v>1069</v>
      </c>
      <c r="K2401" s="12"/>
      <c r="L2401" s="276">
        <v>70</v>
      </c>
      <c r="M2401" s="255">
        <v>4</v>
      </c>
      <c r="N2401" s="333">
        <v>3500</v>
      </c>
      <c r="O2401" s="47"/>
      <c r="P2401" s="47" t="s">
        <v>32</v>
      </c>
      <c r="Q2401" s="12"/>
      <c r="R2401" s="192" t="str">
        <f>CONCATENATE(N2401,P2401)</f>
        <v>3500ml</v>
      </c>
      <c r="S2401" s="198">
        <f>M2401*N2401</f>
        <v>14000</v>
      </c>
      <c r="T2401" s="199" t="str">
        <f>CONCATENATE(S2401,Q2401,P2401)</f>
        <v>14000ml</v>
      </c>
      <c r="U2401" s="200">
        <f>L2401*M2401</f>
        <v>280</v>
      </c>
      <c r="V2401" s="12"/>
      <c r="W2401" s="12"/>
    </row>
    <row r="2402" spans="1:23" x14ac:dyDescent="0.3">
      <c r="A2402" s="193">
        <v>933</v>
      </c>
      <c r="B2402" s="46" t="s">
        <v>291</v>
      </c>
      <c r="C2402" s="315"/>
      <c r="D2402" s="316"/>
      <c r="E2402" s="315"/>
      <c r="F2402" s="315"/>
      <c r="G2402" s="315"/>
      <c r="H2402" s="194" t="s">
        <v>2024</v>
      </c>
      <c r="I2402" s="12"/>
      <c r="J2402" s="46" t="s">
        <v>1069</v>
      </c>
      <c r="K2402" s="12"/>
      <c r="L2402" s="255">
        <v>70</v>
      </c>
      <c r="M2402" s="255">
        <v>10</v>
      </c>
      <c r="N2402" s="333">
        <v>3500</v>
      </c>
      <c r="O2402" s="47"/>
      <c r="P2402" s="47" t="s">
        <v>32</v>
      </c>
      <c r="Q2402" s="12"/>
      <c r="R2402" s="192" t="str">
        <f>CONCATENATE(N2402,P2402)</f>
        <v>3500ml</v>
      </c>
      <c r="S2402" s="198">
        <f>M2402*N2402</f>
        <v>35000</v>
      </c>
      <c r="T2402" s="199" t="str">
        <f>CONCATENATE(S2402,Q2402,P2402)</f>
        <v>35000ml</v>
      </c>
      <c r="U2402" s="200">
        <f>L2402*M2402</f>
        <v>700</v>
      </c>
      <c r="V2402" s="12"/>
      <c r="W2402" s="12"/>
    </row>
    <row r="2403" spans="1:23" x14ac:dyDescent="0.3">
      <c r="A2403" s="193">
        <v>933</v>
      </c>
      <c r="B2403" s="46" t="s">
        <v>291</v>
      </c>
      <c r="C2403" s="315"/>
      <c r="D2403" s="316"/>
      <c r="E2403" s="315"/>
      <c r="F2403" s="315"/>
      <c r="G2403" s="315"/>
      <c r="H2403" s="194" t="s">
        <v>2025</v>
      </c>
      <c r="I2403" s="12"/>
      <c r="J2403" s="46" t="s">
        <v>1069</v>
      </c>
      <c r="K2403" s="12"/>
      <c r="L2403" s="255">
        <v>70</v>
      </c>
      <c r="M2403" s="255">
        <v>1</v>
      </c>
      <c r="N2403" s="333">
        <v>3</v>
      </c>
      <c r="O2403" s="47"/>
      <c r="P2403" s="47" t="s">
        <v>773</v>
      </c>
      <c r="Q2403" s="12"/>
      <c r="R2403" s="192" t="str">
        <f>CONCATENATE(N2403,P2403)</f>
        <v>3liters</v>
      </c>
      <c r="S2403" s="198">
        <f>M2403*N2403</f>
        <v>3</v>
      </c>
      <c r="T2403" s="199" t="str">
        <f>CONCATENATE(S2403,Q2403,P2403)</f>
        <v>3liters</v>
      </c>
      <c r="U2403" s="200">
        <f>L2403*M2403</f>
        <v>70</v>
      </c>
      <c r="V2403" s="12"/>
      <c r="W2403" s="12"/>
    </row>
    <row r="2404" spans="1:23" x14ac:dyDescent="0.3">
      <c r="A2404" s="193">
        <v>933</v>
      </c>
      <c r="B2404" s="96" t="s">
        <v>291</v>
      </c>
      <c r="C2404" s="315"/>
      <c r="D2404" s="316"/>
      <c r="E2404" s="315"/>
      <c r="F2404" s="315"/>
      <c r="G2404" s="315"/>
      <c r="H2404" s="194" t="s">
        <v>2026</v>
      </c>
      <c r="I2404" s="12"/>
      <c r="J2404" s="96" t="s">
        <v>1069</v>
      </c>
      <c r="K2404" s="12"/>
      <c r="L2404" s="255">
        <v>70</v>
      </c>
      <c r="M2404" s="255">
        <v>1</v>
      </c>
      <c r="N2404" s="333">
        <v>3500</v>
      </c>
      <c r="O2404" s="96"/>
      <c r="P2404" s="96" t="s">
        <v>32</v>
      </c>
      <c r="Q2404" s="12"/>
      <c r="R2404" s="192" t="str">
        <f>CONCATENATE(N2404,P2404)</f>
        <v>3500ml</v>
      </c>
      <c r="S2404" s="198">
        <f>M2404*N2404</f>
        <v>3500</v>
      </c>
      <c r="T2404" s="199" t="str">
        <f>CONCATENATE(S2404,Q2404,P2404)</f>
        <v>3500ml</v>
      </c>
      <c r="U2404" s="200">
        <f>L2404*M2404</f>
        <v>70</v>
      </c>
      <c r="V2404" s="12"/>
      <c r="W2404" s="12"/>
    </row>
    <row r="2405" spans="1:23" x14ac:dyDescent="0.3">
      <c r="A2405" s="193">
        <v>933</v>
      </c>
      <c r="B2405" s="96" t="s">
        <v>291</v>
      </c>
      <c r="C2405" s="315"/>
      <c r="D2405" s="316"/>
      <c r="E2405" s="315"/>
      <c r="F2405" s="315"/>
      <c r="G2405" s="315"/>
      <c r="H2405" s="194" t="s">
        <v>1368</v>
      </c>
      <c r="I2405" s="12"/>
      <c r="J2405" s="340" t="s">
        <v>1852</v>
      </c>
      <c r="K2405" s="12"/>
      <c r="L2405" s="255">
        <v>155.69999999999999</v>
      </c>
      <c r="M2405" s="255">
        <v>8</v>
      </c>
      <c r="N2405" s="333">
        <v>1</v>
      </c>
      <c r="O2405" s="96"/>
      <c r="P2405" s="96" t="s">
        <v>200</v>
      </c>
      <c r="Q2405" s="12"/>
      <c r="R2405" s="192" t="str">
        <f>CONCATENATE(N2405,P2405)</f>
        <v>1gal</v>
      </c>
      <c r="S2405" s="198">
        <f>M2405*N2405</f>
        <v>8</v>
      </c>
      <c r="T2405" s="199" t="str">
        <f>CONCATENATE(S2405,Q2405,P2405)</f>
        <v>8gal</v>
      </c>
      <c r="U2405" s="200">
        <f>L2405*M2405</f>
        <v>1245.5999999999999</v>
      </c>
      <c r="V2405" s="12"/>
      <c r="W2405" s="12"/>
    </row>
    <row r="2406" spans="1:23" x14ac:dyDescent="0.3">
      <c r="A2406" s="193">
        <v>933</v>
      </c>
      <c r="B2406" s="47" t="s">
        <v>291</v>
      </c>
      <c r="C2406" s="315"/>
      <c r="D2406" s="316"/>
      <c r="E2406" s="315"/>
      <c r="F2406" s="315"/>
      <c r="G2406" s="315"/>
      <c r="H2406" s="194" t="s">
        <v>2023</v>
      </c>
      <c r="I2406" s="12"/>
      <c r="J2406" s="47" t="s">
        <v>1069</v>
      </c>
      <c r="K2406" s="12"/>
      <c r="L2406" s="276">
        <v>70</v>
      </c>
      <c r="M2406" s="255">
        <v>19</v>
      </c>
      <c r="N2406" s="357">
        <v>3500</v>
      </c>
      <c r="O2406" s="47"/>
      <c r="P2406" s="47" t="s">
        <v>32</v>
      </c>
      <c r="Q2406" s="12"/>
      <c r="R2406" s="192" t="str">
        <f>CONCATENATE(N2406,P2406)</f>
        <v>3500ml</v>
      </c>
      <c r="S2406" s="198">
        <f>M2406*N2406</f>
        <v>66500</v>
      </c>
      <c r="T2406" s="199" t="str">
        <f>CONCATENATE(S2406,Q2406,P2406)</f>
        <v>66500ml</v>
      </c>
      <c r="U2406" s="200">
        <f>L2406*M2406</f>
        <v>1330</v>
      </c>
      <c r="V2406" s="12"/>
      <c r="W2406" s="12"/>
    </row>
    <row r="2407" spans="1:23" x14ac:dyDescent="0.3">
      <c r="A2407" s="193">
        <v>933</v>
      </c>
      <c r="B2407" s="46" t="s">
        <v>291</v>
      </c>
      <c r="C2407" s="315"/>
      <c r="D2407" s="316"/>
      <c r="E2407" s="315"/>
      <c r="F2407" s="315"/>
      <c r="G2407" s="315"/>
      <c r="H2407" s="194" t="s">
        <v>2022</v>
      </c>
      <c r="I2407" s="12"/>
      <c r="J2407" s="46" t="s">
        <v>1071</v>
      </c>
      <c r="K2407" s="12"/>
      <c r="L2407" s="197">
        <v>65</v>
      </c>
      <c r="M2407" s="255">
        <v>7</v>
      </c>
      <c r="N2407" s="333">
        <v>1</v>
      </c>
      <c r="O2407" s="46"/>
      <c r="P2407" s="46" t="s">
        <v>200</v>
      </c>
      <c r="Q2407" s="12"/>
      <c r="R2407" s="192" t="str">
        <f>CONCATENATE(N2407,P2407)</f>
        <v>1gal</v>
      </c>
      <c r="S2407" s="198">
        <f>M2407*N2407</f>
        <v>7</v>
      </c>
      <c r="T2407" s="199" t="str">
        <f>CONCATENATE(S2407,Q2407,P2407)</f>
        <v>7gal</v>
      </c>
      <c r="U2407" s="200">
        <f>L2407*M2407</f>
        <v>455</v>
      </c>
      <c r="V2407" s="12"/>
      <c r="W2407" s="12"/>
    </row>
    <row r="2408" spans="1:23" x14ac:dyDescent="0.3">
      <c r="A2408" s="193">
        <v>933</v>
      </c>
      <c r="B2408" s="219" t="s">
        <v>291</v>
      </c>
      <c r="C2408" s="315"/>
      <c r="D2408" s="316"/>
      <c r="E2408" s="315"/>
      <c r="F2408" s="315"/>
      <c r="G2408" s="315"/>
      <c r="H2408" s="194" t="s">
        <v>2021</v>
      </c>
      <c r="I2408" s="12"/>
      <c r="J2408" s="219" t="s">
        <v>1069</v>
      </c>
      <c r="K2408" s="12"/>
      <c r="L2408" s="216">
        <v>65</v>
      </c>
      <c r="M2408" s="285">
        <v>10</v>
      </c>
      <c r="N2408" s="502">
        <v>3500</v>
      </c>
      <c r="O2408" s="327"/>
      <c r="P2408" s="327" t="s">
        <v>32</v>
      </c>
      <c r="Q2408" s="12"/>
      <c r="R2408" s="192" t="str">
        <f>CONCATENATE(N2408,P2408)</f>
        <v>3500ml</v>
      </c>
      <c r="S2408" s="198">
        <f>M2408*N2408</f>
        <v>35000</v>
      </c>
      <c r="T2408" s="199" t="str">
        <f>CONCATENATE(S2408,Q2408,P2408)</f>
        <v>35000ml</v>
      </c>
      <c r="U2408" s="200">
        <f>L2408*M2408</f>
        <v>650</v>
      </c>
      <c r="V2408" s="12"/>
      <c r="W2408" s="12"/>
    </row>
    <row r="2409" spans="1:23" x14ac:dyDescent="0.3">
      <c r="A2409" s="193">
        <v>933</v>
      </c>
      <c r="B2409" s="219" t="s">
        <v>291</v>
      </c>
      <c r="C2409" s="315"/>
      <c r="D2409" s="316"/>
      <c r="E2409" s="315"/>
      <c r="F2409" s="315"/>
      <c r="G2409" s="315"/>
      <c r="H2409" s="194" t="s">
        <v>2021</v>
      </c>
      <c r="I2409" s="12"/>
      <c r="J2409" s="219" t="s">
        <v>1853</v>
      </c>
      <c r="K2409" s="12"/>
      <c r="L2409" s="216">
        <v>41.5</v>
      </c>
      <c r="M2409" s="285">
        <v>1</v>
      </c>
      <c r="N2409" s="336">
        <v>1</v>
      </c>
      <c r="O2409" s="219"/>
      <c r="P2409" s="219" t="s">
        <v>773</v>
      </c>
      <c r="Q2409" s="12"/>
      <c r="R2409" s="192" t="str">
        <f>CONCATENATE(N2409,P2409)</f>
        <v>1liters</v>
      </c>
      <c r="S2409" s="198">
        <f>M2409*N2409</f>
        <v>1</v>
      </c>
      <c r="T2409" s="199" t="str">
        <f>CONCATENATE(S2409,Q2409,P2409)</f>
        <v>1liters</v>
      </c>
      <c r="U2409" s="200">
        <f>L2409*M2409</f>
        <v>41.5</v>
      </c>
      <c r="V2409" s="12"/>
      <c r="W2409" s="12"/>
    </row>
    <row r="2410" spans="1:23" x14ac:dyDescent="0.3">
      <c r="A2410" s="193">
        <v>933</v>
      </c>
      <c r="B2410" s="219" t="s">
        <v>291</v>
      </c>
      <c r="C2410" s="315"/>
      <c r="D2410" s="316"/>
      <c r="E2410" s="315"/>
      <c r="F2410" s="315"/>
      <c r="G2410" s="315"/>
      <c r="H2410" s="194" t="s">
        <v>2021</v>
      </c>
      <c r="I2410" s="12"/>
      <c r="J2410" s="219" t="s">
        <v>1852</v>
      </c>
      <c r="K2410" s="12"/>
      <c r="L2410" s="216">
        <v>41.5</v>
      </c>
      <c r="M2410" s="285">
        <v>1</v>
      </c>
      <c r="N2410" s="336">
        <v>1</v>
      </c>
      <c r="O2410" s="219"/>
      <c r="P2410" s="219" t="s">
        <v>773</v>
      </c>
      <c r="Q2410" s="12"/>
      <c r="R2410" s="192" t="str">
        <f>CONCATENATE(N2410,P2410)</f>
        <v>1liters</v>
      </c>
      <c r="S2410" s="198">
        <f>M2410*N2410</f>
        <v>1</v>
      </c>
      <c r="T2410" s="199" t="str">
        <f>CONCATENATE(S2410,Q2410,P2410)</f>
        <v>1liters</v>
      </c>
      <c r="U2410" s="200">
        <f>L2410*M2410</f>
        <v>41.5</v>
      </c>
      <c r="V2410" s="12"/>
      <c r="W2410" s="12"/>
    </row>
    <row r="2411" spans="1:23" x14ac:dyDescent="0.3">
      <c r="A2411" s="193">
        <v>933</v>
      </c>
      <c r="B2411" s="46" t="s">
        <v>291</v>
      </c>
      <c r="C2411" s="315"/>
      <c r="D2411" s="316"/>
      <c r="E2411" s="315"/>
      <c r="F2411" s="315"/>
      <c r="G2411" s="315"/>
      <c r="H2411" s="400" t="s">
        <v>2027</v>
      </c>
      <c r="I2411" s="12"/>
      <c r="J2411" s="46" t="s">
        <v>1929</v>
      </c>
      <c r="K2411" s="12"/>
      <c r="L2411" s="195">
        <v>70</v>
      </c>
      <c r="M2411" s="255">
        <v>2</v>
      </c>
      <c r="N2411" s="366">
        <v>1</v>
      </c>
      <c r="O2411" s="61"/>
      <c r="P2411" s="61" t="s">
        <v>1948</v>
      </c>
      <c r="Q2411" s="12"/>
      <c r="R2411" s="192" t="str">
        <f>CONCATENATE(N2411,P2411)</f>
        <v>1bottle</v>
      </c>
      <c r="S2411" s="198">
        <f>M2411*N2411</f>
        <v>2</v>
      </c>
      <c r="T2411" s="199" t="str">
        <f>CONCATENATE(S2411,Q2411,P2411)</f>
        <v>2bottle</v>
      </c>
      <c r="U2411" s="200">
        <f>L2411*M2411</f>
        <v>140</v>
      </c>
      <c r="V2411" s="12"/>
      <c r="W2411" s="12"/>
    </row>
    <row r="2412" spans="1:23" x14ac:dyDescent="0.3">
      <c r="A2412" s="193">
        <v>934</v>
      </c>
      <c r="B2412" s="46" t="s">
        <v>1854</v>
      </c>
      <c r="C2412" s="315"/>
      <c r="D2412" s="316"/>
      <c r="E2412" s="315"/>
      <c r="F2412" s="315"/>
      <c r="G2412" s="315"/>
      <c r="H2412" s="194" t="s">
        <v>2020</v>
      </c>
      <c r="I2412" s="12"/>
      <c r="J2412" s="46" t="s">
        <v>1124</v>
      </c>
      <c r="K2412" s="12"/>
      <c r="L2412" s="197">
        <v>31.55</v>
      </c>
      <c r="M2412" s="255">
        <v>15</v>
      </c>
      <c r="N2412" s="333">
        <v>50</v>
      </c>
      <c r="O2412" s="46"/>
      <c r="P2412" s="46" t="s">
        <v>39</v>
      </c>
      <c r="Q2412" s="12"/>
      <c r="R2412" s="192" t="str">
        <f>CONCATENATE(N2412,P2412)</f>
        <v>50grams</v>
      </c>
      <c r="S2412" s="198">
        <f>M2412*N2412</f>
        <v>750</v>
      </c>
      <c r="T2412" s="199" t="str">
        <f>CONCATENATE(S2412,Q2412,P2412)</f>
        <v>750grams</v>
      </c>
      <c r="U2412" s="200">
        <f>L2412*M2412</f>
        <v>473.25</v>
      </c>
      <c r="V2412" s="12"/>
      <c r="W2412" s="12"/>
    </row>
    <row r="2413" spans="1:23" x14ac:dyDescent="0.3">
      <c r="A2413" s="193">
        <v>935</v>
      </c>
      <c r="B2413" s="170" t="s">
        <v>1855</v>
      </c>
      <c r="C2413" s="315"/>
      <c r="D2413" s="316"/>
      <c r="E2413" s="315"/>
      <c r="F2413" s="315"/>
      <c r="G2413" s="315"/>
      <c r="H2413" s="194" t="s">
        <v>2026</v>
      </c>
      <c r="I2413" s="12"/>
      <c r="J2413" s="46" t="s">
        <v>1856</v>
      </c>
      <c r="K2413" s="12"/>
      <c r="L2413" s="197">
        <v>10.8</v>
      </c>
      <c r="M2413" s="255">
        <v>24</v>
      </c>
      <c r="N2413" s="333">
        <v>48</v>
      </c>
      <c r="O2413" s="46"/>
      <c r="P2413" s="46" t="s">
        <v>39</v>
      </c>
      <c r="Q2413" s="12"/>
      <c r="R2413" s="192" t="str">
        <f>CONCATENATE(N2413,P2413)</f>
        <v>48grams</v>
      </c>
      <c r="S2413" s="198">
        <f>M2413*N2413</f>
        <v>1152</v>
      </c>
      <c r="T2413" s="199" t="str">
        <f>CONCATENATE(S2413,Q2413,P2413)</f>
        <v>1152grams</v>
      </c>
      <c r="U2413" s="200">
        <f>L2413*M2413</f>
        <v>259.20000000000005</v>
      </c>
      <c r="V2413" s="12"/>
      <c r="W2413" s="12"/>
    </row>
    <row r="2414" spans="1:23" x14ac:dyDescent="0.3">
      <c r="A2414" s="193">
        <v>935</v>
      </c>
      <c r="B2414" s="96" t="s">
        <v>1855</v>
      </c>
      <c r="C2414" s="315"/>
      <c r="D2414" s="316"/>
      <c r="E2414" s="315"/>
      <c r="F2414" s="315"/>
      <c r="G2414" s="315"/>
      <c r="H2414" s="194" t="s">
        <v>2026</v>
      </c>
      <c r="I2414" s="12"/>
      <c r="J2414" s="96" t="s">
        <v>1857</v>
      </c>
      <c r="K2414" s="12"/>
      <c r="L2414" s="255">
        <v>15.88</v>
      </c>
      <c r="M2414" s="255">
        <v>24</v>
      </c>
      <c r="N2414" s="333">
        <v>48</v>
      </c>
      <c r="O2414" s="46"/>
      <c r="P2414" s="46" t="s">
        <v>39</v>
      </c>
      <c r="Q2414" s="12"/>
      <c r="R2414" s="192" t="str">
        <f>CONCATENATE(N2414,P2414)</f>
        <v>48grams</v>
      </c>
      <c r="S2414" s="198">
        <f>M2414*N2414</f>
        <v>1152</v>
      </c>
      <c r="T2414" s="199" t="str">
        <f>CONCATENATE(S2414,Q2414,P2414)</f>
        <v>1152grams</v>
      </c>
      <c r="U2414" s="200">
        <f>L2414*M2414</f>
        <v>381.12</v>
      </c>
      <c r="V2414" s="12"/>
      <c r="W2414" s="12"/>
    </row>
    <row r="2415" spans="1:23" x14ac:dyDescent="0.3">
      <c r="A2415" s="193">
        <v>935</v>
      </c>
      <c r="B2415" s="46" t="s">
        <v>1855</v>
      </c>
      <c r="C2415" s="315"/>
      <c r="D2415" s="316"/>
      <c r="E2415" s="315"/>
      <c r="F2415" s="315"/>
      <c r="G2415" s="315"/>
      <c r="H2415" s="194" t="s">
        <v>2026</v>
      </c>
      <c r="I2415" s="12"/>
      <c r="J2415" s="46" t="s">
        <v>1858</v>
      </c>
      <c r="K2415" s="12"/>
      <c r="L2415" s="197">
        <v>6.5</v>
      </c>
      <c r="M2415" s="197">
        <v>32</v>
      </c>
      <c r="N2415" s="290">
        <v>20</v>
      </c>
      <c r="O2415" s="46"/>
      <c r="P2415" s="46" t="s">
        <v>39</v>
      </c>
      <c r="Q2415" s="12"/>
      <c r="R2415" s="192" t="str">
        <f>CONCATENATE(N2415,P2415)</f>
        <v>20grams</v>
      </c>
      <c r="S2415" s="198">
        <f>M2415*N2415</f>
        <v>640</v>
      </c>
      <c r="T2415" s="199" t="str">
        <f>CONCATENATE(S2415,Q2415,P2415)</f>
        <v>640grams</v>
      </c>
      <c r="U2415" s="200">
        <f>L2415*M2415</f>
        <v>208</v>
      </c>
      <c r="V2415" s="12"/>
      <c r="W2415" s="12"/>
    </row>
    <row r="2416" spans="1:23" x14ac:dyDescent="0.3">
      <c r="A2416" s="193">
        <v>935</v>
      </c>
      <c r="B2416" s="46" t="s">
        <v>1855</v>
      </c>
      <c r="C2416" s="315"/>
      <c r="D2416" s="316"/>
      <c r="E2416" s="315"/>
      <c r="F2416" s="315"/>
      <c r="G2416" s="315"/>
      <c r="H2416" s="194" t="s">
        <v>2026</v>
      </c>
      <c r="I2416" s="12"/>
      <c r="J2416" s="46" t="s">
        <v>1859</v>
      </c>
      <c r="K2416" s="12"/>
      <c r="L2416" s="197">
        <v>13</v>
      </c>
      <c r="M2416" s="197">
        <v>24</v>
      </c>
      <c r="N2416" s="290">
        <v>55</v>
      </c>
      <c r="O2416" s="46"/>
      <c r="P2416" s="46" t="s">
        <v>39</v>
      </c>
      <c r="Q2416" s="12"/>
      <c r="R2416" s="192" t="str">
        <f>CONCATENATE(N2416,P2416)</f>
        <v>55grams</v>
      </c>
      <c r="S2416" s="198">
        <f>M2416*N2416</f>
        <v>1320</v>
      </c>
      <c r="T2416" s="199" t="str">
        <f>CONCATENATE(S2416,Q2416,P2416)</f>
        <v>1320grams</v>
      </c>
      <c r="U2416" s="200">
        <f>L2416*M2416</f>
        <v>312</v>
      </c>
      <c r="V2416" s="12"/>
      <c r="W2416" s="12"/>
    </row>
    <row r="2417" spans="1:23" x14ac:dyDescent="0.3">
      <c r="A2417" s="193">
        <v>936</v>
      </c>
      <c r="B2417" s="194" t="s">
        <v>446</v>
      </c>
      <c r="C2417" s="487"/>
      <c r="D2417" s="485" t="str">
        <f ca="1">IFERROR(__xludf.DUMMYFUNCTION("IF(J652="""",""n/a"",IFERROR(SPLIT(J652,""/"")))"),"Rebisco (10pcsxgrams)")</f>
        <v>Rebisco (10pcsxgrams)</v>
      </c>
      <c r="E2417" s="487"/>
      <c r="F2417" s="487"/>
      <c r="G2417" s="487"/>
      <c r="H2417" s="183" t="s">
        <v>1895</v>
      </c>
      <c r="I2417" s="487"/>
      <c r="J2417" s="46" t="s">
        <v>447</v>
      </c>
      <c r="K2417" s="487"/>
      <c r="L2417" s="195">
        <v>7.03</v>
      </c>
      <c r="M2417" s="197">
        <v>240</v>
      </c>
      <c r="N2417" s="61">
        <v>1</v>
      </c>
      <c r="O2417" s="170">
        <f>E2417</f>
        <v>0</v>
      </c>
      <c r="P2417" s="61" t="s">
        <v>92</v>
      </c>
      <c r="Q2417" s="12"/>
      <c r="R2417" s="192" t="str">
        <f>CONCATENATE(N2417,P2417)</f>
        <v>1pieces</v>
      </c>
      <c r="S2417" s="198">
        <f>M2417*N2417</f>
        <v>240</v>
      </c>
      <c r="T2417" s="199" t="str">
        <f>CONCATENATE(S2417,Q2417,P2417)</f>
        <v>240pieces</v>
      </c>
      <c r="U2417" s="200">
        <f>L2417*M2417</f>
        <v>1687.2</v>
      </c>
      <c r="V2417" s="12"/>
      <c r="W2417" s="12"/>
    </row>
    <row r="2418" spans="1:23" x14ac:dyDescent="0.3">
      <c r="A2418" s="193">
        <v>937</v>
      </c>
      <c r="B2418" s="194" t="s">
        <v>317</v>
      </c>
      <c r="C2418" s="487"/>
      <c r="D2418" s="485" t="str">
        <f ca="1">IFERROR(__xludf.DUMMYFUNCTION("IF(J653="""",""n/a"",IFERROR(SPLIT(J653,""/"")))"),"n/a")</f>
        <v>n/a</v>
      </c>
      <c r="E2418" s="487"/>
      <c r="F2418" s="487"/>
      <c r="G2418" s="487"/>
      <c r="H2418" s="183" t="s">
        <v>1897</v>
      </c>
      <c r="I2418" s="487"/>
      <c r="J2418" s="170"/>
      <c r="K2418" s="487"/>
      <c r="L2418" s="202">
        <v>0.72</v>
      </c>
      <c r="M2418" s="202">
        <v>1000</v>
      </c>
      <c r="N2418" s="203">
        <v>1000</v>
      </c>
      <c r="O2418" s="170">
        <f>E2418</f>
        <v>0</v>
      </c>
      <c r="P2418" s="61" t="s">
        <v>39</v>
      </c>
      <c r="Q2418" s="12"/>
      <c r="R2418" s="192" t="str">
        <f>CONCATENATE(N2418,P2418)</f>
        <v>1000grams</v>
      </c>
      <c r="S2418" s="198">
        <f>M2418*N2418</f>
        <v>1000000</v>
      </c>
      <c r="T2418" s="199" t="str">
        <f>CONCATENATE(S2418,Q2418,P2418)</f>
        <v>1000000grams</v>
      </c>
      <c r="U2418" s="200">
        <f>L2418*M2418</f>
        <v>720</v>
      </c>
      <c r="V2418" s="12"/>
      <c r="W2418" s="12"/>
    </row>
    <row r="2419" spans="1:23" x14ac:dyDescent="0.3">
      <c r="A2419" s="193">
        <v>937</v>
      </c>
      <c r="B2419" s="194" t="s">
        <v>317</v>
      </c>
      <c r="C2419" s="487"/>
      <c r="D2419" s="485" t="str">
        <f ca="1">IFERROR(__xludf.DUMMYFUNCTION("IF(J654="""",""n/a"",IFERROR(SPLIT(J654,""/"")))"),"n/a")</f>
        <v>n/a</v>
      </c>
      <c r="E2419" s="487"/>
      <c r="F2419" s="487"/>
      <c r="G2419" s="487"/>
      <c r="H2419" s="183" t="s">
        <v>1897</v>
      </c>
      <c r="I2419" s="487"/>
      <c r="J2419" s="170"/>
      <c r="K2419" s="487"/>
      <c r="L2419" s="202">
        <v>1.88</v>
      </c>
      <c r="M2419" s="217">
        <v>200</v>
      </c>
      <c r="N2419" s="203">
        <v>100</v>
      </c>
      <c r="O2419" s="170">
        <f>E2419</f>
        <v>0</v>
      </c>
      <c r="P2419" s="61" t="s">
        <v>39</v>
      </c>
      <c r="Q2419" s="12"/>
      <c r="R2419" s="192" t="str">
        <f>CONCATENATE(N2419,P2419)</f>
        <v>100grams</v>
      </c>
      <c r="S2419" s="198">
        <f>M2419*N2419</f>
        <v>20000</v>
      </c>
      <c r="T2419" s="199" t="str">
        <f>CONCATENATE(S2419,Q2419,P2419)</f>
        <v>20000grams</v>
      </c>
      <c r="U2419" s="200">
        <f>L2419*M2419</f>
        <v>376</v>
      </c>
      <c r="V2419" s="12"/>
      <c r="W2419" s="12"/>
    </row>
    <row r="2420" spans="1:23" x14ac:dyDescent="0.3">
      <c r="A2420" s="193">
        <v>937</v>
      </c>
      <c r="B2420" s="244" t="s">
        <v>317</v>
      </c>
      <c r="C2420" s="487"/>
      <c r="D2420" s="485" t="str">
        <f ca="1">IFERROR(__xludf.DUMMYFUNCTION("IF(J655="""",""n/a"",IFERROR(SPLIT(J655,""/"")))"),"grams")</f>
        <v>grams</v>
      </c>
      <c r="E2420" s="487"/>
      <c r="F2420" s="487"/>
      <c r="G2420" s="487"/>
      <c r="H2420" s="183" t="s">
        <v>1895</v>
      </c>
      <c r="I2420" s="487"/>
      <c r="J2420" s="96" t="s">
        <v>39</v>
      </c>
      <c r="K2420" s="487"/>
      <c r="L2420" s="254">
        <v>188</v>
      </c>
      <c r="M2420" s="255">
        <v>2</v>
      </c>
      <c r="N2420" s="61">
        <v>1</v>
      </c>
      <c r="O2420" s="170">
        <f>E2420</f>
        <v>0</v>
      </c>
      <c r="P2420" s="61" t="s">
        <v>39</v>
      </c>
      <c r="Q2420" s="12"/>
      <c r="R2420" s="192" t="str">
        <f>CONCATENATE(N2420,P2420)</f>
        <v>1grams</v>
      </c>
      <c r="S2420" s="198">
        <f>M2420*N2420</f>
        <v>2</v>
      </c>
      <c r="T2420" s="199" t="str">
        <f>CONCATENATE(S2420,Q2420,P2420)</f>
        <v>2grams</v>
      </c>
      <c r="U2420" s="200">
        <f>L2420*M2420</f>
        <v>376</v>
      </c>
      <c r="V2420" s="12"/>
      <c r="W2420" s="12"/>
    </row>
    <row r="2421" spans="1:23" x14ac:dyDescent="0.3">
      <c r="A2421" s="193">
        <v>937</v>
      </c>
      <c r="B2421" s="244" t="s">
        <v>317</v>
      </c>
      <c r="C2421" s="487"/>
      <c r="D2421" s="485" t="str">
        <f ca="1">IFERROR(__xludf.DUMMYFUNCTION("IF(J656="""",""n/a"",IFERROR(SPLIT(J656,""/"")))"),"n/a")</f>
        <v>n/a</v>
      </c>
      <c r="E2421" s="487"/>
      <c r="F2421" s="487"/>
      <c r="G2421" s="487"/>
      <c r="H2421" s="206" t="s">
        <v>1898</v>
      </c>
      <c r="I2421" s="487"/>
      <c r="J2421" s="239"/>
      <c r="K2421" s="487"/>
      <c r="L2421" s="255">
        <v>1</v>
      </c>
      <c r="M2421" s="389">
        <v>300</v>
      </c>
      <c r="N2421" s="208">
        <v>100</v>
      </c>
      <c r="O2421" s="170">
        <f>E2421</f>
        <v>0</v>
      </c>
      <c r="P2421" s="61" t="s">
        <v>39</v>
      </c>
      <c r="Q2421" s="12"/>
      <c r="R2421" s="192" t="str">
        <f>CONCATENATE(N2421,P2421)</f>
        <v>100grams</v>
      </c>
      <c r="S2421" s="198">
        <f>M2421*N2421</f>
        <v>30000</v>
      </c>
      <c r="T2421" s="199" t="str">
        <f>CONCATENATE(S2421,Q2421,P2421)</f>
        <v>30000grams</v>
      </c>
      <c r="U2421" s="200">
        <f>L2421*M2421</f>
        <v>300</v>
      </c>
      <c r="V2421" s="12"/>
      <c r="W2421" s="12"/>
    </row>
    <row r="2422" spans="1:23" x14ac:dyDescent="0.3">
      <c r="A2422" s="193">
        <v>938</v>
      </c>
      <c r="B2422" s="340" t="s">
        <v>1860</v>
      </c>
      <c r="C2422" s="315"/>
      <c r="D2422" s="316"/>
      <c r="E2422" s="315"/>
      <c r="F2422" s="315"/>
      <c r="G2422" s="315"/>
      <c r="H2422" s="194" t="s">
        <v>2021</v>
      </c>
      <c r="I2422" s="12"/>
      <c r="J2422" s="340" t="s">
        <v>1861</v>
      </c>
      <c r="K2422" s="12"/>
      <c r="L2422" s="285">
        <v>165</v>
      </c>
      <c r="M2422" s="285">
        <v>1</v>
      </c>
      <c r="N2422" s="293">
        <v>150</v>
      </c>
      <c r="O2422" s="219"/>
      <c r="P2422" s="219" t="s">
        <v>39</v>
      </c>
      <c r="Q2422" s="12"/>
      <c r="R2422" s="192" t="str">
        <f>CONCATENATE(N2422,P2422)</f>
        <v>150grams</v>
      </c>
      <c r="S2422" s="198">
        <f>M2422*N2422</f>
        <v>150</v>
      </c>
      <c r="T2422" s="199" t="str">
        <f>CONCATENATE(S2422,Q2422,P2422)</f>
        <v>150grams</v>
      </c>
      <c r="U2422" s="200">
        <f>L2422*M2422</f>
        <v>165</v>
      </c>
      <c r="V2422" s="12"/>
      <c r="W2422" s="12"/>
    </row>
    <row r="2423" spans="1:23" x14ac:dyDescent="0.3">
      <c r="A2423" s="193">
        <v>939</v>
      </c>
      <c r="B2423" s="340" t="s">
        <v>1862</v>
      </c>
      <c r="C2423" s="315"/>
      <c r="D2423" s="316"/>
      <c r="E2423" s="315"/>
      <c r="F2423" s="315"/>
      <c r="G2423" s="315"/>
      <c r="H2423" s="194" t="s">
        <v>2021</v>
      </c>
      <c r="I2423" s="12"/>
      <c r="J2423" s="340" t="s">
        <v>1042</v>
      </c>
      <c r="K2423" s="12"/>
      <c r="L2423" s="285">
        <v>93.6</v>
      </c>
      <c r="M2423" s="285">
        <v>1</v>
      </c>
      <c r="N2423" s="293">
        <v>304</v>
      </c>
      <c r="O2423" s="219"/>
      <c r="P2423" s="219" t="s">
        <v>39</v>
      </c>
      <c r="Q2423" s="12"/>
      <c r="R2423" s="192" t="str">
        <f>CONCATENATE(N2423,P2423)</f>
        <v>304grams</v>
      </c>
      <c r="S2423" s="198">
        <f>M2423*N2423</f>
        <v>304</v>
      </c>
      <c r="T2423" s="199" t="str">
        <f>CONCATENATE(S2423,Q2423,P2423)</f>
        <v>304grams</v>
      </c>
      <c r="U2423" s="200">
        <f>L2423*M2423</f>
        <v>93.6</v>
      </c>
      <c r="V2423" s="12"/>
      <c r="W2423" s="12"/>
    </row>
    <row r="2424" spans="1:23" x14ac:dyDescent="0.3">
      <c r="A2424" s="193">
        <v>940</v>
      </c>
      <c r="B2424" s="219" t="s">
        <v>1863</v>
      </c>
      <c r="C2424" s="315"/>
      <c r="D2424" s="316"/>
      <c r="E2424" s="315"/>
      <c r="F2424" s="315"/>
      <c r="G2424" s="315"/>
      <c r="H2424" s="194" t="s">
        <v>2021</v>
      </c>
      <c r="I2424" s="12"/>
      <c r="J2424" s="219" t="s">
        <v>1864</v>
      </c>
      <c r="K2424" s="12"/>
      <c r="L2424" s="216">
        <v>732</v>
      </c>
      <c r="M2424" s="216">
        <v>1</v>
      </c>
      <c r="N2424" s="293">
        <v>1</v>
      </c>
      <c r="O2424" s="219"/>
      <c r="P2424" s="219" t="s">
        <v>1865</v>
      </c>
      <c r="Q2424" s="12"/>
      <c r="R2424" s="192" t="str">
        <f>CONCATENATE(N2424,P2424)</f>
        <v>1tin</v>
      </c>
      <c r="S2424" s="198">
        <f>M2424*N2424</f>
        <v>1</v>
      </c>
      <c r="T2424" s="199" t="str">
        <f>CONCATENATE(S2424,Q2424,P2424)</f>
        <v>1tin</v>
      </c>
      <c r="U2424" s="200">
        <f>L2424*M2424</f>
        <v>732</v>
      </c>
      <c r="V2424" s="12"/>
      <c r="W2424" s="12"/>
    </row>
    <row r="2425" spans="1:23" x14ac:dyDescent="0.3">
      <c r="A2425" s="193">
        <v>941</v>
      </c>
      <c r="B2425" s="46" t="s">
        <v>1866</v>
      </c>
      <c r="C2425" s="315"/>
      <c r="D2425" s="316"/>
      <c r="E2425" s="315"/>
      <c r="F2425" s="315"/>
      <c r="G2425" s="315"/>
      <c r="H2425" s="194" t="s">
        <v>1368</v>
      </c>
      <c r="I2425" s="12"/>
      <c r="J2425" s="46" t="s">
        <v>1115</v>
      </c>
      <c r="K2425" s="12"/>
      <c r="L2425" s="197">
        <v>520</v>
      </c>
      <c r="M2425" s="197">
        <v>1</v>
      </c>
      <c r="N2425" s="290">
        <v>1</v>
      </c>
      <c r="O2425" s="46"/>
      <c r="P2425" s="46" t="s">
        <v>210</v>
      </c>
      <c r="Q2425" s="12"/>
      <c r="R2425" s="192" t="str">
        <f>CONCATENATE(N2425,P2425)</f>
        <v>1roll</v>
      </c>
      <c r="S2425" s="198">
        <f>M2425*N2425</f>
        <v>1</v>
      </c>
      <c r="T2425" s="199" t="str">
        <f>CONCATENATE(S2425,Q2425,P2425)</f>
        <v>1roll</v>
      </c>
      <c r="U2425" s="200">
        <f>L2425*M2425</f>
        <v>520</v>
      </c>
      <c r="V2425" s="12"/>
      <c r="W2425" s="12"/>
    </row>
    <row r="2426" spans="1:23" x14ac:dyDescent="0.3">
      <c r="A2426" s="193">
        <v>942</v>
      </c>
      <c r="B2426" s="194" t="s">
        <v>827</v>
      </c>
      <c r="C2426" s="487"/>
      <c r="D2426" s="485" t="str">
        <f ca="1">IFERROR(__xludf.DUMMYFUNCTION("IF(J657="""",""n/a"",IFERROR(SPLIT(J657,""/"")))"),"Amparos")</f>
        <v>Amparos</v>
      </c>
      <c r="E2426" s="485" t="str">
        <f ca="1">IFERROR(__xludf.DUMMYFUNCTION("""COMPUTED_VALUE"""),"pack")</f>
        <v>pack</v>
      </c>
      <c r="F2426" s="485" t="str">
        <f ca="1">IFERROR(__xludf.DUMMYFUNCTION("""COMPUTED_VALUE"""),"500grams")</f>
        <v>500grams</v>
      </c>
      <c r="G2426" s="487"/>
      <c r="H2426" s="183" t="s">
        <v>1897</v>
      </c>
      <c r="I2426" s="487"/>
      <c r="J2426" s="46" t="s">
        <v>828</v>
      </c>
      <c r="K2426" s="487"/>
      <c r="L2426" s="202">
        <v>0.23</v>
      </c>
      <c r="M2426" s="202">
        <v>400</v>
      </c>
      <c r="N2426" s="203">
        <v>200</v>
      </c>
      <c r="O2426" s="61" t="str">
        <f ca="1">E2426</f>
        <v>pack</v>
      </c>
      <c r="P2426" s="61" t="s">
        <v>39</v>
      </c>
      <c r="Q2426" s="12"/>
      <c r="R2426" s="192" t="str">
        <f>CONCATENATE(N2426,P2426)</f>
        <v>200grams</v>
      </c>
      <c r="S2426" s="198">
        <f>M2426*N2426</f>
        <v>80000</v>
      </c>
      <c r="T2426" s="199" t="str">
        <f>CONCATENATE(S2426,Q2426,P2426)</f>
        <v>80000grams</v>
      </c>
      <c r="U2426" s="200">
        <f>L2426*M2426</f>
        <v>92</v>
      </c>
      <c r="V2426" s="62"/>
      <c r="W2426" s="12"/>
    </row>
    <row r="2427" spans="1:23" x14ac:dyDescent="0.3">
      <c r="A2427" s="193">
        <v>943</v>
      </c>
      <c r="B2427" s="46" t="s">
        <v>1867</v>
      </c>
      <c r="C2427" s="315"/>
      <c r="D2427" s="316"/>
      <c r="E2427" s="315"/>
      <c r="F2427" s="315"/>
      <c r="G2427" s="315"/>
      <c r="H2427" s="194" t="s">
        <v>2026</v>
      </c>
      <c r="I2427" s="12"/>
      <c r="J2427" s="46" t="s">
        <v>1868</v>
      </c>
      <c r="K2427" s="12"/>
      <c r="L2427" s="197">
        <v>85</v>
      </c>
      <c r="M2427" s="197">
        <v>3</v>
      </c>
      <c r="N2427" s="290">
        <v>600</v>
      </c>
      <c r="O2427" s="46"/>
      <c r="P2427" s="46" t="s">
        <v>39</v>
      </c>
      <c r="Q2427" s="12"/>
      <c r="R2427" s="192" t="str">
        <f>CONCATENATE(N2427,P2427)</f>
        <v>600grams</v>
      </c>
      <c r="S2427" s="198">
        <f>M2427*N2427</f>
        <v>1800</v>
      </c>
      <c r="T2427" s="199" t="str">
        <f>CONCATENATE(S2427,Q2427,P2427)</f>
        <v>1800grams</v>
      </c>
      <c r="U2427" s="200">
        <f>L2427*M2427</f>
        <v>255</v>
      </c>
      <c r="V2427" s="12"/>
      <c r="W2427" s="12"/>
    </row>
    <row r="2428" spans="1:23" x14ac:dyDescent="0.3">
      <c r="A2428" s="193">
        <v>943</v>
      </c>
      <c r="B2428" s="219" t="s">
        <v>1867</v>
      </c>
      <c r="C2428" s="315"/>
      <c r="D2428" s="316"/>
      <c r="E2428" s="315"/>
      <c r="F2428" s="315"/>
      <c r="G2428" s="315"/>
      <c r="H2428" s="194" t="s">
        <v>2021</v>
      </c>
      <c r="I2428" s="12"/>
      <c r="J2428" s="340" t="s">
        <v>1868</v>
      </c>
      <c r="K2428" s="12"/>
      <c r="L2428" s="285">
        <v>85</v>
      </c>
      <c r="M2428" s="285">
        <v>1</v>
      </c>
      <c r="N2428" s="293">
        <v>600</v>
      </c>
      <c r="O2428" s="219"/>
      <c r="P2428" s="219" t="s">
        <v>39</v>
      </c>
      <c r="Q2428" s="12"/>
      <c r="R2428" s="192" t="str">
        <f>CONCATENATE(N2428,P2428)</f>
        <v>600grams</v>
      </c>
      <c r="S2428" s="198">
        <f>M2428*N2428</f>
        <v>600</v>
      </c>
      <c r="T2428" s="199" t="str">
        <f>CONCATENATE(S2428,Q2428,P2428)</f>
        <v>600grams</v>
      </c>
      <c r="U2428" s="200">
        <f>L2428*M2428</f>
        <v>85</v>
      </c>
      <c r="V2428" s="12"/>
      <c r="W2428" s="12"/>
    </row>
    <row r="2429" spans="1:23" x14ac:dyDescent="0.3">
      <c r="A2429" s="193">
        <v>944</v>
      </c>
      <c r="B2429" s="46" t="s">
        <v>1869</v>
      </c>
      <c r="C2429" s="315"/>
      <c r="D2429" s="316"/>
      <c r="E2429" s="315"/>
      <c r="F2429" s="315"/>
      <c r="G2429" s="315"/>
      <c r="H2429" s="194" t="s">
        <v>2022</v>
      </c>
      <c r="I2429" s="12"/>
      <c r="J2429" s="96" t="s">
        <v>991</v>
      </c>
      <c r="K2429" s="12"/>
      <c r="L2429" s="255">
        <v>2.68</v>
      </c>
      <c r="M2429" s="255">
        <v>33</v>
      </c>
      <c r="N2429" s="290">
        <v>100</v>
      </c>
      <c r="O2429" s="46"/>
      <c r="P2429" s="46" t="s">
        <v>92</v>
      </c>
      <c r="Q2429" s="12"/>
      <c r="R2429" s="192" t="str">
        <f>CONCATENATE(N2429,P2429)</f>
        <v>100pieces</v>
      </c>
      <c r="S2429" s="198">
        <f>M2429*N2429</f>
        <v>3300</v>
      </c>
      <c r="T2429" s="199" t="str">
        <f>CONCATENATE(S2429,Q2429,P2429)</f>
        <v>3300pieces</v>
      </c>
      <c r="U2429" s="200">
        <f>L2429*M2429</f>
        <v>88.440000000000012</v>
      </c>
      <c r="V2429" s="12"/>
      <c r="W2429" s="12"/>
    </row>
    <row r="2430" spans="1:23" x14ac:dyDescent="0.3">
      <c r="A2430" s="193">
        <v>945</v>
      </c>
      <c r="B2430" s="194" t="s">
        <v>829</v>
      </c>
      <c r="C2430" s="487"/>
      <c r="D2430" s="485" t="str">
        <f ca="1">IFERROR(__xludf.DUMMYFUNCTION("IF(J658="""",""n/a"",IFERROR(SPLIT(J658,""/"")))"),"n/a")</f>
        <v>n/a</v>
      </c>
      <c r="E2430" s="487"/>
      <c r="F2430" s="487"/>
      <c r="G2430" s="487"/>
      <c r="H2430" s="206" t="s">
        <v>1898</v>
      </c>
      <c r="I2430" s="487"/>
      <c r="J2430" s="239"/>
      <c r="K2430" s="487"/>
      <c r="L2430" s="255">
        <v>0.16</v>
      </c>
      <c r="M2430" s="390">
        <v>4000</v>
      </c>
      <c r="N2430" s="208">
        <v>250</v>
      </c>
      <c r="O2430" s="170">
        <f>E2430</f>
        <v>0</v>
      </c>
      <c r="P2430" s="222" t="s">
        <v>39</v>
      </c>
      <c r="Q2430" s="12"/>
      <c r="R2430" s="192" t="str">
        <f>CONCATENATE(N2430,P2430)</f>
        <v>250grams</v>
      </c>
      <c r="S2430" s="198">
        <f>M2430*N2430</f>
        <v>1000000</v>
      </c>
      <c r="T2430" s="199" t="str">
        <f>CONCATENATE(S2430,Q2430,P2430)</f>
        <v>1000000grams</v>
      </c>
      <c r="U2430" s="200">
        <f>L2430*M2430</f>
        <v>640</v>
      </c>
      <c r="V2430" s="12"/>
      <c r="W2430" s="12"/>
    </row>
    <row r="2431" spans="1:23" x14ac:dyDescent="0.3">
      <c r="A2431" s="193">
        <v>946</v>
      </c>
      <c r="B2431" s="46" t="s">
        <v>1870</v>
      </c>
      <c r="C2431" s="315"/>
      <c r="D2431" s="316"/>
      <c r="E2431" s="315"/>
      <c r="F2431" s="315"/>
      <c r="G2431" s="315"/>
      <c r="H2431" s="194" t="s">
        <v>2025</v>
      </c>
      <c r="I2431" s="12"/>
      <c r="J2431" s="46" t="s">
        <v>865</v>
      </c>
      <c r="K2431" s="12"/>
      <c r="L2431" s="255">
        <v>43.9</v>
      </c>
      <c r="M2431" s="197">
        <v>10</v>
      </c>
      <c r="N2431" s="290">
        <v>250</v>
      </c>
      <c r="O2431" s="46"/>
      <c r="P2431" s="46" t="s">
        <v>519</v>
      </c>
      <c r="Q2431" s="12"/>
      <c r="R2431" s="192" t="str">
        <f>CONCATENATE(N2431,P2431)</f>
        <v>250drained weight grams</v>
      </c>
      <c r="S2431" s="198">
        <f>M2431*N2431</f>
        <v>2500</v>
      </c>
      <c r="T2431" s="199" t="str">
        <f>CONCATENATE(S2431,Q2431,P2431)</f>
        <v>2500drained weight grams</v>
      </c>
      <c r="U2431" s="200">
        <f>L2431*M2431</f>
        <v>439</v>
      </c>
      <c r="V2431" s="12"/>
      <c r="W2431" s="12"/>
    </row>
    <row r="2432" spans="1:23" x14ac:dyDescent="0.3">
      <c r="A2432" s="193">
        <v>946</v>
      </c>
      <c r="B2432" s="46" t="s">
        <v>1870</v>
      </c>
      <c r="C2432" s="315"/>
      <c r="D2432" s="316"/>
      <c r="E2432" s="315"/>
      <c r="F2432" s="315"/>
      <c r="G2432" s="315"/>
      <c r="H2432" s="194" t="s">
        <v>2020</v>
      </c>
      <c r="I2432" s="12"/>
      <c r="J2432" s="46" t="s">
        <v>865</v>
      </c>
      <c r="K2432" s="12"/>
      <c r="L2432" s="255">
        <v>42.3</v>
      </c>
      <c r="M2432" s="197">
        <v>6</v>
      </c>
      <c r="N2432" s="290">
        <v>425</v>
      </c>
      <c r="O2432" s="46"/>
      <c r="P2432" s="46" t="s">
        <v>39</v>
      </c>
      <c r="Q2432" s="12"/>
      <c r="R2432" s="192" t="str">
        <f>CONCATENATE(N2432,P2432)</f>
        <v>425grams</v>
      </c>
      <c r="S2432" s="198">
        <f>M2432*N2432</f>
        <v>2550</v>
      </c>
      <c r="T2432" s="199" t="str">
        <f>CONCATENATE(S2432,Q2432,P2432)</f>
        <v>2550grams</v>
      </c>
      <c r="U2432" s="200">
        <f>L2432*M2432</f>
        <v>253.79999999999998</v>
      </c>
      <c r="V2432" s="12"/>
      <c r="W2432" s="12"/>
    </row>
    <row r="2433" spans="1:23" x14ac:dyDescent="0.3">
      <c r="A2433" s="193">
        <v>946</v>
      </c>
      <c r="B2433" s="46" t="s">
        <v>1870</v>
      </c>
      <c r="C2433" s="315"/>
      <c r="D2433" s="316"/>
      <c r="E2433" s="315"/>
      <c r="F2433" s="315"/>
      <c r="G2433" s="315"/>
      <c r="H2433" s="400" t="s">
        <v>2027</v>
      </c>
      <c r="I2433" s="12"/>
      <c r="J2433" s="46" t="s">
        <v>865</v>
      </c>
      <c r="K2433" s="12"/>
      <c r="L2433" s="195">
        <v>42.3</v>
      </c>
      <c r="M2433" s="197">
        <v>4</v>
      </c>
      <c r="N2433" s="374">
        <v>1</v>
      </c>
      <c r="O2433" s="61"/>
      <c r="P2433" s="61" t="s">
        <v>39</v>
      </c>
      <c r="Q2433" s="12"/>
      <c r="R2433" s="192" t="str">
        <f>CONCATENATE(N2433,P2433)</f>
        <v>1grams</v>
      </c>
      <c r="S2433" s="198">
        <f>M2433*N2433</f>
        <v>4</v>
      </c>
      <c r="T2433" s="199" t="str">
        <f>CONCATENATE(S2433,Q2433,P2433)</f>
        <v>4grams</v>
      </c>
      <c r="U2433" s="200">
        <f>L2433*M2433</f>
        <v>169.2</v>
      </c>
      <c r="V2433" s="12"/>
      <c r="W2433" s="12"/>
    </row>
    <row r="2434" spans="1:23" x14ac:dyDescent="0.3">
      <c r="A2434" s="193">
        <v>947</v>
      </c>
      <c r="B2434" s="46" t="s">
        <v>1871</v>
      </c>
      <c r="C2434" s="315"/>
      <c r="D2434" s="316"/>
      <c r="E2434" s="315"/>
      <c r="F2434" s="315"/>
      <c r="G2434" s="315"/>
      <c r="H2434" s="194" t="s">
        <v>2020</v>
      </c>
      <c r="I2434" s="12"/>
      <c r="J2434" s="46" t="s">
        <v>865</v>
      </c>
      <c r="K2434" s="12"/>
      <c r="L2434" s="197">
        <v>60.8</v>
      </c>
      <c r="M2434" s="197">
        <v>5</v>
      </c>
      <c r="N2434" s="357">
        <v>400</v>
      </c>
      <c r="O2434" s="46"/>
      <c r="P2434" s="46" t="s">
        <v>39</v>
      </c>
      <c r="Q2434" s="12"/>
      <c r="R2434" s="192" t="str">
        <f>CONCATENATE(N2434,P2434)</f>
        <v>400grams</v>
      </c>
      <c r="S2434" s="198">
        <f>M2434*N2434</f>
        <v>2000</v>
      </c>
      <c r="T2434" s="199" t="str">
        <f>CONCATENATE(S2434,Q2434,P2434)</f>
        <v>2000grams</v>
      </c>
      <c r="U2434" s="200">
        <f>L2434*M2434</f>
        <v>304</v>
      </c>
      <c r="V2434" s="12"/>
      <c r="W2434" s="12"/>
    </row>
    <row r="2435" spans="1:23" x14ac:dyDescent="0.3">
      <c r="A2435" s="193">
        <v>948</v>
      </c>
      <c r="B2435" s="46" t="s">
        <v>1872</v>
      </c>
      <c r="C2435" s="315"/>
      <c r="D2435" s="316"/>
      <c r="E2435" s="315"/>
      <c r="F2435" s="315"/>
      <c r="G2435" s="315"/>
      <c r="H2435" s="194" t="s">
        <v>2025</v>
      </c>
      <c r="I2435" s="12"/>
      <c r="J2435" s="46" t="s">
        <v>1873</v>
      </c>
      <c r="K2435" s="12"/>
      <c r="L2435" s="197">
        <v>68</v>
      </c>
      <c r="M2435" s="197">
        <v>14</v>
      </c>
      <c r="N2435" s="357">
        <v>225</v>
      </c>
      <c r="O2435" s="46"/>
      <c r="P2435" s="46" t="s">
        <v>519</v>
      </c>
      <c r="Q2435" s="12"/>
      <c r="R2435" s="192" t="str">
        <f>CONCATENATE(N2435,P2435)</f>
        <v>225drained weight grams</v>
      </c>
      <c r="S2435" s="198">
        <f>M2435*N2435</f>
        <v>3150</v>
      </c>
      <c r="T2435" s="199" t="str">
        <f>CONCATENATE(S2435,Q2435,P2435)</f>
        <v>3150drained weight grams</v>
      </c>
      <c r="U2435" s="200">
        <f>L2435*M2435</f>
        <v>952</v>
      </c>
      <c r="V2435" s="12"/>
      <c r="W2435" s="12"/>
    </row>
    <row r="2436" spans="1:23" x14ac:dyDescent="0.3">
      <c r="A2436" s="193">
        <v>949</v>
      </c>
      <c r="B2436" s="194" t="s">
        <v>448</v>
      </c>
      <c r="C2436" s="487"/>
      <c r="D2436" s="485" t="str">
        <f ca="1">IFERROR(__xludf.DUMMYFUNCTION("IF(J659="""",""n/a"",IFERROR(SPLIT(J659,""/"")))"),"Suncrest Food")</f>
        <v>Suncrest Food</v>
      </c>
      <c r="E2436" s="485" t="str">
        <f ca="1">IFERROR(__xludf.DUMMYFUNCTION("""COMPUTED_VALUE"""),"pack(10pcsx32grams)")</f>
        <v>pack(10pcsx32grams)</v>
      </c>
      <c r="F2436" s="487"/>
      <c r="G2436" s="487"/>
      <c r="H2436" s="183" t="s">
        <v>1895</v>
      </c>
      <c r="I2436" s="487"/>
      <c r="J2436" s="46" t="s">
        <v>449</v>
      </c>
      <c r="K2436" s="487"/>
      <c r="L2436" s="195">
        <v>8.89</v>
      </c>
      <c r="M2436" s="197">
        <v>150</v>
      </c>
      <c r="N2436" s="240">
        <v>1</v>
      </c>
      <c r="O2436" s="61" t="str">
        <f ca="1">E2436</f>
        <v>pack(10pcsx32grams)</v>
      </c>
      <c r="P2436" s="61" t="s">
        <v>92</v>
      </c>
      <c r="Q2436" s="12"/>
      <c r="R2436" s="192" t="str">
        <f>CONCATENATE(N2436,P2436)</f>
        <v>1pieces</v>
      </c>
      <c r="S2436" s="198">
        <f>M2436*N2436</f>
        <v>150</v>
      </c>
      <c r="T2436" s="199" t="str">
        <f>CONCATENATE(S2436,Q2436,P2436)</f>
        <v>150pieces</v>
      </c>
      <c r="U2436" s="200">
        <f>L2436*M2436</f>
        <v>1333.5</v>
      </c>
      <c r="V2436" s="12"/>
      <c r="W2436" s="12"/>
    </row>
    <row r="2437" spans="1:23" x14ac:dyDescent="0.3">
      <c r="A2437" s="193">
        <v>950</v>
      </c>
      <c r="B2437" s="194" t="s">
        <v>830</v>
      </c>
      <c r="C2437" s="487"/>
      <c r="D2437" s="485" t="str">
        <f ca="1">IFERROR(__xludf.DUMMYFUNCTION("IF(J660="""",""n/a"",IFERROR(SPLIT(J660,""/"")))"),"Versa")</f>
        <v>Versa</v>
      </c>
      <c r="E2437" s="485" t="str">
        <f ca="1">IFERROR(__xludf.DUMMYFUNCTION("""COMPUTED_VALUE"""),"pack by 25s'")</f>
        <v>pack by 25s'</v>
      </c>
      <c r="F2437" s="487"/>
      <c r="G2437" s="487"/>
      <c r="H2437" s="183" t="s">
        <v>1897</v>
      </c>
      <c r="I2437" s="487"/>
      <c r="J2437" s="46" t="s">
        <v>831</v>
      </c>
      <c r="K2437" s="487"/>
      <c r="L2437" s="202">
        <v>22</v>
      </c>
      <c r="M2437" s="202">
        <v>1</v>
      </c>
      <c r="N2437" s="280">
        <v>1</v>
      </c>
      <c r="O2437" s="61" t="str">
        <f ca="1">E2437</f>
        <v>pack by 25s'</v>
      </c>
      <c r="P2437" s="61" t="s">
        <v>304</v>
      </c>
      <c r="Q2437" s="12"/>
      <c r="R2437" s="192" t="str">
        <f>CONCATENATE(N2437,P2437)</f>
        <v>1packs</v>
      </c>
      <c r="S2437" s="198">
        <f>M2437*N2437</f>
        <v>1</v>
      </c>
      <c r="T2437" s="199" t="str">
        <f>CONCATENATE(S2437,Q2437,P2437)</f>
        <v>1packs</v>
      </c>
      <c r="U2437" s="200">
        <f>L2437*M2437</f>
        <v>22</v>
      </c>
      <c r="V2437" s="12"/>
      <c r="W2437" s="12"/>
    </row>
    <row r="2438" spans="1:23" x14ac:dyDescent="0.3">
      <c r="A2438" s="193">
        <v>950</v>
      </c>
      <c r="B2438" s="46" t="s">
        <v>830</v>
      </c>
      <c r="C2438" s="315"/>
      <c r="D2438" s="316"/>
      <c r="E2438" s="315"/>
      <c r="F2438" s="315"/>
      <c r="G2438" s="315"/>
      <c r="H2438" s="194" t="s">
        <v>2025</v>
      </c>
      <c r="I2438" s="12"/>
      <c r="J2438" s="170"/>
      <c r="K2438" s="12"/>
      <c r="L2438" s="197">
        <v>27</v>
      </c>
      <c r="M2438" s="197">
        <v>0</v>
      </c>
      <c r="N2438" s="357">
        <v>25</v>
      </c>
      <c r="O2438" s="46"/>
      <c r="P2438" s="46" t="s">
        <v>92</v>
      </c>
      <c r="Q2438" s="12"/>
      <c r="R2438" s="192" t="str">
        <f>CONCATENATE(N2438,P2438)</f>
        <v>25pieces</v>
      </c>
      <c r="S2438" s="198">
        <f>M2438*N2438</f>
        <v>0</v>
      </c>
      <c r="T2438" s="199" t="str">
        <f>CONCATENATE(S2438,Q2438,P2438)</f>
        <v>0pieces</v>
      </c>
      <c r="U2438" s="200">
        <f>L2438*M2438</f>
        <v>0</v>
      </c>
      <c r="V2438" s="12"/>
      <c r="W2438" s="12"/>
    </row>
    <row r="2439" spans="1:23" x14ac:dyDescent="0.3">
      <c r="A2439" s="193">
        <v>950</v>
      </c>
      <c r="B2439" s="46" t="s">
        <v>830</v>
      </c>
      <c r="C2439" s="315"/>
      <c r="D2439" s="316"/>
      <c r="E2439" s="315"/>
      <c r="F2439" s="315"/>
      <c r="G2439" s="315"/>
      <c r="H2439" s="194" t="s">
        <v>2026</v>
      </c>
      <c r="I2439" s="12"/>
      <c r="J2439" s="47" t="s">
        <v>1874</v>
      </c>
      <c r="K2439" s="12"/>
      <c r="L2439" s="276">
        <v>22</v>
      </c>
      <c r="M2439" s="255">
        <v>3</v>
      </c>
      <c r="N2439" s="357">
        <v>1</v>
      </c>
      <c r="O2439" s="46"/>
      <c r="P2439" s="46" t="s">
        <v>304</v>
      </c>
      <c r="Q2439" s="12"/>
      <c r="R2439" s="192" t="str">
        <f>CONCATENATE(N2439,P2439)</f>
        <v>1packs</v>
      </c>
      <c r="S2439" s="198">
        <f>M2439*N2439</f>
        <v>3</v>
      </c>
      <c r="T2439" s="199" t="str">
        <f>CONCATENATE(S2439,Q2439,P2439)</f>
        <v>3packs</v>
      </c>
      <c r="U2439" s="200">
        <f>L2439*M2439</f>
        <v>66</v>
      </c>
      <c r="V2439" s="12"/>
      <c r="W2439" s="12"/>
    </row>
    <row r="2440" spans="1:23" x14ac:dyDescent="0.3">
      <c r="A2440" s="193">
        <v>950</v>
      </c>
      <c r="B2440" s="46" t="s">
        <v>830</v>
      </c>
      <c r="C2440" s="315"/>
      <c r="D2440" s="316"/>
      <c r="E2440" s="315"/>
      <c r="F2440" s="315"/>
      <c r="G2440" s="315"/>
      <c r="H2440" s="194" t="s">
        <v>2023</v>
      </c>
      <c r="I2440" s="12"/>
      <c r="J2440" s="96" t="s">
        <v>1875</v>
      </c>
      <c r="K2440" s="12"/>
      <c r="L2440" s="255">
        <v>22</v>
      </c>
      <c r="M2440" s="255">
        <v>3</v>
      </c>
      <c r="N2440" s="357">
        <v>1</v>
      </c>
      <c r="O2440" s="46"/>
      <c r="P2440" s="46" t="s">
        <v>304</v>
      </c>
      <c r="Q2440" s="12"/>
      <c r="R2440" s="192" t="str">
        <f>CONCATENATE(N2440,P2440)</f>
        <v>1packs</v>
      </c>
      <c r="S2440" s="198">
        <f>M2440*N2440</f>
        <v>3</v>
      </c>
      <c r="T2440" s="199" t="str">
        <f>CONCATENATE(S2440,Q2440,P2440)</f>
        <v>3packs</v>
      </c>
      <c r="U2440" s="200">
        <f>L2440*M2440</f>
        <v>66</v>
      </c>
      <c r="V2440" s="12"/>
      <c r="W2440" s="12"/>
    </row>
    <row r="2441" spans="1:23" x14ac:dyDescent="0.3">
      <c r="A2441" s="193">
        <v>950</v>
      </c>
      <c r="B2441" s="46" t="s">
        <v>830</v>
      </c>
      <c r="C2441" s="315"/>
      <c r="D2441" s="316"/>
      <c r="E2441" s="315"/>
      <c r="F2441" s="315"/>
      <c r="G2441" s="315"/>
      <c r="H2441" s="194" t="s">
        <v>2022</v>
      </c>
      <c r="I2441" s="12"/>
      <c r="J2441" s="96" t="s">
        <v>991</v>
      </c>
      <c r="K2441" s="12"/>
      <c r="L2441" s="255">
        <v>22</v>
      </c>
      <c r="M2441" s="255">
        <v>6</v>
      </c>
      <c r="N2441" s="357">
        <v>1</v>
      </c>
      <c r="O2441" s="46"/>
      <c r="P2441" s="46" t="s">
        <v>304</v>
      </c>
      <c r="Q2441" s="12"/>
      <c r="R2441" s="192" t="str">
        <f>CONCATENATE(N2441,P2441)</f>
        <v>1packs</v>
      </c>
      <c r="S2441" s="198">
        <f>M2441*N2441</f>
        <v>6</v>
      </c>
      <c r="T2441" s="199" t="str">
        <f>CONCATENATE(S2441,Q2441,P2441)</f>
        <v>6packs</v>
      </c>
      <c r="U2441" s="200">
        <f>L2441*M2441</f>
        <v>132</v>
      </c>
      <c r="V2441" s="12"/>
      <c r="W2441" s="12"/>
    </row>
    <row r="2442" spans="1:23" x14ac:dyDescent="0.3">
      <c r="A2442" s="193">
        <v>950</v>
      </c>
      <c r="B2442" s="219" t="s">
        <v>830</v>
      </c>
      <c r="C2442" s="315"/>
      <c r="D2442" s="316"/>
      <c r="E2442" s="315"/>
      <c r="F2442" s="315"/>
      <c r="G2442" s="315"/>
      <c r="H2442" s="194" t="s">
        <v>2021</v>
      </c>
      <c r="I2442" s="12"/>
      <c r="J2442" s="253"/>
      <c r="K2442" s="12"/>
      <c r="L2442" s="285">
        <v>1</v>
      </c>
      <c r="M2442" s="285">
        <v>100</v>
      </c>
      <c r="N2442" s="502">
        <v>1</v>
      </c>
      <c r="O2442" s="219"/>
      <c r="P2442" s="219" t="s">
        <v>304</v>
      </c>
      <c r="Q2442" s="12"/>
      <c r="R2442" s="192" t="str">
        <f>CONCATENATE(N2442,P2442)</f>
        <v>1packs</v>
      </c>
      <c r="S2442" s="198">
        <f>M2442*N2442</f>
        <v>100</v>
      </c>
      <c r="T2442" s="199" t="str">
        <f>CONCATENATE(S2442,Q2442,P2442)</f>
        <v>100packs</v>
      </c>
      <c r="U2442" s="200">
        <f>L2442*M2442</f>
        <v>100</v>
      </c>
      <c r="V2442" s="12"/>
      <c r="W2442" s="12"/>
    </row>
    <row r="2443" spans="1:23" x14ac:dyDescent="0.3">
      <c r="A2443" s="193">
        <v>950</v>
      </c>
      <c r="B2443" s="219" t="s">
        <v>830</v>
      </c>
      <c r="C2443" s="315"/>
      <c r="D2443" s="316"/>
      <c r="E2443" s="315"/>
      <c r="F2443" s="315"/>
      <c r="G2443" s="315"/>
      <c r="H2443" s="194" t="s">
        <v>2020</v>
      </c>
      <c r="I2443" s="12"/>
      <c r="J2443" s="239"/>
      <c r="K2443" s="12"/>
      <c r="L2443" s="255">
        <v>2.08</v>
      </c>
      <c r="M2443" s="255">
        <v>2577</v>
      </c>
      <c r="N2443" s="357">
        <v>1</v>
      </c>
      <c r="O2443" s="46"/>
      <c r="P2443" s="46" t="s">
        <v>92</v>
      </c>
      <c r="Q2443" s="12"/>
      <c r="R2443" s="192" t="str">
        <f>CONCATENATE(N2443,P2443)</f>
        <v>1pieces</v>
      </c>
      <c r="S2443" s="198">
        <f>M2443*N2443</f>
        <v>2577</v>
      </c>
      <c r="T2443" s="199" t="str">
        <f>CONCATENATE(S2443,Q2443,P2443)</f>
        <v>2577pieces</v>
      </c>
      <c r="U2443" s="200">
        <f>L2443*M2443</f>
        <v>5360.16</v>
      </c>
      <c r="V2443" s="12"/>
      <c r="W2443" s="12"/>
    </row>
    <row r="2444" spans="1:23" x14ac:dyDescent="0.3">
      <c r="A2444" s="193">
        <v>951</v>
      </c>
      <c r="B2444" s="46" t="s">
        <v>1876</v>
      </c>
      <c r="C2444" s="315"/>
      <c r="D2444" s="316"/>
      <c r="E2444" s="315"/>
      <c r="F2444" s="315"/>
      <c r="G2444" s="315"/>
      <c r="H2444" s="194" t="s">
        <v>2025</v>
      </c>
      <c r="I2444" s="12"/>
      <c r="J2444" s="239"/>
      <c r="K2444" s="12"/>
      <c r="L2444" s="255">
        <v>50</v>
      </c>
      <c r="M2444" s="255">
        <v>2</v>
      </c>
      <c r="N2444" s="357">
        <v>100</v>
      </c>
      <c r="O2444" s="46"/>
      <c r="P2444" s="46" t="s">
        <v>92</v>
      </c>
      <c r="Q2444" s="12"/>
      <c r="R2444" s="192" t="str">
        <f>CONCATENATE(N2444,P2444)</f>
        <v>100pieces</v>
      </c>
      <c r="S2444" s="198">
        <f>M2444*N2444</f>
        <v>200</v>
      </c>
      <c r="T2444" s="199" t="str">
        <f>CONCATENATE(S2444,Q2444,P2444)</f>
        <v>200pieces</v>
      </c>
      <c r="U2444" s="200">
        <f>L2444*M2444</f>
        <v>100</v>
      </c>
      <c r="V2444" s="12"/>
      <c r="W2444" s="12"/>
    </row>
    <row r="2445" spans="1:23" x14ac:dyDescent="0.3">
      <c r="A2445" s="193">
        <v>952</v>
      </c>
      <c r="B2445" s="46" t="s">
        <v>1877</v>
      </c>
      <c r="C2445" s="315"/>
      <c r="D2445" s="316"/>
      <c r="E2445" s="315"/>
      <c r="F2445" s="315"/>
      <c r="G2445" s="315"/>
      <c r="H2445" s="194" t="s">
        <v>2025</v>
      </c>
      <c r="I2445" s="12"/>
      <c r="J2445" s="239"/>
      <c r="K2445" s="12"/>
      <c r="L2445" s="255">
        <v>27</v>
      </c>
      <c r="M2445" s="255">
        <v>1</v>
      </c>
      <c r="N2445" s="357">
        <v>25</v>
      </c>
      <c r="O2445" s="46"/>
      <c r="P2445" s="46" t="s">
        <v>92</v>
      </c>
      <c r="Q2445" s="12"/>
      <c r="R2445" s="192" t="str">
        <f>CONCATENATE(N2445,P2445)</f>
        <v>25pieces</v>
      </c>
      <c r="S2445" s="198">
        <f>M2445*N2445</f>
        <v>25</v>
      </c>
      <c r="T2445" s="199" t="str">
        <f>CONCATENATE(S2445,Q2445,P2445)</f>
        <v>25pieces</v>
      </c>
      <c r="U2445" s="200">
        <f>L2445*M2445</f>
        <v>27</v>
      </c>
      <c r="V2445" s="12"/>
      <c r="W2445" s="12"/>
    </row>
    <row r="2446" spans="1:23" x14ac:dyDescent="0.3">
      <c r="A2446" s="193">
        <v>953</v>
      </c>
      <c r="B2446" s="194" t="s">
        <v>832</v>
      </c>
      <c r="C2446" s="487"/>
      <c r="D2446" s="485" t="str">
        <f ca="1">IFERROR(__xludf.DUMMYFUNCTION("IF(J661="""",""n/a"",IFERROR(SPLIT(J661,""/"")))"),"Versa")</f>
        <v>Versa</v>
      </c>
      <c r="E2446" s="485" t="str">
        <f ca="1">IFERROR(__xludf.DUMMYFUNCTION("""COMPUTED_VALUE"""),"pack by 25s'")</f>
        <v>pack by 25s'</v>
      </c>
      <c r="F2446" s="487"/>
      <c r="G2446" s="487"/>
      <c r="H2446" s="183" t="s">
        <v>1897</v>
      </c>
      <c r="I2446" s="487"/>
      <c r="J2446" s="96" t="s">
        <v>831</v>
      </c>
      <c r="K2446" s="487"/>
      <c r="L2446" s="254">
        <v>22</v>
      </c>
      <c r="M2446" s="271">
        <v>1</v>
      </c>
      <c r="N2446" s="280">
        <v>1</v>
      </c>
      <c r="O2446" s="515" t="str">
        <f ca="1">E2446</f>
        <v>pack by 25s'</v>
      </c>
      <c r="P2446" s="515" t="s">
        <v>304</v>
      </c>
      <c r="Q2446" s="12"/>
      <c r="R2446" s="192" t="str">
        <f>CONCATENATE(N2446,P2446)</f>
        <v>1packs</v>
      </c>
      <c r="S2446" s="198">
        <f>M2446*N2446</f>
        <v>1</v>
      </c>
      <c r="T2446" s="199" t="str">
        <f>CONCATENATE(S2446,Q2446,P2446)</f>
        <v>1packs</v>
      </c>
      <c r="U2446" s="200">
        <f>L2446*M2446</f>
        <v>22</v>
      </c>
      <c r="V2446" s="12"/>
      <c r="W2446" s="12"/>
    </row>
    <row r="2447" spans="1:23" x14ac:dyDescent="0.3">
      <c r="A2447" s="193">
        <v>953</v>
      </c>
      <c r="B2447" s="46" t="s">
        <v>832</v>
      </c>
      <c r="C2447" s="315"/>
      <c r="D2447" s="316"/>
      <c r="E2447" s="315"/>
      <c r="F2447" s="315"/>
      <c r="G2447" s="315"/>
      <c r="H2447" s="194" t="s">
        <v>2024</v>
      </c>
      <c r="I2447" s="12"/>
      <c r="J2447" s="96" t="s">
        <v>1878</v>
      </c>
      <c r="K2447" s="12"/>
      <c r="L2447" s="255">
        <v>30</v>
      </c>
      <c r="M2447" s="255">
        <v>3</v>
      </c>
      <c r="N2447" s="357">
        <v>1</v>
      </c>
      <c r="O2447" s="46"/>
      <c r="P2447" s="46" t="s">
        <v>304</v>
      </c>
      <c r="Q2447" s="12"/>
      <c r="R2447" s="192" t="str">
        <f>CONCATENATE(N2447,P2447)</f>
        <v>1packs</v>
      </c>
      <c r="S2447" s="198">
        <f>M2447*N2447</f>
        <v>3</v>
      </c>
      <c r="T2447" s="199" t="str">
        <f>CONCATENATE(S2447,Q2447,P2447)</f>
        <v>3packs</v>
      </c>
      <c r="U2447" s="200">
        <f>L2447*M2447</f>
        <v>90</v>
      </c>
      <c r="V2447" s="12"/>
      <c r="W2447" s="12"/>
    </row>
    <row r="2448" spans="1:23" x14ac:dyDescent="0.3">
      <c r="A2448" s="193">
        <v>953</v>
      </c>
      <c r="B2448" s="46" t="s">
        <v>832</v>
      </c>
      <c r="C2448" s="315"/>
      <c r="D2448" s="316"/>
      <c r="E2448" s="315"/>
      <c r="F2448" s="315"/>
      <c r="G2448" s="315"/>
      <c r="H2448" s="194" t="s">
        <v>2025</v>
      </c>
      <c r="I2448" s="12"/>
      <c r="J2448" s="239"/>
      <c r="K2448" s="12"/>
      <c r="L2448" s="255">
        <v>27</v>
      </c>
      <c r="M2448" s="255">
        <v>5</v>
      </c>
      <c r="N2448" s="357">
        <v>25</v>
      </c>
      <c r="O2448" s="46"/>
      <c r="P2448" s="46" t="s">
        <v>92</v>
      </c>
      <c r="Q2448" s="12"/>
      <c r="R2448" s="192" t="str">
        <f>CONCATENATE(N2448,P2448)</f>
        <v>25pieces</v>
      </c>
      <c r="S2448" s="198">
        <f>M2448*N2448</f>
        <v>125</v>
      </c>
      <c r="T2448" s="199" t="str">
        <f>CONCATENATE(S2448,Q2448,P2448)</f>
        <v>125pieces</v>
      </c>
      <c r="U2448" s="200">
        <f>L2448*M2448</f>
        <v>135</v>
      </c>
      <c r="V2448" s="12"/>
      <c r="W2448" s="12"/>
    </row>
    <row r="2449" spans="1:23" x14ac:dyDescent="0.3">
      <c r="A2449" s="193">
        <v>953</v>
      </c>
      <c r="B2449" s="46" t="s">
        <v>832</v>
      </c>
      <c r="C2449" s="315"/>
      <c r="D2449" s="316"/>
      <c r="E2449" s="315"/>
      <c r="F2449" s="315"/>
      <c r="G2449" s="315"/>
      <c r="H2449" s="194" t="s">
        <v>2026</v>
      </c>
      <c r="I2449" s="12"/>
      <c r="J2449" s="96" t="s">
        <v>1874</v>
      </c>
      <c r="K2449" s="12"/>
      <c r="L2449" s="255">
        <v>22</v>
      </c>
      <c r="M2449" s="255">
        <v>3</v>
      </c>
      <c r="N2449" s="357">
        <v>1</v>
      </c>
      <c r="O2449" s="46"/>
      <c r="P2449" s="46" t="s">
        <v>304</v>
      </c>
      <c r="Q2449" s="12"/>
      <c r="R2449" s="192" t="str">
        <f>CONCATENATE(N2449,P2449)</f>
        <v>1packs</v>
      </c>
      <c r="S2449" s="198">
        <f>M2449*N2449</f>
        <v>3</v>
      </c>
      <c r="T2449" s="199" t="str">
        <f>CONCATENATE(S2449,Q2449,P2449)</f>
        <v>3packs</v>
      </c>
      <c r="U2449" s="200">
        <f>L2449*M2449</f>
        <v>66</v>
      </c>
      <c r="V2449" s="12"/>
      <c r="W2449" s="12"/>
    </row>
    <row r="2450" spans="1:23" x14ac:dyDescent="0.3">
      <c r="A2450" s="193">
        <v>953</v>
      </c>
      <c r="B2450" s="46" t="s">
        <v>832</v>
      </c>
      <c r="C2450" s="315"/>
      <c r="D2450" s="316"/>
      <c r="E2450" s="315"/>
      <c r="F2450" s="315"/>
      <c r="G2450" s="315"/>
      <c r="H2450" s="194" t="s">
        <v>2023</v>
      </c>
      <c r="I2450" s="12"/>
      <c r="J2450" s="96" t="s">
        <v>1874</v>
      </c>
      <c r="K2450" s="12"/>
      <c r="L2450" s="255">
        <v>22</v>
      </c>
      <c r="M2450" s="255">
        <v>5</v>
      </c>
      <c r="N2450" s="357">
        <v>1</v>
      </c>
      <c r="O2450" s="46"/>
      <c r="P2450" s="46" t="s">
        <v>304</v>
      </c>
      <c r="Q2450" s="12"/>
      <c r="R2450" s="192" t="str">
        <f>CONCATENATE(N2450,P2450)</f>
        <v>1packs</v>
      </c>
      <c r="S2450" s="198">
        <f>M2450*N2450</f>
        <v>5</v>
      </c>
      <c r="T2450" s="199" t="str">
        <f>CONCATENATE(S2450,Q2450,P2450)</f>
        <v>5packs</v>
      </c>
      <c r="U2450" s="200">
        <f>L2450*M2450</f>
        <v>110</v>
      </c>
      <c r="V2450" s="12"/>
      <c r="W2450" s="12"/>
    </row>
    <row r="2451" spans="1:23" x14ac:dyDescent="0.3">
      <c r="A2451" s="193">
        <v>953</v>
      </c>
      <c r="B2451" s="46" t="s">
        <v>832</v>
      </c>
      <c r="C2451" s="315"/>
      <c r="D2451" s="316"/>
      <c r="E2451" s="315"/>
      <c r="F2451" s="315"/>
      <c r="G2451" s="315"/>
      <c r="H2451" s="194" t="s">
        <v>2022</v>
      </c>
      <c r="I2451" s="12"/>
      <c r="J2451" s="96" t="s">
        <v>991</v>
      </c>
      <c r="K2451" s="12"/>
      <c r="L2451" s="255">
        <v>22</v>
      </c>
      <c r="M2451" s="255">
        <v>25</v>
      </c>
      <c r="N2451" s="357">
        <v>1</v>
      </c>
      <c r="O2451" s="46"/>
      <c r="P2451" s="46" t="s">
        <v>304</v>
      </c>
      <c r="Q2451" s="12"/>
      <c r="R2451" s="192" t="str">
        <f>CONCATENATE(N2451,P2451)</f>
        <v>1packs</v>
      </c>
      <c r="S2451" s="198">
        <f>M2451*N2451</f>
        <v>25</v>
      </c>
      <c r="T2451" s="199" t="str">
        <f>CONCATENATE(S2451,Q2451,P2451)</f>
        <v>25packs</v>
      </c>
      <c r="U2451" s="200">
        <f>L2451*M2451</f>
        <v>550</v>
      </c>
      <c r="V2451" s="12"/>
      <c r="W2451" s="12"/>
    </row>
    <row r="2452" spans="1:23" x14ac:dyDescent="0.3">
      <c r="A2452" s="193">
        <v>953</v>
      </c>
      <c r="B2452" s="219" t="s">
        <v>832</v>
      </c>
      <c r="C2452" s="315"/>
      <c r="D2452" s="316"/>
      <c r="E2452" s="315"/>
      <c r="F2452" s="315"/>
      <c r="G2452" s="315"/>
      <c r="H2452" s="194" t="s">
        <v>2021</v>
      </c>
      <c r="I2452" s="12"/>
      <c r="J2452" s="253"/>
      <c r="K2452" s="12"/>
      <c r="L2452" s="285">
        <v>1</v>
      </c>
      <c r="M2452" s="285">
        <v>183</v>
      </c>
      <c r="N2452" s="502">
        <v>1</v>
      </c>
      <c r="O2452" s="219"/>
      <c r="P2452" s="219" t="s">
        <v>92</v>
      </c>
      <c r="Q2452" s="12"/>
      <c r="R2452" s="192" t="str">
        <f>CONCATENATE(N2452,P2452)</f>
        <v>1pieces</v>
      </c>
      <c r="S2452" s="198">
        <f>M2452*N2452</f>
        <v>183</v>
      </c>
      <c r="T2452" s="199" t="str">
        <f>CONCATENATE(S2452,Q2452,P2452)</f>
        <v>183pieces</v>
      </c>
      <c r="U2452" s="200">
        <f>L2452*M2452</f>
        <v>183</v>
      </c>
      <c r="V2452" s="12"/>
      <c r="W2452" s="12"/>
    </row>
    <row r="2453" spans="1:23" x14ac:dyDescent="0.3">
      <c r="A2453" s="193">
        <v>953</v>
      </c>
      <c r="B2453" s="219" t="s">
        <v>832</v>
      </c>
      <c r="C2453" s="315"/>
      <c r="D2453" s="316"/>
      <c r="E2453" s="315"/>
      <c r="F2453" s="315"/>
      <c r="G2453" s="315"/>
      <c r="H2453" s="194" t="s">
        <v>2020</v>
      </c>
      <c r="I2453" s="12"/>
      <c r="J2453" s="239"/>
      <c r="K2453" s="12"/>
      <c r="L2453" s="255">
        <v>2.08</v>
      </c>
      <c r="M2453" s="255">
        <v>2536</v>
      </c>
      <c r="N2453" s="357">
        <v>1</v>
      </c>
      <c r="O2453" s="46"/>
      <c r="P2453" s="46" t="s">
        <v>92</v>
      </c>
      <c r="Q2453" s="12"/>
      <c r="R2453" s="192" t="str">
        <f>CONCATENATE(N2453,P2453)</f>
        <v>1pieces</v>
      </c>
      <c r="S2453" s="198">
        <f>M2453*N2453</f>
        <v>2536</v>
      </c>
      <c r="T2453" s="199" t="str">
        <f>CONCATENATE(S2453,Q2453,P2453)</f>
        <v>2536pieces</v>
      </c>
      <c r="U2453" s="200">
        <f>L2453*M2453</f>
        <v>5274.88</v>
      </c>
      <c r="V2453" s="12"/>
      <c r="W2453" s="12"/>
    </row>
    <row r="2454" spans="1:23" x14ac:dyDescent="0.3">
      <c r="A2454" s="193">
        <v>953</v>
      </c>
      <c r="B2454" s="219" t="s">
        <v>832</v>
      </c>
      <c r="C2454" s="315"/>
      <c r="D2454" s="316"/>
      <c r="E2454" s="315"/>
      <c r="F2454" s="315"/>
      <c r="G2454" s="315"/>
      <c r="H2454" s="194" t="s">
        <v>2021</v>
      </c>
      <c r="I2454" s="12"/>
      <c r="J2454" s="253"/>
      <c r="K2454" s="12"/>
      <c r="L2454" s="285">
        <v>1</v>
      </c>
      <c r="M2454" s="285">
        <v>14</v>
      </c>
      <c r="N2454" s="502">
        <v>1</v>
      </c>
      <c r="O2454" s="219"/>
      <c r="P2454" s="219" t="s">
        <v>304</v>
      </c>
      <c r="Q2454" s="12"/>
      <c r="R2454" s="192" t="str">
        <f>CONCATENATE(N2454,P2454)</f>
        <v>1packs</v>
      </c>
      <c r="S2454" s="198">
        <f>M2454*N2454</f>
        <v>14</v>
      </c>
      <c r="T2454" s="199" t="str">
        <f>CONCATENATE(S2454,Q2454,P2454)</f>
        <v>14packs</v>
      </c>
      <c r="U2454" s="200">
        <f>L2454*M2454</f>
        <v>14</v>
      </c>
      <c r="V2454" s="12"/>
      <c r="W2454" s="12"/>
    </row>
    <row r="2455" spans="1:23" x14ac:dyDescent="0.3">
      <c r="A2455" s="193">
        <v>954</v>
      </c>
      <c r="B2455" s="219" t="s">
        <v>1879</v>
      </c>
      <c r="C2455" s="315"/>
      <c r="D2455" s="316"/>
      <c r="E2455" s="315"/>
      <c r="F2455" s="315"/>
      <c r="G2455" s="315"/>
      <c r="H2455" s="194" t="s">
        <v>2023</v>
      </c>
      <c r="I2455" s="12"/>
      <c r="J2455" s="340" t="s">
        <v>1880</v>
      </c>
      <c r="K2455" s="12"/>
      <c r="L2455" s="285">
        <v>25</v>
      </c>
      <c r="M2455" s="285">
        <v>4</v>
      </c>
      <c r="N2455" s="502">
        <v>1</v>
      </c>
      <c r="O2455" s="219"/>
      <c r="P2455" s="219" t="s">
        <v>304</v>
      </c>
      <c r="Q2455" s="12"/>
      <c r="R2455" s="192" t="str">
        <f>CONCATENATE(N2455,P2455)</f>
        <v>1packs</v>
      </c>
      <c r="S2455" s="198">
        <f>M2455*N2455</f>
        <v>4</v>
      </c>
      <c r="T2455" s="199" t="str">
        <f>CONCATENATE(S2455,Q2455,P2455)</f>
        <v>4packs</v>
      </c>
      <c r="U2455" s="200">
        <f>L2455*M2455</f>
        <v>100</v>
      </c>
      <c r="V2455" s="12"/>
      <c r="W2455" s="12"/>
    </row>
    <row r="2456" spans="1:23" x14ac:dyDescent="0.3">
      <c r="A2456" s="193">
        <v>955</v>
      </c>
      <c r="B2456" s="46" t="s">
        <v>1881</v>
      </c>
      <c r="C2456" s="315"/>
      <c r="D2456" s="316"/>
      <c r="E2456" s="315"/>
      <c r="F2456" s="315"/>
      <c r="G2456" s="315"/>
      <c r="H2456" s="194" t="s">
        <v>2022</v>
      </c>
      <c r="I2456" s="12"/>
      <c r="J2456" s="96" t="s">
        <v>1882</v>
      </c>
      <c r="K2456" s="12"/>
      <c r="L2456" s="255">
        <v>98</v>
      </c>
      <c r="M2456" s="255">
        <v>1</v>
      </c>
      <c r="N2456" s="357">
        <v>150</v>
      </c>
      <c r="O2456" s="46"/>
      <c r="P2456" s="46" t="s">
        <v>39</v>
      </c>
      <c r="Q2456" s="12"/>
      <c r="R2456" s="192" t="str">
        <f>CONCATENATE(N2456,P2456)</f>
        <v>150grams</v>
      </c>
      <c r="S2456" s="198">
        <f>M2456*N2456</f>
        <v>150</v>
      </c>
      <c r="T2456" s="199" t="str">
        <f>CONCATENATE(S2456,Q2456,P2456)</f>
        <v>150grams</v>
      </c>
      <c r="U2456" s="200">
        <f>L2456*M2456</f>
        <v>98</v>
      </c>
      <c r="V2456" s="12"/>
      <c r="W2456" s="12"/>
    </row>
    <row r="2457" spans="1:23" x14ac:dyDescent="0.3">
      <c r="A2457" s="193">
        <v>955</v>
      </c>
      <c r="B2457" s="46" t="s">
        <v>1881</v>
      </c>
      <c r="C2457" s="315"/>
      <c r="D2457" s="316"/>
      <c r="E2457" s="315"/>
      <c r="F2457" s="315"/>
      <c r="G2457" s="315"/>
      <c r="H2457" s="194" t="s">
        <v>2021</v>
      </c>
      <c r="I2457" s="12"/>
      <c r="J2457" s="340" t="s">
        <v>1882</v>
      </c>
      <c r="K2457" s="12"/>
      <c r="L2457" s="285">
        <v>239.5</v>
      </c>
      <c r="M2457" s="285">
        <v>1</v>
      </c>
      <c r="N2457" s="502">
        <v>290</v>
      </c>
      <c r="O2457" s="219"/>
      <c r="P2457" s="219" t="s">
        <v>39</v>
      </c>
      <c r="Q2457" s="12"/>
      <c r="R2457" s="192" t="str">
        <f>CONCATENATE(N2457,P2457)</f>
        <v>290grams</v>
      </c>
      <c r="S2457" s="198">
        <f>M2457*N2457</f>
        <v>290</v>
      </c>
      <c r="T2457" s="199" t="str">
        <f>CONCATENATE(S2457,Q2457,P2457)</f>
        <v>290grams</v>
      </c>
      <c r="U2457" s="200">
        <f>L2457*M2457</f>
        <v>239.5</v>
      </c>
      <c r="V2457" s="12"/>
      <c r="W2457" s="12"/>
    </row>
    <row r="2458" spans="1:23" x14ac:dyDescent="0.3">
      <c r="A2458" s="193">
        <v>956</v>
      </c>
      <c r="B2458" s="194" t="s">
        <v>833</v>
      </c>
      <c r="C2458" s="487"/>
      <c r="D2458" s="485" t="str">
        <f ca="1">IFERROR(__xludf.DUMMYFUNCTION("IF(J662="""",""n/a"",IFERROR(SPLIT(J662,""/"")))"),"Lea &amp; Perrins")</f>
        <v>Lea &amp; Perrins</v>
      </c>
      <c r="E2458" s="485" t="str">
        <f ca="1">IFERROR(__xludf.DUMMYFUNCTION("""COMPUTED_VALUE"""),"bottle")</f>
        <v>bottle</v>
      </c>
      <c r="F2458" s="485">
        <f ca="1">IFERROR(__xludf.DUMMYFUNCTION("""COMPUTED_VALUE"""),270)</f>
        <v>270</v>
      </c>
      <c r="G2458" s="487"/>
      <c r="H2458" s="183" t="s">
        <v>1897</v>
      </c>
      <c r="I2458" s="487"/>
      <c r="J2458" s="96" t="s">
        <v>834</v>
      </c>
      <c r="K2458" s="487"/>
      <c r="L2458" s="271">
        <v>0.92</v>
      </c>
      <c r="M2458" s="271">
        <v>270</v>
      </c>
      <c r="N2458" s="280">
        <v>270</v>
      </c>
      <c r="O2458" s="61" t="str">
        <f ca="1">E2458</f>
        <v>bottle</v>
      </c>
      <c r="P2458" s="61" t="s">
        <v>39</v>
      </c>
      <c r="Q2458" s="12"/>
      <c r="R2458" s="192" t="str">
        <f>CONCATENATE(N2458,P2458)</f>
        <v>270grams</v>
      </c>
      <c r="S2458" s="198">
        <f>M2458*N2458</f>
        <v>72900</v>
      </c>
      <c r="T2458" s="199" t="str">
        <f>CONCATENATE(S2458,Q2458,P2458)</f>
        <v>72900grams</v>
      </c>
      <c r="U2458" s="200">
        <f>L2458*M2458</f>
        <v>248.4</v>
      </c>
      <c r="V2458" s="62"/>
      <c r="W2458" s="12"/>
    </row>
    <row r="2459" spans="1:23" x14ac:dyDescent="0.3">
      <c r="A2459" s="193">
        <v>956</v>
      </c>
      <c r="B2459" s="46" t="s">
        <v>833</v>
      </c>
      <c r="C2459" s="315"/>
      <c r="D2459" s="316"/>
      <c r="E2459" s="315"/>
      <c r="F2459" s="315"/>
      <c r="G2459" s="315"/>
      <c r="H2459" s="194" t="s">
        <v>2026</v>
      </c>
      <c r="I2459" s="12"/>
      <c r="J2459" s="96" t="s">
        <v>1882</v>
      </c>
      <c r="K2459" s="12"/>
      <c r="L2459" s="255">
        <v>76</v>
      </c>
      <c r="M2459" s="255">
        <v>1</v>
      </c>
      <c r="N2459" s="357">
        <v>340</v>
      </c>
      <c r="O2459" s="46"/>
      <c r="P2459" s="46" t="s">
        <v>39</v>
      </c>
      <c r="Q2459" s="12"/>
      <c r="R2459" s="192" t="str">
        <f>CONCATENATE(N2459,P2459)</f>
        <v>340grams</v>
      </c>
      <c r="S2459" s="198">
        <f>M2459*N2459</f>
        <v>340</v>
      </c>
      <c r="T2459" s="199" t="str">
        <f>CONCATENATE(S2459,Q2459,P2459)</f>
        <v>340grams</v>
      </c>
      <c r="U2459" s="200">
        <f>L2459*M2459</f>
        <v>76</v>
      </c>
      <c r="V2459" s="12"/>
      <c r="W2459" s="12"/>
    </row>
    <row r="2460" spans="1:23" x14ac:dyDescent="0.3">
      <c r="A2460" s="193">
        <v>957</v>
      </c>
      <c r="B2460" s="46" t="s">
        <v>2017</v>
      </c>
      <c r="C2460" s="315"/>
      <c r="D2460" s="316"/>
      <c r="E2460" s="315"/>
      <c r="F2460" s="315"/>
      <c r="G2460" s="315"/>
      <c r="H2460" s="400" t="s">
        <v>2027</v>
      </c>
      <c r="I2460" s="12"/>
      <c r="J2460" s="96" t="s">
        <v>2018</v>
      </c>
      <c r="K2460" s="12"/>
      <c r="L2460" s="254">
        <v>10</v>
      </c>
      <c r="M2460" s="255">
        <v>145</v>
      </c>
      <c r="N2460" s="374">
        <v>1</v>
      </c>
      <c r="O2460" s="61"/>
      <c r="P2460" s="61" t="s">
        <v>92</v>
      </c>
      <c r="Q2460" s="12"/>
      <c r="R2460" s="192" t="str">
        <f>CONCATENATE(N2460,P2460)</f>
        <v>1pieces</v>
      </c>
      <c r="S2460" s="198">
        <f>M2460*N2460</f>
        <v>145</v>
      </c>
      <c r="T2460" s="199" t="str">
        <f>CONCATENATE(S2460,Q2460,P2460)</f>
        <v>145pieces</v>
      </c>
      <c r="U2460" s="200">
        <f>L2460*M2460</f>
        <v>1450</v>
      </c>
      <c r="V2460" s="12"/>
      <c r="W2460" s="12"/>
    </row>
    <row r="2461" spans="1:23" x14ac:dyDescent="0.3">
      <c r="A2461" s="193">
        <v>958</v>
      </c>
      <c r="B2461" s="194" t="s">
        <v>835</v>
      </c>
      <c r="C2461" s="487"/>
      <c r="D2461" s="485" t="str">
        <f ca="1">IFERROR(__xludf.DUMMYFUNCTION("IF(J663="""",""n/a"",IFERROR(SPLIT(J663,""/"")))"),"n/a")</f>
        <v>n/a</v>
      </c>
      <c r="E2461" s="487"/>
      <c r="F2461" s="487"/>
      <c r="G2461" s="487"/>
      <c r="H2461" s="206" t="s">
        <v>1898</v>
      </c>
      <c r="I2461" s="487"/>
      <c r="J2461" s="239"/>
      <c r="K2461" s="487"/>
      <c r="L2461" s="255">
        <v>3.82</v>
      </c>
      <c r="M2461" s="390">
        <v>108</v>
      </c>
      <c r="N2461" s="282">
        <v>100</v>
      </c>
      <c r="O2461" s="170">
        <f>E2461</f>
        <v>0</v>
      </c>
      <c r="P2461" s="209" t="s">
        <v>92</v>
      </c>
      <c r="Q2461" s="12"/>
      <c r="R2461" s="192" t="str">
        <f>CONCATENATE(N2461,P2461)</f>
        <v>100pieces</v>
      </c>
      <c r="S2461" s="198">
        <f>M2461*N2461</f>
        <v>10800</v>
      </c>
      <c r="T2461" s="199" t="str">
        <f>CONCATENATE(S2461,Q2461,P2461)</f>
        <v>10800pieces</v>
      </c>
      <c r="U2461" s="200">
        <f>L2461*M2461</f>
        <v>412.56</v>
      </c>
      <c r="V2461" s="12"/>
      <c r="W2461" s="12"/>
    </row>
    <row r="2462" spans="1:23" x14ac:dyDescent="0.3">
      <c r="A2462" s="193">
        <v>959</v>
      </c>
      <c r="B2462" s="219" t="s">
        <v>1883</v>
      </c>
      <c r="C2462" s="315"/>
      <c r="D2462" s="316"/>
      <c r="E2462" s="315"/>
      <c r="F2462" s="315"/>
      <c r="G2462" s="315"/>
      <c r="H2462" s="194" t="s">
        <v>2025</v>
      </c>
      <c r="I2462" s="12"/>
      <c r="J2462" s="239"/>
      <c r="K2462" s="12"/>
      <c r="L2462" s="255">
        <v>120</v>
      </c>
      <c r="M2462" s="255">
        <v>1</v>
      </c>
      <c r="N2462" s="357">
        <v>1</v>
      </c>
      <c r="O2462" s="46"/>
      <c r="P2462" s="46" t="s">
        <v>92</v>
      </c>
      <c r="Q2462" s="12"/>
      <c r="R2462" s="192" t="str">
        <f>CONCATENATE(N2462,P2462)</f>
        <v>1pieces</v>
      </c>
      <c r="S2462" s="198">
        <f>M2462*N2462</f>
        <v>1</v>
      </c>
      <c r="T2462" s="199" t="str">
        <f>CONCATENATE(S2462,Q2462,P2462)</f>
        <v>1pieces</v>
      </c>
      <c r="U2462" s="200">
        <f>L2462*M2462</f>
        <v>120</v>
      </c>
      <c r="V2462" s="12"/>
      <c r="W2462" s="12"/>
    </row>
    <row r="2463" spans="1:23" x14ac:dyDescent="0.3">
      <c r="A2463" s="193">
        <v>960</v>
      </c>
      <c r="B2463" s="46" t="s">
        <v>1884</v>
      </c>
      <c r="C2463" s="315"/>
      <c r="D2463" s="316"/>
      <c r="E2463" s="315"/>
      <c r="F2463" s="315"/>
      <c r="G2463" s="315"/>
      <c r="H2463" s="194" t="s">
        <v>2020</v>
      </c>
      <c r="I2463" s="12"/>
      <c r="J2463" s="96" t="s">
        <v>1004</v>
      </c>
      <c r="K2463" s="12"/>
      <c r="L2463" s="255">
        <v>5</v>
      </c>
      <c r="M2463" s="255">
        <v>21</v>
      </c>
      <c r="N2463" s="357">
        <v>1</v>
      </c>
      <c r="O2463" s="46"/>
      <c r="P2463" s="46" t="s">
        <v>92</v>
      </c>
      <c r="Q2463" s="12"/>
      <c r="R2463" s="192" t="str">
        <f>CONCATENATE(N2463,P2463)</f>
        <v>1pieces</v>
      </c>
      <c r="S2463" s="198">
        <f>M2463*N2463</f>
        <v>21</v>
      </c>
      <c r="T2463" s="199" t="str">
        <f>CONCATENATE(S2463,Q2463,P2463)</f>
        <v>21pieces</v>
      </c>
      <c r="U2463" s="200">
        <f>L2463*M2463</f>
        <v>105</v>
      </c>
      <c r="V2463" s="12"/>
      <c r="W2463" s="12"/>
    </row>
    <row r="2464" spans="1:23" x14ac:dyDescent="0.3">
      <c r="A2464" s="193">
        <v>961</v>
      </c>
      <c r="B2464" s="194" t="s">
        <v>836</v>
      </c>
      <c r="C2464" s="487"/>
      <c r="D2464" s="485" t="str">
        <f ca="1">IFERROR(__xludf.DUMMYFUNCTION("IF(J664="""",""n/a"",IFERROR(SPLIT(J664,""/"")))"),"n/a")</f>
        <v>n/a</v>
      </c>
      <c r="E2464" s="487"/>
      <c r="F2464" s="487"/>
      <c r="G2464" s="487"/>
      <c r="H2464" s="206" t="s">
        <v>1898</v>
      </c>
      <c r="I2464" s="487"/>
      <c r="J2464" s="239"/>
      <c r="K2464" s="487"/>
      <c r="L2464" s="255">
        <v>0.27</v>
      </c>
      <c r="M2464" s="390">
        <v>200</v>
      </c>
      <c r="N2464" s="282">
        <v>200</v>
      </c>
      <c r="O2464" s="170">
        <f>E2464</f>
        <v>0</v>
      </c>
      <c r="P2464" s="222" t="s">
        <v>39</v>
      </c>
      <c r="Q2464" s="12"/>
      <c r="R2464" s="192" t="str">
        <f>CONCATENATE(N2464,P2464)</f>
        <v>200grams</v>
      </c>
      <c r="S2464" s="198">
        <f>M2464*N2464</f>
        <v>40000</v>
      </c>
      <c r="T2464" s="199" t="str">
        <f>CONCATENATE(S2464,Q2464,P2464)</f>
        <v>40000grams</v>
      </c>
      <c r="U2464" s="200">
        <f>L2464*M2464</f>
        <v>54</v>
      </c>
      <c r="V2464" s="12"/>
      <c r="W2464" s="12"/>
    </row>
    <row r="2465" spans="1:23" x14ac:dyDescent="0.3">
      <c r="A2465" s="193">
        <v>962</v>
      </c>
      <c r="B2465" s="214" t="s">
        <v>837</v>
      </c>
      <c r="C2465" s="489"/>
      <c r="D2465" s="485" t="str">
        <f ca="1">IFERROR(__xludf.DUMMYFUNCTION("IF(J665="""",""n/a"",IFERROR(SPLIT(J665,""/"")))"),"n/a")</f>
        <v>n/a</v>
      </c>
      <c r="E2465" s="489"/>
      <c r="F2465" s="489"/>
      <c r="G2465" s="489"/>
      <c r="H2465" s="206" t="s">
        <v>1898</v>
      </c>
      <c r="I2465" s="487"/>
      <c r="J2465" s="239"/>
      <c r="K2465" s="487"/>
      <c r="L2465" s="255">
        <v>8.86</v>
      </c>
      <c r="M2465" s="390">
        <v>10</v>
      </c>
      <c r="N2465" s="283">
        <v>10</v>
      </c>
      <c r="O2465" s="170">
        <f>E2465</f>
        <v>0</v>
      </c>
      <c r="P2465" s="209" t="s">
        <v>92</v>
      </c>
      <c r="Q2465" s="12"/>
      <c r="R2465" s="192" t="str">
        <f>CONCATENATE(N2465,P2465)</f>
        <v>10pieces</v>
      </c>
      <c r="S2465" s="198">
        <f>M2465*N2465</f>
        <v>100</v>
      </c>
      <c r="T2465" s="199" t="str">
        <f>CONCATENATE(S2465,Q2465,P2465)</f>
        <v>100pieces</v>
      </c>
      <c r="U2465" s="200">
        <f>L2465*M2465</f>
        <v>88.6</v>
      </c>
      <c r="V2465" s="12"/>
      <c r="W2465" s="12"/>
    </row>
    <row r="2466" spans="1:23" x14ac:dyDescent="0.3">
      <c r="A2466" s="193">
        <v>963</v>
      </c>
      <c r="B2466" s="214" t="s">
        <v>838</v>
      </c>
      <c r="C2466" s="489"/>
      <c r="D2466" s="485" t="str">
        <f ca="1">IFERROR(__xludf.DUMMYFUNCTION("IF(J666="""",""n/a"",IFERROR(SPLIT(J666,""/"")))"),"n/a")</f>
        <v>n/a</v>
      </c>
      <c r="E2466" s="489"/>
      <c r="F2466" s="489"/>
      <c r="G2466" s="489"/>
      <c r="H2466" s="206" t="s">
        <v>1898</v>
      </c>
      <c r="I2466" s="487"/>
      <c r="J2466" s="239"/>
      <c r="K2466" s="487"/>
      <c r="L2466" s="255">
        <v>8.86</v>
      </c>
      <c r="M2466" s="390">
        <v>29</v>
      </c>
      <c r="N2466" s="283">
        <v>10</v>
      </c>
      <c r="O2466" s="170">
        <f>E2466</f>
        <v>0</v>
      </c>
      <c r="P2466" s="209" t="s">
        <v>92</v>
      </c>
      <c r="Q2466" s="12"/>
      <c r="R2466" s="192" t="str">
        <f>CONCATENATE(N2466,P2466)</f>
        <v>10pieces</v>
      </c>
      <c r="S2466" s="198">
        <f>M2466*N2466</f>
        <v>290</v>
      </c>
      <c r="T2466" s="199" t="str">
        <f>CONCATENATE(S2466,Q2466,P2466)</f>
        <v>290pieces</v>
      </c>
      <c r="U2466" s="200">
        <f>L2466*M2466</f>
        <v>256.94</v>
      </c>
      <c r="V2466" s="12"/>
      <c r="W2466" s="12"/>
    </row>
    <row r="2467" spans="1:23" x14ac:dyDescent="0.3">
      <c r="A2467" s="193">
        <v>964</v>
      </c>
      <c r="B2467" s="214" t="s">
        <v>839</v>
      </c>
      <c r="C2467" s="489"/>
      <c r="D2467" s="485" t="str">
        <f ca="1">IFERROR(__xludf.DUMMYFUNCTION("IF(J667="""",""n/a"",IFERROR(SPLIT(J667,""/"")))"),"n/a")</f>
        <v>n/a</v>
      </c>
      <c r="E2467" s="489"/>
      <c r="F2467" s="489"/>
      <c r="G2467" s="489"/>
      <c r="H2467" s="206" t="s">
        <v>1898</v>
      </c>
      <c r="I2467" s="487"/>
      <c r="J2467" s="239"/>
      <c r="K2467" s="487"/>
      <c r="L2467" s="255">
        <v>8.86</v>
      </c>
      <c r="M2467" s="390">
        <v>20</v>
      </c>
      <c r="N2467" s="283">
        <v>10</v>
      </c>
      <c r="O2467" s="170">
        <f>E2467</f>
        <v>0</v>
      </c>
      <c r="P2467" s="209" t="s">
        <v>92</v>
      </c>
      <c r="Q2467" s="12"/>
      <c r="R2467" s="192" t="str">
        <f>CONCATENATE(N2467,P2467)</f>
        <v>10pieces</v>
      </c>
      <c r="S2467" s="198">
        <f>M2467*N2467</f>
        <v>200</v>
      </c>
      <c r="T2467" s="199" t="str">
        <f>CONCATENATE(S2467,Q2467,P2467)</f>
        <v>200pieces</v>
      </c>
      <c r="U2467" s="200">
        <f>L2467*M2467</f>
        <v>177.2</v>
      </c>
      <c r="V2467" s="12"/>
      <c r="W2467" s="12"/>
    </row>
    <row r="2468" spans="1:23" x14ac:dyDescent="0.3">
      <c r="A2468" s="193" t="str">
        <v/>
      </c>
      <c r="B2468" s="378"/>
      <c r="C2468" s="315"/>
      <c r="D2468" s="316"/>
      <c r="E2468" s="315"/>
      <c r="F2468" s="315"/>
      <c r="G2468" s="315"/>
      <c r="H2468" s="153"/>
      <c r="I2468" s="12"/>
      <c r="J2468" s="170"/>
      <c r="K2468" s="12"/>
      <c r="L2468" s="379"/>
      <c r="M2468" s="380"/>
      <c r="N2468" s="380"/>
      <c r="O2468" s="12"/>
      <c r="P2468" s="381"/>
      <c r="Q2468" s="12"/>
      <c r="R2468" s="12"/>
      <c r="S2468" s="382"/>
      <c r="T2468" s="383"/>
      <c r="U2468" s="384"/>
      <c r="V2468" s="12"/>
      <c r="W2468" s="12"/>
    </row>
    <row r="2469" spans="1:23" x14ac:dyDescent="0.3">
      <c r="A2469" s="193" t="str">
        <v/>
      </c>
      <c r="B2469" s="378"/>
      <c r="C2469" s="315"/>
      <c r="D2469" s="316"/>
      <c r="E2469" s="315"/>
      <c r="F2469" s="315"/>
      <c r="G2469" s="315"/>
      <c r="H2469" s="153"/>
      <c r="I2469" s="12"/>
      <c r="J2469" s="170"/>
      <c r="K2469" s="12"/>
      <c r="L2469" s="379"/>
      <c r="M2469" s="380"/>
      <c r="N2469" s="380"/>
      <c r="O2469" s="12"/>
      <c r="P2469" s="381"/>
      <c r="Q2469" s="12"/>
      <c r="R2469" s="12"/>
      <c r="S2469" s="382"/>
      <c r="T2469" s="383"/>
      <c r="U2469" s="384"/>
      <c r="V2469" s="12"/>
      <c r="W2469" s="12"/>
    </row>
    <row r="2470" spans="1:23" x14ac:dyDescent="0.3">
      <c r="A2470" s="193" t="str">
        <v/>
      </c>
      <c r="B2470" s="378"/>
      <c r="C2470" s="315"/>
      <c r="D2470" s="316"/>
      <c r="E2470" s="315"/>
      <c r="F2470" s="315"/>
      <c r="G2470" s="315"/>
      <c r="H2470" s="153"/>
      <c r="I2470" s="12"/>
      <c r="J2470" s="170"/>
      <c r="K2470" s="12"/>
      <c r="L2470" s="379"/>
      <c r="M2470" s="380"/>
      <c r="N2470" s="380"/>
      <c r="O2470" s="12"/>
      <c r="P2470" s="381"/>
      <c r="Q2470" s="12"/>
      <c r="R2470" s="12"/>
      <c r="S2470" s="382"/>
      <c r="T2470" s="383"/>
      <c r="U2470" s="384"/>
      <c r="V2470" s="12"/>
      <c r="W2470" s="12"/>
    </row>
    <row r="2471" spans="1:23" x14ac:dyDescent="0.3">
      <c r="A2471" s="193" t="str">
        <v/>
      </c>
      <c r="B2471" s="378"/>
      <c r="C2471" s="315"/>
      <c r="D2471" s="316"/>
      <c r="E2471" s="315"/>
      <c r="F2471" s="315"/>
      <c r="G2471" s="315"/>
      <c r="H2471" s="153"/>
      <c r="I2471" s="12"/>
      <c r="J2471" s="170"/>
      <c r="K2471" s="12"/>
      <c r="L2471" s="379"/>
      <c r="M2471" s="380"/>
      <c r="N2471" s="380"/>
      <c r="O2471" s="12"/>
      <c r="P2471" s="381"/>
      <c r="Q2471" s="12"/>
      <c r="R2471" s="12"/>
      <c r="S2471" s="382"/>
      <c r="T2471" s="383"/>
      <c r="U2471" s="384"/>
      <c r="V2471" s="12"/>
      <c r="W2471" s="12"/>
    </row>
    <row r="2472" spans="1:23" x14ac:dyDescent="0.3">
      <c r="A2472" s="193" t="str">
        <v/>
      </c>
      <c r="B2472" s="378"/>
      <c r="C2472" s="315"/>
      <c r="D2472" s="316"/>
      <c r="E2472" s="315"/>
      <c r="F2472" s="315"/>
      <c r="G2472" s="315"/>
      <c r="H2472" s="153"/>
      <c r="I2472" s="12"/>
      <c r="J2472" s="170"/>
      <c r="K2472" s="12"/>
      <c r="L2472" s="379"/>
      <c r="M2472" s="380"/>
      <c r="N2472" s="380"/>
      <c r="O2472" s="12"/>
      <c r="P2472" s="381"/>
      <c r="Q2472" s="12"/>
      <c r="R2472" s="12"/>
      <c r="S2472" s="382"/>
      <c r="T2472" s="383"/>
      <c r="U2472" s="384"/>
      <c r="V2472" s="12"/>
      <c r="W2472" s="12"/>
    </row>
    <row r="2473" spans="1:23" x14ac:dyDescent="0.3">
      <c r="A2473" s="193" t="str">
        <v/>
      </c>
      <c r="B2473" s="378"/>
      <c r="C2473" s="315"/>
      <c r="D2473" s="316"/>
      <c r="E2473" s="315"/>
      <c r="F2473" s="315"/>
      <c r="G2473" s="315"/>
      <c r="H2473" s="153"/>
      <c r="I2473" s="12"/>
      <c r="J2473" s="170"/>
      <c r="K2473" s="12"/>
      <c r="L2473" s="379"/>
      <c r="M2473" s="380"/>
      <c r="N2473" s="380"/>
      <c r="O2473" s="12"/>
      <c r="P2473" s="381"/>
      <c r="Q2473" s="12"/>
      <c r="R2473" s="12"/>
      <c r="S2473" s="382"/>
      <c r="T2473" s="383"/>
      <c r="U2473" s="384"/>
      <c r="V2473" s="12"/>
      <c r="W2473" s="12"/>
    </row>
    <row r="2474" spans="1:23" x14ac:dyDescent="0.3">
      <c r="A2474" s="193" t="str">
        <v/>
      </c>
      <c r="B2474" s="378"/>
      <c r="C2474" s="315"/>
      <c r="D2474" s="316"/>
      <c r="E2474" s="315"/>
      <c r="F2474" s="315"/>
      <c r="G2474" s="315"/>
      <c r="H2474" s="153"/>
      <c r="I2474" s="12"/>
      <c r="J2474" s="170"/>
      <c r="K2474" s="12"/>
      <c r="L2474" s="379"/>
      <c r="M2474" s="380"/>
      <c r="N2474" s="380"/>
      <c r="O2474" s="12"/>
      <c r="P2474" s="381"/>
      <c r="Q2474" s="12"/>
      <c r="R2474" s="12"/>
      <c r="S2474" s="382"/>
      <c r="T2474" s="383"/>
      <c r="U2474" s="384"/>
      <c r="V2474" s="12"/>
      <c r="W2474" s="12"/>
    </row>
    <row r="2475" spans="1:23" x14ac:dyDescent="0.3">
      <c r="A2475" s="193" t="str">
        <v/>
      </c>
      <c r="B2475" s="378"/>
      <c r="C2475" s="315"/>
      <c r="D2475" s="316"/>
      <c r="E2475" s="315"/>
      <c r="F2475" s="315"/>
      <c r="G2475" s="315"/>
      <c r="H2475" s="153"/>
      <c r="I2475" s="12"/>
      <c r="J2475" s="170"/>
      <c r="K2475" s="12"/>
      <c r="L2475" s="379"/>
      <c r="M2475" s="380"/>
      <c r="N2475" s="380"/>
      <c r="O2475" s="12"/>
      <c r="P2475" s="381"/>
      <c r="Q2475" s="12"/>
      <c r="R2475" s="12"/>
      <c r="S2475" s="382"/>
      <c r="T2475" s="383"/>
      <c r="U2475" s="384"/>
      <c r="V2475" s="12"/>
      <c r="W2475" s="12"/>
    </row>
    <row r="2476" spans="1:23" x14ac:dyDescent="0.3">
      <c r="A2476" s="193" t="str">
        <v/>
      </c>
      <c r="B2476" s="378"/>
      <c r="C2476" s="315"/>
      <c r="D2476" s="316"/>
      <c r="E2476" s="315"/>
      <c r="F2476" s="315"/>
      <c r="G2476" s="315"/>
      <c r="H2476" s="153"/>
      <c r="I2476" s="12"/>
      <c r="J2476" s="170"/>
      <c r="K2476" s="12"/>
      <c r="L2476" s="379"/>
      <c r="M2476" s="380"/>
      <c r="N2476" s="380"/>
      <c r="O2476" s="12"/>
      <c r="P2476" s="381"/>
      <c r="Q2476" s="12"/>
      <c r="R2476" s="12"/>
      <c r="S2476" s="382"/>
      <c r="T2476" s="383"/>
      <c r="U2476" s="384"/>
      <c r="V2476" s="12"/>
      <c r="W2476" s="12"/>
    </row>
    <row r="2477" spans="1:23" x14ac:dyDescent="0.3">
      <c r="A2477" s="193" t="str">
        <v/>
      </c>
      <c r="B2477" s="378"/>
      <c r="C2477" s="315"/>
      <c r="D2477" s="316"/>
      <c r="E2477" s="315"/>
      <c r="F2477" s="315"/>
      <c r="G2477" s="315"/>
      <c r="H2477" s="153"/>
      <c r="I2477" s="12"/>
      <c r="J2477" s="170"/>
      <c r="K2477" s="12"/>
      <c r="L2477" s="379"/>
      <c r="M2477" s="380"/>
      <c r="N2477" s="380"/>
      <c r="O2477" s="12"/>
      <c r="P2477" s="381"/>
      <c r="Q2477" s="12"/>
      <c r="R2477" s="12"/>
      <c r="S2477" s="382"/>
      <c r="T2477" s="383"/>
      <c r="U2477" s="384"/>
      <c r="V2477" s="12"/>
      <c r="W2477" s="12"/>
    </row>
    <row r="2478" spans="1:23" x14ac:dyDescent="0.3">
      <c r="A2478" s="193" t="str">
        <v/>
      </c>
      <c r="B2478" s="378"/>
      <c r="C2478" s="315"/>
      <c r="D2478" s="316"/>
      <c r="E2478" s="315"/>
      <c r="F2478" s="315"/>
      <c r="G2478" s="315"/>
      <c r="H2478" s="153"/>
      <c r="I2478" s="12"/>
      <c r="J2478" s="170"/>
      <c r="K2478" s="12"/>
      <c r="L2478" s="379"/>
      <c r="M2478" s="380"/>
      <c r="N2478" s="380"/>
      <c r="O2478" s="12"/>
      <c r="P2478" s="381"/>
      <c r="Q2478" s="12"/>
      <c r="R2478" s="12"/>
      <c r="S2478" s="382"/>
      <c r="T2478" s="383"/>
      <c r="U2478" s="384"/>
      <c r="V2478" s="12"/>
      <c r="W2478" s="12"/>
    </row>
    <row r="2479" spans="1:23" x14ac:dyDescent="0.3">
      <c r="A2479" s="193" t="str">
        <v/>
      </c>
      <c r="B2479" s="378"/>
      <c r="C2479" s="315"/>
      <c r="D2479" s="316"/>
      <c r="E2479" s="315"/>
      <c r="F2479" s="315"/>
      <c r="G2479" s="315"/>
      <c r="H2479" s="153"/>
      <c r="I2479" s="12"/>
      <c r="J2479" s="170"/>
      <c r="K2479" s="12"/>
      <c r="L2479" s="379"/>
      <c r="M2479" s="380"/>
      <c r="N2479" s="380"/>
      <c r="O2479" s="12"/>
      <c r="P2479" s="381"/>
      <c r="Q2479" s="12"/>
      <c r="R2479" s="12"/>
      <c r="S2479" s="382"/>
      <c r="T2479" s="383"/>
      <c r="U2479" s="384"/>
      <c r="V2479" s="12"/>
      <c r="W2479" s="12"/>
    </row>
    <row r="2480" spans="1:23" x14ac:dyDescent="0.3">
      <c r="A2480" s="193" t="str">
        <v/>
      </c>
      <c r="B2480" s="378"/>
      <c r="C2480" s="315"/>
      <c r="D2480" s="316"/>
      <c r="E2480" s="315"/>
      <c r="F2480" s="315"/>
      <c r="G2480" s="315"/>
      <c r="H2480" s="153"/>
      <c r="I2480" s="12"/>
      <c r="J2480" s="170"/>
      <c r="K2480" s="12"/>
      <c r="L2480" s="379"/>
      <c r="M2480" s="380"/>
      <c r="N2480" s="380"/>
      <c r="O2480" s="12"/>
      <c r="P2480" s="381"/>
      <c r="Q2480" s="12"/>
      <c r="R2480" s="12"/>
      <c r="S2480" s="382"/>
      <c r="T2480" s="383"/>
      <c r="U2480" s="384"/>
      <c r="V2480" s="12"/>
      <c r="W2480" s="12"/>
    </row>
    <row r="2481" spans="1:23" x14ac:dyDescent="0.3">
      <c r="A2481" s="193" t="str">
        <v/>
      </c>
      <c r="B2481" s="378"/>
      <c r="C2481" s="315"/>
      <c r="D2481" s="316"/>
      <c r="E2481" s="315"/>
      <c r="F2481" s="315"/>
      <c r="G2481" s="315"/>
      <c r="H2481" s="153"/>
      <c r="I2481" s="12"/>
      <c r="J2481" s="170"/>
      <c r="K2481" s="12"/>
      <c r="L2481" s="379"/>
      <c r="M2481" s="380"/>
      <c r="N2481" s="380"/>
      <c r="O2481" s="12"/>
      <c r="P2481" s="381"/>
      <c r="Q2481" s="12"/>
      <c r="R2481" s="12"/>
      <c r="S2481" s="382"/>
      <c r="T2481" s="383"/>
      <c r="U2481" s="384"/>
      <c r="V2481" s="12"/>
      <c r="W2481" s="12"/>
    </row>
    <row r="2482" spans="1:23" x14ac:dyDescent="0.3">
      <c r="A2482" s="193" t="str">
        <v/>
      </c>
      <c r="B2482" s="378"/>
      <c r="C2482" s="315"/>
      <c r="D2482" s="316"/>
      <c r="E2482" s="315"/>
      <c r="F2482" s="315"/>
      <c r="G2482" s="315"/>
      <c r="H2482" s="153"/>
      <c r="I2482" s="12"/>
      <c r="J2482" s="170"/>
      <c r="K2482" s="12"/>
      <c r="L2482" s="379"/>
      <c r="M2482" s="380"/>
      <c r="N2482" s="380"/>
      <c r="O2482" s="12"/>
      <c r="P2482" s="381"/>
      <c r="Q2482" s="12"/>
      <c r="R2482" s="12"/>
      <c r="S2482" s="382"/>
      <c r="T2482" s="383"/>
      <c r="U2482" s="384"/>
      <c r="V2482" s="12"/>
      <c r="W2482" s="12"/>
    </row>
    <row r="2483" spans="1:23" x14ac:dyDescent="0.3">
      <c r="A2483" s="193" t="str">
        <v/>
      </c>
      <c r="B2483" s="378"/>
      <c r="C2483" s="315"/>
      <c r="D2483" s="316"/>
      <c r="E2483" s="315"/>
      <c r="F2483" s="315"/>
      <c r="G2483" s="315"/>
      <c r="H2483" s="153"/>
      <c r="I2483" s="12"/>
      <c r="J2483" s="170"/>
      <c r="K2483" s="12"/>
      <c r="L2483" s="379"/>
      <c r="M2483" s="380"/>
      <c r="N2483" s="380"/>
      <c r="O2483" s="12"/>
      <c r="P2483" s="381"/>
      <c r="Q2483" s="12"/>
      <c r="R2483" s="12"/>
      <c r="S2483" s="382"/>
      <c r="T2483" s="383"/>
      <c r="U2483" s="384"/>
      <c r="V2483" s="12"/>
      <c r="W2483" s="12"/>
    </row>
    <row r="2484" spans="1:23" x14ac:dyDescent="0.3">
      <c r="A2484" s="193" t="str">
        <v/>
      </c>
      <c r="B2484" s="378"/>
      <c r="C2484" s="315"/>
      <c r="D2484" s="316"/>
      <c r="E2484" s="315"/>
      <c r="F2484" s="315"/>
      <c r="G2484" s="315"/>
      <c r="H2484" s="153"/>
      <c r="I2484" s="12"/>
      <c r="J2484" s="170"/>
      <c r="K2484" s="12"/>
      <c r="L2484" s="379"/>
      <c r="M2484" s="380"/>
      <c r="N2484" s="380"/>
      <c r="O2484" s="12"/>
      <c r="P2484" s="381"/>
      <c r="Q2484" s="12"/>
      <c r="R2484" s="12"/>
      <c r="S2484" s="382"/>
      <c r="T2484" s="383"/>
      <c r="U2484" s="384"/>
      <c r="V2484" s="12"/>
      <c r="W2484" s="12"/>
    </row>
    <row r="2485" spans="1:23" x14ac:dyDescent="0.3">
      <c r="A2485" s="193" t="str">
        <v/>
      </c>
      <c r="B2485" s="378"/>
      <c r="C2485" s="315"/>
      <c r="D2485" s="316"/>
      <c r="E2485" s="315"/>
      <c r="F2485" s="315"/>
      <c r="G2485" s="315"/>
      <c r="H2485" s="153"/>
      <c r="I2485" s="12"/>
      <c r="J2485" s="170"/>
      <c r="K2485" s="12"/>
      <c r="L2485" s="379"/>
      <c r="M2485" s="380"/>
      <c r="N2485" s="380"/>
      <c r="O2485" s="12"/>
      <c r="P2485" s="381"/>
      <c r="Q2485" s="12"/>
      <c r="R2485" s="12"/>
      <c r="S2485" s="382"/>
      <c r="T2485" s="383"/>
      <c r="U2485" s="384"/>
      <c r="V2485" s="12"/>
      <c r="W2485" s="12"/>
    </row>
    <row r="2486" spans="1:23" x14ac:dyDescent="0.3">
      <c r="A2486" s="193" t="str">
        <v/>
      </c>
      <c r="B2486" s="378"/>
      <c r="C2486" s="315"/>
      <c r="D2486" s="316"/>
      <c r="E2486" s="315"/>
      <c r="F2486" s="315"/>
      <c r="G2486" s="315"/>
      <c r="H2486" s="153"/>
      <c r="I2486" s="12"/>
      <c r="J2486" s="170"/>
      <c r="K2486" s="12"/>
      <c r="L2486" s="379"/>
      <c r="M2486" s="380"/>
      <c r="N2486" s="380"/>
      <c r="O2486" s="12"/>
      <c r="P2486" s="381"/>
      <c r="Q2486" s="12"/>
      <c r="R2486" s="12"/>
      <c r="S2486" s="382"/>
      <c r="T2486" s="383"/>
      <c r="U2486" s="384"/>
      <c r="V2486" s="12"/>
      <c r="W2486" s="12"/>
    </row>
    <row r="2487" spans="1:23" x14ac:dyDescent="0.3">
      <c r="A2487" s="193" t="str">
        <v/>
      </c>
      <c r="B2487" s="378"/>
      <c r="C2487" s="315"/>
      <c r="D2487" s="316"/>
      <c r="E2487" s="315"/>
      <c r="F2487" s="315"/>
      <c r="G2487" s="315"/>
      <c r="H2487" s="153"/>
      <c r="I2487" s="12"/>
      <c r="J2487" s="170"/>
      <c r="K2487" s="12"/>
      <c r="L2487" s="379"/>
      <c r="M2487" s="380"/>
      <c r="N2487" s="380"/>
      <c r="O2487" s="12"/>
      <c r="P2487" s="381"/>
      <c r="Q2487" s="12"/>
      <c r="R2487" s="12"/>
      <c r="S2487" s="382"/>
      <c r="T2487" s="383"/>
      <c r="U2487" s="384"/>
      <c r="V2487" s="12"/>
      <c r="W2487" s="12"/>
    </row>
    <row r="2488" spans="1:23" x14ac:dyDescent="0.3">
      <c r="A2488" s="193" t="str">
        <v/>
      </c>
      <c r="B2488" s="378"/>
      <c r="C2488" s="315"/>
      <c r="D2488" s="316"/>
      <c r="E2488" s="315"/>
      <c r="F2488" s="315"/>
      <c r="G2488" s="315"/>
      <c r="H2488" s="153"/>
      <c r="I2488" s="12"/>
      <c r="J2488" s="170"/>
      <c r="K2488" s="12"/>
      <c r="L2488" s="379"/>
      <c r="M2488" s="380"/>
      <c r="N2488" s="380"/>
      <c r="O2488" s="12"/>
      <c r="P2488" s="381"/>
      <c r="Q2488" s="12"/>
      <c r="R2488" s="12"/>
      <c r="S2488" s="382"/>
      <c r="T2488" s="383"/>
      <c r="U2488" s="384"/>
      <c r="V2488" s="12"/>
      <c r="W2488" s="12"/>
    </row>
    <row r="2489" spans="1:23" x14ac:dyDescent="0.3">
      <c r="A2489" s="193" t="str">
        <v/>
      </c>
      <c r="B2489" s="378"/>
      <c r="C2489" s="315"/>
      <c r="D2489" s="316"/>
      <c r="E2489" s="315"/>
      <c r="F2489" s="315"/>
      <c r="G2489" s="315"/>
      <c r="H2489" s="153"/>
      <c r="I2489" s="12"/>
      <c r="J2489" s="170"/>
      <c r="K2489" s="12"/>
      <c r="L2489" s="379"/>
      <c r="M2489" s="380"/>
      <c r="N2489" s="380"/>
      <c r="O2489" s="12"/>
      <c r="P2489" s="381"/>
      <c r="Q2489" s="12"/>
      <c r="R2489" s="12"/>
      <c r="S2489" s="382"/>
      <c r="T2489" s="383"/>
      <c r="U2489" s="384"/>
      <c r="V2489" s="12"/>
      <c r="W2489" s="12"/>
    </row>
    <row r="2490" spans="1:23" x14ac:dyDescent="0.3">
      <c r="A2490" s="193" t="str">
        <v/>
      </c>
      <c r="B2490" s="378"/>
      <c r="C2490" s="315"/>
      <c r="D2490" s="316"/>
      <c r="E2490" s="315"/>
      <c r="F2490" s="315"/>
      <c r="G2490" s="315"/>
      <c r="H2490" s="153"/>
      <c r="I2490" s="12"/>
      <c r="J2490" s="170"/>
      <c r="K2490" s="12"/>
      <c r="L2490" s="379"/>
      <c r="M2490" s="380"/>
      <c r="N2490" s="380"/>
      <c r="O2490" s="12"/>
      <c r="P2490" s="381"/>
      <c r="Q2490" s="12"/>
      <c r="R2490" s="12"/>
      <c r="S2490" s="382"/>
      <c r="T2490" s="383"/>
      <c r="U2490" s="384"/>
      <c r="V2490" s="12"/>
      <c r="W2490" s="12"/>
    </row>
    <row r="2491" spans="1:23" x14ac:dyDescent="0.3">
      <c r="A2491" s="193" t="str">
        <v/>
      </c>
      <c r="B2491" s="378"/>
      <c r="C2491" s="315"/>
      <c r="D2491" s="316"/>
      <c r="E2491" s="315"/>
      <c r="F2491" s="315"/>
      <c r="G2491" s="315"/>
      <c r="H2491" s="153"/>
      <c r="I2491" s="12"/>
      <c r="J2491" s="170"/>
      <c r="K2491" s="12"/>
      <c r="L2491" s="379"/>
      <c r="M2491" s="380"/>
      <c r="N2491" s="380"/>
      <c r="O2491" s="12"/>
      <c r="P2491" s="381"/>
      <c r="Q2491" s="12"/>
      <c r="R2491" s="12"/>
      <c r="S2491" s="382"/>
      <c r="T2491" s="383"/>
      <c r="U2491" s="384"/>
      <c r="V2491" s="12"/>
      <c r="W2491" s="12"/>
    </row>
    <row r="2492" spans="1:23" x14ac:dyDescent="0.3">
      <c r="A2492" s="193" t="str">
        <v/>
      </c>
      <c r="B2492" s="378"/>
      <c r="C2492" s="315"/>
      <c r="D2492" s="316"/>
      <c r="E2492" s="315"/>
      <c r="F2492" s="315"/>
      <c r="G2492" s="315"/>
      <c r="H2492" s="153"/>
      <c r="I2492" s="12"/>
      <c r="J2492" s="170"/>
      <c r="K2492" s="12"/>
      <c r="L2492" s="379"/>
      <c r="M2492" s="380"/>
      <c r="N2492" s="380"/>
      <c r="O2492" s="12"/>
      <c r="P2492" s="381"/>
      <c r="Q2492" s="12"/>
      <c r="R2492" s="12"/>
      <c r="S2492" s="382"/>
      <c r="T2492" s="383"/>
      <c r="U2492" s="384"/>
      <c r="V2492" s="12"/>
      <c r="W2492" s="12"/>
    </row>
    <row r="2493" spans="1:23" x14ac:dyDescent="0.3">
      <c r="A2493" s="193" t="str">
        <v/>
      </c>
      <c r="B2493" s="378"/>
      <c r="C2493" s="315"/>
      <c r="D2493" s="316"/>
      <c r="E2493" s="315"/>
      <c r="F2493" s="315"/>
      <c r="G2493" s="315"/>
      <c r="H2493" s="153"/>
      <c r="I2493" s="12"/>
      <c r="J2493" s="170"/>
      <c r="K2493" s="12"/>
      <c r="L2493" s="379"/>
      <c r="M2493" s="380"/>
      <c r="N2493" s="380"/>
      <c r="O2493" s="12"/>
      <c r="P2493" s="381"/>
      <c r="Q2493" s="12"/>
      <c r="R2493" s="12"/>
      <c r="S2493" s="382"/>
      <c r="T2493" s="383"/>
      <c r="U2493" s="384"/>
      <c r="V2493" s="12"/>
      <c r="W2493" s="12"/>
    </row>
    <row r="2494" spans="1:23" x14ac:dyDescent="0.3">
      <c r="A2494" s="193" t="str">
        <v/>
      </c>
      <c r="B2494" s="378"/>
      <c r="C2494" s="315"/>
      <c r="D2494" s="316"/>
      <c r="E2494" s="315"/>
      <c r="F2494" s="315"/>
      <c r="G2494" s="315"/>
      <c r="H2494" s="153"/>
      <c r="I2494" s="12"/>
      <c r="J2494" s="170"/>
      <c r="K2494" s="12"/>
      <c r="L2494" s="379"/>
      <c r="M2494" s="380"/>
      <c r="N2494" s="380"/>
      <c r="O2494" s="12"/>
      <c r="P2494" s="381"/>
      <c r="Q2494" s="12"/>
      <c r="R2494" s="12"/>
      <c r="S2494" s="382"/>
      <c r="T2494" s="383"/>
      <c r="U2494" s="384"/>
      <c r="V2494" s="12"/>
      <c r="W2494" s="12"/>
    </row>
    <row r="2495" spans="1:23" x14ac:dyDescent="0.3">
      <c r="A2495" s="193" t="str">
        <v/>
      </c>
      <c r="B2495" s="378"/>
      <c r="C2495" s="315"/>
      <c r="D2495" s="316"/>
      <c r="E2495" s="315"/>
      <c r="F2495" s="315"/>
      <c r="G2495" s="315"/>
      <c r="H2495" s="153"/>
      <c r="I2495" s="12"/>
      <c r="J2495" s="170"/>
      <c r="K2495" s="12"/>
      <c r="L2495" s="379"/>
      <c r="M2495" s="380"/>
      <c r="N2495" s="380"/>
      <c r="O2495" s="12"/>
      <c r="P2495" s="381"/>
      <c r="Q2495" s="12"/>
      <c r="R2495" s="12"/>
      <c r="S2495" s="382"/>
      <c r="T2495" s="383"/>
      <c r="U2495" s="384"/>
      <c r="V2495" s="12"/>
      <c r="W2495" s="12"/>
    </row>
    <row r="2496" spans="1:23" x14ac:dyDescent="0.3">
      <c r="A2496" s="193" t="str">
        <v/>
      </c>
      <c r="B2496" s="378"/>
      <c r="C2496" s="315"/>
      <c r="D2496" s="316"/>
      <c r="E2496" s="315"/>
      <c r="F2496" s="315"/>
      <c r="G2496" s="315"/>
      <c r="H2496" s="153"/>
      <c r="I2496" s="12"/>
      <c r="J2496" s="170"/>
      <c r="K2496" s="12"/>
      <c r="L2496" s="379"/>
      <c r="M2496" s="380"/>
      <c r="N2496" s="380"/>
      <c r="O2496" s="12"/>
      <c r="P2496" s="381"/>
      <c r="Q2496" s="12"/>
      <c r="R2496" s="12"/>
      <c r="S2496" s="382"/>
      <c r="T2496" s="383"/>
      <c r="U2496" s="384"/>
      <c r="V2496" s="12"/>
      <c r="W2496" s="12"/>
    </row>
    <row r="2497" spans="1:23" x14ac:dyDescent="0.3">
      <c r="A2497" s="193" t="str">
        <v/>
      </c>
      <c r="B2497" s="378"/>
      <c r="C2497" s="315"/>
      <c r="D2497" s="316"/>
      <c r="E2497" s="315"/>
      <c r="F2497" s="315"/>
      <c r="G2497" s="315"/>
      <c r="H2497" s="153"/>
      <c r="I2497" s="12"/>
      <c r="J2497" s="170"/>
      <c r="K2497" s="12"/>
      <c r="L2497" s="379"/>
      <c r="M2497" s="380"/>
      <c r="N2497" s="380"/>
      <c r="O2497" s="12"/>
      <c r="P2497" s="381"/>
      <c r="Q2497" s="12"/>
      <c r="R2497" s="12"/>
      <c r="S2497" s="382"/>
      <c r="T2497" s="383"/>
      <c r="U2497" s="384"/>
      <c r="V2497" s="12"/>
      <c r="W2497" s="12"/>
    </row>
    <row r="2498" spans="1:23" x14ac:dyDescent="0.3">
      <c r="A2498" s="193" t="str">
        <v/>
      </c>
      <c r="B2498" s="378"/>
      <c r="C2498" s="315"/>
      <c r="D2498" s="316"/>
      <c r="E2498" s="315"/>
      <c r="F2498" s="315"/>
      <c r="G2498" s="315"/>
      <c r="H2498" s="153"/>
      <c r="I2498" s="12"/>
      <c r="J2498" s="170"/>
      <c r="K2498" s="12"/>
      <c r="L2498" s="379"/>
      <c r="M2498" s="380"/>
      <c r="N2498" s="380"/>
      <c r="O2498" s="12"/>
      <c r="P2498" s="381"/>
      <c r="Q2498" s="12"/>
      <c r="R2498" s="12"/>
      <c r="S2498" s="382"/>
      <c r="T2498" s="383"/>
      <c r="U2498" s="384"/>
      <c r="V2498" s="12"/>
      <c r="W2498" s="12"/>
    </row>
    <row r="2499" spans="1:23" x14ac:dyDescent="0.3">
      <c r="A2499" s="193" t="str">
        <v/>
      </c>
      <c r="B2499" s="378"/>
      <c r="C2499" s="315"/>
      <c r="D2499" s="316"/>
      <c r="E2499" s="315"/>
      <c r="F2499" s="315"/>
      <c r="G2499" s="315"/>
      <c r="H2499" s="153"/>
      <c r="I2499" s="12"/>
      <c r="J2499" s="170"/>
      <c r="K2499" s="12"/>
      <c r="L2499" s="379"/>
      <c r="M2499" s="380"/>
      <c r="N2499" s="380"/>
      <c r="O2499" s="12"/>
      <c r="P2499" s="381"/>
      <c r="Q2499" s="12"/>
      <c r="R2499" s="12"/>
      <c r="S2499" s="382"/>
      <c r="T2499" s="383"/>
      <c r="U2499" s="384"/>
      <c r="V2499" s="12"/>
      <c r="W2499" s="12"/>
    </row>
    <row r="2500" spans="1:23" x14ac:dyDescent="0.3">
      <c r="A2500" s="193" t="str">
        <v/>
      </c>
      <c r="B2500" s="378"/>
      <c r="C2500" s="315"/>
      <c r="D2500" s="316"/>
      <c r="E2500" s="315"/>
      <c r="F2500" s="315"/>
      <c r="G2500" s="315"/>
      <c r="H2500" s="153"/>
      <c r="I2500" s="12"/>
      <c r="J2500" s="170"/>
      <c r="K2500" s="12"/>
      <c r="L2500" s="379"/>
      <c r="M2500" s="380"/>
      <c r="N2500" s="380"/>
      <c r="O2500" s="12"/>
      <c r="P2500" s="381"/>
      <c r="Q2500" s="12"/>
      <c r="R2500" s="12"/>
      <c r="S2500" s="382"/>
      <c r="T2500" s="383"/>
      <c r="U2500" s="384"/>
      <c r="V2500" s="12"/>
      <c r="W2500" s="12"/>
    </row>
    <row r="2501" spans="1:23" x14ac:dyDescent="0.3">
      <c r="A2501" s="193" t="str">
        <v/>
      </c>
      <c r="B2501" s="378"/>
      <c r="C2501" s="315"/>
      <c r="D2501" s="316"/>
      <c r="E2501" s="315"/>
      <c r="F2501" s="315"/>
      <c r="G2501" s="315"/>
      <c r="H2501" s="153"/>
      <c r="I2501" s="12"/>
      <c r="J2501" s="170"/>
      <c r="K2501" s="12"/>
      <c r="L2501" s="379"/>
      <c r="M2501" s="380"/>
      <c r="N2501" s="380"/>
      <c r="O2501" s="12"/>
      <c r="P2501" s="381"/>
      <c r="Q2501" s="12"/>
      <c r="R2501" s="12"/>
      <c r="S2501" s="382"/>
      <c r="T2501" s="383"/>
      <c r="U2501" s="384"/>
      <c r="V2501" s="12"/>
      <c r="W2501" s="12"/>
    </row>
    <row r="2502" spans="1:23" x14ac:dyDescent="0.3">
      <c r="A2502" s="193" t="str">
        <v/>
      </c>
      <c r="B2502" s="378"/>
      <c r="C2502" s="315"/>
      <c r="D2502" s="316"/>
      <c r="E2502" s="315"/>
      <c r="F2502" s="315"/>
      <c r="G2502" s="315"/>
      <c r="H2502" s="153"/>
      <c r="I2502" s="12"/>
      <c r="J2502" s="170"/>
      <c r="K2502" s="12"/>
      <c r="L2502" s="379"/>
      <c r="M2502" s="380"/>
      <c r="N2502" s="380"/>
      <c r="O2502" s="12"/>
      <c r="P2502" s="381"/>
      <c r="Q2502" s="12"/>
      <c r="R2502" s="12"/>
      <c r="S2502" s="382"/>
      <c r="T2502" s="383"/>
      <c r="U2502" s="384"/>
      <c r="V2502" s="12"/>
      <c r="W2502" s="12"/>
    </row>
    <row r="2503" spans="1:23" x14ac:dyDescent="0.3">
      <c r="A2503" s="193" t="str">
        <v/>
      </c>
      <c r="B2503" s="378"/>
      <c r="C2503" s="315"/>
      <c r="D2503" s="316"/>
      <c r="E2503" s="315"/>
      <c r="F2503" s="315"/>
      <c r="G2503" s="315"/>
      <c r="H2503" s="153"/>
      <c r="I2503" s="12"/>
      <c r="J2503" s="170"/>
      <c r="K2503" s="12"/>
      <c r="L2503" s="379"/>
      <c r="M2503" s="380"/>
      <c r="N2503" s="380"/>
      <c r="O2503" s="12"/>
      <c r="P2503" s="381"/>
      <c r="Q2503" s="12"/>
      <c r="R2503" s="12"/>
      <c r="S2503" s="382"/>
      <c r="T2503" s="383"/>
      <c r="U2503" s="384"/>
      <c r="V2503" s="12"/>
      <c r="W2503" s="12"/>
    </row>
    <row r="2504" spans="1:23" x14ac:dyDescent="0.3">
      <c r="A2504" s="193" t="str">
        <v/>
      </c>
      <c r="B2504" s="378"/>
      <c r="C2504" s="315"/>
      <c r="D2504" s="316"/>
      <c r="E2504" s="315"/>
      <c r="F2504" s="315"/>
      <c r="G2504" s="315"/>
      <c r="H2504" s="153"/>
      <c r="I2504" s="12"/>
      <c r="J2504" s="170"/>
      <c r="K2504" s="12"/>
      <c r="L2504" s="379"/>
      <c r="M2504" s="380"/>
      <c r="N2504" s="380"/>
      <c r="O2504" s="12"/>
      <c r="P2504" s="381"/>
      <c r="Q2504" s="12"/>
      <c r="R2504" s="12"/>
      <c r="S2504" s="382"/>
      <c r="T2504" s="383"/>
      <c r="U2504" s="384"/>
      <c r="V2504" s="12"/>
      <c r="W2504" s="12"/>
    </row>
    <row r="2505" spans="1:23" x14ac:dyDescent="0.3">
      <c r="A2505" s="193" t="str">
        <v/>
      </c>
      <c r="B2505" s="378"/>
      <c r="C2505" s="315"/>
      <c r="D2505" s="316"/>
      <c r="E2505" s="315"/>
      <c r="F2505" s="315"/>
      <c r="G2505" s="315"/>
      <c r="H2505" s="153"/>
      <c r="I2505" s="12"/>
      <c r="J2505" s="170"/>
      <c r="K2505" s="12"/>
      <c r="L2505" s="379"/>
      <c r="M2505" s="380"/>
      <c r="N2505" s="380"/>
      <c r="O2505" s="12"/>
      <c r="P2505" s="381"/>
      <c r="Q2505" s="12"/>
      <c r="R2505" s="12"/>
      <c r="S2505" s="382"/>
      <c r="T2505" s="383"/>
      <c r="U2505" s="384"/>
      <c r="V2505" s="12"/>
      <c r="W2505" s="12"/>
    </row>
    <row r="2506" spans="1:23" x14ac:dyDescent="0.3">
      <c r="A2506" s="193" t="str">
        <v/>
      </c>
      <c r="B2506" s="378"/>
      <c r="C2506" s="315"/>
      <c r="D2506" s="316"/>
      <c r="E2506" s="315"/>
      <c r="F2506" s="315"/>
      <c r="G2506" s="315"/>
      <c r="H2506" s="153"/>
      <c r="I2506" s="12"/>
      <c r="J2506" s="170"/>
      <c r="K2506" s="12"/>
      <c r="L2506" s="379"/>
      <c r="M2506" s="380"/>
      <c r="N2506" s="380"/>
      <c r="O2506" s="12"/>
      <c r="P2506" s="381"/>
      <c r="Q2506" s="12"/>
      <c r="R2506" s="12"/>
      <c r="S2506" s="382"/>
      <c r="T2506" s="383"/>
      <c r="U2506" s="384"/>
      <c r="V2506" s="12"/>
      <c r="W2506" s="12"/>
    </row>
    <row r="2507" spans="1:23" x14ac:dyDescent="0.3">
      <c r="A2507" s="193" t="str">
        <v/>
      </c>
      <c r="B2507" s="378"/>
      <c r="C2507" s="315"/>
      <c r="D2507" s="316"/>
      <c r="E2507" s="315"/>
      <c r="F2507" s="315"/>
      <c r="G2507" s="315"/>
      <c r="H2507" s="153"/>
      <c r="I2507" s="12"/>
      <c r="J2507" s="170"/>
      <c r="K2507" s="12"/>
      <c r="L2507" s="379"/>
      <c r="M2507" s="380"/>
      <c r="N2507" s="380"/>
      <c r="O2507" s="12"/>
      <c r="P2507" s="381"/>
      <c r="Q2507" s="12"/>
      <c r="R2507" s="12"/>
      <c r="S2507" s="382"/>
      <c r="T2507" s="383"/>
      <c r="U2507" s="384"/>
      <c r="V2507" s="12"/>
      <c r="W2507" s="12"/>
    </row>
    <row r="2508" spans="1:23" x14ac:dyDescent="0.3">
      <c r="A2508" s="193" t="str">
        <v/>
      </c>
      <c r="B2508" s="378"/>
      <c r="C2508" s="315"/>
      <c r="D2508" s="316"/>
      <c r="E2508" s="315"/>
      <c r="F2508" s="315"/>
      <c r="G2508" s="315"/>
      <c r="H2508" s="153"/>
      <c r="I2508" s="12"/>
      <c r="J2508" s="170"/>
      <c r="K2508" s="12"/>
      <c r="L2508" s="379"/>
      <c r="M2508" s="380"/>
      <c r="N2508" s="380"/>
      <c r="O2508" s="12"/>
      <c r="P2508" s="381"/>
      <c r="Q2508" s="12"/>
      <c r="R2508" s="12"/>
      <c r="S2508" s="382"/>
      <c r="T2508" s="383"/>
      <c r="U2508" s="384"/>
      <c r="V2508" s="12"/>
      <c r="W2508" s="12"/>
    </row>
    <row r="2509" spans="1:23" x14ac:dyDescent="0.3">
      <c r="A2509" s="193" t="str">
        <v/>
      </c>
      <c r="B2509" s="378"/>
      <c r="C2509" s="315"/>
      <c r="D2509" s="316"/>
      <c r="E2509" s="315"/>
      <c r="F2509" s="315"/>
      <c r="G2509" s="315"/>
      <c r="H2509" s="153"/>
      <c r="I2509" s="12"/>
      <c r="J2509" s="170"/>
      <c r="K2509" s="12"/>
      <c r="L2509" s="379"/>
      <c r="M2509" s="380"/>
      <c r="N2509" s="380"/>
      <c r="O2509" s="12"/>
      <c r="P2509" s="381"/>
      <c r="Q2509" s="12"/>
      <c r="R2509" s="12"/>
      <c r="S2509" s="382"/>
      <c r="T2509" s="383"/>
      <c r="U2509" s="384"/>
      <c r="V2509" s="12"/>
      <c r="W2509" s="12"/>
    </row>
    <row r="2510" spans="1:23" x14ac:dyDescent="0.3">
      <c r="A2510" s="193" t="str">
        <v/>
      </c>
      <c r="B2510" s="378"/>
      <c r="C2510" s="315"/>
      <c r="D2510" s="316"/>
      <c r="E2510" s="315"/>
      <c r="F2510" s="315"/>
      <c r="G2510" s="315"/>
      <c r="H2510" s="153"/>
      <c r="I2510" s="12"/>
      <c r="J2510" s="170"/>
      <c r="K2510" s="12"/>
      <c r="L2510" s="379"/>
      <c r="M2510" s="380"/>
      <c r="N2510" s="380"/>
      <c r="O2510" s="12"/>
      <c r="P2510" s="381"/>
      <c r="Q2510" s="12"/>
      <c r="R2510" s="12"/>
      <c r="S2510" s="382"/>
      <c r="T2510" s="383"/>
      <c r="U2510" s="384"/>
      <c r="V2510" s="12"/>
      <c r="W2510" s="12"/>
    </row>
    <row r="2511" spans="1:23" x14ac:dyDescent="0.3">
      <c r="A2511" s="193" t="str">
        <v/>
      </c>
      <c r="B2511" s="378"/>
      <c r="C2511" s="315"/>
      <c r="D2511" s="316"/>
      <c r="E2511" s="315"/>
      <c r="F2511" s="315"/>
      <c r="G2511" s="315"/>
      <c r="H2511" s="153"/>
      <c r="I2511" s="12"/>
      <c r="J2511" s="170"/>
      <c r="K2511" s="12"/>
      <c r="L2511" s="379"/>
      <c r="M2511" s="380"/>
      <c r="N2511" s="380"/>
      <c r="O2511" s="12"/>
      <c r="P2511" s="381"/>
      <c r="Q2511" s="12"/>
      <c r="R2511" s="12"/>
      <c r="S2511" s="382"/>
      <c r="T2511" s="383"/>
      <c r="U2511" s="384"/>
      <c r="V2511" s="12"/>
      <c r="W2511" s="12"/>
    </row>
    <row r="2512" spans="1:23" x14ac:dyDescent="0.3">
      <c r="A2512" s="193" t="str">
        <v/>
      </c>
      <c r="B2512" s="378"/>
      <c r="C2512" s="315"/>
      <c r="D2512" s="316"/>
      <c r="E2512" s="315"/>
      <c r="F2512" s="315"/>
      <c r="G2512" s="315"/>
      <c r="H2512" s="153"/>
      <c r="I2512" s="12"/>
      <c r="J2512" s="170"/>
      <c r="K2512" s="12"/>
      <c r="L2512" s="379"/>
      <c r="M2512" s="380"/>
      <c r="N2512" s="380"/>
      <c r="O2512" s="12"/>
      <c r="P2512" s="381"/>
      <c r="Q2512" s="12"/>
      <c r="R2512" s="12"/>
      <c r="S2512" s="382"/>
      <c r="T2512" s="383"/>
      <c r="U2512" s="384"/>
      <c r="V2512" s="12"/>
      <c r="W2512" s="12"/>
    </row>
    <row r="2513" spans="1:23" x14ac:dyDescent="0.3">
      <c r="A2513" s="193" t="str">
        <v/>
      </c>
      <c r="B2513" s="378"/>
      <c r="C2513" s="315"/>
      <c r="D2513" s="316"/>
      <c r="E2513" s="315"/>
      <c r="F2513" s="315"/>
      <c r="G2513" s="315"/>
      <c r="H2513" s="153"/>
      <c r="I2513" s="12"/>
      <c r="J2513" s="170"/>
      <c r="K2513" s="12"/>
      <c r="L2513" s="379"/>
      <c r="M2513" s="380"/>
      <c r="N2513" s="380"/>
      <c r="O2513" s="12"/>
      <c r="P2513" s="381"/>
      <c r="Q2513" s="12"/>
      <c r="R2513" s="12"/>
      <c r="S2513" s="382"/>
      <c r="T2513" s="383"/>
      <c r="U2513" s="384"/>
      <c r="V2513" s="12"/>
      <c r="W2513" s="12"/>
    </row>
    <row r="2514" spans="1:23" x14ac:dyDescent="0.3">
      <c r="A2514" s="193" t="str">
        <v/>
      </c>
      <c r="B2514" s="378"/>
      <c r="C2514" s="315"/>
      <c r="D2514" s="316"/>
      <c r="E2514" s="315"/>
      <c r="F2514" s="315"/>
      <c r="G2514" s="315"/>
      <c r="H2514" s="153"/>
      <c r="I2514" s="12"/>
      <c r="J2514" s="170"/>
      <c r="K2514" s="12"/>
      <c r="L2514" s="379"/>
      <c r="M2514" s="380"/>
      <c r="N2514" s="380"/>
      <c r="O2514" s="12"/>
      <c r="P2514" s="381"/>
      <c r="Q2514" s="12"/>
      <c r="R2514" s="12"/>
      <c r="S2514" s="382"/>
      <c r="T2514" s="383"/>
      <c r="U2514" s="384"/>
      <c r="V2514" s="12"/>
      <c r="W2514" s="12"/>
    </row>
    <row r="2515" spans="1:23" x14ac:dyDescent="0.3">
      <c r="A2515" s="193" t="str">
        <v/>
      </c>
      <c r="B2515" s="378"/>
      <c r="C2515" s="315"/>
      <c r="D2515" s="316"/>
      <c r="E2515" s="315"/>
      <c r="F2515" s="315"/>
      <c r="G2515" s="315"/>
      <c r="H2515" s="153"/>
      <c r="I2515" s="12"/>
      <c r="J2515" s="170"/>
      <c r="K2515" s="12"/>
      <c r="L2515" s="379"/>
      <c r="M2515" s="380"/>
      <c r="N2515" s="380"/>
      <c r="O2515" s="12"/>
      <c r="P2515" s="381"/>
      <c r="Q2515" s="12"/>
      <c r="R2515" s="12"/>
      <c r="S2515" s="382"/>
      <c r="T2515" s="383"/>
      <c r="U2515" s="384"/>
      <c r="V2515" s="12"/>
      <c r="W2515" s="12"/>
    </row>
    <row r="2516" spans="1:23" x14ac:dyDescent="0.3">
      <c r="A2516" s="193" t="str">
        <v/>
      </c>
      <c r="B2516" s="378"/>
      <c r="C2516" s="315"/>
      <c r="D2516" s="316"/>
      <c r="E2516" s="315"/>
      <c r="F2516" s="315"/>
      <c r="G2516" s="315"/>
      <c r="H2516" s="153"/>
      <c r="I2516" s="12"/>
      <c r="J2516" s="170"/>
      <c r="K2516" s="12"/>
      <c r="L2516" s="379"/>
      <c r="M2516" s="380"/>
      <c r="N2516" s="380"/>
      <c r="O2516" s="12"/>
      <c r="P2516" s="381"/>
      <c r="Q2516" s="12"/>
      <c r="R2516" s="12"/>
      <c r="S2516" s="382"/>
      <c r="T2516" s="383"/>
      <c r="U2516" s="384"/>
      <c r="V2516" s="12"/>
      <c r="W2516" s="12"/>
    </row>
    <row r="2517" spans="1:23" x14ac:dyDescent="0.3">
      <c r="A2517" s="193" t="str">
        <v/>
      </c>
      <c r="B2517" s="378"/>
      <c r="C2517" s="315"/>
      <c r="D2517" s="316"/>
      <c r="E2517" s="315"/>
      <c r="F2517" s="315"/>
      <c r="G2517" s="315"/>
      <c r="H2517" s="153"/>
      <c r="I2517" s="12"/>
      <c r="J2517" s="170"/>
      <c r="K2517" s="12"/>
      <c r="L2517" s="379"/>
      <c r="M2517" s="380"/>
      <c r="N2517" s="380"/>
      <c r="O2517" s="12"/>
      <c r="P2517" s="381"/>
      <c r="Q2517" s="12"/>
      <c r="R2517" s="12"/>
      <c r="S2517" s="382"/>
      <c r="T2517" s="383"/>
      <c r="U2517" s="384"/>
      <c r="V2517" s="12"/>
      <c r="W2517" s="12"/>
    </row>
    <row r="2518" spans="1:23" x14ac:dyDescent="0.3">
      <c r="A2518" s="193" t="str">
        <v/>
      </c>
      <c r="B2518" s="378"/>
      <c r="C2518" s="315"/>
      <c r="D2518" s="316"/>
      <c r="E2518" s="315"/>
      <c r="F2518" s="315"/>
      <c r="G2518" s="315"/>
      <c r="H2518" s="153"/>
      <c r="I2518" s="12"/>
      <c r="J2518" s="170"/>
      <c r="K2518" s="12"/>
      <c r="L2518" s="379"/>
      <c r="M2518" s="380"/>
      <c r="N2518" s="380"/>
      <c r="O2518" s="12"/>
      <c r="P2518" s="381"/>
      <c r="Q2518" s="12"/>
      <c r="R2518" s="12"/>
      <c r="S2518" s="382"/>
      <c r="T2518" s="383"/>
      <c r="U2518" s="384"/>
      <c r="V2518" s="12"/>
      <c r="W2518" s="12"/>
    </row>
    <row r="2519" spans="1:23" x14ac:dyDescent="0.3">
      <c r="A2519" s="193" t="str">
        <v/>
      </c>
      <c r="B2519" s="378"/>
      <c r="C2519" s="315"/>
      <c r="D2519" s="316"/>
      <c r="E2519" s="315"/>
      <c r="F2519" s="315"/>
      <c r="G2519" s="315"/>
      <c r="H2519" s="153"/>
      <c r="I2519" s="12"/>
      <c r="J2519" s="170"/>
      <c r="K2519" s="12"/>
      <c r="L2519" s="379"/>
      <c r="M2519" s="380"/>
      <c r="N2519" s="380"/>
      <c r="O2519" s="12"/>
      <c r="P2519" s="381"/>
      <c r="Q2519" s="12"/>
      <c r="R2519" s="12"/>
      <c r="S2519" s="382"/>
      <c r="T2519" s="383"/>
      <c r="U2519" s="384"/>
      <c r="V2519" s="12"/>
      <c r="W2519" s="12"/>
    </row>
    <row r="2520" spans="1:23" x14ac:dyDescent="0.3">
      <c r="A2520" s="193" t="str">
        <v/>
      </c>
      <c r="B2520" s="378"/>
      <c r="C2520" s="315"/>
      <c r="D2520" s="316"/>
      <c r="E2520" s="315"/>
      <c r="F2520" s="315"/>
      <c r="G2520" s="315"/>
      <c r="H2520" s="153"/>
      <c r="I2520" s="12"/>
      <c r="J2520" s="170"/>
      <c r="K2520" s="12"/>
      <c r="L2520" s="379"/>
      <c r="M2520" s="380"/>
      <c r="N2520" s="380"/>
      <c r="O2520" s="12"/>
      <c r="P2520" s="381"/>
      <c r="Q2520" s="12"/>
      <c r="R2520" s="12"/>
      <c r="S2520" s="382"/>
      <c r="T2520" s="383"/>
      <c r="U2520" s="384"/>
      <c r="V2520" s="12"/>
      <c r="W2520" s="12"/>
    </row>
    <row r="2521" spans="1:23" x14ac:dyDescent="0.3">
      <c r="A2521" s="193" t="str">
        <v/>
      </c>
      <c r="B2521" s="378"/>
      <c r="C2521" s="315"/>
      <c r="D2521" s="316"/>
      <c r="E2521" s="315"/>
      <c r="F2521" s="315"/>
      <c r="G2521" s="315"/>
      <c r="H2521" s="153"/>
      <c r="I2521" s="12"/>
      <c r="J2521" s="170"/>
      <c r="K2521" s="12"/>
      <c r="L2521" s="379"/>
      <c r="M2521" s="380"/>
      <c r="N2521" s="380"/>
      <c r="O2521" s="12"/>
      <c r="P2521" s="381"/>
      <c r="Q2521" s="12"/>
      <c r="R2521" s="12"/>
      <c r="S2521" s="382"/>
      <c r="T2521" s="383"/>
      <c r="U2521" s="384"/>
      <c r="V2521" s="12"/>
      <c r="W2521" s="12"/>
    </row>
    <row r="2522" spans="1:23" x14ac:dyDescent="0.3">
      <c r="A2522" s="193" t="str">
        <v/>
      </c>
      <c r="B2522" s="378"/>
      <c r="C2522" s="315"/>
      <c r="D2522" s="316"/>
      <c r="E2522" s="315"/>
      <c r="F2522" s="315"/>
      <c r="G2522" s="315"/>
      <c r="H2522" s="153"/>
      <c r="I2522" s="12"/>
      <c r="J2522" s="170"/>
      <c r="K2522" s="12"/>
      <c r="L2522" s="379"/>
      <c r="M2522" s="380"/>
      <c r="N2522" s="380"/>
      <c r="O2522" s="12"/>
      <c r="P2522" s="381"/>
      <c r="Q2522" s="12"/>
      <c r="R2522" s="12"/>
      <c r="S2522" s="382"/>
      <c r="T2522" s="383"/>
      <c r="U2522" s="384"/>
      <c r="V2522" s="12"/>
      <c r="W2522" s="12"/>
    </row>
    <row r="2523" spans="1:23" x14ac:dyDescent="0.3">
      <c r="A2523" s="193" t="str">
        <v/>
      </c>
      <c r="B2523" s="378"/>
      <c r="C2523" s="315"/>
      <c r="D2523" s="316"/>
      <c r="E2523" s="315"/>
      <c r="F2523" s="315"/>
      <c r="G2523" s="315"/>
      <c r="H2523" s="153"/>
      <c r="I2523" s="12"/>
      <c r="J2523" s="170"/>
      <c r="K2523" s="12"/>
      <c r="L2523" s="379"/>
      <c r="M2523" s="380"/>
      <c r="N2523" s="380"/>
      <c r="O2523" s="12"/>
      <c r="P2523" s="381"/>
      <c r="Q2523" s="12"/>
      <c r="R2523" s="12"/>
      <c r="S2523" s="382"/>
      <c r="T2523" s="383"/>
      <c r="U2523" s="384"/>
      <c r="V2523" s="12"/>
      <c r="W2523" s="12"/>
    </row>
    <row r="2524" spans="1:23" x14ac:dyDescent="0.3">
      <c r="A2524" s="193" t="str">
        <v/>
      </c>
      <c r="B2524" s="378"/>
      <c r="C2524" s="315"/>
      <c r="D2524" s="316"/>
      <c r="E2524" s="315"/>
      <c r="F2524" s="315"/>
      <c r="G2524" s="315"/>
      <c r="H2524" s="153"/>
      <c r="I2524" s="12"/>
      <c r="J2524" s="170"/>
      <c r="K2524" s="12"/>
      <c r="L2524" s="379"/>
      <c r="M2524" s="380"/>
      <c r="N2524" s="380"/>
      <c r="O2524" s="12"/>
      <c r="P2524" s="381"/>
      <c r="Q2524" s="12"/>
      <c r="R2524" s="12"/>
      <c r="S2524" s="382"/>
      <c r="T2524" s="383"/>
      <c r="U2524" s="384"/>
      <c r="V2524" s="12"/>
      <c r="W2524" s="12"/>
    </row>
    <row r="2525" spans="1:23" x14ac:dyDescent="0.3">
      <c r="A2525" s="193" t="str">
        <v/>
      </c>
      <c r="B2525" s="378"/>
      <c r="C2525" s="315"/>
      <c r="D2525" s="316"/>
      <c r="E2525" s="315"/>
      <c r="F2525" s="315"/>
      <c r="G2525" s="315"/>
      <c r="H2525" s="153"/>
      <c r="I2525" s="12"/>
      <c r="J2525" s="170"/>
      <c r="K2525" s="12"/>
      <c r="L2525" s="379"/>
      <c r="M2525" s="380"/>
      <c r="N2525" s="380"/>
      <c r="O2525" s="12"/>
      <c r="P2525" s="381"/>
      <c r="Q2525" s="12"/>
      <c r="R2525" s="12"/>
      <c r="S2525" s="382"/>
      <c r="T2525" s="383"/>
      <c r="U2525" s="384"/>
      <c r="V2525" s="12"/>
      <c r="W2525" s="12"/>
    </row>
    <row r="2526" spans="1:23" x14ac:dyDescent="0.3">
      <c r="A2526" s="193" t="str">
        <v/>
      </c>
      <c r="B2526" s="378"/>
      <c r="C2526" s="315"/>
      <c r="D2526" s="316"/>
      <c r="E2526" s="315"/>
      <c r="F2526" s="315"/>
      <c r="G2526" s="315"/>
      <c r="H2526" s="153"/>
      <c r="I2526" s="12"/>
      <c r="J2526" s="170"/>
      <c r="K2526" s="12"/>
      <c r="L2526" s="379"/>
      <c r="M2526" s="380"/>
      <c r="N2526" s="380"/>
      <c r="O2526" s="12"/>
      <c r="P2526" s="381"/>
      <c r="Q2526" s="12"/>
      <c r="R2526" s="12"/>
      <c r="S2526" s="382"/>
      <c r="T2526" s="383"/>
      <c r="U2526" s="384"/>
      <c r="V2526" s="12"/>
      <c r="W2526" s="12"/>
    </row>
    <row r="2527" spans="1:23" x14ac:dyDescent="0.3">
      <c r="A2527" s="193" t="str">
        <v/>
      </c>
      <c r="B2527" s="378"/>
      <c r="C2527" s="315"/>
      <c r="D2527" s="316"/>
      <c r="E2527" s="315"/>
      <c r="F2527" s="315"/>
      <c r="G2527" s="315"/>
      <c r="H2527" s="153"/>
      <c r="I2527" s="12"/>
      <c r="J2527" s="170"/>
      <c r="K2527" s="12"/>
      <c r="L2527" s="379"/>
      <c r="M2527" s="380"/>
      <c r="N2527" s="380"/>
      <c r="O2527" s="12"/>
      <c r="P2527" s="381"/>
      <c r="Q2527" s="12"/>
      <c r="R2527" s="12"/>
      <c r="S2527" s="382"/>
      <c r="T2527" s="383"/>
      <c r="U2527" s="384"/>
      <c r="V2527" s="12"/>
      <c r="W2527" s="12"/>
    </row>
    <row r="2528" spans="1:23" x14ac:dyDescent="0.3">
      <c r="A2528" s="193" t="str">
        <v/>
      </c>
      <c r="B2528" s="378"/>
      <c r="C2528" s="315"/>
      <c r="D2528" s="316"/>
      <c r="E2528" s="315"/>
      <c r="F2528" s="315"/>
      <c r="G2528" s="315"/>
      <c r="H2528" s="153"/>
      <c r="I2528" s="12"/>
      <c r="J2528" s="170"/>
      <c r="K2528" s="12"/>
      <c r="L2528" s="379"/>
      <c r="M2528" s="380"/>
      <c r="N2528" s="380"/>
      <c r="O2528" s="12"/>
      <c r="P2528" s="381"/>
      <c r="Q2528" s="12"/>
      <c r="R2528" s="12"/>
      <c r="S2528" s="382"/>
      <c r="T2528" s="383"/>
      <c r="U2528" s="384"/>
      <c r="V2528" s="12"/>
      <c r="W2528" s="12"/>
    </row>
    <row r="2529" spans="1:23" x14ac:dyDescent="0.3">
      <c r="A2529" s="193" t="str">
        <v/>
      </c>
      <c r="B2529" s="378"/>
      <c r="C2529" s="315"/>
      <c r="D2529" s="316"/>
      <c r="E2529" s="315"/>
      <c r="F2529" s="315"/>
      <c r="G2529" s="315"/>
      <c r="H2529" s="153"/>
      <c r="I2529" s="12"/>
      <c r="J2529" s="170"/>
      <c r="K2529" s="12"/>
      <c r="L2529" s="379"/>
      <c r="M2529" s="380"/>
      <c r="N2529" s="380"/>
      <c r="O2529" s="12"/>
      <c r="P2529" s="381"/>
      <c r="Q2529" s="12"/>
      <c r="R2529" s="12"/>
      <c r="S2529" s="382"/>
      <c r="T2529" s="383"/>
      <c r="U2529" s="384"/>
      <c r="V2529" s="12"/>
      <c r="W2529" s="12"/>
    </row>
    <row r="2530" spans="1:23" x14ac:dyDescent="0.3">
      <c r="A2530" s="193" t="str">
        <v/>
      </c>
      <c r="B2530" s="378"/>
      <c r="C2530" s="315"/>
      <c r="D2530" s="316"/>
      <c r="E2530" s="315"/>
      <c r="F2530" s="315"/>
      <c r="G2530" s="315"/>
      <c r="H2530" s="153"/>
      <c r="I2530" s="12"/>
      <c r="J2530" s="170"/>
      <c r="K2530" s="12"/>
      <c r="L2530" s="379"/>
      <c r="M2530" s="380"/>
      <c r="N2530" s="380"/>
      <c r="O2530" s="12"/>
      <c r="P2530" s="381"/>
      <c r="Q2530" s="12"/>
      <c r="R2530" s="12"/>
      <c r="S2530" s="382"/>
      <c r="T2530" s="383"/>
      <c r="U2530" s="384"/>
      <c r="V2530" s="12"/>
      <c r="W2530" s="12"/>
    </row>
    <row r="2531" spans="1:23" x14ac:dyDescent="0.3">
      <c r="A2531" s="193" t="str">
        <v/>
      </c>
      <c r="B2531" s="378"/>
      <c r="C2531" s="315"/>
      <c r="D2531" s="316"/>
      <c r="E2531" s="315"/>
      <c r="F2531" s="315"/>
      <c r="G2531" s="315"/>
      <c r="H2531" s="153"/>
      <c r="I2531" s="12"/>
      <c r="J2531" s="170"/>
      <c r="K2531" s="12"/>
      <c r="L2531" s="379"/>
      <c r="M2531" s="380"/>
      <c r="N2531" s="380"/>
      <c r="O2531" s="12"/>
      <c r="P2531" s="381"/>
      <c r="Q2531" s="12"/>
      <c r="R2531" s="12"/>
      <c r="S2531" s="382"/>
      <c r="T2531" s="383"/>
      <c r="U2531" s="384"/>
      <c r="V2531" s="12"/>
      <c r="W2531" s="12"/>
    </row>
    <row r="2532" spans="1:23" x14ac:dyDescent="0.3">
      <c r="A2532" s="193" t="str">
        <v/>
      </c>
      <c r="B2532" s="378"/>
      <c r="C2532" s="315"/>
      <c r="D2532" s="316"/>
      <c r="E2532" s="315"/>
      <c r="F2532" s="315"/>
      <c r="G2532" s="315"/>
      <c r="H2532" s="153"/>
      <c r="I2532" s="12"/>
      <c r="J2532" s="170"/>
      <c r="K2532" s="12"/>
      <c r="L2532" s="379"/>
      <c r="M2532" s="380"/>
      <c r="N2532" s="380"/>
      <c r="O2532" s="12"/>
      <c r="P2532" s="381"/>
      <c r="Q2532" s="12"/>
      <c r="R2532" s="12"/>
      <c r="S2532" s="382"/>
      <c r="T2532" s="383"/>
      <c r="U2532" s="384"/>
      <c r="V2532" s="12"/>
      <c r="W2532" s="12"/>
    </row>
    <row r="2533" spans="1:23" x14ac:dyDescent="0.3">
      <c r="A2533" s="193" t="str">
        <v/>
      </c>
      <c r="B2533" s="378"/>
      <c r="C2533" s="315"/>
      <c r="D2533" s="316"/>
      <c r="E2533" s="315"/>
      <c r="F2533" s="315"/>
      <c r="G2533" s="315"/>
      <c r="H2533" s="153"/>
      <c r="I2533" s="12"/>
      <c r="J2533" s="170"/>
      <c r="K2533" s="12"/>
      <c r="L2533" s="379"/>
      <c r="M2533" s="380"/>
      <c r="N2533" s="380"/>
      <c r="O2533" s="12"/>
      <c r="P2533" s="381"/>
      <c r="Q2533" s="12"/>
      <c r="R2533" s="12"/>
      <c r="S2533" s="382"/>
      <c r="T2533" s="383"/>
      <c r="U2533" s="384"/>
      <c r="V2533" s="12"/>
      <c r="W2533" s="12"/>
    </row>
    <row r="2534" spans="1:23" x14ac:dyDescent="0.3">
      <c r="A2534" s="193" t="str">
        <v/>
      </c>
      <c r="B2534" s="378"/>
      <c r="C2534" s="315"/>
      <c r="D2534" s="316"/>
      <c r="E2534" s="315"/>
      <c r="F2534" s="315"/>
      <c r="G2534" s="315"/>
      <c r="H2534" s="153"/>
      <c r="I2534" s="12"/>
      <c r="J2534" s="170"/>
      <c r="K2534" s="12"/>
      <c r="L2534" s="379"/>
      <c r="M2534" s="380"/>
      <c r="N2534" s="380"/>
      <c r="O2534" s="12"/>
      <c r="P2534" s="381"/>
      <c r="Q2534" s="12"/>
      <c r="R2534" s="12"/>
      <c r="S2534" s="382"/>
      <c r="T2534" s="383"/>
      <c r="U2534" s="384"/>
      <c r="V2534" s="12"/>
      <c r="W2534" s="12"/>
    </row>
    <row r="2535" spans="1:23" x14ac:dyDescent="0.3">
      <c r="A2535" s="193" t="str">
        <v/>
      </c>
      <c r="B2535" s="378"/>
      <c r="C2535" s="315"/>
      <c r="D2535" s="316"/>
      <c r="E2535" s="315"/>
      <c r="F2535" s="315"/>
      <c r="G2535" s="315"/>
      <c r="H2535" s="153"/>
      <c r="I2535" s="12"/>
      <c r="J2535" s="170"/>
      <c r="K2535" s="12"/>
      <c r="L2535" s="379"/>
      <c r="M2535" s="380"/>
      <c r="N2535" s="380"/>
      <c r="O2535" s="12"/>
      <c r="P2535" s="381"/>
      <c r="Q2535" s="12"/>
      <c r="R2535" s="12"/>
      <c r="S2535" s="382"/>
      <c r="T2535" s="383"/>
      <c r="U2535" s="384"/>
      <c r="V2535" s="12"/>
      <c r="W2535" s="12"/>
    </row>
    <row r="2536" spans="1:23" x14ac:dyDescent="0.3">
      <c r="A2536" s="193" t="str">
        <v/>
      </c>
      <c r="B2536" s="378"/>
      <c r="C2536" s="315"/>
      <c r="D2536" s="316"/>
      <c r="E2536" s="315"/>
      <c r="F2536" s="315"/>
      <c r="G2536" s="315"/>
      <c r="H2536" s="153"/>
      <c r="I2536" s="12"/>
      <c r="J2536" s="170"/>
      <c r="K2536" s="12"/>
      <c r="L2536" s="379"/>
      <c r="M2536" s="380"/>
      <c r="N2536" s="380"/>
      <c r="O2536" s="12"/>
      <c r="P2536" s="381"/>
      <c r="Q2536" s="12"/>
      <c r="R2536" s="12"/>
      <c r="S2536" s="382"/>
      <c r="T2536" s="383"/>
      <c r="U2536" s="384"/>
      <c r="V2536" s="12"/>
      <c r="W2536" s="12"/>
    </row>
    <row r="2537" spans="1:23" x14ac:dyDescent="0.3">
      <c r="A2537" s="193" t="str">
        <v/>
      </c>
      <c r="B2537" s="378"/>
      <c r="C2537" s="315"/>
      <c r="D2537" s="316"/>
      <c r="E2537" s="315"/>
      <c r="F2537" s="315"/>
      <c r="G2537" s="315"/>
      <c r="H2537" s="153"/>
      <c r="I2537" s="12"/>
      <c r="J2537" s="170"/>
      <c r="K2537" s="12"/>
      <c r="L2537" s="379"/>
      <c r="M2537" s="380"/>
      <c r="N2537" s="380"/>
      <c r="O2537" s="12"/>
      <c r="P2537" s="381"/>
      <c r="Q2537" s="12"/>
      <c r="R2537" s="12"/>
      <c r="S2537" s="382"/>
      <c r="T2537" s="383"/>
      <c r="U2537" s="384"/>
      <c r="V2537" s="12"/>
      <c r="W2537" s="12"/>
    </row>
    <row r="2538" spans="1:23" x14ac:dyDescent="0.3">
      <c r="A2538" s="193" t="str">
        <v/>
      </c>
      <c r="B2538" s="378"/>
      <c r="C2538" s="315"/>
      <c r="D2538" s="316"/>
      <c r="E2538" s="315"/>
      <c r="F2538" s="315"/>
      <c r="G2538" s="315"/>
      <c r="H2538" s="153"/>
      <c r="I2538" s="12"/>
      <c r="J2538" s="170"/>
      <c r="K2538" s="12"/>
      <c r="L2538" s="379"/>
      <c r="M2538" s="380"/>
      <c r="N2538" s="380"/>
      <c r="O2538" s="12"/>
      <c r="P2538" s="381"/>
      <c r="Q2538" s="12"/>
      <c r="R2538" s="12"/>
      <c r="S2538" s="382"/>
      <c r="T2538" s="383"/>
      <c r="U2538" s="384"/>
      <c r="V2538" s="12"/>
      <c r="W2538" s="12"/>
    </row>
    <row r="2539" spans="1:23" x14ac:dyDescent="0.3">
      <c r="A2539" s="193" t="str">
        <v/>
      </c>
      <c r="B2539" s="378"/>
      <c r="C2539" s="315"/>
      <c r="D2539" s="316"/>
      <c r="E2539" s="315"/>
      <c r="F2539" s="315"/>
      <c r="G2539" s="315"/>
      <c r="H2539" s="153"/>
      <c r="I2539" s="12"/>
      <c r="J2539" s="170"/>
      <c r="K2539" s="12"/>
      <c r="L2539" s="379"/>
      <c r="M2539" s="380"/>
      <c r="N2539" s="380"/>
      <c r="O2539" s="12"/>
      <c r="P2539" s="381"/>
      <c r="Q2539" s="12"/>
      <c r="R2539" s="12"/>
      <c r="S2539" s="382"/>
      <c r="T2539" s="383"/>
      <c r="U2539" s="384"/>
      <c r="V2539" s="12"/>
      <c r="W2539" s="12"/>
    </row>
    <row r="2540" spans="1:23" x14ac:dyDescent="0.3">
      <c r="A2540" s="193" t="str">
        <v/>
      </c>
      <c r="B2540" s="378"/>
      <c r="C2540" s="315"/>
      <c r="D2540" s="316"/>
      <c r="E2540" s="315"/>
      <c r="F2540" s="315"/>
      <c r="G2540" s="315"/>
      <c r="H2540" s="153"/>
      <c r="I2540" s="12"/>
      <c r="J2540" s="170"/>
      <c r="K2540" s="12"/>
      <c r="L2540" s="379"/>
      <c r="M2540" s="380"/>
      <c r="N2540" s="380"/>
      <c r="O2540" s="12"/>
      <c r="P2540" s="381"/>
      <c r="Q2540" s="12"/>
      <c r="R2540" s="12"/>
      <c r="S2540" s="382"/>
      <c r="T2540" s="383"/>
      <c r="U2540" s="384"/>
      <c r="V2540" s="12"/>
      <c r="W2540" s="12"/>
    </row>
    <row r="2541" spans="1:23" x14ac:dyDescent="0.3">
      <c r="A2541" s="193" t="str">
        <v/>
      </c>
      <c r="B2541" s="378"/>
      <c r="C2541" s="315"/>
      <c r="D2541" s="316"/>
      <c r="E2541" s="315"/>
      <c r="F2541" s="315"/>
      <c r="G2541" s="315"/>
      <c r="H2541" s="153"/>
      <c r="I2541" s="12"/>
      <c r="J2541" s="170"/>
      <c r="K2541" s="12"/>
      <c r="L2541" s="379"/>
      <c r="M2541" s="380"/>
      <c r="N2541" s="380"/>
      <c r="O2541" s="12"/>
      <c r="P2541" s="381"/>
      <c r="Q2541" s="12"/>
      <c r="R2541" s="12"/>
      <c r="S2541" s="382"/>
      <c r="T2541" s="383"/>
      <c r="U2541" s="384"/>
      <c r="V2541" s="12"/>
      <c r="W2541" s="12"/>
    </row>
    <row r="2542" spans="1:23" x14ac:dyDescent="0.3">
      <c r="A2542" s="193" t="str">
        <v/>
      </c>
      <c r="B2542" s="378"/>
      <c r="C2542" s="315"/>
      <c r="D2542" s="316"/>
      <c r="E2542" s="315"/>
      <c r="F2542" s="315"/>
      <c r="G2542" s="315"/>
      <c r="H2542" s="153"/>
      <c r="I2542" s="12"/>
      <c r="J2542" s="170"/>
      <c r="K2542" s="12"/>
      <c r="L2542" s="379"/>
      <c r="M2542" s="380"/>
      <c r="N2542" s="380"/>
      <c r="O2542" s="12"/>
      <c r="P2542" s="381"/>
      <c r="Q2542" s="12"/>
      <c r="R2542" s="12"/>
      <c r="S2542" s="382"/>
      <c r="T2542" s="383"/>
      <c r="U2542" s="384"/>
      <c r="V2542" s="12"/>
      <c r="W2542" s="12"/>
    </row>
    <row r="2543" spans="1:23" x14ac:dyDescent="0.3">
      <c r="A2543" s="193" t="str">
        <v/>
      </c>
      <c r="B2543" s="378"/>
      <c r="C2543" s="315"/>
      <c r="D2543" s="316"/>
      <c r="E2543" s="315"/>
      <c r="F2543" s="315"/>
      <c r="G2543" s="315"/>
      <c r="H2543" s="153"/>
      <c r="I2543" s="12"/>
      <c r="J2543" s="170"/>
      <c r="K2543" s="12"/>
      <c r="L2543" s="379"/>
      <c r="M2543" s="380"/>
      <c r="N2543" s="380"/>
      <c r="O2543" s="12"/>
      <c r="P2543" s="381"/>
      <c r="Q2543" s="12"/>
      <c r="R2543" s="12"/>
      <c r="S2543" s="382"/>
      <c r="T2543" s="383"/>
      <c r="U2543" s="384"/>
      <c r="V2543" s="12"/>
      <c r="W2543" s="12"/>
    </row>
    <row r="2544" spans="1:23" x14ac:dyDescent="0.3">
      <c r="A2544" s="193" t="str">
        <v/>
      </c>
      <c r="B2544" s="378"/>
      <c r="C2544" s="315"/>
      <c r="D2544" s="316"/>
      <c r="E2544" s="315"/>
      <c r="F2544" s="315"/>
      <c r="G2544" s="315"/>
      <c r="H2544" s="153"/>
      <c r="I2544" s="12"/>
      <c r="J2544" s="170"/>
      <c r="K2544" s="12"/>
      <c r="L2544" s="379"/>
      <c r="M2544" s="380"/>
      <c r="N2544" s="380"/>
      <c r="O2544" s="12"/>
      <c r="P2544" s="381"/>
      <c r="Q2544" s="12"/>
      <c r="R2544" s="12"/>
      <c r="S2544" s="382"/>
      <c r="T2544" s="383"/>
      <c r="U2544" s="384"/>
      <c r="V2544" s="12"/>
      <c r="W2544" s="12"/>
    </row>
    <row r="2545" spans="1:23" x14ac:dyDescent="0.3">
      <c r="A2545" s="193" t="str">
        <v/>
      </c>
      <c r="B2545" s="378"/>
      <c r="C2545" s="315"/>
      <c r="D2545" s="316"/>
      <c r="E2545" s="315"/>
      <c r="F2545" s="315"/>
      <c r="G2545" s="315"/>
      <c r="H2545" s="153"/>
      <c r="I2545" s="12"/>
      <c r="J2545" s="170"/>
      <c r="K2545" s="12"/>
      <c r="L2545" s="379"/>
      <c r="M2545" s="380"/>
      <c r="N2545" s="380"/>
      <c r="O2545" s="12"/>
      <c r="P2545" s="381"/>
      <c r="Q2545" s="12"/>
      <c r="R2545" s="12"/>
      <c r="S2545" s="382"/>
      <c r="T2545" s="383"/>
      <c r="U2545" s="384"/>
      <c r="V2545" s="12"/>
      <c r="W2545" s="12"/>
    </row>
    <row r="2546" spans="1:23" x14ac:dyDescent="0.3">
      <c r="A2546" s="193" t="str">
        <v/>
      </c>
      <c r="B2546" s="378"/>
      <c r="C2546" s="315"/>
      <c r="D2546" s="316"/>
      <c r="E2546" s="315"/>
      <c r="F2546" s="315"/>
      <c r="G2546" s="315"/>
      <c r="H2546" s="153"/>
      <c r="I2546" s="12"/>
      <c r="J2546" s="170"/>
      <c r="K2546" s="12"/>
      <c r="L2546" s="379"/>
      <c r="M2546" s="380"/>
      <c r="N2546" s="380"/>
      <c r="O2546" s="12"/>
      <c r="P2546" s="381"/>
      <c r="Q2546" s="12"/>
      <c r="R2546" s="12"/>
      <c r="S2546" s="382"/>
      <c r="T2546" s="383"/>
      <c r="U2546" s="384"/>
      <c r="V2546" s="12"/>
      <c r="W2546" s="12"/>
    </row>
    <row r="2547" spans="1:23" x14ac:dyDescent="0.3">
      <c r="A2547" s="193" t="str">
        <v/>
      </c>
      <c r="B2547" s="378"/>
      <c r="C2547" s="315"/>
      <c r="D2547" s="316"/>
      <c r="E2547" s="315"/>
      <c r="F2547" s="315"/>
      <c r="G2547" s="315"/>
      <c r="H2547" s="153"/>
      <c r="I2547" s="12"/>
      <c r="J2547" s="170"/>
      <c r="K2547" s="12"/>
      <c r="L2547" s="379"/>
      <c r="M2547" s="380"/>
      <c r="N2547" s="380"/>
      <c r="O2547" s="12"/>
      <c r="P2547" s="381"/>
      <c r="Q2547" s="12"/>
      <c r="R2547" s="12"/>
      <c r="S2547" s="382"/>
      <c r="T2547" s="383"/>
      <c r="U2547" s="384"/>
      <c r="V2547" s="12"/>
      <c r="W2547" s="12"/>
    </row>
    <row r="2548" spans="1:23" x14ac:dyDescent="0.3">
      <c r="A2548" s="193" t="str">
        <v/>
      </c>
      <c r="B2548" s="378"/>
      <c r="C2548" s="315"/>
      <c r="D2548" s="316"/>
      <c r="E2548" s="315"/>
      <c r="F2548" s="315"/>
      <c r="G2548" s="315"/>
      <c r="H2548" s="153"/>
      <c r="I2548" s="12"/>
      <c r="J2548" s="170"/>
      <c r="K2548" s="12"/>
      <c r="L2548" s="379"/>
      <c r="M2548" s="380"/>
      <c r="N2548" s="380"/>
      <c r="O2548" s="12"/>
      <c r="P2548" s="381"/>
      <c r="Q2548" s="12"/>
      <c r="R2548" s="12"/>
      <c r="S2548" s="382"/>
      <c r="T2548" s="383"/>
      <c r="U2548" s="384"/>
      <c r="V2548" s="12"/>
      <c r="W2548" s="12"/>
    </row>
    <row r="2549" spans="1:23" x14ac:dyDescent="0.3">
      <c r="A2549" s="193" t="str">
        <v/>
      </c>
      <c r="B2549" s="378"/>
      <c r="C2549" s="315"/>
      <c r="D2549" s="316"/>
      <c r="E2549" s="315"/>
      <c r="F2549" s="315"/>
      <c r="G2549" s="315"/>
      <c r="H2549" s="153"/>
      <c r="I2549" s="12"/>
      <c r="J2549" s="170"/>
      <c r="K2549" s="12"/>
      <c r="L2549" s="379"/>
      <c r="M2549" s="380"/>
      <c r="N2549" s="380"/>
      <c r="O2549" s="12"/>
      <c r="P2549" s="381"/>
      <c r="Q2549" s="12"/>
      <c r="R2549" s="12"/>
      <c r="S2549" s="382"/>
      <c r="T2549" s="383"/>
      <c r="U2549" s="384"/>
      <c r="V2549" s="12"/>
      <c r="W2549" s="12"/>
    </row>
    <row r="2550" spans="1:23" x14ac:dyDescent="0.3">
      <c r="A2550" s="193" t="str">
        <v/>
      </c>
      <c r="B2550" s="378"/>
      <c r="C2550" s="315"/>
      <c r="D2550" s="316"/>
      <c r="E2550" s="315"/>
      <c r="F2550" s="315"/>
      <c r="G2550" s="315"/>
      <c r="H2550" s="153"/>
      <c r="I2550" s="12"/>
      <c r="J2550" s="170"/>
      <c r="K2550" s="12"/>
      <c r="L2550" s="379"/>
      <c r="M2550" s="380"/>
      <c r="N2550" s="380"/>
      <c r="O2550" s="12"/>
      <c r="P2550" s="381"/>
      <c r="Q2550" s="12"/>
      <c r="R2550" s="12"/>
      <c r="S2550" s="382"/>
      <c r="T2550" s="383"/>
      <c r="U2550" s="384"/>
      <c r="V2550" s="12"/>
      <c r="W2550" s="12"/>
    </row>
    <row r="2551" spans="1:23" x14ac:dyDescent="0.3">
      <c r="A2551" s="193" t="str">
        <v/>
      </c>
      <c r="B2551" s="378"/>
      <c r="C2551" s="315"/>
      <c r="D2551" s="316"/>
      <c r="E2551" s="315"/>
      <c r="F2551" s="315"/>
      <c r="G2551" s="315"/>
      <c r="H2551" s="153"/>
      <c r="I2551" s="12"/>
      <c r="J2551" s="170"/>
      <c r="K2551" s="12"/>
      <c r="L2551" s="379"/>
      <c r="M2551" s="380"/>
      <c r="N2551" s="380"/>
      <c r="O2551" s="12"/>
      <c r="P2551" s="381"/>
      <c r="Q2551" s="12"/>
      <c r="R2551" s="12"/>
      <c r="S2551" s="382"/>
      <c r="T2551" s="383"/>
      <c r="U2551" s="384"/>
      <c r="V2551" s="12"/>
      <c r="W2551" s="12"/>
    </row>
    <row r="2552" spans="1:23" x14ac:dyDescent="0.3">
      <c r="A2552" s="193" t="str">
        <v/>
      </c>
      <c r="B2552" s="378"/>
      <c r="C2552" s="315"/>
      <c r="D2552" s="316"/>
      <c r="E2552" s="315"/>
      <c r="F2552" s="315"/>
      <c r="G2552" s="315"/>
      <c r="H2552" s="153"/>
      <c r="I2552" s="12"/>
      <c r="J2552" s="170"/>
      <c r="K2552" s="12"/>
      <c r="L2552" s="379"/>
      <c r="M2552" s="380"/>
      <c r="N2552" s="380"/>
      <c r="O2552" s="12"/>
      <c r="P2552" s="381"/>
      <c r="Q2552" s="12"/>
      <c r="R2552" s="12"/>
      <c r="S2552" s="382"/>
      <c r="T2552" s="383"/>
      <c r="U2552" s="384"/>
      <c r="V2552" s="12"/>
      <c r="W2552" s="12"/>
    </row>
    <row r="2553" spans="1:23" x14ac:dyDescent="0.3">
      <c r="A2553" s="193" t="str">
        <v/>
      </c>
      <c r="B2553" s="378"/>
      <c r="C2553" s="315"/>
      <c r="D2553" s="316"/>
      <c r="E2553" s="315"/>
      <c r="F2553" s="315"/>
      <c r="G2553" s="315"/>
      <c r="H2553" s="153"/>
      <c r="I2553" s="12"/>
      <c r="J2553" s="170"/>
      <c r="K2553" s="12"/>
      <c r="L2553" s="379"/>
      <c r="M2553" s="380"/>
      <c r="N2553" s="380"/>
      <c r="O2553" s="12"/>
      <c r="P2553" s="381"/>
      <c r="Q2553" s="12"/>
      <c r="R2553" s="12"/>
      <c r="S2553" s="382"/>
      <c r="T2553" s="383"/>
      <c r="U2553" s="384"/>
      <c r="V2553" s="12"/>
      <c r="W2553" s="12"/>
    </row>
    <row r="2554" spans="1:23" x14ac:dyDescent="0.3">
      <c r="A2554" s="193" t="str">
        <v/>
      </c>
      <c r="B2554" s="378"/>
      <c r="C2554" s="315"/>
      <c r="D2554" s="316"/>
      <c r="E2554" s="315"/>
      <c r="F2554" s="315"/>
      <c r="G2554" s="315"/>
      <c r="H2554" s="153"/>
      <c r="I2554" s="12"/>
      <c r="J2554" s="170"/>
      <c r="K2554" s="12"/>
      <c r="L2554" s="379"/>
      <c r="M2554" s="380"/>
      <c r="N2554" s="380"/>
      <c r="O2554" s="12"/>
      <c r="P2554" s="381"/>
      <c r="Q2554" s="12"/>
      <c r="R2554" s="12"/>
      <c r="S2554" s="382"/>
      <c r="T2554" s="383"/>
      <c r="U2554" s="384"/>
      <c r="V2554" s="12"/>
      <c r="W2554" s="12"/>
    </row>
    <row r="2555" spans="1:23" x14ac:dyDescent="0.3">
      <c r="A2555" s="193" t="str">
        <v/>
      </c>
      <c r="B2555" s="378"/>
      <c r="C2555" s="315"/>
      <c r="D2555" s="316"/>
      <c r="E2555" s="315"/>
      <c r="F2555" s="315"/>
      <c r="G2555" s="315"/>
      <c r="H2555" s="153"/>
      <c r="I2555" s="12"/>
      <c r="J2555" s="170"/>
      <c r="K2555" s="12"/>
      <c r="L2555" s="379"/>
      <c r="M2555" s="380"/>
      <c r="N2555" s="380"/>
      <c r="O2555" s="12"/>
      <c r="P2555" s="381"/>
      <c r="Q2555" s="12"/>
      <c r="R2555" s="12"/>
      <c r="S2555" s="382"/>
      <c r="T2555" s="383"/>
      <c r="U2555" s="384"/>
      <c r="V2555" s="12"/>
      <c r="W2555" s="12"/>
    </row>
    <row r="2556" spans="1:23" x14ac:dyDescent="0.3">
      <c r="A2556" s="193" t="str">
        <v/>
      </c>
      <c r="B2556" s="378"/>
      <c r="C2556" s="315"/>
      <c r="D2556" s="316"/>
      <c r="E2556" s="315"/>
      <c r="F2556" s="315"/>
      <c r="G2556" s="315"/>
      <c r="H2556" s="153"/>
      <c r="I2556" s="12"/>
      <c r="J2556" s="170"/>
      <c r="K2556" s="12"/>
      <c r="L2556" s="379"/>
      <c r="M2556" s="380"/>
      <c r="N2556" s="380"/>
      <c r="O2556" s="12"/>
      <c r="P2556" s="381"/>
      <c r="Q2556" s="12"/>
      <c r="R2556" s="12"/>
      <c r="S2556" s="382"/>
      <c r="T2556" s="383"/>
      <c r="U2556" s="384"/>
      <c r="V2556" s="12"/>
      <c r="W2556" s="12"/>
    </row>
    <row r="2557" spans="1:23" x14ac:dyDescent="0.3">
      <c r="A2557" s="193" t="str">
        <v/>
      </c>
      <c r="B2557" s="378"/>
      <c r="C2557" s="315"/>
      <c r="D2557" s="316"/>
      <c r="E2557" s="315"/>
      <c r="F2557" s="315"/>
      <c r="G2557" s="315"/>
      <c r="H2557" s="153"/>
      <c r="I2557" s="12"/>
      <c r="J2557" s="170"/>
      <c r="K2557" s="12"/>
      <c r="L2557" s="379"/>
      <c r="M2557" s="380"/>
      <c r="N2557" s="380"/>
      <c r="O2557" s="12"/>
      <c r="P2557" s="381"/>
      <c r="Q2557" s="12"/>
      <c r="R2557" s="12"/>
      <c r="S2557" s="382"/>
      <c r="T2557" s="383"/>
      <c r="U2557" s="384"/>
      <c r="V2557" s="12"/>
      <c r="W2557" s="12"/>
    </row>
    <row r="2558" spans="1:23" x14ac:dyDescent="0.3">
      <c r="A2558" s="193" t="str">
        <v/>
      </c>
      <c r="B2558" s="378"/>
      <c r="C2558" s="315"/>
      <c r="D2558" s="316"/>
      <c r="E2558" s="315"/>
      <c r="F2558" s="315"/>
      <c r="G2558" s="315"/>
      <c r="H2558" s="153"/>
      <c r="I2558" s="12"/>
      <c r="J2558" s="170"/>
      <c r="K2558" s="12"/>
      <c r="L2558" s="379"/>
      <c r="M2558" s="380"/>
      <c r="N2558" s="380"/>
      <c r="O2558" s="12"/>
      <c r="P2558" s="381"/>
      <c r="Q2558" s="12"/>
      <c r="R2558" s="12"/>
      <c r="S2558" s="382"/>
      <c r="T2558" s="383"/>
      <c r="U2558" s="384"/>
      <c r="V2558" s="12"/>
      <c r="W2558" s="12"/>
    </row>
    <row r="2559" spans="1:23" x14ac:dyDescent="0.3">
      <c r="A2559" s="193" t="str">
        <v/>
      </c>
      <c r="B2559" s="378"/>
      <c r="C2559" s="315"/>
      <c r="D2559" s="316"/>
      <c r="E2559" s="315"/>
      <c r="F2559" s="315"/>
      <c r="G2559" s="315"/>
      <c r="H2559" s="153"/>
      <c r="I2559" s="12"/>
      <c r="J2559" s="170"/>
      <c r="K2559" s="12"/>
      <c r="L2559" s="379"/>
      <c r="M2559" s="380"/>
      <c r="N2559" s="380"/>
      <c r="O2559" s="12"/>
      <c r="P2559" s="381"/>
      <c r="Q2559" s="12"/>
      <c r="R2559" s="12"/>
      <c r="S2559" s="382"/>
      <c r="T2559" s="383"/>
      <c r="U2559" s="384"/>
      <c r="V2559" s="12"/>
      <c r="W2559" s="12"/>
    </row>
    <row r="2560" spans="1:23" x14ac:dyDescent="0.3">
      <c r="A2560" s="193" t="str">
        <v/>
      </c>
      <c r="B2560" s="378"/>
      <c r="C2560" s="315"/>
      <c r="D2560" s="316"/>
      <c r="E2560" s="315"/>
      <c r="F2560" s="315"/>
      <c r="G2560" s="315"/>
      <c r="H2560" s="153"/>
      <c r="I2560" s="12"/>
      <c r="J2560" s="170"/>
      <c r="K2560" s="12"/>
      <c r="L2560" s="379"/>
      <c r="M2560" s="380"/>
      <c r="N2560" s="380"/>
      <c r="O2560" s="12"/>
      <c r="P2560" s="381"/>
      <c r="Q2560" s="12"/>
      <c r="R2560" s="12"/>
      <c r="S2560" s="382"/>
      <c r="T2560" s="383"/>
      <c r="U2560" s="384"/>
      <c r="V2560" s="12"/>
      <c r="W2560" s="12"/>
    </row>
    <row r="2561" spans="1:23" x14ac:dyDescent="0.3">
      <c r="A2561" s="193" t="str">
        <v/>
      </c>
      <c r="B2561" s="378"/>
      <c r="C2561" s="315"/>
      <c r="D2561" s="316"/>
      <c r="E2561" s="315"/>
      <c r="F2561" s="315"/>
      <c r="G2561" s="315"/>
      <c r="H2561" s="153"/>
      <c r="I2561" s="12"/>
      <c r="J2561" s="170"/>
      <c r="K2561" s="12"/>
      <c r="L2561" s="379"/>
      <c r="M2561" s="380"/>
      <c r="N2561" s="380"/>
      <c r="O2561" s="12"/>
      <c r="P2561" s="381"/>
      <c r="Q2561" s="12"/>
      <c r="R2561" s="12"/>
      <c r="S2561" s="382"/>
      <c r="T2561" s="383"/>
      <c r="U2561" s="384"/>
      <c r="V2561" s="12"/>
      <c r="W2561" s="12"/>
    </row>
    <row r="2562" spans="1:23" x14ac:dyDescent="0.3">
      <c r="A2562" s="193" t="str">
        <v/>
      </c>
      <c r="B2562" s="378"/>
      <c r="C2562" s="315"/>
      <c r="D2562" s="316"/>
      <c r="E2562" s="315"/>
      <c r="F2562" s="315"/>
      <c r="G2562" s="315"/>
      <c r="H2562" s="153"/>
      <c r="I2562" s="12"/>
      <c r="J2562" s="170"/>
      <c r="K2562" s="12"/>
      <c r="L2562" s="379"/>
      <c r="M2562" s="380"/>
      <c r="N2562" s="380"/>
      <c r="O2562" s="12"/>
      <c r="P2562" s="381"/>
      <c r="Q2562" s="12"/>
      <c r="R2562" s="12"/>
      <c r="S2562" s="382"/>
      <c r="T2562" s="383"/>
      <c r="U2562" s="384"/>
      <c r="V2562" s="12"/>
      <c r="W2562" s="12"/>
    </row>
    <row r="2563" spans="1:23" x14ac:dyDescent="0.3">
      <c r="A2563" s="193" t="str">
        <v/>
      </c>
      <c r="B2563" s="378"/>
      <c r="C2563" s="315"/>
      <c r="D2563" s="316"/>
      <c r="E2563" s="315"/>
      <c r="F2563" s="315"/>
      <c r="G2563" s="315"/>
      <c r="H2563" s="153"/>
      <c r="I2563" s="12"/>
      <c r="J2563" s="170"/>
      <c r="K2563" s="12"/>
      <c r="L2563" s="379"/>
      <c r="M2563" s="380"/>
      <c r="N2563" s="380"/>
      <c r="O2563" s="12"/>
      <c r="P2563" s="381"/>
      <c r="Q2563" s="12"/>
      <c r="R2563" s="12"/>
      <c r="S2563" s="382"/>
      <c r="T2563" s="383"/>
      <c r="U2563" s="384"/>
      <c r="V2563" s="12"/>
      <c r="W2563" s="12"/>
    </row>
    <row r="2564" spans="1:23" x14ac:dyDescent="0.3">
      <c r="A2564" s="193" t="str">
        <v/>
      </c>
      <c r="B2564" s="378"/>
      <c r="C2564" s="315"/>
      <c r="D2564" s="316"/>
      <c r="E2564" s="315"/>
      <c r="F2564" s="315"/>
      <c r="G2564" s="315"/>
      <c r="H2564" s="153"/>
      <c r="I2564" s="12"/>
      <c r="J2564" s="170"/>
      <c r="K2564" s="12"/>
      <c r="L2564" s="379"/>
      <c r="M2564" s="380"/>
      <c r="N2564" s="380"/>
      <c r="O2564" s="12"/>
      <c r="P2564" s="381"/>
      <c r="Q2564" s="12"/>
      <c r="R2564" s="12"/>
      <c r="S2564" s="382"/>
      <c r="T2564" s="383"/>
      <c r="U2564" s="384"/>
      <c r="V2564" s="12"/>
      <c r="W2564" s="12"/>
    </row>
    <row r="2565" spans="1:23" x14ac:dyDescent="0.3">
      <c r="A2565" s="193" t="str">
        <v/>
      </c>
      <c r="B2565" s="378"/>
      <c r="C2565" s="315"/>
      <c r="D2565" s="316"/>
      <c r="E2565" s="315"/>
      <c r="F2565" s="315"/>
      <c r="G2565" s="315"/>
      <c r="H2565" s="153"/>
      <c r="I2565" s="12"/>
      <c r="J2565" s="170"/>
      <c r="K2565" s="12"/>
      <c r="L2565" s="379"/>
      <c r="M2565" s="380"/>
      <c r="N2565" s="380"/>
      <c r="O2565" s="12"/>
      <c r="P2565" s="381"/>
      <c r="Q2565" s="12"/>
      <c r="R2565" s="12"/>
      <c r="S2565" s="382"/>
      <c r="T2565" s="383"/>
      <c r="U2565" s="384"/>
      <c r="V2565" s="12"/>
      <c r="W2565" s="12"/>
    </row>
    <row r="2566" spans="1:23" x14ac:dyDescent="0.3">
      <c r="A2566" s="193" t="str">
        <v/>
      </c>
      <c r="B2566" s="378"/>
      <c r="C2566" s="315"/>
      <c r="D2566" s="316"/>
      <c r="E2566" s="315"/>
      <c r="F2566" s="315"/>
      <c r="G2566" s="315"/>
      <c r="H2566" s="153"/>
      <c r="I2566" s="12"/>
      <c r="J2566" s="170"/>
      <c r="K2566" s="12"/>
      <c r="L2566" s="379"/>
      <c r="M2566" s="380"/>
      <c r="N2566" s="380"/>
      <c r="O2566" s="12"/>
      <c r="P2566" s="381"/>
      <c r="Q2566" s="12"/>
      <c r="R2566" s="12"/>
      <c r="S2566" s="382"/>
      <c r="T2566" s="383"/>
      <c r="U2566" s="384"/>
      <c r="V2566" s="12"/>
      <c r="W2566" s="12"/>
    </row>
    <row r="2567" spans="1:23" x14ac:dyDescent="0.3">
      <c r="A2567" s="193" t="str">
        <v/>
      </c>
      <c r="B2567" s="378"/>
      <c r="C2567" s="315"/>
      <c r="D2567" s="316"/>
      <c r="E2567" s="315"/>
      <c r="F2567" s="315"/>
      <c r="G2567" s="315"/>
      <c r="H2567" s="153"/>
      <c r="I2567" s="12"/>
      <c r="J2567" s="170"/>
      <c r="K2567" s="12"/>
      <c r="L2567" s="379"/>
      <c r="M2567" s="380"/>
      <c r="N2567" s="380"/>
      <c r="O2567" s="12"/>
      <c r="P2567" s="381"/>
      <c r="Q2567" s="12"/>
      <c r="R2567" s="12"/>
      <c r="S2567" s="382"/>
      <c r="T2567" s="383"/>
      <c r="U2567" s="384"/>
      <c r="V2567" s="12"/>
      <c r="W2567" s="12"/>
    </row>
    <row r="2568" spans="1:23" x14ac:dyDescent="0.3">
      <c r="A2568" s="193" t="str">
        <v/>
      </c>
      <c r="B2568" s="378"/>
      <c r="C2568" s="315"/>
      <c r="D2568" s="316"/>
      <c r="E2568" s="315"/>
      <c r="F2568" s="315"/>
      <c r="G2568" s="315"/>
      <c r="H2568" s="153"/>
      <c r="I2568" s="12"/>
      <c r="J2568" s="170"/>
      <c r="K2568" s="12"/>
      <c r="L2568" s="379"/>
      <c r="M2568" s="380"/>
      <c r="N2568" s="380"/>
      <c r="O2568" s="12"/>
      <c r="P2568" s="381"/>
      <c r="Q2568" s="12"/>
      <c r="R2568" s="12"/>
      <c r="S2568" s="382"/>
      <c r="T2568" s="383"/>
      <c r="U2568" s="384"/>
      <c r="V2568" s="12"/>
      <c r="W2568" s="12"/>
    </row>
    <row r="2569" spans="1:23" x14ac:dyDescent="0.3">
      <c r="A2569" s="193" t="str">
        <v/>
      </c>
      <c r="B2569" s="378"/>
      <c r="C2569" s="315"/>
      <c r="D2569" s="316"/>
      <c r="E2569" s="315"/>
      <c r="F2569" s="315"/>
      <c r="G2569" s="315"/>
      <c r="H2569" s="153"/>
      <c r="I2569" s="12"/>
      <c r="J2569" s="170"/>
      <c r="K2569" s="12"/>
      <c r="L2569" s="379"/>
      <c r="M2569" s="380"/>
      <c r="N2569" s="380"/>
      <c r="O2569" s="12"/>
      <c r="P2569" s="381"/>
      <c r="Q2569" s="12"/>
      <c r="R2569" s="12"/>
      <c r="S2569" s="382"/>
      <c r="T2569" s="383"/>
      <c r="U2569" s="384"/>
      <c r="V2569" s="12"/>
      <c r="W2569" s="12"/>
    </row>
    <row r="2570" spans="1:23" x14ac:dyDescent="0.3">
      <c r="A2570" s="193" t="str">
        <v/>
      </c>
      <c r="B2570" s="378"/>
      <c r="C2570" s="315"/>
      <c r="D2570" s="316"/>
      <c r="E2570" s="315"/>
      <c r="F2570" s="315"/>
      <c r="G2570" s="315"/>
      <c r="H2570" s="153"/>
      <c r="I2570" s="12"/>
      <c r="J2570" s="170"/>
      <c r="K2570" s="12"/>
      <c r="L2570" s="379"/>
      <c r="M2570" s="380"/>
      <c r="N2570" s="380"/>
      <c r="O2570" s="12"/>
      <c r="P2570" s="381"/>
      <c r="Q2570" s="12"/>
      <c r="R2570" s="12"/>
      <c r="S2570" s="382"/>
      <c r="T2570" s="383"/>
      <c r="U2570" s="384"/>
      <c r="V2570" s="12"/>
      <c r="W2570" s="12"/>
    </row>
    <row r="2571" spans="1:23" x14ac:dyDescent="0.3">
      <c r="A2571" s="193" t="str">
        <v/>
      </c>
      <c r="B2571" s="378"/>
      <c r="C2571" s="315"/>
      <c r="D2571" s="316"/>
      <c r="E2571" s="315"/>
      <c r="F2571" s="315"/>
      <c r="G2571" s="315"/>
      <c r="H2571" s="153"/>
      <c r="I2571" s="12"/>
      <c r="J2571" s="170"/>
      <c r="K2571" s="12"/>
      <c r="L2571" s="379"/>
      <c r="M2571" s="380"/>
      <c r="N2571" s="380"/>
      <c r="O2571" s="12"/>
      <c r="P2571" s="381"/>
      <c r="Q2571" s="12"/>
      <c r="R2571" s="12"/>
      <c r="S2571" s="382"/>
      <c r="T2571" s="383"/>
      <c r="U2571" s="384"/>
      <c r="V2571" s="12"/>
      <c r="W2571" s="12"/>
    </row>
    <row r="2572" spans="1:23" x14ac:dyDescent="0.3">
      <c r="A2572" s="193" t="str">
        <v/>
      </c>
      <c r="B2572" s="378"/>
      <c r="C2572" s="315"/>
      <c r="D2572" s="316"/>
      <c r="E2572" s="315"/>
      <c r="F2572" s="315"/>
      <c r="G2572" s="315"/>
      <c r="H2572" s="153"/>
      <c r="I2572" s="12"/>
      <c r="J2572" s="170"/>
      <c r="K2572" s="12"/>
      <c r="L2572" s="379"/>
      <c r="M2572" s="380"/>
      <c r="N2572" s="380"/>
      <c r="O2572" s="12"/>
      <c r="P2572" s="381"/>
      <c r="Q2572" s="12"/>
      <c r="R2572" s="12"/>
      <c r="S2572" s="382"/>
      <c r="T2572" s="383"/>
      <c r="U2572" s="384"/>
      <c r="V2572" s="12"/>
      <c r="W2572" s="12"/>
    </row>
    <row r="2573" spans="1:23" x14ac:dyDescent="0.3">
      <c r="A2573" s="193" t="str">
        <v/>
      </c>
      <c r="B2573" s="378"/>
      <c r="C2573" s="315"/>
      <c r="D2573" s="316"/>
      <c r="E2573" s="315"/>
      <c r="F2573" s="315"/>
      <c r="G2573" s="315"/>
      <c r="H2573" s="153"/>
      <c r="I2573" s="12"/>
      <c r="J2573" s="170"/>
      <c r="K2573" s="12"/>
      <c r="L2573" s="379"/>
      <c r="M2573" s="380"/>
      <c r="N2573" s="380"/>
      <c r="O2573" s="12"/>
      <c r="P2573" s="381"/>
      <c r="Q2573" s="12"/>
      <c r="R2573" s="12"/>
      <c r="S2573" s="382"/>
      <c r="T2573" s="383"/>
      <c r="U2573" s="384"/>
      <c r="V2573" s="12"/>
      <c r="W2573" s="12"/>
    </row>
    <row r="2574" spans="1:23" x14ac:dyDescent="0.3">
      <c r="A2574" s="193" t="str">
        <v/>
      </c>
      <c r="B2574" s="378"/>
      <c r="C2574" s="315"/>
      <c r="D2574" s="316"/>
      <c r="E2574" s="315"/>
      <c r="F2574" s="315"/>
      <c r="G2574" s="315"/>
      <c r="H2574" s="153"/>
      <c r="I2574" s="12"/>
      <c r="J2574" s="170"/>
      <c r="K2574" s="12"/>
      <c r="L2574" s="379"/>
      <c r="M2574" s="380"/>
      <c r="N2574" s="380"/>
      <c r="O2574" s="12"/>
      <c r="P2574" s="381"/>
      <c r="Q2574" s="12"/>
      <c r="R2574" s="12"/>
      <c r="S2574" s="382"/>
      <c r="T2574" s="383"/>
      <c r="U2574" s="384"/>
      <c r="V2574" s="12"/>
      <c r="W2574" s="12"/>
    </row>
    <row r="2575" spans="1:23" x14ac:dyDescent="0.3">
      <c r="A2575" s="193" t="str">
        <v/>
      </c>
      <c r="B2575" s="378"/>
      <c r="C2575" s="315"/>
      <c r="D2575" s="316"/>
      <c r="E2575" s="315"/>
      <c r="F2575" s="315"/>
      <c r="G2575" s="315"/>
      <c r="H2575" s="153"/>
      <c r="I2575" s="12"/>
      <c r="J2575" s="170"/>
      <c r="K2575" s="12"/>
      <c r="L2575" s="379"/>
      <c r="M2575" s="380"/>
      <c r="N2575" s="380"/>
      <c r="O2575" s="12"/>
      <c r="P2575" s="381"/>
      <c r="Q2575" s="12"/>
      <c r="R2575" s="12"/>
      <c r="S2575" s="382"/>
      <c r="T2575" s="383"/>
      <c r="U2575" s="384"/>
      <c r="V2575" s="12"/>
      <c r="W2575" s="12"/>
    </row>
    <row r="2576" spans="1:23" x14ac:dyDescent="0.3">
      <c r="A2576" s="193" t="str">
        <v/>
      </c>
      <c r="B2576" s="378"/>
      <c r="C2576" s="315"/>
      <c r="D2576" s="316"/>
      <c r="E2576" s="315"/>
      <c r="F2576" s="315"/>
      <c r="G2576" s="315"/>
      <c r="H2576" s="153"/>
      <c r="I2576" s="12"/>
      <c r="J2576" s="170"/>
      <c r="K2576" s="12"/>
      <c r="L2576" s="379"/>
      <c r="M2576" s="380"/>
      <c r="N2576" s="380"/>
      <c r="O2576" s="12"/>
      <c r="P2576" s="381"/>
      <c r="Q2576" s="12"/>
      <c r="R2576" s="12"/>
      <c r="S2576" s="382"/>
      <c r="T2576" s="383"/>
      <c r="U2576" s="384"/>
      <c r="V2576" s="12"/>
      <c r="W2576" s="12"/>
    </row>
    <row r="2577" spans="1:23" x14ac:dyDescent="0.3">
      <c r="A2577" s="193" t="str">
        <v/>
      </c>
      <c r="B2577" s="378"/>
      <c r="C2577" s="315"/>
      <c r="D2577" s="316"/>
      <c r="E2577" s="315"/>
      <c r="F2577" s="315"/>
      <c r="G2577" s="315"/>
      <c r="H2577" s="153"/>
      <c r="I2577" s="12"/>
      <c r="J2577" s="170"/>
      <c r="K2577" s="12"/>
      <c r="L2577" s="379"/>
      <c r="M2577" s="380"/>
      <c r="N2577" s="380"/>
      <c r="O2577" s="12"/>
      <c r="P2577" s="381"/>
      <c r="Q2577" s="12"/>
      <c r="R2577" s="12"/>
      <c r="S2577" s="382"/>
      <c r="T2577" s="383"/>
      <c r="U2577" s="384"/>
      <c r="V2577" s="12"/>
      <c r="W2577" s="12"/>
    </row>
    <row r="2578" spans="1:23" x14ac:dyDescent="0.3">
      <c r="A2578" s="193" t="str">
        <v/>
      </c>
      <c r="B2578" s="378"/>
      <c r="C2578" s="315"/>
      <c r="D2578" s="316"/>
      <c r="E2578" s="315"/>
      <c r="F2578" s="315"/>
      <c r="G2578" s="315"/>
      <c r="H2578" s="153"/>
      <c r="I2578" s="12"/>
      <c r="J2578" s="170"/>
      <c r="K2578" s="12"/>
      <c r="L2578" s="379"/>
      <c r="M2578" s="380"/>
      <c r="N2578" s="380"/>
      <c r="O2578" s="12"/>
      <c r="P2578" s="381"/>
      <c r="Q2578" s="12"/>
      <c r="R2578" s="12"/>
      <c r="S2578" s="382"/>
      <c r="T2578" s="383"/>
      <c r="U2578" s="384"/>
      <c r="V2578" s="12"/>
      <c r="W2578" s="12"/>
    </row>
    <row r="2579" spans="1:23" x14ac:dyDescent="0.3">
      <c r="A2579" s="193" t="str">
        <v/>
      </c>
      <c r="B2579" s="378"/>
      <c r="C2579" s="315"/>
      <c r="D2579" s="316"/>
      <c r="E2579" s="315"/>
      <c r="F2579" s="315"/>
      <c r="G2579" s="315"/>
      <c r="H2579" s="153"/>
      <c r="I2579" s="12"/>
      <c r="J2579" s="170"/>
      <c r="K2579" s="12"/>
      <c r="L2579" s="379"/>
      <c r="M2579" s="380"/>
      <c r="N2579" s="380"/>
      <c r="O2579" s="12"/>
      <c r="P2579" s="381"/>
      <c r="Q2579" s="12"/>
      <c r="R2579" s="12"/>
      <c r="S2579" s="382"/>
      <c r="T2579" s="383"/>
      <c r="U2579" s="384"/>
      <c r="V2579" s="12"/>
      <c r="W2579" s="12"/>
    </row>
    <row r="2580" spans="1:23" x14ac:dyDescent="0.3">
      <c r="A2580" s="193" t="str">
        <v/>
      </c>
      <c r="B2580" s="378"/>
      <c r="C2580" s="315"/>
      <c r="D2580" s="316"/>
      <c r="E2580" s="315"/>
      <c r="F2580" s="315"/>
      <c r="G2580" s="315"/>
      <c r="H2580" s="153"/>
      <c r="I2580" s="12"/>
      <c r="J2580" s="170"/>
      <c r="K2580" s="12"/>
      <c r="L2580" s="379"/>
      <c r="M2580" s="380"/>
      <c r="N2580" s="380"/>
      <c r="O2580" s="12"/>
      <c r="P2580" s="381"/>
      <c r="Q2580" s="12"/>
      <c r="R2580" s="12"/>
      <c r="S2580" s="382"/>
      <c r="T2580" s="383"/>
      <c r="U2580" s="384"/>
      <c r="V2580" s="12"/>
      <c r="W2580" s="12"/>
    </row>
    <row r="2581" spans="1:23" x14ac:dyDescent="0.3">
      <c r="A2581" s="193" t="str">
        <v/>
      </c>
      <c r="B2581" s="378"/>
      <c r="C2581" s="315"/>
      <c r="D2581" s="316"/>
      <c r="E2581" s="315"/>
      <c r="F2581" s="315"/>
      <c r="G2581" s="315"/>
      <c r="H2581" s="153"/>
      <c r="I2581" s="12"/>
      <c r="J2581" s="170"/>
      <c r="K2581" s="12"/>
      <c r="L2581" s="379"/>
      <c r="M2581" s="380"/>
      <c r="N2581" s="380"/>
      <c r="O2581" s="12"/>
      <c r="P2581" s="381"/>
      <c r="Q2581" s="12"/>
      <c r="R2581" s="12"/>
      <c r="S2581" s="382"/>
      <c r="T2581" s="383"/>
      <c r="U2581" s="384"/>
      <c r="V2581" s="12"/>
      <c r="W2581" s="12"/>
    </row>
    <row r="2582" spans="1:23" x14ac:dyDescent="0.3">
      <c r="A2582" s="193" t="str">
        <v/>
      </c>
      <c r="B2582" s="378"/>
      <c r="C2582" s="315"/>
      <c r="D2582" s="316"/>
      <c r="E2582" s="315"/>
      <c r="F2582" s="315"/>
      <c r="G2582" s="315"/>
      <c r="H2582" s="153"/>
      <c r="I2582" s="12"/>
      <c r="J2582" s="170"/>
      <c r="K2582" s="12"/>
      <c r="L2582" s="379"/>
      <c r="M2582" s="380"/>
      <c r="N2582" s="380"/>
      <c r="O2582" s="12"/>
      <c r="P2582" s="381"/>
      <c r="Q2582" s="12"/>
      <c r="R2582" s="12"/>
      <c r="S2582" s="382"/>
      <c r="T2582" s="383"/>
      <c r="U2582" s="384"/>
      <c r="V2582" s="12"/>
      <c r="W2582" s="12"/>
    </row>
    <row r="2583" spans="1:23" x14ac:dyDescent="0.3">
      <c r="A2583" s="193" t="str">
        <v/>
      </c>
      <c r="B2583" s="378"/>
      <c r="C2583" s="315"/>
      <c r="D2583" s="316"/>
      <c r="E2583" s="315"/>
      <c r="F2583" s="315"/>
      <c r="G2583" s="315"/>
      <c r="H2583" s="153"/>
      <c r="I2583" s="12"/>
      <c r="J2583" s="170"/>
      <c r="K2583" s="12"/>
      <c r="L2583" s="379"/>
      <c r="M2583" s="380"/>
      <c r="N2583" s="380"/>
      <c r="O2583" s="12"/>
      <c r="P2583" s="381"/>
      <c r="Q2583" s="12"/>
      <c r="R2583" s="12"/>
      <c r="S2583" s="382"/>
      <c r="T2583" s="383"/>
      <c r="U2583" s="384"/>
      <c r="V2583" s="12"/>
      <c r="W2583" s="12"/>
    </row>
    <row r="2584" spans="1:23" x14ac:dyDescent="0.3">
      <c r="A2584" s="193" t="str">
        <v/>
      </c>
      <c r="B2584" s="378"/>
      <c r="C2584" s="315"/>
      <c r="D2584" s="316"/>
      <c r="E2584" s="315"/>
      <c r="F2584" s="315"/>
      <c r="G2584" s="315"/>
      <c r="H2584" s="153"/>
      <c r="I2584" s="12"/>
      <c r="J2584" s="170"/>
      <c r="K2584" s="12"/>
      <c r="L2584" s="379"/>
      <c r="M2584" s="380"/>
      <c r="N2584" s="380"/>
      <c r="O2584" s="12"/>
      <c r="P2584" s="381"/>
      <c r="Q2584" s="12"/>
      <c r="R2584" s="12"/>
      <c r="S2584" s="382"/>
      <c r="T2584" s="383"/>
      <c r="U2584" s="384"/>
      <c r="V2584" s="12"/>
      <c r="W2584" s="12"/>
    </row>
    <row r="2585" spans="1:23" x14ac:dyDescent="0.3">
      <c r="A2585" s="193" t="str">
        <v/>
      </c>
      <c r="B2585" s="378"/>
      <c r="C2585" s="315"/>
      <c r="D2585" s="316"/>
      <c r="E2585" s="315"/>
      <c r="F2585" s="315"/>
      <c r="G2585" s="315"/>
      <c r="H2585" s="153"/>
      <c r="I2585" s="12"/>
      <c r="J2585" s="170"/>
      <c r="K2585" s="12"/>
      <c r="L2585" s="379"/>
      <c r="M2585" s="380"/>
      <c r="N2585" s="380"/>
      <c r="O2585" s="12"/>
      <c r="P2585" s="381"/>
      <c r="Q2585" s="12"/>
      <c r="R2585" s="12"/>
      <c r="S2585" s="382"/>
      <c r="T2585" s="383"/>
      <c r="U2585" s="384"/>
      <c r="V2585" s="12"/>
      <c r="W2585" s="12"/>
    </row>
    <row r="2586" spans="1:23" x14ac:dyDescent="0.3">
      <c r="A2586" s="193" t="str">
        <v/>
      </c>
      <c r="B2586" s="378"/>
      <c r="C2586" s="315"/>
      <c r="D2586" s="316"/>
      <c r="E2586" s="315"/>
      <c r="F2586" s="315"/>
      <c r="G2586" s="315"/>
      <c r="H2586" s="153"/>
      <c r="I2586" s="12"/>
      <c r="J2586" s="170"/>
      <c r="K2586" s="12"/>
      <c r="L2586" s="379"/>
      <c r="M2586" s="380"/>
      <c r="N2586" s="380"/>
      <c r="O2586" s="12"/>
      <c r="P2586" s="381"/>
      <c r="Q2586" s="12"/>
      <c r="R2586" s="12"/>
      <c r="S2586" s="382"/>
      <c r="T2586" s="383"/>
      <c r="U2586" s="384"/>
      <c r="V2586" s="12"/>
      <c r="W2586" s="12"/>
    </row>
    <row r="2587" spans="1:23" x14ac:dyDescent="0.3">
      <c r="A2587" s="193" t="str">
        <v/>
      </c>
      <c r="B2587" s="378"/>
      <c r="C2587" s="315"/>
      <c r="D2587" s="316"/>
      <c r="E2587" s="315"/>
      <c r="F2587" s="315"/>
      <c r="G2587" s="315"/>
      <c r="H2587" s="153"/>
      <c r="I2587" s="12"/>
      <c r="J2587" s="170"/>
      <c r="K2587" s="12"/>
      <c r="L2587" s="379"/>
      <c r="M2587" s="380"/>
      <c r="N2587" s="380"/>
      <c r="O2587" s="12"/>
      <c r="P2587" s="381"/>
      <c r="Q2587" s="12"/>
      <c r="R2587" s="12"/>
      <c r="S2587" s="382"/>
      <c r="T2587" s="383"/>
      <c r="U2587" s="384"/>
      <c r="V2587" s="12"/>
      <c r="W2587" s="12"/>
    </row>
    <row r="2588" spans="1:23" x14ac:dyDescent="0.3">
      <c r="A2588" s="193" t="str">
        <v/>
      </c>
      <c r="B2588" s="378"/>
      <c r="C2588" s="315"/>
      <c r="D2588" s="316"/>
      <c r="E2588" s="315"/>
      <c r="F2588" s="315"/>
      <c r="G2588" s="315"/>
      <c r="H2588" s="153"/>
      <c r="I2588" s="12"/>
      <c r="J2588" s="170"/>
      <c r="K2588" s="12"/>
      <c r="L2588" s="379"/>
      <c r="M2588" s="380"/>
      <c r="N2588" s="380"/>
      <c r="O2588" s="12"/>
      <c r="P2588" s="381"/>
      <c r="Q2588" s="12"/>
      <c r="R2588" s="12"/>
      <c r="S2588" s="382"/>
      <c r="T2588" s="383"/>
      <c r="U2588" s="384"/>
      <c r="V2588" s="12"/>
      <c r="W2588" s="12"/>
    </row>
    <row r="2589" spans="1:23" x14ac:dyDescent="0.3">
      <c r="A2589" s="193" t="str">
        <v/>
      </c>
      <c r="B2589" s="378"/>
      <c r="C2589" s="315"/>
      <c r="D2589" s="316"/>
      <c r="E2589" s="315"/>
      <c r="F2589" s="315"/>
      <c r="G2589" s="315"/>
      <c r="H2589" s="153"/>
      <c r="I2589" s="12"/>
      <c r="J2589" s="170"/>
      <c r="K2589" s="12"/>
      <c r="L2589" s="379"/>
      <c r="M2589" s="380"/>
      <c r="N2589" s="380"/>
      <c r="O2589" s="12"/>
      <c r="P2589" s="381"/>
      <c r="Q2589" s="12"/>
      <c r="R2589" s="12"/>
      <c r="S2589" s="382"/>
      <c r="T2589" s="383"/>
      <c r="U2589" s="384"/>
      <c r="V2589" s="12"/>
      <c r="W2589" s="12"/>
    </row>
    <row r="2590" spans="1:23" x14ac:dyDescent="0.3">
      <c r="A2590" s="193" t="str">
        <v/>
      </c>
      <c r="B2590" s="378"/>
      <c r="C2590" s="315"/>
      <c r="D2590" s="316"/>
      <c r="E2590" s="315"/>
      <c r="F2590" s="315"/>
      <c r="G2590" s="315"/>
      <c r="H2590" s="153"/>
      <c r="I2590" s="12"/>
      <c r="J2590" s="170"/>
      <c r="K2590" s="12"/>
      <c r="L2590" s="379"/>
      <c r="M2590" s="380"/>
      <c r="N2590" s="380"/>
      <c r="O2590" s="12"/>
      <c r="P2590" s="381"/>
      <c r="Q2590" s="12"/>
      <c r="R2590" s="12"/>
      <c r="S2590" s="382"/>
      <c r="T2590" s="383"/>
      <c r="U2590" s="384"/>
      <c r="V2590" s="12"/>
      <c r="W2590" s="12"/>
    </row>
    <row r="2591" spans="1:23" x14ac:dyDescent="0.3">
      <c r="A2591" s="193" t="str">
        <v/>
      </c>
      <c r="B2591" s="378"/>
      <c r="C2591" s="315"/>
      <c r="D2591" s="316"/>
      <c r="E2591" s="315"/>
      <c r="F2591" s="315"/>
      <c r="G2591" s="315"/>
      <c r="H2591" s="153"/>
      <c r="I2591" s="12"/>
      <c r="J2591" s="170"/>
      <c r="K2591" s="12"/>
      <c r="L2591" s="379"/>
      <c r="M2591" s="380"/>
      <c r="N2591" s="380"/>
      <c r="O2591" s="12"/>
      <c r="P2591" s="381"/>
      <c r="Q2591" s="12"/>
      <c r="R2591" s="12"/>
      <c r="S2591" s="382"/>
      <c r="T2591" s="383"/>
      <c r="U2591" s="384"/>
      <c r="V2591" s="12"/>
      <c r="W2591" s="12"/>
    </row>
    <row r="2592" spans="1:23" x14ac:dyDescent="0.3">
      <c r="A2592" s="193" t="str">
        <v/>
      </c>
      <c r="B2592" s="378"/>
      <c r="C2592" s="315"/>
      <c r="D2592" s="316"/>
      <c r="E2592" s="315"/>
      <c r="F2592" s="315"/>
      <c r="G2592" s="315"/>
      <c r="H2592" s="153"/>
      <c r="I2592" s="12"/>
      <c r="J2592" s="170"/>
      <c r="K2592" s="12"/>
      <c r="L2592" s="379"/>
      <c r="M2592" s="380"/>
      <c r="N2592" s="380"/>
      <c r="O2592" s="12"/>
      <c r="P2592" s="381"/>
      <c r="Q2592" s="12"/>
      <c r="R2592" s="12"/>
      <c r="S2592" s="382"/>
      <c r="T2592" s="383"/>
      <c r="U2592" s="384"/>
      <c r="V2592" s="12"/>
      <c r="W2592" s="12"/>
    </row>
    <row r="2593" spans="1:23" x14ac:dyDescent="0.3">
      <c r="A2593" s="193" t="str">
        <v/>
      </c>
      <c r="B2593" s="378"/>
      <c r="C2593" s="315"/>
      <c r="D2593" s="316"/>
      <c r="E2593" s="315"/>
      <c r="F2593" s="315"/>
      <c r="G2593" s="315"/>
      <c r="H2593" s="153"/>
      <c r="I2593" s="12"/>
      <c r="J2593" s="170"/>
      <c r="K2593" s="12"/>
      <c r="L2593" s="379"/>
      <c r="M2593" s="380"/>
      <c r="N2593" s="380"/>
      <c r="O2593" s="12"/>
      <c r="P2593" s="381"/>
      <c r="Q2593" s="12"/>
      <c r="R2593" s="12"/>
      <c r="S2593" s="382"/>
      <c r="T2593" s="383"/>
      <c r="U2593" s="384"/>
      <c r="V2593" s="12"/>
      <c r="W2593" s="12"/>
    </row>
    <row r="2594" spans="1:23" x14ac:dyDescent="0.3">
      <c r="A2594" s="193" t="str">
        <v/>
      </c>
      <c r="B2594" s="378"/>
      <c r="C2594" s="315"/>
      <c r="D2594" s="316"/>
      <c r="E2594" s="315"/>
      <c r="F2594" s="315"/>
      <c r="G2594" s="315"/>
      <c r="H2594" s="153"/>
      <c r="I2594" s="12"/>
      <c r="J2594" s="170"/>
      <c r="K2594" s="12"/>
      <c r="L2594" s="379"/>
      <c r="M2594" s="380"/>
      <c r="N2594" s="380"/>
      <c r="O2594" s="12"/>
      <c r="P2594" s="381"/>
      <c r="Q2594" s="12"/>
      <c r="R2594" s="12"/>
      <c r="S2594" s="382"/>
      <c r="T2594" s="383"/>
      <c r="U2594" s="384"/>
      <c r="V2594" s="12"/>
      <c r="W2594" s="12"/>
    </row>
    <row r="2595" spans="1:23" x14ac:dyDescent="0.3">
      <c r="A2595" s="193" t="str">
        <v/>
      </c>
      <c r="B2595" s="378"/>
      <c r="C2595" s="315"/>
      <c r="D2595" s="316"/>
      <c r="E2595" s="315"/>
      <c r="F2595" s="315"/>
      <c r="G2595" s="315"/>
      <c r="H2595" s="153"/>
      <c r="I2595" s="12"/>
      <c r="J2595" s="170"/>
      <c r="K2595" s="12"/>
      <c r="L2595" s="379"/>
      <c r="M2595" s="380"/>
      <c r="N2595" s="380"/>
      <c r="O2595" s="12"/>
      <c r="P2595" s="381"/>
      <c r="Q2595" s="12"/>
      <c r="R2595" s="12"/>
      <c r="S2595" s="382"/>
      <c r="T2595" s="383"/>
      <c r="U2595" s="384"/>
      <c r="V2595" s="12"/>
      <c r="W2595" s="12"/>
    </row>
    <row r="2596" spans="1:23" x14ac:dyDescent="0.3">
      <c r="A2596" s="193" t="str">
        <v/>
      </c>
      <c r="B2596" s="378"/>
      <c r="C2596" s="315"/>
      <c r="D2596" s="316"/>
      <c r="E2596" s="315"/>
      <c r="F2596" s="315"/>
      <c r="G2596" s="315"/>
      <c r="H2596" s="153"/>
      <c r="I2596" s="12"/>
      <c r="J2596" s="170"/>
      <c r="K2596" s="12"/>
      <c r="L2596" s="379"/>
      <c r="M2596" s="380"/>
      <c r="N2596" s="380"/>
      <c r="O2596" s="12"/>
      <c r="P2596" s="381"/>
      <c r="Q2596" s="12"/>
      <c r="R2596" s="12"/>
      <c r="S2596" s="382"/>
      <c r="T2596" s="383"/>
      <c r="U2596" s="384"/>
      <c r="V2596" s="12"/>
      <c r="W2596" s="12"/>
    </row>
    <row r="2597" spans="1:23" x14ac:dyDescent="0.3">
      <c r="A2597" s="193" t="str">
        <v/>
      </c>
      <c r="B2597" s="378"/>
      <c r="C2597" s="315"/>
      <c r="D2597" s="316"/>
      <c r="E2597" s="315"/>
      <c r="F2597" s="315"/>
      <c r="G2597" s="315"/>
      <c r="H2597" s="153"/>
      <c r="I2597" s="12"/>
      <c r="J2597" s="170"/>
      <c r="K2597" s="12"/>
      <c r="L2597" s="379"/>
      <c r="M2597" s="380"/>
      <c r="N2597" s="380"/>
      <c r="O2597" s="12"/>
      <c r="P2597" s="381"/>
      <c r="Q2597" s="12"/>
      <c r="R2597" s="12"/>
      <c r="S2597" s="382"/>
      <c r="T2597" s="383"/>
      <c r="U2597" s="384"/>
      <c r="V2597" s="12"/>
      <c r="W2597" s="12"/>
    </row>
    <row r="2598" spans="1:23" x14ac:dyDescent="0.3">
      <c r="A2598" s="193" t="str">
        <v/>
      </c>
      <c r="B2598" s="378"/>
      <c r="C2598" s="315"/>
      <c r="D2598" s="316"/>
      <c r="E2598" s="315"/>
      <c r="F2598" s="315"/>
      <c r="G2598" s="315"/>
      <c r="H2598" s="153"/>
      <c r="I2598" s="12"/>
      <c r="J2598" s="170"/>
      <c r="K2598" s="12"/>
      <c r="L2598" s="379"/>
      <c r="M2598" s="380"/>
      <c r="N2598" s="380"/>
      <c r="O2598" s="12"/>
      <c r="P2598" s="381"/>
      <c r="Q2598" s="12"/>
      <c r="R2598" s="12"/>
      <c r="S2598" s="382"/>
      <c r="T2598" s="383"/>
      <c r="U2598" s="384"/>
      <c r="V2598" s="12"/>
      <c r="W2598" s="12"/>
    </row>
    <row r="2599" spans="1:23" x14ac:dyDescent="0.3">
      <c r="A2599" s="193" t="str">
        <v/>
      </c>
      <c r="B2599" s="378"/>
      <c r="C2599" s="315"/>
      <c r="D2599" s="316"/>
      <c r="E2599" s="315"/>
      <c r="F2599" s="315"/>
      <c r="G2599" s="315"/>
      <c r="H2599" s="153"/>
      <c r="I2599" s="12"/>
      <c r="J2599" s="170"/>
      <c r="K2599" s="12"/>
      <c r="L2599" s="379"/>
      <c r="M2599" s="380"/>
      <c r="N2599" s="380"/>
      <c r="O2599" s="12"/>
      <c r="P2599" s="381"/>
      <c r="Q2599" s="12"/>
      <c r="R2599" s="12"/>
      <c r="S2599" s="382"/>
      <c r="T2599" s="383"/>
      <c r="U2599" s="384"/>
      <c r="V2599" s="12"/>
      <c r="W2599" s="12"/>
    </row>
    <row r="2600" spans="1:23" x14ac:dyDescent="0.3">
      <c r="A2600" s="193" t="str">
        <v/>
      </c>
      <c r="B2600" s="378"/>
      <c r="C2600" s="315"/>
      <c r="D2600" s="316"/>
      <c r="E2600" s="315"/>
      <c r="F2600" s="315"/>
      <c r="G2600" s="315"/>
      <c r="H2600" s="153"/>
      <c r="I2600" s="12"/>
      <c r="J2600" s="170"/>
      <c r="K2600" s="12"/>
      <c r="L2600" s="379"/>
      <c r="M2600" s="380"/>
      <c r="N2600" s="380"/>
      <c r="O2600" s="12"/>
      <c r="P2600" s="381"/>
      <c r="Q2600" s="12"/>
      <c r="R2600" s="12"/>
      <c r="S2600" s="382"/>
      <c r="T2600" s="383"/>
      <c r="U2600" s="384"/>
      <c r="V2600" s="12"/>
      <c r="W2600" s="12"/>
    </row>
    <row r="2601" spans="1:23" x14ac:dyDescent="0.3">
      <c r="A2601" s="193" t="str">
        <v/>
      </c>
      <c r="B2601" s="378"/>
      <c r="C2601" s="315"/>
      <c r="D2601" s="316"/>
      <c r="E2601" s="315"/>
      <c r="F2601" s="315"/>
      <c r="G2601" s="315"/>
      <c r="H2601" s="153"/>
      <c r="I2601" s="12"/>
      <c r="J2601" s="170"/>
      <c r="K2601" s="12"/>
      <c r="L2601" s="379"/>
      <c r="M2601" s="380"/>
      <c r="N2601" s="380"/>
      <c r="O2601" s="12"/>
      <c r="P2601" s="381"/>
      <c r="Q2601" s="12"/>
      <c r="R2601" s="12"/>
      <c r="S2601" s="382"/>
      <c r="T2601" s="383"/>
      <c r="U2601" s="384"/>
      <c r="V2601" s="12"/>
      <c r="W2601" s="12"/>
    </row>
    <row r="2602" spans="1:23" x14ac:dyDescent="0.3">
      <c r="A2602" s="193" t="str">
        <v/>
      </c>
      <c r="B2602" s="378"/>
      <c r="C2602" s="315"/>
      <c r="D2602" s="316"/>
      <c r="E2602" s="315"/>
      <c r="F2602" s="315"/>
      <c r="G2602" s="315"/>
      <c r="H2602" s="153"/>
      <c r="I2602" s="12"/>
      <c r="J2602" s="170"/>
      <c r="K2602" s="12"/>
      <c r="L2602" s="379"/>
      <c r="M2602" s="380"/>
      <c r="N2602" s="380"/>
      <c r="O2602" s="12"/>
      <c r="P2602" s="381"/>
      <c r="Q2602" s="12"/>
      <c r="R2602" s="12"/>
      <c r="S2602" s="382"/>
      <c r="T2602" s="383"/>
      <c r="U2602" s="384"/>
      <c r="V2602" s="12"/>
      <c r="W2602" s="12"/>
    </row>
    <row r="2603" spans="1:23" x14ac:dyDescent="0.3">
      <c r="A2603" s="193" t="str">
        <v/>
      </c>
      <c r="B2603" s="378"/>
      <c r="C2603" s="315"/>
      <c r="D2603" s="316"/>
      <c r="E2603" s="315"/>
      <c r="F2603" s="315"/>
      <c r="G2603" s="315"/>
      <c r="H2603" s="153"/>
      <c r="I2603" s="12"/>
      <c r="J2603" s="170"/>
      <c r="K2603" s="12"/>
      <c r="L2603" s="379"/>
      <c r="M2603" s="380"/>
      <c r="N2603" s="380"/>
      <c r="O2603" s="12"/>
      <c r="P2603" s="381"/>
      <c r="Q2603" s="12"/>
      <c r="R2603" s="12"/>
      <c r="S2603" s="382"/>
      <c r="T2603" s="383"/>
      <c r="U2603" s="384"/>
      <c r="V2603" s="12"/>
      <c r="W2603" s="12"/>
    </row>
    <row r="2604" spans="1:23" x14ac:dyDescent="0.3">
      <c r="A2604" s="193" t="str">
        <v/>
      </c>
      <c r="B2604" s="378"/>
      <c r="C2604" s="315"/>
      <c r="D2604" s="316"/>
      <c r="E2604" s="315"/>
      <c r="F2604" s="315"/>
      <c r="G2604" s="315"/>
      <c r="H2604" s="153"/>
      <c r="I2604" s="12"/>
      <c r="J2604" s="170"/>
      <c r="K2604" s="12"/>
      <c r="L2604" s="379"/>
      <c r="M2604" s="380"/>
      <c r="N2604" s="380"/>
      <c r="O2604" s="12"/>
      <c r="P2604" s="381"/>
      <c r="Q2604" s="12"/>
      <c r="R2604" s="12"/>
      <c r="S2604" s="382"/>
      <c r="T2604" s="383"/>
      <c r="U2604" s="384"/>
      <c r="V2604" s="12"/>
      <c r="W2604" s="12"/>
    </row>
    <row r="2605" spans="1:23" x14ac:dyDescent="0.3">
      <c r="A2605" s="193" t="str">
        <v/>
      </c>
      <c r="B2605" s="378"/>
      <c r="C2605" s="315"/>
      <c r="D2605" s="316"/>
      <c r="E2605" s="315"/>
      <c r="F2605" s="315"/>
      <c r="G2605" s="315"/>
      <c r="H2605" s="153"/>
      <c r="I2605" s="12"/>
      <c r="J2605" s="170"/>
      <c r="K2605" s="12"/>
      <c r="L2605" s="379"/>
      <c r="M2605" s="380"/>
      <c r="N2605" s="380"/>
      <c r="O2605" s="12"/>
      <c r="P2605" s="381"/>
      <c r="Q2605" s="12"/>
      <c r="R2605" s="12"/>
      <c r="S2605" s="382"/>
      <c r="T2605" s="383"/>
      <c r="U2605" s="384"/>
      <c r="V2605" s="12"/>
      <c r="W2605" s="12"/>
    </row>
    <row r="2606" spans="1:23" x14ac:dyDescent="0.3">
      <c r="A2606" s="193" t="str">
        <v/>
      </c>
      <c r="B2606" s="378"/>
      <c r="C2606" s="315"/>
      <c r="D2606" s="316"/>
      <c r="E2606" s="315"/>
      <c r="F2606" s="315"/>
      <c r="G2606" s="315"/>
      <c r="H2606" s="153"/>
      <c r="I2606" s="12"/>
      <c r="J2606" s="170"/>
      <c r="K2606" s="12"/>
      <c r="L2606" s="379"/>
      <c r="M2606" s="380"/>
      <c r="N2606" s="380"/>
      <c r="O2606" s="12"/>
      <c r="P2606" s="381"/>
      <c r="Q2606" s="12"/>
      <c r="R2606" s="12"/>
      <c r="S2606" s="382"/>
      <c r="T2606" s="383"/>
      <c r="U2606" s="384"/>
      <c r="V2606" s="12"/>
      <c r="W2606" s="12"/>
    </row>
    <row r="2607" spans="1:23" x14ac:dyDescent="0.3">
      <c r="A2607" s="193" t="str">
        <v/>
      </c>
      <c r="B2607" s="378"/>
      <c r="C2607" s="315"/>
      <c r="D2607" s="316"/>
      <c r="E2607" s="315"/>
      <c r="F2607" s="315"/>
      <c r="G2607" s="315"/>
      <c r="H2607" s="153"/>
      <c r="I2607" s="12"/>
      <c r="J2607" s="170"/>
      <c r="K2607" s="12"/>
      <c r="L2607" s="379"/>
      <c r="M2607" s="380"/>
      <c r="N2607" s="380"/>
      <c r="O2607" s="12"/>
      <c r="P2607" s="381"/>
      <c r="Q2607" s="12"/>
      <c r="R2607" s="12"/>
      <c r="S2607" s="382"/>
      <c r="T2607" s="383"/>
      <c r="U2607" s="384"/>
      <c r="V2607" s="12"/>
      <c r="W2607" s="12"/>
    </row>
    <row r="2608" spans="1:23" x14ac:dyDescent="0.3">
      <c r="A2608" s="193" t="str">
        <v/>
      </c>
      <c r="B2608" s="378"/>
      <c r="C2608" s="315"/>
      <c r="D2608" s="316"/>
      <c r="E2608" s="315"/>
      <c r="F2608" s="315"/>
      <c r="G2608" s="315"/>
      <c r="H2608" s="153"/>
      <c r="I2608" s="12"/>
      <c r="J2608" s="170"/>
      <c r="K2608" s="12"/>
      <c r="L2608" s="379"/>
      <c r="M2608" s="380"/>
      <c r="N2608" s="380"/>
      <c r="O2608" s="12"/>
      <c r="P2608" s="381"/>
      <c r="Q2608" s="12"/>
      <c r="R2608" s="12"/>
      <c r="S2608" s="382"/>
      <c r="T2608" s="383"/>
      <c r="U2608" s="384"/>
      <c r="V2608" s="12"/>
      <c r="W2608" s="12"/>
    </row>
    <row r="2609" spans="1:23" x14ac:dyDescent="0.3">
      <c r="A2609" s="193" t="str">
        <v/>
      </c>
      <c r="B2609" s="378"/>
      <c r="C2609" s="315"/>
      <c r="D2609" s="316"/>
      <c r="E2609" s="315"/>
      <c r="F2609" s="315"/>
      <c r="G2609" s="315"/>
      <c r="H2609" s="153"/>
      <c r="I2609" s="12"/>
      <c r="J2609" s="170"/>
      <c r="K2609" s="12"/>
      <c r="L2609" s="379"/>
      <c r="M2609" s="380"/>
      <c r="N2609" s="380"/>
      <c r="O2609" s="12"/>
      <c r="P2609" s="381"/>
      <c r="Q2609" s="12"/>
      <c r="R2609" s="12"/>
      <c r="S2609" s="382"/>
      <c r="T2609" s="383"/>
      <c r="U2609" s="384"/>
      <c r="V2609" s="12"/>
      <c r="W2609" s="12"/>
    </row>
    <row r="2610" spans="1:23" x14ac:dyDescent="0.3">
      <c r="A2610" s="193" t="str">
        <v/>
      </c>
      <c r="B2610" s="378"/>
      <c r="C2610" s="315"/>
      <c r="D2610" s="316"/>
      <c r="E2610" s="315"/>
      <c r="F2610" s="315"/>
      <c r="G2610" s="315"/>
      <c r="H2610" s="153"/>
      <c r="I2610" s="12"/>
      <c r="J2610" s="170"/>
      <c r="K2610" s="12"/>
      <c r="L2610" s="379"/>
      <c r="M2610" s="380"/>
      <c r="N2610" s="380"/>
      <c r="O2610" s="12"/>
      <c r="P2610" s="381"/>
      <c r="Q2610" s="12"/>
      <c r="R2610" s="12"/>
      <c r="S2610" s="382"/>
      <c r="T2610" s="383"/>
      <c r="U2610" s="384"/>
      <c r="V2610" s="12"/>
      <c r="W2610" s="12"/>
    </row>
    <row r="2611" spans="1:23" x14ac:dyDescent="0.3">
      <c r="A2611" s="193" t="str">
        <v/>
      </c>
      <c r="B2611" s="378"/>
      <c r="C2611" s="315"/>
      <c r="D2611" s="316"/>
      <c r="E2611" s="315"/>
      <c r="F2611" s="315"/>
      <c r="G2611" s="315"/>
      <c r="H2611" s="153"/>
      <c r="I2611" s="12"/>
      <c r="J2611" s="170"/>
      <c r="K2611" s="12"/>
      <c r="L2611" s="379"/>
      <c r="M2611" s="380"/>
      <c r="N2611" s="380"/>
      <c r="O2611" s="12"/>
      <c r="P2611" s="381"/>
      <c r="Q2611" s="12"/>
      <c r="R2611" s="12"/>
      <c r="S2611" s="382"/>
      <c r="T2611" s="383"/>
      <c r="U2611" s="384"/>
      <c r="V2611" s="12"/>
      <c r="W2611" s="12"/>
    </row>
    <row r="2612" spans="1:23" x14ac:dyDescent="0.3">
      <c r="A2612" s="193" t="str">
        <v/>
      </c>
      <c r="B2612" s="378"/>
      <c r="C2612" s="315"/>
      <c r="D2612" s="316"/>
      <c r="E2612" s="315"/>
      <c r="F2612" s="315"/>
      <c r="G2612" s="315"/>
      <c r="H2612" s="153"/>
      <c r="I2612" s="12"/>
      <c r="J2612" s="170"/>
      <c r="K2612" s="12"/>
      <c r="L2612" s="379"/>
      <c r="M2612" s="380"/>
      <c r="N2612" s="380"/>
      <c r="O2612" s="12"/>
      <c r="P2612" s="381"/>
      <c r="Q2612" s="12"/>
      <c r="R2612" s="12"/>
      <c r="S2612" s="382"/>
      <c r="T2612" s="383"/>
      <c r="U2612" s="384"/>
      <c r="V2612" s="12"/>
      <c r="W2612" s="12"/>
    </row>
    <row r="2613" spans="1:23" x14ac:dyDescent="0.3">
      <c r="A2613" s="193" t="str">
        <v/>
      </c>
      <c r="B2613" s="378"/>
      <c r="C2613" s="315"/>
      <c r="D2613" s="316"/>
      <c r="E2613" s="315"/>
      <c r="F2613" s="315"/>
      <c r="G2613" s="315"/>
      <c r="H2613" s="153"/>
      <c r="I2613" s="12"/>
      <c r="J2613" s="170"/>
      <c r="K2613" s="12"/>
      <c r="L2613" s="379"/>
      <c r="M2613" s="380"/>
      <c r="N2613" s="380"/>
      <c r="O2613" s="12"/>
      <c r="P2613" s="381"/>
      <c r="Q2613" s="12"/>
      <c r="R2613" s="12"/>
      <c r="S2613" s="382"/>
      <c r="T2613" s="383"/>
      <c r="U2613" s="384"/>
      <c r="V2613" s="12"/>
      <c r="W2613" s="12"/>
    </row>
    <row r="2614" spans="1:23" x14ac:dyDescent="0.3">
      <c r="A2614" s="193" t="str">
        <v/>
      </c>
      <c r="B2614" s="378"/>
      <c r="C2614" s="315"/>
      <c r="D2614" s="316"/>
      <c r="E2614" s="315"/>
      <c r="F2614" s="315"/>
      <c r="G2614" s="315"/>
      <c r="H2614" s="153"/>
      <c r="I2614" s="12"/>
      <c r="J2614" s="170"/>
      <c r="K2614" s="12"/>
      <c r="L2614" s="379"/>
      <c r="M2614" s="380"/>
      <c r="N2614" s="380"/>
      <c r="O2614" s="12"/>
      <c r="P2614" s="381"/>
      <c r="Q2614" s="12"/>
      <c r="R2614" s="12"/>
      <c r="S2614" s="382"/>
      <c r="T2614" s="383"/>
      <c r="U2614" s="384"/>
      <c r="V2614" s="12"/>
      <c r="W2614" s="12"/>
    </row>
    <row r="2615" spans="1:23" x14ac:dyDescent="0.3">
      <c r="A2615" s="193" t="str">
        <v/>
      </c>
      <c r="B2615" s="378"/>
      <c r="C2615" s="315"/>
      <c r="D2615" s="316"/>
      <c r="E2615" s="315"/>
      <c r="F2615" s="315"/>
      <c r="G2615" s="315"/>
      <c r="H2615" s="153"/>
      <c r="I2615" s="12"/>
      <c r="J2615" s="170"/>
      <c r="K2615" s="12"/>
      <c r="L2615" s="379"/>
      <c r="M2615" s="380"/>
      <c r="N2615" s="380"/>
      <c r="O2615" s="12"/>
      <c r="P2615" s="381"/>
      <c r="Q2615" s="12"/>
      <c r="R2615" s="12"/>
      <c r="S2615" s="382"/>
      <c r="T2615" s="383"/>
      <c r="U2615" s="384"/>
      <c r="V2615" s="12"/>
      <c r="W2615" s="12"/>
    </row>
    <row r="2616" spans="1:23" x14ac:dyDescent="0.3">
      <c r="A2616" s="193" t="str">
        <v/>
      </c>
      <c r="B2616" s="378"/>
      <c r="C2616" s="315"/>
      <c r="D2616" s="316"/>
      <c r="E2616" s="315"/>
      <c r="F2616" s="315"/>
      <c r="G2616" s="315"/>
      <c r="H2616" s="153"/>
      <c r="I2616" s="12"/>
      <c r="J2616" s="170"/>
      <c r="K2616" s="12"/>
      <c r="L2616" s="379"/>
      <c r="M2616" s="380"/>
      <c r="N2616" s="380"/>
      <c r="O2616" s="12"/>
      <c r="P2616" s="381"/>
      <c r="Q2616" s="12"/>
      <c r="R2616" s="12"/>
      <c r="S2616" s="382"/>
      <c r="T2616" s="383"/>
      <c r="U2616" s="384"/>
      <c r="V2616" s="12"/>
      <c r="W2616" s="12"/>
    </row>
    <row r="2617" spans="1:23" x14ac:dyDescent="0.3">
      <c r="A2617" s="193" t="str">
        <v/>
      </c>
      <c r="B2617" s="378"/>
      <c r="C2617" s="315"/>
      <c r="D2617" s="316"/>
      <c r="E2617" s="315"/>
      <c r="F2617" s="315"/>
      <c r="G2617" s="315"/>
      <c r="H2617" s="153"/>
      <c r="I2617" s="12"/>
      <c r="J2617" s="170"/>
      <c r="K2617" s="12"/>
      <c r="L2617" s="379"/>
      <c r="M2617" s="380"/>
      <c r="N2617" s="380"/>
      <c r="O2617" s="12"/>
      <c r="P2617" s="381"/>
      <c r="Q2617" s="12"/>
      <c r="R2617" s="12"/>
      <c r="S2617" s="382"/>
      <c r="T2617" s="383"/>
      <c r="U2617" s="384"/>
      <c r="V2617" s="12"/>
      <c r="W2617" s="12"/>
    </row>
    <row r="2618" spans="1:23" x14ac:dyDescent="0.3">
      <c r="A2618" s="193" t="str">
        <v/>
      </c>
      <c r="B2618" s="378"/>
      <c r="C2618" s="315"/>
      <c r="D2618" s="316"/>
      <c r="E2618" s="315"/>
      <c r="F2618" s="315"/>
      <c r="G2618" s="315"/>
      <c r="H2618" s="153"/>
      <c r="I2618" s="12"/>
      <c r="J2618" s="170"/>
      <c r="K2618" s="12"/>
      <c r="L2618" s="379"/>
      <c r="M2618" s="380"/>
      <c r="N2618" s="380"/>
      <c r="O2618" s="12"/>
      <c r="P2618" s="381"/>
      <c r="Q2618" s="12"/>
      <c r="R2618" s="12"/>
      <c r="S2618" s="382"/>
      <c r="T2618" s="383"/>
      <c r="U2618" s="384"/>
      <c r="V2618" s="12"/>
      <c r="W2618" s="12"/>
    </row>
    <row r="2619" spans="1:23" x14ac:dyDescent="0.3">
      <c r="A2619" s="193" t="str">
        <v/>
      </c>
      <c r="B2619" s="378"/>
      <c r="C2619" s="315"/>
      <c r="D2619" s="316"/>
      <c r="E2619" s="315"/>
      <c r="F2619" s="315"/>
      <c r="G2619" s="315"/>
      <c r="H2619" s="153"/>
      <c r="I2619" s="12"/>
      <c r="J2619" s="170"/>
      <c r="K2619" s="12"/>
      <c r="L2619" s="379"/>
      <c r="M2619" s="380"/>
      <c r="N2619" s="380"/>
      <c r="O2619" s="12"/>
      <c r="P2619" s="381"/>
      <c r="Q2619" s="12"/>
      <c r="R2619" s="12"/>
      <c r="S2619" s="382"/>
      <c r="T2619" s="383"/>
      <c r="U2619" s="384"/>
      <c r="V2619" s="12"/>
      <c r="W2619" s="12"/>
    </row>
    <row r="2620" spans="1:23" x14ac:dyDescent="0.3">
      <c r="A2620" s="193" t="str">
        <v/>
      </c>
      <c r="B2620" s="378"/>
      <c r="C2620" s="315"/>
      <c r="D2620" s="316"/>
      <c r="E2620" s="315"/>
      <c r="F2620" s="315"/>
      <c r="G2620" s="315"/>
      <c r="H2620" s="153"/>
      <c r="I2620" s="12"/>
      <c r="J2620" s="170"/>
      <c r="K2620" s="12"/>
      <c r="L2620" s="379"/>
      <c r="M2620" s="380"/>
      <c r="N2620" s="380"/>
      <c r="O2620" s="12"/>
      <c r="P2620" s="381"/>
      <c r="Q2620" s="12"/>
      <c r="R2620" s="12"/>
      <c r="S2620" s="382"/>
      <c r="T2620" s="383"/>
      <c r="U2620" s="384"/>
      <c r="V2620" s="12"/>
      <c r="W2620" s="12"/>
    </row>
    <row r="2621" spans="1:23" x14ac:dyDescent="0.3">
      <c r="A2621" s="193" t="str">
        <v/>
      </c>
      <c r="B2621" s="378"/>
      <c r="C2621" s="315"/>
      <c r="D2621" s="316"/>
      <c r="E2621" s="315"/>
      <c r="F2621" s="315"/>
      <c r="G2621" s="315"/>
      <c r="H2621" s="153"/>
      <c r="I2621" s="12"/>
      <c r="J2621" s="170"/>
      <c r="K2621" s="12"/>
      <c r="L2621" s="379"/>
      <c r="M2621" s="380"/>
      <c r="N2621" s="380"/>
      <c r="O2621" s="12"/>
      <c r="P2621" s="381"/>
      <c r="Q2621" s="12"/>
      <c r="R2621" s="12"/>
      <c r="S2621" s="382"/>
      <c r="T2621" s="383"/>
      <c r="U2621" s="384"/>
      <c r="V2621" s="12"/>
      <c r="W2621" s="12"/>
    </row>
    <row r="2622" spans="1:23" x14ac:dyDescent="0.3">
      <c r="A2622" s="193" t="str">
        <v/>
      </c>
      <c r="B2622" s="378"/>
      <c r="C2622" s="315"/>
      <c r="D2622" s="316"/>
      <c r="E2622" s="315"/>
      <c r="F2622" s="315"/>
      <c r="G2622" s="315"/>
      <c r="H2622" s="153"/>
      <c r="I2622" s="12"/>
      <c r="J2622" s="170"/>
      <c r="K2622" s="12"/>
      <c r="L2622" s="379"/>
      <c r="M2622" s="380"/>
      <c r="N2622" s="380"/>
      <c r="O2622" s="12"/>
      <c r="P2622" s="381"/>
      <c r="Q2622" s="12"/>
      <c r="R2622" s="12"/>
      <c r="S2622" s="382"/>
      <c r="T2622" s="383"/>
      <c r="U2622" s="384"/>
      <c r="V2622" s="12"/>
      <c r="W2622" s="12"/>
    </row>
    <row r="2623" spans="1:23" x14ac:dyDescent="0.3">
      <c r="A2623" s="193" t="str">
        <v/>
      </c>
      <c r="B2623" s="378"/>
      <c r="C2623" s="315"/>
      <c r="D2623" s="316"/>
      <c r="E2623" s="315"/>
      <c r="F2623" s="315"/>
      <c r="G2623" s="315"/>
      <c r="H2623" s="153"/>
      <c r="I2623" s="12"/>
      <c r="J2623" s="170"/>
      <c r="K2623" s="12"/>
      <c r="L2623" s="379"/>
      <c r="M2623" s="380"/>
      <c r="N2623" s="380"/>
      <c r="O2623" s="12"/>
      <c r="P2623" s="381"/>
      <c r="Q2623" s="12"/>
      <c r="R2623" s="12"/>
      <c r="S2623" s="382"/>
      <c r="T2623" s="383"/>
      <c r="U2623" s="384"/>
      <c r="V2623" s="12"/>
      <c r="W2623" s="12"/>
    </row>
    <row r="2624" spans="1:23" x14ac:dyDescent="0.3">
      <c r="A2624" s="193" t="str">
        <v/>
      </c>
      <c r="B2624" s="378"/>
      <c r="C2624" s="315"/>
      <c r="D2624" s="316"/>
      <c r="E2624" s="315"/>
      <c r="F2624" s="315"/>
      <c r="G2624" s="315"/>
      <c r="H2624" s="153"/>
      <c r="I2624" s="12"/>
      <c r="J2624" s="170"/>
      <c r="K2624" s="12"/>
      <c r="L2624" s="379"/>
      <c r="M2624" s="380"/>
      <c r="N2624" s="380"/>
      <c r="O2624" s="12"/>
      <c r="P2624" s="381"/>
      <c r="Q2624" s="12"/>
      <c r="R2624" s="12"/>
      <c r="S2624" s="382"/>
      <c r="T2624" s="383"/>
      <c r="U2624" s="384"/>
      <c r="V2624" s="12"/>
      <c r="W2624" s="12"/>
    </row>
    <row r="2625" spans="1:23" x14ac:dyDescent="0.3">
      <c r="A2625" s="193" t="str">
        <v/>
      </c>
      <c r="B2625" s="378"/>
      <c r="C2625" s="315"/>
      <c r="D2625" s="316"/>
      <c r="E2625" s="315"/>
      <c r="F2625" s="315"/>
      <c r="G2625" s="315"/>
      <c r="H2625" s="153"/>
      <c r="I2625" s="12"/>
      <c r="J2625" s="170"/>
      <c r="K2625" s="12"/>
      <c r="L2625" s="379"/>
      <c r="M2625" s="380"/>
      <c r="N2625" s="380"/>
      <c r="O2625" s="12"/>
      <c r="P2625" s="381"/>
      <c r="Q2625" s="12"/>
      <c r="R2625" s="12"/>
      <c r="S2625" s="382"/>
      <c r="T2625" s="383"/>
      <c r="U2625" s="384"/>
      <c r="V2625" s="12"/>
      <c r="W2625" s="12"/>
    </row>
    <row r="2626" spans="1:23" x14ac:dyDescent="0.3">
      <c r="A2626" s="193" t="str">
        <v/>
      </c>
      <c r="B2626" s="378"/>
      <c r="C2626" s="315"/>
      <c r="D2626" s="316"/>
      <c r="E2626" s="315"/>
      <c r="F2626" s="315"/>
      <c r="G2626" s="315"/>
      <c r="H2626" s="153"/>
      <c r="I2626" s="12"/>
      <c r="J2626" s="170"/>
      <c r="K2626" s="12"/>
      <c r="L2626" s="379"/>
      <c r="M2626" s="380"/>
      <c r="N2626" s="380"/>
      <c r="O2626" s="12"/>
      <c r="P2626" s="381"/>
      <c r="Q2626" s="12"/>
      <c r="R2626" s="12"/>
      <c r="S2626" s="382"/>
      <c r="T2626" s="383"/>
      <c r="U2626" s="384"/>
      <c r="V2626" s="12"/>
      <c r="W2626" s="12"/>
    </row>
    <row r="2627" spans="1:23" x14ac:dyDescent="0.3">
      <c r="A2627" s="193" t="str">
        <v/>
      </c>
      <c r="B2627" s="378"/>
      <c r="C2627" s="315"/>
      <c r="D2627" s="316"/>
      <c r="E2627" s="315"/>
      <c r="F2627" s="315"/>
      <c r="G2627" s="315"/>
      <c r="H2627" s="153"/>
      <c r="I2627" s="12"/>
      <c r="J2627" s="170"/>
      <c r="K2627" s="12"/>
      <c r="L2627" s="379"/>
      <c r="M2627" s="380"/>
      <c r="N2627" s="380"/>
      <c r="O2627" s="12"/>
      <c r="P2627" s="381"/>
      <c r="Q2627" s="12"/>
      <c r="R2627" s="12"/>
      <c r="S2627" s="382"/>
      <c r="T2627" s="383"/>
      <c r="U2627" s="384"/>
      <c r="V2627" s="12"/>
      <c r="W2627" s="12"/>
    </row>
    <row r="2628" spans="1:23" x14ac:dyDescent="0.3">
      <c r="A2628" s="193" t="str">
        <v/>
      </c>
      <c r="B2628" s="378"/>
      <c r="C2628" s="315"/>
      <c r="D2628" s="316"/>
      <c r="E2628" s="315"/>
      <c r="F2628" s="315"/>
      <c r="G2628" s="315"/>
      <c r="H2628" s="153"/>
      <c r="I2628" s="12"/>
      <c r="J2628" s="170"/>
      <c r="K2628" s="12"/>
      <c r="L2628" s="379"/>
      <c r="M2628" s="380"/>
      <c r="N2628" s="380"/>
      <c r="O2628" s="12"/>
      <c r="P2628" s="381"/>
      <c r="Q2628" s="12"/>
      <c r="R2628" s="12"/>
      <c r="S2628" s="382"/>
      <c r="T2628" s="383"/>
      <c r="U2628" s="384"/>
      <c r="V2628" s="12"/>
      <c r="W2628" s="12"/>
    </row>
    <row r="2629" spans="1:23" x14ac:dyDescent="0.3">
      <c r="A2629" s="193" t="str">
        <v/>
      </c>
      <c r="B2629" s="378"/>
      <c r="C2629" s="315"/>
      <c r="D2629" s="316"/>
      <c r="E2629" s="315"/>
      <c r="F2629" s="315"/>
      <c r="G2629" s="315"/>
      <c r="H2629" s="153"/>
      <c r="I2629" s="12"/>
      <c r="J2629" s="170"/>
      <c r="K2629" s="12"/>
      <c r="L2629" s="379"/>
      <c r="M2629" s="380"/>
      <c r="N2629" s="380"/>
      <c r="O2629" s="12"/>
      <c r="P2629" s="381"/>
      <c r="Q2629" s="12"/>
      <c r="R2629" s="12"/>
      <c r="S2629" s="382"/>
      <c r="T2629" s="383"/>
      <c r="U2629" s="384"/>
      <c r="V2629" s="12"/>
      <c r="W2629" s="12"/>
    </row>
    <row r="2630" spans="1:23" x14ac:dyDescent="0.3">
      <c r="A2630" s="193" t="str">
        <v/>
      </c>
      <c r="B2630" s="378"/>
      <c r="C2630" s="315"/>
      <c r="D2630" s="316"/>
      <c r="E2630" s="315"/>
      <c r="F2630" s="315"/>
      <c r="G2630" s="315"/>
      <c r="H2630" s="153"/>
      <c r="I2630" s="12"/>
      <c r="J2630" s="170"/>
      <c r="K2630" s="12"/>
      <c r="L2630" s="379"/>
      <c r="M2630" s="380"/>
      <c r="N2630" s="380"/>
      <c r="O2630" s="12"/>
      <c r="P2630" s="381"/>
      <c r="Q2630" s="12"/>
      <c r="R2630" s="12"/>
      <c r="S2630" s="382"/>
      <c r="T2630" s="383"/>
      <c r="U2630" s="384"/>
      <c r="V2630" s="12"/>
      <c r="W2630" s="12"/>
    </row>
    <row r="2631" spans="1:23" x14ac:dyDescent="0.3">
      <c r="A2631" s="193" t="str">
        <v/>
      </c>
      <c r="B2631" s="378"/>
      <c r="C2631" s="315"/>
      <c r="D2631" s="316"/>
      <c r="E2631" s="315"/>
      <c r="F2631" s="315"/>
      <c r="G2631" s="315"/>
      <c r="H2631" s="153"/>
      <c r="I2631" s="12"/>
      <c r="J2631" s="170"/>
      <c r="K2631" s="12"/>
      <c r="L2631" s="379"/>
      <c r="M2631" s="380"/>
      <c r="N2631" s="380"/>
      <c r="O2631" s="12"/>
      <c r="P2631" s="381"/>
      <c r="Q2631" s="12"/>
      <c r="R2631" s="12"/>
      <c r="S2631" s="382"/>
      <c r="T2631" s="383"/>
      <c r="U2631" s="384"/>
      <c r="V2631" s="12"/>
      <c r="W2631" s="12"/>
    </row>
    <row r="2632" spans="1:23" x14ac:dyDescent="0.3">
      <c r="A2632" s="193" t="str">
        <v/>
      </c>
      <c r="B2632" s="378"/>
      <c r="C2632" s="315"/>
      <c r="D2632" s="316"/>
      <c r="E2632" s="315"/>
      <c r="F2632" s="315"/>
      <c r="G2632" s="315"/>
      <c r="H2632" s="153"/>
      <c r="I2632" s="12"/>
      <c r="J2632" s="170"/>
      <c r="K2632" s="12"/>
      <c r="L2632" s="379"/>
      <c r="M2632" s="380"/>
      <c r="N2632" s="380"/>
      <c r="O2632" s="12"/>
      <c r="P2632" s="381"/>
      <c r="Q2632" s="12"/>
      <c r="R2632" s="12"/>
      <c r="S2632" s="382"/>
      <c r="T2632" s="383"/>
      <c r="U2632" s="384"/>
      <c r="V2632" s="12"/>
      <c r="W2632" s="12"/>
    </row>
    <row r="2633" spans="1:23" x14ac:dyDescent="0.3">
      <c r="A2633" s="193" t="str">
        <v/>
      </c>
      <c r="B2633" s="378"/>
      <c r="C2633" s="315"/>
      <c r="D2633" s="316"/>
      <c r="E2633" s="315"/>
      <c r="F2633" s="315"/>
      <c r="G2633" s="315"/>
      <c r="H2633" s="153"/>
      <c r="I2633" s="12"/>
      <c r="J2633" s="170"/>
      <c r="K2633" s="12"/>
      <c r="L2633" s="379"/>
      <c r="M2633" s="380"/>
      <c r="N2633" s="380"/>
      <c r="O2633" s="12"/>
      <c r="P2633" s="381"/>
      <c r="Q2633" s="12"/>
      <c r="R2633" s="12"/>
      <c r="S2633" s="382"/>
      <c r="T2633" s="383"/>
      <c r="U2633" s="384"/>
      <c r="V2633" s="12"/>
      <c r="W2633" s="12"/>
    </row>
    <row r="2634" spans="1:23" x14ac:dyDescent="0.3">
      <c r="A2634" s="193" t="str">
        <v/>
      </c>
      <c r="B2634" s="378"/>
      <c r="C2634" s="315"/>
      <c r="D2634" s="316"/>
      <c r="E2634" s="315"/>
      <c r="F2634" s="315"/>
      <c r="G2634" s="315"/>
      <c r="H2634" s="153"/>
      <c r="I2634" s="12"/>
      <c r="J2634" s="170"/>
      <c r="K2634" s="12"/>
      <c r="L2634" s="379"/>
      <c r="M2634" s="380"/>
      <c r="N2634" s="380"/>
      <c r="O2634" s="12"/>
      <c r="P2634" s="381"/>
      <c r="Q2634" s="12"/>
      <c r="R2634" s="12"/>
      <c r="S2634" s="382"/>
      <c r="T2634" s="383"/>
      <c r="U2634" s="384"/>
      <c r="V2634" s="12"/>
      <c r="W2634" s="12"/>
    </row>
    <row r="2635" spans="1:23" x14ac:dyDescent="0.3">
      <c r="A2635" s="193" t="str">
        <v/>
      </c>
      <c r="B2635" s="378"/>
      <c r="C2635" s="315"/>
      <c r="D2635" s="316"/>
      <c r="E2635" s="315"/>
      <c r="F2635" s="315"/>
      <c r="G2635" s="315"/>
      <c r="H2635" s="153"/>
      <c r="I2635" s="12"/>
      <c r="J2635" s="170"/>
      <c r="K2635" s="12"/>
      <c r="L2635" s="379"/>
      <c r="M2635" s="380"/>
      <c r="N2635" s="380"/>
      <c r="O2635" s="12"/>
      <c r="P2635" s="381"/>
      <c r="Q2635" s="12"/>
      <c r="R2635" s="12"/>
      <c r="S2635" s="382"/>
      <c r="T2635" s="383"/>
      <c r="U2635" s="384"/>
      <c r="V2635" s="12"/>
      <c r="W2635" s="12"/>
    </row>
    <row r="2636" spans="1:23" x14ac:dyDescent="0.3">
      <c r="A2636" s="193" t="str">
        <v/>
      </c>
      <c r="B2636" s="378"/>
      <c r="C2636" s="315"/>
      <c r="D2636" s="316"/>
      <c r="E2636" s="315"/>
      <c r="F2636" s="315"/>
      <c r="G2636" s="315"/>
      <c r="H2636" s="153"/>
      <c r="I2636" s="12"/>
      <c r="J2636" s="170"/>
      <c r="K2636" s="12"/>
      <c r="L2636" s="379"/>
      <c r="M2636" s="380"/>
      <c r="N2636" s="380"/>
      <c r="O2636" s="12"/>
      <c r="P2636" s="381"/>
      <c r="Q2636" s="12"/>
      <c r="R2636" s="12"/>
      <c r="S2636" s="382"/>
      <c r="T2636" s="383"/>
      <c r="U2636" s="384"/>
      <c r="V2636" s="12"/>
      <c r="W2636" s="12"/>
    </row>
    <row r="2637" spans="1:23" x14ac:dyDescent="0.3">
      <c r="A2637" s="193" t="str">
        <v/>
      </c>
      <c r="B2637" s="378"/>
      <c r="C2637" s="315"/>
      <c r="D2637" s="316"/>
      <c r="E2637" s="315"/>
      <c r="F2637" s="315"/>
      <c r="G2637" s="315"/>
      <c r="H2637" s="153"/>
      <c r="I2637" s="12"/>
      <c r="J2637" s="170"/>
      <c r="K2637" s="12"/>
      <c r="L2637" s="379"/>
      <c r="M2637" s="380"/>
      <c r="N2637" s="380"/>
      <c r="O2637" s="12"/>
      <c r="P2637" s="381"/>
      <c r="Q2637" s="12"/>
      <c r="R2637" s="12"/>
      <c r="S2637" s="382"/>
      <c r="T2637" s="383"/>
      <c r="U2637" s="384"/>
      <c r="V2637" s="12"/>
      <c r="W2637" s="12"/>
    </row>
    <row r="2638" spans="1:23" x14ac:dyDescent="0.3">
      <c r="A2638" s="193" t="str">
        <v/>
      </c>
      <c r="B2638" s="378"/>
      <c r="C2638" s="315"/>
      <c r="D2638" s="316"/>
      <c r="E2638" s="315"/>
      <c r="F2638" s="315"/>
      <c r="G2638" s="315"/>
      <c r="H2638" s="153"/>
      <c r="I2638" s="12"/>
      <c r="J2638" s="170"/>
      <c r="K2638" s="12"/>
      <c r="L2638" s="379"/>
      <c r="M2638" s="380"/>
      <c r="N2638" s="380"/>
      <c r="O2638" s="12"/>
      <c r="P2638" s="381"/>
      <c r="Q2638" s="12"/>
      <c r="R2638" s="12"/>
      <c r="S2638" s="382"/>
      <c r="T2638" s="383"/>
      <c r="U2638" s="384"/>
      <c r="V2638" s="12"/>
      <c r="W2638" s="12"/>
    </row>
    <row r="2639" spans="1:23" x14ac:dyDescent="0.3">
      <c r="A2639" s="193" t="str">
        <v/>
      </c>
      <c r="B2639" s="378"/>
      <c r="C2639" s="315"/>
      <c r="D2639" s="316"/>
      <c r="E2639" s="315"/>
      <c r="F2639" s="315"/>
      <c r="G2639" s="315"/>
      <c r="H2639" s="153"/>
      <c r="I2639" s="12"/>
      <c r="J2639" s="170"/>
      <c r="K2639" s="12"/>
      <c r="L2639" s="379"/>
      <c r="M2639" s="380"/>
      <c r="N2639" s="380"/>
      <c r="O2639" s="12"/>
      <c r="P2639" s="381"/>
      <c r="Q2639" s="12"/>
      <c r="R2639" s="12"/>
      <c r="S2639" s="382"/>
      <c r="T2639" s="383"/>
      <c r="U2639" s="384"/>
      <c r="V2639" s="12"/>
      <c r="W2639" s="12"/>
    </row>
    <row r="2640" spans="1:23" x14ac:dyDescent="0.3">
      <c r="A2640" s="193" t="str">
        <v/>
      </c>
      <c r="B2640" s="378"/>
      <c r="C2640" s="315"/>
      <c r="D2640" s="316"/>
      <c r="E2640" s="315"/>
      <c r="F2640" s="315"/>
      <c r="G2640" s="315"/>
      <c r="H2640" s="153"/>
      <c r="I2640" s="12"/>
      <c r="J2640" s="170"/>
      <c r="K2640" s="12"/>
      <c r="L2640" s="379"/>
      <c r="M2640" s="380"/>
      <c r="N2640" s="380"/>
      <c r="O2640" s="12"/>
      <c r="P2640" s="381"/>
      <c r="Q2640" s="12"/>
      <c r="R2640" s="12"/>
      <c r="S2640" s="382"/>
      <c r="T2640" s="383"/>
      <c r="U2640" s="384"/>
      <c r="V2640" s="12"/>
      <c r="W2640" s="12"/>
    </row>
    <row r="2641" spans="1:23" x14ac:dyDescent="0.3">
      <c r="A2641" s="193" t="str">
        <v/>
      </c>
      <c r="B2641" s="378"/>
      <c r="C2641" s="315"/>
      <c r="D2641" s="316"/>
      <c r="E2641" s="315"/>
      <c r="F2641" s="315"/>
      <c r="G2641" s="315"/>
      <c r="H2641" s="153"/>
      <c r="I2641" s="12"/>
      <c r="J2641" s="170"/>
      <c r="K2641" s="12"/>
      <c r="L2641" s="379"/>
      <c r="M2641" s="380"/>
      <c r="N2641" s="380"/>
      <c r="O2641" s="12"/>
      <c r="P2641" s="381"/>
      <c r="Q2641" s="12"/>
      <c r="R2641" s="12"/>
      <c r="S2641" s="382"/>
      <c r="T2641" s="383"/>
      <c r="U2641" s="384"/>
      <c r="V2641" s="12"/>
      <c r="W2641" s="12"/>
    </row>
    <row r="2642" spans="1:23" x14ac:dyDescent="0.3">
      <c r="A2642" s="193" t="str">
        <v/>
      </c>
      <c r="B2642" s="378"/>
      <c r="C2642" s="315"/>
      <c r="D2642" s="316"/>
      <c r="E2642" s="315"/>
      <c r="F2642" s="315"/>
      <c r="G2642" s="315"/>
      <c r="H2642" s="153"/>
      <c r="I2642" s="12"/>
      <c r="J2642" s="170"/>
      <c r="K2642" s="12"/>
      <c r="L2642" s="379"/>
      <c r="M2642" s="380"/>
      <c r="N2642" s="380"/>
      <c r="O2642" s="12"/>
      <c r="P2642" s="381"/>
      <c r="Q2642" s="12"/>
      <c r="R2642" s="12"/>
      <c r="S2642" s="382"/>
      <c r="T2642" s="383"/>
      <c r="U2642" s="384"/>
      <c r="V2642" s="12"/>
      <c r="W2642" s="12"/>
    </row>
    <row r="2643" spans="1:23" x14ac:dyDescent="0.3">
      <c r="A2643" s="193" t="str">
        <v/>
      </c>
      <c r="B2643" s="378"/>
      <c r="C2643" s="315"/>
      <c r="D2643" s="316"/>
      <c r="E2643" s="315"/>
      <c r="F2643" s="315"/>
      <c r="G2643" s="315"/>
      <c r="H2643" s="153"/>
      <c r="I2643" s="12"/>
      <c r="J2643" s="170"/>
      <c r="K2643" s="12"/>
      <c r="L2643" s="379"/>
      <c r="M2643" s="380"/>
      <c r="N2643" s="380"/>
      <c r="O2643" s="12"/>
      <c r="P2643" s="381"/>
      <c r="Q2643" s="12"/>
      <c r="R2643" s="12"/>
      <c r="S2643" s="382"/>
      <c r="T2643" s="383"/>
      <c r="U2643" s="384"/>
      <c r="V2643" s="12"/>
      <c r="W2643" s="12"/>
    </row>
    <row r="2644" spans="1:23" x14ac:dyDescent="0.3">
      <c r="A2644" s="193" t="str">
        <v/>
      </c>
      <c r="B2644" s="378"/>
      <c r="C2644" s="315"/>
      <c r="D2644" s="316"/>
      <c r="E2644" s="315"/>
      <c r="F2644" s="315"/>
      <c r="G2644" s="315"/>
      <c r="H2644" s="153"/>
      <c r="I2644" s="12"/>
      <c r="J2644" s="170"/>
      <c r="K2644" s="12"/>
      <c r="L2644" s="379"/>
      <c r="M2644" s="380"/>
      <c r="N2644" s="380"/>
      <c r="O2644" s="12"/>
      <c r="P2644" s="381"/>
      <c r="Q2644" s="12"/>
      <c r="R2644" s="12"/>
      <c r="S2644" s="382"/>
      <c r="T2644" s="383"/>
      <c r="U2644" s="384"/>
      <c r="V2644" s="12"/>
      <c r="W2644" s="12"/>
    </row>
    <row r="2645" spans="1:23" x14ac:dyDescent="0.3">
      <c r="A2645" s="193" t="str">
        <v/>
      </c>
      <c r="B2645" s="378"/>
      <c r="C2645" s="315"/>
      <c r="D2645" s="316"/>
      <c r="E2645" s="315"/>
      <c r="F2645" s="315"/>
      <c r="G2645" s="315"/>
      <c r="H2645" s="153"/>
      <c r="I2645" s="12"/>
      <c r="J2645" s="170"/>
      <c r="K2645" s="12"/>
      <c r="L2645" s="379"/>
      <c r="M2645" s="380"/>
      <c r="N2645" s="380"/>
      <c r="O2645" s="12"/>
      <c r="P2645" s="381"/>
      <c r="Q2645" s="12"/>
      <c r="R2645" s="12"/>
      <c r="S2645" s="382"/>
      <c r="T2645" s="383"/>
      <c r="U2645" s="384"/>
      <c r="V2645" s="12"/>
      <c r="W2645" s="12"/>
    </row>
    <row r="2646" spans="1:23" x14ac:dyDescent="0.3">
      <c r="A2646" s="193" t="str">
        <v/>
      </c>
      <c r="B2646" s="378"/>
      <c r="C2646" s="315"/>
      <c r="D2646" s="316"/>
      <c r="E2646" s="315"/>
      <c r="F2646" s="315"/>
      <c r="G2646" s="315"/>
      <c r="H2646" s="153"/>
      <c r="I2646" s="12"/>
      <c r="J2646" s="170"/>
      <c r="K2646" s="12"/>
      <c r="L2646" s="379"/>
      <c r="M2646" s="380"/>
      <c r="N2646" s="380"/>
      <c r="O2646" s="12"/>
      <c r="P2646" s="381"/>
      <c r="Q2646" s="12"/>
      <c r="R2646" s="12"/>
      <c r="S2646" s="382"/>
      <c r="T2646" s="383"/>
      <c r="U2646" s="384"/>
      <c r="V2646" s="12"/>
      <c r="W2646" s="12"/>
    </row>
    <row r="2647" spans="1:23" x14ac:dyDescent="0.3">
      <c r="A2647" s="193" t="str">
        <v/>
      </c>
      <c r="B2647" s="378"/>
      <c r="C2647" s="315"/>
      <c r="D2647" s="316"/>
      <c r="E2647" s="315"/>
      <c r="F2647" s="315"/>
      <c r="G2647" s="315"/>
      <c r="H2647" s="153"/>
      <c r="I2647" s="12"/>
      <c r="J2647" s="170"/>
      <c r="K2647" s="12"/>
      <c r="L2647" s="379"/>
      <c r="M2647" s="380"/>
      <c r="N2647" s="380"/>
      <c r="O2647" s="12"/>
      <c r="P2647" s="381"/>
      <c r="Q2647" s="12"/>
      <c r="R2647" s="12"/>
      <c r="S2647" s="382"/>
      <c r="T2647" s="383"/>
      <c r="U2647" s="384"/>
      <c r="V2647" s="12"/>
      <c r="W2647" s="12"/>
    </row>
    <row r="2648" spans="1:23" x14ac:dyDescent="0.3">
      <c r="A2648" s="193" t="str">
        <v/>
      </c>
      <c r="B2648" s="378"/>
      <c r="C2648" s="315"/>
      <c r="D2648" s="316"/>
      <c r="E2648" s="315"/>
      <c r="F2648" s="315"/>
      <c r="G2648" s="315"/>
      <c r="H2648" s="153"/>
      <c r="I2648" s="12"/>
      <c r="J2648" s="170"/>
      <c r="K2648" s="12"/>
      <c r="L2648" s="379"/>
      <c r="M2648" s="380"/>
      <c r="N2648" s="380"/>
      <c r="O2648" s="12"/>
      <c r="P2648" s="381"/>
      <c r="Q2648" s="12"/>
      <c r="R2648" s="12"/>
      <c r="S2648" s="382"/>
      <c r="T2648" s="383"/>
      <c r="U2648" s="384"/>
      <c r="V2648" s="12"/>
      <c r="W2648" s="12"/>
    </row>
    <row r="2649" spans="1:23" x14ac:dyDescent="0.3">
      <c r="A2649" s="193" t="str">
        <v/>
      </c>
      <c r="B2649" s="378"/>
      <c r="C2649" s="315"/>
      <c r="D2649" s="316"/>
      <c r="E2649" s="315"/>
      <c r="F2649" s="315"/>
      <c r="G2649" s="315"/>
      <c r="H2649" s="153"/>
      <c r="I2649" s="12"/>
      <c r="J2649" s="170"/>
      <c r="K2649" s="12"/>
      <c r="L2649" s="379"/>
      <c r="M2649" s="380"/>
      <c r="N2649" s="380"/>
      <c r="O2649" s="12"/>
      <c r="P2649" s="381"/>
      <c r="Q2649" s="12"/>
      <c r="R2649" s="12"/>
      <c r="S2649" s="382"/>
      <c r="T2649" s="383"/>
      <c r="U2649" s="384"/>
      <c r="V2649" s="12"/>
      <c r="W2649" s="12"/>
    </row>
    <row r="2650" spans="1:23" x14ac:dyDescent="0.3">
      <c r="A2650" s="193" t="str">
        <v/>
      </c>
      <c r="B2650" s="378"/>
      <c r="C2650" s="315"/>
      <c r="D2650" s="316"/>
      <c r="E2650" s="315"/>
      <c r="F2650" s="315"/>
      <c r="G2650" s="315"/>
      <c r="H2650" s="153"/>
      <c r="I2650" s="12"/>
      <c r="J2650" s="170"/>
      <c r="K2650" s="12"/>
      <c r="L2650" s="379"/>
      <c r="M2650" s="380"/>
      <c r="N2650" s="380"/>
      <c r="O2650" s="12"/>
      <c r="P2650" s="381"/>
      <c r="Q2650" s="12"/>
      <c r="R2650" s="12"/>
      <c r="S2650" s="382"/>
      <c r="T2650" s="383"/>
      <c r="U2650" s="384"/>
      <c r="V2650" s="12"/>
      <c r="W2650" s="12"/>
    </row>
    <row r="2651" spans="1:23" x14ac:dyDescent="0.3">
      <c r="A2651" s="193" t="str">
        <v/>
      </c>
      <c r="B2651" s="378"/>
      <c r="C2651" s="315"/>
      <c r="D2651" s="316"/>
      <c r="E2651" s="315"/>
      <c r="F2651" s="315"/>
      <c r="G2651" s="315"/>
      <c r="H2651" s="153"/>
      <c r="I2651" s="12"/>
      <c r="J2651" s="170"/>
      <c r="K2651" s="12"/>
      <c r="L2651" s="379"/>
      <c r="M2651" s="380"/>
      <c r="N2651" s="380"/>
      <c r="O2651" s="12"/>
      <c r="P2651" s="381"/>
      <c r="Q2651" s="12"/>
      <c r="R2651" s="12"/>
      <c r="S2651" s="382"/>
      <c r="T2651" s="383"/>
      <c r="U2651" s="384"/>
      <c r="V2651" s="12"/>
      <c r="W2651" s="12"/>
    </row>
    <row r="2652" spans="1:23" x14ac:dyDescent="0.3">
      <c r="A2652" s="193" t="str">
        <v/>
      </c>
      <c r="B2652" s="378"/>
      <c r="C2652" s="315"/>
      <c r="D2652" s="316"/>
      <c r="E2652" s="315"/>
      <c r="F2652" s="315"/>
      <c r="G2652" s="315"/>
      <c r="H2652" s="153"/>
      <c r="I2652" s="12"/>
      <c r="J2652" s="170"/>
      <c r="K2652" s="12"/>
      <c r="L2652" s="379"/>
      <c r="M2652" s="380"/>
      <c r="N2652" s="380"/>
      <c r="O2652" s="12"/>
      <c r="P2652" s="381"/>
      <c r="Q2652" s="12"/>
      <c r="R2652" s="12"/>
      <c r="S2652" s="382"/>
      <c r="T2652" s="383"/>
      <c r="U2652" s="384"/>
      <c r="V2652" s="12"/>
      <c r="W2652" s="12"/>
    </row>
    <row r="2653" spans="1:23" x14ac:dyDescent="0.3">
      <c r="A2653" s="193" t="str">
        <v/>
      </c>
      <c r="B2653" s="378"/>
      <c r="C2653" s="315"/>
      <c r="D2653" s="316"/>
      <c r="E2653" s="315"/>
      <c r="F2653" s="315"/>
      <c r="G2653" s="315"/>
      <c r="H2653" s="153"/>
      <c r="I2653" s="12"/>
      <c r="J2653" s="170"/>
      <c r="K2653" s="12"/>
      <c r="L2653" s="379"/>
      <c r="M2653" s="380"/>
      <c r="N2653" s="380"/>
      <c r="O2653" s="12"/>
      <c r="P2653" s="381"/>
      <c r="Q2653" s="12"/>
      <c r="R2653" s="12"/>
      <c r="S2653" s="382"/>
      <c r="T2653" s="383"/>
      <c r="U2653" s="384"/>
      <c r="V2653" s="12"/>
      <c r="W2653" s="12"/>
    </row>
    <row r="2654" spans="1:23" x14ac:dyDescent="0.3">
      <c r="A2654" s="193" t="str">
        <v/>
      </c>
      <c r="B2654" s="378"/>
      <c r="C2654" s="315"/>
      <c r="D2654" s="316"/>
      <c r="E2654" s="315"/>
      <c r="F2654" s="315"/>
      <c r="G2654" s="315"/>
      <c r="H2654" s="153"/>
      <c r="I2654" s="12"/>
      <c r="J2654" s="170"/>
      <c r="K2654" s="12"/>
      <c r="L2654" s="379"/>
      <c r="M2654" s="380"/>
      <c r="N2654" s="380"/>
      <c r="O2654" s="12"/>
      <c r="P2654" s="381"/>
      <c r="Q2654" s="12"/>
      <c r="R2654" s="12"/>
      <c r="S2654" s="382"/>
      <c r="T2654" s="383"/>
      <c r="U2654" s="384"/>
      <c r="V2654" s="12"/>
      <c r="W2654" s="12"/>
    </row>
    <row r="2655" spans="1:23" x14ac:dyDescent="0.3">
      <c r="A2655" s="193" t="str">
        <v/>
      </c>
      <c r="B2655" s="378"/>
      <c r="C2655" s="315"/>
      <c r="D2655" s="316"/>
      <c r="E2655" s="315"/>
      <c r="F2655" s="315"/>
      <c r="G2655" s="315"/>
      <c r="H2655" s="153"/>
      <c r="I2655" s="12"/>
      <c r="J2655" s="170"/>
      <c r="K2655" s="12"/>
      <c r="L2655" s="379"/>
      <c r="M2655" s="380"/>
      <c r="N2655" s="380"/>
      <c r="O2655" s="12"/>
      <c r="P2655" s="381"/>
      <c r="Q2655" s="12"/>
      <c r="R2655" s="12"/>
      <c r="S2655" s="382"/>
      <c r="T2655" s="383"/>
      <c r="U2655" s="384"/>
      <c r="V2655" s="12"/>
      <c r="W2655" s="12"/>
    </row>
    <row r="2656" spans="1:23" x14ac:dyDescent="0.3">
      <c r="A2656" s="193" t="str">
        <v/>
      </c>
      <c r="B2656" s="378"/>
      <c r="C2656" s="315"/>
      <c r="D2656" s="316"/>
      <c r="E2656" s="315"/>
      <c r="F2656" s="315"/>
      <c r="G2656" s="315"/>
      <c r="H2656" s="153"/>
      <c r="I2656" s="12"/>
      <c r="J2656" s="170"/>
      <c r="K2656" s="12"/>
      <c r="L2656" s="379"/>
      <c r="M2656" s="380"/>
      <c r="N2656" s="380"/>
      <c r="O2656" s="12"/>
      <c r="P2656" s="381"/>
      <c r="Q2656" s="12"/>
      <c r="R2656" s="12"/>
      <c r="S2656" s="382"/>
      <c r="T2656" s="383"/>
      <c r="U2656" s="384"/>
      <c r="V2656" s="12"/>
      <c r="W2656" s="12"/>
    </row>
    <row r="2657" spans="1:23" x14ac:dyDescent="0.3">
      <c r="A2657" s="193" t="str">
        <v/>
      </c>
      <c r="B2657" s="378"/>
      <c r="C2657" s="315"/>
      <c r="D2657" s="316"/>
      <c r="E2657" s="315"/>
      <c r="F2657" s="315"/>
      <c r="G2657" s="315"/>
      <c r="H2657" s="153"/>
      <c r="I2657" s="12"/>
      <c r="J2657" s="170"/>
      <c r="K2657" s="12"/>
      <c r="L2657" s="379"/>
      <c r="M2657" s="380"/>
      <c r="N2657" s="380"/>
      <c r="O2657" s="12"/>
      <c r="P2657" s="381"/>
      <c r="Q2657" s="12"/>
      <c r="R2657" s="12"/>
      <c r="S2657" s="382"/>
      <c r="T2657" s="383"/>
      <c r="U2657" s="384"/>
      <c r="V2657" s="12"/>
      <c r="W2657" s="12"/>
    </row>
    <row r="2658" spans="1:23" x14ac:dyDescent="0.3">
      <c r="A2658" s="193" t="str">
        <v/>
      </c>
      <c r="B2658" s="378"/>
      <c r="C2658" s="315"/>
      <c r="D2658" s="316"/>
      <c r="E2658" s="315"/>
      <c r="F2658" s="315"/>
      <c r="G2658" s="315"/>
      <c r="H2658" s="153"/>
      <c r="I2658" s="12"/>
      <c r="J2658" s="170"/>
      <c r="K2658" s="12"/>
      <c r="L2658" s="379"/>
      <c r="M2658" s="380"/>
      <c r="N2658" s="380"/>
      <c r="O2658" s="12"/>
      <c r="P2658" s="381"/>
      <c r="Q2658" s="12"/>
      <c r="R2658" s="12"/>
      <c r="S2658" s="382"/>
      <c r="T2658" s="383"/>
      <c r="U2658" s="384"/>
      <c r="V2658" s="12"/>
      <c r="W2658" s="12"/>
    </row>
    <row r="2659" spans="1:23" x14ac:dyDescent="0.3">
      <c r="A2659" s="193" t="str">
        <v/>
      </c>
      <c r="B2659" s="378"/>
      <c r="C2659" s="315"/>
      <c r="D2659" s="316"/>
      <c r="E2659" s="315"/>
      <c r="F2659" s="315"/>
      <c r="G2659" s="315"/>
      <c r="H2659" s="153"/>
      <c r="I2659" s="12"/>
      <c r="J2659" s="170"/>
      <c r="K2659" s="12"/>
      <c r="L2659" s="379"/>
      <c r="M2659" s="380"/>
      <c r="N2659" s="380"/>
      <c r="O2659" s="12"/>
      <c r="P2659" s="381"/>
      <c r="Q2659" s="12"/>
      <c r="R2659" s="12"/>
      <c r="S2659" s="382"/>
      <c r="T2659" s="383"/>
      <c r="U2659" s="384"/>
      <c r="V2659" s="12"/>
      <c r="W2659" s="12"/>
    </row>
    <row r="2660" spans="1:23" x14ac:dyDescent="0.3">
      <c r="A2660" s="193" t="str">
        <v/>
      </c>
      <c r="B2660" s="378"/>
      <c r="C2660" s="315"/>
      <c r="D2660" s="316"/>
      <c r="E2660" s="315"/>
      <c r="F2660" s="315"/>
      <c r="G2660" s="315"/>
      <c r="H2660" s="153"/>
      <c r="I2660" s="12"/>
      <c r="J2660" s="170"/>
      <c r="K2660" s="12"/>
      <c r="L2660" s="379"/>
      <c r="M2660" s="380"/>
      <c r="N2660" s="380"/>
      <c r="O2660" s="12"/>
      <c r="P2660" s="381"/>
      <c r="Q2660" s="12"/>
      <c r="R2660" s="12"/>
      <c r="S2660" s="382"/>
      <c r="T2660" s="383"/>
      <c r="U2660" s="384"/>
      <c r="V2660" s="12"/>
      <c r="W2660" s="12"/>
    </row>
    <row r="2661" spans="1:23" x14ac:dyDescent="0.3">
      <c r="A2661" s="193" t="str">
        <v/>
      </c>
      <c r="B2661" s="378"/>
      <c r="C2661" s="315"/>
      <c r="D2661" s="316"/>
      <c r="E2661" s="315"/>
      <c r="F2661" s="315"/>
      <c r="G2661" s="315"/>
      <c r="H2661" s="153"/>
      <c r="I2661" s="12"/>
      <c r="J2661" s="170"/>
      <c r="K2661" s="12"/>
      <c r="L2661" s="379"/>
      <c r="M2661" s="380"/>
      <c r="N2661" s="380"/>
      <c r="O2661" s="12"/>
      <c r="P2661" s="381"/>
      <c r="Q2661" s="12"/>
      <c r="R2661" s="12"/>
      <c r="S2661" s="382"/>
      <c r="T2661" s="383"/>
      <c r="U2661" s="384"/>
      <c r="V2661" s="12"/>
      <c r="W2661" s="12"/>
    </row>
    <row r="2662" spans="1:23" x14ac:dyDescent="0.3">
      <c r="A2662" s="193" t="str">
        <v/>
      </c>
      <c r="B2662" s="378"/>
      <c r="C2662" s="315"/>
      <c r="D2662" s="316"/>
      <c r="E2662" s="315"/>
      <c r="F2662" s="315"/>
      <c r="G2662" s="315"/>
      <c r="H2662" s="153"/>
      <c r="I2662" s="12"/>
      <c r="J2662" s="170"/>
      <c r="K2662" s="12"/>
      <c r="L2662" s="379"/>
      <c r="M2662" s="380"/>
      <c r="N2662" s="380"/>
      <c r="O2662" s="12"/>
      <c r="P2662" s="381"/>
      <c r="Q2662" s="12"/>
      <c r="R2662" s="12"/>
      <c r="S2662" s="382"/>
      <c r="T2662" s="383"/>
      <c r="U2662" s="384"/>
      <c r="V2662" s="12"/>
      <c r="W2662" s="12"/>
    </row>
    <row r="2663" spans="1:23" x14ac:dyDescent="0.3">
      <c r="A2663" s="193" t="str">
        <v/>
      </c>
      <c r="B2663" s="378"/>
      <c r="C2663" s="315"/>
      <c r="D2663" s="316"/>
      <c r="E2663" s="315"/>
      <c r="F2663" s="315"/>
      <c r="G2663" s="315"/>
      <c r="H2663" s="153"/>
      <c r="I2663" s="12"/>
      <c r="J2663" s="170"/>
      <c r="K2663" s="12"/>
      <c r="L2663" s="379"/>
      <c r="M2663" s="380"/>
      <c r="N2663" s="380"/>
      <c r="O2663" s="12"/>
      <c r="P2663" s="381"/>
      <c r="Q2663" s="12"/>
      <c r="R2663" s="12"/>
      <c r="S2663" s="382"/>
      <c r="T2663" s="383"/>
      <c r="U2663" s="384"/>
      <c r="V2663" s="12"/>
      <c r="W2663" s="12"/>
    </row>
    <row r="2664" spans="1:23" x14ac:dyDescent="0.3">
      <c r="A2664" s="193" t="str">
        <v/>
      </c>
      <c r="B2664" s="378"/>
      <c r="C2664" s="315"/>
      <c r="D2664" s="316"/>
      <c r="E2664" s="315"/>
      <c r="F2664" s="315"/>
      <c r="G2664" s="315"/>
      <c r="H2664" s="153"/>
      <c r="I2664" s="12"/>
      <c r="J2664" s="170"/>
      <c r="K2664" s="12"/>
      <c r="L2664" s="379"/>
      <c r="M2664" s="380"/>
      <c r="N2664" s="380"/>
      <c r="O2664" s="12"/>
      <c r="P2664" s="381"/>
      <c r="Q2664" s="12"/>
      <c r="R2664" s="12"/>
      <c r="S2664" s="382"/>
      <c r="T2664" s="383"/>
      <c r="U2664" s="384"/>
      <c r="V2664" s="12"/>
      <c r="W2664" s="12"/>
    </row>
    <row r="2665" spans="1:23" x14ac:dyDescent="0.3">
      <c r="A2665" s="193" t="str">
        <v/>
      </c>
      <c r="B2665" s="378"/>
      <c r="C2665" s="315"/>
      <c r="D2665" s="316"/>
      <c r="E2665" s="315"/>
      <c r="F2665" s="315"/>
      <c r="G2665" s="315"/>
      <c r="H2665" s="153"/>
      <c r="I2665" s="12"/>
      <c r="J2665" s="170"/>
      <c r="K2665" s="12"/>
      <c r="L2665" s="379"/>
      <c r="M2665" s="380"/>
      <c r="N2665" s="380"/>
      <c r="O2665" s="12"/>
      <c r="P2665" s="381"/>
      <c r="Q2665" s="12"/>
      <c r="R2665" s="12"/>
      <c r="S2665" s="382"/>
      <c r="T2665" s="383"/>
      <c r="U2665" s="384"/>
      <c r="V2665" s="12"/>
      <c r="W2665" s="12"/>
    </row>
    <row r="2666" spans="1:23" x14ac:dyDescent="0.3">
      <c r="A2666" s="193" t="str">
        <v/>
      </c>
      <c r="B2666" s="378"/>
      <c r="C2666" s="315"/>
      <c r="D2666" s="316"/>
      <c r="E2666" s="315"/>
      <c r="F2666" s="315"/>
      <c r="G2666" s="315"/>
      <c r="H2666" s="153"/>
      <c r="I2666" s="12"/>
      <c r="J2666" s="170"/>
      <c r="K2666" s="12"/>
      <c r="L2666" s="379"/>
      <c r="M2666" s="380"/>
      <c r="N2666" s="380"/>
      <c r="O2666" s="12"/>
      <c r="P2666" s="381"/>
      <c r="Q2666" s="12"/>
      <c r="R2666" s="12"/>
      <c r="S2666" s="382"/>
      <c r="T2666" s="383"/>
      <c r="U2666" s="384"/>
      <c r="V2666" s="12"/>
      <c r="W2666" s="12"/>
    </row>
    <row r="2667" spans="1:23" x14ac:dyDescent="0.3">
      <c r="A2667" s="193" t="str">
        <v/>
      </c>
      <c r="B2667" s="378"/>
      <c r="C2667" s="315"/>
      <c r="D2667" s="316"/>
      <c r="E2667" s="315"/>
      <c r="F2667" s="315"/>
      <c r="G2667" s="315"/>
      <c r="H2667" s="153"/>
      <c r="I2667" s="12"/>
      <c r="J2667" s="170"/>
      <c r="K2667" s="12"/>
      <c r="L2667" s="379"/>
      <c r="M2667" s="380"/>
      <c r="N2667" s="380"/>
      <c r="O2667" s="12"/>
      <c r="P2667" s="381"/>
      <c r="Q2667" s="12"/>
      <c r="R2667" s="12"/>
      <c r="S2667" s="382"/>
      <c r="T2667" s="383"/>
      <c r="U2667" s="384"/>
      <c r="V2667" s="12"/>
      <c r="W2667" s="12"/>
    </row>
    <row r="2668" spans="1:23" x14ac:dyDescent="0.3">
      <c r="A2668" s="193" t="str">
        <v/>
      </c>
      <c r="B2668" s="378"/>
      <c r="C2668" s="315"/>
      <c r="D2668" s="316"/>
      <c r="E2668" s="315"/>
      <c r="F2668" s="315"/>
      <c r="G2668" s="315"/>
      <c r="H2668" s="153"/>
      <c r="I2668" s="12"/>
      <c r="J2668" s="170"/>
      <c r="K2668" s="12"/>
      <c r="L2668" s="379"/>
      <c r="M2668" s="380"/>
      <c r="N2668" s="380"/>
      <c r="O2668" s="12"/>
      <c r="P2668" s="381"/>
      <c r="Q2668" s="12"/>
      <c r="R2668" s="12"/>
      <c r="S2668" s="382"/>
      <c r="T2668" s="383"/>
      <c r="U2668" s="384"/>
      <c r="V2668" s="12"/>
      <c r="W2668" s="12"/>
    </row>
    <row r="2669" spans="1:23" x14ac:dyDescent="0.3">
      <c r="A2669" s="193" t="str">
        <v/>
      </c>
      <c r="B2669" s="378"/>
      <c r="C2669" s="315"/>
      <c r="D2669" s="316"/>
      <c r="E2669" s="315"/>
      <c r="F2669" s="315"/>
      <c r="G2669" s="315"/>
      <c r="H2669" s="153"/>
      <c r="I2669" s="12"/>
      <c r="J2669" s="170"/>
      <c r="K2669" s="12"/>
      <c r="L2669" s="379"/>
      <c r="M2669" s="380"/>
      <c r="N2669" s="380"/>
      <c r="O2669" s="12"/>
      <c r="P2669" s="381"/>
      <c r="Q2669" s="12"/>
      <c r="R2669" s="12"/>
      <c r="S2669" s="382"/>
      <c r="T2669" s="383"/>
      <c r="U2669" s="384"/>
      <c r="V2669" s="12"/>
      <c r="W2669" s="12"/>
    </row>
    <row r="2670" spans="1:23" x14ac:dyDescent="0.3">
      <c r="A2670" s="193" t="str">
        <v/>
      </c>
      <c r="B2670" s="378"/>
      <c r="C2670" s="315"/>
      <c r="D2670" s="316"/>
      <c r="E2670" s="315"/>
      <c r="F2670" s="315"/>
      <c r="G2670" s="315"/>
      <c r="H2670" s="153"/>
      <c r="I2670" s="12"/>
      <c r="J2670" s="170"/>
      <c r="K2670" s="12"/>
      <c r="L2670" s="379"/>
      <c r="M2670" s="380"/>
      <c r="N2670" s="380"/>
      <c r="O2670" s="12"/>
      <c r="P2670" s="381"/>
      <c r="Q2670" s="12"/>
      <c r="R2670" s="12"/>
      <c r="S2670" s="382"/>
      <c r="T2670" s="383"/>
      <c r="U2670" s="384"/>
      <c r="V2670" s="12"/>
      <c r="W2670" s="12"/>
    </row>
    <row r="2671" spans="1:23" x14ac:dyDescent="0.3">
      <c r="A2671" s="193" t="str">
        <v/>
      </c>
      <c r="B2671" s="378"/>
      <c r="C2671" s="315"/>
      <c r="D2671" s="316"/>
      <c r="E2671" s="315"/>
      <c r="F2671" s="315"/>
      <c r="G2671" s="315"/>
      <c r="H2671" s="153"/>
      <c r="I2671" s="12"/>
      <c r="J2671" s="170"/>
      <c r="K2671" s="12"/>
      <c r="L2671" s="379"/>
      <c r="M2671" s="380"/>
      <c r="N2671" s="380"/>
      <c r="O2671" s="12"/>
      <c r="P2671" s="381"/>
      <c r="Q2671" s="12"/>
      <c r="R2671" s="12"/>
      <c r="S2671" s="382"/>
      <c r="T2671" s="383"/>
      <c r="U2671" s="384"/>
      <c r="V2671" s="12"/>
      <c r="W2671" s="12"/>
    </row>
    <row r="2672" spans="1:23" x14ac:dyDescent="0.3">
      <c r="A2672" s="193" t="str">
        <v/>
      </c>
      <c r="B2672" s="378"/>
      <c r="C2672" s="315"/>
      <c r="D2672" s="316"/>
      <c r="E2672" s="315"/>
      <c r="F2672" s="315"/>
      <c r="G2672" s="315"/>
      <c r="H2672" s="153"/>
      <c r="I2672" s="12"/>
      <c r="J2672" s="170"/>
      <c r="K2672" s="12"/>
      <c r="L2672" s="379"/>
      <c r="M2672" s="380"/>
      <c r="N2672" s="380"/>
      <c r="O2672" s="12"/>
      <c r="P2672" s="381"/>
      <c r="Q2672" s="12"/>
      <c r="R2672" s="12"/>
      <c r="S2672" s="382"/>
      <c r="T2672" s="383"/>
      <c r="U2672" s="384"/>
      <c r="V2672" s="12"/>
      <c r="W2672" s="12"/>
    </row>
    <row r="2673" spans="1:23" x14ac:dyDescent="0.3">
      <c r="A2673" s="193" t="str">
        <v/>
      </c>
      <c r="B2673" s="378"/>
      <c r="C2673" s="315"/>
      <c r="D2673" s="316"/>
      <c r="E2673" s="315"/>
      <c r="F2673" s="315"/>
      <c r="G2673" s="315"/>
      <c r="H2673" s="153"/>
      <c r="I2673" s="12"/>
      <c r="J2673" s="170"/>
      <c r="K2673" s="12"/>
      <c r="L2673" s="379"/>
      <c r="M2673" s="380"/>
      <c r="N2673" s="380"/>
      <c r="O2673" s="12"/>
      <c r="P2673" s="381"/>
      <c r="Q2673" s="12"/>
      <c r="R2673" s="12"/>
      <c r="S2673" s="382"/>
      <c r="T2673" s="383"/>
      <c r="U2673" s="384"/>
      <c r="V2673" s="12"/>
      <c r="W2673" s="12"/>
    </row>
    <row r="2674" spans="1:23" x14ac:dyDescent="0.3">
      <c r="A2674" s="193" t="str">
        <v/>
      </c>
      <c r="B2674" s="378"/>
      <c r="C2674" s="315"/>
      <c r="D2674" s="316"/>
      <c r="E2674" s="315"/>
      <c r="F2674" s="315"/>
      <c r="G2674" s="315"/>
      <c r="H2674" s="153"/>
      <c r="I2674" s="12"/>
      <c r="J2674" s="170"/>
      <c r="K2674" s="12"/>
      <c r="L2674" s="379"/>
      <c r="M2674" s="380"/>
      <c r="N2674" s="380"/>
      <c r="O2674" s="12"/>
      <c r="P2674" s="381"/>
      <c r="Q2674" s="12"/>
      <c r="R2674" s="12"/>
      <c r="S2674" s="382"/>
      <c r="T2674" s="383"/>
      <c r="U2674" s="384"/>
      <c r="V2674" s="12"/>
      <c r="W2674" s="12"/>
    </row>
    <row r="2675" spans="1:23" x14ac:dyDescent="0.3">
      <c r="A2675" s="193" t="str">
        <v/>
      </c>
      <c r="B2675" s="378"/>
      <c r="C2675" s="315"/>
      <c r="D2675" s="316"/>
      <c r="E2675" s="315"/>
      <c r="F2675" s="315"/>
      <c r="G2675" s="315"/>
      <c r="H2675" s="153"/>
      <c r="I2675" s="12"/>
      <c r="J2675" s="170"/>
      <c r="K2675" s="12"/>
      <c r="L2675" s="379"/>
      <c r="M2675" s="380"/>
      <c r="N2675" s="380"/>
      <c r="O2675" s="12"/>
      <c r="P2675" s="381"/>
      <c r="Q2675" s="12"/>
      <c r="R2675" s="12"/>
      <c r="S2675" s="382"/>
      <c r="T2675" s="383"/>
      <c r="U2675" s="384"/>
      <c r="V2675" s="12"/>
      <c r="W2675" s="12"/>
    </row>
    <row r="2676" spans="1:23" x14ac:dyDescent="0.3">
      <c r="A2676" s="193" t="str">
        <v/>
      </c>
      <c r="B2676" s="378"/>
      <c r="C2676" s="315"/>
      <c r="D2676" s="316"/>
      <c r="E2676" s="315"/>
      <c r="F2676" s="315"/>
      <c r="G2676" s="315"/>
      <c r="H2676" s="153"/>
      <c r="I2676" s="12"/>
      <c r="J2676" s="170"/>
      <c r="K2676" s="12"/>
      <c r="L2676" s="379"/>
      <c r="M2676" s="380"/>
      <c r="N2676" s="380"/>
      <c r="O2676" s="12"/>
      <c r="P2676" s="381"/>
      <c r="Q2676" s="12"/>
      <c r="R2676" s="12"/>
      <c r="S2676" s="382"/>
      <c r="T2676" s="383"/>
      <c r="U2676" s="384"/>
      <c r="V2676" s="12"/>
      <c r="W2676" s="12"/>
    </row>
    <row r="2677" spans="1:23" x14ac:dyDescent="0.3">
      <c r="A2677" s="193" t="str">
        <v/>
      </c>
      <c r="B2677" s="378"/>
      <c r="C2677" s="315"/>
      <c r="D2677" s="316"/>
      <c r="E2677" s="315"/>
      <c r="F2677" s="315"/>
      <c r="G2677" s="315"/>
      <c r="H2677" s="153"/>
      <c r="I2677" s="12"/>
      <c r="J2677" s="170"/>
      <c r="K2677" s="12"/>
      <c r="L2677" s="379"/>
      <c r="M2677" s="380"/>
      <c r="N2677" s="380"/>
      <c r="O2677" s="12"/>
      <c r="P2677" s="381"/>
      <c r="Q2677" s="12"/>
      <c r="R2677" s="12"/>
      <c r="S2677" s="382"/>
      <c r="T2677" s="383"/>
      <c r="U2677" s="384"/>
      <c r="V2677" s="12"/>
      <c r="W2677" s="12"/>
    </row>
    <row r="2678" spans="1:23" x14ac:dyDescent="0.3">
      <c r="A2678" s="193" t="str">
        <v/>
      </c>
      <c r="B2678" s="378"/>
      <c r="C2678" s="315"/>
      <c r="D2678" s="316"/>
      <c r="E2678" s="315"/>
      <c r="F2678" s="315"/>
      <c r="G2678" s="315"/>
      <c r="H2678" s="153"/>
      <c r="I2678" s="12"/>
      <c r="J2678" s="170"/>
      <c r="K2678" s="12"/>
      <c r="L2678" s="379"/>
      <c r="M2678" s="380"/>
      <c r="N2678" s="380"/>
      <c r="O2678" s="12"/>
      <c r="P2678" s="381"/>
      <c r="Q2678" s="12"/>
      <c r="R2678" s="12"/>
      <c r="S2678" s="382"/>
      <c r="T2678" s="383"/>
      <c r="U2678" s="384"/>
      <c r="V2678" s="12"/>
      <c r="W2678" s="12"/>
    </row>
    <row r="2679" spans="1:23" x14ac:dyDescent="0.3">
      <c r="A2679" s="193" t="str">
        <v/>
      </c>
      <c r="B2679" s="378"/>
      <c r="C2679" s="315"/>
      <c r="D2679" s="316"/>
      <c r="E2679" s="315"/>
      <c r="F2679" s="315"/>
      <c r="G2679" s="315"/>
      <c r="H2679" s="153"/>
      <c r="I2679" s="12"/>
      <c r="J2679" s="170"/>
      <c r="K2679" s="12"/>
      <c r="L2679" s="379"/>
      <c r="M2679" s="380"/>
      <c r="N2679" s="380"/>
      <c r="O2679" s="12"/>
      <c r="P2679" s="381"/>
      <c r="Q2679" s="12"/>
      <c r="R2679" s="12"/>
      <c r="S2679" s="382"/>
      <c r="T2679" s="383"/>
      <c r="U2679" s="384"/>
      <c r="V2679" s="12"/>
      <c r="W2679" s="12"/>
    </row>
    <row r="2680" spans="1:23" x14ac:dyDescent="0.3">
      <c r="A2680" s="193" t="str">
        <v/>
      </c>
      <c r="B2680" s="378"/>
      <c r="C2680" s="315"/>
      <c r="D2680" s="316"/>
      <c r="E2680" s="315"/>
      <c r="F2680" s="315"/>
      <c r="G2680" s="315"/>
      <c r="H2680" s="153"/>
      <c r="I2680" s="12"/>
      <c r="J2680" s="170"/>
      <c r="K2680" s="12"/>
      <c r="L2680" s="379"/>
      <c r="M2680" s="380"/>
      <c r="N2680" s="380"/>
      <c r="O2680" s="12"/>
      <c r="P2680" s="381"/>
      <c r="Q2680" s="12"/>
      <c r="R2680" s="12"/>
      <c r="S2680" s="382"/>
      <c r="T2680" s="383"/>
      <c r="U2680" s="384"/>
      <c r="V2680" s="12"/>
      <c r="W2680" s="12"/>
    </row>
    <row r="2681" spans="1:23" x14ac:dyDescent="0.3">
      <c r="A2681" s="193" t="str">
        <v/>
      </c>
      <c r="B2681" s="378"/>
      <c r="C2681" s="315"/>
      <c r="D2681" s="316"/>
      <c r="E2681" s="315"/>
      <c r="F2681" s="315"/>
      <c r="G2681" s="315"/>
      <c r="H2681" s="153"/>
      <c r="I2681" s="12"/>
      <c r="J2681" s="170"/>
      <c r="K2681" s="12"/>
      <c r="L2681" s="379"/>
      <c r="M2681" s="380"/>
      <c r="N2681" s="380"/>
      <c r="O2681" s="12"/>
      <c r="P2681" s="381"/>
      <c r="Q2681" s="12"/>
      <c r="R2681" s="12"/>
      <c r="S2681" s="382"/>
      <c r="T2681" s="383"/>
      <c r="U2681" s="384"/>
      <c r="V2681" s="12"/>
      <c r="W2681" s="12"/>
    </row>
    <row r="2682" spans="1:23" x14ac:dyDescent="0.3">
      <c r="A2682" s="193" t="str">
        <v/>
      </c>
      <c r="B2682" s="378"/>
      <c r="C2682" s="315"/>
      <c r="D2682" s="316"/>
      <c r="E2682" s="315"/>
      <c r="F2682" s="315"/>
      <c r="G2682" s="315"/>
      <c r="H2682" s="153"/>
      <c r="I2682" s="12"/>
      <c r="J2682" s="170"/>
      <c r="K2682" s="12"/>
      <c r="L2682" s="379"/>
      <c r="M2682" s="380"/>
      <c r="N2682" s="380"/>
      <c r="O2682" s="12"/>
      <c r="P2682" s="381"/>
      <c r="Q2682" s="12"/>
      <c r="R2682" s="12"/>
      <c r="S2682" s="382"/>
      <c r="T2682" s="383"/>
      <c r="U2682" s="384"/>
      <c r="V2682" s="12"/>
      <c r="W2682" s="12"/>
    </row>
    <row r="2683" spans="1:23" x14ac:dyDescent="0.3">
      <c r="A2683" s="193" t="str">
        <v/>
      </c>
      <c r="B2683" s="378"/>
      <c r="C2683" s="315"/>
      <c r="D2683" s="316"/>
      <c r="E2683" s="315"/>
      <c r="F2683" s="315"/>
      <c r="G2683" s="315"/>
      <c r="H2683" s="153"/>
      <c r="I2683" s="12"/>
      <c r="J2683" s="170"/>
      <c r="K2683" s="12"/>
      <c r="L2683" s="379"/>
      <c r="M2683" s="380"/>
      <c r="N2683" s="380"/>
      <c r="O2683" s="12"/>
      <c r="P2683" s="381"/>
      <c r="Q2683" s="12"/>
      <c r="R2683" s="12"/>
      <c r="S2683" s="382"/>
      <c r="T2683" s="383"/>
      <c r="U2683" s="384"/>
      <c r="V2683" s="12"/>
      <c r="W2683" s="12"/>
    </row>
    <row r="2684" spans="1:23" x14ac:dyDescent="0.3">
      <c r="A2684" s="193" t="str">
        <v/>
      </c>
      <c r="B2684" s="378"/>
      <c r="C2684" s="315"/>
      <c r="D2684" s="316"/>
      <c r="E2684" s="315"/>
      <c r="F2684" s="315"/>
      <c r="G2684" s="315"/>
      <c r="H2684" s="153"/>
      <c r="I2684" s="12"/>
      <c r="J2684" s="12"/>
      <c r="K2684" s="12"/>
      <c r="L2684" s="379"/>
      <c r="M2684" s="380"/>
      <c r="N2684" s="380"/>
      <c r="O2684" s="12"/>
      <c r="P2684" s="381"/>
      <c r="Q2684" s="12"/>
      <c r="R2684" s="12"/>
      <c r="S2684" s="382"/>
      <c r="T2684" s="383"/>
      <c r="U2684" s="384"/>
      <c r="V2684" s="12"/>
      <c r="W2684" s="12"/>
    </row>
    <row r="2685" spans="1:23" x14ac:dyDescent="0.3">
      <c r="A2685" s="193" t="str">
        <v/>
      </c>
      <c r="B2685" s="378"/>
      <c r="C2685" s="315"/>
      <c r="D2685" s="316"/>
      <c r="E2685" s="315"/>
      <c r="F2685" s="315"/>
      <c r="G2685" s="315"/>
      <c r="H2685" s="153"/>
      <c r="I2685" s="12"/>
      <c r="J2685" s="12"/>
      <c r="K2685" s="12"/>
      <c r="L2685" s="379"/>
      <c r="M2685" s="380"/>
      <c r="N2685" s="380"/>
      <c r="O2685" s="12"/>
      <c r="P2685" s="381"/>
      <c r="Q2685" s="12"/>
      <c r="R2685" s="12"/>
      <c r="S2685" s="382"/>
      <c r="T2685" s="383"/>
      <c r="U2685" s="384"/>
      <c r="V2685" s="12"/>
      <c r="W2685" s="12"/>
    </row>
    <row r="2686" spans="1:23" x14ac:dyDescent="0.3">
      <c r="A2686" s="193" t="str">
        <v/>
      </c>
      <c r="B2686" s="378"/>
      <c r="C2686" s="315"/>
      <c r="D2686" s="316"/>
      <c r="E2686" s="315"/>
      <c r="F2686" s="315"/>
      <c r="G2686" s="315"/>
      <c r="H2686" s="153"/>
      <c r="I2686" s="12"/>
      <c r="J2686" s="12"/>
      <c r="K2686" s="12"/>
      <c r="L2686" s="379"/>
      <c r="M2686" s="380"/>
      <c r="N2686" s="380"/>
      <c r="O2686" s="12"/>
      <c r="P2686" s="381"/>
      <c r="Q2686" s="12"/>
      <c r="R2686" s="12"/>
      <c r="S2686" s="382"/>
      <c r="T2686" s="383"/>
      <c r="U2686" s="384"/>
      <c r="V2686" s="12"/>
      <c r="W2686" s="12"/>
    </row>
    <row r="2687" spans="1:23" x14ac:dyDescent="0.3">
      <c r="A2687" s="193" t="str">
        <v/>
      </c>
      <c r="B2687" s="378"/>
      <c r="C2687" s="315"/>
      <c r="D2687" s="316"/>
      <c r="E2687" s="315"/>
      <c r="F2687" s="315"/>
      <c r="G2687" s="315"/>
      <c r="H2687" s="153"/>
      <c r="I2687" s="12"/>
      <c r="J2687" s="12"/>
      <c r="K2687" s="12"/>
      <c r="L2687" s="379"/>
      <c r="M2687" s="380"/>
      <c r="N2687" s="380"/>
      <c r="O2687" s="12"/>
      <c r="P2687" s="381"/>
      <c r="Q2687" s="12"/>
      <c r="R2687" s="12"/>
      <c r="S2687" s="382"/>
      <c r="T2687" s="383"/>
      <c r="U2687" s="384"/>
      <c r="V2687" s="12"/>
      <c r="W2687" s="12"/>
    </row>
    <row r="2688" spans="1:23" x14ac:dyDescent="0.3">
      <c r="A2688" s="193" t="str">
        <v/>
      </c>
      <c r="B2688" s="378"/>
      <c r="C2688" s="315"/>
      <c r="D2688" s="316"/>
      <c r="E2688" s="315"/>
      <c r="F2688" s="315"/>
      <c r="G2688" s="315"/>
      <c r="H2688" s="153"/>
      <c r="I2688" s="12"/>
      <c r="J2688" s="12"/>
      <c r="K2688" s="12"/>
      <c r="L2688" s="379"/>
      <c r="M2688" s="380"/>
      <c r="N2688" s="380"/>
      <c r="O2688" s="12"/>
      <c r="P2688" s="381"/>
      <c r="Q2688" s="12"/>
      <c r="R2688" s="12"/>
      <c r="S2688" s="382"/>
      <c r="T2688" s="383"/>
      <c r="U2688" s="384"/>
      <c r="V2688" s="12"/>
      <c r="W2688" s="12"/>
    </row>
    <row r="2689" spans="1:23" x14ac:dyDescent="0.3">
      <c r="A2689" s="193" t="str">
        <v/>
      </c>
      <c r="B2689" s="378"/>
      <c r="C2689" s="315"/>
      <c r="D2689" s="316"/>
      <c r="E2689" s="315"/>
      <c r="F2689" s="315"/>
      <c r="G2689" s="315"/>
      <c r="H2689" s="153"/>
      <c r="I2689" s="12"/>
      <c r="J2689" s="12"/>
      <c r="K2689" s="12"/>
      <c r="L2689" s="379"/>
      <c r="M2689" s="380"/>
      <c r="N2689" s="380"/>
      <c r="O2689" s="12"/>
      <c r="P2689" s="381"/>
      <c r="Q2689" s="12"/>
      <c r="R2689" s="12"/>
      <c r="S2689" s="382"/>
      <c r="T2689" s="383"/>
      <c r="U2689" s="384"/>
      <c r="V2689" s="12"/>
      <c r="W2689" s="12"/>
    </row>
    <row r="2690" spans="1:23" x14ac:dyDescent="0.3">
      <c r="A2690" s="193" t="str">
        <v/>
      </c>
      <c r="B2690" s="378"/>
      <c r="C2690" s="315"/>
      <c r="D2690" s="316"/>
      <c r="E2690" s="315"/>
      <c r="F2690" s="315"/>
      <c r="G2690" s="315"/>
      <c r="H2690" s="153"/>
      <c r="I2690" s="12"/>
      <c r="J2690" s="12"/>
      <c r="K2690" s="12"/>
      <c r="L2690" s="379"/>
      <c r="M2690" s="380"/>
      <c r="N2690" s="380"/>
      <c r="O2690" s="12"/>
      <c r="P2690" s="381"/>
      <c r="Q2690" s="12"/>
      <c r="R2690" s="12"/>
      <c r="S2690" s="382"/>
      <c r="T2690" s="383"/>
      <c r="U2690" s="384"/>
      <c r="V2690" s="12"/>
      <c r="W2690" s="12"/>
    </row>
    <row r="2691" spans="1:23" x14ac:dyDescent="0.3">
      <c r="A2691" s="193" t="str">
        <v/>
      </c>
      <c r="B2691" s="378"/>
      <c r="C2691" s="315"/>
      <c r="D2691" s="316"/>
      <c r="E2691" s="315"/>
      <c r="F2691" s="315"/>
      <c r="G2691" s="315"/>
      <c r="H2691" s="153"/>
      <c r="I2691" s="12"/>
      <c r="J2691" s="12"/>
      <c r="K2691" s="12"/>
      <c r="L2691" s="379"/>
      <c r="M2691" s="380"/>
      <c r="N2691" s="380"/>
      <c r="O2691" s="12"/>
      <c r="P2691" s="381"/>
      <c r="Q2691" s="12"/>
      <c r="R2691" s="12"/>
      <c r="S2691" s="382"/>
      <c r="T2691" s="383"/>
      <c r="U2691" s="384"/>
      <c r="V2691" s="12"/>
      <c r="W2691" s="12"/>
    </row>
    <row r="2692" spans="1:23" x14ac:dyDescent="0.3">
      <c r="A2692" s="193" t="str">
        <v/>
      </c>
      <c r="B2692" s="378"/>
      <c r="C2692" s="315"/>
      <c r="D2692" s="316"/>
      <c r="E2692" s="315"/>
      <c r="F2692" s="315"/>
      <c r="G2692" s="315"/>
      <c r="H2692" s="153"/>
      <c r="I2692" s="12"/>
      <c r="J2692" s="12"/>
      <c r="K2692" s="12"/>
      <c r="L2692" s="379"/>
      <c r="M2692" s="380"/>
      <c r="N2692" s="380"/>
      <c r="O2692" s="12"/>
      <c r="P2692" s="381"/>
      <c r="Q2692" s="12"/>
      <c r="R2692" s="12"/>
      <c r="S2692" s="382"/>
      <c r="T2692" s="383"/>
      <c r="U2692" s="384"/>
      <c r="V2692" s="12"/>
      <c r="W2692" s="12"/>
    </row>
    <row r="2693" spans="1:23" x14ac:dyDescent="0.3">
      <c r="A2693" s="193" t="str">
        <v/>
      </c>
      <c r="B2693" s="378"/>
      <c r="C2693" s="315"/>
      <c r="D2693" s="316"/>
      <c r="E2693" s="315"/>
      <c r="F2693" s="315"/>
      <c r="G2693" s="315"/>
      <c r="H2693" s="153"/>
      <c r="I2693" s="12"/>
      <c r="J2693" s="12"/>
      <c r="K2693" s="12"/>
      <c r="L2693" s="379"/>
      <c r="M2693" s="380"/>
      <c r="N2693" s="380"/>
      <c r="O2693" s="12"/>
      <c r="P2693" s="381"/>
      <c r="Q2693" s="12"/>
      <c r="R2693" s="12"/>
      <c r="S2693" s="382"/>
      <c r="T2693" s="383"/>
      <c r="U2693" s="384"/>
      <c r="V2693" s="12"/>
      <c r="W2693" s="12"/>
    </row>
    <row r="2694" spans="1:23" x14ac:dyDescent="0.3">
      <c r="A2694" s="193" t="str">
        <v/>
      </c>
      <c r="B2694" s="378"/>
      <c r="C2694" s="315"/>
      <c r="D2694" s="316"/>
      <c r="E2694" s="315"/>
      <c r="F2694" s="315"/>
      <c r="G2694" s="315"/>
      <c r="H2694" s="153"/>
      <c r="I2694" s="12"/>
      <c r="J2694" s="12"/>
      <c r="K2694" s="12"/>
      <c r="L2694" s="379"/>
      <c r="M2694" s="380"/>
      <c r="N2694" s="380"/>
      <c r="O2694" s="12"/>
      <c r="P2694" s="381"/>
      <c r="Q2694" s="12"/>
      <c r="R2694" s="12"/>
      <c r="S2694" s="382"/>
      <c r="T2694" s="383"/>
      <c r="U2694" s="384"/>
      <c r="V2694" s="12"/>
      <c r="W2694" s="12"/>
    </row>
    <row r="2695" spans="1:23" x14ac:dyDescent="0.3">
      <c r="A2695" s="193" t="str">
        <v/>
      </c>
      <c r="B2695" s="378"/>
      <c r="C2695" s="315"/>
      <c r="D2695" s="316"/>
      <c r="E2695" s="315"/>
      <c r="F2695" s="315"/>
      <c r="G2695" s="315"/>
      <c r="H2695" s="153"/>
      <c r="I2695" s="12"/>
      <c r="J2695" s="12"/>
      <c r="K2695" s="12"/>
      <c r="L2695" s="379"/>
      <c r="M2695" s="380"/>
      <c r="N2695" s="380"/>
      <c r="O2695" s="12"/>
      <c r="P2695" s="381"/>
      <c r="Q2695" s="12"/>
      <c r="R2695" s="12"/>
      <c r="S2695" s="382"/>
      <c r="T2695" s="383"/>
      <c r="U2695" s="384"/>
      <c r="V2695" s="12"/>
      <c r="W2695" s="12"/>
    </row>
    <row r="2696" spans="1:23" x14ac:dyDescent="0.3">
      <c r="A2696" s="193" t="str">
        <v/>
      </c>
      <c r="B2696" s="378"/>
      <c r="C2696" s="315"/>
      <c r="D2696" s="316"/>
      <c r="E2696" s="315"/>
      <c r="F2696" s="315"/>
      <c r="G2696" s="315"/>
      <c r="H2696" s="153"/>
      <c r="I2696" s="12"/>
      <c r="J2696" s="12"/>
      <c r="K2696" s="12"/>
      <c r="L2696" s="379"/>
      <c r="M2696" s="380"/>
      <c r="N2696" s="380"/>
      <c r="O2696" s="12"/>
      <c r="P2696" s="381"/>
      <c r="Q2696" s="12"/>
      <c r="R2696" s="12"/>
      <c r="S2696" s="382"/>
      <c r="T2696" s="383"/>
      <c r="U2696" s="384"/>
      <c r="V2696" s="12"/>
      <c r="W2696" s="12"/>
    </row>
    <row r="2697" spans="1:23" x14ac:dyDescent="0.3">
      <c r="A2697" s="193" t="str">
        <v/>
      </c>
      <c r="B2697" s="378"/>
      <c r="C2697" s="315"/>
      <c r="D2697" s="316"/>
      <c r="E2697" s="315"/>
      <c r="F2697" s="315"/>
      <c r="G2697" s="315"/>
      <c r="H2697" s="153"/>
      <c r="I2697" s="12"/>
      <c r="J2697" s="12"/>
      <c r="K2697" s="12"/>
      <c r="L2697" s="379"/>
      <c r="M2697" s="380"/>
      <c r="N2697" s="380"/>
      <c r="O2697" s="12"/>
      <c r="P2697" s="381"/>
      <c r="Q2697" s="12"/>
      <c r="R2697" s="12"/>
      <c r="S2697" s="382"/>
      <c r="T2697" s="383"/>
      <c r="U2697" s="384"/>
      <c r="V2697" s="12"/>
      <c r="W2697" s="12"/>
    </row>
    <row r="2698" spans="1:23" x14ac:dyDescent="0.3">
      <c r="A2698" s="193" t="str">
        <v/>
      </c>
      <c r="B2698" s="378"/>
      <c r="C2698" s="315"/>
      <c r="D2698" s="316"/>
      <c r="E2698" s="315"/>
      <c r="F2698" s="315"/>
      <c r="G2698" s="315"/>
      <c r="H2698" s="153"/>
      <c r="I2698" s="12"/>
      <c r="J2698" s="12"/>
      <c r="K2698" s="12"/>
      <c r="L2698" s="379"/>
      <c r="M2698" s="380"/>
      <c r="N2698" s="380"/>
      <c r="O2698" s="12"/>
      <c r="P2698" s="381"/>
      <c r="Q2698" s="12"/>
      <c r="R2698" s="12"/>
      <c r="S2698" s="382"/>
      <c r="T2698" s="383"/>
      <c r="U2698" s="384"/>
      <c r="V2698" s="12"/>
      <c r="W2698" s="12"/>
    </row>
    <row r="2699" spans="1:23" x14ac:dyDescent="0.3">
      <c r="A2699" s="193" t="str">
        <v/>
      </c>
      <c r="B2699" s="378"/>
      <c r="C2699" s="315"/>
      <c r="D2699" s="316"/>
      <c r="E2699" s="315"/>
      <c r="F2699" s="315"/>
      <c r="G2699" s="315"/>
      <c r="H2699" s="153"/>
      <c r="I2699" s="12"/>
      <c r="J2699" s="12"/>
      <c r="K2699" s="12"/>
      <c r="L2699" s="379"/>
      <c r="M2699" s="380"/>
      <c r="N2699" s="380"/>
      <c r="O2699" s="12"/>
      <c r="P2699" s="381"/>
      <c r="Q2699" s="12"/>
      <c r="R2699" s="12"/>
      <c r="S2699" s="382"/>
      <c r="T2699" s="383"/>
      <c r="U2699" s="384"/>
      <c r="V2699" s="12"/>
      <c r="W2699" s="12"/>
    </row>
    <row r="2700" spans="1:23" x14ac:dyDescent="0.3">
      <c r="A2700" s="193" t="str">
        <v/>
      </c>
      <c r="B2700" s="378"/>
      <c r="C2700" s="315"/>
      <c r="D2700" s="316"/>
      <c r="E2700" s="315"/>
      <c r="F2700" s="315"/>
      <c r="G2700" s="315"/>
      <c r="H2700" s="153"/>
      <c r="I2700" s="12"/>
      <c r="J2700" s="12"/>
      <c r="K2700" s="12"/>
      <c r="L2700" s="379"/>
      <c r="M2700" s="380"/>
      <c r="N2700" s="380"/>
      <c r="O2700" s="12"/>
      <c r="P2700" s="381"/>
      <c r="Q2700" s="12"/>
      <c r="R2700" s="12"/>
      <c r="S2700" s="382"/>
      <c r="T2700" s="383"/>
      <c r="U2700" s="384"/>
      <c r="V2700" s="12"/>
      <c r="W2700" s="12"/>
    </row>
    <row r="2701" spans="1:23" x14ac:dyDescent="0.3">
      <c r="A2701" s="193" t="str">
        <v/>
      </c>
      <c r="B2701" s="378"/>
      <c r="C2701" s="315"/>
      <c r="D2701" s="316"/>
      <c r="E2701" s="315"/>
      <c r="F2701" s="315"/>
      <c r="G2701" s="315"/>
      <c r="H2701" s="153"/>
      <c r="I2701" s="12"/>
      <c r="J2701" s="12"/>
      <c r="K2701" s="12"/>
      <c r="L2701" s="379"/>
      <c r="M2701" s="380"/>
      <c r="N2701" s="380"/>
      <c r="O2701" s="12"/>
      <c r="P2701" s="381"/>
      <c r="Q2701" s="12"/>
      <c r="R2701" s="12"/>
      <c r="S2701" s="382"/>
      <c r="T2701" s="383"/>
      <c r="U2701" s="384"/>
      <c r="V2701" s="12"/>
      <c r="W2701" s="12"/>
    </row>
    <row r="2702" spans="1:23" x14ac:dyDescent="0.3">
      <c r="A2702" s="193" t="str">
        <v/>
      </c>
      <c r="B2702" s="378"/>
      <c r="C2702" s="315"/>
      <c r="D2702" s="316"/>
      <c r="E2702" s="315"/>
      <c r="F2702" s="315"/>
      <c r="G2702" s="315"/>
      <c r="H2702" s="153"/>
      <c r="I2702" s="12"/>
      <c r="J2702" s="12"/>
      <c r="K2702" s="12"/>
      <c r="L2702" s="379"/>
      <c r="M2702" s="380"/>
      <c r="N2702" s="380"/>
      <c r="O2702" s="12"/>
      <c r="P2702" s="381"/>
      <c r="Q2702" s="12"/>
      <c r="R2702" s="12"/>
      <c r="S2702" s="382"/>
      <c r="T2702" s="383"/>
      <c r="U2702" s="384"/>
      <c r="V2702" s="12"/>
      <c r="W2702" s="12"/>
    </row>
    <row r="2703" spans="1:23" x14ac:dyDescent="0.3">
      <c r="A2703" s="193" t="str">
        <v/>
      </c>
      <c r="B2703" s="378"/>
      <c r="C2703" s="315"/>
      <c r="D2703" s="316"/>
      <c r="E2703" s="315"/>
      <c r="F2703" s="315"/>
      <c r="G2703" s="315"/>
      <c r="H2703" s="153"/>
      <c r="I2703" s="12"/>
      <c r="J2703" s="12"/>
      <c r="K2703" s="12"/>
      <c r="L2703" s="379"/>
      <c r="M2703" s="380"/>
      <c r="N2703" s="380"/>
      <c r="O2703" s="12"/>
      <c r="P2703" s="381"/>
      <c r="Q2703" s="12"/>
      <c r="R2703" s="12"/>
      <c r="S2703" s="382"/>
      <c r="T2703" s="383"/>
      <c r="U2703" s="384"/>
      <c r="V2703" s="12"/>
      <c r="W2703" s="12"/>
    </row>
    <row r="2704" spans="1:23" x14ac:dyDescent="0.3">
      <c r="A2704" s="193" t="str">
        <v/>
      </c>
      <c r="B2704" s="378"/>
      <c r="C2704" s="315"/>
      <c r="D2704" s="316"/>
      <c r="E2704" s="315"/>
      <c r="F2704" s="315"/>
      <c r="G2704" s="315"/>
      <c r="H2704" s="153"/>
      <c r="I2704" s="12"/>
      <c r="J2704" s="12"/>
      <c r="K2704" s="12"/>
      <c r="L2704" s="379"/>
      <c r="M2704" s="380"/>
      <c r="N2704" s="380"/>
      <c r="O2704" s="12"/>
      <c r="P2704" s="381"/>
      <c r="Q2704" s="12"/>
      <c r="R2704" s="12"/>
      <c r="S2704" s="382"/>
      <c r="T2704" s="383"/>
      <c r="U2704" s="384"/>
      <c r="V2704" s="12"/>
      <c r="W2704" s="12"/>
    </row>
    <row r="2705" spans="1:23" x14ac:dyDescent="0.3">
      <c r="A2705" s="193" t="str">
        <v/>
      </c>
      <c r="B2705" s="378"/>
      <c r="C2705" s="315"/>
      <c r="D2705" s="316"/>
      <c r="E2705" s="315"/>
      <c r="F2705" s="315"/>
      <c r="G2705" s="315"/>
      <c r="H2705" s="153"/>
      <c r="I2705" s="12"/>
      <c r="J2705" s="12"/>
      <c r="K2705" s="12"/>
      <c r="L2705" s="379"/>
      <c r="M2705" s="380"/>
      <c r="N2705" s="380"/>
      <c r="O2705" s="12"/>
      <c r="P2705" s="381"/>
      <c r="Q2705" s="12"/>
      <c r="R2705" s="12"/>
      <c r="S2705" s="382"/>
      <c r="T2705" s="383"/>
      <c r="U2705" s="384"/>
      <c r="V2705" s="12"/>
      <c r="W2705" s="12"/>
    </row>
    <row r="2706" spans="1:23" x14ac:dyDescent="0.3">
      <c r="A2706" s="193" t="str">
        <v/>
      </c>
      <c r="B2706" s="378"/>
      <c r="C2706" s="315"/>
      <c r="D2706" s="316"/>
      <c r="E2706" s="315"/>
      <c r="F2706" s="315"/>
      <c r="G2706" s="315"/>
      <c r="H2706" s="153"/>
      <c r="I2706" s="12"/>
      <c r="J2706" s="12"/>
      <c r="K2706" s="12"/>
      <c r="L2706" s="379"/>
      <c r="M2706" s="380"/>
      <c r="N2706" s="380"/>
      <c r="O2706" s="12"/>
      <c r="P2706" s="381"/>
      <c r="Q2706" s="12"/>
      <c r="R2706" s="12"/>
      <c r="S2706" s="382"/>
      <c r="T2706" s="383"/>
      <c r="U2706" s="384"/>
      <c r="V2706" s="12"/>
      <c r="W2706" s="12"/>
    </row>
    <row r="2707" spans="1:23" x14ac:dyDescent="0.3">
      <c r="A2707" s="193" t="str">
        <v/>
      </c>
      <c r="B2707" s="378"/>
      <c r="C2707" s="315"/>
      <c r="D2707" s="316"/>
      <c r="E2707" s="315"/>
      <c r="F2707" s="315"/>
      <c r="G2707" s="315"/>
      <c r="H2707" s="153"/>
      <c r="I2707" s="12"/>
      <c r="J2707" s="12"/>
      <c r="K2707" s="12"/>
      <c r="L2707" s="379"/>
      <c r="M2707" s="380"/>
      <c r="N2707" s="380"/>
      <c r="O2707" s="12"/>
      <c r="P2707" s="381"/>
      <c r="Q2707" s="12"/>
      <c r="R2707" s="12"/>
      <c r="S2707" s="382"/>
      <c r="T2707" s="383"/>
      <c r="U2707" s="384"/>
      <c r="V2707" s="12"/>
      <c r="W2707" s="12"/>
    </row>
    <row r="2708" spans="1:23" x14ac:dyDescent="0.3">
      <c r="A2708" s="193" t="str">
        <v/>
      </c>
      <c r="B2708" s="378"/>
      <c r="C2708" s="315"/>
      <c r="D2708" s="316"/>
      <c r="E2708" s="315"/>
      <c r="F2708" s="315"/>
      <c r="G2708" s="315"/>
      <c r="H2708" s="153"/>
      <c r="I2708" s="12"/>
      <c r="J2708" s="12"/>
      <c r="K2708" s="12"/>
      <c r="L2708" s="379"/>
      <c r="M2708" s="380"/>
      <c r="N2708" s="380"/>
      <c r="O2708" s="12"/>
      <c r="P2708" s="381"/>
      <c r="Q2708" s="12"/>
      <c r="R2708" s="12"/>
      <c r="S2708" s="382"/>
      <c r="T2708" s="383"/>
      <c r="U2708" s="384"/>
      <c r="V2708" s="12"/>
      <c r="W2708" s="12"/>
    </row>
    <row r="2709" spans="1:23" x14ac:dyDescent="0.3">
      <c r="A2709" s="193" t="str">
        <v/>
      </c>
      <c r="B2709" s="378"/>
      <c r="C2709" s="315"/>
      <c r="D2709" s="316"/>
      <c r="E2709" s="315"/>
      <c r="F2709" s="315"/>
      <c r="G2709" s="315"/>
      <c r="H2709" s="153"/>
      <c r="I2709" s="12"/>
      <c r="J2709" s="12"/>
      <c r="K2709" s="12"/>
      <c r="L2709" s="379"/>
      <c r="M2709" s="380"/>
      <c r="N2709" s="380"/>
      <c r="O2709" s="12"/>
      <c r="P2709" s="381"/>
      <c r="Q2709" s="12"/>
      <c r="R2709" s="12"/>
      <c r="S2709" s="382"/>
      <c r="T2709" s="383"/>
      <c r="U2709" s="384"/>
      <c r="V2709" s="12"/>
      <c r="W2709" s="12"/>
    </row>
    <row r="2710" spans="1:23" x14ac:dyDescent="0.3">
      <c r="A2710" s="193" t="str">
        <v/>
      </c>
      <c r="B2710" s="378"/>
      <c r="C2710" s="315"/>
      <c r="D2710" s="316"/>
      <c r="E2710" s="315"/>
      <c r="F2710" s="315"/>
      <c r="G2710" s="315"/>
      <c r="H2710" s="153"/>
      <c r="I2710" s="12"/>
      <c r="J2710" s="12"/>
      <c r="K2710" s="12"/>
      <c r="L2710" s="379"/>
      <c r="M2710" s="380"/>
      <c r="N2710" s="380"/>
      <c r="O2710" s="12"/>
      <c r="P2710" s="381"/>
      <c r="Q2710" s="12"/>
      <c r="R2710" s="12"/>
      <c r="S2710" s="382"/>
      <c r="T2710" s="383"/>
      <c r="U2710" s="384"/>
      <c r="V2710" s="12"/>
      <c r="W2710" s="12"/>
    </row>
    <row r="2711" spans="1:23" x14ac:dyDescent="0.3">
      <c r="A2711" s="193" t="str">
        <v/>
      </c>
      <c r="B2711" s="378"/>
      <c r="C2711" s="315"/>
      <c r="D2711" s="316"/>
      <c r="E2711" s="315"/>
      <c r="F2711" s="315"/>
      <c r="G2711" s="315"/>
      <c r="H2711" s="153"/>
      <c r="I2711" s="12"/>
      <c r="J2711" s="12"/>
      <c r="K2711" s="12"/>
      <c r="L2711" s="379"/>
      <c r="M2711" s="380"/>
      <c r="N2711" s="380"/>
      <c r="O2711" s="12"/>
      <c r="P2711" s="381"/>
      <c r="Q2711" s="12"/>
      <c r="R2711" s="12"/>
      <c r="S2711" s="382"/>
      <c r="T2711" s="383"/>
      <c r="U2711" s="384"/>
      <c r="V2711" s="12"/>
      <c r="W2711" s="12"/>
    </row>
    <row r="2712" spans="1:23" x14ac:dyDescent="0.3">
      <c r="A2712" s="193" t="str">
        <v/>
      </c>
      <c r="B2712" s="378"/>
      <c r="C2712" s="315"/>
      <c r="D2712" s="316"/>
      <c r="E2712" s="315"/>
      <c r="F2712" s="315"/>
      <c r="G2712" s="315"/>
      <c r="H2712" s="153"/>
      <c r="I2712" s="12"/>
      <c r="J2712" s="12"/>
      <c r="K2712" s="12"/>
      <c r="L2712" s="379"/>
      <c r="M2712" s="380"/>
      <c r="N2712" s="380"/>
      <c r="O2712" s="12"/>
      <c r="P2712" s="381"/>
      <c r="Q2712" s="12"/>
      <c r="R2712" s="12"/>
      <c r="S2712" s="382"/>
      <c r="T2712" s="383"/>
      <c r="U2712" s="384"/>
      <c r="V2712" s="12"/>
      <c r="W2712" s="12"/>
    </row>
    <row r="2713" spans="1:23" x14ac:dyDescent="0.3">
      <c r="A2713" s="193" t="str">
        <v/>
      </c>
      <c r="B2713" s="378"/>
      <c r="C2713" s="315"/>
      <c r="D2713" s="316"/>
      <c r="E2713" s="315"/>
      <c r="F2713" s="315"/>
      <c r="G2713" s="315"/>
      <c r="H2713" s="153"/>
      <c r="I2713" s="12"/>
      <c r="J2713" s="12"/>
      <c r="K2713" s="12"/>
      <c r="L2713" s="379"/>
      <c r="M2713" s="380"/>
      <c r="N2713" s="380"/>
      <c r="O2713" s="12"/>
      <c r="P2713" s="381"/>
      <c r="Q2713" s="12"/>
      <c r="R2713" s="12"/>
      <c r="S2713" s="382"/>
      <c r="T2713" s="383"/>
      <c r="U2713" s="384"/>
      <c r="V2713" s="12"/>
      <c r="W2713" s="12"/>
    </row>
    <row r="2714" spans="1:23" x14ac:dyDescent="0.3">
      <c r="A2714" s="193" t="str">
        <v/>
      </c>
      <c r="B2714" s="378"/>
      <c r="C2714" s="315"/>
      <c r="D2714" s="316"/>
      <c r="E2714" s="315"/>
      <c r="F2714" s="315"/>
      <c r="G2714" s="315"/>
      <c r="H2714" s="153"/>
      <c r="I2714" s="12"/>
      <c r="J2714" s="12"/>
      <c r="K2714" s="12"/>
      <c r="L2714" s="379"/>
      <c r="M2714" s="380"/>
      <c r="N2714" s="380"/>
      <c r="O2714" s="12"/>
      <c r="P2714" s="381"/>
      <c r="Q2714" s="12"/>
      <c r="R2714" s="12"/>
      <c r="S2714" s="382"/>
      <c r="T2714" s="383"/>
      <c r="U2714" s="384"/>
      <c r="V2714" s="12"/>
      <c r="W2714" s="12"/>
    </row>
    <row r="2715" spans="1:23" x14ac:dyDescent="0.3">
      <c r="A2715" s="193" t="str">
        <v/>
      </c>
      <c r="B2715" s="378"/>
      <c r="C2715" s="315"/>
      <c r="D2715" s="316"/>
      <c r="E2715" s="315"/>
      <c r="F2715" s="315"/>
      <c r="G2715" s="315"/>
      <c r="H2715" s="153"/>
      <c r="I2715" s="12"/>
      <c r="J2715" s="12"/>
      <c r="K2715" s="12"/>
      <c r="L2715" s="379"/>
      <c r="M2715" s="380"/>
      <c r="N2715" s="380"/>
      <c r="O2715" s="12"/>
      <c r="P2715" s="381"/>
      <c r="Q2715" s="12"/>
      <c r="R2715" s="12"/>
      <c r="S2715" s="382"/>
      <c r="T2715" s="383"/>
      <c r="U2715" s="384"/>
      <c r="V2715" s="12"/>
      <c r="W2715" s="12"/>
    </row>
    <row r="2716" spans="1:23" x14ac:dyDescent="0.3">
      <c r="A2716" s="193" t="str">
        <v/>
      </c>
      <c r="B2716" s="378"/>
      <c r="C2716" s="315"/>
      <c r="D2716" s="316"/>
      <c r="E2716" s="315"/>
      <c r="F2716" s="315"/>
      <c r="G2716" s="315"/>
      <c r="H2716" s="153"/>
      <c r="I2716" s="12"/>
      <c r="J2716" s="12"/>
      <c r="K2716" s="12"/>
      <c r="L2716" s="379"/>
      <c r="M2716" s="380"/>
      <c r="N2716" s="380"/>
      <c r="O2716" s="12"/>
      <c r="P2716" s="381"/>
      <c r="Q2716" s="12"/>
      <c r="R2716" s="12"/>
      <c r="S2716" s="382"/>
      <c r="T2716" s="383"/>
      <c r="U2716" s="384"/>
      <c r="V2716" s="12"/>
      <c r="W2716" s="12"/>
    </row>
    <row r="2717" spans="1:23" x14ac:dyDescent="0.3">
      <c r="A2717" s="193" t="str">
        <v/>
      </c>
      <c r="B2717" s="378"/>
      <c r="C2717" s="315"/>
      <c r="D2717" s="316"/>
      <c r="E2717" s="315"/>
      <c r="F2717" s="315"/>
      <c r="G2717" s="315"/>
      <c r="H2717" s="153"/>
      <c r="I2717" s="12"/>
      <c r="J2717" s="12"/>
      <c r="K2717" s="12"/>
      <c r="L2717" s="379"/>
      <c r="M2717" s="380"/>
      <c r="N2717" s="380"/>
      <c r="O2717" s="12"/>
      <c r="P2717" s="381"/>
      <c r="Q2717" s="12"/>
      <c r="R2717" s="12"/>
      <c r="S2717" s="382"/>
      <c r="T2717" s="383"/>
      <c r="U2717" s="384"/>
      <c r="V2717" s="12"/>
      <c r="W2717" s="12"/>
    </row>
    <row r="2718" spans="1:23" x14ac:dyDescent="0.3">
      <c r="A2718" s="193" t="str">
        <v/>
      </c>
      <c r="B2718" s="378"/>
      <c r="C2718" s="315"/>
      <c r="D2718" s="316"/>
      <c r="E2718" s="315"/>
      <c r="F2718" s="315"/>
      <c r="G2718" s="315"/>
      <c r="H2718" s="153"/>
      <c r="I2718" s="12"/>
      <c r="J2718" s="12"/>
      <c r="K2718" s="12"/>
      <c r="L2718" s="379"/>
      <c r="M2718" s="380"/>
      <c r="N2718" s="380"/>
      <c r="O2718" s="12"/>
      <c r="P2718" s="381"/>
      <c r="Q2718" s="12"/>
      <c r="R2718" s="12"/>
      <c r="S2718" s="382"/>
      <c r="T2718" s="383"/>
      <c r="U2718" s="384"/>
      <c r="V2718" s="12"/>
      <c r="W2718" s="12"/>
    </row>
    <row r="2719" spans="1:23" x14ac:dyDescent="0.3">
      <c r="A2719" s="193" t="str">
        <v/>
      </c>
      <c r="B2719" s="378"/>
      <c r="C2719" s="315"/>
      <c r="D2719" s="316"/>
      <c r="E2719" s="315"/>
      <c r="F2719" s="315"/>
      <c r="G2719" s="315"/>
      <c r="H2719" s="153"/>
      <c r="I2719" s="12"/>
      <c r="J2719" s="12"/>
      <c r="K2719" s="12"/>
      <c r="L2719" s="379"/>
      <c r="M2719" s="380"/>
      <c r="N2719" s="380"/>
      <c r="O2719" s="12"/>
      <c r="P2719" s="381"/>
      <c r="Q2719" s="12"/>
      <c r="R2719" s="12"/>
      <c r="S2719" s="382"/>
      <c r="T2719" s="383"/>
      <c r="U2719" s="384"/>
      <c r="V2719" s="12"/>
      <c r="W2719" s="12"/>
    </row>
    <row r="2720" spans="1:23" x14ac:dyDescent="0.3">
      <c r="A2720" s="193" t="str">
        <v/>
      </c>
      <c r="B2720" s="378"/>
      <c r="C2720" s="315"/>
      <c r="D2720" s="316"/>
      <c r="E2720" s="315"/>
      <c r="F2720" s="315"/>
      <c r="G2720" s="315"/>
      <c r="H2720" s="153"/>
      <c r="I2720" s="12"/>
      <c r="J2720" s="12"/>
      <c r="K2720" s="12"/>
      <c r="L2720" s="379"/>
      <c r="M2720" s="380"/>
      <c r="N2720" s="380"/>
      <c r="O2720" s="12"/>
      <c r="P2720" s="381"/>
      <c r="Q2720" s="12"/>
      <c r="R2720" s="12"/>
      <c r="S2720" s="382"/>
      <c r="T2720" s="383"/>
      <c r="U2720" s="384"/>
      <c r="V2720" s="12"/>
      <c r="W2720" s="12"/>
    </row>
    <row r="2721" spans="1:23" x14ac:dyDescent="0.3">
      <c r="A2721" s="193" t="str">
        <v/>
      </c>
      <c r="B2721" s="378"/>
      <c r="C2721" s="315"/>
      <c r="D2721" s="316"/>
      <c r="E2721" s="315"/>
      <c r="F2721" s="315"/>
      <c r="G2721" s="315"/>
      <c r="H2721" s="153"/>
      <c r="I2721" s="12"/>
      <c r="J2721" s="12"/>
      <c r="K2721" s="12"/>
      <c r="L2721" s="379"/>
      <c r="M2721" s="380"/>
      <c r="N2721" s="380"/>
      <c r="O2721" s="12"/>
      <c r="P2721" s="381"/>
      <c r="Q2721" s="12"/>
      <c r="R2721" s="12"/>
      <c r="S2721" s="382"/>
      <c r="T2721" s="383"/>
      <c r="U2721" s="384"/>
      <c r="V2721" s="12"/>
      <c r="W2721" s="12"/>
    </row>
    <row r="2722" spans="1:23" x14ac:dyDescent="0.3">
      <c r="A2722" s="193" t="str">
        <v/>
      </c>
      <c r="B2722" s="378"/>
      <c r="C2722" s="315"/>
      <c r="D2722" s="316"/>
      <c r="E2722" s="315"/>
      <c r="F2722" s="315"/>
      <c r="G2722" s="315"/>
      <c r="H2722" s="153"/>
      <c r="I2722" s="12"/>
      <c r="J2722" s="12"/>
      <c r="K2722" s="12"/>
      <c r="L2722" s="379"/>
      <c r="M2722" s="380"/>
      <c r="N2722" s="380"/>
      <c r="O2722" s="12"/>
      <c r="P2722" s="381"/>
      <c r="Q2722" s="12"/>
      <c r="R2722" s="12"/>
      <c r="S2722" s="382"/>
      <c r="T2722" s="383"/>
      <c r="U2722" s="384"/>
      <c r="V2722" s="12"/>
      <c r="W2722" s="12"/>
    </row>
    <row r="2723" spans="1:23" x14ac:dyDescent="0.3">
      <c r="A2723" s="193" t="str">
        <v/>
      </c>
      <c r="B2723" s="378"/>
      <c r="C2723" s="315"/>
      <c r="D2723" s="316"/>
      <c r="E2723" s="315"/>
      <c r="F2723" s="315"/>
      <c r="G2723" s="315"/>
      <c r="H2723" s="153"/>
      <c r="I2723" s="12"/>
      <c r="J2723" s="12"/>
      <c r="K2723" s="12"/>
      <c r="L2723" s="379"/>
      <c r="M2723" s="380"/>
      <c r="N2723" s="380"/>
      <c r="O2723" s="12"/>
      <c r="P2723" s="381"/>
      <c r="Q2723" s="12"/>
      <c r="R2723" s="12"/>
      <c r="S2723" s="382"/>
      <c r="T2723" s="383"/>
      <c r="U2723" s="384"/>
      <c r="V2723" s="12"/>
      <c r="W2723" s="12"/>
    </row>
    <row r="2724" spans="1:23" x14ac:dyDescent="0.3">
      <c r="A2724" s="193" t="str">
        <v/>
      </c>
      <c r="B2724" s="378"/>
      <c r="C2724" s="315"/>
      <c r="D2724" s="316"/>
      <c r="E2724" s="315"/>
      <c r="F2724" s="315"/>
      <c r="G2724" s="315"/>
      <c r="H2724" s="153"/>
      <c r="I2724" s="12"/>
      <c r="J2724" s="12"/>
      <c r="K2724" s="12"/>
      <c r="L2724" s="379"/>
      <c r="M2724" s="380"/>
      <c r="N2724" s="380"/>
      <c r="O2724" s="12"/>
      <c r="P2724" s="381"/>
      <c r="Q2724" s="12"/>
      <c r="R2724" s="12"/>
      <c r="S2724" s="382"/>
      <c r="T2724" s="383"/>
      <c r="U2724" s="384"/>
      <c r="V2724" s="12"/>
      <c r="W2724" s="12"/>
    </row>
    <row r="2725" spans="1:23" x14ac:dyDescent="0.3">
      <c r="A2725" s="193" t="str">
        <v/>
      </c>
      <c r="B2725" s="378"/>
      <c r="C2725" s="315"/>
      <c r="D2725" s="316"/>
      <c r="E2725" s="315"/>
      <c r="F2725" s="315"/>
      <c r="G2725" s="315"/>
      <c r="H2725" s="153"/>
      <c r="I2725" s="12"/>
      <c r="J2725" s="12"/>
      <c r="K2725" s="12"/>
      <c r="L2725" s="379"/>
      <c r="M2725" s="380"/>
      <c r="N2725" s="380"/>
      <c r="O2725" s="12"/>
      <c r="P2725" s="381"/>
      <c r="Q2725" s="12"/>
      <c r="R2725" s="12"/>
      <c r="S2725" s="382"/>
      <c r="T2725" s="383"/>
      <c r="U2725" s="384"/>
      <c r="V2725" s="12"/>
      <c r="W2725" s="12"/>
    </row>
    <row r="2726" spans="1:23" x14ac:dyDescent="0.3">
      <c r="A2726" s="193" t="str">
        <v/>
      </c>
      <c r="B2726" s="378"/>
      <c r="C2726" s="315"/>
      <c r="D2726" s="316"/>
      <c r="E2726" s="315"/>
      <c r="F2726" s="315"/>
      <c r="G2726" s="315"/>
      <c r="H2726" s="153"/>
      <c r="I2726" s="12"/>
      <c r="J2726" s="12"/>
      <c r="K2726" s="12"/>
      <c r="L2726" s="379"/>
      <c r="M2726" s="380"/>
      <c r="N2726" s="380"/>
      <c r="O2726" s="12"/>
      <c r="P2726" s="381"/>
      <c r="Q2726" s="12"/>
      <c r="R2726" s="12"/>
      <c r="S2726" s="382"/>
      <c r="T2726" s="383"/>
      <c r="U2726" s="384"/>
      <c r="V2726" s="12"/>
      <c r="W2726" s="12"/>
    </row>
    <row r="2727" spans="1:23" x14ac:dyDescent="0.3">
      <c r="A2727" s="193" t="str">
        <v/>
      </c>
      <c r="B2727" s="378"/>
      <c r="C2727" s="315"/>
      <c r="D2727" s="316"/>
      <c r="E2727" s="315"/>
      <c r="F2727" s="315"/>
      <c r="G2727" s="315"/>
      <c r="H2727" s="153"/>
      <c r="I2727" s="12"/>
      <c r="J2727" s="12"/>
      <c r="K2727" s="12"/>
      <c r="L2727" s="379"/>
      <c r="M2727" s="380"/>
      <c r="N2727" s="380"/>
      <c r="O2727" s="12"/>
      <c r="P2727" s="381"/>
      <c r="Q2727" s="12"/>
      <c r="R2727" s="12"/>
      <c r="S2727" s="382"/>
      <c r="T2727" s="383"/>
      <c r="U2727" s="384"/>
      <c r="V2727" s="12"/>
      <c r="W2727" s="12"/>
    </row>
    <row r="2728" spans="1:23" x14ac:dyDescent="0.3">
      <c r="A2728" s="193" t="str">
        <v/>
      </c>
      <c r="B2728" s="378"/>
      <c r="C2728" s="315"/>
      <c r="D2728" s="316"/>
      <c r="E2728" s="315"/>
      <c r="F2728" s="315"/>
      <c r="G2728" s="315"/>
      <c r="H2728" s="153"/>
      <c r="I2728" s="12"/>
      <c r="J2728" s="12"/>
      <c r="K2728" s="12"/>
      <c r="L2728" s="379"/>
      <c r="M2728" s="380"/>
      <c r="N2728" s="380"/>
      <c r="O2728" s="12"/>
      <c r="P2728" s="381"/>
      <c r="Q2728" s="12"/>
      <c r="R2728" s="12"/>
      <c r="S2728" s="382"/>
      <c r="T2728" s="383"/>
      <c r="U2728" s="384"/>
      <c r="V2728" s="12"/>
      <c r="W2728" s="12"/>
    </row>
    <row r="2729" spans="1:23" x14ac:dyDescent="0.3">
      <c r="A2729" s="193" t="str">
        <v/>
      </c>
      <c r="B2729" s="378"/>
      <c r="C2729" s="315"/>
      <c r="D2729" s="316"/>
      <c r="E2729" s="315"/>
      <c r="F2729" s="315"/>
      <c r="G2729" s="315"/>
      <c r="H2729" s="153"/>
      <c r="I2729" s="12"/>
      <c r="J2729" s="12"/>
      <c r="K2729" s="12"/>
      <c r="L2729" s="379"/>
      <c r="M2729" s="380"/>
      <c r="N2729" s="380"/>
      <c r="O2729" s="12"/>
      <c r="P2729" s="381"/>
      <c r="Q2729" s="12"/>
      <c r="R2729" s="12"/>
      <c r="S2729" s="382"/>
      <c r="T2729" s="383"/>
      <c r="U2729" s="384"/>
      <c r="V2729" s="12"/>
      <c r="W2729" s="12"/>
    </row>
    <row r="2730" spans="1:23" x14ac:dyDescent="0.3">
      <c r="A2730" s="193" t="str">
        <v/>
      </c>
      <c r="B2730" s="378"/>
      <c r="C2730" s="315"/>
      <c r="D2730" s="316"/>
      <c r="E2730" s="315"/>
      <c r="F2730" s="315"/>
      <c r="G2730" s="315"/>
      <c r="H2730" s="153"/>
      <c r="I2730" s="12"/>
      <c r="J2730" s="12"/>
      <c r="K2730" s="12"/>
      <c r="L2730" s="379"/>
      <c r="M2730" s="380"/>
      <c r="N2730" s="380"/>
      <c r="O2730" s="12"/>
      <c r="P2730" s="381"/>
      <c r="Q2730" s="12"/>
      <c r="R2730" s="12"/>
      <c r="S2730" s="382"/>
      <c r="T2730" s="383"/>
      <c r="U2730" s="384"/>
      <c r="V2730" s="12"/>
      <c r="W2730" s="12"/>
    </row>
    <row r="2731" spans="1:23" x14ac:dyDescent="0.3">
      <c r="A2731" s="193" t="str">
        <v/>
      </c>
      <c r="B2731" s="378"/>
      <c r="C2731" s="315"/>
      <c r="D2731" s="316"/>
      <c r="E2731" s="315"/>
      <c r="F2731" s="315"/>
      <c r="G2731" s="315"/>
      <c r="H2731" s="153"/>
      <c r="I2731" s="12"/>
      <c r="J2731" s="12"/>
      <c r="K2731" s="12"/>
      <c r="L2731" s="379"/>
      <c r="M2731" s="380"/>
      <c r="N2731" s="380"/>
      <c r="O2731" s="12"/>
      <c r="P2731" s="381"/>
      <c r="Q2731" s="12"/>
      <c r="R2731" s="12"/>
      <c r="S2731" s="382"/>
      <c r="T2731" s="383"/>
      <c r="U2731" s="384"/>
      <c r="V2731" s="12"/>
      <c r="W2731" s="12"/>
    </row>
    <row r="2732" spans="1:23" x14ac:dyDescent="0.3">
      <c r="A2732" s="193" t="str">
        <v/>
      </c>
      <c r="B2732" s="378"/>
      <c r="C2732" s="315"/>
      <c r="D2732" s="316"/>
      <c r="E2732" s="315"/>
      <c r="F2732" s="315"/>
      <c r="G2732" s="315"/>
      <c r="H2732" s="153"/>
      <c r="I2732" s="12"/>
      <c r="J2732" s="12"/>
      <c r="K2732" s="12"/>
      <c r="L2732" s="379"/>
      <c r="M2732" s="380"/>
      <c r="N2732" s="380"/>
      <c r="O2732" s="12"/>
      <c r="P2732" s="381"/>
      <c r="Q2732" s="12"/>
      <c r="R2732" s="12"/>
      <c r="S2732" s="382"/>
      <c r="T2732" s="383"/>
      <c r="U2732" s="384"/>
      <c r="V2732" s="12"/>
      <c r="W2732" s="12"/>
    </row>
    <row r="2733" spans="1:23" x14ac:dyDescent="0.3">
      <c r="A2733" s="193" t="str">
        <v/>
      </c>
      <c r="B2733" s="378"/>
      <c r="C2733" s="315"/>
      <c r="D2733" s="316"/>
      <c r="E2733" s="315"/>
      <c r="F2733" s="315"/>
      <c r="G2733" s="315"/>
      <c r="H2733" s="153"/>
      <c r="I2733" s="12"/>
      <c r="J2733" s="12"/>
      <c r="K2733" s="12"/>
      <c r="L2733" s="379"/>
      <c r="M2733" s="380"/>
      <c r="N2733" s="380"/>
      <c r="O2733" s="12"/>
      <c r="P2733" s="381"/>
      <c r="Q2733" s="12"/>
      <c r="R2733" s="12"/>
      <c r="S2733" s="382"/>
      <c r="T2733" s="383"/>
      <c r="U2733" s="384"/>
      <c r="V2733" s="12"/>
      <c r="W2733" s="12"/>
    </row>
    <row r="2734" spans="1:23" x14ac:dyDescent="0.3">
      <c r="A2734" s="193" t="str">
        <v/>
      </c>
      <c r="B2734" s="378"/>
      <c r="C2734" s="315"/>
      <c r="D2734" s="316"/>
      <c r="E2734" s="315"/>
      <c r="F2734" s="315"/>
      <c r="G2734" s="315"/>
      <c r="H2734" s="153"/>
      <c r="I2734" s="12"/>
      <c r="J2734" s="12"/>
      <c r="K2734" s="12"/>
      <c r="L2734" s="379"/>
      <c r="M2734" s="380"/>
      <c r="N2734" s="380"/>
      <c r="O2734" s="12"/>
      <c r="P2734" s="381"/>
      <c r="Q2734" s="12"/>
      <c r="R2734" s="12"/>
      <c r="S2734" s="382"/>
      <c r="T2734" s="383"/>
      <c r="U2734" s="384"/>
      <c r="V2734" s="12"/>
      <c r="W2734" s="12"/>
    </row>
    <row r="2735" spans="1:23" x14ac:dyDescent="0.3">
      <c r="A2735" s="193" t="str">
        <v/>
      </c>
      <c r="B2735" s="378"/>
      <c r="C2735" s="315"/>
      <c r="D2735" s="316"/>
      <c r="E2735" s="315"/>
      <c r="F2735" s="315"/>
      <c r="G2735" s="315"/>
      <c r="H2735" s="153"/>
      <c r="I2735" s="12"/>
      <c r="J2735" s="12"/>
      <c r="K2735" s="12"/>
      <c r="L2735" s="379"/>
      <c r="M2735" s="380"/>
      <c r="N2735" s="380"/>
      <c r="O2735" s="12"/>
      <c r="P2735" s="381"/>
      <c r="Q2735" s="12"/>
      <c r="R2735" s="12"/>
      <c r="S2735" s="382"/>
      <c r="T2735" s="383"/>
      <c r="U2735" s="384"/>
      <c r="V2735" s="12"/>
      <c r="W2735" s="12"/>
    </row>
    <row r="2736" spans="1:23" x14ac:dyDescent="0.3">
      <c r="A2736" s="193" t="str">
        <v/>
      </c>
      <c r="B2736" s="378"/>
      <c r="C2736" s="315"/>
      <c r="D2736" s="316"/>
      <c r="E2736" s="315"/>
      <c r="F2736" s="315"/>
      <c r="G2736" s="315"/>
      <c r="H2736" s="153"/>
      <c r="I2736" s="12"/>
      <c r="J2736" s="12"/>
      <c r="K2736" s="12"/>
      <c r="L2736" s="379"/>
      <c r="M2736" s="380"/>
      <c r="N2736" s="380"/>
      <c r="O2736" s="12"/>
      <c r="P2736" s="381"/>
      <c r="Q2736" s="12"/>
      <c r="R2736" s="12"/>
      <c r="S2736" s="382"/>
      <c r="T2736" s="383"/>
      <c r="U2736" s="384"/>
      <c r="V2736" s="12"/>
      <c r="W2736" s="12"/>
    </row>
    <row r="2737" spans="1:23" x14ac:dyDescent="0.3">
      <c r="A2737" s="193" t="str">
        <v/>
      </c>
      <c r="B2737" s="378"/>
      <c r="C2737" s="315"/>
      <c r="D2737" s="316"/>
      <c r="E2737" s="315"/>
      <c r="F2737" s="315"/>
      <c r="G2737" s="315"/>
      <c r="H2737" s="153"/>
      <c r="I2737" s="12"/>
      <c r="J2737" s="12"/>
      <c r="K2737" s="12"/>
      <c r="L2737" s="379"/>
      <c r="M2737" s="380"/>
      <c r="N2737" s="380"/>
      <c r="O2737" s="12"/>
      <c r="P2737" s="381"/>
      <c r="Q2737" s="12"/>
      <c r="R2737" s="12"/>
      <c r="S2737" s="382"/>
      <c r="T2737" s="383"/>
      <c r="U2737" s="384"/>
      <c r="V2737" s="12"/>
      <c r="W2737" s="12"/>
    </row>
    <row r="2738" spans="1:23" x14ac:dyDescent="0.3">
      <c r="A2738" s="193" t="str">
        <v/>
      </c>
      <c r="B2738" s="378"/>
      <c r="C2738" s="315"/>
      <c r="D2738" s="316"/>
      <c r="E2738" s="315"/>
      <c r="F2738" s="315"/>
      <c r="G2738" s="315"/>
      <c r="H2738" s="153"/>
      <c r="I2738" s="12"/>
      <c r="J2738" s="12"/>
      <c r="K2738" s="12"/>
      <c r="L2738" s="379"/>
      <c r="M2738" s="380"/>
      <c r="N2738" s="380"/>
      <c r="O2738" s="12"/>
      <c r="P2738" s="381"/>
      <c r="Q2738" s="12"/>
      <c r="R2738" s="12"/>
      <c r="S2738" s="382"/>
      <c r="T2738" s="383"/>
      <c r="U2738" s="384"/>
      <c r="V2738" s="12"/>
      <c r="W2738" s="12"/>
    </row>
    <row r="2739" spans="1:23" x14ac:dyDescent="0.3">
      <c r="A2739" s="193" t="str">
        <v/>
      </c>
      <c r="B2739" s="378"/>
      <c r="C2739" s="315"/>
      <c r="D2739" s="316"/>
      <c r="E2739" s="315"/>
      <c r="F2739" s="315"/>
      <c r="G2739" s="315"/>
      <c r="H2739" s="153"/>
      <c r="I2739" s="12"/>
      <c r="J2739" s="12"/>
      <c r="K2739" s="12"/>
      <c r="L2739" s="379"/>
      <c r="M2739" s="380"/>
      <c r="N2739" s="380"/>
      <c r="O2739" s="12"/>
      <c r="P2739" s="381"/>
      <c r="Q2739" s="12"/>
      <c r="R2739" s="12"/>
      <c r="S2739" s="382"/>
      <c r="T2739" s="383"/>
      <c r="U2739" s="384"/>
      <c r="V2739" s="12"/>
      <c r="W2739" s="12"/>
    </row>
    <row r="2740" spans="1:23" x14ac:dyDescent="0.3">
      <c r="A2740" s="193" t="str">
        <v/>
      </c>
      <c r="B2740" s="378"/>
      <c r="C2740" s="315"/>
      <c r="D2740" s="316"/>
      <c r="E2740" s="315"/>
      <c r="F2740" s="315"/>
      <c r="G2740" s="315"/>
      <c r="H2740" s="153"/>
      <c r="I2740" s="12"/>
      <c r="J2740" s="12"/>
      <c r="K2740" s="12"/>
      <c r="L2740" s="379"/>
      <c r="M2740" s="380"/>
      <c r="N2740" s="380"/>
      <c r="O2740" s="12"/>
      <c r="P2740" s="381"/>
      <c r="Q2740" s="12"/>
      <c r="R2740" s="12"/>
      <c r="S2740" s="382"/>
      <c r="T2740" s="383"/>
      <c r="U2740" s="384"/>
      <c r="V2740" s="12"/>
      <c r="W2740" s="12"/>
    </row>
    <row r="2741" spans="1:23" x14ac:dyDescent="0.3">
      <c r="A2741" s="193" t="str">
        <v/>
      </c>
      <c r="B2741" s="378"/>
      <c r="C2741" s="315"/>
      <c r="D2741" s="316"/>
      <c r="E2741" s="315"/>
      <c r="F2741" s="315"/>
      <c r="G2741" s="315"/>
      <c r="H2741" s="153"/>
      <c r="I2741" s="12"/>
      <c r="J2741" s="12"/>
      <c r="K2741" s="12"/>
      <c r="L2741" s="379"/>
      <c r="M2741" s="380"/>
      <c r="N2741" s="380"/>
      <c r="O2741" s="12"/>
      <c r="P2741" s="381"/>
      <c r="Q2741" s="12"/>
      <c r="R2741" s="12"/>
      <c r="S2741" s="382"/>
      <c r="T2741" s="383"/>
      <c r="U2741" s="384"/>
      <c r="V2741" s="12"/>
      <c r="W2741" s="12"/>
    </row>
    <row r="2742" spans="1:23" x14ac:dyDescent="0.3">
      <c r="A2742" s="193" t="str">
        <v/>
      </c>
      <c r="B2742" s="378"/>
      <c r="C2742" s="315"/>
      <c r="D2742" s="316"/>
      <c r="E2742" s="315"/>
      <c r="F2742" s="315"/>
      <c r="G2742" s="315"/>
      <c r="H2742" s="153"/>
      <c r="I2742" s="12"/>
      <c r="J2742" s="12"/>
      <c r="K2742" s="12"/>
      <c r="L2742" s="379"/>
      <c r="M2742" s="380"/>
      <c r="N2742" s="380"/>
      <c r="O2742" s="12"/>
      <c r="P2742" s="381"/>
      <c r="Q2742" s="12"/>
      <c r="R2742" s="12"/>
      <c r="S2742" s="382"/>
      <c r="T2742" s="383"/>
      <c r="U2742" s="384"/>
      <c r="V2742" s="12"/>
      <c r="W2742" s="12"/>
    </row>
    <row r="2743" spans="1:23" x14ac:dyDescent="0.3">
      <c r="A2743" s="193" t="str">
        <v/>
      </c>
      <c r="B2743" s="378"/>
      <c r="C2743" s="315"/>
      <c r="D2743" s="316"/>
      <c r="E2743" s="315"/>
      <c r="F2743" s="315"/>
      <c r="G2743" s="315"/>
      <c r="H2743" s="153"/>
      <c r="I2743" s="12"/>
      <c r="J2743" s="12"/>
      <c r="K2743" s="12"/>
      <c r="L2743" s="379"/>
      <c r="M2743" s="380"/>
      <c r="N2743" s="380"/>
      <c r="O2743" s="12"/>
      <c r="P2743" s="381"/>
      <c r="Q2743" s="12"/>
      <c r="R2743" s="12"/>
      <c r="S2743" s="382"/>
      <c r="T2743" s="383"/>
      <c r="U2743" s="384"/>
      <c r="V2743" s="12"/>
      <c r="W2743" s="12"/>
    </row>
    <row r="2744" spans="1:23" x14ac:dyDescent="0.3">
      <c r="A2744" s="193" t="str">
        <v/>
      </c>
      <c r="B2744" s="378"/>
      <c r="C2744" s="315"/>
      <c r="D2744" s="316"/>
      <c r="E2744" s="315"/>
      <c r="F2744" s="315"/>
      <c r="G2744" s="315"/>
      <c r="H2744" s="153"/>
      <c r="I2744" s="12"/>
      <c r="J2744" s="12"/>
      <c r="K2744" s="12"/>
      <c r="L2744" s="379"/>
      <c r="M2744" s="380"/>
      <c r="N2744" s="380"/>
      <c r="O2744" s="12"/>
      <c r="P2744" s="381"/>
      <c r="Q2744" s="12"/>
      <c r="R2744" s="12"/>
      <c r="S2744" s="382"/>
      <c r="T2744" s="383"/>
      <c r="U2744" s="384"/>
      <c r="V2744" s="12"/>
      <c r="W2744" s="12"/>
    </row>
    <row r="2745" spans="1:23" x14ac:dyDescent="0.3">
      <c r="A2745" s="193" t="str">
        <v/>
      </c>
      <c r="B2745" s="378"/>
      <c r="C2745" s="315"/>
      <c r="D2745" s="316"/>
      <c r="E2745" s="315"/>
      <c r="F2745" s="315"/>
      <c r="G2745" s="315"/>
      <c r="H2745" s="153"/>
      <c r="I2745" s="12"/>
      <c r="J2745" s="12"/>
      <c r="K2745" s="12"/>
      <c r="L2745" s="379"/>
      <c r="M2745" s="380"/>
      <c r="N2745" s="380"/>
      <c r="O2745" s="12"/>
      <c r="P2745" s="381"/>
      <c r="Q2745" s="12"/>
      <c r="R2745" s="12"/>
      <c r="S2745" s="382"/>
      <c r="T2745" s="383"/>
      <c r="U2745" s="384"/>
      <c r="V2745" s="12"/>
      <c r="W2745" s="12"/>
    </row>
    <row r="2746" spans="1:23" x14ac:dyDescent="0.3">
      <c r="A2746" s="193" t="str">
        <v/>
      </c>
      <c r="B2746" s="378"/>
      <c r="C2746" s="315"/>
      <c r="D2746" s="316"/>
      <c r="E2746" s="315"/>
      <c r="F2746" s="315"/>
      <c r="G2746" s="315"/>
      <c r="H2746" s="153"/>
      <c r="I2746" s="12"/>
      <c r="J2746" s="12"/>
      <c r="K2746" s="12"/>
      <c r="L2746" s="379"/>
      <c r="M2746" s="380"/>
      <c r="N2746" s="380"/>
      <c r="O2746" s="12"/>
      <c r="P2746" s="381"/>
      <c r="Q2746" s="12"/>
      <c r="R2746" s="12"/>
      <c r="S2746" s="382"/>
      <c r="T2746" s="383"/>
      <c r="U2746" s="384"/>
      <c r="V2746" s="12"/>
      <c r="W2746" s="12"/>
    </row>
    <row r="2747" spans="1:23" x14ac:dyDescent="0.3">
      <c r="A2747" s="193" t="str">
        <v/>
      </c>
      <c r="B2747" s="378"/>
      <c r="C2747" s="315"/>
      <c r="D2747" s="316"/>
      <c r="E2747" s="315"/>
      <c r="F2747" s="315"/>
      <c r="G2747" s="315"/>
      <c r="H2747" s="153"/>
      <c r="I2747" s="12"/>
      <c r="J2747" s="12"/>
      <c r="K2747" s="12"/>
      <c r="L2747" s="379"/>
      <c r="M2747" s="380"/>
      <c r="N2747" s="380"/>
      <c r="O2747" s="12"/>
      <c r="P2747" s="381"/>
      <c r="Q2747" s="12"/>
      <c r="R2747" s="12"/>
      <c r="S2747" s="382"/>
      <c r="T2747" s="383"/>
      <c r="U2747" s="384"/>
      <c r="V2747" s="12"/>
      <c r="W2747" s="12"/>
    </row>
    <row r="2748" spans="1:23" x14ac:dyDescent="0.3">
      <c r="A2748" s="193" t="str">
        <v/>
      </c>
      <c r="B2748" s="378"/>
      <c r="C2748" s="315"/>
      <c r="D2748" s="316"/>
      <c r="E2748" s="315"/>
      <c r="F2748" s="315"/>
      <c r="G2748" s="315"/>
      <c r="H2748" s="153"/>
      <c r="I2748" s="12"/>
      <c r="J2748" s="12"/>
      <c r="K2748" s="12"/>
      <c r="L2748" s="379"/>
      <c r="M2748" s="380"/>
      <c r="N2748" s="380"/>
      <c r="O2748" s="12"/>
      <c r="P2748" s="381"/>
      <c r="Q2748" s="12"/>
      <c r="R2748" s="12"/>
      <c r="S2748" s="382"/>
      <c r="T2748" s="383"/>
      <c r="U2748" s="384"/>
      <c r="V2748" s="12"/>
      <c r="W2748" s="12"/>
    </row>
    <row r="2749" spans="1:23" x14ac:dyDescent="0.3">
      <c r="A2749" s="193" t="str">
        <v/>
      </c>
      <c r="B2749" s="378"/>
      <c r="C2749" s="315"/>
      <c r="D2749" s="316"/>
      <c r="E2749" s="315"/>
      <c r="F2749" s="315"/>
      <c r="G2749" s="315"/>
      <c r="H2749" s="153"/>
      <c r="I2749" s="12"/>
      <c r="J2749" s="12"/>
      <c r="K2749" s="12"/>
      <c r="L2749" s="379"/>
      <c r="M2749" s="380"/>
      <c r="N2749" s="380"/>
      <c r="O2749" s="12"/>
      <c r="P2749" s="381"/>
      <c r="Q2749" s="12"/>
      <c r="R2749" s="12"/>
      <c r="S2749" s="382"/>
      <c r="T2749" s="383"/>
      <c r="U2749" s="384"/>
      <c r="V2749" s="12"/>
      <c r="W2749" s="12"/>
    </row>
    <row r="2750" spans="1:23" x14ac:dyDescent="0.3">
      <c r="A2750" s="193" t="str">
        <v/>
      </c>
      <c r="B2750" s="378"/>
      <c r="C2750" s="315"/>
      <c r="D2750" s="316"/>
      <c r="E2750" s="315"/>
      <c r="F2750" s="315"/>
      <c r="G2750" s="315"/>
      <c r="H2750" s="153"/>
      <c r="I2750" s="12"/>
      <c r="J2750" s="12"/>
      <c r="K2750" s="12"/>
      <c r="L2750" s="379"/>
      <c r="M2750" s="380"/>
      <c r="N2750" s="380"/>
      <c r="O2750" s="12"/>
      <c r="P2750" s="381"/>
      <c r="Q2750" s="12"/>
      <c r="R2750" s="12"/>
      <c r="S2750" s="382"/>
      <c r="T2750" s="383"/>
      <c r="U2750" s="384"/>
      <c r="V2750" s="12"/>
      <c r="W2750" s="12"/>
    </row>
    <row r="2751" spans="1:23" x14ac:dyDescent="0.3">
      <c r="A2751" s="193" t="str">
        <v/>
      </c>
      <c r="B2751" s="378"/>
      <c r="C2751" s="315"/>
      <c r="D2751" s="316"/>
      <c r="E2751" s="315"/>
      <c r="F2751" s="315"/>
      <c r="G2751" s="315"/>
      <c r="H2751" s="153"/>
      <c r="I2751" s="12"/>
      <c r="J2751" s="12"/>
      <c r="K2751" s="12"/>
      <c r="L2751" s="379"/>
      <c r="M2751" s="380"/>
      <c r="N2751" s="380"/>
      <c r="O2751" s="12"/>
      <c r="P2751" s="381"/>
      <c r="Q2751" s="12"/>
      <c r="R2751" s="12"/>
      <c r="S2751" s="382"/>
      <c r="T2751" s="383"/>
      <c r="U2751" s="384"/>
      <c r="V2751" s="12"/>
      <c r="W2751" s="12"/>
    </row>
    <row r="2752" spans="1:23" x14ac:dyDescent="0.3">
      <c r="A2752" s="193" t="str">
        <v/>
      </c>
      <c r="B2752" s="378"/>
      <c r="C2752" s="315"/>
      <c r="D2752" s="316"/>
      <c r="E2752" s="315"/>
      <c r="F2752" s="315"/>
      <c r="G2752" s="315"/>
      <c r="H2752" s="153"/>
      <c r="I2752" s="12"/>
      <c r="J2752" s="12"/>
      <c r="K2752" s="12"/>
      <c r="L2752" s="379"/>
      <c r="M2752" s="380"/>
      <c r="N2752" s="380"/>
      <c r="O2752" s="12"/>
      <c r="P2752" s="381"/>
      <c r="Q2752" s="12"/>
      <c r="R2752" s="12"/>
      <c r="S2752" s="382"/>
      <c r="T2752" s="383"/>
      <c r="U2752" s="384"/>
      <c r="V2752" s="12"/>
      <c r="W2752" s="12"/>
    </row>
    <row r="2753" spans="1:23" x14ac:dyDescent="0.3">
      <c r="A2753" s="193" t="str">
        <v/>
      </c>
      <c r="B2753" s="378"/>
      <c r="C2753" s="315"/>
      <c r="D2753" s="316"/>
      <c r="E2753" s="315"/>
      <c r="F2753" s="315"/>
      <c r="G2753" s="315"/>
      <c r="H2753" s="153"/>
      <c r="I2753" s="12"/>
      <c r="J2753" s="12"/>
      <c r="K2753" s="12"/>
      <c r="L2753" s="379"/>
      <c r="M2753" s="380"/>
      <c r="N2753" s="380"/>
      <c r="O2753" s="12"/>
      <c r="P2753" s="381"/>
      <c r="Q2753" s="12"/>
      <c r="R2753" s="12"/>
      <c r="S2753" s="382"/>
      <c r="T2753" s="383"/>
      <c r="U2753" s="384"/>
      <c r="V2753" s="12"/>
      <c r="W2753" s="12"/>
    </row>
    <row r="2754" spans="1:23" x14ac:dyDescent="0.3">
      <c r="A2754" s="193" t="str">
        <v/>
      </c>
      <c r="B2754" s="378"/>
      <c r="C2754" s="315"/>
      <c r="D2754" s="316"/>
      <c r="E2754" s="315"/>
      <c r="F2754" s="315"/>
      <c r="G2754" s="315"/>
      <c r="H2754" s="153"/>
      <c r="I2754" s="12"/>
      <c r="J2754" s="12"/>
      <c r="K2754" s="12"/>
      <c r="L2754" s="379"/>
      <c r="M2754" s="380"/>
      <c r="N2754" s="380"/>
      <c r="O2754" s="12"/>
      <c r="P2754" s="381"/>
      <c r="Q2754" s="12"/>
      <c r="R2754" s="12"/>
      <c r="S2754" s="382"/>
      <c r="T2754" s="383"/>
      <c r="U2754" s="384"/>
      <c r="V2754" s="12"/>
      <c r="W2754" s="12"/>
    </row>
    <row r="2755" spans="1:23" x14ac:dyDescent="0.3">
      <c r="A2755" s="193" t="str">
        <v/>
      </c>
      <c r="B2755" s="378"/>
      <c r="C2755" s="315"/>
      <c r="D2755" s="316"/>
      <c r="E2755" s="315"/>
      <c r="F2755" s="315"/>
      <c r="G2755" s="315"/>
      <c r="H2755" s="153"/>
      <c r="I2755" s="12"/>
      <c r="J2755" s="12"/>
      <c r="K2755" s="12"/>
      <c r="L2755" s="379"/>
      <c r="M2755" s="380"/>
      <c r="N2755" s="380"/>
      <c r="O2755" s="12"/>
      <c r="P2755" s="381"/>
      <c r="Q2755" s="12"/>
      <c r="R2755" s="12"/>
      <c r="S2755" s="382"/>
      <c r="T2755" s="383"/>
      <c r="U2755" s="384"/>
      <c r="V2755" s="12"/>
      <c r="W2755" s="12"/>
    </row>
    <row r="2756" spans="1:23" x14ac:dyDescent="0.3">
      <c r="A2756" s="193" t="str">
        <v/>
      </c>
      <c r="B2756" s="378"/>
      <c r="C2756" s="315"/>
      <c r="D2756" s="316"/>
      <c r="E2756" s="315"/>
      <c r="F2756" s="315"/>
      <c r="G2756" s="315"/>
      <c r="H2756" s="153"/>
      <c r="I2756" s="12"/>
      <c r="J2756" s="12"/>
      <c r="K2756" s="12"/>
      <c r="L2756" s="379"/>
      <c r="M2756" s="380"/>
      <c r="N2756" s="380"/>
      <c r="O2756" s="12"/>
      <c r="P2756" s="381"/>
      <c r="Q2756" s="12"/>
      <c r="R2756" s="12"/>
      <c r="S2756" s="382"/>
      <c r="T2756" s="383"/>
      <c r="U2756" s="384"/>
      <c r="V2756" s="12"/>
      <c r="W2756" s="12"/>
    </row>
    <row r="2757" spans="1:23" x14ac:dyDescent="0.3">
      <c r="A2757" s="193" t="str">
        <v/>
      </c>
      <c r="B2757" s="378"/>
      <c r="C2757" s="315"/>
      <c r="D2757" s="316"/>
      <c r="E2757" s="315"/>
      <c r="F2757" s="315"/>
      <c r="G2757" s="315"/>
      <c r="H2757" s="153"/>
      <c r="I2757" s="12"/>
      <c r="J2757" s="12"/>
      <c r="K2757" s="12"/>
      <c r="L2757" s="379"/>
      <c r="M2757" s="380"/>
      <c r="N2757" s="380"/>
      <c r="O2757" s="12"/>
      <c r="P2757" s="381"/>
      <c r="Q2757" s="12"/>
      <c r="R2757" s="12"/>
      <c r="S2757" s="382"/>
      <c r="T2757" s="383"/>
      <c r="U2757" s="384"/>
      <c r="V2757" s="12"/>
      <c r="W2757" s="12"/>
    </row>
    <row r="2758" spans="1:23" x14ac:dyDescent="0.3">
      <c r="A2758" s="193" t="str">
        <v/>
      </c>
      <c r="B2758" s="378"/>
      <c r="C2758" s="315"/>
      <c r="D2758" s="316"/>
      <c r="E2758" s="315"/>
      <c r="F2758" s="315"/>
      <c r="G2758" s="315"/>
      <c r="H2758" s="153"/>
      <c r="I2758" s="12"/>
      <c r="J2758" s="12"/>
      <c r="K2758" s="12"/>
      <c r="L2758" s="379"/>
      <c r="M2758" s="380"/>
      <c r="N2758" s="380"/>
      <c r="O2758" s="12"/>
      <c r="P2758" s="381"/>
      <c r="Q2758" s="12"/>
      <c r="R2758" s="12"/>
      <c r="S2758" s="382"/>
      <c r="T2758" s="383"/>
      <c r="U2758" s="384"/>
      <c r="V2758" s="12"/>
      <c r="W2758" s="12"/>
    </row>
    <row r="2759" spans="1:23" x14ac:dyDescent="0.3">
      <c r="A2759" s="193" t="str">
        <v/>
      </c>
      <c r="B2759" s="378"/>
      <c r="C2759" s="315"/>
      <c r="D2759" s="316"/>
      <c r="E2759" s="315"/>
      <c r="F2759" s="315"/>
      <c r="G2759" s="315"/>
      <c r="H2759" s="153"/>
      <c r="I2759" s="12"/>
      <c r="J2759" s="12"/>
      <c r="K2759" s="12"/>
      <c r="L2759" s="379"/>
      <c r="M2759" s="380"/>
      <c r="N2759" s="380"/>
      <c r="O2759" s="12"/>
      <c r="P2759" s="381"/>
      <c r="Q2759" s="12"/>
      <c r="R2759" s="12"/>
      <c r="S2759" s="382"/>
      <c r="T2759" s="383"/>
      <c r="U2759" s="384"/>
      <c r="V2759" s="12"/>
      <c r="W2759" s="12"/>
    </row>
    <row r="2760" spans="1:23" x14ac:dyDescent="0.3">
      <c r="A2760" s="193" t="str">
        <v/>
      </c>
      <c r="B2760" s="378"/>
      <c r="C2760" s="315"/>
      <c r="D2760" s="316"/>
      <c r="E2760" s="315"/>
      <c r="F2760" s="315"/>
      <c r="G2760" s="315"/>
      <c r="H2760" s="153"/>
      <c r="I2760" s="12"/>
      <c r="J2760" s="12"/>
      <c r="K2760" s="12"/>
      <c r="L2760" s="379"/>
      <c r="M2760" s="380"/>
      <c r="N2760" s="380"/>
      <c r="O2760" s="12"/>
      <c r="P2760" s="381"/>
      <c r="Q2760" s="12"/>
      <c r="R2760" s="12"/>
      <c r="S2760" s="382"/>
      <c r="T2760" s="383"/>
      <c r="U2760" s="384"/>
      <c r="V2760" s="12"/>
      <c r="W2760" s="12"/>
    </row>
    <row r="2761" spans="1:23" x14ac:dyDescent="0.3">
      <c r="A2761" s="193" t="str">
        <v/>
      </c>
      <c r="B2761" s="378"/>
      <c r="C2761" s="315"/>
      <c r="D2761" s="316"/>
      <c r="E2761" s="315"/>
      <c r="F2761" s="315"/>
      <c r="G2761" s="315"/>
      <c r="H2761" s="153"/>
      <c r="I2761" s="12"/>
      <c r="J2761" s="12"/>
      <c r="K2761" s="12"/>
      <c r="L2761" s="379"/>
      <c r="M2761" s="380"/>
      <c r="N2761" s="380"/>
      <c r="O2761" s="12"/>
      <c r="P2761" s="381"/>
      <c r="Q2761" s="12"/>
      <c r="R2761" s="12"/>
      <c r="S2761" s="382"/>
      <c r="T2761" s="383"/>
      <c r="U2761" s="384"/>
      <c r="V2761" s="12"/>
      <c r="W2761" s="12"/>
    </row>
    <row r="2762" spans="1:23" x14ac:dyDescent="0.3">
      <c r="A2762" s="193" t="str">
        <v/>
      </c>
      <c r="B2762" s="378"/>
      <c r="C2762" s="315"/>
      <c r="D2762" s="316"/>
      <c r="E2762" s="315"/>
      <c r="F2762" s="315"/>
      <c r="G2762" s="315"/>
      <c r="H2762" s="153"/>
      <c r="I2762" s="12"/>
      <c r="J2762" s="12"/>
      <c r="K2762" s="12"/>
      <c r="L2762" s="379"/>
      <c r="M2762" s="380"/>
      <c r="N2762" s="380"/>
      <c r="O2762" s="12"/>
      <c r="P2762" s="381"/>
      <c r="Q2762" s="12"/>
      <c r="R2762" s="12"/>
      <c r="S2762" s="382"/>
      <c r="T2762" s="383"/>
      <c r="U2762" s="384"/>
      <c r="V2762" s="12"/>
      <c r="W2762" s="12"/>
    </row>
    <row r="2763" spans="1:23" x14ac:dyDescent="0.3">
      <c r="A2763" s="193" t="str">
        <v/>
      </c>
      <c r="B2763" s="378"/>
      <c r="C2763" s="315"/>
      <c r="D2763" s="316"/>
      <c r="E2763" s="315"/>
      <c r="F2763" s="315"/>
      <c r="G2763" s="315"/>
      <c r="H2763" s="153"/>
      <c r="I2763" s="12"/>
      <c r="J2763" s="12"/>
      <c r="K2763" s="12"/>
      <c r="L2763" s="379"/>
      <c r="M2763" s="380"/>
      <c r="N2763" s="380"/>
      <c r="O2763" s="12"/>
      <c r="P2763" s="381"/>
      <c r="Q2763" s="12"/>
      <c r="R2763" s="12"/>
      <c r="S2763" s="382"/>
      <c r="T2763" s="383"/>
      <c r="U2763" s="384"/>
      <c r="V2763" s="12"/>
      <c r="W2763" s="12"/>
    </row>
    <row r="2764" spans="1:23" x14ac:dyDescent="0.3">
      <c r="A2764" s="193" t="str">
        <v/>
      </c>
      <c r="B2764" s="378"/>
      <c r="C2764" s="315"/>
      <c r="D2764" s="316"/>
      <c r="E2764" s="315"/>
      <c r="F2764" s="315"/>
      <c r="G2764" s="315"/>
      <c r="H2764" s="153"/>
      <c r="I2764" s="12"/>
      <c r="J2764" s="12"/>
      <c r="K2764" s="12"/>
      <c r="L2764" s="379"/>
      <c r="M2764" s="380"/>
      <c r="N2764" s="380"/>
      <c r="O2764" s="12"/>
      <c r="P2764" s="381"/>
      <c r="Q2764" s="12"/>
      <c r="R2764" s="12"/>
      <c r="S2764" s="382"/>
      <c r="T2764" s="383"/>
      <c r="U2764" s="384"/>
      <c r="V2764" s="12"/>
      <c r="W2764" s="12"/>
    </row>
    <row r="2765" spans="1:23" x14ac:dyDescent="0.3">
      <c r="A2765" s="193" t="str">
        <v/>
      </c>
      <c r="B2765" s="378"/>
      <c r="C2765" s="315"/>
      <c r="D2765" s="316"/>
      <c r="E2765" s="315"/>
      <c r="F2765" s="315"/>
      <c r="G2765" s="315"/>
      <c r="H2765" s="153"/>
      <c r="I2765" s="12"/>
      <c r="J2765" s="12"/>
      <c r="K2765" s="12"/>
      <c r="L2765" s="379"/>
      <c r="M2765" s="380"/>
      <c r="N2765" s="380"/>
      <c r="O2765" s="12"/>
      <c r="P2765" s="381"/>
      <c r="Q2765" s="12"/>
      <c r="R2765" s="12"/>
      <c r="S2765" s="382"/>
      <c r="T2765" s="383"/>
      <c r="U2765" s="384"/>
      <c r="V2765" s="12"/>
      <c r="W2765" s="12"/>
    </row>
    <row r="2766" spans="1:23" x14ac:dyDescent="0.3">
      <c r="A2766" s="193" t="str">
        <v/>
      </c>
      <c r="B2766" s="378"/>
      <c r="C2766" s="315"/>
      <c r="D2766" s="316"/>
      <c r="E2766" s="315"/>
      <c r="F2766" s="315"/>
      <c r="G2766" s="315"/>
      <c r="H2766" s="153"/>
      <c r="I2766" s="12"/>
      <c r="J2766" s="12"/>
      <c r="K2766" s="12"/>
      <c r="L2766" s="379"/>
      <c r="M2766" s="380"/>
      <c r="N2766" s="380"/>
      <c r="O2766" s="12"/>
      <c r="P2766" s="381"/>
      <c r="Q2766" s="12"/>
      <c r="R2766" s="12"/>
      <c r="S2766" s="382"/>
      <c r="T2766" s="383"/>
      <c r="U2766" s="384"/>
      <c r="V2766" s="12"/>
      <c r="W2766" s="12"/>
    </row>
    <row r="2767" spans="1:23" x14ac:dyDescent="0.3">
      <c r="A2767" s="193" t="str">
        <v/>
      </c>
      <c r="B2767" s="378"/>
      <c r="C2767" s="315"/>
      <c r="D2767" s="316"/>
      <c r="E2767" s="315"/>
      <c r="F2767" s="315"/>
      <c r="G2767" s="315"/>
      <c r="H2767" s="153"/>
      <c r="I2767" s="12"/>
      <c r="J2767" s="12"/>
      <c r="K2767" s="12"/>
      <c r="L2767" s="379"/>
      <c r="M2767" s="380"/>
      <c r="N2767" s="380"/>
      <c r="O2767" s="12"/>
      <c r="P2767" s="381"/>
      <c r="Q2767" s="12"/>
      <c r="R2767" s="12"/>
      <c r="S2767" s="382"/>
      <c r="T2767" s="383"/>
      <c r="U2767" s="384"/>
      <c r="V2767" s="12"/>
      <c r="W2767" s="12"/>
    </row>
    <row r="2768" spans="1:23" x14ac:dyDescent="0.3">
      <c r="A2768" s="193" t="str">
        <v/>
      </c>
      <c r="B2768" s="378"/>
      <c r="C2768" s="315"/>
      <c r="D2768" s="316"/>
      <c r="E2768" s="315"/>
      <c r="F2768" s="315"/>
      <c r="G2768" s="315"/>
      <c r="H2768" s="153"/>
      <c r="I2768" s="12"/>
      <c r="J2768" s="12"/>
      <c r="K2768" s="12"/>
      <c r="L2768" s="379"/>
      <c r="M2768" s="380"/>
      <c r="N2768" s="380"/>
      <c r="O2768" s="12"/>
      <c r="P2768" s="381"/>
      <c r="Q2768" s="12"/>
      <c r="R2768" s="12"/>
      <c r="S2768" s="382"/>
      <c r="T2768" s="383"/>
      <c r="U2768" s="384"/>
      <c r="V2768" s="12"/>
      <c r="W2768" s="12"/>
    </row>
    <row r="2769" spans="1:23" x14ac:dyDescent="0.3">
      <c r="A2769" s="193" t="str">
        <v/>
      </c>
      <c r="B2769" s="378"/>
      <c r="C2769" s="315"/>
      <c r="D2769" s="316"/>
      <c r="E2769" s="315"/>
      <c r="F2769" s="315"/>
      <c r="G2769" s="315"/>
      <c r="H2769" s="153"/>
      <c r="I2769" s="12"/>
      <c r="J2769" s="12"/>
      <c r="K2769" s="12"/>
      <c r="L2769" s="379"/>
      <c r="M2769" s="380"/>
      <c r="N2769" s="380"/>
      <c r="O2769" s="12"/>
      <c r="P2769" s="381"/>
      <c r="Q2769" s="12"/>
      <c r="R2769" s="12"/>
      <c r="S2769" s="382"/>
      <c r="T2769" s="383"/>
      <c r="U2769" s="384"/>
      <c r="V2769" s="12"/>
      <c r="W2769" s="12"/>
    </row>
    <row r="2770" spans="1:23" x14ac:dyDescent="0.3">
      <c r="A2770" s="193" t="str">
        <v/>
      </c>
      <c r="B2770" s="378"/>
      <c r="C2770" s="315"/>
      <c r="D2770" s="316"/>
      <c r="E2770" s="315"/>
      <c r="F2770" s="315"/>
      <c r="G2770" s="315"/>
      <c r="H2770" s="153"/>
      <c r="I2770" s="12"/>
      <c r="J2770" s="12"/>
      <c r="K2770" s="12"/>
      <c r="L2770" s="379"/>
      <c r="M2770" s="380"/>
      <c r="N2770" s="380"/>
      <c r="O2770" s="12"/>
      <c r="P2770" s="381"/>
      <c r="Q2770" s="12"/>
      <c r="R2770" s="12"/>
      <c r="S2770" s="382"/>
      <c r="T2770" s="383"/>
      <c r="U2770" s="384"/>
      <c r="V2770" s="12"/>
      <c r="W2770" s="12"/>
    </row>
    <row r="2771" spans="1:23" x14ac:dyDescent="0.3">
      <c r="A2771" s="193" t="str">
        <v/>
      </c>
      <c r="B2771" s="378"/>
      <c r="C2771" s="315"/>
      <c r="D2771" s="316"/>
      <c r="E2771" s="315"/>
      <c r="F2771" s="315"/>
      <c r="G2771" s="315"/>
      <c r="H2771" s="153"/>
      <c r="I2771" s="12"/>
      <c r="J2771" s="12"/>
      <c r="K2771" s="12"/>
      <c r="L2771" s="379"/>
      <c r="M2771" s="380"/>
      <c r="N2771" s="380"/>
      <c r="O2771" s="12"/>
      <c r="P2771" s="381"/>
      <c r="Q2771" s="12"/>
      <c r="R2771" s="12"/>
      <c r="S2771" s="382"/>
      <c r="T2771" s="383"/>
      <c r="U2771" s="384"/>
      <c r="V2771" s="12"/>
      <c r="W2771" s="12"/>
    </row>
    <row r="2772" spans="1:23" x14ac:dyDescent="0.3">
      <c r="A2772" s="193" t="str">
        <v/>
      </c>
      <c r="B2772" s="378"/>
      <c r="C2772" s="315"/>
      <c r="D2772" s="316"/>
      <c r="E2772" s="315"/>
      <c r="F2772" s="315"/>
      <c r="G2772" s="315"/>
      <c r="H2772" s="153"/>
      <c r="I2772" s="12"/>
      <c r="J2772" s="12"/>
      <c r="K2772" s="12"/>
      <c r="L2772" s="379"/>
      <c r="M2772" s="380"/>
      <c r="N2772" s="380"/>
      <c r="O2772" s="12"/>
      <c r="P2772" s="381"/>
      <c r="Q2772" s="12"/>
      <c r="R2772" s="12"/>
      <c r="S2772" s="382"/>
      <c r="T2772" s="383"/>
      <c r="U2772" s="384"/>
      <c r="V2772" s="12"/>
      <c r="W2772" s="12"/>
    </row>
    <row r="2773" spans="1:23" x14ac:dyDescent="0.3">
      <c r="A2773" s="193" t="str">
        <v/>
      </c>
      <c r="B2773" s="378"/>
      <c r="C2773" s="315"/>
      <c r="D2773" s="316"/>
      <c r="E2773" s="315"/>
      <c r="F2773" s="315"/>
      <c r="G2773" s="315"/>
      <c r="H2773" s="153"/>
      <c r="I2773" s="12"/>
      <c r="J2773" s="12"/>
      <c r="K2773" s="12"/>
      <c r="L2773" s="379"/>
      <c r="M2773" s="380"/>
      <c r="N2773" s="380"/>
      <c r="O2773" s="12"/>
      <c r="P2773" s="381"/>
      <c r="Q2773" s="12"/>
      <c r="R2773" s="12"/>
      <c r="S2773" s="382"/>
      <c r="T2773" s="383"/>
      <c r="U2773" s="384"/>
      <c r="V2773" s="12"/>
      <c r="W2773" s="12"/>
    </row>
    <row r="2774" spans="1:23" x14ac:dyDescent="0.3">
      <c r="A2774" s="193" t="str">
        <v/>
      </c>
      <c r="B2774" s="378"/>
      <c r="C2774" s="315"/>
      <c r="D2774" s="316"/>
      <c r="E2774" s="315"/>
      <c r="F2774" s="315"/>
      <c r="G2774" s="315"/>
      <c r="H2774" s="153"/>
      <c r="I2774" s="12"/>
      <c r="J2774" s="12"/>
      <c r="K2774" s="12"/>
      <c r="L2774" s="379"/>
      <c r="M2774" s="380"/>
      <c r="N2774" s="380"/>
      <c r="O2774" s="12"/>
      <c r="P2774" s="381"/>
      <c r="Q2774" s="12"/>
      <c r="R2774" s="12"/>
      <c r="S2774" s="382"/>
      <c r="T2774" s="383"/>
      <c r="U2774" s="384"/>
      <c r="V2774" s="12"/>
      <c r="W2774" s="12"/>
    </row>
    <row r="2775" spans="1:23" x14ac:dyDescent="0.3">
      <c r="A2775" s="193" t="str">
        <v/>
      </c>
      <c r="B2775" s="378"/>
      <c r="C2775" s="315"/>
      <c r="D2775" s="316"/>
      <c r="E2775" s="315"/>
      <c r="F2775" s="315"/>
      <c r="G2775" s="315"/>
      <c r="H2775" s="153"/>
      <c r="I2775" s="12"/>
      <c r="J2775" s="12"/>
      <c r="K2775" s="12"/>
      <c r="L2775" s="379"/>
      <c r="M2775" s="380"/>
      <c r="N2775" s="380"/>
      <c r="O2775" s="12"/>
      <c r="P2775" s="381"/>
      <c r="Q2775" s="12"/>
      <c r="R2775" s="12"/>
      <c r="S2775" s="382"/>
      <c r="T2775" s="383"/>
      <c r="U2775" s="384"/>
      <c r="V2775" s="12"/>
      <c r="W2775" s="12"/>
    </row>
    <row r="2776" spans="1:23" x14ac:dyDescent="0.3">
      <c r="A2776" s="193" t="str">
        <v/>
      </c>
      <c r="B2776" s="378"/>
      <c r="C2776" s="315"/>
      <c r="D2776" s="316"/>
      <c r="E2776" s="315"/>
      <c r="F2776" s="315"/>
      <c r="G2776" s="315"/>
      <c r="H2776" s="153"/>
      <c r="I2776" s="12"/>
      <c r="J2776" s="12"/>
      <c r="K2776" s="12"/>
      <c r="L2776" s="379"/>
      <c r="M2776" s="380"/>
      <c r="N2776" s="380"/>
      <c r="O2776" s="12"/>
      <c r="P2776" s="381"/>
      <c r="Q2776" s="12"/>
      <c r="R2776" s="12"/>
      <c r="S2776" s="382"/>
      <c r="T2776" s="383"/>
      <c r="U2776" s="384"/>
      <c r="V2776" s="12"/>
      <c r="W2776" s="12"/>
    </row>
    <row r="2777" spans="1:23" x14ac:dyDescent="0.3">
      <c r="A2777" s="193" t="str">
        <v/>
      </c>
      <c r="B2777" s="378"/>
      <c r="C2777" s="315"/>
      <c r="D2777" s="316"/>
      <c r="E2777" s="315"/>
      <c r="F2777" s="315"/>
      <c r="G2777" s="315"/>
      <c r="H2777" s="153"/>
      <c r="I2777" s="12"/>
      <c r="J2777" s="12"/>
      <c r="K2777" s="12"/>
      <c r="L2777" s="379"/>
      <c r="M2777" s="380"/>
      <c r="N2777" s="380"/>
      <c r="O2777" s="12"/>
      <c r="P2777" s="381"/>
      <c r="Q2777" s="12"/>
      <c r="R2777" s="12"/>
      <c r="S2777" s="382"/>
      <c r="T2777" s="383"/>
      <c r="U2777" s="384"/>
      <c r="V2777" s="12"/>
      <c r="W2777" s="12"/>
    </row>
    <row r="2778" spans="1:23" x14ac:dyDescent="0.3">
      <c r="A2778" s="193" t="str">
        <v/>
      </c>
      <c r="B2778" s="378"/>
      <c r="C2778" s="315"/>
      <c r="D2778" s="316"/>
      <c r="E2778" s="315"/>
      <c r="F2778" s="315"/>
      <c r="G2778" s="315"/>
      <c r="H2778" s="153"/>
      <c r="I2778" s="12"/>
      <c r="J2778" s="12"/>
      <c r="K2778" s="12"/>
      <c r="L2778" s="379"/>
      <c r="M2778" s="380"/>
      <c r="N2778" s="380"/>
      <c r="O2778" s="12"/>
      <c r="P2778" s="381"/>
      <c r="Q2778" s="12"/>
      <c r="R2778" s="12"/>
      <c r="S2778" s="382"/>
      <c r="T2778" s="383"/>
      <c r="U2778" s="384"/>
      <c r="V2778" s="12"/>
      <c r="W2778" s="12"/>
    </row>
    <row r="2779" spans="1:23" x14ac:dyDescent="0.3">
      <c r="A2779" s="193" t="str">
        <v/>
      </c>
      <c r="B2779" s="378"/>
      <c r="C2779" s="315"/>
      <c r="D2779" s="316"/>
      <c r="E2779" s="315"/>
      <c r="F2779" s="315"/>
      <c r="G2779" s="315"/>
      <c r="H2779" s="153"/>
      <c r="I2779" s="12"/>
      <c r="J2779" s="12"/>
      <c r="K2779" s="12"/>
      <c r="L2779" s="379"/>
      <c r="M2779" s="380"/>
      <c r="N2779" s="380"/>
      <c r="O2779" s="12"/>
      <c r="P2779" s="381"/>
      <c r="Q2779" s="12"/>
      <c r="R2779" s="12"/>
      <c r="S2779" s="382"/>
      <c r="T2779" s="383"/>
      <c r="U2779" s="384"/>
      <c r="V2779" s="12"/>
      <c r="W2779" s="12"/>
    </row>
    <row r="2780" spans="1:23" x14ac:dyDescent="0.3">
      <c r="A2780" s="193" t="str">
        <v/>
      </c>
      <c r="B2780" s="378"/>
      <c r="C2780" s="315"/>
      <c r="D2780" s="316"/>
      <c r="E2780" s="315"/>
      <c r="F2780" s="315"/>
      <c r="G2780" s="315"/>
      <c r="H2780" s="153"/>
      <c r="I2780" s="12"/>
      <c r="J2780" s="12"/>
      <c r="K2780" s="12"/>
      <c r="L2780" s="379"/>
      <c r="M2780" s="380"/>
      <c r="N2780" s="380"/>
      <c r="O2780" s="12"/>
      <c r="P2780" s="381"/>
      <c r="Q2780" s="12"/>
      <c r="R2780" s="12"/>
      <c r="S2780" s="382"/>
      <c r="T2780" s="383"/>
      <c r="U2780" s="384"/>
      <c r="V2780" s="12"/>
      <c r="W2780" s="12"/>
    </row>
    <row r="2781" spans="1:23" x14ac:dyDescent="0.3">
      <c r="A2781" s="193" t="str">
        <v/>
      </c>
      <c r="B2781" s="378"/>
      <c r="C2781" s="315"/>
      <c r="D2781" s="316"/>
      <c r="E2781" s="315"/>
      <c r="F2781" s="315"/>
      <c r="G2781" s="315"/>
      <c r="H2781" s="153"/>
      <c r="I2781" s="12"/>
      <c r="J2781" s="12"/>
      <c r="K2781" s="12"/>
      <c r="L2781" s="379"/>
      <c r="M2781" s="380"/>
      <c r="N2781" s="380"/>
      <c r="O2781" s="12"/>
      <c r="P2781" s="381"/>
      <c r="Q2781" s="12"/>
      <c r="R2781" s="12"/>
      <c r="S2781" s="382"/>
      <c r="T2781" s="383"/>
      <c r="U2781" s="384"/>
      <c r="V2781" s="12"/>
      <c r="W2781" s="12"/>
    </row>
    <row r="2782" spans="1:23" x14ac:dyDescent="0.3">
      <c r="A2782" s="193" t="str">
        <v/>
      </c>
      <c r="B2782" s="378"/>
      <c r="C2782" s="315"/>
      <c r="D2782" s="316"/>
      <c r="E2782" s="315"/>
      <c r="F2782" s="315"/>
      <c r="G2782" s="315"/>
      <c r="H2782" s="153"/>
      <c r="I2782" s="12"/>
      <c r="J2782" s="12"/>
      <c r="K2782" s="12"/>
      <c r="L2782" s="379"/>
      <c r="M2782" s="380"/>
      <c r="N2782" s="380"/>
      <c r="O2782" s="12"/>
      <c r="P2782" s="381"/>
      <c r="Q2782" s="12"/>
      <c r="R2782" s="12"/>
      <c r="S2782" s="382"/>
      <c r="T2782" s="383"/>
      <c r="U2782" s="384"/>
      <c r="V2782" s="12"/>
      <c r="W2782" s="12"/>
    </row>
    <row r="2783" spans="1:23" x14ac:dyDescent="0.3">
      <c r="A2783" s="193" t="str">
        <v/>
      </c>
      <c r="B2783" s="378"/>
      <c r="C2783" s="315"/>
      <c r="D2783" s="316"/>
      <c r="E2783" s="315"/>
      <c r="F2783" s="315"/>
      <c r="G2783" s="315"/>
      <c r="H2783" s="153"/>
      <c r="I2783" s="12"/>
      <c r="J2783" s="12"/>
      <c r="K2783" s="12"/>
      <c r="L2783" s="379"/>
      <c r="M2783" s="380"/>
      <c r="N2783" s="380"/>
      <c r="O2783" s="12"/>
      <c r="P2783" s="381"/>
      <c r="Q2783" s="12"/>
      <c r="R2783" s="12"/>
      <c r="S2783" s="382"/>
      <c r="T2783" s="383"/>
      <c r="U2783" s="384"/>
      <c r="V2783" s="12"/>
      <c r="W2783" s="12"/>
    </row>
    <row r="2784" spans="1:23" x14ac:dyDescent="0.3">
      <c r="A2784" s="193" t="str">
        <v/>
      </c>
      <c r="B2784" s="378"/>
      <c r="C2784" s="315"/>
      <c r="D2784" s="316"/>
      <c r="E2784" s="315"/>
      <c r="F2784" s="315"/>
      <c r="G2784" s="315"/>
      <c r="H2784" s="153"/>
      <c r="I2784" s="12"/>
      <c r="J2784" s="12"/>
      <c r="K2784" s="12"/>
      <c r="L2784" s="379"/>
      <c r="M2784" s="380"/>
      <c r="N2784" s="380"/>
      <c r="O2784" s="12"/>
      <c r="P2784" s="381"/>
      <c r="Q2784" s="12"/>
      <c r="R2784" s="12"/>
      <c r="S2784" s="382"/>
      <c r="T2784" s="383"/>
      <c r="U2784" s="384"/>
      <c r="V2784" s="12"/>
      <c r="W2784" s="12"/>
    </row>
    <row r="2785" spans="1:23" x14ac:dyDescent="0.3">
      <c r="A2785" s="193" t="str">
        <v/>
      </c>
      <c r="B2785" s="378"/>
      <c r="C2785" s="315"/>
      <c r="D2785" s="316"/>
      <c r="E2785" s="315"/>
      <c r="F2785" s="315"/>
      <c r="G2785" s="315"/>
      <c r="H2785" s="153"/>
      <c r="I2785" s="12"/>
      <c r="J2785" s="12"/>
      <c r="K2785" s="12"/>
      <c r="L2785" s="379"/>
      <c r="M2785" s="380"/>
      <c r="N2785" s="380"/>
      <c r="O2785" s="12"/>
      <c r="P2785" s="381"/>
      <c r="Q2785" s="12"/>
      <c r="R2785" s="12"/>
      <c r="S2785" s="382"/>
      <c r="T2785" s="383"/>
      <c r="U2785" s="384"/>
      <c r="V2785" s="12"/>
      <c r="W2785" s="12"/>
    </row>
    <row r="2786" spans="1:23" x14ac:dyDescent="0.3">
      <c r="A2786" s="193" t="str">
        <v/>
      </c>
      <c r="B2786" s="378"/>
      <c r="C2786" s="315"/>
      <c r="D2786" s="316"/>
      <c r="E2786" s="315"/>
      <c r="F2786" s="315"/>
      <c r="G2786" s="315"/>
      <c r="H2786" s="153"/>
      <c r="I2786" s="12"/>
      <c r="J2786" s="12"/>
      <c r="K2786" s="12"/>
      <c r="L2786" s="379"/>
      <c r="M2786" s="380"/>
      <c r="N2786" s="380"/>
      <c r="O2786" s="12"/>
      <c r="P2786" s="381"/>
      <c r="Q2786" s="12"/>
      <c r="R2786" s="12"/>
      <c r="S2786" s="382"/>
      <c r="T2786" s="383"/>
      <c r="U2786" s="384"/>
      <c r="V2786" s="12"/>
      <c r="W2786" s="12"/>
    </row>
    <row r="2787" spans="1:23" x14ac:dyDescent="0.3">
      <c r="A2787" s="193" t="str">
        <v/>
      </c>
      <c r="B2787" s="378"/>
      <c r="C2787" s="315"/>
      <c r="D2787" s="316"/>
      <c r="E2787" s="315"/>
      <c r="F2787" s="315"/>
      <c r="G2787" s="315"/>
      <c r="H2787" s="153"/>
      <c r="I2787" s="12"/>
      <c r="J2787" s="12"/>
      <c r="K2787" s="12"/>
      <c r="L2787" s="379"/>
      <c r="M2787" s="380"/>
      <c r="N2787" s="380"/>
      <c r="O2787" s="12"/>
      <c r="P2787" s="381"/>
      <c r="Q2787" s="12"/>
      <c r="R2787" s="12"/>
      <c r="S2787" s="382"/>
      <c r="T2787" s="383"/>
      <c r="U2787" s="384"/>
      <c r="V2787" s="12"/>
      <c r="W2787" s="12"/>
    </row>
    <row r="2788" spans="1:23" x14ac:dyDescent="0.3">
      <c r="A2788" s="193" t="str">
        <v/>
      </c>
      <c r="B2788" s="378"/>
      <c r="C2788" s="315"/>
      <c r="D2788" s="316"/>
      <c r="E2788" s="315"/>
      <c r="F2788" s="315"/>
      <c r="G2788" s="315"/>
      <c r="H2788" s="153"/>
      <c r="I2788" s="12"/>
      <c r="J2788" s="12"/>
      <c r="K2788" s="12"/>
      <c r="L2788" s="379"/>
      <c r="M2788" s="380"/>
      <c r="N2788" s="380"/>
      <c r="O2788" s="12"/>
      <c r="P2788" s="381"/>
      <c r="Q2788" s="12"/>
      <c r="R2788" s="12"/>
      <c r="S2788" s="382"/>
      <c r="T2788" s="383"/>
      <c r="U2788" s="384"/>
      <c r="V2788" s="12"/>
      <c r="W2788" s="12"/>
    </row>
    <row r="2789" spans="1:23" x14ac:dyDescent="0.3">
      <c r="A2789" s="193" t="str">
        <v/>
      </c>
      <c r="B2789" s="378"/>
      <c r="C2789" s="315"/>
      <c r="D2789" s="316"/>
      <c r="E2789" s="315"/>
      <c r="F2789" s="315"/>
      <c r="G2789" s="315"/>
      <c r="H2789" s="153"/>
      <c r="I2789" s="12"/>
      <c r="J2789" s="12"/>
      <c r="K2789" s="12"/>
      <c r="L2789" s="379"/>
      <c r="M2789" s="380"/>
      <c r="N2789" s="380"/>
      <c r="O2789" s="12"/>
      <c r="P2789" s="381"/>
      <c r="Q2789" s="12"/>
      <c r="R2789" s="12"/>
      <c r="S2789" s="382"/>
      <c r="T2789" s="383"/>
      <c r="U2789" s="384"/>
      <c r="V2789" s="12"/>
      <c r="W2789" s="12"/>
    </row>
    <row r="2790" spans="1:23" x14ac:dyDescent="0.3">
      <c r="A2790" s="193" t="str">
        <v/>
      </c>
      <c r="B2790" s="378"/>
      <c r="C2790" s="315"/>
      <c r="D2790" s="316"/>
      <c r="E2790" s="315"/>
      <c r="F2790" s="315"/>
      <c r="G2790" s="315"/>
      <c r="H2790" s="153"/>
      <c r="I2790" s="12"/>
      <c r="J2790" s="12"/>
      <c r="K2790" s="12"/>
      <c r="L2790" s="379"/>
      <c r="M2790" s="380"/>
      <c r="N2790" s="380"/>
      <c r="O2790" s="12"/>
      <c r="P2790" s="381"/>
      <c r="Q2790" s="12"/>
      <c r="R2790" s="12"/>
      <c r="S2790" s="382"/>
      <c r="T2790" s="383"/>
      <c r="U2790" s="384"/>
      <c r="V2790" s="12"/>
      <c r="W2790" s="12"/>
    </row>
    <row r="2791" spans="1:23" x14ac:dyDescent="0.3">
      <c r="A2791" s="193" t="str">
        <v/>
      </c>
      <c r="B2791" s="378"/>
      <c r="C2791" s="315"/>
      <c r="D2791" s="316"/>
      <c r="E2791" s="315"/>
      <c r="F2791" s="315"/>
      <c r="G2791" s="315"/>
      <c r="H2791" s="153"/>
      <c r="I2791" s="12"/>
      <c r="J2791" s="12"/>
      <c r="K2791" s="12"/>
      <c r="L2791" s="379"/>
      <c r="M2791" s="380"/>
      <c r="N2791" s="380"/>
      <c r="O2791" s="12"/>
      <c r="P2791" s="381"/>
      <c r="Q2791" s="12"/>
      <c r="R2791" s="12"/>
      <c r="S2791" s="382"/>
      <c r="T2791" s="383"/>
      <c r="U2791" s="384"/>
      <c r="V2791" s="12"/>
      <c r="W2791" s="12"/>
    </row>
    <row r="2792" spans="1:23" x14ac:dyDescent="0.3">
      <c r="A2792" s="193" t="str">
        <v/>
      </c>
      <c r="B2792" s="378"/>
      <c r="C2792" s="315"/>
      <c r="D2792" s="316"/>
      <c r="E2792" s="315"/>
      <c r="F2792" s="315"/>
      <c r="G2792" s="315"/>
      <c r="H2792" s="153"/>
      <c r="I2792" s="12"/>
      <c r="J2792" s="12"/>
      <c r="K2792" s="12"/>
      <c r="L2792" s="379"/>
      <c r="M2792" s="380"/>
      <c r="N2792" s="380"/>
      <c r="O2792" s="12"/>
      <c r="P2792" s="381"/>
      <c r="Q2792" s="12"/>
      <c r="R2792" s="12"/>
      <c r="S2792" s="382"/>
      <c r="T2792" s="383"/>
      <c r="U2792" s="384"/>
      <c r="V2792" s="12"/>
      <c r="W2792" s="12"/>
    </row>
    <row r="2793" spans="1:23" x14ac:dyDescent="0.3">
      <c r="A2793" s="193" t="str">
        <v/>
      </c>
      <c r="B2793" s="378"/>
      <c r="C2793" s="315"/>
      <c r="D2793" s="316"/>
      <c r="E2793" s="315"/>
      <c r="F2793" s="315"/>
      <c r="G2793" s="315"/>
      <c r="H2793" s="153"/>
      <c r="I2793" s="12"/>
      <c r="J2793" s="12"/>
      <c r="K2793" s="12"/>
      <c r="L2793" s="379"/>
      <c r="M2793" s="380"/>
      <c r="N2793" s="380"/>
      <c r="O2793" s="12"/>
      <c r="P2793" s="381"/>
      <c r="Q2793" s="12"/>
      <c r="R2793" s="12"/>
      <c r="S2793" s="382"/>
      <c r="T2793" s="383"/>
      <c r="U2793" s="384"/>
      <c r="V2793" s="12"/>
      <c r="W2793" s="12"/>
    </row>
    <row r="2794" spans="1:23" x14ac:dyDescent="0.3">
      <c r="A2794" s="193" t="str">
        <v/>
      </c>
      <c r="B2794" s="378"/>
      <c r="C2794" s="315"/>
      <c r="D2794" s="316"/>
      <c r="E2794" s="315"/>
      <c r="F2794" s="315"/>
      <c r="G2794" s="315"/>
      <c r="H2794" s="153"/>
      <c r="I2794" s="12"/>
      <c r="J2794" s="12"/>
      <c r="K2794" s="12"/>
      <c r="L2794" s="379"/>
      <c r="M2794" s="380"/>
      <c r="N2794" s="380"/>
      <c r="O2794" s="12"/>
      <c r="P2794" s="381"/>
      <c r="Q2794" s="12"/>
      <c r="R2794" s="12"/>
      <c r="S2794" s="382"/>
      <c r="T2794" s="383"/>
      <c r="U2794" s="384"/>
      <c r="V2794" s="12"/>
      <c r="W2794" s="12"/>
    </row>
    <row r="2795" spans="1:23" x14ac:dyDescent="0.3">
      <c r="A2795" s="193" t="str">
        <v/>
      </c>
      <c r="B2795" s="378"/>
      <c r="C2795" s="315"/>
      <c r="D2795" s="316"/>
      <c r="E2795" s="315"/>
      <c r="F2795" s="315"/>
      <c r="G2795" s="315"/>
      <c r="H2795" s="153"/>
      <c r="I2795" s="12"/>
      <c r="J2795" s="12"/>
      <c r="K2795" s="12"/>
      <c r="L2795" s="379"/>
      <c r="M2795" s="380"/>
      <c r="N2795" s="380"/>
      <c r="O2795" s="12"/>
      <c r="P2795" s="381"/>
      <c r="Q2795" s="12"/>
      <c r="R2795" s="12"/>
      <c r="S2795" s="382"/>
      <c r="T2795" s="383"/>
      <c r="U2795" s="384"/>
      <c r="V2795" s="12"/>
      <c r="W2795" s="12"/>
    </row>
    <row r="2796" spans="1:23" x14ac:dyDescent="0.3">
      <c r="A2796" s="193" t="str">
        <v/>
      </c>
      <c r="B2796" s="378"/>
      <c r="C2796" s="315"/>
      <c r="D2796" s="316"/>
      <c r="E2796" s="315"/>
      <c r="F2796" s="315"/>
      <c r="G2796" s="315"/>
      <c r="H2796" s="153"/>
      <c r="I2796" s="12"/>
      <c r="J2796" s="12"/>
      <c r="K2796" s="12"/>
      <c r="L2796" s="379"/>
      <c r="M2796" s="380"/>
      <c r="N2796" s="380"/>
      <c r="O2796" s="12"/>
      <c r="P2796" s="381"/>
      <c r="Q2796" s="12"/>
      <c r="R2796" s="12"/>
      <c r="S2796" s="382"/>
      <c r="T2796" s="383"/>
      <c r="U2796" s="384"/>
      <c r="V2796" s="12"/>
      <c r="W2796" s="12"/>
    </row>
    <row r="2797" spans="1:23" x14ac:dyDescent="0.3">
      <c r="A2797" s="193" t="str">
        <v/>
      </c>
      <c r="B2797" s="378"/>
      <c r="C2797" s="315"/>
      <c r="D2797" s="316"/>
      <c r="E2797" s="315"/>
      <c r="F2797" s="315"/>
      <c r="G2797" s="315"/>
      <c r="H2797" s="153"/>
      <c r="I2797" s="12"/>
      <c r="J2797" s="12"/>
      <c r="K2797" s="12"/>
      <c r="L2797" s="379"/>
      <c r="M2797" s="380"/>
      <c r="N2797" s="380"/>
      <c r="O2797" s="12"/>
      <c r="P2797" s="381"/>
      <c r="Q2797" s="12"/>
      <c r="R2797" s="12"/>
      <c r="S2797" s="382"/>
      <c r="T2797" s="383"/>
      <c r="U2797" s="384"/>
      <c r="V2797" s="12"/>
      <c r="W2797" s="12"/>
    </row>
    <row r="2798" spans="1:23" x14ac:dyDescent="0.3">
      <c r="A2798" s="193" t="str">
        <v/>
      </c>
      <c r="B2798" s="378"/>
      <c r="C2798" s="315"/>
      <c r="D2798" s="316"/>
      <c r="E2798" s="315"/>
      <c r="F2798" s="315"/>
      <c r="G2798" s="315"/>
      <c r="H2798" s="153"/>
      <c r="I2798" s="12"/>
      <c r="J2798" s="12"/>
      <c r="K2798" s="12"/>
      <c r="L2798" s="379"/>
      <c r="M2798" s="380"/>
      <c r="N2798" s="380"/>
      <c r="O2798" s="12"/>
      <c r="P2798" s="381"/>
      <c r="Q2798" s="12"/>
      <c r="R2798" s="12"/>
      <c r="S2798" s="382"/>
      <c r="T2798" s="383"/>
      <c r="U2798" s="384"/>
      <c r="V2798" s="12"/>
      <c r="W2798" s="12"/>
    </row>
    <row r="2799" spans="1:23" x14ac:dyDescent="0.3">
      <c r="A2799" s="193" t="str">
        <v/>
      </c>
      <c r="B2799" s="378"/>
      <c r="C2799" s="315"/>
      <c r="D2799" s="316"/>
      <c r="E2799" s="315"/>
      <c r="F2799" s="315"/>
      <c r="G2799" s="315"/>
      <c r="H2799" s="153"/>
      <c r="I2799" s="12"/>
      <c r="J2799" s="12"/>
      <c r="K2799" s="12"/>
      <c r="L2799" s="379"/>
      <c r="M2799" s="380"/>
      <c r="N2799" s="380"/>
      <c r="O2799" s="12"/>
      <c r="P2799" s="381"/>
      <c r="Q2799" s="12"/>
      <c r="R2799" s="12"/>
      <c r="S2799" s="382"/>
      <c r="T2799" s="383"/>
      <c r="U2799" s="384"/>
      <c r="V2799" s="12"/>
      <c r="W2799" s="12"/>
    </row>
    <row r="2800" spans="1:23" x14ac:dyDescent="0.3">
      <c r="A2800" s="193" t="str">
        <v/>
      </c>
      <c r="B2800" s="378"/>
      <c r="C2800" s="315"/>
      <c r="D2800" s="316"/>
      <c r="E2800" s="315"/>
      <c r="F2800" s="315"/>
      <c r="G2800" s="315"/>
      <c r="H2800" s="153"/>
      <c r="I2800" s="12"/>
      <c r="J2800" s="12"/>
      <c r="K2800" s="12"/>
      <c r="L2800" s="379"/>
      <c r="M2800" s="380"/>
      <c r="N2800" s="380"/>
      <c r="O2800" s="12"/>
      <c r="P2800" s="381"/>
      <c r="Q2800" s="12"/>
      <c r="R2800" s="12"/>
      <c r="S2800" s="382"/>
      <c r="T2800" s="383"/>
      <c r="U2800" s="384"/>
      <c r="V2800" s="12"/>
      <c r="W2800" s="12"/>
    </row>
    <row r="2801" spans="1:23" x14ac:dyDescent="0.3">
      <c r="A2801" s="193" t="str">
        <v/>
      </c>
      <c r="B2801" s="378"/>
      <c r="C2801" s="315"/>
      <c r="D2801" s="316"/>
      <c r="E2801" s="315"/>
      <c r="F2801" s="315"/>
      <c r="G2801" s="315"/>
      <c r="H2801" s="153"/>
      <c r="I2801" s="12"/>
      <c r="J2801" s="12"/>
      <c r="K2801" s="12"/>
      <c r="L2801" s="379"/>
      <c r="M2801" s="380"/>
      <c r="N2801" s="380"/>
      <c r="O2801" s="12"/>
      <c r="P2801" s="381"/>
      <c r="Q2801" s="12"/>
      <c r="R2801" s="12"/>
      <c r="S2801" s="382"/>
      <c r="T2801" s="383"/>
      <c r="U2801" s="384"/>
      <c r="V2801" s="12"/>
      <c r="W2801" s="12"/>
    </row>
    <row r="2802" spans="1:23" x14ac:dyDescent="0.3">
      <c r="A2802" s="193" t="str">
        <v/>
      </c>
      <c r="B2802" s="378"/>
      <c r="C2802" s="315"/>
      <c r="D2802" s="316"/>
      <c r="E2802" s="315"/>
      <c r="F2802" s="315"/>
      <c r="G2802" s="315"/>
      <c r="H2802" s="153"/>
      <c r="I2802" s="12"/>
      <c r="J2802" s="12"/>
      <c r="K2802" s="12"/>
      <c r="L2802" s="379"/>
      <c r="M2802" s="380"/>
      <c r="N2802" s="380"/>
      <c r="O2802" s="12"/>
      <c r="P2802" s="381"/>
      <c r="Q2802" s="12"/>
      <c r="R2802" s="12"/>
      <c r="S2802" s="382"/>
      <c r="T2802" s="383"/>
      <c r="U2802" s="384"/>
      <c r="V2802" s="12"/>
      <c r="W2802" s="12"/>
    </row>
    <row r="2803" spans="1:23" x14ac:dyDescent="0.3">
      <c r="A2803" s="193" t="str">
        <v/>
      </c>
      <c r="B2803" s="378"/>
      <c r="C2803" s="315"/>
      <c r="D2803" s="316"/>
      <c r="E2803" s="315"/>
      <c r="F2803" s="315"/>
      <c r="G2803" s="315"/>
      <c r="H2803" s="153"/>
      <c r="I2803" s="12"/>
      <c r="J2803" s="12"/>
      <c r="K2803" s="12"/>
      <c r="L2803" s="379"/>
      <c r="M2803" s="380"/>
      <c r="N2803" s="380"/>
      <c r="O2803" s="12"/>
      <c r="P2803" s="381"/>
      <c r="Q2803" s="12"/>
      <c r="R2803" s="12"/>
      <c r="S2803" s="382"/>
      <c r="T2803" s="383"/>
      <c r="U2803" s="384"/>
      <c r="V2803" s="12"/>
      <c r="W2803" s="12"/>
    </row>
    <row r="2804" spans="1:23" x14ac:dyDescent="0.3">
      <c r="A2804" s="193" t="str">
        <v/>
      </c>
      <c r="B2804" s="378"/>
      <c r="C2804" s="315"/>
      <c r="D2804" s="316"/>
      <c r="E2804" s="315"/>
      <c r="F2804" s="315"/>
      <c r="G2804" s="315"/>
      <c r="H2804" s="153"/>
      <c r="I2804" s="12"/>
      <c r="J2804" s="12"/>
      <c r="K2804" s="12"/>
      <c r="L2804" s="379"/>
      <c r="M2804" s="380"/>
      <c r="N2804" s="380"/>
      <c r="O2804" s="12"/>
      <c r="P2804" s="381"/>
      <c r="Q2804" s="12"/>
      <c r="R2804" s="12"/>
      <c r="S2804" s="382"/>
      <c r="T2804" s="383"/>
      <c r="U2804" s="384"/>
      <c r="V2804" s="12"/>
      <c r="W2804" s="12"/>
    </row>
    <row r="2805" spans="1:23" x14ac:dyDescent="0.3">
      <c r="A2805" s="193" t="str">
        <v/>
      </c>
      <c r="B2805" s="378"/>
      <c r="C2805" s="315"/>
      <c r="D2805" s="316"/>
      <c r="E2805" s="315"/>
      <c r="F2805" s="315"/>
      <c r="G2805" s="315"/>
      <c r="H2805" s="153"/>
      <c r="I2805" s="12"/>
      <c r="J2805" s="12"/>
      <c r="K2805" s="12"/>
      <c r="L2805" s="379"/>
      <c r="M2805" s="380"/>
      <c r="N2805" s="380"/>
      <c r="O2805" s="12"/>
      <c r="P2805" s="381"/>
      <c r="Q2805" s="12"/>
      <c r="R2805" s="12"/>
      <c r="S2805" s="382"/>
      <c r="T2805" s="383"/>
      <c r="U2805" s="384"/>
      <c r="V2805" s="12"/>
      <c r="W2805" s="12"/>
    </row>
    <row r="2806" spans="1:23" x14ac:dyDescent="0.3">
      <c r="A2806" s="193" t="str">
        <v/>
      </c>
      <c r="B2806" s="378"/>
      <c r="C2806" s="315"/>
      <c r="D2806" s="316"/>
      <c r="E2806" s="315"/>
      <c r="F2806" s="315"/>
      <c r="G2806" s="315"/>
      <c r="H2806" s="153"/>
      <c r="I2806" s="12"/>
      <c r="J2806" s="12"/>
      <c r="K2806" s="12"/>
      <c r="L2806" s="379"/>
      <c r="M2806" s="380"/>
      <c r="N2806" s="380"/>
      <c r="O2806" s="12"/>
      <c r="P2806" s="381"/>
      <c r="Q2806" s="12"/>
      <c r="R2806" s="12"/>
      <c r="S2806" s="382"/>
      <c r="T2806" s="383"/>
      <c r="U2806" s="384"/>
      <c r="V2806" s="12"/>
      <c r="W2806" s="12"/>
    </row>
    <row r="2807" spans="1:23" x14ac:dyDescent="0.3">
      <c r="A2807" s="193" t="str">
        <v/>
      </c>
      <c r="B2807" s="378"/>
      <c r="C2807" s="315"/>
      <c r="D2807" s="316"/>
      <c r="E2807" s="315"/>
      <c r="F2807" s="315"/>
      <c r="G2807" s="315"/>
      <c r="H2807" s="153"/>
      <c r="I2807" s="12"/>
      <c r="J2807" s="12"/>
      <c r="K2807" s="12"/>
      <c r="L2807" s="379"/>
      <c r="M2807" s="380"/>
      <c r="N2807" s="380"/>
      <c r="O2807" s="12"/>
      <c r="P2807" s="381"/>
      <c r="Q2807" s="12"/>
      <c r="R2807" s="12"/>
      <c r="S2807" s="382"/>
      <c r="T2807" s="383"/>
      <c r="U2807" s="384"/>
      <c r="V2807" s="12"/>
      <c r="W2807" s="12"/>
    </row>
    <row r="2808" spans="1:23" x14ac:dyDescent="0.3">
      <c r="A2808" s="193" t="str">
        <v/>
      </c>
      <c r="B2808" s="378"/>
      <c r="C2808" s="315"/>
      <c r="D2808" s="316"/>
      <c r="E2808" s="315"/>
      <c r="F2808" s="315"/>
      <c r="G2808" s="315"/>
      <c r="H2808" s="153"/>
      <c r="I2808" s="12"/>
      <c r="J2808" s="12"/>
      <c r="K2808" s="12"/>
      <c r="L2808" s="379"/>
      <c r="M2808" s="380"/>
      <c r="N2808" s="380"/>
      <c r="O2808" s="12"/>
      <c r="P2808" s="381"/>
      <c r="Q2808" s="12"/>
      <c r="R2808" s="12"/>
      <c r="S2808" s="382"/>
      <c r="T2808" s="383"/>
      <c r="U2808" s="384"/>
      <c r="V2808" s="12"/>
      <c r="W2808" s="12"/>
    </row>
    <row r="2809" spans="1:23" x14ac:dyDescent="0.3">
      <c r="A2809" s="193" t="str">
        <v/>
      </c>
      <c r="B2809" s="378"/>
      <c r="C2809" s="315"/>
      <c r="D2809" s="316"/>
      <c r="E2809" s="315"/>
      <c r="F2809" s="315"/>
      <c r="G2809" s="315"/>
      <c r="H2809" s="153"/>
      <c r="I2809" s="12"/>
      <c r="J2809" s="12"/>
      <c r="K2809" s="12"/>
      <c r="L2809" s="379"/>
      <c r="M2809" s="380"/>
      <c r="N2809" s="380"/>
      <c r="O2809" s="12"/>
      <c r="P2809" s="381"/>
      <c r="Q2809" s="12"/>
      <c r="R2809" s="12"/>
      <c r="S2809" s="382"/>
      <c r="T2809" s="383"/>
      <c r="U2809" s="384"/>
      <c r="V2809" s="12"/>
      <c r="W2809" s="12"/>
    </row>
    <row r="2810" spans="1:23" x14ac:dyDescent="0.3">
      <c r="A2810" s="193" t="str">
        <v/>
      </c>
      <c r="B2810" s="378"/>
      <c r="C2810" s="315"/>
      <c r="D2810" s="316"/>
      <c r="E2810" s="315"/>
      <c r="F2810" s="315"/>
      <c r="G2810" s="315"/>
      <c r="H2810" s="153"/>
      <c r="I2810" s="12"/>
      <c r="J2810" s="12"/>
      <c r="K2810" s="12"/>
      <c r="L2810" s="379"/>
      <c r="M2810" s="380"/>
      <c r="N2810" s="380"/>
      <c r="O2810" s="12"/>
      <c r="P2810" s="381"/>
      <c r="Q2810" s="12"/>
      <c r="R2810" s="12"/>
      <c r="S2810" s="382"/>
      <c r="T2810" s="383"/>
      <c r="U2810" s="384"/>
      <c r="V2810" s="12"/>
      <c r="W2810" s="12"/>
    </row>
    <row r="2811" spans="1:23" x14ac:dyDescent="0.3">
      <c r="A2811" s="193" t="str">
        <v/>
      </c>
      <c r="B2811" s="378"/>
      <c r="C2811" s="315"/>
      <c r="D2811" s="316"/>
      <c r="E2811" s="315"/>
      <c r="F2811" s="315"/>
      <c r="G2811" s="315"/>
      <c r="H2811" s="153"/>
      <c r="I2811" s="12"/>
      <c r="J2811" s="12"/>
      <c r="K2811" s="12"/>
      <c r="L2811" s="379"/>
      <c r="M2811" s="380"/>
      <c r="N2811" s="380"/>
      <c r="O2811" s="12"/>
      <c r="P2811" s="381"/>
      <c r="Q2811" s="12"/>
      <c r="R2811" s="12"/>
      <c r="S2811" s="382"/>
      <c r="T2811" s="383"/>
      <c r="U2811" s="384"/>
      <c r="V2811" s="12"/>
      <c r="W2811" s="12"/>
    </row>
    <row r="2812" spans="1:23" x14ac:dyDescent="0.3">
      <c r="A2812" s="193" t="str">
        <v/>
      </c>
      <c r="B2812" s="378"/>
      <c r="C2812" s="315"/>
      <c r="D2812" s="316"/>
      <c r="E2812" s="315"/>
      <c r="F2812" s="315"/>
      <c r="G2812" s="315"/>
      <c r="H2812" s="153"/>
      <c r="I2812" s="12"/>
      <c r="J2812" s="12"/>
      <c r="K2812" s="12"/>
      <c r="L2812" s="379"/>
      <c r="M2812" s="380"/>
      <c r="N2812" s="380"/>
      <c r="O2812" s="12"/>
      <c r="P2812" s="381"/>
      <c r="Q2812" s="12"/>
      <c r="R2812" s="12"/>
      <c r="S2812" s="382"/>
      <c r="T2812" s="383"/>
      <c r="U2812" s="384"/>
      <c r="V2812" s="12"/>
      <c r="W2812" s="12"/>
    </row>
    <row r="2813" spans="1:23" x14ac:dyDescent="0.3">
      <c r="A2813" s="193" t="str">
        <v/>
      </c>
      <c r="B2813" s="378"/>
      <c r="C2813" s="315"/>
      <c r="D2813" s="316"/>
      <c r="E2813" s="315"/>
      <c r="F2813" s="315"/>
      <c r="G2813" s="315"/>
      <c r="H2813" s="153"/>
      <c r="I2813" s="12"/>
      <c r="J2813" s="12"/>
      <c r="K2813" s="12"/>
      <c r="L2813" s="379"/>
      <c r="M2813" s="380"/>
      <c r="N2813" s="380"/>
      <c r="O2813" s="12"/>
      <c r="P2813" s="381"/>
      <c r="Q2813" s="12"/>
      <c r="R2813" s="12"/>
      <c r="S2813" s="382"/>
      <c r="T2813" s="383"/>
      <c r="U2813" s="384"/>
      <c r="V2813" s="12"/>
      <c r="W2813" s="12"/>
    </row>
    <row r="2814" spans="1:23" x14ac:dyDescent="0.3">
      <c r="A2814" s="193" t="str">
        <v/>
      </c>
      <c r="B2814" s="378"/>
      <c r="C2814" s="315"/>
      <c r="D2814" s="316"/>
      <c r="E2814" s="315"/>
      <c r="F2814" s="315"/>
      <c r="G2814" s="315"/>
      <c r="H2814" s="153"/>
      <c r="I2814" s="12"/>
      <c r="J2814" s="12"/>
      <c r="K2814" s="12"/>
      <c r="L2814" s="379"/>
      <c r="M2814" s="380"/>
      <c r="N2814" s="380"/>
      <c r="O2814" s="12"/>
      <c r="P2814" s="381"/>
      <c r="Q2814" s="12"/>
      <c r="R2814" s="12"/>
      <c r="S2814" s="382"/>
      <c r="T2814" s="383"/>
      <c r="U2814" s="384"/>
      <c r="V2814" s="12"/>
      <c r="W2814" s="12"/>
    </row>
    <row r="2815" spans="1:23" x14ac:dyDescent="0.3">
      <c r="A2815" s="193" t="str">
        <v/>
      </c>
      <c r="B2815" s="378"/>
      <c r="C2815" s="315"/>
      <c r="D2815" s="316"/>
      <c r="E2815" s="315"/>
      <c r="F2815" s="315"/>
      <c r="G2815" s="315"/>
      <c r="H2815" s="153"/>
      <c r="I2815" s="12"/>
      <c r="J2815" s="12"/>
      <c r="K2815" s="12"/>
      <c r="L2815" s="379"/>
      <c r="M2815" s="380"/>
      <c r="N2815" s="380"/>
      <c r="O2815" s="12"/>
      <c r="P2815" s="381"/>
      <c r="Q2815" s="12"/>
      <c r="R2815" s="12"/>
      <c r="S2815" s="382"/>
      <c r="T2815" s="383"/>
      <c r="U2815" s="384"/>
      <c r="V2815" s="12"/>
      <c r="W2815" s="12"/>
    </row>
    <row r="2816" spans="1:23" x14ac:dyDescent="0.3">
      <c r="A2816" s="193" t="str">
        <v/>
      </c>
      <c r="B2816" s="378"/>
      <c r="C2816" s="315"/>
      <c r="D2816" s="316"/>
      <c r="E2816" s="315"/>
      <c r="F2816" s="315"/>
      <c r="G2816" s="315"/>
      <c r="H2816" s="153"/>
      <c r="I2816" s="12"/>
      <c r="J2816" s="12"/>
      <c r="K2816" s="12"/>
      <c r="L2816" s="379"/>
      <c r="M2816" s="380"/>
      <c r="N2816" s="380"/>
      <c r="O2816" s="12"/>
      <c r="P2816" s="381"/>
      <c r="Q2816" s="12"/>
      <c r="R2816" s="12"/>
      <c r="S2816" s="382"/>
      <c r="T2816" s="383"/>
      <c r="U2816" s="384"/>
      <c r="V2816" s="12"/>
      <c r="W2816" s="12"/>
    </row>
    <row r="2817" spans="1:23" x14ac:dyDescent="0.3">
      <c r="A2817" s="193" t="str">
        <v/>
      </c>
      <c r="B2817" s="378"/>
      <c r="C2817" s="315"/>
      <c r="D2817" s="316"/>
      <c r="E2817" s="315"/>
      <c r="F2817" s="315"/>
      <c r="G2817" s="315"/>
      <c r="H2817" s="153"/>
      <c r="I2817" s="12"/>
      <c r="J2817" s="12"/>
      <c r="K2817" s="12"/>
      <c r="L2817" s="379"/>
      <c r="M2817" s="380"/>
      <c r="N2817" s="380"/>
      <c r="O2817" s="12"/>
      <c r="P2817" s="381"/>
      <c r="Q2817" s="12"/>
      <c r="R2817" s="12"/>
      <c r="S2817" s="382"/>
      <c r="T2817" s="383"/>
      <c r="U2817" s="384"/>
      <c r="V2817" s="12"/>
      <c r="W2817" s="12"/>
    </row>
    <row r="2818" spans="1:23" x14ac:dyDescent="0.3">
      <c r="A2818" s="193" t="str">
        <v/>
      </c>
      <c r="B2818" s="378"/>
      <c r="C2818" s="315"/>
      <c r="D2818" s="316"/>
      <c r="E2818" s="315"/>
      <c r="F2818" s="315"/>
      <c r="G2818" s="315"/>
      <c r="H2818" s="153"/>
      <c r="I2818" s="12"/>
      <c r="J2818" s="12"/>
      <c r="K2818" s="12"/>
      <c r="L2818" s="379"/>
      <c r="M2818" s="380"/>
      <c r="N2818" s="380"/>
      <c r="O2818" s="12"/>
      <c r="P2818" s="381"/>
      <c r="Q2818" s="12"/>
      <c r="R2818" s="12"/>
      <c r="S2818" s="382"/>
      <c r="T2818" s="383"/>
      <c r="U2818" s="384"/>
      <c r="V2818" s="12"/>
      <c r="W2818" s="12"/>
    </row>
    <row r="2819" spans="1:23" x14ac:dyDescent="0.3">
      <c r="A2819" s="193" t="str">
        <v/>
      </c>
      <c r="B2819" s="378"/>
      <c r="C2819" s="315"/>
      <c r="D2819" s="316"/>
      <c r="E2819" s="315"/>
      <c r="F2819" s="315"/>
      <c r="G2819" s="315"/>
      <c r="H2819" s="153"/>
      <c r="I2819" s="12"/>
      <c r="J2819" s="12"/>
      <c r="K2819" s="12"/>
      <c r="L2819" s="379"/>
      <c r="M2819" s="380"/>
      <c r="N2819" s="380"/>
      <c r="O2819" s="12"/>
      <c r="P2819" s="381"/>
      <c r="Q2819" s="12"/>
      <c r="R2819" s="12"/>
      <c r="S2819" s="382"/>
      <c r="T2819" s="383"/>
      <c r="U2819" s="384"/>
      <c r="V2819" s="12"/>
      <c r="W2819" s="12"/>
    </row>
    <row r="2820" spans="1:23" x14ac:dyDescent="0.3">
      <c r="A2820" s="193" t="str">
        <v/>
      </c>
      <c r="B2820" s="378"/>
      <c r="C2820" s="315"/>
      <c r="D2820" s="316"/>
      <c r="E2820" s="315"/>
      <c r="F2820" s="315"/>
      <c r="G2820" s="315"/>
      <c r="H2820" s="153"/>
      <c r="I2820" s="12"/>
      <c r="J2820" s="12"/>
      <c r="K2820" s="12"/>
      <c r="L2820" s="379"/>
      <c r="M2820" s="380"/>
      <c r="N2820" s="380"/>
      <c r="O2820" s="12"/>
      <c r="P2820" s="381"/>
      <c r="Q2820" s="12"/>
      <c r="R2820" s="12"/>
      <c r="S2820" s="382"/>
      <c r="T2820" s="383"/>
      <c r="U2820" s="384"/>
      <c r="V2820" s="12"/>
      <c r="W2820" s="12"/>
    </row>
    <row r="2821" spans="1:23" x14ac:dyDescent="0.3">
      <c r="A2821" s="193" t="str">
        <v/>
      </c>
      <c r="B2821" s="378"/>
      <c r="C2821" s="315"/>
      <c r="D2821" s="316"/>
      <c r="E2821" s="315"/>
      <c r="F2821" s="315"/>
      <c r="G2821" s="315"/>
      <c r="H2821" s="153"/>
      <c r="I2821" s="12"/>
      <c r="J2821" s="12"/>
      <c r="K2821" s="12"/>
      <c r="L2821" s="379"/>
      <c r="M2821" s="380"/>
      <c r="N2821" s="380"/>
      <c r="O2821" s="12"/>
      <c r="P2821" s="381"/>
      <c r="Q2821" s="12"/>
      <c r="R2821" s="12"/>
      <c r="S2821" s="382"/>
      <c r="T2821" s="383"/>
      <c r="U2821" s="384"/>
      <c r="V2821" s="12"/>
      <c r="W2821" s="12"/>
    </row>
    <row r="2822" spans="1:23" x14ac:dyDescent="0.3">
      <c r="A2822" s="193" t="str">
        <v/>
      </c>
      <c r="B2822" s="378"/>
      <c r="C2822" s="315"/>
      <c r="D2822" s="316"/>
      <c r="E2822" s="315"/>
      <c r="F2822" s="315"/>
      <c r="G2822" s="315"/>
      <c r="H2822" s="153"/>
      <c r="I2822" s="12"/>
      <c r="J2822" s="12"/>
      <c r="K2822" s="12"/>
      <c r="L2822" s="379"/>
      <c r="M2822" s="380"/>
      <c r="N2822" s="380"/>
      <c r="O2822" s="12"/>
      <c r="P2822" s="381"/>
      <c r="Q2822" s="12"/>
      <c r="R2822" s="12"/>
      <c r="S2822" s="382"/>
      <c r="T2822" s="383"/>
      <c r="U2822" s="384"/>
      <c r="V2822" s="12"/>
      <c r="W2822" s="12"/>
    </row>
    <row r="2823" spans="1:23" x14ac:dyDescent="0.3">
      <c r="A2823" s="193" t="str">
        <v/>
      </c>
      <c r="B2823" s="378"/>
      <c r="C2823" s="315"/>
      <c r="D2823" s="316"/>
      <c r="E2823" s="315"/>
      <c r="F2823" s="315"/>
      <c r="G2823" s="315"/>
      <c r="H2823" s="153"/>
      <c r="I2823" s="12"/>
      <c r="J2823" s="12"/>
      <c r="K2823" s="12"/>
      <c r="L2823" s="379"/>
      <c r="M2823" s="380"/>
      <c r="N2823" s="380"/>
      <c r="O2823" s="12"/>
      <c r="P2823" s="381"/>
      <c r="Q2823" s="12"/>
      <c r="R2823" s="12"/>
      <c r="S2823" s="382"/>
      <c r="T2823" s="383"/>
      <c r="U2823" s="384"/>
      <c r="V2823" s="12"/>
      <c r="W2823" s="12"/>
    </row>
    <row r="2824" spans="1:23" x14ac:dyDescent="0.3">
      <c r="A2824" s="193" t="str">
        <v/>
      </c>
      <c r="B2824" s="378"/>
      <c r="C2824" s="315"/>
      <c r="D2824" s="316"/>
      <c r="E2824" s="315"/>
      <c r="F2824" s="315"/>
      <c r="G2824" s="315"/>
      <c r="H2824" s="153"/>
      <c r="I2824" s="12"/>
      <c r="J2824" s="12"/>
      <c r="K2824" s="12"/>
      <c r="L2824" s="379"/>
      <c r="M2824" s="380"/>
      <c r="N2824" s="380"/>
      <c r="O2824" s="12"/>
      <c r="P2824" s="381"/>
      <c r="Q2824" s="12"/>
      <c r="R2824" s="12"/>
      <c r="S2824" s="382"/>
      <c r="T2824" s="383"/>
      <c r="U2824" s="384"/>
      <c r="V2824" s="12"/>
      <c r="W2824" s="12"/>
    </row>
    <row r="2825" spans="1:23" x14ac:dyDescent="0.3">
      <c r="A2825" s="193" t="str">
        <v/>
      </c>
      <c r="B2825" s="378"/>
      <c r="C2825" s="315"/>
      <c r="D2825" s="316"/>
      <c r="E2825" s="315"/>
      <c r="F2825" s="315"/>
      <c r="G2825" s="315"/>
      <c r="H2825" s="153"/>
      <c r="I2825" s="12"/>
      <c r="J2825" s="12"/>
      <c r="K2825" s="12"/>
      <c r="L2825" s="379"/>
      <c r="M2825" s="380"/>
      <c r="N2825" s="380"/>
      <c r="O2825" s="12"/>
      <c r="P2825" s="381"/>
      <c r="Q2825" s="12"/>
      <c r="R2825" s="12"/>
      <c r="S2825" s="382"/>
      <c r="T2825" s="383"/>
      <c r="U2825" s="384"/>
      <c r="V2825" s="12"/>
      <c r="W2825" s="12"/>
    </row>
    <row r="2826" spans="1:23" x14ac:dyDescent="0.3">
      <c r="A2826" s="193" t="str">
        <v/>
      </c>
      <c r="B2826" s="378"/>
      <c r="C2826" s="315"/>
      <c r="D2826" s="316"/>
      <c r="E2826" s="315"/>
      <c r="F2826" s="315"/>
      <c r="G2826" s="315"/>
      <c r="H2826" s="153"/>
      <c r="I2826" s="12"/>
      <c r="J2826" s="12"/>
      <c r="K2826" s="12"/>
      <c r="L2826" s="379"/>
      <c r="M2826" s="380"/>
      <c r="N2826" s="380"/>
      <c r="O2826" s="12"/>
      <c r="P2826" s="381"/>
      <c r="Q2826" s="12"/>
      <c r="R2826" s="12"/>
      <c r="S2826" s="382"/>
      <c r="T2826" s="383"/>
      <c r="U2826" s="384"/>
      <c r="V2826" s="12"/>
      <c r="W2826" s="12"/>
    </row>
    <row r="2827" spans="1:23" x14ac:dyDescent="0.3">
      <c r="A2827" s="193" t="str">
        <v/>
      </c>
      <c r="B2827" s="378"/>
      <c r="C2827" s="315"/>
      <c r="D2827" s="316"/>
      <c r="E2827" s="315"/>
      <c r="F2827" s="315"/>
      <c r="G2827" s="315"/>
      <c r="H2827" s="153"/>
      <c r="I2827" s="12"/>
      <c r="J2827" s="12"/>
      <c r="K2827" s="12"/>
      <c r="L2827" s="379"/>
      <c r="M2827" s="380"/>
      <c r="N2827" s="380"/>
      <c r="O2827" s="12"/>
      <c r="P2827" s="381"/>
      <c r="Q2827" s="12"/>
      <c r="R2827" s="12"/>
      <c r="S2827" s="382"/>
      <c r="T2827" s="383"/>
      <c r="U2827" s="384"/>
      <c r="V2827" s="12"/>
      <c r="W2827" s="12"/>
    </row>
    <row r="2828" spans="1:23" x14ac:dyDescent="0.3">
      <c r="A2828" s="193" t="str">
        <v/>
      </c>
      <c r="B2828" s="378"/>
      <c r="C2828" s="315"/>
      <c r="D2828" s="316"/>
      <c r="E2828" s="315"/>
      <c r="F2828" s="315"/>
      <c r="G2828" s="315"/>
      <c r="H2828" s="153"/>
      <c r="I2828" s="12"/>
      <c r="J2828" s="12"/>
      <c r="K2828" s="12"/>
      <c r="L2828" s="379"/>
      <c r="M2828" s="380"/>
      <c r="N2828" s="380"/>
      <c r="O2828" s="12"/>
      <c r="P2828" s="381"/>
      <c r="Q2828" s="12"/>
      <c r="R2828" s="12"/>
      <c r="S2828" s="382"/>
      <c r="T2828" s="383"/>
      <c r="U2828" s="384"/>
      <c r="V2828" s="12"/>
      <c r="W2828" s="12"/>
    </row>
    <row r="2829" spans="1:23" x14ac:dyDescent="0.3">
      <c r="A2829" s="193" t="str">
        <v/>
      </c>
      <c r="B2829" s="378"/>
      <c r="C2829" s="315"/>
      <c r="D2829" s="316"/>
      <c r="E2829" s="315"/>
      <c r="F2829" s="315"/>
      <c r="G2829" s="315"/>
      <c r="H2829" s="153"/>
      <c r="I2829" s="12"/>
      <c r="J2829" s="12"/>
      <c r="K2829" s="12"/>
      <c r="L2829" s="379"/>
      <c r="M2829" s="380"/>
      <c r="N2829" s="380"/>
      <c r="O2829" s="12"/>
      <c r="P2829" s="381"/>
      <c r="Q2829" s="12"/>
      <c r="R2829" s="12"/>
      <c r="S2829" s="382"/>
      <c r="T2829" s="383"/>
      <c r="U2829" s="384"/>
      <c r="V2829" s="12"/>
      <c r="W2829" s="12"/>
    </row>
    <row r="2830" spans="1:23" x14ac:dyDescent="0.3">
      <c r="A2830" s="193" t="str">
        <v/>
      </c>
      <c r="B2830" s="378"/>
      <c r="C2830" s="315"/>
      <c r="D2830" s="316"/>
      <c r="E2830" s="315"/>
      <c r="F2830" s="315"/>
      <c r="G2830" s="315"/>
      <c r="H2830" s="153"/>
      <c r="I2830" s="12"/>
      <c r="J2830" s="12"/>
      <c r="K2830" s="12"/>
      <c r="L2830" s="379"/>
      <c r="M2830" s="380"/>
      <c r="N2830" s="380"/>
      <c r="O2830" s="12"/>
      <c r="P2830" s="381"/>
      <c r="Q2830" s="12"/>
      <c r="R2830" s="12"/>
      <c r="S2830" s="382"/>
      <c r="T2830" s="383"/>
      <c r="U2830" s="384"/>
      <c r="V2830" s="12"/>
      <c r="W2830" s="12"/>
    </row>
    <row r="2831" spans="1:23" x14ac:dyDescent="0.3">
      <c r="A2831" s="193" t="str">
        <v/>
      </c>
      <c r="B2831" s="378"/>
      <c r="C2831" s="315"/>
      <c r="D2831" s="316"/>
      <c r="E2831" s="315"/>
      <c r="F2831" s="315"/>
      <c r="G2831" s="315"/>
      <c r="H2831" s="153"/>
      <c r="I2831" s="12"/>
      <c r="J2831" s="12"/>
      <c r="K2831" s="12"/>
      <c r="L2831" s="379"/>
      <c r="M2831" s="380"/>
      <c r="N2831" s="380"/>
      <c r="O2831" s="12"/>
      <c r="P2831" s="381"/>
      <c r="Q2831" s="12"/>
      <c r="R2831" s="12"/>
      <c r="S2831" s="382"/>
      <c r="T2831" s="383"/>
      <c r="U2831" s="384"/>
      <c r="V2831" s="12"/>
      <c r="W2831" s="12"/>
    </row>
    <row r="2832" spans="1:23" x14ac:dyDescent="0.3">
      <c r="A2832" s="193" t="str">
        <v/>
      </c>
      <c r="B2832" s="378"/>
      <c r="C2832" s="315"/>
      <c r="D2832" s="316"/>
      <c r="E2832" s="315"/>
      <c r="F2832" s="315"/>
      <c r="G2832" s="315"/>
      <c r="H2832" s="153"/>
      <c r="I2832" s="12"/>
      <c r="J2832" s="12"/>
      <c r="K2832" s="12"/>
      <c r="L2832" s="379"/>
      <c r="M2832" s="380"/>
      <c r="N2832" s="380"/>
      <c r="O2832" s="12"/>
      <c r="P2832" s="381"/>
      <c r="Q2832" s="12"/>
      <c r="R2832" s="12"/>
      <c r="S2832" s="382"/>
      <c r="T2832" s="383"/>
      <c r="U2832" s="384"/>
      <c r="V2832" s="12"/>
      <c r="W2832" s="12"/>
    </row>
    <row r="2833" spans="1:23" x14ac:dyDescent="0.3">
      <c r="A2833" s="193" t="str">
        <v/>
      </c>
      <c r="B2833" s="378"/>
      <c r="C2833" s="315"/>
      <c r="D2833" s="316"/>
      <c r="E2833" s="315"/>
      <c r="F2833" s="315"/>
      <c r="G2833" s="315"/>
      <c r="H2833" s="153"/>
      <c r="I2833" s="12"/>
      <c r="J2833" s="12"/>
      <c r="K2833" s="12"/>
      <c r="L2833" s="379"/>
      <c r="M2833" s="380"/>
      <c r="N2833" s="380"/>
      <c r="O2833" s="12"/>
      <c r="P2833" s="381"/>
      <c r="Q2833" s="12"/>
      <c r="R2833" s="12"/>
      <c r="S2833" s="382"/>
      <c r="T2833" s="383"/>
      <c r="U2833" s="384"/>
      <c r="V2833" s="12"/>
      <c r="W2833" s="12"/>
    </row>
    <row r="2834" spans="1:23" x14ac:dyDescent="0.3">
      <c r="A2834" s="193" t="str">
        <v/>
      </c>
      <c r="B2834" s="378"/>
      <c r="C2834" s="315"/>
      <c r="D2834" s="316"/>
      <c r="E2834" s="315"/>
      <c r="F2834" s="315"/>
      <c r="G2834" s="315"/>
      <c r="H2834" s="153"/>
      <c r="I2834" s="12"/>
      <c r="J2834" s="12"/>
      <c r="K2834" s="12"/>
      <c r="L2834" s="379"/>
      <c r="M2834" s="380"/>
      <c r="N2834" s="380"/>
      <c r="O2834" s="12"/>
      <c r="P2834" s="381"/>
      <c r="Q2834" s="12"/>
      <c r="R2834" s="12"/>
      <c r="S2834" s="382"/>
      <c r="T2834" s="383"/>
      <c r="U2834" s="384"/>
      <c r="V2834" s="12"/>
      <c r="W2834" s="12"/>
    </row>
    <row r="2835" spans="1:23" x14ac:dyDescent="0.3">
      <c r="A2835" s="193" t="str">
        <v/>
      </c>
      <c r="B2835" s="378"/>
      <c r="C2835" s="315"/>
      <c r="D2835" s="316"/>
      <c r="E2835" s="315"/>
      <c r="F2835" s="315"/>
      <c r="G2835" s="315"/>
      <c r="H2835" s="153"/>
      <c r="I2835" s="12"/>
      <c r="J2835" s="12"/>
      <c r="K2835" s="12"/>
      <c r="L2835" s="379"/>
      <c r="M2835" s="380"/>
      <c r="N2835" s="380"/>
      <c r="O2835" s="12"/>
      <c r="P2835" s="381"/>
      <c r="Q2835" s="12"/>
      <c r="R2835" s="12"/>
      <c r="S2835" s="382"/>
      <c r="T2835" s="383"/>
      <c r="U2835" s="384"/>
      <c r="V2835" s="12"/>
      <c r="W2835" s="12"/>
    </row>
    <row r="2836" spans="1:23" x14ac:dyDescent="0.3">
      <c r="A2836" s="193" t="str">
        <v/>
      </c>
      <c r="B2836" s="378"/>
      <c r="C2836" s="315"/>
      <c r="D2836" s="316"/>
      <c r="E2836" s="315"/>
      <c r="F2836" s="315"/>
      <c r="G2836" s="315"/>
      <c r="H2836" s="153"/>
      <c r="I2836" s="12"/>
      <c r="J2836" s="12"/>
      <c r="K2836" s="12"/>
      <c r="L2836" s="379"/>
      <c r="M2836" s="380"/>
      <c r="N2836" s="380"/>
      <c r="O2836" s="12"/>
      <c r="P2836" s="381"/>
      <c r="Q2836" s="12"/>
      <c r="R2836" s="12"/>
      <c r="S2836" s="382"/>
      <c r="T2836" s="383"/>
      <c r="U2836" s="384"/>
      <c r="V2836" s="12"/>
      <c r="W2836" s="12"/>
    </row>
    <row r="2837" spans="1:23" x14ac:dyDescent="0.3">
      <c r="A2837" s="193" t="str">
        <v/>
      </c>
      <c r="B2837" s="378"/>
      <c r="C2837" s="315"/>
      <c r="D2837" s="316"/>
      <c r="E2837" s="315"/>
      <c r="F2837" s="315"/>
      <c r="G2837" s="315"/>
      <c r="H2837" s="153"/>
      <c r="I2837" s="12"/>
      <c r="J2837" s="12"/>
      <c r="K2837" s="12"/>
      <c r="L2837" s="379"/>
      <c r="M2837" s="380"/>
      <c r="N2837" s="380"/>
      <c r="O2837" s="12"/>
      <c r="P2837" s="381"/>
      <c r="Q2837" s="12"/>
      <c r="R2837" s="12"/>
      <c r="S2837" s="382"/>
      <c r="T2837" s="383"/>
      <c r="U2837" s="384"/>
      <c r="V2837" s="12"/>
      <c r="W2837" s="12"/>
    </row>
    <row r="2838" spans="1:23" x14ac:dyDescent="0.3">
      <c r="A2838" s="193" t="str">
        <v/>
      </c>
      <c r="B2838" s="378"/>
      <c r="C2838" s="315"/>
      <c r="D2838" s="316"/>
      <c r="E2838" s="315"/>
      <c r="F2838" s="315"/>
      <c r="G2838" s="315"/>
      <c r="H2838" s="153"/>
      <c r="I2838" s="12"/>
      <c r="J2838" s="12"/>
      <c r="K2838" s="12"/>
      <c r="L2838" s="379"/>
      <c r="M2838" s="380"/>
      <c r="N2838" s="380"/>
      <c r="O2838" s="12"/>
      <c r="P2838" s="381"/>
      <c r="Q2838" s="12"/>
      <c r="R2838" s="12"/>
      <c r="S2838" s="382"/>
      <c r="T2838" s="383"/>
      <c r="U2838" s="384"/>
      <c r="V2838" s="12"/>
      <c r="W2838" s="12"/>
    </row>
    <row r="2839" spans="1:23" x14ac:dyDescent="0.3">
      <c r="A2839" s="193" t="str">
        <v/>
      </c>
      <c r="B2839" s="378"/>
      <c r="C2839" s="315"/>
      <c r="D2839" s="316"/>
      <c r="E2839" s="315"/>
      <c r="F2839" s="315"/>
      <c r="G2839" s="315"/>
      <c r="H2839" s="153"/>
      <c r="I2839" s="12"/>
      <c r="J2839" s="12"/>
      <c r="K2839" s="12"/>
      <c r="L2839" s="379"/>
      <c r="M2839" s="380"/>
      <c r="N2839" s="380"/>
      <c r="O2839" s="12"/>
      <c r="P2839" s="381"/>
      <c r="Q2839" s="12"/>
      <c r="R2839" s="12"/>
      <c r="S2839" s="382"/>
      <c r="T2839" s="383"/>
      <c r="U2839" s="384"/>
      <c r="V2839" s="12"/>
      <c r="W2839" s="12"/>
    </row>
    <row r="2840" spans="1:23" x14ac:dyDescent="0.3">
      <c r="A2840" s="193" t="str">
        <v/>
      </c>
      <c r="B2840" s="378"/>
      <c r="C2840" s="315"/>
      <c r="D2840" s="316"/>
      <c r="E2840" s="315"/>
      <c r="F2840" s="315"/>
      <c r="G2840" s="315"/>
      <c r="H2840" s="153"/>
      <c r="I2840" s="12"/>
      <c r="J2840" s="12"/>
      <c r="K2840" s="12"/>
      <c r="L2840" s="379"/>
      <c r="M2840" s="380"/>
      <c r="N2840" s="380"/>
      <c r="O2840" s="12"/>
      <c r="P2840" s="381"/>
      <c r="Q2840" s="12"/>
      <c r="R2840" s="12"/>
      <c r="S2840" s="382"/>
      <c r="T2840" s="383"/>
      <c r="U2840" s="384"/>
      <c r="V2840" s="12"/>
      <c r="W2840" s="12"/>
    </row>
    <row r="2841" spans="1:23" x14ac:dyDescent="0.3">
      <c r="A2841" s="193" t="str">
        <v/>
      </c>
      <c r="B2841" s="378"/>
      <c r="C2841" s="315"/>
      <c r="D2841" s="316"/>
      <c r="E2841" s="315"/>
      <c r="F2841" s="315"/>
      <c r="G2841" s="315"/>
      <c r="H2841" s="153"/>
      <c r="I2841" s="12"/>
      <c r="J2841" s="12"/>
      <c r="K2841" s="12"/>
      <c r="L2841" s="379"/>
      <c r="M2841" s="380"/>
      <c r="N2841" s="380"/>
      <c r="O2841" s="12"/>
      <c r="P2841" s="381"/>
      <c r="Q2841" s="12"/>
      <c r="R2841" s="12"/>
      <c r="S2841" s="382"/>
      <c r="T2841" s="383"/>
      <c r="U2841" s="384"/>
      <c r="V2841" s="12"/>
      <c r="W2841" s="12"/>
    </row>
    <row r="2842" spans="1:23" x14ac:dyDescent="0.3">
      <c r="A2842" s="193" t="str">
        <v/>
      </c>
      <c r="B2842" s="378"/>
      <c r="C2842" s="315"/>
      <c r="D2842" s="316"/>
      <c r="E2842" s="315"/>
      <c r="F2842" s="315"/>
      <c r="G2842" s="315"/>
      <c r="H2842" s="153"/>
      <c r="I2842" s="12"/>
      <c r="J2842" s="12"/>
      <c r="K2842" s="12"/>
      <c r="L2842" s="379"/>
      <c r="M2842" s="380"/>
      <c r="N2842" s="380"/>
      <c r="O2842" s="12"/>
      <c r="P2842" s="381"/>
      <c r="Q2842" s="12"/>
      <c r="R2842" s="12"/>
      <c r="S2842" s="382"/>
      <c r="T2842" s="383"/>
      <c r="U2842" s="384"/>
      <c r="V2842" s="12"/>
      <c r="W2842" s="12"/>
    </row>
    <row r="2843" spans="1:23" x14ac:dyDescent="0.3">
      <c r="A2843" s="193" t="str">
        <v/>
      </c>
      <c r="B2843" s="378"/>
      <c r="C2843" s="315"/>
      <c r="D2843" s="316"/>
      <c r="E2843" s="315"/>
      <c r="F2843" s="315"/>
      <c r="G2843" s="315"/>
      <c r="H2843" s="153"/>
      <c r="I2843" s="12"/>
      <c r="J2843" s="12"/>
      <c r="K2843" s="12"/>
      <c r="L2843" s="379"/>
      <c r="M2843" s="380"/>
      <c r="N2843" s="380"/>
      <c r="O2843" s="12"/>
      <c r="P2843" s="381"/>
      <c r="Q2843" s="12"/>
      <c r="R2843" s="12"/>
      <c r="S2843" s="382"/>
      <c r="T2843" s="383"/>
      <c r="U2843" s="384"/>
      <c r="V2843" s="12"/>
      <c r="W2843" s="12"/>
    </row>
    <row r="2844" spans="1:23" x14ac:dyDescent="0.3">
      <c r="A2844" s="193" t="str">
        <v/>
      </c>
      <c r="B2844" s="378"/>
      <c r="C2844" s="315"/>
      <c r="D2844" s="316"/>
      <c r="E2844" s="315"/>
      <c r="F2844" s="315"/>
      <c r="G2844" s="315"/>
      <c r="H2844" s="153"/>
      <c r="I2844" s="12"/>
      <c r="J2844" s="12"/>
      <c r="K2844" s="12"/>
      <c r="L2844" s="379"/>
      <c r="M2844" s="380"/>
      <c r="N2844" s="380"/>
      <c r="O2844" s="12"/>
      <c r="P2844" s="381"/>
      <c r="Q2844" s="12"/>
      <c r="R2844" s="12"/>
      <c r="S2844" s="382"/>
      <c r="T2844" s="383"/>
      <c r="U2844" s="384"/>
      <c r="V2844" s="12"/>
      <c r="W2844" s="12"/>
    </row>
    <row r="2845" spans="1:23" x14ac:dyDescent="0.3">
      <c r="A2845" s="193" t="str">
        <v/>
      </c>
      <c r="B2845" s="378"/>
      <c r="C2845" s="315"/>
      <c r="D2845" s="316"/>
      <c r="E2845" s="315"/>
      <c r="F2845" s="315"/>
      <c r="G2845" s="315"/>
      <c r="H2845" s="153"/>
      <c r="I2845" s="12"/>
      <c r="J2845" s="12"/>
      <c r="K2845" s="12"/>
      <c r="L2845" s="379"/>
      <c r="M2845" s="380"/>
      <c r="N2845" s="380"/>
      <c r="O2845" s="12"/>
      <c r="P2845" s="381"/>
      <c r="Q2845" s="12"/>
      <c r="R2845" s="12"/>
      <c r="S2845" s="382"/>
      <c r="T2845" s="383"/>
      <c r="U2845" s="384"/>
      <c r="V2845" s="12"/>
      <c r="W2845" s="12"/>
    </row>
    <row r="2846" spans="1:23" x14ac:dyDescent="0.3">
      <c r="A2846" s="193" t="str">
        <v/>
      </c>
      <c r="B2846" s="378"/>
      <c r="C2846" s="315"/>
      <c r="D2846" s="316"/>
      <c r="E2846" s="315"/>
      <c r="F2846" s="315"/>
      <c r="G2846" s="315"/>
      <c r="H2846" s="153"/>
      <c r="I2846" s="12"/>
      <c r="J2846" s="12"/>
      <c r="K2846" s="12"/>
      <c r="L2846" s="379"/>
      <c r="M2846" s="380"/>
      <c r="N2846" s="380"/>
      <c r="O2846" s="12"/>
      <c r="P2846" s="381"/>
      <c r="Q2846" s="12"/>
      <c r="R2846" s="12"/>
      <c r="S2846" s="382"/>
      <c r="T2846" s="383"/>
      <c r="U2846" s="384"/>
      <c r="V2846" s="12"/>
      <c r="W2846" s="12"/>
    </row>
    <row r="2847" spans="1:23" x14ac:dyDescent="0.3">
      <c r="A2847" s="193" t="str">
        <v/>
      </c>
      <c r="B2847" s="378"/>
      <c r="C2847" s="315"/>
      <c r="D2847" s="316"/>
      <c r="E2847" s="315"/>
      <c r="F2847" s="315"/>
      <c r="G2847" s="315"/>
      <c r="H2847" s="153"/>
      <c r="I2847" s="12"/>
      <c r="J2847" s="12"/>
      <c r="K2847" s="12"/>
      <c r="L2847" s="379"/>
      <c r="M2847" s="380"/>
      <c r="N2847" s="380"/>
      <c r="O2847" s="12"/>
      <c r="P2847" s="381"/>
      <c r="Q2847" s="12"/>
      <c r="R2847" s="12"/>
      <c r="S2847" s="382"/>
      <c r="T2847" s="383"/>
      <c r="U2847" s="384"/>
      <c r="V2847" s="12"/>
      <c r="W2847" s="12"/>
    </row>
    <row r="2848" spans="1:23" x14ac:dyDescent="0.3">
      <c r="A2848" s="193" t="str">
        <v/>
      </c>
      <c r="B2848" s="378"/>
      <c r="C2848" s="315"/>
      <c r="D2848" s="316"/>
      <c r="E2848" s="315"/>
      <c r="F2848" s="315"/>
      <c r="G2848" s="315"/>
      <c r="H2848" s="153"/>
      <c r="I2848" s="12"/>
      <c r="J2848" s="12"/>
      <c r="K2848" s="12"/>
      <c r="L2848" s="379"/>
      <c r="M2848" s="380"/>
      <c r="N2848" s="380"/>
      <c r="O2848" s="12"/>
      <c r="P2848" s="381"/>
      <c r="Q2848" s="12"/>
      <c r="R2848" s="12"/>
      <c r="S2848" s="382"/>
      <c r="T2848" s="383"/>
      <c r="U2848" s="384"/>
      <c r="V2848" s="12"/>
      <c r="W2848" s="12"/>
    </row>
    <row r="2849" spans="1:23" x14ac:dyDescent="0.3">
      <c r="A2849" s="193" t="str">
        <v/>
      </c>
      <c r="B2849" s="378"/>
      <c r="C2849" s="315"/>
      <c r="D2849" s="316"/>
      <c r="E2849" s="315"/>
      <c r="F2849" s="315"/>
      <c r="G2849" s="315"/>
      <c r="H2849" s="153"/>
      <c r="I2849" s="12"/>
      <c r="J2849" s="12"/>
      <c r="K2849" s="12"/>
      <c r="L2849" s="379"/>
      <c r="M2849" s="380"/>
      <c r="N2849" s="380"/>
      <c r="O2849" s="12"/>
      <c r="P2849" s="381"/>
      <c r="Q2849" s="12"/>
      <c r="R2849" s="12"/>
      <c r="S2849" s="382"/>
      <c r="T2849" s="383"/>
      <c r="U2849" s="384"/>
      <c r="V2849" s="12"/>
      <c r="W2849" s="12"/>
    </row>
    <row r="2850" spans="1:23" x14ac:dyDescent="0.3">
      <c r="A2850" s="193" t="str">
        <v/>
      </c>
      <c r="B2850" s="378"/>
      <c r="C2850" s="315"/>
      <c r="D2850" s="316"/>
      <c r="E2850" s="315"/>
      <c r="F2850" s="315"/>
      <c r="G2850" s="315"/>
      <c r="H2850" s="153"/>
      <c r="I2850" s="12"/>
      <c r="J2850" s="12"/>
      <c r="K2850" s="12"/>
      <c r="L2850" s="379"/>
      <c r="M2850" s="380"/>
      <c r="N2850" s="380"/>
      <c r="O2850" s="12"/>
      <c r="P2850" s="381"/>
      <c r="Q2850" s="12"/>
      <c r="R2850" s="12"/>
      <c r="S2850" s="382"/>
      <c r="T2850" s="383"/>
      <c r="U2850" s="384"/>
      <c r="V2850" s="12"/>
      <c r="W2850" s="12"/>
    </row>
    <row r="2851" spans="1:23" x14ac:dyDescent="0.3">
      <c r="A2851" s="193" t="str">
        <v/>
      </c>
      <c r="B2851" s="378"/>
      <c r="C2851" s="315"/>
      <c r="D2851" s="316"/>
      <c r="E2851" s="315"/>
      <c r="F2851" s="315"/>
      <c r="G2851" s="315"/>
      <c r="H2851" s="153"/>
      <c r="I2851" s="12"/>
      <c r="J2851" s="12"/>
      <c r="K2851" s="12"/>
      <c r="L2851" s="379"/>
      <c r="M2851" s="380"/>
      <c r="N2851" s="380"/>
      <c r="O2851" s="12"/>
      <c r="P2851" s="381"/>
      <c r="Q2851" s="12"/>
      <c r="R2851" s="12"/>
      <c r="S2851" s="382"/>
      <c r="T2851" s="383"/>
      <c r="U2851" s="384"/>
      <c r="V2851" s="12"/>
      <c r="W2851" s="12"/>
    </row>
    <row r="2852" spans="1:23" x14ac:dyDescent="0.3">
      <c r="A2852" s="193" t="str">
        <v/>
      </c>
      <c r="B2852" s="378"/>
      <c r="C2852" s="315"/>
      <c r="D2852" s="316"/>
      <c r="E2852" s="315"/>
      <c r="F2852" s="315"/>
      <c r="G2852" s="315"/>
      <c r="H2852" s="153"/>
      <c r="I2852" s="12"/>
      <c r="J2852" s="12"/>
      <c r="K2852" s="12"/>
      <c r="L2852" s="379"/>
      <c r="M2852" s="380"/>
      <c r="N2852" s="380"/>
      <c r="O2852" s="12"/>
      <c r="P2852" s="381"/>
      <c r="Q2852" s="12"/>
      <c r="R2852" s="12"/>
      <c r="S2852" s="382"/>
      <c r="T2852" s="383"/>
      <c r="U2852" s="384"/>
      <c r="V2852" s="12"/>
      <c r="W2852" s="12"/>
    </row>
    <row r="2853" spans="1:23" x14ac:dyDescent="0.3">
      <c r="A2853" s="193" t="str">
        <v/>
      </c>
      <c r="B2853" s="378"/>
      <c r="C2853" s="315"/>
      <c r="D2853" s="316"/>
      <c r="E2853" s="315"/>
      <c r="F2853" s="315"/>
      <c r="G2853" s="315"/>
      <c r="H2853" s="153"/>
      <c r="I2853" s="12"/>
      <c r="J2853" s="12"/>
      <c r="K2853" s="12"/>
      <c r="L2853" s="379"/>
      <c r="M2853" s="380"/>
      <c r="N2853" s="380"/>
      <c r="O2853" s="12"/>
      <c r="P2853" s="381"/>
      <c r="Q2853" s="12"/>
      <c r="R2853" s="12"/>
      <c r="S2853" s="382"/>
      <c r="T2853" s="383"/>
      <c r="U2853" s="384"/>
      <c r="V2853" s="12"/>
      <c r="W2853" s="12"/>
    </row>
    <row r="2854" spans="1:23" x14ac:dyDescent="0.3">
      <c r="A2854" s="193" t="str">
        <v/>
      </c>
      <c r="B2854" s="378"/>
      <c r="C2854" s="315"/>
      <c r="D2854" s="316"/>
      <c r="E2854" s="315"/>
      <c r="F2854" s="315"/>
      <c r="G2854" s="315"/>
      <c r="H2854" s="153"/>
      <c r="I2854" s="12"/>
      <c r="J2854" s="12"/>
      <c r="K2854" s="12"/>
      <c r="L2854" s="379"/>
      <c r="M2854" s="380"/>
      <c r="N2854" s="380"/>
      <c r="O2854" s="12"/>
      <c r="P2854" s="381"/>
      <c r="Q2854" s="12"/>
      <c r="R2854" s="12"/>
      <c r="S2854" s="382"/>
      <c r="T2854" s="383"/>
      <c r="U2854" s="384"/>
      <c r="V2854" s="12"/>
      <c r="W2854" s="12"/>
    </row>
    <row r="2855" spans="1:23" x14ac:dyDescent="0.3">
      <c r="A2855" s="193" t="str">
        <v/>
      </c>
      <c r="B2855" s="378"/>
      <c r="C2855" s="315"/>
      <c r="D2855" s="316"/>
      <c r="E2855" s="315"/>
      <c r="F2855" s="315"/>
      <c r="G2855" s="315"/>
      <c r="H2855" s="153"/>
      <c r="I2855" s="12"/>
      <c r="J2855" s="12"/>
      <c r="K2855" s="12"/>
      <c r="L2855" s="379"/>
      <c r="M2855" s="380"/>
      <c r="N2855" s="380"/>
      <c r="O2855" s="12"/>
      <c r="P2855" s="381"/>
      <c r="Q2855" s="12"/>
      <c r="R2855" s="12"/>
      <c r="S2855" s="382"/>
      <c r="T2855" s="383"/>
      <c r="U2855" s="384"/>
      <c r="V2855" s="12"/>
      <c r="W2855" s="12"/>
    </row>
    <row r="2856" spans="1:23" x14ac:dyDescent="0.3">
      <c r="A2856" s="193" t="str">
        <v/>
      </c>
      <c r="B2856" s="378"/>
      <c r="C2856" s="315"/>
      <c r="D2856" s="316"/>
      <c r="E2856" s="315"/>
      <c r="F2856" s="315"/>
      <c r="G2856" s="315"/>
      <c r="H2856" s="153"/>
      <c r="I2856" s="12"/>
      <c r="J2856" s="12"/>
      <c r="K2856" s="12"/>
      <c r="L2856" s="379"/>
      <c r="M2856" s="380"/>
      <c r="N2856" s="380"/>
      <c r="O2856" s="12"/>
      <c r="P2856" s="381"/>
      <c r="Q2856" s="12"/>
      <c r="R2856" s="12"/>
      <c r="S2856" s="382"/>
      <c r="T2856" s="383"/>
      <c r="U2856" s="384"/>
      <c r="V2856" s="12"/>
      <c r="W2856" s="12"/>
    </row>
    <row r="2857" spans="1:23" x14ac:dyDescent="0.3">
      <c r="A2857" s="193" t="str">
        <v/>
      </c>
      <c r="B2857" s="378"/>
      <c r="C2857" s="315"/>
      <c r="D2857" s="316"/>
      <c r="E2857" s="315"/>
      <c r="F2857" s="315"/>
      <c r="G2857" s="315"/>
      <c r="H2857" s="153"/>
      <c r="I2857" s="12"/>
      <c r="J2857" s="12"/>
      <c r="K2857" s="12"/>
      <c r="L2857" s="379"/>
      <c r="M2857" s="380"/>
      <c r="N2857" s="380"/>
      <c r="O2857" s="12"/>
      <c r="P2857" s="381"/>
      <c r="Q2857" s="12"/>
      <c r="R2857" s="12"/>
      <c r="S2857" s="382"/>
      <c r="T2857" s="383"/>
      <c r="U2857" s="384"/>
      <c r="V2857" s="12"/>
      <c r="W2857" s="12"/>
    </row>
    <row r="2858" spans="1:23" x14ac:dyDescent="0.3">
      <c r="A2858" s="193" t="str">
        <v/>
      </c>
      <c r="B2858" s="378"/>
      <c r="C2858" s="315"/>
      <c r="D2858" s="316"/>
      <c r="E2858" s="315"/>
      <c r="F2858" s="315"/>
      <c r="G2858" s="315"/>
      <c r="H2858" s="153"/>
      <c r="I2858" s="12"/>
      <c r="J2858" s="12"/>
      <c r="K2858" s="12"/>
      <c r="L2858" s="379"/>
      <c r="M2858" s="380"/>
      <c r="N2858" s="380"/>
      <c r="O2858" s="12"/>
      <c r="P2858" s="381"/>
      <c r="Q2858" s="12"/>
      <c r="R2858" s="12"/>
      <c r="S2858" s="382"/>
      <c r="T2858" s="383"/>
      <c r="U2858" s="384"/>
      <c r="V2858" s="12"/>
      <c r="W2858" s="12"/>
    </row>
    <row r="2859" spans="1:23" x14ac:dyDescent="0.3">
      <c r="A2859" s="193" t="str">
        <v/>
      </c>
      <c r="B2859" s="378"/>
      <c r="C2859" s="315"/>
      <c r="D2859" s="316"/>
      <c r="E2859" s="315"/>
      <c r="F2859" s="315"/>
      <c r="G2859" s="315"/>
      <c r="H2859" s="153"/>
      <c r="I2859" s="12"/>
      <c r="J2859" s="12"/>
      <c r="K2859" s="12"/>
      <c r="L2859" s="379"/>
      <c r="M2859" s="380"/>
      <c r="N2859" s="380"/>
      <c r="O2859" s="12"/>
      <c r="P2859" s="381"/>
      <c r="Q2859" s="12"/>
      <c r="R2859" s="12"/>
      <c r="S2859" s="382"/>
      <c r="T2859" s="383"/>
      <c r="U2859" s="384"/>
      <c r="V2859" s="12"/>
      <c r="W2859" s="12"/>
    </row>
    <row r="2860" spans="1:23" x14ac:dyDescent="0.3">
      <c r="A2860" s="193" t="str">
        <v/>
      </c>
      <c r="B2860" s="378"/>
      <c r="C2860" s="315"/>
      <c r="D2860" s="316"/>
      <c r="E2860" s="315"/>
      <c r="F2860" s="315"/>
      <c r="G2860" s="315"/>
      <c r="H2860" s="153"/>
      <c r="I2860" s="12"/>
      <c r="J2860" s="12"/>
      <c r="K2860" s="12"/>
      <c r="L2860" s="379"/>
      <c r="M2860" s="380"/>
      <c r="N2860" s="380"/>
      <c r="O2860" s="12"/>
      <c r="P2860" s="381"/>
      <c r="Q2860" s="12"/>
      <c r="R2860" s="12"/>
      <c r="S2860" s="382"/>
      <c r="T2860" s="383"/>
      <c r="U2860" s="384"/>
      <c r="V2860" s="12"/>
      <c r="W2860" s="12"/>
    </row>
    <row r="2861" spans="1:23" x14ac:dyDescent="0.3">
      <c r="A2861" s="193" t="str">
        <v/>
      </c>
      <c r="B2861" s="378"/>
      <c r="C2861" s="315"/>
      <c r="D2861" s="316"/>
      <c r="E2861" s="315"/>
      <c r="F2861" s="315"/>
      <c r="G2861" s="315"/>
      <c r="H2861" s="153"/>
      <c r="I2861" s="12"/>
      <c r="J2861" s="12"/>
      <c r="K2861" s="12"/>
      <c r="L2861" s="379"/>
      <c r="M2861" s="380"/>
      <c r="N2861" s="380"/>
      <c r="O2861" s="12"/>
      <c r="P2861" s="381"/>
      <c r="Q2861" s="12"/>
      <c r="R2861" s="12"/>
      <c r="S2861" s="382"/>
      <c r="T2861" s="383"/>
      <c r="U2861" s="384"/>
      <c r="V2861" s="12"/>
      <c r="W2861" s="12"/>
    </row>
    <row r="2862" spans="1:23" x14ac:dyDescent="0.3">
      <c r="A2862" s="193" t="str">
        <v/>
      </c>
      <c r="B2862" s="378"/>
      <c r="C2862" s="315"/>
      <c r="D2862" s="316"/>
      <c r="E2862" s="315"/>
      <c r="F2862" s="315"/>
      <c r="G2862" s="315"/>
      <c r="H2862" s="153"/>
      <c r="I2862" s="12"/>
      <c r="J2862" s="12"/>
      <c r="K2862" s="12"/>
      <c r="L2862" s="379"/>
      <c r="M2862" s="380"/>
      <c r="N2862" s="380"/>
      <c r="O2862" s="12"/>
      <c r="P2862" s="381"/>
      <c r="Q2862" s="12"/>
      <c r="R2862" s="12"/>
      <c r="S2862" s="382"/>
      <c r="T2862" s="383"/>
      <c r="U2862" s="384"/>
      <c r="V2862" s="12"/>
      <c r="W2862" s="12"/>
    </row>
    <row r="2863" spans="1:23" x14ac:dyDescent="0.3">
      <c r="A2863" s="193" t="str">
        <v/>
      </c>
      <c r="B2863" s="378"/>
      <c r="C2863" s="315"/>
      <c r="D2863" s="316"/>
      <c r="E2863" s="315"/>
      <c r="F2863" s="315"/>
      <c r="G2863" s="315"/>
      <c r="H2863" s="153"/>
      <c r="I2863" s="12"/>
      <c r="J2863" s="12"/>
      <c r="K2863" s="12"/>
      <c r="L2863" s="379"/>
      <c r="M2863" s="380"/>
      <c r="N2863" s="380"/>
      <c r="O2863" s="12"/>
      <c r="P2863" s="381"/>
      <c r="Q2863" s="12"/>
      <c r="R2863" s="12"/>
      <c r="S2863" s="382"/>
      <c r="T2863" s="383"/>
      <c r="U2863" s="384"/>
      <c r="V2863" s="12"/>
      <c r="W2863" s="12"/>
    </row>
    <row r="2864" spans="1:23" x14ac:dyDescent="0.3">
      <c r="A2864" s="193" t="str">
        <v/>
      </c>
      <c r="B2864" s="378"/>
      <c r="C2864" s="315"/>
      <c r="D2864" s="316"/>
      <c r="E2864" s="315"/>
      <c r="F2864" s="315"/>
      <c r="G2864" s="315"/>
      <c r="H2864" s="153"/>
      <c r="I2864" s="12"/>
      <c r="J2864" s="12"/>
      <c r="K2864" s="12"/>
      <c r="L2864" s="379"/>
      <c r="M2864" s="380"/>
      <c r="N2864" s="380"/>
      <c r="O2864" s="12"/>
      <c r="P2864" s="381"/>
      <c r="Q2864" s="12"/>
      <c r="R2864" s="12"/>
      <c r="S2864" s="382"/>
      <c r="T2864" s="383"/>
      <c r="U2864" s="384"/>
      <c r="V2864" s="12"/>
      <c r="W2864" s="12"/>
    </row>
    <row r="2865" spans="1:23" x14ac:dyDescent="0.3">
      <c r="A2865" s="193" t="str">
        <v/>
      </c>
      <c r="B2865" s="378"/>
      <c r="C2865" s="315"/>
      <c r="D2865" s="316"/>
      <c r="E2865" s="315"/>
      <c r="F2865" s="315"/>
      <c r="G2865" s="315"/>
      <c r="H2865" s="153"/>
      <c r="I2865" s="12"/>
      <c r="J2865" s="12"/>
      <c r="K2865" s="12"/>
      <c r="L2865" s="379"/>
      <c r="M2865" s="380"/>
      <c r="N2865" s="380"/>
      <c r="O2865" s="12"/>
      <c r="P2865" s="381"/>
      <c r="Q2865" s="12"/>
      <c r="R2865" s="12"/>
      <c r="S2865" s="382"/>
      <c r="T2865" s="383"/>
      <c r="U2865" s="384"/>
      <c r="V2865" s="12"/>
      <c r="W2865" s="12"/>
    </row>
    <row r="2866" spans="1:23" x14ac:dyDescent="0.3">
      <c r="A2866" s="193" t="str">
        <v/>
      </c>
      <c r="B2866" s="378"/>
      <c r="C2866" s="315"/>
      <c r="D2866" s="316"/>
      <c r="E2866" s="315"/>
      <c r="F2866" s="315"/>
      <c r="G2866" s="315"/>
      <c r="H2866" s="153"/>
      <c r="I2866" s="12"/>
      <c r="J2866" s="12"/>
      <c r="K2866" s="12"/>
      <c r="L2866" s="379"/>
      <c r="M2866" s="380"/>
      <c r="N2866" s="380"/>
      <c r="O2866" s="12"/>
      <c r="P2866" s="381"/>
      <c r="Q2866" s="12"/>
      <c r="R2866" s="12"/>
      <c r="S2866" s="382"/>
      <c r="T2866" s="383"/>
      <c r="U2866" s="384"/>
      <c r="V2866" s="12"/>
      <c r="W2866" s="12"/>
    </row>
    <row r="2867" spans="1:23" x14ac:dyDescent="0.3">
      <c r="A2867" s="193" t="str">
        <v/>
      </c>
      <c r="B2867" s="378"/>
      <c r="C2867" s="315"/>
      <c r="D2867" s="316"/>
      <c r="E2867" s="315"/>
      <c r="F2867" s="315"/>
      <c r="G2867" s="315"/>
      <c r="H2867" s="153"/>
      <c r="I2867" s="12"/>
      <c r="J2867" s="12"/>
      <c r="K2867" s="12"/>
      <c r="L2867" s="379"/>
      <c r="M2867" s="380"/>
      <c r="N2867" s="380"/>
      <c r="O2867" s="12"/>
      <c r="P2867" s="381"/>
      <c r="Q2867" s="12"/>
      <c r="R2867" s="12"/>
      <c r="S2867" s="382"/>
      <c r="T2867" s="383"/>
      <c r="U2867" s="384"/>
      <c r="V2867" s="12"/>
      <c r="W2867" s="12"/>
    </row>
    <row r="2868" spans="1:23" x14ac:dyDescent="0.3">
      <c r="A2868" s="193" t="str">
        <v/>
      </c>
      <c r="B2868" s="378"/>
      <c r="C2868" s="315"/>
      <c r="D2868" s="316"/>
      <c r="E2868" s="315"/>
      <c r="F2868" s="315"/>
      <c r="G2868" s="315"/>
      <c r="H2868" s="153"/>
      <c r="I2868" s="12"/>
      <c r="J2868" s="12"/>
      <c r="K2868" s="12"/>
      <c r="L2868" s="379"/>
      <c r="M2868" s="380"/>
      <c r="N2868" s="380"/>
      <c r="O2868" s="12"/>
      <c r="P2868" s="381"/>
      <c r="Q2868" s="12"/>
      <c r="R2868" s="12"/>
      <c r="S2868" s="382"/>
      <c r="T2868" s="383"/>
      <c r="U2868" s="384"/>
      <c r="V2868" s="12"/>
      <c r="W2868" s="12"/>
    </row>
    <row r="2869" spans="1:23" x14ac:dyDescent="0.3">
      <c r="A2869" s="193" t="str">
        <v/>
      </c>
      <c r="B2869" s="378"/>
      <c r="C2869" s="315"/>
      <c r="D2869" s="316"/>
      <c r="E2869" s="315"/>
      <c r="F2869" s="315"/>
      <c r="G2869" s="315"/>
      <c r="H2869" s="153"/>
      <c r="I2869" s="12"/>
      <c r="J2869" s="12"/>
      <c r="K2869" s="12"/>
      <c r="L2869" s="379"/>
      <c r="M2869" s="380"/>
      <c r="N2869" s="380"/>
      <c r="O2869" s="12"/>
      <c r="P2869" s="381"/>
      <c r="Q2869" s="12"/>
      <c r="R2869" s="12"/>
      <c r="S2869" s="382"/>
      <c r="T2869" s="383"/>
      <c r="U2869" s="384"/>
      <c r="V2869" s="12"/>
      <c r="W2869" s="12"/>
    </row>
    <row r="2870" spans="1:23" x14ac:dyDescent="0.3">
      <c r="A2870" s="193" t="str">
        <v/>
      </c>
      <c r="B2870" s="378"/>
      <c r="C2870" s="315"/>
      <c r="D2870" s="316"/>
      <c r="E2870" s="315"/>
      <c r="F2870" s="315"/>
      <c r="G2870" s="315"/>
      <c r="H2870" s="153"/>
      <c r="I2870" s="12"/>
      <c r="J2870" s="12"/>
      <c r="K2870" s="12"/>
      <c r="L2870" s="379"/>
      <c r="M2870" s="380"/>
      <c r="N2870" s="380"/>
      <c r="O2870" s="12"/>
      <c r="P2870" s="381"/>
      <c r="Q2870" s="12"/>
      <c r="R2870" s="12"/>
      <c r="S2870" s="382"/>
      <c r="T2870" s="383"/>
      <c r="U2870" s="384"/>
      <c r="V2870" s="12"/>
      <c r="W2870" s="12"/>
    </row>
    <row r="2871" spans="1:23" x14ac:dyDescent="0.3">
      <c r="A2871" s="193" t="str">
        <v/>
      </c>
      <c r="B2871" s="378"/>
      <c r="C2871" s="315"/>
      <c r="D2871" s="316"/>
      <c r="E2871" s="315"/>
      <c r="F2871" s="315"/>
      <c r="G2871" s="315"/>
      <c r="H2871" s="153"/>
      <c r="I2871" s="12"/>
      <c r="J2871" s="12"/>
      <c r="K2871" s="12"/>
      <c r="L2871" s="379"/>
      <c r="M2871" s="380"/>
      <c r="N2871" s="380"/>
      <c r="O2871" s="12"/>
      <c r="P2871" s="381"/>
      <c r="Q2871" s="12"/>
      <c r="R2871" s="12"/>
      <c r="S2871" s="382"/>
      <c r="T2871" s="383"/>
      <c r="U2871" s="384"/>
      <c r="V2871" s="12"/>
      <c r="W2871" s="12"/>
    </row>
    <row r="2872" spans="1:23" x14ac:dyDescent="0.3">
      <c r="A2872" s="193" t="str">
        <v/>
      </c>
      <c r="B2872" s="378"/>
      <c r="C2872" s="315"/>
      <c r="D2872" s="316"/>
      <c r="E2872" s="315"/>
      <c r="F2872" s="315"/>
      <c r="G2872" s="315"/>
      <c r="H2872" s="153"/>
      <c r="I2872" s="12"/>
      <c r="J2872" s="12"/>
      <c r="K2872" s="12"/>
      <c r="L2872" s="379"/>
      <c r="M2872" s="380"/>
      <c r="N2872" s="380"/>
      <c r="O2872" s="12"/>
      <c r="P2872" s="381"/>
      <c r="Q2872" s="12"/>
      <c r="R2872" s="12"/>
      <c r="S2872" s="382"/>
      <c r="T2872" s="383"/>
      <c r="U2872" s="384"/>
      <c r="V2872" s="12"/>
      <c r="W2872" s="12"/>
    </row>
    <row r="2873" spans="1:23" x14ac:dyDescent="0.3">
      <c r="A2873" s="193" t="str">
        <v/>
      </c>
      <c r="B2873" s="378"/>
      <c r="C2873" s="315"/>
      <c r="D2873" s="316"/>
      <c r="E2873" s="315"/>
      <c r="F2873" s="315"/>
      <c r="G2873" s="315"/>
      <c r="H2873" s="153"/>
      <c r="I2873" s="12"/>
      <c r="J2873" s="12"/>
      <c r="K2873" s="12"/>
      <c r="L2873" s="379"/>
      <c r="M2873" s="380"/>
      <c r="N2873" s="380"/>
      <c r="O2873" s="12"/>
      <c r="P2873" s="381"/>
      <c r="Q2873" s="12"/>
      <c r="R2873" s="12"/>
      <c r="S2873" s="382"/>
      <c r="T2873" s="383"/>
      <c r="U2873" s="384"/>
      <c r="V2873" s="12"/>
      <c r="W2873" s="12"/>
    </row>
    <row r="2874" spans="1:23" x14ac:dyDescent="0.3">
      <c r="A2874" s="193" t="str">
        <v/>
      </c>
      <c r="B2874" s="378"/>
      <c r="C2874" s="315"/>
      <c r="D2874" s="316"/>
      <c r="E2874" s="315"/>
      <c r="F2874" s="315"/>
      <c r="G2874" s="315"/>
      <c r="H2874" s="153"/>
      <c r="I2874" s="12"/>
      <c r="J2874" s="12"/>
      <c r="K2874" s="12"/>
      <c r="L2874" s="379"/>
      <c r="M2874" s="380"/>
      <c r="N2874" s="380"/>
      <c r="O2874" s="12"/>
      <c r="P2874" s="381"/>
      <c r="Q2874" s="12"/>
      <c r="R2874" s="12"/>
      <c r="S2874" s="382"/>
      <c r="T2874" s="383"/>
      <c r="U2874" s="384"/>
      <c r="V2874" s="12"/>
      <c r="W2874" s="12"/>
    </row>
    <row r="2875" spans="1:23" x14ac:dyDescent="0.3">
      <c r="A2875" s="193" t="str">
        <v/>
      </c>
      <c r="B2875" s="378"/>
      <c r="C2875" s="315"/>
      <c r="D2875" s="316"/>
      <c r="E2875" s="315"/>
      <c r="F2875" s="315"/>
      <c r="G2875" s="315"/>
      <c r="H2875" s="153"/>
      <c r="I2875" s="12"/>
      <c r="J2875" s="12"/>
      <c r="K2875" s="12"/>
      <c r="L2875" s="379"/>
      <c r="M2875" s="380"/>
      <c r="N2875" s="380"/>
      <c r="O2875" s="12"/>
      <c r="P2875" s="381"/>
      <c r="Q2875" s="12"/>
      <c r="R2875" s="12"/>
      <c r="S2875" s="382"/>
      <c r="T2875" s="383"/>
      <c r="U2875" s="384"/>
      <c r="V2875" s="12"/>
      <c r="W2875" s="12"/>
    </row>
    <row r="2876" spans="1:23" x14ac:dyDescent="0.3">
      <c r="A2876" s="193" t="str">
        <v/>
      </c>
      <c r="B2876" s="378"/>
      <c r="C2876" s="315"/>
      <c r="D2876" s="316"/>
      <c r="E2876" s="315"/>
      <c r="F2876" s="315"/>
      <c r="G2876" s="315"/>
      <c r="H2876" s="153"/>
      <c r="I2876" s="12"/>
      <c r="J2876" s="12"/>
      <c r="K2876" s="12"/>
      <c r="L2876" s="379"/>
      <c r="M2876" s="380"/>
      <c r="N2876" s="380"/>
      <c r="O2876" s="12"/>
      <c r="P2876" s="381"/>
      <c r="Q2876" s="12"/>
      <c r="R2876" s="12"/>
      <c r="S2876" s="382"/>
      <c r="T2876" s="383"/>
      <c r="U2876" s="384"/>
      <c r="V2876" s="12"/>
      <c r="W2876" s="12"/>
    </row>
    <row r="2877" spans="1:23" x14ac:dyDescent="0.3">
      <c r="A2877" s="193" t="str">
        <v/>
      </c>
      <c r="B2877" s="378"/>
      <c r="C2877" s="315"/>
      <c r="D2877" s="316"/>
      <c r="E2877" s="315"/>
      <c r="F2877" s="315"/>
      <c r="G2877" s="315"/>
      <c r="H2877" s="153"/>
      <c r="I2877" s="12"/>
      <c r="J2877" s="12"/>
      <c r="K2877" s="12"/>
      <c r="L2877" s="379"/>
      <c r="M2877" s="380"/>
      <c r="N2877" s="380"/>
      <c r="O2877" s="12"/>
      <c r="P2877" s="381"/>
      <c r="Q2877" s="12"/>
      <c r="R2877" s="12"/>
      <c r="S2877" s="382"/>
      <c r="T2877" s="383"/>
      <c r="U2877" s="384"/>
      <c r="V2877" s="12"/>
      <c r="W2877" s="12"/>
    </row>
    <row r="2878" spans="1:23" x14ac:dyDescent="0.3">
      <c r="A2878" s="193" t="str">
        <v/>
      </c>
      <c r="B2878" s="378"/>
      <c r="C2878" s="315"/>
      <c r="D2878" s="316"/>
      <c r="E2878" s="315"/>
      <c r="F2878" s="315"/>
      <c r="G2878" s="315"/>
      <c r="H2878" s="153"/>
      <c r="I2878" s="12"/>
      <c r="J2878" s="12"/>
      <c r="K2878" s="12"/>
      <c r="L2878" s="379"/>
      <c r="M2878" s="380"/>
      <c r="N2878" s="380"/>
      <c r="O2878" s="12"/>
      <c r="P2878" s="381"/>
      <c r="Q2878" s="12"/>
      <c r="R2878" s="12"/>
      <c r="S2878" s="382"/>
      <c r="T2878" s="383"/>
      <c r="U2878" s="384"/>
      <c r="V2878" s="12"/>
      <c r="W2878" s="12"/>
    </row>
    <row r="2879" spans="1:23" x14ac:dyDescent="0.3">
      <c r="A2879" s="193" t="str">
        <v/>
      </c>
      <c r="B2879" s="378"/>
      <c r="C2879" s="315"/>
      <c r="D2879" s="316"/>
      <c r="E2879" s="315"/>
      <c r="F2879" s="315"/>
      <c r="G2879" s="315"/>
      <c r="H2879" s="153"/>
      <c r="I2879" s="12"/>
      <c r="J2879" s="12"/>
      <c r="K2879" s="12"/>
      <c r="L2879" s="379"/>
      <c r="M2879" s="380"/>
      <c r="N2879" s="380"/>
      <c r="O2879" s="12"/>
      <c r="P2879" s="381"/>
      <c r="Q2879" s="12"/>
      <c r="R2879" s="12"/>
      <c r="S2879" s="382"/>
      <c r="T2879" s="383"/>
      <c r="U2879" s="384"/>
      <c r="V2879" s="12"/>
      <c r="W2879" s="12"/>
    </row>
    <row r="2880" spans="1:23" x14ac:dyDescent="0.3">
      <c r="A2880" s="193" t="str">
        <v/>
      </c>
      <c r="B2880" s="378"/>
      <c r="C2880" s="315"/>
      <c r="D2880" s="316"/>
      <c r="E2880" s="315"/>
      <c r="F2880" s="315"/>
      <c r="G2880" s="315"/>
      <c r="H2880" s="153"/>
      <c r="I2880" s="12"/>
      <c r="J2880" s="12"/>
      <c r="K2880" s="12"/>
      <c r="L2880" s="379"/>
      <c r="M2880" s="380"/>
      <c r="N2880" s="380"/>
      <c r="O2880" s="12"/>
      <c r="P2880" s="381"/>
      <c r="Q2880" s="12"/>
      <c r="R2880" s="12"/>
      <c r="S2880" s="382"/>
      <c r="T2880" s="383"/>
      <c r="U2880" s="384"/>
      <c r="V2880" s="12"/>
      <c r="W2880" s="12"/>
    </row>
    <row r="2881" spans="1:23" x14ac:dyDescent="0.3">
      <c r="A2881" s="193" t="str">
        <v/>
      </c>
      <c r="B2881" s="378"/>
      <c r="C2881" s="315"/>
      <c r="D2881" s="316"/>
      <c r="E2881" s="315"/>
      <c r="F2881" s="315"/>
      <c r="G2881" s="315"/>
      <c r="H2881" s="153"/>
      <c r="I2881" s="12"/>
      <c r="J2881" s="12"/>
      <c r="K2881" s="12"/>
      <c r="L2881" s="379"/>
      <c r="M2881" s="380"/>
      <c r="N2881" s="380"/>
      <c r="O2881" s="12"/>
      <c r="P2881" s="381"/>
      <c r="Q2881" s="12"/>
      <c r="R2881" s="12"/>
      <c r="S2881" s="382"/>
      <c r="T2881" s="383"/>
      <c r="U2881" s="384"/>
      <c r="V2881" s="12"/>
      <c r="W2881" s="12"/>
    </row>
    <row r="2882" spans="1:23" x14ac:dyDescent="0.3">
      <c r="A2882" s="193" t="str">
        <v/>
      </c>
      <c r="B2882" s="378"/>
      <c r="C2882" s="315"/>
      <c r="D2882" s="316"/>
      <c r="E2882" s="315"/>
      <c r="F2882" s="315"/>
      <c r="G2882" s="315"/>
      <c r="H2882" s="153"/>
      <c r="I2882" s="12"/>
      <c r="J2882" s="12"/>
      <c r="K2882" s="12"/>
      <c r="L2882" s="379"/>
      <c r="M2882" s="380"/>
      <c r="N2882" s="380"/>
      <c r="O2882" s="12"/>
      <c r="P2882" s="381"/>
      <c r="Q2882" s="12"/>
      <c r="R2882" s="12"/>
      <c r="S2882" s="382"/>
      <c r="T2882" s="383"/>
      <c r="U2882" s="384"/>
      <c r="V2882" s="12"/>
      <c r="W2882" s="12"/>
    </row>
    <row r="2883" spans="1:23" x14ac:dyDescent="0.3">
      <c r="A2883" s="193" t="str">
        <v/>
      </c>
      <c r="B2883" s="378"/>
      <c r="C2883" s="315"/>
      <c r="D2883" s="316"/>
      <c r="E2883" s="315"/>
      <c r="F2883" s="315"/>
      <c r="G2883" s="315"/>
      <c r="H2883" s="153"/>
      <c r="I2883" s="12"/>
      <c r="J2883" s="12"/>
      <c r="K2883" s="12"/>
      <c r="L2883" s="379"/>
      <c r="M2883" s="380"/>
      <c r="N2883" s="380"/>
      <c r="O2883" s="12"/>
      <c r="P2883" s="381"/>
      <c r="Q2883" s="12"/>
      <c r="R2883" s="12"/>
      <c r="S2883" s="382"/>
      <c r="T2883" s="383"/>
      <c r="U2883" s="384"/>
      <c r="V2883" s="12"/>
      <c r="W2883" s="12"/>
    </row>
    <row r="2884" spans="1:23" x14ac:dyDescent="0.3">
      <c r="A2884" s="193" t="str">
        <v/>
      </c>
      <c r="B2884" s="378"/>
      <c r="C2884" s="315"/>
      <c r="D2884" s="316"/>
      <c r="E2884" s="315"/>
      <c r="F2884" s="315"/>
      <c r="G2884" s="315"/>
      <c r="H2884" s="153"/>
      <c r="I2884" s="12"/>
      <c r="J2884" s="12"/>
      <c r="K2884" s="12"/>
      <c r="L2884" s="379"/>
      <c r="M2884" s="380"/>
      <c r="N2884" s="380"/>
      <c r="O2884" s="12"/>
      <c r="P2884" s="381"/>
      <c r="Q2884" s="12"/>
      <c r="R2884" s="12"/>
      <c r="S2884" s="382"/>
      <c r="T2884" s="383"/>
      <c r="U2884" s="384"/>
      <c r="V2884" s="12"/>
      <c r="W2884" s="12"/>
    </row>
    <row r="2885" spans="1:23" x14ac:dyDescent="0.3">
      <c r="A2885" s="193" t="str">
        <v/>
      </c>
      <c r="B2885" s="378"/>
      <c r="C2885" s="315"/>
      <c r="D2885" s="316"/>
      <c r="E2885" s="315"/>
      <c r="F2885" s="315"/>
      <c r="G2885" s="315"/>
      <c r="H2885" s="153"/>
      <c r="I2885" s="12"/>
      <c r="J2885" s="12"/>
      <c r="K2885" s="12"/>
      <c r="L2885" s="379"/>
      <c r="M2885" s="380"/>
      <c r="N2885" s="380"/>
      <c r="O2885" s="12"/>
      <c r="P2885" s="381"/>
      <c r="Q2885" s="12"/>
      <c r="R2885" s="12"/>
      <c r="S2885" s="382"/>
      <c r="T2885" s="383"/>
      <c r="U2885" s="384"/>
      <c r="V2885" s="12"/>
      <c r="W2885" s="12"/>
    </row>
    <row r="2886" spans="1:23" x14ac:dyDescent="0.3">
      <c r="A2886" s="193" t="str">
        <v/>
      </c>
      <c r="B2886" s="378"/>
      <c r="C2886" s="315"/>
      <c r="D2886" s="316"/>
      <c r="E2886" s="315"/>
      <c r="F2886" s="315"/>
      <c r="G2886" s="315"/>
      <c r="H2886" s="153"/>
      <c r="I2886" s="12"/>
      <c r="J2886" s="12"/>
      <c r="K2886" s="12"/>
      <c r="L2886" s="379"/>
      <c r="M2886" s="380"/>
      <c r="N2886" s="380"/>
      <c r="O2886" s="12"/>
      <c r="P2886" s="381"/>
      <c r="Q2886" s="12"/>
      <c r="R2886" s="12"/>
      <c r="S2886" s="382"/>
      <c r="T2886" s="383"/>
      <c r="U2886" s="384"/>
      <c r="V2886" s="12"/>
      <c r="W2886" s="12"/>
    </row>
    <row r="2887" spans="1:23" x14ac:dyDescent="0.3">
      <c r="A2887" s="193" t="str">
        <v/>
      </c>
      <c r="B2887" s="378"/>
      <c r="C2887" s="315"/>
      <c r="D2887" s="316"/>
      <c r="E2887" s="315"/>
      <c r="F2887" s="315"/>
      <c r="G2887" s="315"/>
      <c r="H2887" s="153"/>
      <c r="I2887" s="12"/>
      <c r="J2887" s="12"/>
      <c r="K2887" s="12"/>
      <c r="L2887" s="379"/>
      <c r="M2887" s="380"/>
      <c r="N2887" s="380"/>
      <c r="O2887" s="12"/>
      <c r="P2887" s="381"/>
      <c r="Q2887" s="12"/>
      <c r="R2887" s="12"/>
      <c r="S2887" s="382"/>
      <c r="T2887" s="383"/>
      <c r="U2887" s="384"/>
      <c r="V2887" s="12"/>
      <c r="W2887" s="12"/>
    </row>
    <row r="2888" spans="1:23" x14ac:dyDescent="0.3">
      <c r="A2888" s="193" t="str">
        <v/>
      </c>
      <c r="B2888" s="378"/>
      <c r="C2888" s="315"/>
      <c r="D2888" s="316"/>
      <c r="E2888" s="315"/>
      <c r="F2888" s="315"/>
      <c r="G2888" s="315"/>
      <c r="H2888" s="153"/>
      <c r="I2888" s="12"/>
      <c r="J2888" s="12"/>
      <c r="K2888" s="12"/>
      <c r="L2888" s="379"/>
      <c r="M2888" s="380"/>
      <c r="N2888" s="380"/>
      <c r="O2888" s="12"/>
      <c r="P2888" s="381"/>
      <c r="Q2888" s="12"/>
      <c r="R2888" s="12"/>
      <c r="S2888" s="382"/>
      <c r="T2888" s="383"/>
      <c r="U2888" s="384"/>
      <c r="V2888" s="12"/>
      <c r="W2888" s="12"/>
    </row>
    <row r="2889" spans="1:23" x14ac:dyDescent="0.3">
      <c r="A2889" s="193" t="str">
        <v/>
      </c>
      <c r="B2889" s="378"/>
      <c r="C2889" s="315"/>
      <c r="D2889" s="316"/>
      <c r="E2889" s="315"/>
      <c r="F2889" s="315"/>
      <c r="G2889" s="315"/>
      <c r="H2889" s="153"/>
      <c r="I2889" s="12"/>
      <c r="J2889" s="12"/>
      <c r="K2889" s="12"/>
      <c r="L2889" s="379"/>
      <c r="M2889" s="380"/>
      <c r="N2889" s="380"/>
      <c r="O2889" s="12"/>
      <c r="P2889" s="381"/>
      <c r="Q2889" s="12"/>
      <c r="R2889" s="12"/>
      <c r="S2889" s="382"/>
      <c r="T2889" s="383"/>
      <c r="U2889" s="384"/>
      <c r="V2889" s="12"/>
      <c r="W2889" s="12"/>
    </row>
    <row r="2890" spans="1:23" x14ac:dyDescent="0.3">
      <c r="A2890" s="193" t="str">
        <v/>
      </c>
      <c r="B2890" s="378"/>
      <c r="C2890" s="315"/>
      <c r="D2890" s="316"/>
      <c r="E2890" s="315"/>
      <c r="F2890" s="315"/>
      <c r="G2890" s="315"/>
      <c r="H2890" s="153"/>
      <c r="I2890" s="12"/>
      <c r="J2890" s="12"/>
      <c r="K2890" s="12"/>
      <c r="L2890" s="379"/>
      <c r="M2890" s="380"/>
      <c r="N2890" s="380"/>
      <c r="O2890" s="12"/>
      <c r="P2890" s="381"/>
      <c r="Q2890" s="12"/>
      <c r="R2890" s="12"/>
      <c r="S2890" s="382"/>
      <c r="T2890" s="383"/>
      <c r="U2890" s="384"/>
      <c r="V2890" s="12"/>
      <c r="W2890" s="12"/>
    </row>
    <row r="2891" spans="1:23" x14ac:dyDescent="0.3">
      <c r="A2891" s="193" t="str">
        <v/>
      </c>
      <c r="B2891" s="378"/>
      <c r="C2891" s="315"/>
      <c r="D2891" s="316"/>
      <c r="E2891" s="315"/>
      <c r="F2891" s="315"/>
      <c r="G2891" s="315"/>
      <c r="H2891" s="153"/>
      <c r="I2891" s="12"/>
      <c r="J2891" s="12"/>
      <c r="K2891" s="12"/>
      <c r="L2891" s="379"/>
      <c r="M2891" s="380"/>
      <c r="N2891" s="380"/>
      <c r="O2891" s="12"/>
      <c r="P2891" s="381"/>
      <c r="Q2891" s="12"/>
      <c r="R2891" s="12"/>
      <c r="S2891" s="382"/>
      <c r="T2891" s="383"/>
      <c r="U2891" s="384"/>
      <c r="V2891" s="12"/>
      <c r="W2891" s="12"/>
    </row>
    <row r="2892" spans="1:23" x14ac:dyDescent="0.3">
      <c r="A2892" s="193" t="str">
        <v/>
      </c>
      <c r="B2892" s="378"/>
      <c r="C2892" s="315"/>
      <c r="D2892" s="316"/>
      <c r="E2892" s="315"/>
      <c r="F2892" s="315"/>
      <c r="G2892" s="315"/>
      <c r="H2892" s="153"/>
      <c r="I2892" s="12"/>
      <c r="J2892" s="12"/>
      <c r="K2892" s="12"/>
      <c r="L2892" s="379"/>
      <c r="M2892" s="380"/>
      <c r="N2892" s="380"/>
      <c r="O2892" s="12"/>
      <c r="P2892" s="381"/>
      <c r="Q2892" s="12"/>
      <c r="R2892" s="12"/>
      <c r="S2892" s="382"/>
      <c r="T2892" s="383"/>
      <c r="U2892" s="384"/>
      <c r="V2892" s="12"/>
      <c r="W2892" s="12"/>
    </row>
    <row r="2893" spans="1:23" x14ac:dyDescent="0.3">
      <c r="A2893" s="193" t="str">
        <v/>
      </c>
      <c r="B2893" s="378"/>
      <c r="C2893" s="315"/>
      <c r="D2893" s="316"/>
      <c r="E2893" s="315"/>
      <c r="F2893" s="315"/>
      <c r="G2893" s="315"/>
      <c r="H2893" s="153"/>
      <c r="I2893" s="12"/>
      <c r="J2893" s="12"/>
      <c r="K2893" s="12"/>
      <c r="L2893" s="379"/>
      <c r="M2893" s="380"/>
      <c r="N2893" s="380"/>
      <c r="O2893" s="12"/>
      <c r="P2893" s="381"/>
      <c r="Q2893" s="12"/>
      <c r="R2893" s="12"/>
      <c r="S2893" s="382"/>
      <c r="T2893" s="383"/>
      <c r="U2893" s="384"/>
      <c r="V2893" s="12"/>
      <c r="W2893" s="12"/>
    </row>
    <row r="2894" spans="1:23" x14ac:dyDescent="0.3">
      <c r="A2894" s="193" t="str">
        <v/>
      </c>
      <c r="B2894" s="378"/>
      <c r="C2894" s="315"/>
      <c r="D2894" s="316"/>
      <c r="E2894" s="315"/>
      <c r="F2894" s="315"/>
      <c r="G2894" s="315"/>
      <c r="H2894" s="153"/>
      <c r="I2894" s="12"/>
      <c r="J2894" s="12"/>
      <c r="K2894" s="12"/>
      <c r="L2894" s="379"/>
      <c r="M2894" s="380"/>
      <c r="N2894" s="380"/>
      <c r="O2894" s="12"/>
      <c r="P2894" s="381"/>
      <c r="Q2894" s="12"/>
      <c r="R2894" s="12"/>
      <c r="S2894" s="382"/>
      <c r="T2894" s="383"/>
      <c r="U2894" s="384"/>
      <c r="V2894" s="12"/>
      <c r="W2894" s="12"/>
    </row>
    <row r="2895" spans="1:23" x14ac:dyDescent="0.3">
      <c r="A2895" s="193" t="str">
        <v/>
      </c>
      <c r="B2895" s="378"/>
      <c r="C2895" s="315"/>
      <c r="D2895" s="316"/>
      <c r="E2895" s="315"/>
      <c r="F2895" s="315"/>
      <c r="G2895" s="315"/>
      <c r="H2895" s="153"/>
      <c r="I2895" s="12"/>
      <c r="J2895" s="12"/>
      <c r="K2895" s="12"/>
      <c r="L2895" s="379"/>
      <c r="M2895" s="380"/>
      <c r="N2895" s="380"/>
      <c r="O2895" s="12"/>
      <c r="P2895" s="381"/>
      <c r="Q2895" s="12"/>
      <c r="R2895" s="12"/>
      <c r="S2895" s="382"/>
      <c r="T2895" s="383"/>
      <c r="U2895" s="384"/>
      <c r="V2895" s="12"/>
      <c r="W2895" s="12"/>
    </row>
    <row r="2896" spans="1:23" x14ac:dyDescent="0.3">
      <c r="A2896" s="193" t="str">
        <v/>
      </c>
      <c r="B2896" s="378"/>
      <c r="C2896" s="315"/>
      <c r="D2896" s="316"/>
      <c r="E2896" s="315"/>
      <c r="F2896" s="315"/>
      <c r="G2896" s="315"/>
      <c r="H2896" s="153"/>
      <c r="I2896" s="12"/>
      <c r="J2896" s="12"/>
      <c r="K2896" s="12"/>
      <c r="L2896" s="379"/>
      <c r="M2896" s="380"/>
      <c r="N2896" s="380"/>
      <c r="O2896" s="12"/>
      <c r="P2896" s="381"/>
      <c r="Q2896" s="12"/>
      <c r="R2896" s="12"/>
      <c r="S2896" s="382"/>
      <c r="T2896" s="383"/>
      <c r="U2896" s="384"/>
      <c r="V2896" s="12"/>
      <c r="W2896" s="12"/>
    </row>
    <row r="2897" spans="1:23" x14ac:dyDescent="0.3">
      <c r="A2897" s="193" t="str">
        <v/>
      </c>
      <c r="B2897" s="378"/>
      <c r="C2897" s="315"/>
      <c r="D2897" s="316"/>
      <c r="E2897" s="315"/>
      <c r="F2897" s="315"/>
      <c r="G2897" s="315"/>
      <c r="H2897" s="153"/>
      <c r="I2897" s="12"/>
      <c r="J2897" s="12"/>
      <c r="K2897" s="12"/>
      <c r="L2897" s="379"/>
      <c r="M2897" s="380"/>
      <c r="N2897" s="380"/>
      <c r="O2897" s="12"/>
      <c r="P2897" s="381"/>
      <c r="Q2897" s="12"/>
      <c r="R2897" s="12"/>
      <c r="S2897" s="382"/>
      <c r="T2897" s="383"/>
      <c r="U2897" s="384"/>
      <c r="V2897" s="12"/>
      <c r="W2897" s="12"/>
    </row>
    <row r="2898" spans="1:23" x14ac:dyDescent="0.3">
      <c r="A2898" s="193" t="str">
        <v/>
      </c>
      <c r="B2898" s="378"/>
      <c r="C2898" s="315"/>
      <c r="D2898" s="316"/>
      <c r="E2898" s="315"/>
      <c r="F2898" s="315"/>
      <c r="G2898" s="315"/>
      <c r="H2898" s="153"/>
      <c r="I2898" s="12"/>
      <c r="J2898" s="12"/>
      <c r="K2898" s="12"/>
      <c r="L2898" s="379"/>
      <c r="M2898" s="380"/>
      <c r="N2898" s="380"/>
      <c r="O2898" s="12"/>
      <c r="P2898" s="381"/>
      <c r="Q2898" s="12"/>
      <c r="R2898" s="12"/>
      <c r="S2898" s="382"/>
      <c r="T2898" s="383"/>
      <c r="U2898" s="384"/>
      <c r="V2898" s="12"/>
      <c r="W2898" s="12"/>
    </row>
    <row r="2899" spans="1:23" x14ac:dyDescent="0.3">
      <c r="A2899" s="193" t="str">
        <v/>
      </c>
      <c r="B2899" s="378"/>
      <c r="C2899" s="315"/>
      <c r="D2899" s="316"/>
      <c r="E2899" s="315"/>
      <c r="F2899" s="315"/>
      <c r="G2899" s="315"/>
      <c r="H2899" s="153"/>
      <c r="I2899" s="12"/>
      <c r="J2899" s="12"/>
      <c r="K2899" s="12"/>
      <c r="L2899" s="379"/>
      <c r="M2899" s="380"/>
      <c r="N2899" s="380"/>
      <c r="O2899" s="12"/>
      <c r="P2899" s="381"/>
      <c r="Q2899" s="12"/>
      <c r="R2899" s="12"/>
      <c r="S2899" s="382"/>
      <c r="T2899" s="383"/>
      <c r="U2899" s="384"/>
      <c r="V2899" s="12"/>
      <c r="W2899" s="12"/>
    </row>
    <row r="2900" spans="1:23" x14ac:dyDescent="0.3">
      <c r="A2900" s="193" t="str">
        <v/>
      </c>
      <c r="B2900" s="378"/>
      <c r="C2900" s="315"/>
      <c r="D2900" s="316"/>
      <c r="E2900" s="315"/>
      <c r="F2900" s="315"/>
      <c r="G2900" s="315"/>
      <c r="H2900" s="153"/>
      <c r="I2900" s="12"/>
      <c r="J2900" s="12"/>
      <c r="K2900" s="12"/>
      <c r="L2900" s="379"/>
      <c r="M2900" s="380"/>
      <c r="N2900" s="380"/>
      <c r="O2900" s="12"/>
      <c r="P2900" s="381"/>
      <c r="Q2900" s="12"/>
      <c r="R2900" s="12"/>
      <c r="S2900" s="382"/>
      <c r="T2900" s="383"/>
      <c r="U2900" s="384"/>
      <c r="V2900" s="12"/>
      <c r="W2900" s="12"/>
    </row>
    <row r="2901" spans="1:23" x14ac:dyDescent="0.3">
      <c r="A2901" s="193" t="str">
        <v/>
      </c>
      <c r="B2901" s="378"/>
      <c r="C2901" s="315"/>
      <c r="D2901" s="316"/>
      <c r="E2901" s="315"/>
      <c r="F2901" s="315"/>
      <c r="G2901" s="315"/>
      <c r="H2901" s="153"/>
      <c r="I2901" s="12"/>
      <c r="J2901" s="12"/>
      <c r="K2901" s="12"/>
      <c r="L2901" s="379"/>
      <c r="M2901" s="380"/>
      <c r="N2901" s="380"/>
      <c r="O2901" s="12"/>
      <c r="P2901" s="381"/>
      <c r="Q2901" s="12"/>
      <c r="R2901" s="12"/>
      <c r="S2901" s="382"/>
      <c r="T2901" s="383"/>
      <c r="U2901" s="384"/>
      <c r="V2901" s="12"/>
      <c r="W2901" s="12"/>
    </row>
    <row r="2902" spans="1:23" x14ac:dyDescent="0.3">
      <c r="A2902" s="193" t="str">
        <v/>
      </c>
      <c r="B2902" s="378"/>
      <c r="C2902" s="315"/>
      <c r="D2902" s="316"/>
      <c r="E2902" s="315"/>
      <c r="F2902" s="315"/>
      <c r="G2902" s="315"/>
      <c r="H2902" s="153"/>
      <c r="I2902" s="12"/>
      <c r="J2902" s="12"/>
      <c r="K2902" s="12"/>
      <c r="L2902" s="379"/>
      <c r="M2902" s="380"/>
      <c r="N2902" s="380"/>
      <c r="O2902" s="12"/>
      <c r="P2902" s="381"/>
      <c r="Q2902" s="12"/>
      <c r="R2902" s="12"/>
      <c r="S2902" s="382"/>
      <c r="T2902" s="383"/>
      <c r="U2902" s="384"/>
      <c r="V2902" s="12"/>
      <c r="W2902" s="12"/>
    </row>
    <row r="2903" spans="1:23" x14ac:dyDescent="0.3">
      <c r="A2903" s="193" t="str">
        <v/>
      </c>
      <c r="B2903" s="378"/>
      <c r="C2903" s="315"/>
      <c r="D2903" s="316"/>
      <c r="E2903" s="315"/>
      <c r="F2903" s="315"/>
      <c r="G2903" s="315"/>
      <c r="H2903" s="153"/>
      <c r="I2903" s="12"/>
      <c r="J2903" s="12"/>
      <c r="K2903" s="12"/>
      <c r="L2903" s="379"/>
      <c r="M2903" s="380"/>
      <c r="N2903" s="380"/>
      <c r="O2903" s="12"/>
      <c r="P2903" s="381"/>
      <c r="Q2903" s="12"/>
      <c r="R2903" s="12"/>
      <c r="S2903" s="382"/>
      <c r="T2903" s="383"/>
      <c r="U2903" s="384"/>
      <c r="V2903" s="12"/>
      <c r="W2903" s="12"/>
    </row>
    <row r="2904" spans="1:23" x14ac:dyDescent="0.3">
      <c r="A2904" s="193" t="str">
        <v/>
      </c>
      <c r="B2904" s="378"/>
      <c r="C2904" s="315"/>
      <c r="D2904" s="316"/>
      <c r="E2904" s="315"/>
      <c r="F2904" s="315"/>
      <c r="G2904" s="315"/>
      <c r="H2904" s="153"/>
      <c r="I2904" s="12"/>
      <c r="J2904" s="12"/>
      <c r="K2904" s="12"/>
      <c r="L2904" s="379"/>
      <c r="M2904" s="380"/>
      <c r="N2904" s="380"/>
      <c r="O2904" s="12"/>
      <c r="P2904" s="381"/>
      <c r="Q2904" s="12"/>
      <c r="R2904" s="12"/>
      <c r="S2904" s="382"/>
      <c r="T2904" s="383"/>
      <c r="U2904" s="384"/>
      <c r="V2904" s="12"/>
      <c r="W2904" s="12"/>
    </row>
    <row r="2905" spans="1:23" x14ac:dyDescent="0.3">
      <c r="A2905" s="193" t="str">
        <v/>
      </c>
      <c r="B2905" s="378"/>
      <c r="C2905" s="315"/>
      <c r="D2905" s="316"/>
      <c r="E2905" s="315"/>
      <c r="F2905" s="315"/>
      <c r="G2905" s="315"/>
      <c r="H2905" s="153"/>
      <c r="I2905" s="12"/>
      <c r="J2905" s="12"/>
      <c r="K2905" s="12"/>
      <c r="L2905" s="379"/>
      <c r="M2905" s="380"/>
      <c r="N2905" s="380"/>
      <c r="O2905" s="12"/>
      <c r="P2905" s="381"/>
      <c r="Q2905" s="12"/>
      <c r="R2905" s="12"/>
      <c r="S2905" s="382"/>
      <c r="T2905" s="383"/>
      <c r="U2905" s="384"/>
      <c r="V2905" s="12"/>
      <c r="W2905" s="12"/>
    </row>
    <row r="2906" spans="1:23" x14ac:dyDescent="0.3">
      <c r="A2906" s="193" t="str">
        <v/>
      </c>
      <c r="B2906" s="378"/>
      <c r="C2906" s="315"/>
      <c r="D2906" s="316"/>
      <c r="E2906" s="315"/>
      <c r="F2906" s="315"/>
      <c r="G2906" s="315"/>
      <c r="H2906" s="153"/>
      <c r="I2906" s="12"/>
      <c r="J2906" s="12"/>
      <c r="K2906" s="12"/>
      <c r="L2906" s="379"/>
      <c r="M2906" s="380"/>
      <c r="N2906" s="380"/>
      <c r="O2906" s="12"/>
      <c r="P2906" s="381"/>
      <c r="Q2906" s="12"/>
      <c r="R2906" s="12"/>
      <c r="S2906" s="382"/>
      <c r="T2906" s="383"/>
      <c r="U2906" s="384"/>
      <c r="V2906" s="12"/>
      <c r="W2906" s="12"/>
    </row>
    <row r="2907" spans="1:23" x14ac:dyDescent="0.3">
      <c r="A2907" s="193" t="str">
        <v/>
      </c>
      <c r="B2907" s="378"/>
      <c r="C2907" s="315"/>
      <c r="D2907" s="316"/>
      <c r="E2907" s="315"/>
      <c r="F2907" s="315"/>
      <c r="G2907" s="315"/>
      <c r="H2907" s="153"/>
      <c r="I2907" s="12"/>
      <c r="J2907" s="12"/>
      <c r="K2907" s="12"/>
      <c r="L2907" s="379"/>
      <c r="M2907" s="380"/>
      <c r="N2907" s="380"/>
      <c r="O2907" s="12"/>
      <c r="P2907" s="381"/>
      <c r="Q2907" s="12"/>
      <c r="R2907" s="12"/>
      <c r="S2907" s="382"/>
      <c r="T2907" s="383"/>
      <c r="U2907" s="384"/>
      <c r="V2907" s="12"/>
      <c r="W2907" s="12"/>
    </row>
    <row r="2908" spans="1:23" x14ac:dyDescent="0.3">
      <c r="A2908" s="193" t="str">
        <v/>
      </c>
      <c r="B2908" s="378"/>
      <c r="C2908" s="315"/>
      <c r="D2908" s="316"/>
      <c r="E2908" s="315"/>
      <c r="F2908" s="315"/>
      <c r="G2908" s="315"/>
      <c r="H2908" s="153"/>
      <c r="I2908" s="12"/>
      <c r="J2908" s="12"/>
      <c r="K2908" s="12"/>
      <c r="L2908" s="379"/>
      <c r="M2908" s="380"/>
      <c r="N2908" s="380"/>
      <c r="O2908" s="12"/>
      <c r="P2908" s="381"/>
      <c r="Q2908" s="12"/>
      <c r="R2908" s="12"/>
      <c r="S2908" s="382"/>
      <c r="T2908" s="383"/>
      <c r="U2908" s="384"/>
      <c r="V2908" s="12"/>
      <c r="W2908" s="12"/>
    </row>
    <row r="2909" spans="1:23" x14ac:dyDescent="0.3">
      <c r="A2909" s="193" t="str">
        <v/>
      </c>
      <c r="B2909" s="378"/>
      <c r="C2909" s="315"/>
      <c r="D2909" s="316"/>
      <c r="E2909" s="315"/>
      <c r="F2909" s="315"/>
      <c r="G2909" s="315"/>
      <c r="H2909" s="153"/>
      <c r="I2909" s="12"/>
      <c r="J2909" s="12"/>
      <c r="K2909" s="12"/>
      <c r="L2909" s="379"/>
      <c r="M2909" s="380"/>
      <c r="N2909" s="380"/>
      <c r="O2909" s="12"/>
      <c r="P2909" s="381"/>
      <c r="Q2909" s="12"/>
      <c r="R2909" s="12"/>
      <c r="S2909" s="382"/>
      <c r="T2909" s="383"/>
      <c r="U2909" s="384"/>
      <c r="V2909" s="12"/>
      <c r="W2909" s="12"/>
    </row>
    <row r="2910" spans="1:23" x14ac:dyDescent="0.3">
      <c r="A2910" s="193" t="str">
        <v/>
      </c>
      <c r="B2910" s="378"/>
      <c r="C2910" s="315"/>
      <c r="D2910" s="316"/>
      <c r="E2910" s="315"/>
      <c r="F2910" s="315"/>
      <c r="G2910" s="315"/>
      <c r="H2910" s="153"/>
      <c r="I2910" s="12"/>
      <c r="J2910" s="12"/>
      <c r="K2910" s="12"/>
      <c r="L2910" s="379"/>
      <c r="M2910" s="380"/>
      <c r="N2910" s="380"/>
      <c r="O2910" s="12"/>
      <c r="P2910" s="381"/>
      <c r="Q2910" s="12"/>
      <c r="R2910" s="12"/>
      <c r="S2910" s="382"/>
      <c r="T2910" s="383"/>
      <c r="U2910" s="384"/>
      <c r="V2910" s="12"/>
      <c r="W2910" s="12"/>
    </row>
    <row r="2911" spans="1:23" x14ac:dyDescent="0.3">
      <c r="A2911" s="193" t="str">
        <v/>
      </c>
      <c r="B2911" s="378"/>
      <c r="C2911" s="315"/>
      <c r="D2911" s="316"/>
      <c r="E2911" s="315"/>
      <c r="F2911" s="315"/>
      <c r="G2911" s="315"/>
      <c r="H2911" s="153"/>
      <c r="I2911" s="12"/>
      <c r="J2911" s="12"/>
      <c r="K2911" s="12"/>
      <c r="L2911" s="379"/>
      <c r="M2911" s="380"/>
      <c r="N2911" s="380"/>
      <c r="O2911" s="12"/>
      <c r="P2911" s="381"/>
      <c r="Q2911" s="12"/>
      <c r="R2911" s="12"/>
      <c r="S2911" s="382"/>
      <c r="T2911" s="383"/>
      <c r="U2911" s="384"/>
      <c r="V2911" s="12"/>
      <c r="W2911" s="12"/>
    </row>
    <row r="2912" spans="1:23" x14ac:dyDescent="0.3">
      <c r="A2912" s="193" t="str">
        <v/>
      </c>
      <c r="B2912" s="378"/>
      <c r="C2912" s="315"/>
      <c r="D2912" s="316"/>
      <c r="E2912" s="315"/>
      <c r="F2912" s="315"/>
      <c r="G2912" s="315"/>
      <c r="H2912" s="153"/>
      <c r="I2912" s="12"/>
      <c r="J2912" s="12"/>
      <c r="K2912" s="12"/>
      <c r="L2912" s="379"/>
      <c r="M2912" s="380"/>
      <c r="N2912" s="380"/>
      <c r="O2912" s="12"/>
      <c r="P2912" s="381"/>
      <c r="Q2912" s="12"/>
      <c r="R2912" s="12"/>
      <c r="S2912" s="382"/>
      <c r="T2912" s="383"/>
      <c r="U2912" s="384"/>
      <c r="V2912" s="12"/>
      <c r="W2912" s="12"/>
    </row>
    <row r="2913" spans="1:23" x14ac:dyDescent="0.3">
      <c r="A2913" s="193" t="str">
        <v/>
      </c>
      <c r="B2913" s="378"/>
      <c r="C2913" s="315"/>
      <c r="D2913" s="316"/>
      <c r="E2913" s="315"/>
      <c r="F2913" s="315"/>
      <c r="G2913" s="315"/>
      <c r="H2913" s="153"/>
      <c r="I2913" s="12"/>
      <c r="J2913" s="12"/>
      <c r="K2913" s="12"/>
      <c r="L2913" s="379"/>
      <c r="M2913" s="380"/>
      <c r="N2913" s="380"/>
      <c r="O2913" s="12"/>
      <c r="P2913" s="381"/>
      <c r="Q2913" s="12"/>
      <c r="R2913" s="12"/>
      <c r="S2913" s="382"/>
      <c r="T2913" s="383"/>
      <c r="U2913" s="384"/>
      <c r="V2913" s="12"/>
      <c r="W2913" s="12"/>
    </row>
    <row r="2914" spans="1:23" x14ac:dyDescent="0.3">
      <c r="A2914" s="193" t="str">
        <v/>
      </c>
      <c r="B2914" s="378"/>
      <c r="C2914" s="315"/>
      <c r="D2914" s="316"/>
      <c r="E2914" s="315"/>
      <c r="F2914" s="315"/>
      <c r="G2914" s="315"/>
      <c r="H2914" s="153"/>
      <c r="I2914" s="12"/>
      <c r="J2914" s="12"/>
      <c r="K2914" s="12"/>
      <c r="L2914" s="379"/>
      <c r="M2914" s="380"/>
      <c r="N2914" s="380"/>
      <c r="O2914" s="12"/>
      <c r="P2914" s="381"/>
      <c r="Q2914" s="12"/>
      <c r="R2914" s="12"/>
      <c r="S2914" s="382"/>
      <c r="T2914" s="383"/>
      <c r="U2914" s="384"/>
      <c r="V2914" s="12"/>
      <c r="W2914" s="12"/>
    </row>
    <row r="2915" spans="1:23" x14ac:dyDescent="0.3">
      <c r="A2915" s="193" t="str">
        <v/>
      </c>
      <c r="B2915" s="378"/>
      <c r="C2915" s="315"/>
      <c r="D2915" s="316"/>
      <c r="E2915" s="315"/>
      <c r="F2915" s="315"/>
      <c r="G2915" s="315"/>
      <c r="H2915" s="153"/>
      <c r="I2915" s="12"/>
      <c r="J2915" s="12"/>
      <c r="K2915" s="12"/>
      <c r="L2915" s="379"/>
      <c r="M2915" s="380"/>
      <c r="N2915" s="380"/>
      <c r="O2915" s="12"/>
      <c r="P2915" s="381"/>
      <c r="Q2915" s="12"/>
      <c r="R2915" s="12"/>
      <c r="S2915" s="382"/>
      <c r="T2915" s="383"/>
      <c r="U2915" s="384"/>
      <c r="V2915" s="12"/>
      <c r="W2915" s="12"/>
    </row>
    <row r="2916" spans="1:23" x14ac:dyDescent="0.3">
      <c r="A2916" s="193" t="str">
        <v/>
      </c>
      <c r="B2916" s="378"/>
      <c r="C2916" s="315"/>
      <c r="D2916" s="316"/>
      <c r="E2916" s="315"/>
      <c r="F2916" s="315"/>
      <c r="G2916" s="315"/>
      <c r="H2916" s="153"/>
      <c r="I2916" s="12"/>
      <c r="J2916" s="12"/>
      <c r="K2916" s="12"/>
      <c r="L2916" s="379"/>
      <c r="M2916" s="380"/>
      <c r="N2916" s="380"/>
      <c r="O2916" s="12"/>
      <c r="P2916" s="381"/>
      <c r="Q2916" s="12"/>
      <c r="R2916" s="12"/>
      <c r="S2916" s="382"/>
      <c r="T2916" s="383"/>
      <c r="U2916" s="384"/>
      <c r="V2916" s="12"/>
      <c r="W2916" s="12"/>
    </row>
    <row r="2917" spans="1:23" x14ac:dyDescent="0.3">
      <c r="A2917" s="193" t="str">
        <v/>
      </c>
      <c r="B2917" s="378"/>
      <c r="C2917" s="315"/>
      <c r="D2917" s="316"/>
      <c r="E2917" s="315"/>
      <c r="F2917" s="315"/>
      <c r="G2917" s="315"/>
      <c r="H2917" s="153"/>
      <c r="I2917" s="12"/>
      <c r="J2917" s="12"/>
      <c r="K2917" s="12"/>
      <c r="L2917" s="379"/>
      <c r="M2917" s="380"/>
      <c r="N2917" s="380"/>
      <c r="O2917" s="12"/>
      <c r="P2917" s="381"/>
      <c r="Q2917" s="12"/>
      <c r="R2917" s="12"/>
      <c r="S2917" s="382"/>
      <c r="T2917" s="383"/>
      <c r="U2917" s="384"/>
      <c r="V2917" s="12"/>
      <c r="W2917" s="12"/>
    </row>
    <row r="2918" spans="1:23" x14ac:dyDescent="0.3">
      <c r="A2918" s="193" t="str">
        <v/>
      </c>
      <c r="B2918" s="378"/>
      <c r="C2918" s="315"/>
      <c r="D2918" s="316"/>
      <c r="E2918" s="315"/>
      <c r="F2918" s="315"/>
      <c r="G2918" s="315"/>
      <c r="H2918" s="153"/>
      <c r="I2918" s="12"/>
      <c r="J2918" s="12"/>
      <c r="K2918" s="12"/>
      <c r="L2918" s="379"/>
      <c r="M2918" s="380"/>
      <c r="N2918" s="380"/>
      <c r="O2918" s="12"/>
      <c r="P2918" s="381"/>
      <c r="Q2918" s="12"/>
      <c r="R2918" s="12"/>
      <c r="S2918" s="382"/>
      <c r="T2918" s="383"/>
      <c r="U2918" s="384"/>
      <c r="V2918" s="12"/>
      <c r="W2918" s="12"/>
    </row>
    <row r="2919" spans="1:23" x14ac:dyDescent="0.3">
      <c r="A2919" s="193" t="str">
        <v/>
      </c>
      <c r="B2919" s="378"/>
      <c r="C2919" s="315"/>
      <c r="D2919" s="316"/>
      <c r="E2919" s="315"/>
      <c r="F2919" s="315"/>
      <c r="G2919" s="315"/>
      <c r="H2919" s="153"/>
      <c r="I2919" s="12"/>
      <c r="J2919" s="12"/>
      <c r="K2919" s="12"/>
      <c r="L2919" s="379"/>
      <c r="M2919" s="380"/>
      <c r="N2919" s="380"/>
      <c r="O2919" s="12"/>
      <c r="P2919" s="381"/>
      <c r="Q2919" s="12"/>
      <c r="R2919" s="12"/>
      <c r="S2919" s="382"/>
      <c r="T2919" s="383"/>
      <c r="U2919" s="384"/>
      <c r="V2919" s="12"/>
      <c r="W2919" s="12"/>
    </row>
    <row r="2920" spans="1:23" x14ac:dyDescent="0.3">
      <c r="A2920" s="193" t="str">
        <v/>
      </c>
      <c r="B2920" s="378"/>
      <c r="C2920" s="315"/>
      <c r="D2920" s="316"/>
      <c r="E2920" s="315"/>
      <c r="F2920" s="315"/>
      <c r="G2920" s="315"/>
      <c r="H2920" s="153"/>
      <c r="I2920" s="12"/>
      <c r="J2920" s="12"/>
      <c r="K2920" s="12"/>
      <c r="L2920" s="379"/>
      <c r="M2920" s="380"/>
      <c r="N2920" s="380"/>
      <c r="O2920" s="12"/>
      <c r="P2920" s="381"/>
      <c r="Q2920" s="12"/>
      <c r="R2920" s="12"/>
      <c r="S2920" s="382"/>
      <c r="T2920" s="383"/>
      <c r="U2920" s="384"/>
      <c r="V2920" s="12"/>
      <c r="W2920" s="12"/>
    </row>
    <row r="2921" spans="1:23" x14ac:dyDescent="0.3">
      <c r="A2921" s="193" t="str">
        <v/>
      </c>
      <c r="B2921" s="378"/>
      <c r="C2921" s="315"/>
      <c r="D2921" s="316"/>
      <c r="E2921" s="315"/>
      <c r="F2921" s="315"/>
      <c r="G2921" s="315"/>
      <c r="H2921" s="153"/>
      <c r="I2921" s="12"/>
      <c r="J2921" s="12"/>
      <c r="K2921" s="12"/>
      <c r="L2921" s="379"/>
      <c r="M2921" s="380"/>
      <c r="N2921" s="380"/>
      <c r="O2921" s="12"/>
      <c r="P2921" s="381"/>
      <c r="Q2921" s="12"/>
      <c r="R2921" s="12"/>
      <c r="S2921" s="382"/>
      <c r="T2921" s="383"/>
      <c r="U2921" s="384"/>
      <c r="V2921" s="12"/>
      <c r="W2921" s="12"/>
    </row>
    <row r="2922" spans="1:23" x14ac:dyDescent="0.3">
      <c r="A2922" s="193" t="str">
        <v/>
      </c>
      <c r="B2922" s="378"/>
      <c r="C2922" s="315"/>
      <c r="D2922" s="316"/>
      <c r="E2922" s="315"/>
      <c r="F2922" s="315"/>
      <c r="G2922" s="315"/>
      <c r="H2922" s="153"/>
      <c r="I2922" s="12"/>
      <c r="J2922" s="12"/>
      <c r="K2922" s="12"/>
      <c r="L2922" s="379"/>
      <c r="M2922" s="380"/>
      <c r="N2922" s="380"/>
      <c r="O2922" s="12"/>
      <c r="P2922" s="381"/>
      <c r="Q2922" s="12"/>
      <c r="R2922" s="12"/>
      <c r="S2922" s="382"/>
      <c r="T2922" s="383"/>
      <c r="U2922" s="384"/>
      <c r="V2922" s="12"/>
      <c r="W2922" s="12"/>
    </row>
    <row r="2923" spans="1:23" x14ac:dyDescent="0.3">
      <c r="A2923" s="193" t="str">
        <v/>
      </c>
      <c r="B2923" s="378"/>
      <c r="C2923" s="315"/>
      <c r="D2923" s="316"/>
      <c r="E2923" s="315"/>
      <c r="F2923" s="315"/>
      <c r="G2923" s="315"/>
      <c r="H2923" s="153"/>
      <c r="I2923" s="12"/>
      <c r="J2923" s="12"/>
      <c r="K2923" s="12"/>
      <c r="L2923" s="379"/>
      <c r="M2923" s="380"/>
      <c r="N2923" s="380"/>
      <c r="O2923" s="12"/>
      <c r="P2923" s="381"/>
      <c r="Q2923" s="12"/>
      <c r="R2923" s="12"/>
      <c r="S2923" s="382"/>
      <c r="T2923" s="383"/>
      <c r="U2923" s="384"/>
      <c r="V2923" s="12"/>
      <c r="W2923" s="12"/>
    </row>
    <row r="2924" spans="1:23" x14ac:dyDescent="0.3">
      <c r="A2924" s="193" t="str">
        <v/>
      </c>
      <c r="B2924" s="378"/>
      <c r="C2924" s="315"/>
      <c r="D2924" s="316"/>
      <c r="E2924" s="315"/>
      <c r="F2924" s="315"/>
      <c r="G2924" s="315"/>
      <c r="H2924" s="153"/>
      <c r="I2924" s="12"/>
      <c r="J2924" s="12"/>
      <c r="K2924" s="12"/>
      <c r="L2924" s="379"/>
      <c r="M2924" s="380"/>
      <c r="N2924" s="380"/>
      <c r="O2924" s="12"/>
      <c r="P2924" s="381"/>
      <c r="Q2924" s="12"/>
      <c r="R2924" s="12"/>
      <c r="S2924" s="382"/>
      <c r="T2924" s="383"/>
      <c r="U2924" s="384"/>
      <c r="V2924" s="12"/>
      <c r="W2924" s="12"/>
    </row>
    <row r="2925" spans="1:23" x14ac:dyDescent="0.3">
      <c r="A2925" s="193" t="str">
        <v/>
      </c>
      <c r="B2925" s="378"/>
      <c r="C2925" s="315"/>
      <c r="D2925" s="316"/>
      <c r="E2925" s="315"/>
      <c r="F2925" s="315"/>
      <c r="G2925" s="315"/>
      <c r="H2925" s="153"/>
      <c r="I2925" s="12"/>
      <c r="J2925" s="12"/>
      <c r="K2925" s="12"/>
      <c r="L2925" s="379"/>
      <c r="M2925" s="380"/>
      <c r="N2925" s="380"/>
      <c r="O2925" s="12"/>
      <c r="P2925" s="381"/>
      <c r="Q2925" s="12"/>
      <c r="R2925" s="12"/>
      <c r="S2925" s="382"/>
      <c r="T2925" s="383"/>
      <c r="U2925" s="384"/>
      <c r="V2925" s="12"/>
      <c r="W2925" s="12"/>
    </row>
    <row r="2926" spans="1:23" x14ac:dyDescent="0.3">
      <c r="A2926" s="193" t="str">
        <v/>
      </c>
      <c r="B2926" s="378"/>
      <c r="C2926" s="315"/>
      <c r="D2926" s="316"/>
      <c r="E2926" s="315"/>
      <c r="F2926" s="315"/>
      <c r="G2926" s="315"/>
      <c r="H2926" s="153"/>
      <c r="I2926" s="12"/>
      <c r="J2926" s="12"/>
      <c r="K2926" s="12"/>
      <c r="L2926" s="379"/>
      <c r="M2926" s="380"/>
      <c r="N2926" s="380"/>
      <c r="O2926" s="12"/>
      <c r="P2926" s="381"/>
      <c r="Q2926" s="12"/>
      <c r="R2926" s="12"/>
      <c r="S2926" s="382"/>
      <c r="T2926" s="383"/>
      <c r="U2926" s="384"/>
      <c r="V2926" s="12"/>
      <c r="W2926" s="12"/>
    </row>
    <row r="2927" spans="1:23" x14ac:dyDescent="0.3">
      <c r="A2927" s="193" t="str">
        <v/>
      </c>
      <c r="B2927" s="378"/>
      <c r="C2927" s="315"/>
      <c r="D2927" s="316"/>
      <c r="E2927" s="315"/>
      <c r="F2927" s="315"/>
      <c r="G2927" s="315"/>
      <c r="H2927" s="153"/>
      <c r="I2927" s="12"/>
      <c r="J2927" s="12"/>
      <c r="K2927" s="12"/>
      <c r="L2927" s="379"/>
      <c r="M2927" s="380"/>
      <c r="N2927" s="380"/>
      <c r="O2927" s="12"/>
      <c r="P2927" s="381"/>
      <c r="Q2927" s="12"/>
      <c r="R2927" s="12"/>
      <c r="S2927" s="382"/>
      <c r="T2927" s="383"/>
      <c r="U2927" s="384"/>
      <c r="V2927" s="12"/>
      <c r="W2927" s="12"/>
    </row>
    <row r="2928" spans="1:23" x14ac:dyDescent="0.3">
      <c r="A2928" s="193" t="str">
        <v/>
      </c>
      <c r="B2928" s="378"/>
      <c r="C2928" s="315"/>
      <c r="D2928" s="316"/>
      <c r="E2928" s="315"/>
      <c r="F2928" s="315"/>
      <c r="G2928" s="315"/>
      <c r="H2928" s="153"/>
      <c r="I2928" s="12"/>
      <c r="J2928" s="12"/>
      <c r="K2928" s="12"/>
      <c r="L2928" s="379"/>
      <c r="M2928" s="380"/>
      <c r="N2928" s="380"/>
      <c r="O2928" s="12"/>
      <c r="P2928" s="381"/>
      <c r="Q2928" s="12"/>
      <c r="R2928" s="12"/>
      <c r="S2928" s="382"/>
      <c r="T2928" s="383"/>
      <c r="U2928" s="384"/>
      <c r="V2928" s="12"/>
      <c r="W2928" s="12"/>
    </row>
    <row r="2929" spans="1:23" x14ac:dyDescent="0.3">
      <c r="A2929" s="193" t="str">
        <v/>
      </c>
      <c r="B2929" s="378"/>
      <c r="C2929" s="315"/>
      <c r="D2929" s="316"/>
      <c r="E2929" s="315"/>
      <c r="F2929" s="315"/>
      <c r="G2929" s="315"/>
      <c r="H2929" s="153"/>
      <c r="I2929" s="12"/>
      <c r="J2929" s="12"/>
      <c r="K2929" s="12"/>
      <c r="L2929" s="379"/>
      <c r="M2929" s="380"/>
      <c r="N2929" s="380"/>
      <c r="O2929" s="12"/>
      <c r="P2929" s="381"/>
      <c r="Q2929" s="12"/>
      <c r="R2929" s="12"/>
      <c r="S2929" s="382"/>
      <c r="T2929" s="383"/>
      <c r="U2929" s="384"/>
      <c r="V2929" s="12"/>
      <c r="W2929" s="12"/>
    </row>
    <row r="2930" spans="1:23" x14ac:dyDescent="0.3">
      <c r="A2930" s="193" t="str">
        <v/>
      </c>
      <c r="B2930" s="378"/>
      <c r="C2930" s="315"/>
      <c r="D2930" s="316"/>
      <c r="E2930" s="315"/>
      <c r="F2930" s="315"/>
      <c r="G2930" s="315"/>
      <c r="H2930" s="153"/>
      <c r="I2930" s="12"/>
      <c r="J2930" s="12"/>
      <c r="K2930" s="12"/>
      <c r="L2930" s="379"/>
      <c r="M2930" s="380"/>
      <c r="N2930" s="380"/>
      <c r="O2930" s="12"/>
      <c r="P2930" s="381"/>
      <c r="Q2930" s="12"/>
      <c r="R2930" s="12"/>
      <c r="S2930" s="382"/>
      <c r="T2930" s="383"/>
      <c r="U2930" s="384"/>
      <c r="V2930" s="12"/>
      <c r="W2930" s="12"/>
    </row>
    <row r="2931" spans="1:23" x14ac:dyDescent="0.3">
      <c r="A2931" s="193" t="str">
        <v/>
      </c>
      <c r="B2931" s="378"/>
      <c r="C2931" s="315"/>
      <c r="D2931" s="316"/>
      <c r="E2931" s="315"/>
      <c r="F2931" s="315"/>
      <c r="G2931" s="315"/>
      <c r="H2931" s="153"/>
      <c r="I2931" s="12"/>
      <c r="J2931" s="12"/>
      <c r="K2931" s="12"/>
      <c r="L2931" s="379"/>
      <c r="M2931" s="380"/>
      <c r="N2931" s="380"/>
      <c r="O2931" s="12"/>
      <c r="P2931" s="381"/>
      <c r="Q2931" s="12"/>
      <c r="R2931" s="12"/>
      <c r="S2931" s="382"/>
      <c r="T2931" s="383"/>
      <c r="U2931" s="384"/>
      <c r="V2931" s="12"/>
      <c r="W2931" s="12"/>
    </row>
    <row r="2932" spans="1:23" x14ac:dyDescent="0.3">
      <c r="A2932" s="193" t="str">
        <v/>
      </c>
      <c r="B2932" s="378"/>
      <c r="C2932" s="315"/>
      <c r="D2932" s="316"/>
      <c r="E2932" s="315"/>
      <c r="F2932" s="315"/>
      <c r="G2932" s="315"/>
      <c r="H2932" s="153"/>
      <c r="I2932" s="12"/>
      <c r="J2932" s="12"/>
      <c r="K2932" s="12"/>
      <c r="L2932" s="379"/>
      <c r="M2932" s="380"/>
      <c r="N2932" s="380"/>
      <c r="O2932" s="12"/>
      <c r="P2932" s="381"/>
      <c r="Q2932" s="12"/>
      <c r="R2932" s="12"/>
      <c r="S2932" s="382"/>
      <c r="T2932" s="383"/>
      <c r="U2932" s="384"/>
      <c r="V2932" s="12"/>
      <c r="W2932" s="12"/>
    </row>
    <row r="2933" spans="1:23" x14ac:dyDescent="0.3">
      <c r="A2933" s="193" t="str">
        <v/>
      </c>
      <c r="B2933" s="378"/>
      <c r="C2933" s="315"/>
      <c r="D2933" s="316"/>
      <c r="E2933" s="315"/>
      <c r="F2933" s="315"/>
      <c r="G2933" s="315"/>
      <c r="H2933" s="153"/>
      <c r="I2933" s="12"/>
      <c r="J2933" s="12"/>
      <c r="K2933" s="12"/>
      <c r="L2933" s="379"/>
      <c r="M2933" s="380"/>
      <c r="N2933" s="380"/>
      <c r="O2933" s="12"/>
      <c r="P2933" s="381"/>
      <c r="Q2933" s="12"/>
      <c r="R2933" s="12"/>
      <c r="S2933" s="382"/>
      <c r="T2933" s="383"/>
      <c r="U2933" s="384"/>
      <c r="V2933" s="12"/>
      <c r="W2933" s="12"/>
    </row>
    <row r="2934" spans="1:23" x14ac:dyDescent="0.3">
      <c r="A2934" s="193" t="str">
        <v/>
      </c>
      <c r="B2934" s="378"/>
      <c r="C2934" s="315"/>
      <c r="D2934" s="316"/>
      <c r="E2934" s="315"/>
      <c r="F2934" s="315"/>
      <c r="G2934" s="315"/>
      <c r="H2934" s="153"/>
      <c r="I2934" s="12"/>
      <c r="J2934" s="12"/>
      <c r="K2934" s="12"/>
      <c r="L2934" s="379"/>
      <c r="M2934" s="380"/>
      <c r="N2934" s="380"/>
      <c r="O2934" s="12"/>
      <c r="P2934" s="381"/>
      <c r="Q2934" s="12"/>
      <c r="R2934" s="12"/>
      <c r="S2934" s="382"/>
      <c r="T2934" s="383"/>
      <c r="U2934" s="384"/>
      <c r="V2934" s="12"/>
      <c r="W2934" s="12"/>
    </row>
    <row r="2935" spans="1:23" x14ac:dyDescent="0.3">
      <c r="A2935" s="193" t="str">
        <v/>
      </c>
      <c r="B2935" s="378"/>
      <c r="C2935" s="315"/>
      <c r="D2935" s="316"/>
      <c r="E2935" s="315"/>
      <c r="F2935" s="315"/>
      <c r="G2935" s="315"/>
      <c r="H2935" s="153"/>
      <c r="I2935" s="12"/>
      <c r="J2935" s="12"/>
      <c r="K2935" s="12"/>
      <c r="L2935" s="379"/>
      <c r="M2935" s="380"/>
      <c r="N2935" s="380"/>
      <c r="O2935" s="12"/>
      <c r="P2935" s="381"/>
      <c r="Q2935" s="12"/>
      <c r="R2935" s="12"/>
      <c r="S2935" s="382"/>
      <c r="T2935" s="383"/>
      <c r="U2935" s="384"/>
      <c r="V2935" s="12"/>
      <c r="W2935" s="12"/>
    </row>
    <row r="2936" spans="1:23" x14ac:dyDescent="0.3">
      <c r="A2936" s="193" t="str">
        <v/>
      </c>
      <c r="B2936" s="378"/>
      <c r="C2936" s="315"/>
      <c r="D2936" s="316"/>
      <c r="E2936" s="315"/>
      <c r="F2936" s="315"/>
      <c r="G2936" s="315"/>
      <c r="H2936" s="153"/>
      <c r="I2936" s="12"/>
      <c r="J2936" s="12"/>
      <c r="K2936" s="12"/>
      <c r="L2936" s="379"/>
      <c r="M2936" s="380"/>
      <c r="N2936" s="380"/>
      <c r="O2936" s="12"/>
      <c r="P2936" s="381"/>
      <c r="Q2936" s="12"/>
      <c r="R2936" s="12"/>
      <c r="S2936" s="382"/>
      <c r="T2936" s="383"/>
      <c r="U2936" s="384"/>
      <c r="V2936" s="12"/>
      <c r="W2936" s="12"/>
    </row>
    <row r="2937" spans="1:23" x14ac:dyDescent="0.3">
      <c r="A2937" s="193" t="str">
        <v/>
      </c>
      <c r="B2937" s="378"/>
      <c r="C2937" s="315"/>
      <c r="D2937" s="316"/>
      <c r="E2937" s="315"/>
      <c r="F2937" s="315"/>
      <c r="G2937" s="315"/>
      <c r="H2937" s="153"/>
      <c r="I2937" s="12"/>
      <c r="J2937" s="12"/>
      <c r="K2937" s="12"/>
      <c r="L2937" s="379"/>
      <c r="M2937" s="380"/>
      <c r="N2937" s="380"/>
      <c r="O2937" s="12"/>
      <c r="P2937" s="381"/>
      <c r="Q2937" s="12"/>
      <c r="R2937" s="12"/>
      <c r="S2937" s="382"/>
      <c r="T2937" s="383"/>
      <c r="U2937" s="384"/>
      <c r="V2937" s="12"/>
      <c r="W2937" s="12"/>
    </row>
    <row r="2938" spans="1:23" x14ac:dyDescent="0.3">
      <c r="A2938" s="193" t="str">
        <v/>
      </c>
      <c r="B2938" s="378"/>
      <c r="C2938" s="315"/>
      <c r="D2938" s="316"/>
      <c r="E2938" s="315"/>
      <c r="F2938" s="315"/>
      <c r="G2938" s="315"/>
      <c r="H2938" s="153"/>
      <c r="I2938" s="12"/>
      <c r="J2938" s="12"/>
      <c r="K2938" s="12"/>
      <c r="L2938" s="379"/>
      <c r="M2938" s="380"/>
      <c r="N2938" s="380"/>
      <c r="O2938" s="12"/>
      <c r="P2938" s="381"/>
      <c r="Q2938" s="12"/>
      <c r="R2938" s="12"/>
      <c r="S2938" s="382"/>
      <c r="T2938" s="383"/>
      <c r="U2938" s="384"/>
      <c r="V2938" s="12"/>
      <c r="W2938" s="12"/>
    </row>
    <row r="2939" spans="1:23" x14ac:dyDescent="0.3">
      <c r="A2939" s="193" t="str">
        <v/>
      </c>
      <c r="B2939" s="378"/>
      <c r="C2939" s="315"/>
      <c r="D2939" s="316"/>
      <c r="E2939" s="315"/>
      <c r="F2939" s="315"/>
      <c r="G2939" s="315"/>
      <c r="H2939" s="153"/>
      <c r="I2939" s="12"/>
      <c r="J2939" s="12"/>
      <c r="K2939" s="12"/>
      <c r="L2939" s="379"/>
      <c r="M2939" s="380"/>
      <c r="N2939" s="380"/>
      <c r="O2939" s="12"/>
      <c r="P2939" s="381"/>
      <c r="Q2939" s="12"/>
      <c r="R2939" s="12"/>
      <c r="S2939" s="382"/>
      <c r="T2939" s="383"/>
      <c r="U2939" s="384"/>
      <c r="V2939" s="12"/>
      <c r="W2939" s="12"/>
    </row>
    <row r="2940" spans="1:23" x14ac:dyDescent="0.3">
      <c r="A2940" s="193" t="str">
        <v/>
      </c>
      <c r="B2940" s="378"/>
      <c r="C2940" s="315"/>
      <c r="D2940" s="316"/>
      <c r="E2940" s="315"/>
      <c r="F2940" s="315"/>
      <c r="G2940" s="315"/>
      <c r="H2940" s="153"/>
      <c r="I2940" s="12"/>
      <c r="J2940" s="12"/>
      <c r="K2940" s="12"/>
      <c r="L2940" s="379"/>
      <c r="M2940" s="380"/>
      <c r="N2940" s="380"/>
      <c r="O2940" s="12"/>
      <c r="P2940" s="381"/>
      <c r="Q2940" s="12"/>
      <c r="R2940" s="12"/>
      <c r="S2940" s="382"/>
      <c r="T2940" s="383"/>
      <c r="U2940" s="384"/>
      <c r="V2940" s="12"/>
      <c r="W2940" s="12"/>
    </row>
    <row r="2941" spans="1:23" x14ac:dyDescent="0.3">
      <c r="A2941" s="193" t="str">
        <v/>
      </c>
      <c r="B2941" s="378"/>
      <c r="C2941" s="315"/>
      <c r="D2941" s="316"/>
      <c r="E2941" s="315"/>
      <c r="F2941" s="315"/>
      <c r="G2941" s="315"/>
      <c r="H2941" s="153"/>
      <c r="I2941" s="12"/>
      <c r="J2941" s="12"/>
      <c r="K2941" s="12"/>
      <c r="L2941" s="379"/>
      <c r="M2941" s="380"/>
      <c r="N2941" s="380"/>
      <c r="O2941" s="12"/>
      <c r="P2941" s="381"/>
      <c r="Q2941" s="12"/>
      <c r="R2941" s="12"/>
      <c r="S2941" s="382"/>
      <c r="T2941" s="383"/>
      <c r="U2941" s="384"/>
      <c r="V2941" s="12"/>
      <c r="W2941" s="12"/>
    </row>
    <row r="2942" spans="1:23" x14ac:dyDescent="0.3">
      <c r="A2942" s="193" t="str">
        <v/>
      </c>
      <c r="B2942" s="378"/>
      <c r="C2942" s="315"/>
      <c r="D2942" s="316"/>
      <c r="E2942" s="315"/>
      <c r="F2942" s="315"/>
      <c r="G2942" s="315"/>
      <c r="H2942" s="153"/>
      <c r="I2942" s="12"/>
      <c r="J2942" s="12"/>
      <c r="K2942" s="12"/>
      <c r="L2942" s="379"/>
      <c r="M2942" s="380"/>
      <c r="N2942" s="380"/>
      <c r="O2942" s="12"/>
      <c r="P2942" s="381"/>
      <c r="Q2942" s="12"/>
      <c r="R2942" s="12"/>
      <c r="S2942" s="382"/>
      <c r="T2942" s="383"/>
      <c r="U2942" s="384"/>
      <c r="V2942" s="12"/>
      <c r="W2942" s="12"/>
    </row>
    <row r="2943" spans="1:23" x14ac:dyDescent="0.3">
      <c r="A2943" s="193" t="str">
        <v/>
      </c>
      <c r="B2943" s="378"/>
      <c r="C2943" s="315"/>
      <c r="D2943" s="316"/>
      <c r="E2943" s="315"/>
      <c r="F2943" s="315"/>
      <c r="G2943" s="315"/>
      <c r="H2943" s="153"/>
      <c r="I2943" s="12"/>
      <c r="J2943" s="12"/>
      <c r="K2943" s="12"/>
      <c r="L2943" s="379"/>
      <c r="M2943" s="380"/>
      <c r="N2943" s="380"/>
      <c r="O2943" s="12"/>
      <c r="P2943" s="381"/>
      <c r="Q2943" s="12"/>
      <c r="R2943" s="12"/>
      <c r="S2943" s="382"/>
      <c r="T2943" s="383"/>
      <c r="U2943" s="384"/>
      <c r="V2943" s="12"/>
      <c r="W2943" s="12"/>
    </row>
    <row r="2944" spans="1:23" x14ac:dyDescent="0.3">
      <c r="A2944" s="193" t="str">
        <v/>
      </c>
      <c r="B2944" s="378"/>
      <c r="C2944" s="315"/>
      <c r="D2944" s="316"/>
      <c r="E2944" s="315"/>
      <c r="F2944" s="315"/>
      <c r="G2944" s="315"/>
      <c r="H2944" s="153"/>
      <c r="I2944" s="12"/>
      <c r="J2944" s="12"/>
      <c r="K2944" s="12"/>
      <c r="L2944" s="379"/>
      <c r="M2944" s="380"/>
      <c r="N2944" s="380"/>
      <c r="O2944" s="12"/>
      <c r="P2944" s="381"/>
      <c r="Q2944" s="12"/>
      <c r="R2944" s="12"/>
      <c r="S2944" s="382"/>
      <c r="T2944" s="383"/>
      <c r="U2944" s="384"/>
      <c r="V2944" s="12"/>
      <c r="W2944" s="12"/>
    </row>
    <row r="2945" spans="1:23" x14ac:dyDescent="0.3">
      <c r="A2945" s="193" t="str">
        <v/>
      </c>
      <c r="B2945" s="378"/>
      <c r="C2945" s="315"/>
      <c r="D2945" s="316"/>
      <c r="E2945" s="315"/>
      <c r="F2945" s="315"/>
      <c r="G2945" s="315"/>
      <c r="H2945" s="153"/>
      <c r="I2945" s="12"/>
      <c r="J2945" s="12"/>
      <c r="K2945" s="12"/>
      <c r="L2945" s="379"/>
      <c r="M2945" s="380"/>
      <c r="N2945" s="380"/>
      <c r="O2945" s="12"/>
      <c r="P2945" s="381"/>
      <c r="Q2945" s="12"/>
      <c r="R2945" s="12"/>
      <c r="S2945" s="382"/>
      <c r="T2945" s="383"/>
      <c r="U2945" s="384"/>
      <c r="V2945" s="12"/>
      <c r="W2945" s="12"/>
    </row>
    <row r="2946" spans="1:23" x14ac:dyDescent="0.3">
      <c r="A2946" s="193" t="str">
        <v/>
      </c>
      <c r="B2946" s="378"/>
      <c r="C2946" s="315"/>
      <c r="D2946" s="316"/>
      <c r="E2946" s="315"/>
      <c r="F2946" s="315"/>
      <c r="G2946" s="315"/>
      <c r="H2946" s="153"/>
      <c r="I2946" s="12"/>
      <c r="J2946" s="12"/>
      <c r="K2946" s="12"/>
      <c r="L2946" s="379"/>
      <c r="M2946" s="380"/>
      <c r="N2946" s="380"/>
      <c r="O2946" s="12"/>
      <c r="P2946" s="381"/>
      <c r="Q2946" s="12"/>
      <c r="R2946" s="12"/>
      <c r="S2946" s="382"/>
      <c r="T2946" s="383"/>
      <c r="U2946" s="384"/>
      <c r="V2946" s="12"/>
      <c r="W2946" s="12"/>
    </row>
    <row r="2947" spans="1:23" x14ac:dyDescent="0.3">
      <c r="A2947" s="193" t="str">
        <v/>
      </c>
      <c r="B2947" s="378"/>
      <c r="C2947" s="315"/>
      <c r="D2947" s="316"/>
      <c r="E2947" s="315"/>
      <c r="F2947" s="315"/>
      <c r="G2947" s="315"/>
      <c r="H2947" s="153"/>
      <c r="I2947" s="12"/>
      <c r="J2947" s="12"/>
      <c r="K2947" s="12"/>
      <c r="L2947" s="379"/>
      <c r="M2947" s="380"/>
      <c r="N2947" s="380"/>
      <c r="O2947" s="12"/>
      <c r="P2947" s="381"/>
      <c r="Q2947" s="12"/>
      <c r="R2947" s="12"/>
      <c r="S2947" s="382"/>
      <c r="T2947" s="383"/>
      <c r="U2947" s="384"/>
      <c r="V2947" s="12"/>
      <c r="W2947" s="12"/>
    </row>
    <row r="2948" spans="1:23" x14ac:dyDescent="0.3">
      <c r="A2948" s="193" t="str">
        <v/>
      </c>
      <c r="B2948" s="378"/>
      <c r="C2948" s="315"/>
      <c r="D2948" s="316"/>
      <c r="E2948" s="315"/>
      <c r="F2948" s="315"/>
      <c r="G2948" s="315"/>
      <c r="H2948" s="153"/>
      <c r="I2948" s="12"/>
      <c r="J2948" s="12"/>
      <c r="K2948" s="12"/>
      <c r="L2948" s="379"/>
      <c r="M2948" s="380"/>
      <c r="N2948" s="380"/>
      <c r="O2948" s="12"/>
      <c r="P2948" s="381"/>
      <c r="Q2948" s="12"/>
      <c r="R2948" s="12"/>
      <c r="S2948" s="382"/>
      <c r="T2948" s="383"/>
      <c r="U2948" s="384"/>
      <c r="V2948" s="12"/>
      <c r="W2948" s="12"/>
    </row>
    <row r="2949" spans="1:23" x14ac:dyDescent="0.3">
      <c r="A2949" s="193" t="str">
        <v/>
      </c>
      <c r="B2949" s="378"/>
      <c r="C2949" s="315"/>
      <c r="D2949" s="316"/>
      <c r="E2949" s="315"/>
      <c r="F2949" s="315"/>
      <c r="G2949" s="315"/>
      <c r="H2949" s="153"/>
      <c r="I2949" s="12"/>
      <c r="J2949" s="12"/>
      <c r="K2949" s="12"/>
      <c r="L2949" s="379"/>
      <c r="M2949" s="380"/>
      <c r="N2949" s="380"/>
      <c r="O2949" s="12"/>
      <c r="P2949" s="381"/>
      <c r="Q2949" s="12"/>
      <c r="R2949" s="12"/>
      <c r="S2949" s="382"/>
      <c r="T2949" s="383"/>
      <c r="U2949" s="384"/>
      <c r="V2949" s="12"/>
      <c r="W2949" s="12"/>
    </row>
    <row r="2950" spans="1:23" x14ac:dyDescent="0.3">
      <c r="A2950" s="193" t="str">
        <v/>
      </c>
      <c r="B2950" s="378"/>
      <c r="C2950" s="315"/>
      <c r="D2950" s="316"/>
      <c r="E2950" s="315"/>
      <c r="F2950" s="315"/>
      <c r="G2950" s="315"/>
      <c r="H2950" s="153"/>
      <c r="I2950" s="12"/>
      <c r="J2950" s="12"/>
      <c r="K2950" s="12"/>
      <c r="L2950" s="379"/>
      <c r="M2950" s="380"/>
      <c r="N2950" s="380"/>
      <c r="O2950" s="12"/>
      <c r="P2950" s="381"/>
      <c r="Q2950" s="12"/>
      <c r="R2950" s="12"/>
      <c r="S2950" s="382"/>
      <c r="T2950" s="383"/>
      <c r="U2950" s="384"/>
      <c r="V2950" s="12"/>
      <c r="W2950" s="12"/>
    </row>
    <row r="2951" spans="1:23" x14ac:dyDescent="0.3">
      <c r="A2951" s="193" t="str">
        <v/>
      </c>
      <c r="B2951" s="378"/>
      <c r="C2951" s="315"/>
      <c r="D2951" s="316"/>
      <c r="E2951" s="315"/>
      <c r="F2951" s="315"/>
      <c r="G2951" s="315"/>
      <c r="H2951" s="153"/>
      <c r="I2951" s="12"/>
      <c r="J2951" s="12"/>
      <c r="K2951" s="12"/>
      <c r="L2951" s="379"/>
      <c r="M2951" s="380"/>
      <c r="N2951" s="380"/>
      <c r="O2951" s="12"/>
      <c r="P2951" s="381"/>
      <c r="Q2951" s="12"/>
      <c r="R2951" s="12"/>
      <c r="S2951" s="382"/>
      <c r="T2951" s="383"/>
      <c r="U2951" s="384"/>
      <c r="V2951" s="12"/>
      <c r="W2951" s="12"/>
    </row>
    <row r="2952" spans="1:23" x14ac:dyDescent="0.3">
      <c r="A2952" s="193" t="str">
        <v/>
      </c>
      <c r="B2952" s="378"/>
      <c r="C2952" s="315"/>
      <c r="D2952" s="316"/>
      <c r="E2952" s="315"/>
      <c r="F2952" s="315"/>
      <c r="G2952" s="315"/>
      <c r="H2952" s="153"/>
      <c r="I2952" s="12"/>
      <c r="J2952" s="12"/>
      <c r="K2952" s="12"/>
      <c r="L2952" s="379"/>
      <c r="M2952" s="380"/>
      <c r="N2952" s="380"/>
      <c r="O2952" s="12"/>
      <c r="P2952" s="381"/>
      <c r="Q2952" s="12"/>
      <c r="R2952" s="12"/>
      <c r="S2952" s="382"/>
      <c r="T2952" s="383"/>
      <c r="U2952" s="384"/>
      <c r="V2952" s="12"/>
      <c r="W2952" s="12"/>
    </row>
    <row r="2953" spans="1:23" x14ac:dyDescent="0.3">
      <c r="A2953" s="193" t="str">
        <v/>
      </c>
      <c r="B2953" s="378"/>
      <c r="C2953" s="315"/>
      <c r="D2953" s="316"/>
      <c r="E2953" s="315"/>
      <c r="F2953" s="315"/>
      <c r="G2953" s="315"/>
      <c r="H2953" s="153"/>
      <c r="I2953" s="12"/>
      <c r="J2953" s="12"/>
      <c r="K2953" s="12"/>
      <c r="L2953" s="379"/>
      <c r="M2953" s="380"/>
      <c r="N2953" s="380"/>
      <c r="O2953" s="12"/>
      <c r="P2953" s="381"/>
      <c r="Q2953" s="12"/>
      <c r="R2953" s="12"/>
      <c r="S2953" s="382"/>
      <c r="T2953" s="383"/>
      <c r="U2953" s="384"/>
      <c r="V2953" s="12"/>
      <c r="W2953" s="12"/>
    </row>
    <row r="2954" spans="1:23" x14ac:dyDescent="0.3">
      <c r="A2954" s="193" t="str">
        <v/>
      </c>
      <c r="B2954" s="378"/>
      <c r="C2954" s="315"/>
      <c r="D2954" s="316"/>
      <c r="E2954" s="315"/>
      <c r="F2954" s="315"/>
      <c r="G2954" s="315"/>
      <c r="H2954" s="153"/>
      <c r="I2954" s="12"/>
      <c r="J2954" s="12"/>
      <c r="K2954" s="12"/>
      <c r="L2954" s="379"/>
      <c r="M2954" s="380"/>
      <c r="N2954" s="380"/>
      <c r="O2954" s="12"/>
      <c r="P2954" s="381"/>
      <c r="Q2954" s="12"/>
      <c r="R2954" s="12"/>
      <c r="S2954" s="382"/>
      <c r="T2954" s="383"/>
      <c r="U2954" s="384"/>
      <c r="V2954" s="12"/>
      <c r="W2954" s="12"/>
    </row>
    <row r="2955" spans="1:23" x14ac:dyDescent="0.3">
      <c r="A2955" s="193" t="str">
        <v/>
      </c>
      <c r="B2955" s="378"/>
      <c r="C2955" s="315"/>
      <c r="D2955" s="316"/>
      <c r="E2955" s="315"/>
      <c r="F2955" s="315"/>
      <c r="G2955" s="315"/>
      <c r="H2955" s="153"/>
      <c r="I2955" s="12"/>
      <c r="J2955" s="12"/>
      <c r="K2955" s="12"/>
      <c r="L2955" s="379"/>
      <c r="M2955" s="380"/>
      <c r="N2955" s="380"/>
      <c r="O2955" s="12"/>
      <c r="P2955" s="381"/>
      <c r="Q2955" s="12"/>
      <c r="R2955" s="12"/>
      <c r="S2955" s="382"/>
      <c r="T2955" s="383"/>
      <c r="U2955" s="384"/>
      <c r="V2955" s="12"/>
      <c r="W2955" s="12"/>
    </row>
    <row r="2956" spans="1:23" x14ac:dyDescent="0.3">
      <c r="A2956" s="193" t="str">
        <v/>
      </c>
      <c r="B2956" s="378"/>
      <c r="C2956" s="315"/>
      <c r="D2956" s="316"/>
      <c r="E2956" s="315"/>
      <c r="F2956" s="315"/>
      <c r="G2956" s="315"/>
      <c r="H2956" s="153"/>
      <c r="I2956" s="12"/>
      <c r="J2956" s="12"/>
      <c r="K2956" s="12"/>
      <c r="L2956" s="379"/>
      <c r="M2956" s="380"/>
      <c r="N2956" s="380"/>
      <c r="O2956" s="12"/>
      <c r="P2956" s="381"/>
      <c r="Q2956" s="12"/>
      <c r="R2956" s="12"/>
      <c r="S2956" s="382"/>
      <c r="T2956" s="383"/>
      <c r="U2956" s="384"/>
      <c r="V2956" s="12"/>
      <c r="W2956" s="12"/>
    </row>
    <row r="2957" spans="1:23" x14ac:dyDescent="0.3">
      <c r="A2957" s="193" t="str">
        <v/>
      </c>
      <c r="B2957" s="378"/>
      <c r="C2957" s="315"/>
      <c r="D2957" s="316"/>
      <c r="E2957" s="315"/>
      <c r="F2957" s="315"/>
      <c r="G2957" s="315"/>
      <c r="H2957" s="153"/>
      <c r="I2957" s="12"/>
      <c r="J2957" s="12"/>
      <c r="K2957" s="12"/>
      <c r="L2957" s="379"/>
      <c r="M2957" s="380"/>
      <c r="N2957" s="380"/>
      <c r="O2957" s="12"/>
      <c r="P2957" s="381"/>
      <c r="Q2957" s="12"/>
      <c r="R2957" s="12"/>
      <c r="S2957" s="382"/>
      <c r="T2957" s="383"/>
      <c r="U2957" s="384"/>
      <c r="V2957" s="12"/>
      <c r="W2957" s="12"/>
    </row>
    <row r="2958" spans="1:23" x14ac:dyDescent="0.3">
      <c r="A2958" s="193" t="str">
        <v/>
      </c>
      <c r="B2958" s="378"/>
      <c r="C2958" s="315"/>
      <c r="D2958" s="316"/>
      <c r="E2958" s="315"/>
      <c r="F2958" s="315"/>
      <c r="G2958" s="315"/>
      <c r="H2958" s="153"/>
      <c r="I2958" s="12"/>
      <c r="J2958" s="12"/>
      <c r="K2958" s="12"/>
      <c r="L2958" s="379"/>
      <c r="M2958" s="380"/>
      <c r="N2958" s="380"/>
      <c r="O2958" s="12"/>
      <c r="P2958" s="381"/>
      <c r="Q2958" s="12"/>
      <c r="R2958" s="12"/>
      <c r="S2958" s="382"/>
      <c r="T2958" s="383"/>
      <c r="U2958" s="384"/>
      <c r="V2958" s="12"/>
      <c r="W2958" s="12"/>
    </row>
    <row r="2959" spans="1:23" x14ac:dyDescent="0.3">
      <c r="A2959" s="193" t="str">
        <v/>
      </c>
      <c r="B2959" s="378"/>
      <c r="C2959" s="315"/>
      <c r="D2959" s="316"/>
      <c r="E2959" s="315"/>
      <c r="F2959" s="315"/>
      <c r="G2959" s="315"/>
      <c r="H2959" s="153"/>
      <c r="I2959" s="12"/>
      <c r="J2959" s="12"/>
      <c r="K2959" s="12"/>
      <c r="L2959" s="379"/>
      <c r="M2959" s="380"/>
      <c r="N2959" s="380"/>
      <c r="O2959" s="12"/>
      <c r="P2959" s="381"/>
      <c r="Q2959" s="12"/>
      <c r="R2959" s="12"/>
      <c r="S2959" s="382"/>
      <c r="T2959" s="383"/>
      <c r="U2959" s="384"/>
      <c r="V2959" s="12"/>
      <c r="W2959" s="12"/>
    </row>
    <row r="2960" spans="1:23" x14ac:dyDescent="0.3">
      <c r="A2960" s="193" t="str">
        <v/>
      </c>
      <c r="B2960" s="378"/>
      <c r="C2960" s="315"/>
      <c r="D2960" s="316"/>
      <c r="E2960" s="315"/>
      <c r="F2960" s="315"/>
      <c r="G2960" s="315"/>
      <c r="H2960" s="153"/>
      <c r="I2960" s="12"/>
      <c r="J2960" s="12"/>
      <c r="K2960" s="12"/>
      <c r="L2960" s="379"/>
      <c r="M2960" s="380"/>
      <c r="N2960" s="380"/>
      <c r="O2960" s="12"/>
      <c r="P2960" s="381"/>
      <c r="Q2960" s="12"/>
      <c r="R2960" s="12"/>
      <c r="S2960" s="382"/>
      <c r="T2960" s="383"/>
      <c r="U2960" s="384"/>
      <c r="V2960" s="12"/>
      <c r="W2960" s="12"/>
    </row>
    <row r="2961" spans="1:23" x14ac:dyDescent="0.3">
      <c r="A2961" s="193" t="str">
        <v/>
      </c>
      <c r="B2961" s="378"/>
      <c r="C2961" s="315"/>
      <c r="D2961" s="316"/>
      <c r="E2961" s="315"/>
      <c r="F2961" s="315"/>
      <c r="G2961" s="315"/>
      <c r="H2961" s="153"/>
      <c r="I2961" s="12"/>
      <c r="J2961" s="12"/>
      <c r="K2961" s="12"/>
      <c r="L2961" s="379"/>
      <c r="M2961" s="380"/>
      <c r="N2961" s="380"/>
      <c r="O2961" s="12"/>
      <c r="P2961" s="381"/>
      <c r="Q2961" s="12"/>
      <c r="R2961" s="12"/>
      <c r="S2961" s="382"/>
      <c r="T2961" s="383"/>
      <c r="U2961" s="384"/>
      <c r="V2961" s="12"/>
      <c r="W2961" s="12"/>
    </row>
    <row r="2962" spans="1:23" x14ac:dyDescent="0.3">
      <c r="A2962" s="193" t="str">
        <v/>
      </c>
      <c r="B2962" s="378"/>
      <c r="C2962" s="315"/>
      <c r="D2962" s="316"/>
      <c r="E2962" s="315"/>
      <c r="F2962" s="315"/>
      <c r="G2962" s="315"/>
      <c r="H2962" s="153"/>
      <c r="I2962" s="12"/>
      <c r="J2962" s="12"/>
      <c r="K2962" s="12"/>
      <c r="L2962" s="379"/>
      <c r="M2962" s="380"/>
      <c r="N2962" s="380"/>
      <c r="O2962" s="12"/>
      <c r="P2962" s="381"/>
      <c r="Q2962" s="12"/>
      <c r="R2962" s="12"/>
      <c r="S2962" s="382"/>
      <c r="T2962" s="383"/>
      <c r="U2962" s="384"/>
      <c r="V2962" s="12"/>
      <c r="W2962" s="12"/>
    </row>
    <row r="2963" spans="1:23" x14ac:dyDescent="0.3">
      <c r="A2963" s="193" t="str">
        <v/>
      </c>
      <c r="B2963" s="378"/>
      <c r="C2963" s="315"/>
      <c r="D2963" s="316"/>
      <c r="E2963" s="315"/>
      <c r="F2963" s="315"/>
      <c r="G2963" s="315"/>
      <c r="H2963" s="153"/>
      <c r="I2963" s="12"/>
      <c r="J2963" s="12"/>
      <c r="K2963" s="12"/>
      <c r="L2963" s="379"/>
      <c r="M2963" s="380"/>
      <c r="N2963" s="380"/>
      <c r="O2963" s="12"/>
      <c r="P2963" s="381"/>
      <c r="Q2963" s="12"/>
      <c r="R2963" s="12"/>
      <c r="S2963" s="382"/>
      <c r="T2963" s="383"/>
      <c r="U2963" s="384"/>
      <c r="V2963" s="12"/>
      <c r="W2963" s="12"/>
    </row>
    <row r="2964" spans="1:23" x14ac:dyDescent="0.3">
      <c r="A2964" s="193" t="str">
        <v/>
      </c>
      <c r="B2964" s="378"/>
      <c r="C2964" s="315"/>
      <c r="D2964" s="316"/>
      <c r="E2964" s="315"/>
      <c r="F2964" s="315"/>
      <c r="G2964" s="315"/>
      <c r="H2964" s="153"/>
      <c r="I2964" s="12"/>
      <c r="J2964" s="12"/>
      <c r="K2964" s="12"/>
      <c r="L2964" s="379"/>
      <c r="M2964" s="380"/>
      <c r="N2964" s="380"/>
      <c r="O2964" s="12"/>
      <c r="P2964" s="381"/>
      <c r="Q2964" s="12"/>
      <c r="R2964" s="12"/>
      <c r="S2964" s="382"/>
      <c r="T2964" s="383"/>
      <c r="U2964" s="384"/>
      <c r="V2964" s="12"/>
      <c r="W2964" s="12"/>
    </row>
    <row r="2965" spans="1:23" x14ac:dyDescent="0.3">
      <c r="A2965" s="193" t="str">
        <v/>
      </c>
      <c r="B2965" s="378"/>
      <c r="C2965" s="315"/>
      <c r="D2965" s="316"/>
      <c r="E2965" s="315"/>
      <c r="F2965" s="315"/>
      <c r="G2965" s="315"/>
      <c r="H2965" s="153"/>
      <c r="I2965" s="12"/>
      <c r="J2965" s="12"/>
      <c r="K2965" s="12"/>
      <c r="L2965" s="379"/>
      <c r="M2965" s="380"/>
      <c r="N2965" s="380"/>
      <c r="O2965" s="12"/>
      <c r="P2965" s="381"/>
      <c r="Q2965" s="12"/>
      <c r="R2965" s="12"/>
      <c r="S2965" s="382"/>
      <c r="T2965" s="383"/>
      <c r="U2965" s="384"/>
      <c r="V2965" s="12"/>
      <c r="W2965" s="12"/>
    </row>
    <row r="2966" spans="1:23" x14ac:dyDescent="0.3">
      <c r="A2966" s="193" t="str">
        <v/>
      </c>
      <c r="B2966" s="378"/>
      <c r="C2966" s="315"/>
      <c r="D2966" s="316"/>
      <c r="E2966" s="315"/>
      <c r="F2966" s="315"/>
      <c r="G2966" s="315"/>
      <c r="H2966" s="153"/>
      <c r="I2966" s="12"/>
      <c r="J2966" s="12"/>
      <c r="K2966" s="12"/>
      <c r="L2966" s="379"/>
      <c r="M2966" s="380"/>
      <c r="N2966" s="380"/>
      <c r="O2966" s="12"/>
      <c r="P2966" s="381"/>
      <c r="Q2966" s="12"/>
      <c r="R2966" s="12"/>
      <c r="S2966" s="382"/>
      <c r="T2966" s="383"/>
      <c r="U2966" s="384"/>
      <c r="V2966" s="12"/>
      <c r="W2966" s="12"/>
    </row>
    <row r="2967" spans="1:23" x14ac:dyDescent="0.3">
      <c r="A2967" s="193" t="str">
        <v/>
      </c>
      <c r="B2967" s="378"/>
      <c r="C2967" s="315"/>
      <c r="D2967" s="316"/>
      <c r="E2967" s="315"/>
      <c r="F2967" s="315"/>
      <c r="G2967" s="315"/>
      <c r="H2967" s="153"/>
      <c r="I2967" s="12"/>
      <c r="J2967" s="12"/>
      <c r="K2967" s="12"/>
      <c r="L2967" s="379"/>
      <c r="M2967" s="380"/>
      <c r="N2967" s="380"/>
      <c r="O2967" s="12"/>
      <c r="P2967" s="381"/>
      <c r="Q2967" s="12"/>
      <c r="R2967" s="12"/>
      <c r="S2967" s="382"/>
      <c r="T2967" s="383"/>
      <c r="U2967" s="384"/>
      <c r="V2967" s="12"/>
      <c r="W2967" s="12"/>
    </row>
    <row r="2968" spans="1:23" x14ac:dyDescent="0.3">
      <c r="A2968" s="193" t="str">
        <v/>
      </c>
      <c r="B2968" s="378"/>
      <c r="C2968" s="315"/>
      <c r="D2968" s="316"/>
      <c r="E2968" s="315"/>
      <c r="F2968" s="315"/>
      <c r="G2968" s="315"/>
      <c r="H2968" s="153"/>
      <c r="I2968" s="12"/>
      <c r="J2968" s="12"/>
      <c r="K2968" s="12"/>
      <c r="L2968" s="379"/>
      <c r="M2968" s="380"/>
      <c r="N2968" s="380"/>
      <c r="O2968" s="12"/>
      <c r="P2968" s="381"/>
      <c r="Q2968" s="12"/>
      <c r="R2968" s="12"/>
      <c r="S2968" s="382"/>
      <c r="T2968" s="383"/>
      <c r="U2968" s="384"/>
      <c r="V2968" s="12"/>
      <c r="W2968" s="12"/>
    </row>
    <row r="2969" spans="1:23" x14ac:dyDescent="0.3">
      <c r="A2969" s="193" t="str">
        <v/>
      </c>
      <c r="B2969" s="378"/>
      <c r="C2969" s="315"/>
      <c r="D2969" s="316"/>
      <c r="E2969" s="315"/>
      <c r="F2969" s="315"/>
      <c r="G2969" s="315"/>
      <c r="H2969" s="153"/>
      <c r="I2969" s="12"/>
      <c r="J2969" s="12"/>
      <c r="K2969" s="12"/>
      <c r="L2969" s="379"/>
      <c r="M2969" s="380"/>
      <c r="N2969" s="380"/>
      <c r="O2969" s="12"/>
      <c r="P2969" s="381"/>
      <c r="Q2969" s="12"/>
      <c r="R2969" s="12"/>
      <c r="S2969" s="382"/>
      <c r="T2969" s="383"/>
      <c r="U2969" s="384"/>
      <c r="V2969" s="12"/>
      <c r="W2969" s="12"/>
    </row>
    <row r="2970" spans="1:23" x14ac:dyDescent="0.3">
      <c r="A2970" s="193" t="str">
        <v/>
      </c>
      <c r="B2970" s="378"/>
      <c r="C2970" s="315"/>
      <c r="D2970" s="316"/>
      <c r="E2970" s="315"/>
      <c r="F2970" s="315"/>
      <c r="G2970" s="315"/>
      <c r="H2970" s="153"/>
      <c r="I2970" s="12"/>
      <c r="J2970" s="12"/>
      <c r="K2970" s="12"/>
      <c r="L2970" s="379"/>
      <c r="M2970" s="380"/>
      <c r="N2970" s="380"/>
      <c r="O2970" s="12"/>
      <c r="P2970" s="381"/>
      <c r="Q2970" s="12"/>
      <c r="R2970" s="12"/>
      <c r="S2970" s="382"/>
      <c r="T2970" s="383"/>
      <c r="U2970" s="384"/>
      <c r="V2970" s="12"/>
      <c r="W2970" s="12"/>
    </row>
    <row r="2971" spans="1:23" x14ac:dyDescent="0.3">
      <c r="A2971" s="193" t="str">
        <v/>
      </c>
      <c r="B2971" s="378"/>
      <c r="C2971" s="315"/>
      <c r="D2971" s="316"/>
      <c r="E2971" s="315"/>
      <c r="F2971" s="315"/>
      <c r="G2971" s="315"/>
      <c r="H2971" s="153"/>
      <c r="I2971" s="12"/>
      <c r="J2971" s="12"/>
      <c r="K2971" s="12"/>
      <c r="L2971" s="379"/>
      <c r="M2971" s="380"/>
      <c r="N2971" s="380"/>
      <c r="O2971" s="12"/>
      <c r="P2971" s="381"/>
      <c r="Q2971" s="12"/>
      <c r="R2971" s="12"/>
      <c r="S2971" s="382"/>
      <c r="T2971" s="383"/>
      <c r="U2971" s="384"/>
      <c r="V2971" s="12"/>
      <c r="W2971" s="12"/>
    </row>
    <row r="2972" spans="1:23" x14ac:dyDescent="0.3">
      <c r="A2972" s="193" t="str">
        <v/>
      </c>
      <c r="B2972" s="378"/>
      <c r="C2972" s="315"/>
      <c r="D2972" s="316"/>
      <c r="E2972" s="315"/>
      <c r="F2972" s="315"/>
      <c r="G2972" s="315"/>
      <c r="H2972" s="153"/>
      <c r="I2972" s="12"/>
      <c r="J2972" s="12"/>
      <c r="K2972" s="12"/>
      <c r="L2972" s="379"/>
      <c r="M2972" s="380"/>
      <c r="N2972" s="380"/>
      <c r="O2972" s="12"/>
      <c r="P2972" s="381"/>
      <c r="Q2972" s="12"/>
      <c r="R2972" s="12"/>
      <c r="S2972" s="382"/>
      <c r="T2972" s="383"/>
      <c r="U2972" s="384"/>
      <c r="V2972" s="12"/>
      <c r="W2972" s="12"/>
    </row>
    <row r="2973" spans="1:23" x14ac:dyDescent="0.3">
      <c r="A2973" s="193" t="str">
        <v/>
      </c>
      <c r="B2973" s="378"/>
      <c r="C2973" s="315"/>
      <c r="D2973" s="316"/>
      <c r="E2973" s="315"/>
      <c r="F2973" s="315"/>
      <c r="G2973" s="315"/>
      <c r="H2973" s="153"/>
      <c r="I2973" s="12"/>
      <c r="J2973" s="12"/>
      <c r="K2973" s="12"/>
      <c r="L2973" s="379"/>
      <c r="M2973" s="380"/>
      <c r="N2973" s="380"/>
      <c r="O2973" s="12"/>
      <c r="P2973" s="381"/>
      <c r="Q2973" s="12"/>
      <c r="R2973" s="12"/>
      <c r="S2973" s="382"/>
      <c r="T2973" s="383"/>
      <c r="U2973" s="384"/>
      <c r="V2973" s="12"/>
      <c r="W2973" s="12"/>
    </row>
    <row r="2974" spans="1:23" x14ac:dyDescent="0.3">
      <c r="A2974" s="193" t="str">
        <v/>
      </c>
      <c r="B2974" s="378"/>
      <c r="C2974" s="315"/>
      <c r="D2974" s="316"/>
      <c r="E2974" s="315"/>
      <c r="F2974" s="315"/>
      <c r="G2974" s="315"/>
      <c r="H2974" s="153"/>
      <c r="I2974" s="12"/>
      <c r="J2974" s="12"/>
      <c r="K2974" s="12"/>
      <c r="L2974" s="379"/>
      <c r="M2974" s="380"/>
      <c r="N2974" s="380"/>
      <c r="O2974" s="12"/>
      <c r="P2974" s="381"/>
      <c r="Q2974" s="12"/>
      <c r="R2974" s="12"/>
      <c r="S2974" s="382"/>
      <c r="T2974" s="383"/>
      <c r="U2974" s="384"/>
      <c r="V2974" s="12"/>
      <c r="W2974" s="12"/>
    </row>
    <row r="2975" spans="1:23" x14ac:dyDescent="0.3">
      <c r="A2975" s="193" t="str">
        <v/>
      </c>
      <c r="B2975" s="378"/>
      <c r="C2975" s="315"/>
      <c r="D2975" s="316"/>
      <c r="E2975" s="315"/>
      <c r="F2975" s="315"/>
      <c r="G2975" s="315"/>
      <c r="H2975" s="153"/>
      <c r="I2975" s="12"/>
      <c r="J2975" s="12"/>
      <c r="K2975" s="12"/>
      <c r="L2975" s="379"/>
      <c r="M2975" s="380"/>
      <c r="N2975" s="380"/>
      <c r="O2975" s="12"/>
      <c r="P2975" s="381"/>
      <c r="Q2975" s="12"/>
      <c r="R2975" s="12"/>
      <c r="S2975" s="382"/>
      <c r="T2975" s="383"/>
      <c r="U2975" s="384"/>
      <c r="V2975" s="12"/>
      <c r="W2975" s="12"/>
    </row>
    <row r="2976" spans="1:23" x14ac:dyDescent="0.3">
      <c r="A2976" s="193" t="str">
        <v/>
      </c>
      <c r="B2976" s="378"/>
      <c r="C2976" s="315"/>
      <c r="D2976" s="316"/>
      <c r="E2976" s="315"/>
      <c r="F2976" s="315"/>
      <c r="G2976" s="315"/>
      <c r="H2976" s="153"/>
      <c r="I2976" s="12"/>
      <c r="J2976" s="12"/>
      <c r="K2976" s="12"/>
      <c r="L2976" s="379"/>
      <c r="M2976" s="380"/>
      <c r="N2976" s="380"/>
      <c r="O2976" s="12"/>
      <c r="P2976" s="381"/>
      <c r="Q2976" s="12"/>
      <c r="R2976" s="12"/>
      <c r="S2976" s="382"/>
      <c r="T2976" s="383"/>
      <c r="U2976" s="384"/>
      <c r="V2976" s="12"/>
      <c r="W2976" s="12"/>
    </row>
    <row r="2977" spans="1:23" x14ac:dyDescent="0.3">
      <c r="A2977" s="193" t="str">
        <v/>
      </c>
      <c r="B2977" s="378"/>
      <c r="C2977" s="315"/>
      <c r="D2977" s="316"/>
      <c r="E2977" s="315"/>
      <c r="F2977" s="315"/>
      <c r="G2977" s="315"/>
      <c r="H2977" s="153"/>
      <c r="I2977" s="12"/>
      <c r="J2977" s="12"/>
      <c r="K2977" s="12"/>
      <c r="L2977" s="379"/>
      <c r="M2977" s="380"/>
      <c r="N2977" s="380"/>
      <c r="O2977" s="12"/>
      <c r="P2977" s="381"/>
      <c r="Q2977" s="12"/>
      <c r="R2977" s="12"/>
      <c r="S2977" s="382"/>
      <c r="T2977" s="383"/>
      <c r="U2977" s="384"/>
      <c r="V2977" s="12"/>
      <c r="W2977" s="12"/>
    </row>
    <row r="2978" spans="1:23" x14ac:dyDescent="0.3">
      <c r="A2978" s="193" t="str">
        <v/>
      </c>
      <c r="B2978" s="378"/>
      <c r="C2978" s="315"/>
      <c r="D2978" s="316"/>
      <c r="E2978" s="315"/>
      <c r="F2978" s="315"/>
      <c r="G2978" s="315"/>
      <c r="H2978" s="153"/>
      <c r="I2978" s="12"/>
      <c r="J2978" s="12"/>
      <c r="K2978" s="12"/>
      <c r="L2978" s="379"/>
      <c r="M2978" s="380"/>
      <c r="N2978" s="380"/>
      <c r="O2978" s="12"/>
      <c r="P2978" s="381"/>
      <c r="Q2978" s="12"/>
      <c r="R2978" s="12"/>
      <c r="S2978" s="382"/>
      <c r="T2978" s="383"/>
      <c r="U2978" s="384"/>
      <c r="V2978" s="12"/>
      <c r="W2978" s="12"/>
    </row>
    <row r="2979" spans="1:23" x14ac:dyDescent="0.3">
      <c r="A2979" s="193" t="str">
        <v/>
      </c>
      <c r="B2979" s="378"/>
      <c r="C2979" s="315"/>
      <c r="D2979" s="316"/>
      <c r="E2979" s="315"/>
      <c r="F2979" s="315"/>
      <c r="G2979" s="315"/>
      <c r="H2979" s="153"/>
      <c r="I2979" s="12"/>
      <c r="J2979" s="12"/>
      <c r="K2979" s="12"/>
      <c r="L2979" s="379"/>
      <c r="M2979" s="380"/>
      <c r="N2979" s="380"/>
      <c r="O2979" s="12"/>
      <c r="P2979" s="381"/>
      <c r="Q2979" s="12"/>
      <c r="R2979" s="12"/>
      <c r="S2979" s="382"/>
      <c r="T2979" s="383"/>
      <c r="U2979" s="384"/>
      <c r="V2979" s="12"/>
      <c r="W2979" s="12"/>
    </row>
    <row r="2980" spans="1:23" x14ac:dyDescent="0.3">
      <c r="A2980" s="193" t="str">
        <v/>
      </c>
      <c r="B2980" s="378"/>
      <c r="C2980" s="315"/>
      <c r="D2980" s="316"/>
      <c r="E2980" s="315"/>
      <c r="F2980" s="315"/>
      <c r="G2980" s="315"/>
      <c r="H2980" s="153"/>
      <c r="I2980" s="12"/>
      <c r="J2980" s="12"/>
      <c r="K2980" s="12"/>
      <c r="L2980" s="379"/>
      <c r="M2980" s="380"/>
      <c r="N2980" s="380"/>
      <c r="O2980" s="12"/>
      <c r="P2980" s="381"/>
      <c r="Q2980" s="12"/>
      <c r="R2980" s="12"/>
      <c r="S2980" s="382"/>
      <c r="T2980" s="383"/>
      <c r="U2980" s="384"/>
      <c r="V2980" s="12"/>
      <c r="W2980" s="12"/>
    </row>
    <row r="2981" spans="1:23" x14ac:dyDescent="0.3">
      <c r="A2981" s="193" t="str">
        <v/>
      </c>
      <c r="B2981" s="378"/>
      <c r="C2981" s="315"/>
      <c r="D2981" s="316"/>
      <c r="E2981" s="315"/>
      <c r="F2981" s="315"/>
      <c r="G2981" s="315"/>
      <c r="H2981" s="153"/>
      <c r="I2981" s="12"/>
      <c r="J2981" s="12"/>
      <c r="K2981" s="12"/>
      <c r="L2981" s="379"/>
      <c r="M2981" s="380"/>
      <c r="N2981" s="380"/>
      <c r="O2981" s="12"/>
      <c r="P2981" s="381"/>
      <c r="Q2981" s="12"/>
      <c r="R2981" s="12"/>
      <c r="S2981" s="382"/>
      <c r="T2981" s="383"/>
      <c r="U2981" s="384"/>
      <c r="V2981" s="12"/>
      <c r="W2981" s="12"/>
    </row>
    <row r="2982" spans="1:23" x14ac:dyDescent="0.3">
      <c r="A2982" s="193" t="str">
        <v/>
      </c>
      <c r="B2982" s="378"/>
      <c r="C2982" s="315"/>
      <c r="D2982" s="316"/>
      <c r="E2982" s="315"/>
      <c r="F2982" s="315"/>
      <c r="G2982" s="315"/>
      <c r="H2982" s="153"/>
      <c r="I2982" s="12"/>
      <c r="J2982" s="12"/>
      <c r="K2982" s="12"/>
      <c r="L2982" s="379"/>
      <c r="M2982" s="380"/>
      <c r="N2982" s="380"/>
      <c r="O2982" s="12"/>
      <c r="P2982" s="381"/>
      <c r="Q2982" s="12"/>
      <c r="R2982" s="12"/>
      <c r="S2982" s="382"/>
      <c r="T2982" s="383"/>
      <c r="U2982" s="384"/>
      <c r="V2982" s="12"/>
      <c r="W2982" s="12"/>
    </row>
    <row r="2983" spans="1:23" x14ac:dyDescent="0.3">
      <c r="A2983" s="193" t="str">
        <v/>
      </c>
      <c r="B2983" s="378"/>
      <c r="C2983" s="315"/>
      <c r="D2983" s="316"/>
      <c r="E2983" s="315"/>
      <c r="F2983" s="315"/>
      <c r="G2983" s="315"/>
      <c r="H2983" s="153"/>
      <c r="I2983" s="12"/>
      <c r="J2983" s="12"/>
      <c r="K2983" s="12"/>
      <c r="L2983" s="379"/>
      <c r="M2983" s="380"/>
      <c r="N2983" s="380"/>
      <c r="O2983" s="12"/>
      <c r="P2983" s="381"/>
      <c r="Q2983" s="12"/>
      <c r="R2983" s="12"/>
      <c r="S2983" s="382"/>
      <c r="T2983" s="383"/>
      <c r="U2983" s="384"/>
      <c r="V2983" s="12"/>
      <c r="W2983" s="12"/>
    </row>
    <row r="2984" spans="1:23" x14ac:dyDescent="0.3">
      <c r="A2984" s="193" t="str">
        <v/>
      </c>
      <c r="B2984" s="378"/>
      <c r="C2984" s="315"/>
      <c r="D2984" s="316"/>
      <c r="E2984" s="315"/>
      <c r="F2984" s="315"/>
      <c r="G2984" s="315"/>
      <c r="H2984" s="153"/>
      <c r="I2984" s="12"/>
      <c r="J2984" s="12"/>
      <c r="K2984" s="12"/>
      <c r="L2984" s="379"/>
      <c r="M2984" s="380"/>
      <c r="N2984" s="380"/>
      <c r="O2984" s="12"/>
      <c r="P2984" s="381"/>
      <c r="Q2984" s="12"/>
      <c r="R2984" s="12"/>
      <c r="S2984" s="382"/>
      <c r="T2984" s="383"/>
      <c r="U2984" s="384"/>
      <c r="V2984" s="12"/>
      <c r="W2984" s="12"/>
    </row>
    <row r="2985" spans="1:23" x14ac:dyDescent="0.3">
      <c r="A2985" s="193" t="str">
        <v/>
      </c>
      <c r="B2985" s="378"/>
      <c r="C2985" s="315"/>
      <c r="D2985" s="316"/>
      <c r="E2985" s="315"/>
      <c r="F2985" s="315"/>
      <c r="G2985" s="315"/>
      <c r="H2985" s="153"/>
      <c r="I2985" s="12"/>
      <c r="J2985" s="12"/>
      <c r="K2985" s="12"/>
      <c r="L2985" s="379"/>
      <c r="M2985" s="380"/>
      <c r="N2985" s="380"/>
      <c r="O2985" s="12"/>
      <c r="P2985" s="381"/>
      <c r="Q2985" s="12"/>
      <c r="R2985" s="12"/>
      <c r="S2985" s="382"/>
      <c r="T2985" s="383"/>
      <c r="U2985" s="384"/>
      <c r="V2985" s="12"/>
      <c r="W2985" s="12"/>
    </row>
    <row r="2986" spans="1:23" x14ac:dyDescent="0.3">
      <c r="A2986" s="193" t="str">
        <v/>
      </c>
      <c r="B2986" s="378"/>
      <c r="C2986" s="315"/>
      <c r="D2986" s="316"/>
      <c r="E2986" s="315"/>
      <c r="F2986" s="315"/>
      <c r="G2986" s="315"/>
      <c r="H2986" s="153"/>
      <c r="I2986" s="12"/>
      <c r="J2986" s="12"/>
      <c r="K2986" s="12"/>
      <c r="L2986" s="379"/>
      <c r="M2986" s="380"/>
      <c r="N2986" s="380"/>
      <c r="O2986" s="12"/>
      <c r="P2986" s="381"/>
      <c r="Q2986" s="12"/>
      <c r="R2986" s="12"/>
      <c r="S2986" s="382"/>
      <c r="T2986" s="383"/>
      <c r="U2986" s="384"/>
      <c r="V2986" s="12"/>
      <c r="W2986" s="12"/>
    </row>
    <row r="2987" spans="1:23" x14ac:dyDescent="0.3">
      <c r="A2987" s="193" t="str">
        <v/>
      </c>
      <c r="B2987" s="378"/>
      <c r="C2987" s="315"/>
      <c r="D2987" s="316"/>
      <c r="E2987" s="315"/>
      <c r="F2987" s="315"/>
      <c r="G2987" s="315"/>
      <c r="H2987" s="153"/>
      <c r="I2987" s="12"/>
      <c r="J2987" s="12"/>
      <c r="K2987" s="12"/>
      <c r="L2987" s="379"/>
      <c r="M2987" s="380"/>
      <c r="N2987" s="380"/>
      <c r="O2987" s="12"/>
      <c r="P2987" s="381"/>
      <c r="Q2987" s="12"/>
      <c r="R2987" s="12"/>
      <c r="S2987" s="382"/>
      <c r="T2987" s="383"/>
      <c r="U2987" s="384"/>
      <c r="V2987" s="12"/>
      <c r="W2987" s="12"/>
    </row>
    <row r="2988" spans="1:23" x14ac:dyDescent="0.3">
      <c r="A2988" s="193" t="str">
        <v/>
      </c>
      <c r="B2988" s="378"/>
      <c r="C2988" s="315"/>
      <c r="D2988" s="316"/>
      <c r="E2988" s="315"/>
      <c r="F2988" s="315"/>
      <c r="G2988" s="315"/>
      <c r="H2988" s="153"/>
      <c r="I2988" s="12"/>
      <c r="J2988" s="12"/>
      <c r="K2988" s="12"/>
      <c r="L2988" s="379"/>
      <c r="M2988" s="380"/>
      <c r="N2988" s="380"/>
      <c r="O2988" s="12"/>
      <c r="P2988" s="381"/>
      <c r="Q2988" s="12"/>
      <c r="R2988" s="12"/>
      <c r="S2988" s="382"/>
      <c r="T2988" s="383"/>
      <c r="U2988" s="384"/>
      <c r="V2988" s="12"/>
      <c r="W2988" s="12"/>
    </row>
    <row r="2989" spans="1:23" x14ac:dyDescent="0.3">
      <c r="A2989" s="193" t="str">
        <v/>
      </c>
      <c r="B2989" s="378"/>
      <c r="C2989" s="315"/>
      <c r="D2989" s="316"/>
      <c r="E2989" s="315"/>
      <c r="F2989" s="315"/>
      <c r="G2989" s="315"/>
      <c r="H2989" s="153"/>
      <c r="I2989" s="12"/>
      <c r="J2989" s="12"/>
      <c r="K2989" s="12"/>
      <c r="L2989" s="379"/>
      <c r="M2989" s="380"/>
      <c r="N2989" s="380"/>
      <c r="O2989" s="12"/>
      <c r="P2989" s="381"/>
      <c r="Q2989" s="12"/>
      <c r="R2989" s="12"/>
      <c r="S2989" s="382"/>
      <c r="T2989" s="383"/>
      <c r="U2989" s="384"/>
      <c r="V2989" s="12"/>
      <c r="W2989" s="12"/>
    </row>
    <row r="2990" spans="1:23" x14ac:dyDescent="0.3">
      <c r="A2990" s="193" t="str">
        <v/>
      </c>
      <c r="B2990" s="378"/>
      <c r="C2990" s="315"/>
      <c r="D2990" s="316"/>
      <c r="E2990" s="315"/>
      <c r="F2990" s="315"/>
      <c r="G2990" s="315"/>
      <c r="H2990" s="153"/>
      <c r="I2990" s="12"/>
      <c r="J2990" s="12"/>
      <c r="K2990" s="12"/>
      <c r="L2990" s="379"/>
      <c r="M2990" s="380"/>
      <c r="N2990" s="380"/>
      <c r="O2990" s="12"/>
      <c r="P2990" s="381"/>
      <c r="Q2990" s="12"/>
      <c r="R2990" s="12"/>
      <c r="S2990" s="382"/>
      <c r="T2990" s="383"/>
      <c r="U2990" s="384"/>
      <c r="V2990" s="12"/>
      <c r="W2990" s="12"/>
    </row>
    <row r="2991" spans="1:23" x14ac:dyDescent="0.3">
      <c r="A2991" s="193" t="str">
        <v/>
      </c>
      <c r="B2991" s="378"/>
      <c r="C2991" s="315"/>
      <c r="D2991" s="316"/>
      <c r="E2991" s="315"/>
      <c r="F2991" s="315"/>
      <c r="G2991" s="315"/>
      <c r="H2991" s="153"/>
      <c r="I2991" s="12"/>
      <c r="J2991" s="12"/>
      <c r="K2991" s="12"/>
      <c r="L2991" s="379"/>
      <c r="M2991" s="380"/>
      <c r="N2991" s="380"/>
      <c r="O2991" s="12"/>
      <c r="P2991" s="381"/>
      <c r="Q2991" s="12"/>
      <c r="R2991" s="12"/>
      <c r="S2991" s="382"/>
      <c r="T2991" s="383"/>
      <c r="U2991" s="384"/>
      <c r="V2991" s="12"/>
      <c r="W2991" s="12"/>
    </row>
    <row r="2992" spans="1:23" x14ac:dyDescent="0.3">
      <c r="A2992" s="193" t="str">
        <v/>
      </c>
      <c r="B2992" s="378"/>
      <c r="C2992" s="315"/>
      <c r="D2992" s="316"/>
      <c r="E2992" s="315"/>
      <c r="F2992" s="315"/>
      <c r="G2992" s="315"/>
      <c r="H2992" s="153"/>
      <c r="I2992" s="12"/>
      <c r="J2992" s="12"/>
      <c r="K2992" s="12"/>
      <c r="L2992" s="379"/>
      <c r="M2992" s="380"/>
      <c r="N2992" s="380"/>
      <c r="O2992" s="12"/>
      <c r="P2992" s="381"/>
      <c r="Q2992" s="12"/>
      <c r="R2992" s="12"/>
      <c r="S2992" s="382"/>
      <c r="T2992" s="383"/>
      <c r="U2992" s="384"/>
      <c r="V2992" s="12"/>
      <c r="W2992" s="12"/>
    </row>
    <row r="2993" spans="1:23" x14ac:dyDescent="0.3">
      <c r="A2993" s="193" t="str">
        <v/>
      </c>
      <c r="B2993" s="378"/>
      <c r="C2993" s="315"/>
      <c r="D2993" s="316"/>
      <c r="E2993" s="315"/>
      <c r="F2993" s="315"/>
      <c r="G2993" s="315"/>
      <c r="H2993" s="153"/>
      <c r="I2993" s="12"/>
      <c r="J2993" s="12"/>
      <c r="K2993" s="12"/>
      <c r="L2993" s="379"/>
      <c r="M2993" s="380"/>
      <c r="N2993" s="380"/>
      <c r="O2993" s="12"/>
      <c r="P2993" s="381"/>
      <c r="Q2993" s="12"/>
      <c r="R2993" s="12"/>
      <c r="S2993" s="382"/>
      <c r="T2993" s="383"/>
      <c r="U2993" s="384"/>
      <c r="V2993" s="12"/>
      <c r="W2993" s="12"/>
    </row>
    <row r="2994" spans="1:23" x14ac:dyDescent="0.3">
      <c r="A2994" s="193" t="str">
        <v/>
      </c>
      <c r="B2994" s="378"/>
      <c r="C2994" s="315"/>
      <c r="D2994" s="316"/>
      <c r="E2994" s="315"/>
      <c r="F2994" s="315"/>
      <c r="G2994" s="315"/>
      <c r="H2994" s="153"/>
      <c r="I2994" s="12"/>
      <c r="J2994" s="12"/>
      <c r="K2994" s="12"/>
      <c r="L2994" s="379"/>
      <c r="M2994" s="380"/>
      <c r="N2994" s="380"/>
      <c r="O2994" s="12"/>
      <c r="P2994" s="381"/>
      <c r="Q2994" s="12"/>
      <c r="R2994" s="12"/>
      <c r="S2994" s="382"/>
      <c r="T2994" s="383"/>
      <c r="U2994" s="384"/>
      <c r="V2994" s="12"/>
      <c r="W2994" s="12"/>
    </row>
    <row r="2995" spans="1:23" x14ac:dyDescent="0.3">
      <c r="A2995" s="193" t="str">
        <v/>
      </c>
      <c r="B2995" s="378"/>
      <c r="C2995" s="315"/>
      <c r="D2995" s="316"/>
      <c r="E2995" s="315"/>
      <c r="F2995" s="315"/>
      <c r="G2995" s="315"/>
      <c r="H2995" s="153"/>
      <c r="I2995" s="12"/>
      <c r="J2995" s="12"/>
      <c r="K2995" s="12"/>
      <c r="L2995" s="379"/>
      <c r="M2995" s="380"/>
      <c r="N2995" s="380"/>
      <c r="O2995" s="12"/>
      <c r="P2995" s="381"/>
      <c r="Q2995" s="12"/>
      <c r="R2995" s="12"/>
      <c r="S2995" s="382"/>
      <c r="T2995" s="383"/>
      <c r="U2995" s="384"/>
      <c r="V2995" s="12"/>
      <c r="W2995" s="12"/>
    </row>
    <row r="2996" spans="1:23" x14ac:dyDescent="0.3">
      <c r="A2996" s="193" t="str">
        <v/>
      </c>
      <c r="B2996" s="378"/>
      <c r="C2996" s="315"/>
      <c r="D2996" s="316"/>
      <c r="E2996" s="315"/>
      <c r="F2996" s="315"/>
      <c r="G2996" s="315"/>
      <c r="H2996" s="153"/>
      <c r="I2996" s="12"/>
      <c r="J2996" s="12"/>
      <c r="K2996" s="12"/>
      <c r="L2996" s="379"/>
      <c r="M2996" s="380"/>
      <c r="N2996" s="380"/>
      <c r="O2996" s="12"/>
      <c r="P2996" s="381"/>
      <c r="Q2996" s="12"/>
      <c r="R2996" s="12"/>
      <c r="S2996" s="382"/>
      <c r="T2996" s="383"/>
      <c r="U2996" s="384"/>
      <c r="V2996" s="12"/>
      <c r="W2996" s="12"/>
    </row>
    <row r="2997" spans="1:23" x14ac:dyDescent="0.3">
      <c r="A2997" s="193" t="str">
        <v/>
      </c>
      <c r="B2997" s="378"/>
      <c r="C2997" s="315"/>
      <c r="D2997" s="316"/>
      <c r="E2997" s="315"/>
      <c r="F2997" s="315"/>
      <c r="G2997" s="315"/>
      <c r="H2997" s="153"/>
      <c r="I2997" s="12"/>
      <c r="J2997" s="12"/>
      <c r="K2997" s="12"/>
      <c r="L2997" s="379"/>
      <c r="M2997" s="380"/>
      <c r="N2997" s="380"/>
      <c r="O2997" s="12"/>
      <c r="P2997" s="381"/>
      <c r="Q2997" s="12"/>
      <c r="R2997" s="12"/>
      <c r="S2997" s="382"/>
      <c r="T2997" s="383"/>
      <c r="U2997" s="384"/>
      <c r="V2997" s="12"/>
      <c r="W2997" s="12"/>
    </row>
    <row r="2998" spans="1:23" x14ac:dyDescent="0.3">
      <c r="A2998" s="193" t="str">
        <v/>
      </c>
      <c r="B2998" s="378"/>
      <c r="C2998" s="315"/>
      <c r="D2998" s="316"/>
      <c r="E2998" s="315"/>
      <c r="F2998" s="315"/>
      <c r="G2998" s="315"/>
      <c r="H2998" s="153"/>
      <c r="I2998" s="12"/>
      <c r="J2998" s="12"/>
      <c r="K2998" s="12"/>
      <c r="L2998" s="379"/>
      <c r="M2998" s="380"/>
      <c r="N2998" s="380"/>
      <c r="O2998" s="12"/>
      <c r="P2998" s="381"/>
      <c r="Q2998" s="12"/>
      <c r="R2998" s="12"/>
      <c r="S2998" s="382"/>
      <c r="T2998" s="383"/>
      <c r="U2998" s="384"/>
      <c r="V2998" s="12"/>
      <c r="W2998" s="12"/>
    </row>
    <row r="2999" spans="1:23" x14ac:dyDescent="0.3">
      <c r="A2999" s="193" t="str">
        <v/>
      </c>
      <c r="B2999" s="378"/>
      <c r="C2999" s="315"/>
      <c r="D2999" s="316"/>
      <c r="E2999" s="315"/>
      <c r="F2999" s="315"/>
      <c r="G2999" s="315"/>
      <c r="H2999" s="153"/>
      <c r="I2999" s="12"/>
      <c r="J2999" s="12"/>
      <c r="K2999" s="12"/>
      <c r="L2999" s="379"/>
      <c r="M2999" s="380"/>
      <c r="N2999" s="380"/>
      <c r="O2999" s="12"/>
      <c r="P2999" s="381"/>
      <c r="Q2999" s="12"/>
      <c r="R2999" s="12"/>
      <c r="S2999" s="382"/>
      <c r="T2999" s="383"/>
      <c r="U2999" s="384"/>
      <c r="V2999" s="12"/>
      <c r="W2999" s="12"/>
    </row>
    <row r="3000" spans="1:23" x14ac:dyDescent="0.3">
      <c r="A3000" s="193" t="str">
        <v/>
      </c>
      <c r="B3000" s="378"/>
      <c r="C3000" s="315"/>
      <c r="D3000" s="316"/>
      <c r="E3000" s="315"/>
      <c r="F3000" s="315"/>
      <c r="G3000" s="315"/>
      <c r="H3000" s="153"/>
      <c r="I3000" s="12"/>
      <c r="J3000" s="12"/>
      <c r="K3000" s="12"/>
      <c r="L3000" s="379"/>
      <c r="M3000" s="380"/>
      <c r="N3000" s="380"/>
      <c r="O3000" s="12"/>
      <c r="P3000" s="381"/>
      <c r="Q3000" s="12"/>
      <c r="R3000" s="12"/>
      <c r="S3000" s="382"/>
      <c r="T3000" s="383"/>
      <c r="U3000" s="384"/>
      <c r="V3000" s="12"/>
      <c r="W3000" s="12"/>
    </row>
    <row r="3001" spans="1:23" x14ac:dyDescent="0.3">
      <c r="A3001" s="193"/>
      <c r="B3001" s="378"/>
      <c r="C3001" s="315"/>
      <c r="D3001" s="316"/>
      <c r="E3001" s="315"/>
      <c r="F3001" s="315"/>
      <c r="G3001" s="315"/>
      <c r="H3001" s="153"/>
      <c r="I3001" s="12"/>
      <c r="J3001" s="12"/>
      <c r="K3001" s="12"/>
      <c r="L3001" s="379"/>
      <c r="M3001" s="380"/>
      <c r="N3001" s="380"/>
      <c r="O3001" s="12"/>
      <c r="P3001" s="381"/>
      <c r="Q3001" s="12"/>
      <c r="R3001" s="12"/>
      <c r="S3001" s="382"/>
      <c r="T3001" s="383"/>
      <c r="U3001" s="384"/>
      <c r="V3001" s="12"/>
      <c r="W3001" s="12"/>
    </row>
    <row r="3002" spans="1:23" x14ac:dyDescent="0.3">
      <c r="A3002" s="193"/>
      <c r="B3002" s="378"/>
      <c r="C3002" s="315"/>
      <c r="D3002" s="316"/>
      <c r="E3002" s="315"/>
      <c r="F3002" s="315"/>
      <c r="G3002" s="315"/>
      <c r="H3002" s="153"/>
      <c r="I3002" s="12"/>
      <c r="J3002" s="12"/>
      <c r="K3002" s="12"/>
      <c r="L3002" s="379"/>
      <c r="M3002" s="380"/>
      <c r="N3002" s="380"/>
      <c r="O3002" s="12"/>
      <c r="P3002" s="381"/>
      <c r="Q3002" s="12"/>
      <c r="R3002" s="12"/>
      <c r="S3002" s="382"/>
      <c r="T3002" s="383"/>
      <c r="U3002" s="384"/>
      <c r="V3002" s="12"/>
      <c r="W3002" s="12"/>
    </row>
    <row r="3003" spans="1:23" x14ac:dyDescent="0.3">
      <c r="A3003" s="193"/>
      <c r="B3003" s="378"/>
      <c r="C3003" s="315"/>
      <c r="D3003" s="316"/>
      <c r="E3003" s="315"/>
      <c r="F3003" s="315"/>
      <c r="G3003" s="315"/>
      <c r="H3003" s="153"/>
      <c r="I3003" s="12"/>
      <c r="J3003" s="12"/>
      <c r="K3003" s="12"/>
      <c r="L3003" s="379"/>
      <c r="M3003" s="380"/>
      <c r="N3003" s="380"/>
      <c r="O3003" s="12"/>
      <c r="P3003" s="381"/>
      <c r="Q3003" s="12"/>
      <c r="R3003" s="12"/>
      <c r="S3003" s="382"/>
      <c r="T3003" s="383"/>
      <c r="U3003" s="384"/>
      <c r="V3003" s="12"/>
      <c r="W3003" s="12"/>
    </row>
    <row r="3004" spans="1:23" x14ac:dyDescent="0.3">
      <c r="A3004" s="193"/>
      <c r="B3004" s="378"/>
      <c r="C3004" s="315"/>
      <c r="D3004" s="316"/>
      <c r="E3004" s="315"/>
      <c r="F3004" s="315"/>
      <c r="G3004" s="315"/>
      <c r="H3004" s="153"/>
      <c r="I3004" s="12"/>
      <c r="J3004" s="12"/>
      <c r="K3004" s="12"/>
      <c r="L3004" s="379"/>
      <c r="M3004" s="380"/>
      <c r="N3004" s="380"/>
      <c r="O3004" s="12"/>
      <c r="P3004" s="381"/>
      <c r="Q3004" s="12"/>
      <c r="R3004" s="12"/>
      <c r="S3004" s="382"/>
      <c r="T3004" s="383"/>
      <c r="U3004" s="384"/>
      <c r="V3004" s="12"/>
      <c r="W3004" s="12"/>
    </row>
    <row r="3005" spans="1:23" x14ac:dyDescent="0.3">
      <c r="A3005" s="193"/>
      <c r="B3005" s="378"/>
      <c r="C3005" s="315"/>
      <c r="D3005" s="316"/>
      <c r="E3005" s="315"/>
      <c r="F3005" s="315"/>
      <c r="G3005" s="315"/>
      <c r="H3005" s="153"/>
      <c r="I3005" s="12"/>
      <c r="J3005" s="12"/>
      <c r="K3005" s="12"/>
      <c r="L3005" s="379"/>
      <c r="M3005" s="380"/>
      <c r="N3005" s="380"/>
      <c r="O3005" s="12"/>
      <c r="P3005" s="381"/>
      <c r="Q3005" s="12"/>
      <c r="R3005" s="12"/>
      <c r="S3005" s="382"/>
      <c r="T3005" s="383"/>
      <c r="U3005" s="384"/>
      <c r="V3005" s="12"/>
      <c r="W3005" s="12"/>
    </row>
    <row r="3006" spans="1:23" x14ac:dyDescent="0.3">
      <c r="A3006" s="193"/>
      <c r="B3006" s="378"/>
      <c r="C3006" s="315"/>
      <c r="D3006" s="316"/>
      <c r="E3006" s="315"/>
      <c r="F3006" s="315"/>
      <c r="G3006" s="315"/>
      <c r="H3006" s="153"/>
      <c r="I3006" s="12"/>
      <c r="J3006" s="12"/>
      <c r="K3006" s="12"/>
      <c r="L3006" s="379"/>
      <c r="M3006" s="380"/>
      <c r="N3006" s="380"/>
      <c r="O3006" s="12"/>
      <c r="P3006" s="381"/>
      <c r="Q3006" s="12"/>
      <c r="R3006" s="12"/>
      <c r="S3006" s="382"/>
      <c r="T3006" s="383"/>
      <c r="U3006" s="384"/>
      <c r="V3006" s="12"/>
      <c r="W3006" s="12"/>
    </row>
    <row r="3007" spans="1:23" x14ac:dyDescent="0.3">
      <c r="A3007" s="193"/>
      <c r="B3007" s="378"/>
      <c r="C3007" s="315"/>
      <c r="D3007" s="316"/>
      <c r="E3007" s="315"/>
      <c r="F3007" s="315"/>
      <c r="G3007" s="315"/>
      <c r="H3007" s="153"/>
      <c r="I3007" s="12"/>
      <c r="J3007" s="12"/>
      <c r="K3007" s="12"/>
      <c r="L3007" s="379"/>
      <c r="M3007" s="380"/>
      <c r="N3007" s="380"/>
      <c r="O3007" s="12"/>
      <c r="P3007" s="381"/>
      <c r="Q3007" s="12"/>
      <c r="R3007" s="12"/>
      <c r="S3007" s="382"/>
      <c r="T3007" s="383"/>
      <c r="U3007" s="384"/>
      <c r="V3007" s="12"/>
      <c r="W3007" s="12"/>
    </row>
    <row r="3008" spans="1:23" x14ac:dyDescent="0.3">
      <c r="A3008" s="193"/>
      <c r="B3008" s="378"/>
      <c r="C3008" s="315"/>
      <c r="D3008" s="316"/>
      <c r="E3008" s="315"/>
      <c r="F3008" s="315"/>
      <c r="G3008" s="315"/>
      <c r="H3008" s="153"/>
      <c r="I3008" s="12"/>
      <c r="J3008" s="12"/>
      <c r="K3008" s="12"/>
      <c r="L3008" s="379"/>
      <c r="M3008" s="380"/>
      <c r="N3008" s="380"/>
      <c r="O3008" s="12"/>
      <c r="P3008" s="381"/>
      <c r="Q3008" s="12"/>
      <c r="R3008" s="12"/>
      <c r="S3008" s="382"/>
      <c r="T3008" s="383"/>
      <c r="U3008" s="384"/>
      <c r="V3008" s="12"/>
      <c r="W3008" s="12"/>
    </row>
    <row r="3009" spans="1:23" x14ac:dyDescent="0.3">
      <c r="A3009" s="193"/>
      <c r="B3009" s="378"/>
      <c r="C3009" s="315"/>
      <c r="D3009" s="316"/>
      <c r="E3009" s="315"/>
      <c r="F3009" s="315"/>
      <c r="G3009" s="315"/>
      <c r="H3009" s="153"/>
      <c r="I3009" s="12"/>
      <c r="J3009" s="12"/>
      <c r="K3009" s="12"/>
      <c r="L3009" s="379"/>
      <c r="M3009" s="380"/>
      <c r="N3009" s="380"/>
      <c r="O3009" s="12"/>
      <c r="P3009" s="381"/>
      <c r="Q3009" s="12"/>
      <c r="R3009" s="12"/>
      <c r="S3009" s="382"/>
      <c r="T3009" s="383"/>
      <c r="U3009" s="384"/>
      <c r="V3009" s="12"/>
      <c r="W3009" s="12"/>
    </row>
    <row r="3010" spans="1:23" x14ac:dyDescent="0.3">
      <c r="A3010" s="193"/>
      <c r="B3010" s="378"/>
      <c r="C3010" s="315"/>
      <c r="D3010" s="316"/>
      <c r="E3010" s="315"/>
      <c r="F3010" s="315"/>
      <c r="G3010" s="315"/>
      <c r="H3010" s="153"/>
      <c r="I3010" s="12"/>
      <c r="J3010" s="12"/>
      <c r="K3010" s="12"/>
      <c r="L3010" s="379"/>
      <c r="M3010" s="380"/>
      <c r="N3010" s="380"/>
      <c r="O3010" s="12"/>
      <c r="P3010" s="381"/>
      <c r="Q3010" s="12"/>
      <c r="R3010" s="12"/>
      <c r="S3010" s="382"/>
      <c r="T3010" s="383"/>
      <c r="U3010" s="384"/>
      <c r="V3010" s="12"/>
      <c r="W3010" s="12"/>
    </row>
    <row r="3011" spans="1:23" x14ac:dyDescent="0.3">
      <c r="A3011" s="193"/>
      <c r="B3011" s="378"/>
      <c r="C3011" s="315"/>
      <c r="D3011" s="316"/>
      <c r="E3011" s="315"/>
      <c r="F3011" s="315"/>
      <c r="G3011" s="315"/>
      <c r="H3011" s="153"/>
      <c r="I3011" s="12"/>
      <c r="J3011" s="12"/>
      <c r="K3011" s="12"/>
      <c r="L3011" s="379"/>
      <c r="M3011" s="380"/>
      <c r="N3011" s="380"/>
      <c r="O3011" s="12"/>
      <c r="P3011" s="381"/>
      <c r="Q3011" s="12"/>
      <c r="R3011" s="12"/>
      <c r="S3011" s="382"/>
      <c r="T3011" s="383"/>
      <c r="U3011" s="384"/>
      <c r="V3011" s="12"/>
      <c r="W3011" s="12"/>
    </row>
    <row r="3012" spans="1:23" x14ac:dyDescent="0.3">
      <c r="A3012" s="193"/>
      <c r="B3012" s="378"/>
      <c r="C3012" s="315"/>
      <c r="D3012" s="316"/>
      <c r="E3012" s="315"/>
      <c r="F3012" s="315"/>
      <c r="G3012" s="315"/>
      <c r="H3012" s="153"/>
      <c r="I3012" s="12"/>
      <c r="J3012" s="12"/>
      <c r="K3012" s="12"/>
      <c r="L3012" s="379"/>
      <c r="M3012" s="380"/>
      <c r="N3012" s="380"/>
      <c r="O3012" s="12"/>
      <c r="P3012" s="381"/>
      <c r="Q3012" s="12"/>
      <c r="R3012" s="12"/>
      <c r="S3012" s="382"/>
      <c r="T3012" s="383"/>
      <c r="U3012" s="384"/>
      <c r="V3012" s="12"/>
      <c r="W3012" s="12"/>
    </row>
    <row r="3013" spans="1:23" x14ac:dyDescent="0.3">
      <c r="A3013" s="193"/>
      <c r="B3013" s="378"/>
      <c r="C3013" s="315"/>
      <c r="D3013" s="316"/>
      <c r="E3013" s="315"/>
      <c r="F3013" s="315"/>
      <c r="G3013" s="315"/>
      <c r="H3013" s="153"/>
      <c r="I3013" s="12"/>
      <c r="J3013" s="12"/>
      <c r="K3013" s="12"/>
      <c r="L3013" s="379"/>
      <c r="M3013" s="380"/>
      <c r="N3013" s="380"/>
      <c r="O3013" s="12"/>
      <c r="P3013" s="381"/>
      <c r="Q3013" s="12"/>
      <c r="R3013" s="12"/>
      <c r="S3013" s="382"/>
      <c r="T3013" s="383"/>
      <c r="U3013" s="384"/>
      <c r="V3013" s="12"/>
      <c r="W3013" s="12"/>
    </row>
    <row r="3014" spans="1:23" x14ac:dyDescent="0.3">
      <c r="A3014" s="193"/>
      <c r="B3014" s="378"/>
      <c r="C3014" s="315"/>
      <c r="D3014" s="316"/>
      <c r="E3014" s="315"/>
      <c r="F3014" s="315"/>
      <c r="G3014" s="315"/>
      <c r="H3014" s="153"/>
      <c r="I3014" s="12"/>
      <c r="J3014" s="12"/>
      <c r="K3014" s="12"/>
      <c r="L3014" s="379"/>
      <c r="M3014" s="380"/>
      <c r="N3014" s="380"/>
      <c r="O3014" s="12"/>
      <c r="P3014" s="381"/>
      <c r="Q3014" s="12"/>
      <c r="R3014" s="12"/>
      <c r="S3014" s="382"/>
      <c r="T3014" s="383"/>
      <c r="U3014" s="384"/>
      <c r="V3014" s="12"/>
      <c r="W3014" s="12"/>
    </row>
    <row r="3015" spans="1:23" x14ac:dyDescent="0.3">
      <c r="A3015" s="193"/>
      <c r="B3015" s="378"/>
      <c r="C3015" s="315"/>
      <c r="D3015" s="316"/>
      <c r="E3015" s="315"/>
      <c r="F3015" s="315"/>
      <c r="G3015" s="315"/>
      <c r="H3015" s="153"/>
      <c r="I3015" s="12"/>
      <c r="J3015" s="12"/>
      <c r="K3015" s="12"/>
      <c r="L3015" s="379"/>
      <c r="M3015" s="380"/>
      <c r="N3015" s="380"/>
      <c r="O3015" s="12"/>
      <c r="P3015" s="381"/>
      <c r="Q3015" s="12"/>
      <c r="R3015" s="12"/>
      <c r="S3015" s="382"/>
      <c r="T3015" s="383"/>
      <c r="U3015" s="384"/>
      <c r="V3015" s="12"/>
      <c r="W3015" s="12"/>
    </row>
    <row r="3016" spans="1:23" x14ac:dyDescent="0.3">
      <c r="A3016" s="193"/>
      <c r="B3016" s="378"/>
      <c r="C3016" s="315"/>
      <c r="D3016" s="316"/>
      <c r="E3016" s="315"/>
      <c r="F3016" s="315"/>
      <c r="G3016" s="315"/>
      <c r="H3016" s="153"/>
      <c r="I3016" s="12"/>
      <c r="J3016" s="12"/>
      <c r="K3016" s="12"/>
      <c r="L3016" s="379"/>
      <c r="M3016" s="380"/>
      <c r="N3016" s="380"/>
      <c r="O3016" s="12"/>
      <c r="P3016" s="381"/>
      <c r="Q3016" s="12"/>
      <c r="R3016" s="12"/>
      <c r="S3016" s="382"/>
      <c r="T3016" s="383"/>
      <c r="U3016" s="384"/>
      <c r="V3016" s="12"/>
      <c r="W3016" s="12"/>
    </row>
    <row r="3017" spans="1:23" x14ac:dyDescent="0.3">
      <c r="A3017" s="193"/>
      <c r="B3017" s="378"/>
      <c r="C3017" s="315"/>
      <c r="D3017" s="316"/>
      <c r="E3017" s="315"/>
      <c r="F3017" s="315"/>
      <c r="G3017" s="315"/>
      <c r="H3017" s="153"/>
      <c r="I3017" s="12"/>
      <c r="J3017" s="12"/>
      <c r="K3017" s="12"/>
      <c r="L3017" s="379"/>
      <c r="M3017" s="380"/>
      <c r="N3017" s="380"/>
      <c r="O3017" s="12"/>
      <c r="P3017" s="381"/>
      <c r="Q3017" s="12"/>
      <c r="R3017" s="12"/>
      <c r="S3017" s="382"/>
      <c r="T3017" s="383"/>
      <c r="U3017" s="384"/>
      <c r="V3017" s="12"/>
      <c r="W3017" s="12"/>
    </row>
    <row r="3018" spans="1:23" x14ac:dyDescent="0.3">
      <c r="A3018" s="193"/>
      <c r="B3018" s="378"/>
      <c r="C3018" s="315"/>
      <c r="D3018" s="316"/>
      <c r="E3018" s="315"/>
      <c r="F3018" s="315"/>
      <c r="G3018" s="315"/>
      <c r="H3018" s="153"/>
      <c r="I3018" s="12"/>
      <c r="J3018" s="12"/>
      <c r="K3018" s="12"/>
      <c r="L3018" s="379"/>
      <c r="M3018" s="380"/>
      <c r="N3018" s="380"/>
      <c r="O3018" s="12"/>
      <c r="P3018" s="381"/>
      <c r="Q3018" s="12"/>
      <c r="R3018" s="12"/>
      <c r="S3018" s="382"/>
      <c r="T3018" s="383"/>
      <c r="U3018" s="384"/>
      <c r="V3018" s="12"/>
      <c r="W3018" s="12"/>
    </row>
    <row r="3019" spans="1:23" x14ac:dyDescent="0.3">
      <c r="A3019" s="193"/>
      <c r="B3019" s="378"/>
      <c r="C3019" s="315"/>
      <c r="D3019" s="316"/>
      <c r="E3019" s="315"/>
      <c r="F3019" s="315"/>
      <c r="G3019" s="315"/>
      <c r="H3019" s="153"/>
      <c r="I3019" s="12"/>
      <c r="J3019" s="12"/>
      <c r="K3019" s="12"/>
      <c r="L3019" s="379"/>
      <c r="M3019" s="380"/>
      <c r="N3019" s="380"/>
      <c r="O3019" s="12"/>
      <c r="P3019" s="381"/>
      <c r="Q3019" s="12"/>
      <c r="R3019" s="12"/>
      <c r="S3019" s="382"/>
      <c r="T3019" s="383"/>
      <c r="U3019" s="384"/>
      <c r="V3019" s="12"/>
      <c r="W3019" s="12"/>
    </row>
    <row r="3020" spans="1:23" x14ac:dyDescent="0.3">
      <c r="A3020" s="193"/>
      <c r="B3020" s="378"/>
      <c r="C3020" s="315"/>
      <c r="D3020" s="316"/>
      <c r="E3020" s="315"/>
      <c r="F3020" s="315"/>
      <c r="G3020" s="315"/>
      <c r="H3020" s="153"/>
      <c r="I3020" s="12"/>
      <c r="J3020" s="12"/>
      <c r="K3020" s="12"/>
      <c r="L3020" s="379"/>
      <c r="M3020" s="380"/>
      <c r="N3020" s="380"/>
      <c r="O3020" s="12"/>
      <c r="P3020" s="381"/>
      <c r="Q3020" s="12"/>
      <c r="R3020" s="12"/>
      <c r="S3020" s="382"/>
      <c r="T3020" s="383"/>
      <c r="U3020" s="384"/>
      <c r="V3020" s="12"/>
      <c r="W3020" s="12"/>
    </row>
    <row r="3021" spans="1:23" x14ac:dyDescent="0.3">
      <c r="A3021" s="193"/>
      <c r="B3021" s="378"/>
      <c r="C3021" s="315"/>
      <c r="D3021" s="316"/>
      <c r="E3021" s="315"/>
      <c r="F3021" s="315"/>
      <c r="G3021" s="315"/>
      <c r="H3021" s="153"/>
      <c r="I3021" s="12"/>
      <c r="J3021" s="12"/>
      <c r="K3021" s="12"/>
      <c r="L3021" s="379"/>
      <c r="M3021" s="380"/>
      <c r="N3021" s="380"/>
      <c r="O3021" s="12"/>
      <c r="P3021" s="381"/>
      <c r="Q3021" s="12"/>
      <c r="R3021" s="12"/>
      <c r="S3021" s="382"/>
      <c r="T3021" s="383"/>
      <c r="U3021" s="384"/>
      <c r="V3021" s="12"/>
      <c r="W3021" s="12"/>
    </row>
    <row r="3022" spans="1:23" x14ac:dyDescent="0.3">
      <c r="A3022" s="193"/>
      <c r="B3022" s="378"/>
      <c r="C3022" s="315"/>
      <c r="D3022" s="316"/>
      <c r="E3022" s="315"/>
      <c r="F3022" s="315"/>
      <c r="G3022" s="315"/>
      <c r="H3022" s="153"/>
      <c r="I3022" s="12"/>
      <c r="J3022" s="12"/>
      <c r="K3022" s="12"/>
      <c r="L3022" s="379"/>
      <c r="M3022" s="380"/>
      <c r="N3022" s="380"/>
      <c r="O3022" s="12"/>
      <c r="P3022" s="381"/>
      <c r="Q3022" s="12"/>
      <c r="R3022" s="12"/>
      <c r="S3022" s="382"/>
      <c r="T3022" s="383"/>
      <c r="U3022" s="384"/>
      <c r="V3022" s="12"/>
      <c r="W3022" s="12"/>
    </row>
    <row r="3023" spans="1:23" x14ac:dyDescent="0.3">
      <c r="A3023" s="193"/>
      <c r="B3023" s="378"/>
      <c r="C3023" s="315"/>
      <c r="D3023" s="316"/>
      <c r="E3023" s="315"/>
      <c r="F3023" s="315"/>
      <c r="G3023" s="315"/>
      <c r="H3023" s="153"/>
      <c r="I3023" s="12"/>
      <c r="J3023" s="12"/>
      <c r="K3023" s="12"/>
      <c r="L3023" s="379"/>
      <c r="M3023" s="380"/>
      <c r="N3023" s="380"/>
      <c r="O3023" s="12"/>
      <c r="P3023" s="381"/>
      <c r="Q3023" s="12"/>
      <c r="R3023" s="12"/>
      <c r="S3023" s="382"/>
      <c r="T3023" s="383"/>
      <c r="U3023" s="384"/>
      <c r="V3023" s="12"/>
      <c r="W3023" s="12"/>
    </row>
    <row r="3024" spans="1:23" x14ac:dyDescent="0.3">
      <c r="A3024" s="193"/>
      <c r="B3024" s="378"/>
      <c r="C3024" s="315"/>
      <c r="D3024" s="316"/>
      <c r="E3024" s="315"/>
      <c r="F3024" s="315"/>
      <c r="G3024" s="315"/>
      <c r="H3024" s="153"/>
      <c r="I3024" s="12"/>
      <c r="J3024" s="12"/>
      <c r="K3024" s="12"/>
      <c r="L3024" s="379"/>
      <c r="M3024" s="380"/>
      <c r="N3024" s="380"/>
      <c r="O3024" s="12"/>
      <c r="P3024" s="381"/>
      <c r="Q3024" s="12"/>
      <c r="R3024" s="12"/>
      <c r="S3024" s="382"/>
      <c r="T3024" s="383"/>
      <c r="U3024" s="384"/>
      <c r="V3024" s="12"/>
      <c r="W3024" s="12"/>
    </row>
    <row r="3025" spans="1:23" x14ac:dyDescent="0.3">
      <c r="A3025" s="193"/>
      <c r="B3025" s="378"/>
      <c r="C3025" s="315"/>
      <c r="D3025" s="316"/>
      <c r="E3025" s="315"/>
      <c r="F3025" s="315"/>
      <c r="G3025" s="315"/>
      <c r="H3025" s="153"/>
      <c r="I3025" s="12"/>
      <c r="J3025" s="12"/>
      <c r="K3025" s="12"/>
      <c r="L3025" s="379"/>
      <c r="M3025" s="380"/>
      <c r="N3025" s="380"/>
      <c r="O3025" s="12"/>
      <c r="P3025" s="381"/>
      <c r="Q3025" s="12"/>
      <c r="R3025" s="12"/>
      <c r="S3025" s="382"/>
      <c r="T3025" s="383"/>
      <c r="U3025" s="384"/>
      <c r="V3025" s="12"/>
      <c r="W3025" s="12"/>
    </row>
    <row r="3026" spans="1:23" x14ac:dyDescent="0.3">
      <c r="A3026" s="193"/>
      <c r="B3026" s="378"/>
      <c r="C3026" s="315"/>
      <c r="D3026" s="316"/>
      <c r="E3026" s="315"/>
      <c r="F3026" s="315"/>
      <c r="G3026" s="315"/>
      <c r="H3026" s="153"/>
      <c r="I3026" s="12"/>
      <c r="J3026" s="12"/>
      <c r="K3026" s="12"/>
      <c r="L3026" s="379"/>
      <c r="M3026" s="380"/>
      <c r="N3026" s="380"/>
      <c r="O3026" s="12"/>
      <c r="P3026" s="381"/>
      <c r="Q3026" s="12"/>
      <c r="R3026" s="12"/>
      <c r="S3026" s="382"/>
      <c r="T3026" s="383"/>
      <c r="U3026" s="384"/>
      <c r="V3026" s="12"/>
      <c r="W3026" s="12"/>
    </row>
    <row r="3027" spans="1:23" x14ac:dyDescent="0.3">
      <c r="A3027" s="193"/>
      <c r="B3027" s="378"/>
      <c r="C3027" s="315"/>
      <c r="D3027" s="316"/>
      <c r="E3027" s="315"/>
      <c r="F3027" s="315"/>
      <c r="G3027" s="315"/>
      <c r="H3027" s="153"/>
      <c r="I3027" s="12"/>
      <c r="J3027" s="12"/>
      <c r="K3027" s="12"/>
      <c r="L3027" s="379"/>
      <c r="M3027" s="380"/>
      <c r="N3027" s="380"/>
      <c r="O3027" s="12"/>
      <c r="P3027" s="381"/>
      <c r="Q3027" s="12"/>
      <c r="R3027" s="12"/>
      <c r="S3027" s="382"/>
      <c r="T3027" s="383"/>
      <c r="U3027" s="384"/>
      <c r="V3027" s="12"/>
      <c r="W3027" s="12"/>
    </row>
    <row r="3028" spans="1:23" x14ac:dyDescent="0.3">
      <c r="A3028" s="193"/>
      <c r="B3028" s="378"/>
      <c r="C3028" s="315"/>
      <c r="D3028" s="316"/>
      <c r="E3028" s="315"/>
      <c r="F3028" s="315"/>
      <c r="G3028" s="315"/>
      <c r="H3028" s="153"/>
      <c r="I3028" s="12"/>
      <c r="J3028" s="12"/>
      <c r="K3028" s="12"/>
      <c r="L3028" s="379"/>
      <c r="M3028" s="380"/>
      <c r="N3028" s="380"/>
      <c r="O3028" s="12"/>
      <c r="P3028" s="381"/>
      <c r="Q3028" s="12"/>
      <c r="R3028" s="12"/>
      <c r="S3028" s="382"/>
      <c r="T3028" s="383"/>
      <c r="U3028" s="384"/>
      <c r="V3028" s="12"/>
      <c r="W3028" s="12"/>
    </row>
    <row r="3029" spans="1:23" x14ac:dyDescent="0.3">
      <c r="A3029" s="193"/>
      <c r="B3029" s="378"/>
      <c r="C3029" s="315"/>
      <c r="D3029" s="316"/>
      <c r="E3029" s="315"/>
      <c r="F3029" s="315"/>
      <c r="G3029" s="315"/>
      <c r="H3029" s="153"/>
      <c r="I3029" s="12"/>
      <c r="J3029" s="12"/>
      <c r="K3029" s="12"/>
      <c r="L3029" s="379"/>
      <c r="M3029" s="380"/>
      <c r="N3029" s="380"/>
      <c r="O3029" s="12"/>
      <c r="P3029" s="381"/>
      <c r="Q3029" s="12"/>
      <c r="R3029" s="12"/>
      <c r="S3029" s="382"/>
      <c r="T3029" s="383"/>
      <c r="U3029" s="384"/>
      <c r="V3029" s="12"/>
      <c r="W3029" s="12"/>
    </row>
    <row r="3030" spans="1:23" x14ac:dyDescent="0.3">
      <c r="A3030" s="193"/>
      <c r="B3030" s="378"/>
      <c r="C3030" s="315"/>
      <c r="D3030" s="316"/>
      <c r="E3030" s="315"/>
      <c r="F3030" s="315"/>
      <c r="G3030" s="315"/>
      <c r="H3030" s="153"/>
      <c r="I3030" s="12"/>
      <c r="J3030" s="12"/>
      <c r="K3030" s="12"/>
      <c r="L3030" s="379"/>
      <c r="M3030" s="380"/>
      <c r="N3030" s="380"/>
      <c r="O3030" s="12"/>
      <c r="P3030" s="381"/>
      <c r="Q3030" s="12"/>
      <c r="R3030" s="12"/>
      <c r="S3030" s="382"/>
      <c r="T3030" s="383"/>
      <c r="U3030" s="384"/>
      <c r="V3030" s="12"/>
      <c r="W3030" s="12"/>
    </row>
    <row r="3031" spans="1:23" x14ac:dyDescent="0.3">
      <c r="A3031" s="193"/>
      <c r="B3031" s="378"/>
      <c r="C3031" s="315"/>
      <c r="D3031" s="316"/>
      <c r="E3031" s="315"/>
      <c r="F3031" s="315"/>
      <c r="G3031" s="315"/>
      <c r="H3031" s="153"/>
      <c r="I3031" s="12"/>
      <c r="J3031" s="12"/>
      <c r="K3031" s="12"/>
      <c r="L3031" s="379"/>
      <c r="M3031" s="380"/>
      <c r="N3031" s="380"/>
      <c r="O3031" s="12"/>
      <c r="P3031" s="381"/>
      <c r="Q3031" s="12"/>
      <c r="R3031" s="12"/>
      <c r="S3031" s="382"/>
      <c r="T3031" s="383"/>
      <c r="U3031" s="384"/>
      <c r="V3031" s="12"/>
      <c r="W3031" s="12"/>
    </row>
    <row r="3032" spans="1:23" x14ac:dyDescent="0.3">
      <c r="A3032" s="193"/>
      <c r="B3032" s="378"/>
      <c r="C3032" s="315"/>
      <c r="D3032" s="316"/>
      <c r="E3032" s="315"/>
      <c r="F3032" s="315"/>
      <c r="G3032" s="315"/>
      <c r="H3032" s="153"/>
      <c r="I3032" s="12"/>
      <c r="J3032" s="12"/>
      <c r="K3032" s="12"/>
      <c r="L3032" s="379"/>
      <c r="M3032" s="380"/>
      <c r="N3032" s="380"/>
      <c r="O3032" s="12"/>
      <c r="P3032" s="381"/>
      <c r="Q3032" s="12"/>
      <c r="R3032" s="12"/>
      <c r="S3032" s="382"/>
      <c r="T3032" s="383"/>
      <c r="U3032" s="384"/>
      <c r="V3032" s="12"/>
      <c r="W3032" s="12"/>
    </row>
    <row r="3033" spans="1:23" x14ac:dyDescent="0.3">
      <c r="A3033" s="193"/>
      <c r="B3033" s="378"/>
      <c r="C3033" s="315"/>
      <c r="D3033" s="316"/>
      <c r="E3033" s="315"/>
      <c r="F3033" s="315"/>
      <c r="G3033" s="315"/>
      <c r="H3033" s="153"/>
      <c r="I3033" s="12"/>
      <c r="J3033" s="12"/>
      <c r="K3033" s="12"/>
      <c r="L3033" s="379"/>
      <c r="M3033" s="380"/>
      <c r="N3033" s="380"/>
      <c r="O3033" s="12"/>
      <c r="P3033" s="381"/>
      <c r="Q3033" s="12"/>
      <c r="R3033" s="12"/>
      <c r="S3033" s="382"/>
      <c r="T3033" s="383"/>
      <c r="U3033" s="384"/>
      <c r="V3033" s="12"/>
      <c r="W3033" s="12"/>
    </row>
    <row r="3034" spans="1:23" x14ac:dyDescent="0.3">
      <c r="A3034" s="193"/>
      <c r="B3034" s="378"/>
      <c r="C3034" s="315"/>
      <c r="D3034" s="316"/>
      <c r="E3034" s="315"/>
      <c r="F3034" s="315"/>
      <c r="G3034" s="315"/>
      <c r="H3034" s="153"/>
      <c r="I3034" s="12"/>
      <c r="J3034" s="12"/>
      <c r="K3034" s="12"/>
      <c r="L3034" s="379"/>
      <c r="M3034" s="380"/>
      <c r="N3034" s="380"/>
      <c r="O3034" s="12"/>
      <c r="P3034" s="381"/>
      <c r="Q3034" s="12"/>
      <c r="R3034" s="12"/>
      <c r="S3034" s="382"/>
      <c r="T3034" s="383"/>
      <c r="U3034" s="384"/>
      <c r="V3034" s="12"/>
      <c r="W3034" s="12"/>
    </row>
    <row r="3035" spans="1:23" x14ac:dyDescent="0.3">
      <c r="A3035" s="193"/>
      <c r="B3035" s="378"/>
      <c r="C3035" s="315"/>
      <c r="D3035" s="316"/>
      <c r="E3035" s="315"/>
      <c r="F3035" s="315"/>
      <c r="G3035" s="315"/>
      <c r="H3035" s="153"/>
      <c r="I3035" s="12"/>
      <c r="J3035" s="12"/>
      <c r="K3035" s="12"/>
      <c r="L3035" s="379"/>
      <c r="M3035" s="380"/>
      <c r="N3035" s="380"/>
      <c r="O3035" s="12"/>
      <c r="P3035" s="381"/>
      <c r="Q3035" s="12"/>
      <c r="R3035" s="12"/>
      <c r="S3035" s="382"/>
      <c r="T3035" s="383"/>
      <c r="U3035" s="384"/>
      <c r="V3035" s="12"/>
      <c r="W3035" s="12"/>
    </row>
    <row r="3036" spans="1:23" x14ac:dyDescent="0.3">
      <c r="A3036" s="193"/>
      <c r="B3036" s="378"/>
      <c r="C3036" s="315"/>
      <c r="D3036" s="316"/>
      <c r="E3036" s="315"/>
      <c r="F3036" s="315"/>
      <c r="G3036" s="315"/>
      <c r="H3036" s="153"/>
      <c r="I3036" s="12"/>
      <c r="J3036" s="12"/>
      <c r="K3036" s="12"/>
      <c r="L3036" s="379"/>
      <c r="M3036" s="380"/>
      <c r="N3036" s="380"/>
      <c r="O3036" s="12"/>
      <c r="P3036" s="381"/>
      <c r="Q3036" s="12"/>
      <c r="R3036" s="12"/>
      <c r="S3036" s="382"/>
      <c r="T3036" s="383"/>
      <c r="U3036" s="384"/>
      <c r="V3036" s="12"/>
      <c r="W3036" s="12"/>
    </row>
    <row r="3037" spans="1:23" x14ac:dyDescent="0.3">
      <c r="A3037" s="193"/>
      <c r="B3037" s="378"/>
      <c r="C3037" s="315"/>
      <c r="D3037" s="316"/>
      <c r="E3037" s="315"/>
      <c r="F3037" s="315"/>
      <c r="G3037" s="315"/>
      <c r="H3037" s="153"/>
      <c r="I3037" s="12"/>
      <c r="J3037" s="12"/>
      <c r="K3037" s="12"/>
      <c r="L3037" s="379"/>
      <c r="M3037" s="380"/>
      <c r="N3037" s="380"/>
      <c r="O3037" s="12"/>
      <c r="P3037" s="381"/>
      <c r="Q3037" s="12"/>
      <c r="R3037" s="12"/>
      <c r="S3037" s="382"/>
      <c r="T3037" s="383"/>
      <c r="U3037" s="384"/>
      <c r="V3037" s="12"/>
      <c r="W3037" s="12"/>
    </row>
    <row r="3038" spans="1:23" x14ac:dyDescent="0.3">
      <c r="A3038" s="193"/>
      <c r="B3038" s="378"/>
      <c r="C3038" s="315"/>
      <c r="D3038" s="316"/>
      <c r="E3038" s="315"/>
      <c r="F3038" s="315"/>
      <c r="G3038" s="315"/>
      <c r="H3038" s="153"/>
      <c r="I3038" s="12"/>
      <c r="J3038" s="12"/>
      <c r="K3038" s="12"/>
      <c r="L3038" s="379"/>
      <c r="M3038" s="380"/>
      <c r="N3038" s="380"/>
      <c r="O3038" s="12"/>
      <c r="P3038" s="381"/>
      <c r="Q3038" s="12"/>
      <c r="R3038" s="12"/>
      <c r="S3038" s="382"/>
      <c r="T3038" s="383"/>
      <c r="U3038" s="384"/>
      <c r="V3038" s="12"/>
      <c r="W3038" s="12"/>
    </row>
    <row r="3039" spans="1:23" x14ac:dyDescent="0.3">
      <c r="A3039" s="193"/>
      <c r="B3039" s="378"/>
      <c r="C3039" s="315"/>
      <c r="D3039" s="316"/>
      <c r="E3039" s="315"/>
      <c r="F3039" s="315"/>
      <c r="G3039" s="315"/>
      <c r="H3039" s="153"/>
      <c r="I3039" s="12"/>
      <c r="J3039" s="12"/>
      <c r="K3039" s="12"/>
      <c r="L3039" s="379"/>
      <c r="M3039" s="380"/>
      <c r="N3039" s="380"/>
      <c r="O3039" s="12"/>
      <c r="P3039" s="381"/>
      <c r="Q3039" s="12"/>
      <c r="R3039" s="12"/>
      <c r="S3039" s="382"/>
      <c r="T3039" s="383"/>
      <c r="U3039" s="384"/>
      <c r="V3039" s="12"/>
      <c r="W3039" s="12"/>
    </row>
    <row r="3040" spans="1:23" x14ac:dyDescent="0.3">
      <c r="A3040" s="193"/>
      <c r="B3040" s="378"/>
      <c r="C3040" s="315"/>
      <c r="D3040" s="316"/>
      <c r="E3040" s="315"/>
      <c r="F3040" s="315"/>
      <c r="G3040" s="315"/>
      <c r="H3040" s="153"/>
      <c r="I3040" s="12"/>
      <c r="J3040" s="12"/>
      <c r="K3040" s="12"/>
      <c r="L3040" s="379"/>
      <c r="M3040" s="380"/>
      <c r="N3040" s="380"/>
      <c r="O3040" s="12"/>
      <c r="P3040" s="381"/>
      <c r="Q3040" s="12"/>
      <c r="R3040" s="12"/>
      <c r="S3040" s="382"/>
      <c r="T3040" s="383"/>
      <c r="U3040" s="384"/>
      <c r="V3040" s="12"/>
      <c r="W3040" s="12"/>
    </row>
    <row r="3041" spans="1:23" x14ac:dyDescent="0.3">
      <c r="A3041" s="193"/>
      <c r="B3041" s="378"/>
      <c r="C3041" s="315"/>
      <c r="D3041" s="316"/>
      <c r="E3041" s="315"/>
      <c r="F3041" s="315"/>
      <c r="G3041" s="315"/>
      <c r="H3041" s="153"/>
      <c r="I3041" s="12"/>
      <c r="J3041" s="12"/>
      <c r="K3041" s="12"/>
      <c r="L3041" s="379"/>
      <c r="M3041" s="380"/>
      <c r="N3041" s="380"/>
      <c r="O3041" s="12"/>
      <c r="P3041" s="381"/>
      <c r="Q3041" s="12"/>
      <c r="R3041" s="12"/>
      <c r="S3041" s="382"/>
      <c r="T3041" s="383"/>
      <c r="U3041" s="384"/>
      <c r="V3041" s="12"/>
      <c r="W3041" s="12"/>
    </row>
    <row r="3042" spans="1:23" x14ac:dyDescent="0.3">
      <c r="A3042" s="193"/>
      <c r="B3042" s="378"/>
      <c r="C3042" s="315"/>
      <c r="D3042" s="316"/>
      <c r="E3042" s="315"/>
      <c r="F3042" s="315"/>
      <c r="G3042" s="315"/>
      <c r="H3042" s="153"/>
      <c r="I3042" s="12"/>
      <c r="J3042" s="12"/>
      <c r="K3042" s="12"/>
      <c r="L3042" s="379"/>
      <c r="M3042" s="380"/>
      <c r="N3042" s="380"/>
      <c r="O3042" s="12"/>
      <c r="P3042" s="381"/>
      <c r="Q3042" s="12"/>
      <c r="R3042" s="12"/>
      <c r="S3042" s="382"/>
      <c r="T3042" s="383"/>
      <c r="U3042" s="384"/>
      <c r="V3042" s="12"/>
      <c r="W3042" s="12"/>
    </row>
    <row r="3043" spans="1:23" x14ac:dyDescent="0.3">
      <c r="A3043" s="193"/>
      <c r="B3043" s="378"/>
      <c r="C3043" s="315"/>
      <c r="D3043" s="316"/>
      <c r="E3043" s="315"/>
      <c r="F3043" s="315"/>
      <c r="G3043" s="315"/>
      <c r="H3043" s="153"/>
      <c r="I3043" s="12"/>
      <c r="J3043" s="12"/>
      <c r="K3043" s="12"/>
      <c r="L3043" s="379"/>
      <c r="M3043" s="380"/>
      <c r="N3043" s="380"/>
      <c r="O3043" s="12"/>
      <c r="P3043" s="381"/>
      <c r="Q3043" s="12"/>
      <c r="R3043" s="12"/>
      <c r="S3043" s="382"/>
      <c r="T3043" s="383"/>
      <c r="U3043" s="384"/>
      <c r="V3043" s="12"/>
      <c r="W3043" s="12"/>
    </row>
    <row r="3044" spans="1:23" x14ac:dyDescent="0.3">
      <c r="A3044" s="193"/>
      <c r="B3044" s="378"/>
      <c r="C3044" s="315"/>
      <c r="D3044" s="316"/>
      <c r="E3044" s="315"/>
      <c r="F3044" s="315"/>
      <c r="G3044" s="315"/>
      <c r="H3044" s="153"/>
      <c r="I3044" s="12"/>
      <c r="J3044" s="12"/>
      <c r="K3044" s="12"/>
      <c r="L3044" s="379"/>
      <c r="M3044" s="380"/>
      <c r="N3044" s="380"/>
      <c r="O3044" s="12"/>
      <c r="P3044" s="381"/>
      <c r="Q3044" s="12"/>
      <c r="R3044" s="12"/>
      <c r="S3044" s="382"/>
      <c r="T3044" s="383"/>
      <c r="U3044" s="384"/>
      <c r="V3044" s="12"/>
      <c r="W3044" s="12"/>
    </row>
    <row r="3045" spans="1:23" x14ac:dyDescent="0.3">
      <c r="A3045" s="193"/>
      <c r="B3045" s="378"/>
      <c r="C3045" s="315"/>
      <c r="D3045" s="316"/>
      <c r="E3045" s="315"/>
      <c r="F3045" s="315"/>
      <c r="G3045" s="315"/>
      <c r="H3045" s="153"/>
      <c r="I3045" s="12"/>
      <c r="J3045" s="12"/>
      <c r="K3045" s="12"/>
      <c r="L3045" s="379"/>
      <c r="M3045" s="380"/>
      <c r="N3045" s="380"/>
      <c r="O3045" s="12"/>
      <c r="P3045" s="381"/>
      <c r="Q3045" s="12"/>
      <c r="R3045" s="12"/>
      <c r="S3045" s="382"/>
      <c r="T3045" s="383"/>
      <c r="U3045" s="384"/>
      <c r="V3045" s="12"/>
      <c r="W3045" s="12"/>
    </row>
    <row r="3046" spans="1:23" x14ac:dyDescent="0.3">
      <c r="A3046" s="193"/>
      <c r="B3046" s="378"/>
      <c r="C3046" s="315"/>
      <c r="D3046" s="316"/>
      <c r="E3046" s="315"/>
      <c r="F3046" s="315"/>
      <c r="G3046" s="315"/>
      <c r="H3046" s="153"/>
      <c r="I3046" s="12"/>
      <c r="J3046" s="12"/>
      <c r="K3046" s="12"/>
      <c r="L3046" s="379"/>
      <c r="M3046" s="380"/>
      <c r="N3046" s="380"/>
      <c r="O3046" s="12"/>
      <c r="P3046" s="381"/>
      <c r="Q3046" s="12"/>
      <c r="R3046" s="12"/>
      <c r="S3046" s="382"/>
      <c r="T3046" s="383"/>
      <c r="U3046" s="384"/>
      <c r="V3046" s="12"/>
      <c r="W3046" s="12"/>
    </row>
    <row r="3047" spans="1:23" x14ac:dyDescent="0.3">
      <c r="A3047" s="193"/>
      <c r="B3047" s="378"/>
      <c r="C3047" s="315"/>
      <c r="D3047" s="316"/>
      <c r="E3047" s="315"/>
      <c r="F3047" s="315"/>
      <c r="G3047" s="315"/>
      <c r="H3047" s="153"/>
      <c r="I3047" s="12"/>
      <c r="J3047" s="12"/>
      <c r="K3047" s="12"/>
      <c r="L3047" s="379"/>
      <c r="M3047" s="380"/>
      <c r="N3047" s="380"/>
      <c r="O3047" s="12"/>
      <c r="P3047" s="381"/>
      <c r="Q3047" s="12"/>
      <c r="R3047" s="12"/>
      <c r="S3047" s="382"/>
      <c r="T3047" s="383"/>
      <c r="U3047" s="384"/>
      <c r="V3047" s="12"/>
      <c r="W3047" s="12"/>
    </row>
    <row r="3048" spans="1:23" x14ac:dyDescent="0.3">
      <c r="A3048" s="193"/>
      <c r="B3048" s="378"/>
      <c r="C3048" s="315"/>
      <c r="D3048" s="316"/>
      <c r="E3048" s="315"/>
      <c r="F3048" s="315"/>
      <c r="G3048" s="315"/>
      <c r="H3048" s="153"/>
      <c r="I3048" s="12"/>
      <c r="J3048" s="12"/>
      <c r="K3048" s="12"/>
      <c r="L3048" s="379"/>
      <c r="M3048" s="380"/>
      <c r="N3048" s="380"/>
      <c r="O3048" s="12"/>
      <c r="P3048" s="381"/>
      <c r="Q3048" s="12"/>
      <c r="R3048" s="12"/>
      <c r="S3048" s="382"/>
      <c r="T3048" s="383"/>
      <c r="U3048" s="384"/>
      <c r="V3048" s="12"/>
      <c r="W3048" s="12"/>
    </row>
    <row r="3049" spans="1:23" x14ac:dyDescent="0.3">
      <c r="A3049" s="193"/>
      <c r="B3049" s="378"/>
      <c r="C3049" s="315"/>
      <c r="D3049" s="316"/>
      <c r="E3049" s="315"/>
      <c r="F3049" s="315"/>
      <c r="G3049" s="315"/>
      <c r="H3049" s="153"/>
      <c r="I3049" s="12"/>
      <c r="J3049" s="12"/>
      <c r="K3049" s="12"/>
      <c r="L3049" s="379"/>
      <c r="M3049" s="380"/>
      <c r="N3049" s="380"/>
      <c r="O3049" s="12"/>
      <c r="P3049" s="381"/>
      <c r="Q3049" s="12"/>
      <c r="R3049" s="12"/>
      <c r="S3049" s="382"/>
      <c r="T3049" s="383"/>
      <c r="U3049" s="384"/>
      <c r="V3049" s="12"/>
      <c r="W3049" s="12"/>
    </row>
    <row r="3050" spans="1:23" x14ac:dyDescent="0.3">
      <c r="A3050" s="193"/>
      <c r="B3050" s="378"/>
      <c r="C3050" s="315"/>
      <c r="D3050" s="316"/>
      <c r="E3050" s="315"/>
      <c r="F3050" s="315"/>
      <c r="G3050" s="315"/>
      <c r="H3050" s="153"/>
      <c r="I3050" s="12"/>
      <c r="J3050" s="12"/>
      <c r="K3050" s="12"/>
      <c r="L3050" s="379"/>
      <c r="M3050" s="380"/>
      <c r="N3050" s="380"/>
      <c r="O3050" s="12"/>
      <c r="P3050" s="381"/>
      <c r="Q3050" s="12"/>
      <c r="R3050" s="12"/>
      <c r="S3050" s="382"/>
      <c r="T3050" s="383"/>
      <c r="U3050" s="384"/>
      <c r="V3050" s="12"/>
      <c r="W3050" s="12"/>
    </row>
    <row r="3051" spans="1:23" x14ac:dyDescent="0.3">
      <c r="A3051" s="193"/>
      <c r="B3051" s="378"/>
      <c r="C3051" s="315"/>
      <c r="D3051" s="316"/>
      <c r="E3051" s="315"/>
      <c r="F3051" s="315"/>
      <c r="G3051" s="315"/>
      <c r="H3051" s="153"/>
      <c r="I3051" s="12"/>
      <c r="J3051" s="12"/>
      <c r="K3051" s="12"/>
      <c r="L3051" s="379"/>
      <c r="M3051" s="380"/>
      <c r="N3051" s="380"/>
      <c r="O3051" s="12"/>
      <c r="P3051" s="381"/>
      <c r="Q3051" s="12"/>
      <c r="R3051" s="12"/>
      <c r="S3051" s="382"/>
      <c r="T3051" s="383"/>
      <c r="U3051" s="384"/>
      <c r="V3051" s="12"/>
      <c r="W3051" s="12"/>
    </row>
    <row r="3052" spans="1:23" x14ac:dyDescent="0.3">
      <c r="A3052" s="193"/>
      <c r="B3052" s="378"/>
      <c r="C3052" s="315"/>
      <c r="D3052" s="316"/>
      <c r="E3052" s="315"/>
      <c r="F3052" s="315"/>
      <c r="G3052" s="315"/>
      <c r="H3052" s="153"/>
      <c r="I3052" s="12"/>
      <c r="J3052" s="12"/>
      <c r="K3052" s="12"/>
      <c r="L3052" s="379"/>
      <c r="M3052" s="380"/>
      <c r="N3052" s="380"/>
      <c r="O3052" s="12"/>
      <c r="P3052" s="381"/>
      <c r="Q3052" s="12"/>
      <c r="R3052" s="12"/>
      <c r="S3052" s="382"/>
      <c r="T3052" s="383"/>
      <c r="U3052" s="384"/>
      <c r="V3052" s="12"/>
      <c r="W3052" s="12"/>
    </row>
    <row r="3053" spans="1:23" x14ac:dyDescent="0.3">
      <c r="A3053" s="193"/>
      <c r="B3053" s="378"/>
      <c r="C3053" s="315"/>
      <c r="D3053" s="316"/>
      <c r="E3053" s="315"/>
      <c r="F3053" s="315"/>
      <c r="G3053" s="315"/>
      <c r="H3053" s="153"/>
      <c r="I3053" s="12"/>
      <c r="J3053" s="12"/>
      <c r="K3053" s="12"/>
      <c r="L3053" s="379"/>
      <c r="M3053" s="380"/>
      <c r="N3053" s="380"/>
      <c r="O3053" s="12"/>
      <c r="P3053" s="381"/>
      <c r="Q3053" s="12"/>
      <c r="R3053" s="12"/>
      <c r="S3053" s="382"/>
      <c r="T3053" s="383"/>
      <c r="U3053" s="384"/>
      <c r="V3053" s="12"/>
      <c r="W3053" s="12"/>
    </row>
    <row r="3054" spans="1:23" x14ac:dyDescent="0.3">
      <c r="A3054" s="193"/>
      <c r="B3054" s="378"/>
      <c r="C3054" s="315"/>
      <c r="D3054" s="316"/>
      <c r="E3054" s="315"/>
      <c r="F3054" s="315"/>
      <c r="G3054" s="315"/>
      <c r="H3054" s="153"/>
      <c r="I3054" s="12"/>
      <c r="J3054" s="12"/>
      <c r="K3054" s="12"/>
      <c r="L3054" s="379"/>
      <c r="M3054" s="380"/>
      <c r="N3054" s="380"/>
      <c r="O3054" s="12"/>
      <c r="P3054" s="381"/>
      <c r="Q3054" s="12"/>
      <c r="R3054" s="12"/>
      <c r="S3054" s="382"/>
      <c r="T3054" s="383"/>
      <c r="U3054" s="384"/>
      <c r="V3054" s="12"/>
      <c r="W3054" s="12"/>
    </row>
    <row r="3055" spans="1:23" x14ac:dyDescent="0.3">
      <c r="A3055" s="193"/>
      <c r="B3055" s="378"/>
      <c r="C3055" s="315"/>
      <c r="D3055" s="316"/>
      <c r="E3055" s="315"/>
      <c r="F3055" s="315"/>
      <c r="G3055" s="315"/>
      <c r="H3055" s="153"/>
      <c r="I3055" s="12"/>
      <c r="J3055" s="12"/>
      <c r="K3055" s="12"/>
      <c r="L3055" s="379"/>
      <c r="M3055" s="380"/>
      <c r="N3055" s="380"/>
      <c r="O3055" s="12"/>
      <c r="P3055" s="381"/>
      <c r="Q3055" s="12"/>
      <c r="R3055" s="12"/>
      <c r="S3055" s="382"/>
      <c r="T3055" s="383"/>
      <c r="U3055" s="384"/>
      <c r="V3055" s="12"/>
      <c r="W3055" s="12"/>
    </row>
    <row r="3056" spans="1:23" x14ac:dyDescent="0.3">
      <c r="A3056" s="193"/>
      <c r="B3056" s="378"/>
      <c r="C3056" s="315"/>
      <c r="D3056" s="316"/>
      <c r="E3056" s="315"/>
      <c r="F3056" s="315"/>
      <c r="G3056" s="315"/>
      <c r="H3056" s="153"/>
      <c r="I3056" s="12"/>
      <c r="J3056" s="12"/>
      <c r="K3056" s="12"/>
      <c r="L3056" s="379"/>
      <c r="M3056" s="380"/>
      <c r="N3056" s="380"/>
      <c r="O3056" s="12"/>
      <c r="P3056" s="381"/>
      <c r="Q3056" s="12"/>
      <c r="R3056" s="12"/>
      <c r="S3056" s="382"/>
      <c r="T3056" s="383"/>
      <c r="U3056" s="384"/>
      <c r="V3056" s="12"/>
      <c r="W3056" s="12"/>
    </row>
    <row r="3057" spans="1:23" x14ac:dyDescent="0.3">
      <c r="A3057" s="193"/>
      <c r="B3057" s="378"/>
      <c r="C3057" s="315"/>
      <c r="D3057" s="316"/>
      <c r="E3057" s="315"/>
      <c r="F3057" s="315"/>
      <c r="G3057" s="315"/>
      <c r="H3057" s="153"/>
      <c r="I3057" s="12"/>
      <c r="J3057" s="12"/>
      <c r="K3057" s="12"/>
      <c r="L3057" s="379"/>
      <c r="M3057" s="380"/>
      <c r="N3057" s="380"/>
      <c r="O3057" s="12"/>
      <c r="P3057" s="381"/>
      <c r="Q3057" s="12"/>
      <c r="R3057" s="12"/>
      <c r="S3057" s="382"/>
      <c r="T3057" s="383"/>
      <c r="U3057" s="384"/>
      <c r="V3057" s="12"/>
      <c r="W3057" s="12"/>
    </row>
    <row r="3058" spans="1:23" x14ac:dyDescent="0.3">
      <c r="A3058" s="193"/>
      <c r="B3058" s="378"/>
      <c r="C3058" s="315"/>
      <c r="D3058" s="316"/>
      <c r="E3058" s="315"/>
      <c r="F3058" s="315"/>
      <c r="G3058" s="315"/>
      <c r="H3058" s="153"/>
      <c r="I3058" s="12"/>
      <c r="J3058" s="12"/>
      <c r="K3058" s="12"/>
      <c r="L3058" s="379"/>
      <c r="M3058" s="380"/>
      <c r="N3058" s="380"/>
      <c r="O3058" s="12"/>
      <c r="P3058" s="381"/>
      <c r="Q3058" s="12"/>
      <c r="R3058" s="12"/>
      <c r="S3058" s="382"/>
      <c r="T3058" s="383"/>
      <c r="U3058" s="384"/>
      <c r="V3058" s="12"/>
      <c r="W3058" s="12"/>
    </row>
    <row r="3059" spans="1:23" x14ac:dyDescent="0.3">
      <c r="A3059" s="193"/>
      <c r="B3059" s="378"/>
      <c r="C3059" s="315"/>
      <c r="D3059" s="316"/>
      <c r="E3059" s="315"/>
      <c r="F3059" s="315"/>
      <c r="G3059" s="315"/>
      <c r="H3059" s="153"/>
      <c r="I3059" s="12"/>
      <c r="J3059" s="12"/>
      <c r="K3059" s="12"/>
      <c r="L3059" s="379"/>
      <c r="M3059" s="380"/>
      <c r="N3059" s="380"/>
      <c r="O3059" s="12"/>
      <c r="P3059" s="381"/>
      <c r="Q3059" s="12"/>
      <c r="R3059" s="12"/>
      <c r="S3059" s="382"/>
      <c r="T3059" s="383"/>
      <c r="U3059" s="384"/>
      <c r="V3059" s="12"/>
      <c r="W3059" s="12"/>
    </row>
    <row r="3060" spans="1:23" x14ac:dyDescent="0.3">
      <c r="A3060" s="193"/>
      <c r="B3060" s="378"/>
      <c r="C3060" s="315"/>
      <c r="D3060" s="316"/>
      <c r="E3060" s="315"/>
      <c r="F3060" s="315"/>
      <c r="G3060" s="315"/>
      <c r="H3060" s="153"/>
      <c r="I3060" s="12"/>
      <c r="J3060" s="12"/>
      <c r="K3060" s="12"/>
      <c r="L3060" s="379"/>
      <c r="M3060" s="380"/>
      <c r="N3060" s="380"/>
      <c r="O3060" s="12"/>
      <c r="P3060" s="381"/>
      <c r="Q3060" s="12"/>
      <c r="R3060" s="12"/>
      <c r="S3060" s="382"/>
      <c r="T3060" s="383"/>
      <c r="U3060" s="384"/>
      <c r="V3060" s="12"/>
      <c r="W3060" s="12"/>
    </row>
    <row r="3061" spans="1:23" x14ac:dyDescent="0.3">
      <c r="A3061" s="193"/>
      <c r="B3061" s="378"/>
      <c r="C3061" s="315"/>
      <c r="D3061" s="316"/>
      <c r="E3061" s="315"/>
      <c r="F3061" s="315"/>
      <c r="G3061" s="315"/>
      <c r="H3061" s="153"/>
      <c r="I3061" s="12"/>
      <c r="J3061" s="12"/>
      <c r="K3061" s="12"/>
      <c r="L3061" s="379"/>
      <c r="M3061" s="380"/>
      <c r="N3061" s="380"/>
      <c r="O3061" s="12"/>
      <c r="P3061" s="381"/>
      <c r="Q3061" s="12"/>
      <c r="R3061" s="12"/>
      <c r="S3061" s="382"/>
      <c r="T3061" s="383"/>
      <c r="U3061" s="384"/>
      <c r="V3061" s="12"/>
      <c r="W3061" s="12"/>
    </row>
    <row r="3062" spans="1:23" x14ac:dyDescent="0.3">
      <c r="A3062" s="193"/>
      <c r="B3062" s="378"/>
      <c r="C3062" s="315"/>
      <c r="D3062" s="316"/>
      <c r="E3062" s="315"/>
      <c r="F3062" s="315"/>
      <c r="G3062" s="315"/>
      <c r="H3062" s="153"/>
      <c r="I3062" s="12"/>
      <c r="J3062" s="12"/>
      <c r="K3062" s="12"/>
      <c r="L3062" s="379"/>
      <c r="M3062" s="380"/>
      <c r="N3062" s="380"/>
      <c r="O3062" s="12"/>
      <c r="P3062" s="381"/>
      <c r="Q3062" s="12"/>
      <c r="R3062" s="12"/>
      <c r="S3062" s="382"/>
      <c r="T3062" s="383"/>
      <c r="U3062" s="384"/>
      <c r="V3062" s="12"/>
      <c r="W3062" s="12"/>
    </row>
    <row r="3063" spans="1:23" x14ac:dyDescent="0.3">
      <c r="A3063" s="193"/>
      <c r="B3063" s="378"/>
      <c r="C3063" s="315"/>
      <c r="D3063" s="316"/>
      <c r="E3063" s="315"/>
      <c r="F3063" s="315"/>
      <c r="G3063" s="315"/>
      <c r="H3063" s="153"/>
      <c r="I3063" s="12"/>
      <c r="J3063" s="12"/>
      <c r="K3063" s="12"/>
      <c r="L3063" s="379"/>
      <c r="M3063" s="380"/>
      <c r="N3063" s="380"/>
      <c r="O3063" s="12"/>
      <c r="P3063" s="381"/>
      <c r="Q3063" s="12"/>
      <c r="R3063" s="12"/>
      <c r="S3063" s="382"/>
      <c r="T3063" s="383"/>
      <c r="U3063" s="384"/>
      <c r="V3063" s="12"/>
      <c r="W3063" s="12"/>
    </row>
    <row r="3064" spans="1:23" x14ac:dyDescent="0.3">
      <c r="A3064" s="193"/>
      <c r="B3064" s="378"/>
      <c r="C3064" s="315"/>
      <c r="D3064" s="316"/>
      <c r="E3064" s="315"/>
      <c r="F3064" s="315"/>
      <c r="G3064" s="315"/>
      <c r="H3064" s="153"/>
      <c r="I3064" s="12"/>
      <c r="J3064" s="12"/>
      <c r="K3064" s="12"/>
      <c r="L3064" s="379"/>
      <c r="M3064" s="380"/>
      <c r="N3064" s="380"/>
      <c r="O3064" s="12"/>
      <c r="P3064" s="381"/>
      <c r="Q3064" s="12"/>
      <c r="R3064" s="12"/>
      <c r="S3064" s="382"/>
      <c r="T3064" s="383"/>
      <c r="U3064" s="384"/>
      <c r="V3064" s="12"/>
      <c r="W3064" s="12"/>
    </row>
    <row r="3065" spans="1:23" x14ac:dyDescent="0.3">
      <c r="A3065" s="193"/>
      <c r="B3065" s="378"/>
      <c r="C3065" s="315"/>
      <c r="D3065" s="316"/>
      <c r="E3065" s="315"/>
      <c r="F3065" s="315"/>
      <c r="G3065" s="315"/>
      <c r="H3065" s="153"/>
      <c r="I3065" s="12"/>
      <c r="J3065" s="12"/>
      <c r="K3065" s="12"/>
      <c r="L3065" s="379"/>
      <c r="M3065" s="380"/>
      <c r="N3065" s="380"/>
      <c r="O3065" s="12"/>
      <c r="P3065" s="381"/>
      <c r="Q3065" s="12"/>
      <c r="R3065" s="12"/>
      <c r="S3065" s="382"/>
      <c r="T3065" s="383"/>
      <c r="U3065" s="384"/>
      <c r="V3065" s="12"/>
      <c r="W3065" s="12"/>
    </row>
    <row r="3066" spans="1:23" x14ac:dyDescent="0.3">
      <c r="A3066" s="193"/>
      <c r="B3066" s="378"/>
      <c r="C3066" s="315"/>
      <c r="D3066" s="316"/>
      <c r="E3066" s="315"/>
      <c r="F3066" s="315"/>
      <c r="G3066" s="315"/>
      <c r="H3066" s="153"/>
      <c r="I3066" s="12"/>
      <c r="J3066" s="12"/>
      <c r="K3066" s="12"/>
      <c r="L3066" s="379"/>
      <c r="M3066" s="380"/>
      <c r="N3066" s="380"/>
      <c r="O3066" s="12"/>
      <c r="P3066" s="381"/>
      <c r="Q3066" s="12"/>
      <c r="R3066" s="12"/>
      <c r="S3066" s="382"/>
      <c r="T3066" s="383"/>
      <c r="U3066" s="384"/>
      <c r="V3066" s="12"/>
      <c r="W3066" s="12"/>
    </row>
    <row r="3067" spans="1:23" x14ac:dyDescent="0.3">
      <c r="A3067" s="193"/>
      <c r="B3067" s="378"/>
      <c r="C3067" s="315"/>
      <c r="D3067" s="316"/>
      <c r="E3067" s="315"/>
      <c r="F3067" s="315"/>
      <c r="G3067" s="315"/>
      <c r="H3067" s="153"/>
      <c r="I3067" s="12"/>
      <c r="J3067" s="12"/>
      <c r="K3067" s="12"/>
      <c r="L3067" s="379"/>
      <c r="M3067" s="380"/>
      <c r="N3067" s="380"/>
      <c r="O3067" s="12"/>
      <c r="P3067" s="381"/>
      <c r="Q3067" s="12"/>
      <c r="R3067" s="12"/>
      <c r="S3067" s="382"/>
      <c r="T3067" s="383"/>
      <c r="U3067" s="384"/>
      <c r="V3067" s="12"/>
      <c r="W3067" s="12"/>
    </row>
    <row r="3068" spans="1:23" x14ac:dyDescent="0.3">
      <c r="A3068" s="193"/>
      <c r="B3068" s="378"/>
      <c r="C3068" s="315"/>
      <c r="D3068" s="316"/>
      <c r="E3068" s="315"/>
      <c r="F3068" s="315"/>
      <c r="G3068" s="315"/>
      <c r="H3068" s="153"/>
      <c r="I3068" s="12"/>
      <c r="J3068" s="12"/>
      <c r="K3068" s="12"/>
      <c r="L3068" s="379"/>
      <c r="M3068" s="380"/>
      <c r="N3068" s="380"/>
      <c r="O3068" s="12"/>
      <c r="P3068" s="381"/>
      <c r="Q3068" s="12"/>
      <c r="R3068" s="12"/>
      <c r="S3068" s="382"/>
      <c r="T3068" s="383"/>
      <c r="U3068" s="384"/>
      <c r="V3068" s="12"/>
      <c r="W3068" s="12"/>
    </row>
    <row r="3069" spans="1:23" x14ac:dyDescent="0.3">
      <c r="A3069" s="193"/>
      <c r="B3069" s="378"/>
      <c r="C3069" s="315"/>
      <c r="D3069" s="316"/>
      <c r="E3069" s="315"/>
      <c r="F3069" s="315"/>
      <c r="G3069" s="315"/>
      <c r="H3069" s="153"/>
      <c r="I3069" s="12"/>
      <c r="J3069" s="12"/>
      <c r="K3069" s="12"/>
      <c r="L3069" s="379"/>
      <c r="M3069" s="380"/>
      <c r="N3069" s="380"/>
      <c r="O3069" s="12"/>
      <c r="P3069" s="381"/>
      <c r="Q3069" s="12"/>
      <c r="R3069" s="12"/>
      <c r="S3069" s="382"/>
      <c r="T3069" s="383"/>
      <c r="U3069" s="384"/>
      <c r="V3069" s="12"/>
      <c r="W3069" s="12"/>
    </row>
    <row r="3070" spans="1:23" x14ac:dyDescent="0.3">
      <c r="A3070" s="193"/>
      <c r="B3070" s="378"/>
      <c r="C3070" s="315"/>
      <c r="D3070" s="316"/>
      <c r="E3070" s="315"/>
      <c r="F3070" s="315"/>
      <c r="G3070" s="315"/>
      <c r="H3070" s="153"/>
      <c r="I3070" s="12"/>
      <c r="J3070" s="12"/>
      <c r="K3070" s="12"/>
      <c r="L3070" s="379"/>
      <c r="M3070" s="380"/>
      <c r="N3070" s="380"/>
      <c r="O3070" s="12"/>
      <c r="P3070" s="381"/>
      <c r="Q3070" s="12"/>
      <c r="R3070" s="12"/>
      <c r="S3070" s="382"/>
      <c r="T3070" s="383"/>
      <c r="U3070" s="384"/>
      <c r="V3070" s="12"/>
      <c r="W3070" s="12"/>
    </row>
    <row r="3071" spans="1:23" x14ac:dyDescent="0.3">
      <c r="A3071" s="193"/>
      <c r="B3071" s="378"/>
      <c r="C3071" s="315"/>
      <c r="D3071" s="316"/>
      <c r="E3071" s="315"/>
      <c r="F3071" s="315"/>
      <c r="G3071" s="315"/>
      <c r="H3071" s="153"/>
      <c r="I3071" s="12"/>
      <c r="J3071" s="12"/>
      <c r="K3071" s="12"/>
      <c r="L3071" s="379"/>
      <c r="M3071" s="380"/>
      <c r="N3071" s="380"/>
      <c r="O3071" s="12"/>
      <c r="P3071" s="381"/>
      <c r="Q3071" s="12"/>
      <c r="R3071" s="12"/>
      <c r="S3071" s="382"/>
      <c r="T3071" s="383"/>
      <c r="U3071" s="384"/>
      <c r="V3071" s="12"/>
      <c r="W3071" s="12"/>
    </row>
    <row r="3072" spans="1:23" x14ac:dyDescent="0.3">
      <c r="A3072" s="193"/>
      <c r="B3072" s="378"/>
      <c r="C3072" s="315"/>
      <c r="D3072" s="316"/>
      <c r="E3072" s="315"/>
      <c r="F3072" s="315"/>
      <c r="G3072" s="315"/>
      <c r="H3072" s="153"/>
      <c r="I3072" s="12"/>
      <c r="J3072" s="12"/>
      <c r="K3072" s="12"/>
      <c r="L3072" s="379"/>
      <c r="M3072" s="380"/>
      <c r="N3072" s="380"/>
      <c r="O3072" s="12"/>
      <c r="P3072" s="381"/>
      <c r="Q3072" s="12"/>
      <c r="R3072" s="12"/>
      <c r="S3072" s="382"/>
      <c r="T3072" s="383"/>
      <c r="U3072" s="384"/>
      <c r="V3072" s="12"/>
      <c r="W3072" s="12"/>
    </row>
    <row r="3073" spans="1:23" x14ac:dyDescent="0.3">
      <c r="A3073" s="193"/>
      <c r="B3073" s="378"/>
      <c r="C3073" s="315"/>
      <c r="D3073" s="316"/>
      <c r="E3073" s="315"/>
      <c r="F3073" s="315"/>
      <c r="G3073" s="315"/>
      <c r="H3073" s="153"/>
      <c r="I3073" s="12"/>
      <c r="J3073" s="12"/>
      <c r="K3073" s="12"/>
      <c r="L3073" s="379"/>
      <c r="M3073" s="380"/>
      <c r="N3073" s="380"/>
      <c r="O3073" s="12"/>
      <c r="P3073" s="381"/>
      <c r="Q3073" s="12"/>
      <c r="R3073" s="12"/>
      <c r="S3073" s="382"/>
      <c r="T3073" s="383"/>
      <c r="U3073" s="384"/>
      <c r="V3073" s="12"/>
      <c r="W3073" s="12"/>
    </row>
    <row r="3074" spans="1:23" x14ac:dyDescent="0.3">
      <c r="A3074" s="193"/>
      <c r="B3074" s="378"/>
      <c r="C3074" s="315"/>
      <c r="D3074" s="316"/>
      <c r="E3074" s="315"/>
      <c r="F3074" s="315"/>
      <c r="G3074" s="315"/>
      <c r="H3074" s="153"/>
      <c r="I3074" s="12"/>
      <c r="J3074" s="12"/>
      <c r="K3074" s="12"/>
      <c r="L3074" s="379"/>
      <c r="M3074" s="380"/>
      <c r="N3074" s="380"/>
      <c r="O3074" s="12"/>
      <c r="P3074" s="381"/>
      <c r="Q3074" s="12"/>
      <c r="R3074" s="12"/>
      <c r="S3074" s="382"/>
      <c r="T3074" s="383"/>
      <c r="U3074" s="384"/>
      <c r="V3074" s="12"/>
      <c r="W3074" s="12"/>
    </row>
    <row r="3075" spans="1:23" x14ac:dyDescent="0.3">
      <c r="A3075" s="193"/>
      <c r="B3075" s="378"/>
      <c r="C3075" s="315"/>
      <c r="D3075" s="316"/>
      <c r="E3075" s="315"/>
      <c r="F3075" s="315"/>
      <c r="G3075" s="315"/>
      <c r="H3075" s="153"/>
      <c r="I3075" s="12"/>
      <c r="J3075" s="12"/>
      <c r="K3075" s="12"/>
      <c r="L3075" s="379"/>
      <c r="M3075" s="380"/>
      <c r="N3075" s="380"/>
      <c r="O3075" s="12"/>
      <c r="P3075" s="381"/>
      <c r="Q3075" s="12"/>
      <c r="R3075" s="12"/>
      <c r="S3075" s="382"/>
      <c r="T3075" s="383"/>
      <c r="U3075" s="384"/>
      <c r="V3075" s="12"/>
      <c r="W3075" s="12"/>
    </row>
    <row r="3076" spans="1:23" x14ac:dyDescent="0.3">
      <c r="A3076" s="193"/>
      <c r="B3076" s="378"/>
      <c r="C3076" s="315"/>
      <c r="D3076" s="316"/>
      <c r="E3076" s="315"/>
      <c r="F3076" s="315"/>
      <c r="G3076" s="315"/>
      <c r="H3076" s="153"/>
      <c r="I3076" s="12"/>
      <c r="J3076" s="12"/>
      <c r="K3076" s="12"/>
      <c r="L3076" s="379"/>
      <c r="M3076" s="380"/>
      <c r="N3076" s="380"/>
      <c r="O3076" s="12"/>
      <c r="P3076" s="381"/>
      <c r="Q3076" s="12"/>
      <c r="R3076" s="12"/>
      <c r="S3076" s="382"/>
      <c r="T3076" s="383"/>
      <c r="U3076" s="384"/>
      <c r="V3076" s="12"/>
      <c r="W3076" s="12"/>
    </row>
    <row r="3077" spans="1:23" x14ac:dyDescent="0.3">
      <c r="A3077" s="193"/>
      <c r="B3077" s="378"/>
      <c r="C3077" s="315"/>
      <c r="D3077" s="316"/>
      <c r="E3077" s="315"/>
      <c r="F3077" s="315"/>
      <c r="G3077" s="315"/>
      <c r="H3077" s="153"/>
      <c r="I3077" s="12"/>
      <c r="J3077" s="12"/>
      <c r="K3077" s="12"/>
      <c r="L3077" s="379"/>
      <c r="M3077" s="380"/>
      <c r="N3077" s="380"/>
      <c r="O3077" s="12"/>
      <c r="P3077" s="381"/>
      <c r="Q3077" s="12"/>
      <c r="R3077" s="12"/>
      <c r="S3077" s="382"/>
      <c r="T3077" s="383"/>
      <c r="U3077" s="384"/>
      <c r="V3077" s="12"/>
      <c r="W3077" s="12"/>
    </row>
    <row r="3078" spans="1:23" x14ac:dyDescent="0.3">
      <c r="A3078" s="193"/>
      <c r="B3078" s="378"/>
      <c r="C3078" s="315"/>
      <c r="D3078" s="316"/>
      <c r="E3078" s="315"/>
      <c r="F3078" s="315"/>
      <c r="G3078" s="315"/>
      <c r="H3078" s="153"/>
      <c r="I3078" s="12"/>
      <c r="J3078" s="12"/>
      <c r="K3078" s="12"/>
      <c r="L3078" s="379"/>
      <c r="M3078" s="380"/>
      <c r="N3078" s="380"/>
      <c r="O3078" s="12"/>
      <c r="P3078" s="381"/>
      <c r="Q3078" s="12"/>
      <c r="R3078" s="12"/>
      <c r="S3078" s="382"/>
      <c r="T3078" s="383"/>
      <c r="U3078" s="384"/>
      <c r="V3078" s="12"/>
      <c r="W3078" s="12"/>
    </row>
    <row r="3079" spans="1:23" x14ac:dyDescent="0.3">
      <c r="A3079" s="193"/>
      <c r="B3079" s="378"/>
      <c r="C3079" s="315"/>
      <c r="D3079" s="316"/>
      <c r="E3079" s="315"/>
      <c r="F3079" s="315"/>
      <c r="G3079" s="315"/>
      <c r="H3079" s="153"/>
      <c r="I3079" s="12"/>
      <c r="J3079" s="12"/>
      <c r="K3079" s="12"/>
      <c r="L3079" s="379"/>
      <c r="M3079" s="380"/>
      <c r="N3079" s="380"/>
      <c r="O3079" s="12"/>
      <c r="P3079" s="381"/>
      <c r="Q3079" s="12"/>
      <c r="R3079" s="12"/>
      <c r="S3079" s="382"/>
      <c r="T3079" s="383"/>
      <c r="U3079" s="384"/>
      <c r="V3079" s="12"/>
      <c r="W3079" s="12"/>
    </row>
    <row r="3080" spans="1:23" x14ac:dyDescent="0.3">
      <c r="A3080" s="193"/>
      <c r="B3080" s="378"/>
      <c r="C3080" s="315"/>
      <c r="D3080" s="316"/>
      <c r="E3080" s="315"/>
      <c r="F3080" s="315"/>
      <c r="G3080" s="315"/>
      <c r="H3080" s="153"/>
      <c r="I3080" s="12"/>
      <c r="J3080" s="12"/>
      <c r="K3080" s="12"/>
      <c r="L3080" s="379"/>
      <c r="M3080" s="380"/>
      <c r="N3080" s="380"/>
      <c r="O3080" s="12"/>
      <c r="P3080" s="381"/>
      <c r="Q3080" s="12"/>
      <c r="R3080" s="12"/>
      <c r="S3080" s="382"/>
      <c r="T3080" s="383"/>
      <c r="U3080" s="384"/>
      <c r="V3080" s="12"/>
      <c r="W3080" s="12"/>
    </row>
    <row r="3081" spans="1:23" x14ac:dyDescent="0.3">
      <c r="A3081" s="193"/>
      <c r="B3081" s="378"/>
      <c r="C3081" s="315"/>
      <c r="D3081" s="316"/>
      <c r="E3081" s="315"/>
      <c r="F3081" s="315"/>
      <c r="G3081" s="315"/>
      <c r="H3081" s="153"/>
      <c r="I3081" s="12"/>
      <c r="J3081" s="12"/>
      <c r="K3081" s="12"/>
      <c r="L3081" s="379"/>
      <c r="M3081" s="380"/>
      <c r="N3081" s="380"/>
      <c r="O3081" s="12"/>
      <c r="P3081" s="381"/>
      <c r="Q3081" s="12"/>
      <c r="R3081" s="12"/>
      <c r="S3081" s="382"/>
      <c r="T3081" s="383"/>
      <c r="U3081" s="384"/>
      <c r="V3081" s="12"/>
      <c r="W3081" s="12"/>
    </row>
    <row r="3082" spans="1:23" x14ac:dyDescent="0.3">
      <c r="A3082" s="193"/>
      <c r="B3082" s="378"/>
      <c r="C3082" s="315"/>
      <c r="D3082" s="316"/>
      <c r="E3082" s="315"/>
      <c r="F3082" s="315"/>
      <c r="G3082" s="315"/>
      <c r="H3082" s="153"/>
      <c r="I3082" s="12"/>
      <c r="J3082" s="12"/>
      <c r="K3082" s="12"/>
      <c r="L3082" s="379"/>
      <c r="M3082" s="380"/>
      <c r="N3082" s="380"/>
      <c r="O3082" s="12"/>
      <c r="P3082" s="381"/>
      <c r="Q3082" s="12"/>
      <c r="R3082" s="12"/>
      <c r="S3082" s="382"/>
      <c r="T3082" s="383"/>
      <c r="U3082" s="384"/>
      <c r="V3082" s="12"/>
      <c r="W3082" s="12"/>
    </row>
    <row r="3083" spans="1:23" x14ac:dyDescent="0.3">
      <c r="A3083" s="193"/>
      <c r="B3083" s="378"/>
      <c r="C3083" s="315"/>
      <c r="D3083" s="316"/>
      <c r="E3083" s="315"/>
      <c r="F3083" s="315"/>
      <c r="G3083" s="315"/>
      <c r="H3083" s="153"/>
      <c r="I3083" s="12"/>
      <c r="J3083" s="12"/>
      <c r="K3083" s="12"/>
      <c r="L3083" s="379"/>
      <c r="M3083" s="380"/>
      <c r="N3083" s="380"/>
      <c r="O3083" s="12"/>
      <c r="P3083" s="381"/>
      <c r="Q3083" s="12"/>
      <c r="R3083" s="12"/>
      <c r="S3083" s="382"/>
      <c r="T3083" s="383"/>
      <c r="U3083" s="384"/>
      <c r="V3083" s="12"/>
      <c r="W3083" s="12"/>
    </row>
    <row r="3084" spans="1:23" x14ac:dyDescent="0.3">
      <c r="A3084" s="193"/>
      <c r="B3084" s="378"/>
      <c r="C3084" s="315"/>
      <c r="D3084" s="316"/>
      <c r="E3084" s="315"/>
      <c r="F3084" s="315"/>
      <c r="G3084" s="315"/>
      <c r="H3084" s="153"/>
      <c r="I3084" s="12"/>
      <c r="J3084" s="12"/>
      <c r="K3084" s="12"/>
      <c r="L3084" s="379"/>
      <c r="M3084" s="380"/>
      <c r="N3084" s="380"/>
      <c r="O3084" s="12"/>
      <c r="P3084" s="381"/>
      <c r="Q3084" s="12"/>
      <c r="R3084" s="12"/>
      <c r="S3084" s="382"/>
      <c r="T3084" s="383"/>
      <c r="U3084" s="384"/>
      <c r="V3084" s="12"/>
      <c r="W3084" s="12"/>
    </row>
    <row r="3085" spans="1:23" x14ac:dyDescent="0.3">
      <c r="A3085" s="193"/>
      <c r="B3085" s="378"/>
      <c r="C3085" s="315"/>
      <c r="D3085" s="316"/>
      <c r="E3085" s="315"/>
      <c r="F3085" s="315"/>
      <c r="G3085" s="315"/>
      <c r="H3085" s="153"/>
      <c r="I3085" s="12"/>
      <c r="J3085" s="12"/>
      <c r="K3085" s="12"/>
      <c r="L3085" s="379"/>
      <c r="M3085" s="380"/>
      <c r="N3085" s="380"/>
      <c r="O3085" s="12"/>
      <c r="P3085" s="381"/>
      <c r="Q3085" s="12"/>
      <c r="R3085" s="12"/>
      <c r="S3085" s="382"/>
      <c r="T3085" s="383"/>
      <c r="U3085" s="384"/>
      <c r="V3085" s="12"/>
      <c r="W3085" s="12"/>
    </row>
    <row r="3086" spans="1:23" x14ac:dyDescent="0.3">
      <c r="A3086" s="193"/>
      <c r="B3086" s="378"/>
      <c r="C3086" s="315"/>
      <c r="D3086" s="316"/>
      <c r="E3086" s="315"/>
      <c r="F3086" s="315"/>
      <c r="G3086" s="315"/>
      <c r="H3086" s="153"/>
      <c r="I3086" s="12"/>
      <c r="J3086" s="12"/>
      <c r="K3086" s="12"/>
      <c r="L3086" s="379"/>
      <c r="M3086" s="380"/>
      <c r="N3086" s="380"/>
      <c r="O3086" s="12"/>
      <c r="P3086" s="381"/>
      <c r="Q3086" s="12"/>
      <c r="R3086" s="12"/>
      <c r="S3086" s="382"/>
      <c r="T3086" s="383"/>
      <c r="U3086" s="384"/>
      <c r="V3086" s="12"/>
      <c r="W3086" s="12"/>
    </row>
    <row r="3087" spans="1:23" x14ac:dyDescent="0.3">
      <c r="A3087" s="193"/>
      <c r="B3087" s="378"/>
      <c r="C3087" s="315"/>
      <c r="D3087" s="316"/>
      <c r="E3087" s="315"/>
      <c r="F3087" s="315"/>
      <c r="G3087" s="315"/>
      <c r="H3087" s="153"/>
      <c r="I3087" s="12"/>
      <c r="J3087" s="12"/>
      <c r="K3087" s="12"/>
      <c r="L3087" s="379"/>
      <c r="M3087" s="380"/>
      <c r="N3087" s="380"/>
      <c r="O3087" s="12"/>
      <c r="P3087" s="381"/>
      <c r="Q3087" s="12"/>
      <c r="R3087" s="12"/>
      <c r="S3087" s="382"/>
      <c r="T3087" s="383"/>
      <c r="U3087" s="384"/>
      <c r="V3087" s="12"/>
      <c r="W3087" s="12"/>
    </row>
    <row r="3088" spans="1:23" x14ac:dyDescent="0.3">
      <c r="A3088" s="193"/>
      <c r="B3088" s="378"/>
      <c r="C3088" s="315"/>
      <c r="D3088" s="316"/>
      <c r="E3088" s="315"/>
      <c r="F3088" s="315"/>
      <c r="G3088" s="315"/>
      <c r="H3088" s="153"/>
      <c r="I3088" s="12"/>
      <c r="J3088" s="12"/>
      <c r="K3088" s="12"/>
      <c r="L3088" s="379"/>
      <c r="M3088" s="380"/>
      <c r="N3088" s="380"/>
      <c r="O3088" s="12"/>
      <c r="P3088" s="381"/>
      <c r="Q3088" s="12"/>
      <c r="R3088" s="12"/>
      <c r="S3088" s="382"/>
      <c r="T3088" s="383"/>
      <c r="U3088" s="384"/>
      <c r="V3088" s="12"/>
      <c r="W3088" s="12"/>
    </row>
    <row r="3089" spans="1:23" x14ac:dyDescent="0.3">
      <c r="A3089" s="193"/>
      <c r="B3089" s="378"/>
      <c r="C3089" s="315"/>
      <c r="D3089" s="316"/>
      <c r="E3089" s="315"/>
      <c r="F3089" s="315"/>
      <c r="G3089" s="315"/>
      <c r="H3089" s="153"/>
      <c r="I3089" s="12"/>
      <c r="J3089" s="12"/>
      <c r="K3089" s="12"/>
      <c r="L3089" s="379"/>
      <c r="M3089" s="380"/>
      <c r="N3089" s="380"/>
      <c r="O3089" s="12"/>
      <c r="P3089" s="381"/>
      <c r="Q3089" s="12"/>
      <c r="R3089" s="12"/>
      <c r="S3089" s="382"/>
      <c r="T3089" s="383"/>
      <c r="U3089" s="384"/>
      <c r="V3089" s="12"/>
      <c r="W3089" s="12"/>
    </row>
    <row r="3090" spans="1:23" x14ac:dyDescent="0.3">
      <c r="A3090" s="193"/>
      <c r="B3090" s="378"/>
      <c r="C3090" s="315"/>
      <c r="D3090" s="316"/>
      <c r="E3090" s="315"/>
      <c r="F3090" s="315"/>
      <c r="G3090" s="315"/>
      <c r="H3090" s="153"/>
      <c r="I3090" s="12"/>
      <c r="J3090" s="12"/>
      <c r="K3090" s="12"/>
      <c r="L3090" s="379"/>
      <c r="M3090" s="380"/>
      <c r="N3090" s="380"/>
      <c r="O3090" s="12"/>
      <c r="P3090" s="381"/>
      <c r="Q3090" s="12"/>
      <c r="R3090" s="12"/>
      <c r="S3090" s="382"/>
      <c r="T3090" s="383"/>
      <c r="U3090" s="384"/>
      <c r="V3090" s="12"/>
      <c r="W3090" s="12"/>
    </row>
    <row r="3091" spans="1:23" x14ac:dyDescent="0.3">
      <c r="A3091" s="193"/>
      <c r="B3091" s="378"/>
      <c r="C3091" s="315"/>
      <c r="D3091" s="316"/>
      <c r="E3091" s="315"/>
      <c r="F3091" s="315"/>
      <c r="G3091" s="315"/>
      <c r="H3091" s="153"/>
      <c r="I3091" s="12"/>
      <c r="J3091" s="12"/>
      <c r="K3091" s="12"/>
      <c r="L3091" s="379"/>
      <c r="M3091" s="380"/>
      <c r="N3091" s="380"/>
      <c r="O3091" s="12"/>
      <c r="P3091" s="381"/>
      <c r="Q3091" s="12"/>
      <c r="R3091" s="12"/>
      <c r="S3091" s="382"/>
      <c r="T3091" s="383"/>
      <c r="U3091" s="384"/>
      <c r="V3091" s="12"/>
      <c r="W3091" s="12"/>
    </row>
    <row r="3092" spans="1:23" x14ac:dyDescent="0.3">
      <c r="A3092" s="193"/>
      <c r="B3092" s="378"/>
      <c r="C3092" s="315"/>
      <c r="D3092" s="316"/>
      <c r="E3092" s="315"/>
      <c r="F3092" s="315"/>
      <c r="G3092" s="315"/>
      <c r="H3092" s="153"/>
      <c r="I3092" s="12"/>
      <c r="J3092" s="12"/>
      <c r="K3092" s="12"/>
      <c r="L3092" s="379"/>
      <c r="M3092" s="380"/>
      <c r="N3092" s="380"/>
      <c r="O3092" s="12"/>
      <c r="P3092" s="381"/>
      <c r="Q3092" s="12"/>
      <c r="R3092" s="12"/>
      <c r="S3092" s="382"/>
      <c r="T3092" s="383"/>
      <c r="U3092" s="384"/>
      <c r="V3092" s="12"/>
      <c r="W3092" s="12"/>
    </row>
    <row r="3093" spans="1:23" x14ac:dyDescent="0.3">
      <c r="A3093" s="193"/>
      <c r="B3093" s="378"/>
      <c r="C3093" s="315"/>
      <c r="D3093" s="316"/>
      <c r="E3093" s="315"/>
      <c r="F3093" s="315"/>
      <c r="G3093" s="315"/>
      <c r="H3093" s="153"/>
      <c r="I3093" s="12"/>
      <c r="J3093" s="12"/>
      <c r="K3093" s="12"/>
      <c r="L3093" s="379"/>
      <c r="M3093" s="380"/>
      <c r="N3093" s="380"/>
      <c r="O3093" s="12"/>
      <c r="P3093" s="381"/>
      <c r="Q3093" s="12"/>
      <c r="R3093" s="12"/>
      <c r="S3093" s="382"/>
      <c r="T3093" s="383"/>
      <c r="U3093" s="384"/>
      <c r="V3093" s="12"/>
      <c r="W3093" s="12"/>
    </row>
    <row r="3094" spans="1:23" x14ac:dyDescent="0.3">
      <c r="A3094" s="193"/>
      <c r="B3094" s="378"/>
      <c r="C3094" s="315"/>
      <c r="D3094" s="316"/>
      <c r="E3094" s="315"/>
      <c r="F3094" s="315"/>
      <c r="G3094" s="315"/>
      <c r="H3094" s="153"/>
      <c r="I3094" s="12"/>
      <c r="J3094" s="12"/>
      <c r="K3094" s="12"/>
      <c r="L3094" s="379"/>
      <c r="M3094" s="380"/>
      <c r="N3094" s="380"/>
      <c r="O3094" s="12"/>
      <c r="P3094" s="381"/>
      <c r="Q3094" s="12"/>
      <c r="R3094" s="12"/>
      <c r="S3094" s="382"/>
      <c r="T3094" s="383"/>
      <c r="U3094" s="384"/>
      <c r="V3094" s="12"/>
      <c r="W3094" s="12"/>
    </row>
    <row r="3095" spans="1:23" x14ac:dyDescent="0.3">
      <c r="A3095" s="193"/>
      <c r="B3095" s="378"/>
      <c r="C3095" s="315"/>
      <c r="D3095" s="316"/>
      <c r="E3095" s="315"/>
      <c r="F3095" s="315"/>
      <c r="G3095" s="315"/>
      <c r="H3095" s="153"/>
      <c r="I3095" s="12"/>
      <c r="J3095" s="12"/>
      <c r="K3095" s="12"/>
      <c r="L3095" s="379"/>
      <c r="M3095" s="380"/>
      <c r="N3095" s="380"/>
      <c r="O3095" s="12"/>
      <c r="P3095" s="381"/>
      <c r="Q3095" s="12"/>
      <c r="R3095" s="12"/>
      <c r="S3095" s="382"/>
      <c r="T3095" s="383"/>
      <c r="U3095" s="384"/>
      <c r="V3095" s="12"/>
      <c r="W3095" s="12"/>
    </row>
    <row r="3096" spans="1:23" x14ac:dyDescent="0.3">
      <c r="A3096" s="193"/>
      <c r="B3096" s="378"/>
      <c r="C3096" s="315"/>
      <c r="D3096" s="316"/>
      <c r="E3096" s="315"/>
      <c r="F3096" s="315"/>
      <c r="G3096" s="315"/>
      <c r="H3096" s="153"/>
      <c r="I3096" s="12"/>
      <c r="J3096" s="12"/>
      <c r="K3096" s="12"/>
      <c r="L3096" s="379"/>
      <c r="M3096" s="380"/>
      <c r="N3096" s="380"/>
      <c r="O3096" s="12"/>
      <c r="P3096" s="381"/>
      <c r="Q3096" s="12"/>
      <c r="R3096" s="12"/>
      <c r="S3096" s="382"/>
      <c r="T3096" s="383"/>
      <c r="U3096" s="384"/>
      <c r="V3096" s="12"/>
      <c r="W3096" s="12"/>
    </row>
    <row r="3097" spans="1:23" x14ac:dyDescent="0.3">
      <c r="A3097" s="193"/>
      <c r="B3097" s="378"/>
      <c r="C3097" s="315"/>
      <c r="D3097" s="316"/>
      <c r="E3097" s="315"/>
      <c r="F3097" s="315"/>
      <c r="G3097" s="315"/>
      <c r="H3097" s="153"/>
      <c r="I3097" s="12"/>
      <c r="J3097" s="12"/>
      <c r="K3097" s="12"/>
      <c r="L3097" s="379"/>
      <c r="M3097" s="380"/>
      <c r="N3097" s="380"/>
      <c r="O3097" s="12"/>
      <c r="P3097" s="381"/>
      <c r="Q3097" s="12"/>
      <c r="R3097" s="12"/>
      <c r="S3097" s="382"/>
      <c r="T3097" s="383"/>
      <c r="U3097" s="384"/>
      <c r="V3097" s="12"/>
      <c r="W3097" s="12"/>
    </row>
    <row r="3098" spans="1:23" x14ac:dyDescent="0.3">
      <c r="A3098" s="193"/>
      <c r="B3098" s="378"/>
      <c r="C3098" s="315"/>
      <c r="D3098" s="316"/>
      <c r="E3098" s="315"/>
      <c r="F3098" s="315"/>
      <c r="G3098" s="315"/>
      <c r="H3098" s="153"/>
      <c r="I3098" s="12"/>
      <c r="J3098" s="12"/>
      <c r="K3098" s="12"/>
      <c r="L3098" s="379"/>
      <c r="M3098" s="380"/>
      <c r="N3098" s="380"/>
      <c r="O3098" s="12"/>
      <c r="P3098" s="381"/>
      <c r="Q3098" s="12"/>
      <c r="R3098" s="12"/>
      <c r="S3098" s="382"/>
      <c r="T3098" s="383"/>
      <c r="U3098" s="384"/>
      <c r="V3098" s="12"/>
      <c r="W3098" s="12"/>
    </row>
    <row r="3099" spans="1:23" x14ac:dyDescent="0.3">
      <c r="A3099" s="193"/>
      <c r="B3099" s="378"/>
      <c r="C3099" s="315"/>
      <c r="D3099" s="316"/>
      <c r="E3099" s="315"/>
      <c r="F3099" s="315"/>
      <c r="G3099" s="315"/>
      <c r="H3099" s="153"/>
      <c r="I3099" s="12"/>
      <c r="J3099" s="12"/>
      <c r="K3099" s="12"/>
      <c r="L3099" s="379"/>
      <c r="M3099" s="380"/>
      <c r="N3099" s="380"/>
      <c r="O3099" s="12"/>
      <c r="P3099" s="381"/>
      <c r="Q3099" s="12"/>
      <c r="R3099" s="12"/>
      <c r="S3099" s="382"/>
      <c r="T3099" s="383"/>
      <c r="U3099" s="384"/>
      <c r="V3099" s="12"/>
      <c r="W3099" s="12"/>
    </row>
    <row r="3100" spans="1:23" x14ac:dyDescent="0.3">
      <c r="A3100" s="193"/>
      <c r="B3100" s="378"/>
      <c r="C3100" s="315"/>
      <c r="D3100" s="316"/>
      <c r="E3100" s="315"/>
      <c r="F3100" s="315"/>
      <c r="G3100" s="315"/>
      <c r="H3100" s="153"/>
      <c r="I3100" s="12"/>
      <c r="J3100" s="12"/>
      <c r="K3100" s="12"/>
      <c r="L3100" s="379"/>
      <c r="M3100" s="380"/>
      <c r="N3100" s="380"/>
      <c r="O3100" s="12"/>
      <c r="P3100" s="381"/>
      <c r="Q3100" s="12"/>
      <c r="R3100" s="12"/>
      <c r="S3100" s="382"/>
      <c r="T3100" s="383"/>
      <c r="U3100" s="384"/>
      <c r="V3100" s="12"/>
      <c r="W3100" s="12"/>
    </row>
    <row r="3101" spans="1:23" x14ac:dyDescent="0.3">
      <c r="A3101" s="193"/>
      <c r="B3101" s="378"/>
      <c r="C3101" s="315"/>
      <c r="D3101" s="316"/>
      <c r="E3101" s="315"/>
      <c r="F3101" s="315"/>
      <c r="G3101" s="315"/>
      <c r="H3101" s="153"/>
      <c r="I3101" s="12"/>
      <c r="J3101" s="12"/>
      <c r="K3101" s="12"/>
      <c r="L3101" s="379"/>
      <c r="M3101" s="380"/>
      <c r="N3101" s="380"/>
      <c r="O3101" s="12"/>
      <c r="P3101" s="381"/>
      <c r="Q3101" s="12"/>
      <c r="R3101" s="12"/>
      <c r="S3101" s="382"/>
      <c r="T3101" s="383"/>
      <c r="U3101" s="384"/>
      <c r="V3101" s="12"/>
      <c r="W3101" s="12"/>
    </row>
    <row r="3102" spans="1:23" x14ac:dyDescent="0.3">
      <c r="A3102" s="193"/>
      <c r="B3102" s="378"/>
      <c r="C3102" s="315"/>
      <c r="D3102" s="316"/>
      <c r="E3102" s="315"/>
      <c r="F3102" s="315"/>
      <c r="G3102" s="315"/>
      <c r="H3102" s="153"/>
      <c r="I3102" s="12"/>
      <c r="J3102" s="12"/>
      <c r="K3102" s="12"/>
      <c r="L3102" s="379"/>
      <c r="M3102" s="380"/>
      <c r="N3102" s="380"/>
      <c r="O3102" s="12"/>
      <c r="P3102" s="381"/>
      <c r="Q3102" s="12"/>
      <c r="R3102" s="12"/>
      <c r="S3102" s="382"/>
      <c r="T3102" s="383"/>
      <c r="U3102" s="384"/>
      <c r="V3102" s="12"/>
      <c r="W3102" s="12"/>
    </row>
    <row r="3103" spans="1:23" x14ac:dyDescent="0.3">
      <c r="A3103" s="193"/>
      <c r="B3103" s="378"/>
      <c r="C3103" s="315"/>
      <c r="D3103" s="316"/>
      <c r="E3103" s="315"/>
      <c r="F3103" s="315"/>
      <c r="G3103" s="315"/>
      <c r="H3103" s="153"/>
      <c r="I3103" s="12"/>
      <c r="J3103" s="12"/>
      <c r="K3103" s="12"/>
      <c r="L3103" s="379"/>
      <c r="M3103" s="380"/>
      <c r="N3103" s="380"/>
      <c r="O3103" s="12"/>
      <c r="P3103" s="381"/>
      <c r="Q3103" s="12"/>
      <c r="R3103" s="12"/>
      <c r="S3103" s="382"/>
      <c r="T3103" s="383"/>
      <c r="U3103" s="384"/>
      <c r="V3103" s="12"/>
      <c r="W3103" s="12"/>
    </row>
    <row r="3104" spans="1:23" x14ac:dyDescent="0.3">
      <c r="A3104" s="193"/>
      <c r="B3104" s="378"/>
      <c r="C3104" s="315"/>
      <c r="D3104" s="316"/>
      <c r="E3104" s="315"/>
      <c r="F3104" s="315"/>
      <c r="G3104" s="315"/>
      <c r="H3104" s="153"/>
      <c r="I3104" s="12"/>
      <c r="J3104" s="12"/>
      <c r="K3104" s="12"/>
      <c r="L3104" s="379"/>
      <c r="M3104" s="380"/>
      <c r="N3104" s="380"/>
      <c r="O3104" s="12"/>
      <c r="P3104" s="381"/>
      <c r="Q3104" s="12"/>
      <c r="R3104" s="12"/>
      <c r="S3104" s="382"/>
      <c r="T3104" s="383"/>
      <c r="U3104" s="384"/>
      <c r="V3104" s="12"/>
      <c r="W3104" s="12"/>
    </row>
    <row r="3105" spans="1:23" x14ac:dyDescent="0.3">
      <c r="A3105" s="193"/>
      <c r="B3105" s="378"/>
      <c r="C3105" s="315"/>
      <c r="D3105" s="316"/>
      <c r="E3105" s="315"/>
      <c r="F3105" s="315"/>
      <c r="G3105" s="315"/>
      <c r="H3105" s="153"/>
      <c r="I3105" s="12"/>
      <c r="J3105" s="12"/>
      <c r="K3105" s="12"/>
      <c r="L3105" s="379"/>
      <c r="M3105" s="380"/>
      <c r="N3105" s="380"/>
      <c r="O3105" s="12"/>
      <c r="P3105" s="381"/>
      <c r="Q3105" s="12"/>
      <c r="R3105" s="12"/>
      <c r="S3105" s="382"/>
      <c r="T3105" s="383"/>
      <c r="U3105" s="384"/>
      <c r="V3105" s="12"/>
      <c r="W3105" s="12"/>
    </row>
    <row r="3106" spans="1:23" x14ac:dyDescent="0.3">
      <c r="A3106" s="193"/>
      <c r="B3106" s="378"/>
      <c r="C3106" s="315"/>
      <c r="D3106" s="316"/>
      <c r="E3106" s="315"/>
      <c r="F3106" s="315"/>
      <c r="G3106" s="315"/>
      <c r="H3106" s="153"/>
      <c r="I3106" s="12"/>
      <c r="J3106" s="12"/>
      <c r="K3106" s="12"/>
      <c r="L3106" s="379"/>
      <c r="M3106" s="380"/>
      <c r="N3106" s="380"/>
      <c r="O3106" s="12"/>
      <c r="P3106" s="381"/>
      <c r="Q3106" s="12"/>
      <c r="R3106" s="12"/>
      <c r="S3106" s="382"/>
      <c r="T3106" s="383"/>
      <c r="U3106" s="384"/>
      <c r="V3106" s="12"/>
      <c r="W3106" s="12"/>
    </row>
    <row r="3107" spans="1:23" x14ac:dyDescent="0.3">
      <c r="A3107" s="193"/>
      <c r="B3107" s="378"/>
      <c r="C3107" s="315"/>
      <c r="D3107" s="316"/>
      <c r="E3107" s="315"/>
      <c r="F3107" s="315"/>
      <c r="G3107" s="315"/>
      <c r="H3107" s="153"/>
      <c r="I3107" s="12"/>
      <c r="J3107" s="12"/>
      <c r="K3107" s="12"/>
      <c r="L3107" s="379"/>
      <c r="M3107" s="380"/>
      <c r="N3107" s="380"/>
      <c r="O3107" s="12"/>
      <c r="P3107" s="381"/>
      <c r="Q3107" s="12"/>
      <c r="R3107" s="12"/>
      <c r="S3107" s="382"/>
      <c r="T3107" s="383"/>
      <c r="U3107" s="384"/>
      <c r="V3107" s="12"/>
      <c r="W3107" s="12"/>
    </row>
    <row r="3108" spans="1:23" x14ac:dyDescent="0.3">
      <c r="A3108" s="193"/>
      <c r="B3108" s="378"/>
      <c r="C3108" s="315"/>
      <c r="D3108" s="316"/>
      <c r="E3108" s="315"/>
      <c r="F3108" s="315"/>
      <c r="G3108" s="315"/>
      <c r="H3108" s="153"/>
      <c r="I3108" s="12"/>
      <c r="J3108" s="12"/>
      <c r="K3108" s="12"/>
      <c r="L3108" s="379"/>
      <c r="M3108" s="380"/>
      <c r="N3108" s="380"/>
      <c r="O3108" s="12"/>
      <c r="P3108" s="381"/>
      <c r="Q3108" s="12"/>
      <c r="R3108" s="12"/>
      <c r="S3108" s="382"/>
      <c r="T3108" s="383"/>
      <c r="U3108" s="384"/>
      <c r="V3108" s="12"/>
      <c r="W3108" s="12"/>
    </row>
    <row r="3109" spans="1:23" x14ac:dyDescent="0.3">
      <c r="A3109" s="193"/>
      <c r="B3109" s="378"/>
      <c r="C3109" s="315"/>
      <c r="D3109" s="316"/>
      <c r="E3109" s="315"/>
      <c r="F3109" s="315"/>
      <c r="G3109" s="315"/>
      <c r="H3109" s="153"/>
      <c r="I3109" s="12"/>
      <c r="J3109" s="12"/>
      <c r="K3109" s="12"/>
      <c r="L3109" s="379"/>
      <c r="M3109" s="380"/>
      <c r="N3109" s="380"/>
      <c r="O3109" s="12"/>
      <c r="P3109" s="381"/>
      <c r="Q3109" s="12"/>
      <c r="R3109" s="12"/>
      <c r="S3109" s="382"/>
      <c r="T3109" s="383"/>
      <c r="U3109" s="384"/>
      <c r="V3109" s="12"/>
      <c r="W3109" s="12"/>
    </row>
    <row r="3110" spans="1:23" x14ac:dyDescent="0.3">
      <c r="A3110" s="193"/>
      <c r="B3110" s="378"/>
      <c r="C3110" s="315"/>
      <c r="D3110" s="316"/>
      <c r="E3110" s="315"/>
      <c r="F3110" s="315"/>
      <c r="G3110" s="315"/>
      <c r="H3110" s="153"/>
      <c r="I3110" s="12"/>
      <c r="J3110" s="12"/>
      <c r="K3110" s="12"/>
      <c r="L3110" s="379"/>
      <c r="M3110" s="380"/>
      <c r="N3110" s="380"/>
      <c r="O3110" s="12"/>
      <c r="P3110" s="381"/>
      <c r="Q3110" s="12"/>
      <c r="R3110" s="12"/>
      <c r="S3110" s="382"/>
      <c r="T3110" s="383"/>
      <c r="U3110" s="384"/>
      <c r="V3110" s="12"/>
      <c r="W3110" s="12"/>
    </row>
    <row r="3111" spans="1:23" x14ac:dyDescent="0.3">
      <c r="A3111" s="193"/>
      <c r="B3111" s="378"/>
      <c r="C3111" s="315"/>
      <c r="D3111" s="316"/>
      <c r="E3111" s="315"/>
      <c r="F3111" s="315"/>
      <c r="G3111" s="315"/>
      <c r="H3111" s="153"/>
      <c r="I3111" s="12"/>
      <c r="J3111" s="12"/>
      <c r="K3111" s="12"/>
      <c r="L3111" s="379"/>
      <c r="M3111" s="380"/>
      <c r="N3111" s="380"/>
      <c r="O3111" s="12"/>
      <c r="P3111" s="381"/>
      <c r="Q3111" s="12"/>
      <c r="R3111" s="12"/>
      <c r="S3111" s="382"/>
      <c r="T3111" s="383"/>
      <c r="U3111" s="384"/>
      <c r="V3111" s="12"/>
      <c r="W3111" s="12"/>
    </row>
    <row r="3112" spans="1:23" x14ac:dyDescent="0.3">
      <c r="A3112" s="193"/>
      <c r="B3112" s="378"/>
      <c r="C3112" s="315"/>
      <c r="D3112" s="316"/>
      <c r="E3112" s="315"/>
      <c r="F3112" s="315"/>
      <c r="G3112" s="315"/>
      <c r="H3112" s="153"/>
      <c r="I3112" s="12"/>
      <c r="J3112" s="12"/>
      <c r="K3112" s="12"/>
      <c r="L3112" s="379"/>
      <c r="M3112" s="380"/>
      <c r="N3112" s="380"/>
      <c r="O3112" s="12"/>
      <c r="P3112" s="381"/>
      <c r="Q3112" s="12"/>
      <c r="R3112" s="12"/>
      <c r="S3112" s="382"/>
      <c r="T3112" s="383"/>
      <c r="U3112" s="384"/>
      <c r="V3112" s="12"/>
      <c r="W3112" s="12"/>
    </row>
    <row r="3113" spans="1:23" x14ac:dyDescent="0.3">
      <c r="A3113" s="193"/>
      <c r="B3113" s="378"/>
      <c r="C3113" s="315"/>
      <c r="D3113" s="316"/>
      <c r="E3113" s="315"/>
      <c r="F3113" s="315"/>
      <c r="G3113" s="315"/>
      <c r="H3113" s="153"/>
      <c r="I3113" s="12"/>
      <c r="J3113" s="12"/>
      <c r="K3113" s="12"/>
      <c r="L3113" s="379"/>
      <c r="M3113" s="380"/>
      <c r="N3113" s="380"/>
      <c r="O3113" s="12"/>
      <c r="P3113" s="381"/>
      <c r="Q3113" s="12"/>
      <c r="R3113" s="12"/>
      <c r="S3113" s="382"/>
      <c r="T3113" s="383"/>
      <c r="U3113" s="384"/>
      <c r="V3113" s="12"/>
      <c r="W3113" s="12"/>
    </row>
    <row r="3114" spans="1:23" x14ac:dyDescent="0.3">
      <c r="A3114" s="193"/>
      <c r="B3114" s="378"/>
      <c r="C3114" s="315"/>
      <c r="D3114" s="316"/>
      <c r="E3114" s="315"/>
      <c r="F3114" s="315"/>
      <c r="G3114" s="315"/>
      <c r="H3114" s="153"/>
      <c r="I3114" s="12"/>
      <c r="J3114" s="12"/>
      <c r="K3114" s="12"/>
      <c r="L3114" s="379"/>
      <c r="M3114" s="380"/>
      <c r="N3114" s="380"/>
      <c r="O3114" s="12"/>
      <c r="P3114" s="381"/>
      <c r="Q3114" s="12"/>
      <c r="R3114" s="12"/>
      <c r="S3114" s="382"/>
      <c r="T3114" s="383"/>
      <c r="U3114" s="384"/>
      <c r="V3114" s="12"/>
      <c r="W3114" s="12"/>
    </row>
    <row r="3115" spans="1:23" x14ac:dyDescent="0.3">
      <c r="A3115" s="193"/>
      <c r="B3115" s="378"/>
      <c r="C3115" s="315"/>
      <c r="D3115" s="316"/>
      <c r="E3115" s="315"/>
      <c r="F3115" s="315"/>
      <c r="G3115" s="315"/>
      <c r="H3115" s="153"/>
      <c r="I3115" s="12"/>
      <c r="J3115" s="12"/>
      <c r="K3115" s="12"/>
      <c r="L3115" s="379"/>
      <c r="M3115" s="380"/>
      <c r="N3115" s="380"/>
      <c r="O3115" s="12"/>
      <c r="P3115" s="381"/>
      <c r="Q3115" s="12"/>
      <c r="R3115" s="12"/>
      <c r="S3115" s="382"/>
      <c r="T3115" s="383"/>
      <c r="U3115" s="384"/>
      <c r="V3115" s="12"/>
      <c r="W3115" s="12"/>
    </row>
    <row r="3116" spans="1:23" x14ac:dyDescent="0.3">
      <c r="A3116" s="193"/>
      <c r="B3116" s="378"/>
      <c r="C3116" s="315"/>
      <c r="D3116" s="316"/>
      <c r="E3116" s="315"/>
      <c r="F3116" s="315"/>
      <c r="G3116" s="315"/>
      <c r="H3116" s="153"/>
      <c r="I3116" s="12"/>
      <c r="J3116" s="12"/>
      <c r="K3116" s="12"/>
      <c r="L3116" s="379"/>
      <c r="M3116" s="380"/>
      <c r="N3116" s="380"/>
      <c r="O3116" s="12"/>
      <c r="P3116" s="381"/>
      <c r="Q3116" s="12"/>
      <c r="R3116" s="12"/>
      <c r="S3116" s="382"/>
      <c r="T3116" s="383"/>
      <c r="U3116" s="384"/>
      <c r="V3116" s="12"/>
      <c r="W3116" s="12"/>
    </row>
    <row r="3117" spans="1:23" x14ac:dyDescent="0.3">
      <c r="A3117" s="193"/>
      <c r="B3117" s="378"/>
      <c r="C3117" s="315"/>
      <c r="D3117" s="316"/>
      <c r="E3117" s="315"/>
      <c r="F3117" s="315"/>
      <c r="G3117" s="315"/>
      <c r="H3117" s="153"/>
      <c r="I3117" s="12"/>
      <c r="J3117" s="12"/>
      <c r="K3117" s="12"/>
      <c r="L3117" s="379"/>
      <c r="M3117" s="380"/>
      <c r="N3117" s="380"/>
      <c r="O3117" s="12"/>
      <c r="P3117" s="381"/>
      <c r="Q3117" s="12"/>
      <c r="R3117" s="12"/>
      <c r="S3117" s="382"/>
      <c r="T3117" s="383"/>
      <c r="U3117" s="384"/>
      <c r="V3117" s="12"/>
      <c r="W3117" s="12"/>
    </row>
    <row r="3118" spans="1:23" x14ac:dyDescent="0.3">
      <c r="A3118" s="193"/>
      <c r="B3118" s="378"/>
      <c r="C3118" s="315"/>
      <c r="D3118" s="316"/>
      <c r="E3118" s="315"/>
      <c r="F3118" s="315"/>
      <c r="G3118" s="315"/>
      <c r="H3118" s="153"/>
      <c r="I3118" s="12"/>
      <c r="J3118" s="12"/>
      <c r="K3118" s="12"/>
      <c r="L3118" s="379"/>
      <c r="M3118" s="380"/>
      <c r="N3118" s="380"/>
      <c r="O3118" s="12"/>
      <c r="P3118" s="381"/>
      <c r="Q3118" s="12"/>
      <c r="R3118" s="12"/>
      <c r="S3118" s="382"/>
      <c r="T3118" s="383"/>
      <c r="U3118" s="384"/>
      <c r="V3118" s="12"/>
      <c r="W3118" s="12"/>
    </row>
    <row r="3119" spans="1:23" x14ac:dyDescent="0.3">
      <c r="A3119" s="193"/>
      <c r="B3119" s="378"/>
      <c r="C3119" s="315"/>
      <c r="D3119" s="316"/>
      <c r="E3119" s="315"/>
      <c r="F3119" s="315"/>
      <c r="G3119" s="315"/>
      <c r="H3119" s="153"/>
      <c r="I3119" s="12"/>
      <c r="J3119" s="12"/>
      <c r="K3119" s="12"/>
      <c r="L3119" s="379"/>
      <c r="M3119" s="380"/>
      <c r="N3119" s="380"/>
      <c r="O3119" s="12"/>
      <c r="P3119" s="381"/>
      <c r="Q3119" s="12"/>
      <c r="R3119" s="12"/>
      <c r="S3119" s="382"/>
      <c r="T3119" s="383"/>
      <c r="U3119" s="384"/>
      <c r="V3119" s="12"/>
      <c r="W3119" s="12"/>
    </row>
    <row r="3120" spans="1:23" x14ac:dyDescent="0.3">
      <c r="A3120" s="193"/>
      <c r="B3120" s="378"/>
      <c r="C3120" s="315"/>
      <c r="D3120" s="316"/>
      <c r="E3120" s="315"/>
      <c r="F3120" s="315"/>
      <c r="G3120" s="315"/>
      <c r="H3120" s="153"/>
      <c r="I3120" s="12"/>
      <c r="J3120" s="12"/>
      <c r="K3120" s="12"/>
      <c r="L3120" s="379"/>
      <c r="M3120" s="380"/>
      <c r="N3120" s="380"/>
      <c r="O3120" s="12"/>
      <c r="P3120" s="381"/>
      <c r="Q3120" s="12"/>
      <c r="R3120" s="12"/>
      <c r="S3120" s="382"/>
      <c r="T3120" s="383"/>
      <c r="U3120" s="384"/>
      <c r="V3120" s="12"/>
      <c r="W3120" s="12"/>
    </row>
    <row r="3121" spans="1:23" x14ac:dyDescent="0.3">
      <c r="A3121" s="193"/>
      <c r="B3121" s="378"/>
      <c r="C3121" s="315"/>
      <c r="D3121" s="316"/>
      <c r="E3121" s="315"/>
      <c r="F3121" s="315"/>
      <c r="G3121" s="315"/>
      <c r="H3121" s="153"/>
      <c r="I3121" s="12"/>
      <c r="J3121" s="12"/>
      <c r="K3121" s="12"/>
      <c r="L3121" s="379"/>
      <c r="M3121" s="380"/>
      <c r="N3121" s="380"/>
      <c r="O3121" s="12"/>
      <c r="P3121" s="381"/>
      <c r="Q3121" s="12"/>
      <c r="R3121" s="12"/>
      <c r="S3121" s="382"/>
      <c r="T3121" s="383"/>
      <c r="U3121" s="384"/>
      <c r="V3121" s="12"/>
      <c r="W3121" s="12"/>
    </row>
    <row r="3122" spans="1:23" x14ac:dyDescent="0.3">
      <c r="A3122" s="193"/>
      <c r="B3122" s="378"/>
      <c r="C3122" s="315"/>
      <c r="D3122" s="316"/>
      <c r="E3122" s="315"/>
      <c r="F3122" s="315"/>
      <c r="G3122" s="315"/>
      <c r="H3122" s="153"/>
      <c r="I3122" s="12"/>
      <c r="J3122" s="12"/>
      <c r="K3122" s="12"/>
      <c r="L3122" s="379"/>
      <c r="M3122" s="380"/>
      <c r="N3122" s="380"/>
      <c r="O3122" s="12"/>
      <c r="P3122" s="381"/>
      <c r="Q3122" s="12"/>
      <c r="R3122" s="12"/>
      <c r="S3122" s="382"/>
      <c r="T3122" s="383"/>
      <c r="U3122" s="384"/>
      <c r="V3122" s="12"/>
      <c r="W3122" s="12"/>
    </row>
    <row r="3123" spans="1:23" x14ac:dyDescent="0.3">
      <c r="A3123" s="193"/>
      <c r="B3123" s="378"/>
      <c r="C3123" s="315"/>
      <c r="D3123" s="316"/>
      <c r="E3123" s="315"/>
      <c r="F3123" s="315"/>
      <c r="G3123" s="315"/>
      <c r="H3123" s="153"/>
      <c r="I3123" s="12"/>
      <c r="J3123" s="12"/>
      <c r="K3123" s="12"/>
      <c r="L3123" s="379"/>
      <c r="M3123" s="380"/>
      <c r="N3123" s="380"/>
      <c r="O3123" s="12"/>
      <c r="P3123" s="381"/>
      <c r="Q3123" s="12"/>
      <c r="R3123" s="12"/>
      <c r="S3123" s="382"/>
      <c r="T3123" s="383"/>
      <c r="U3123" s="384"/>
      <c r="V3123" s="12"/>
      <c r="W3123" s="12"/>
    </row>
    <row r="3124" spans="1:23" x14ac:dyDescent="0.3">
      <c r="A3124" s="193"/>
      <c r="B3124" s="378"/>
      <c r="C3124" s="315"/>
      <c r="D3124" s="316"/>
      <c r="E3124" s="315"/>
      <c r="F3124" s="315"/>
      <c r="G3124" s="315"/>
      <c r="H3124" s="153"/>
      <c r="I3124" s="12"/>
      <c r="J3124" s="12"/>
      <c r="K3124" s="12"/>
      <c r="L3124" s="379"/>
      <c r="M3124" s="380"/>
      <c r="N3124" s="380"/>
      <c r="O3124" s="12"/>
      <c r="P3124" s="381"/>
      <c r="Q3124" s="12"/>
      <c r="R3124" s="12"/>
      <c r="S3124" s="382"/>
      <c r="T3124" s="383"/>
      <c r="U3124" s="384"/>
      <c r="V3124" s="12"/>
      <c r="W3124" s="12"/>
    </row>
    <row r="3125" spans="1:23" x14ac:dyDescent="0.3">
      <c r="A3125" s="193"/>
      <c r="B3125" s="378"/>
      <c r="C3125" s="315"/>
      <c r="D3125" s="316"/>
      <c r="E3125" s="315"/>
      <c r="F3125" s="315"/>
      <c r="G3125" s="315"/>
      <c r="H3125" s="153"/>
      <c r="I3125" s="12"/>
      <c r="J3125" s="12"/>
      <c r="K3125" s="12"/>
      <c r="L3125" s="379"/>
      <c r="M3125" s="380"/>
      <c r="N3125" s="380"/>
      <c r="O3125" s="12"/>
      <c r="P3125" s="381"/>
      <c r="Q3125" s="12"/>
      <c r="R3125" s="12"/>
      <c r="S3125" s="382"/>
      <c r="T3125" s="383"/>
      <c r="U3125" s="384"/>
      <c r="V3125" s="12"/>
      <c r="W3125" s="12"/>
    </row>
    <row r="3126" spans="1:23" x14ac:dyDescent="0.3">
      <c r="A3126" s="193"/>
      <c r="B3126" s="378"/>
      <c r="C3126" s="315"/>
      <c r="D3126" s="316"/>
      <c r="E3126" s="315"/>
      <c r="F3126" s="315"/>
      <c r="G3126" s="315"/>
      <c r="H3126" s="153"/>
      <c r="I3126" s="12"/>
      <c r="J3126" s="12"/>
      <c r="K3126" s="12"/>
      <c r="L3126" s="379"/>
      <c r="M3126" s="380"/>
      <c r="N3126" s="380"/>
      <c r="O3126" s="12"/>
      <c r="P3126" s="381"/>
      <c r="Q3126" s="12"/>
      <c r="R3126" s="12"/>
      <c r="S3126" s="382"/>
      <c r="T3126" s="383"/>
      <c r="U3126" s="384"/>
      <c r="V3126" s="12"/>
      <c r="W3126" s="12"/>
    </row>
    <row r="3127" spans="1:23" x14ac:dyDescent="0.3">
      <c r="A3127" s="193"/>
      <c r="B3127" s="378"/>
      <c r="C3127" s="315"/>
      <c r="D3127" s="316"/>
      <c r="E3127" s="315"/>
      <c r="F3127" s="315"/>
      <c r="G3127" s="315"/>
      <c r="H3127" s="153"/>
      <c r="I3127" s="12"/>
      <c r="J3127" s="12"/>
      <c r="K3127" s="12"/>
      <c r="L3127" s="379"/>
      <c r="M3127" s="380"/>
      <c r="N3127" s="380"/>
      <c r="O3127" s="12"/>
      <c r="P3127" s="381"/>
      <c r="Q3127" s="12"/>
      <c r="R3127" s="12"/>
      <c r="S3127" s="382"/>
      <c r="T3127" s="383"/>
      <c r="U3127" s="384"/>
      <c r="V3127" s="12"/>
      <c r="W3127" s="12"/>
    </row>
    <row r="3128" spans="1:23" x14ac:dyDescent="0.3">
      <c r="A3128" s="193"/>
      <c r="B3128" s="378"/>
      <c r="C3128" s="315"/>
      <c r="D3128" s="316"/>
      <c r="E3128" s="315"/>
      <c r="F3128" s="315"/>
      <c r="G3128" s="315"/>
      <c r="H3128" s="153"/>
      <c r="I3128" s="12"/>
      <c r="J3128" s="12"/>
      <c r="K3128" s="12"/>
      <c r="L3128" s="379"/>
      <c r="M3128" s="380"/>
      <c r="N3128" s="380"/>
      <c r="O3128" s="12"/>
      <c r="P3128" s="381"/>
      <c r="Q3128" s="12"/>
      <c r="R3128" s="12"/>
      <c r="S3128" s="382"/>
      <c r="T3128" s="383"/>
      <c r="U3128" s="384"/>
      <c r="V3128" s="12"/>
      <c r="W3128" s="12"/>
    </row>
    <row r="3129" spans="1:23" x14ac:dyDescent="0.3">
      <c r="A3129" s="193"/>
      <c r="B3129" s="378"/>
      <c r="C3129" s="315"/>
      <c r="D3129" s="316"/>
      <c r="E3129" s="315"/>
      <c r="F3129" s="315"/>
      <c r="G3129" s="315"/>
      <c r="H3129" s="153"/>
      <c r="I3129" s="12"/>
      <c r="J3129" s="12"/>
      <c r="K3129" s="12"/>
      <c r="L3129" s="379"/>
      <c r="M3129" s="380"/>
      <c r="N3129" s="380"/>
      <c r="O3129" s="12"/>
      <c r="P3129" s="381"/>
      <c r="Q3129" s="12"/>
      <c r="R3129" s="12"/>
      <c r="S3129" s="382"/>
      <c r="T3129" s="383"/>
      <c r="U3129" s="384"/>
      <c r="V3129" s="12"/>
      <c r="W3129" s="12"/>
    </row>
    <row r="3130" spans="1:23" x14ac:dyDescent="0.3">
      <c r="A3130" s="193"/>
      <c r="B3130" s="378"/>
      <c r="C3130" s="315"/>
      <c r="D3130" s="316"/>
      <c r="E3130" s="315"/>
      <c r="F3130" s="315"/>
      <c r="G3130" s="315"/>
      <c r="H3130" s="153"/>
      <c r="I3130" s="12"/>
      <c r="J3130" s="12"/>
      <c r="K3130" s="12"/>
      <c r="L3130" s="379"/>
      <c r="M3130" s="380"/>
      <c r="N3130" s="380"/>
      <c r="O3130" s="12"/>
      <c r="P3130" s="381"/>
      <c r="Q3130" s="12"/>
      <c r="R3130" s="12"/>
      <c r="S3130" s="382"/>
      <c r="T3130" s="383"/>
      <c r="U3130" s="384"/>
      <c r="V3130" s="12"/>
      <c r="W3130" s="12"/>
    </row>
    <row r="3131" spans="1:23" x14ac:dyDescent="0.3">
      <c r="A3131" s="193"/>
      <c r="B3131" s="378"/>
      <c r="C3131" s="315"/>
      <c r="D3131" s="316"/>
      <c r="E3131" s="315"/>
      <c r="F3131" s="315"/>
      <c r="G3131" s="315"/>
      <c r="H3131" s="153"/>
      <c r="I3131" s="12"/>
      <c r="J3131" s="12"/>
      <c r="K3131" s="12"/>
      <c r="L3131" s="379"/>
      <c r="M3131" s="380"/>
      <c r="N3131" s="380"/>
      <c r="O3131" s="12"/>
      <c r="P3131" s="381"/>
      <c r="Q3131" s="12"/>
      <c r="R3131" s="12"/>
      <c r="S3131" s="382"/>
      <c r="T3131" s="383"/>
      <c r="U3131" s="384"/>
      <c r="V3131" s="12"/>
      <c r="W3131" s="12"/>
    </row>
    <row r="3132" spans="1:23" x14ac:dyDescent="0.3">
      <c r="A3132" s="193"/>
      <c r="B3132" s="378"/>
      <c r="C3132" s="315"/>
      <c r="D3132" s="316"/>
      <c r="E3132" s="315"/>
      <c r="F3132" s="315"/>
      <c r="G3132" s="315"/>
      <c r="H3132" s="153"/>
      <c r="I3132" s="12"/>
      <c r="J3132" s="12"/>
      <c r="K3132" s="12"/>
      <c r="L3132" s="379"/>
      <c r="M3132" s="380"/>
      <c r="N3132" s="380"/>
      <c r="O3132" s="12"/>
      <c r="P3132" s="381"/>
      <c r="Q3132" s="12"/>
      <c r="R3132" s="12"/>
      <c r="S3132" s="382"/>
      <c r="T3132" s="383"/>
      <c r="U3132" s="384"/>
      <c r="V3132" s="12"/>
      <c r="W3132" s="12"/>
    </row>
    <row r="3133" spans="1:23" x14ac:dyDescent="0.3">
      <c r="A3133" s="193"/>
      <c r="B3133" s="378"/>
      <c r="C3133" s="315"/>
      <c r="D3133" s="316"/>
      <c r="E3133" s="315"/>
      <c r="F3133" s="315"/>
      <c r="G3133" s="315"/>
      <c r="H3133" s="153"/>
      <c r="I3133" s="12"/>
      <c r="J3133" s="12"/>
      <c r="K3133" s="12"/>
      <c r="L3133" s="379"/>
      <c r="M3133" s="380"/>
      <c r="N3133" s="380"/>
      <c r="O3133" s="12"/>
      <c r="P3133" s="381"/>
      <c r="Q3133" s="12"/>
      <c r="R3133" s="12"/>
      <c r="S3133" s="382"/>
      <c r="T3133" s="383"/>
      <c r="U3133" s="384"/>
      <c r="V3133" s="12"/>
      <c r="W3133" s="12"/>
    </row>
    <row r="3134" spans="1:23" x14ac:dyDescent="0.3">
      <c r="A3134" s="193"/>
      <c r="B3134" s="378"/>
      <c r="C3134" s="315"/>
      <c r="D3134" s="316"/>
      <c r="E3134" s="315"/>
      <c r="F3134" s="315"/>
      <c r="G3134" s="315"/>
      <c r="H3134" s="153"/>
      <c r="I3134" s="12"/>
      <c r="J3134" s="12"/>
      <c r="K3134" s="12"/>
      <c r="L3134" s="379"/>
      <c r="M3134" s="380"/>
      <c r="N3134" s="380"/>
      <c r="O3134" s="12"/>
      <c r="P3134" s="381"/>
      <c r="Q3134" s="12"/>
      <c r="R3134" s="12"/>
      <c r="S3134" s="382"/>
      <c r="T3134" s="383"/>
      <c r="U3134" s="384"/>
      <c r="V3134" s="12"/>
      <c r="W3134" s="12"/>
    </row>
    <row r="3135" spans="1:23" x14ac:dyDescent="0.3">
      <c r="A3135" s="193"/>
      <c r="B3135" s="378"/>
      <c r="C3135" s="315"/>
      <c r="D3135" s="316"/>
      <c r="E3135" s="315"/>
      <c r="F3135" s="315"/>
      <c r="G3135" s="315"/>
      <c r="H3135" s="153"/>
      <c r="I3135" s="12"/>
      <c r="J3135" s="12"/>
      <c r="K3135" s="12"/>
      <c r="L3135" s="379"/>
      <c r="M3135" s="380"/>
      <c r="N3135" s="380"/>
      <c r="O3135" s="12"/>
      <c r="P3135" s="381"/>
      <c r="Q3135" s="12"/>
      <c r="R3135" s="12"/>
      <c r="S3135" s="382"/>
      <c r="T3135" s="383"/>
      <c r="U3135" s="384"/>
      <c r="V3135" s="12"/>
      <c r="W3135" s="12"/>
    </row>
    <row r="3136" spans="1:23" x14ac:dyDescent="0.3">
      <c r="A3136" s="193"/>
      <c r="B3136" s="378"/>
      <c r="C3136" s="315"/>
      <c r="D3136" s="316"/>
      <c r="E3136" s="315"/>
      <c r="F3136" s="315"/>
      <c r="G3136" s="315"/>
      <c r="H3136" s="153"/>
      <c r="I3136" s="12"/>
      <c r="J3136" s="12"/>
      <c r="K3136" s="12"/>
      <c r="L3136" s="379"/>
      <c r="M3136" s="380"/>
      <c r="N3136" s="380"/>
      <c r="O3136" s="12"/>
      <c r="P3136" s="381"/>
      <c r="Q3136" s="12"/>
      <c r="R3136" s="12"/>
      <c r="S3136" s="382"/>
      <c r="T3136" s="383"/>
      <c r="U3136" s="384"/>
      <c r="V3136" s="12"/>
      <c r="W3136" s="12"/>
    </row>
    <row r="3137" spans="1:23" x14ac:dyDescent="0.3">
      <c r="A3137" s="193"/>
      <c r="B3137" s="378"/>
      <c r="C3137" s="315"/>
      <c r="D3137" s="316"/>
      <c r="E3137" s="315"/>
      <c r="F3137" s="315"/>
      <c r="G3137" s="315"/>
      <c r="H3137" s="153"/>
      <c r="I3137" s="12"/>
      <c r="J3137" s="12"/>
      <c r="K3137" s="12"/>
      <c r="L3137" s="379"/>
      <c r="M3137" s="380"/>
      <c r="N3137" s="380"/>
      <c r="O3137" s="12"/>
      <c r="P3137" s="381"/>
      <c r="Q3137" s="12"/>
      <c r="R3137" s="12"/>
      <c r="S3137" s="382"/>
      <c r="T3137" s="383"/>
      <c r="U3137" s="384"/>
      <c r="V3137" s="12"/>
      <c r="W3137" s="12"/>
    </row>
    <row r="3138" spans="1:23" x14ac:dyDescent="0.3">
      <c r="A3138" s="193"/>
      <c r="B3138" s="378"/>
      <c r="C3138" s="315"/>
      <c r="D3138" s="316"/>
      <c r="E3138" s="315"/>
      <c r="F3138" s="315"/>
      <c r="G3138" s="315"/>
      <c r="H3138" s="153"/>
      <c r="I3138" s="12"/>
      <c r="J3138" s="12"/>
      <c r="K3138" s="12"/>
      <c r="L3138" s="379"/>
      <c r="M3138" s="380"/>
      <c r="N3138" s="380"/>
      <c r="O3138" s="12"/>
      <c r="P3138" s="381"/>
      <c r="Q3138" s="12"/>
      <c r="R3138" s="12"/>
      <c r="S3138" s="382"/>
      <c r="T3138" s="383"/>
      <c r="U3138" s="384"/>
      <c r="V3138" s="12"/>
      <c r="W3138" s="12"/>
    </row>
    <row r="3139" spans="1:23" x14ac:dyDescent="0.3">
      <c r="A3139" s="193"/>
      <c r="B3139" s="378"/>
      <c r="C3139" s="315"/>
      <c r="D3139" s="316"/>
      <c r="E3139" s="315"/>
      <c r="F3139" s="315"/>
      <c r="G3139" s="315"/>
      <c r="H3139" s="153"/>
      <c r="I3139" s="12"/>
      <c r="J3139" s="12"/>
      <c r="K3139" s="12"/>
      <c r="L3139" s="379"/>
      <c r="M3139" s="380"/>
      <c r="N3139" s="380"/>
      <c r="O3139" s="12"/>
      <c r="P3139" s="381"/>
      <c r="Q3139" s="12"/>
      <c r="R3139" s="12"/>
      <c r="S3139" s="382"/>
      <c r="T3139" s="383"/>
      <c r="U3139" s="384"/>
      <c r="V3139" s="12"/>
      <c r="W3139" s="12"/>
    </row>
    <row r="3140" spans="1:23" x14ac:dyDescent="0.3">
      <c r="A3140" s="193"/>
      <c r="B3140" s="378"/>
      <c r="C3140" s="315"/>
      <c r="D3140" s="316"/>
      <c r="E3140" s="315"/>
      <c r="F3140" s="315"/>
      <c r="G3140" s="315"/>
      <c r="H3140" s="153"/>
      <c r="I3140" s="12"/>
      <c r="J3140" s="12"/>
      <c r="K3140" s="12"/>
      <c r="L3140" s="379"/>
      <c r="M3140" s="380"/>
      <c r="N3140" s="380"/>
      <c r="O3140" s="12"/>
      <c r="P3140" s="381"/>
      <c r="Q3140" s="12"/>
      <c r="R3140" s="12"/>
      <c r="S3140" s="382"/>
      <c r="T3140" s="383"/>
      <c r="U3140" s="384"/>
      <c r="V3140" s="12"/>
      <c r="W3140" s="12"/>
    </row>
    <row r="3141" spans="1:23" x14ac:dyDescent="0.3">
      <c r="A3141" s="193"/>
      <c r="B3141" s="378"/>
      <c r="C3141" s="315"/>
      <c r="D3141" s="316"/>
      <c r="E3141" s="315"/>
      <c r="F3141" s="315"/>
      <c r="G3141" s="315"/>
      <c r="H3141" s="153"/>
      <c r="I3141" s="12"/>
      <c r="J3141" s="12"/>
      <c r="K3141" s="12"/>
      <c r="L3141" s="379"/>
      <c r="M3141" s="380"/>
      <c r="N3141" s="380"/>
      <c r="O3141" s="12"/>
      <c r="P3141" s="381"/>
      <c r="Q3141" s="12"/>
      <c r="R3141" s="12"/>
      <c r="S3141" s="382"/>
      <c r="T3141" s="383"/>
      <c r="U3141" s="384"/>
      <c r="V3141" s="12"/>
      <c r="W3141" s="12"/>
    </row>
    <row r="3142" spans="1:23" x14ac:dyDescent="0.3">
      <c r="A3142" s="193"/>
      <c r="B3142" s="378"/>
      <c r="C3142" s="315"/>
      <c r="D3142" s="316"/>
      <c r="E3142" s="315"/>
      <c r="F3142" s="315"/>
      <c r="G3142" s="315"/>
      <c r="H3142" s="153"/>
      <c r="I3142" s="12"/>
      <c r="J3142" s="12"/>
      <c r="K3142" s="12"/>
      <c r="L3142" s="379"/>
      <c r="M3142" s="380"/>
      <c r="N3142" s="380"/>
      <c r="O3142" s="12"/>
      <c r="P3142" s="381"/>
      <c r="Q3142" s="12"/>
      <c r="R3142" s="12"/>
      <c r="S3142" s="382"/>
      <c r="T3142" s="383"/>
      <c r="U3142" s="384"/>
      <c r="V3142" s="12"/>
      <c r="W3142" s="12"/>
    </row>
    <row r="3143" spans="1:23" x14ac:dyDescent="0.3">
      <c r="A3143" s="193"/>
      <c r="B3143" s="378"/>
      <c r="C3143" s="315"/>
      <c r="D3143" s="316"/>
      <c r="E3143" s="315"/>
      <c r="F3143" s="315"/>
      <c r="G3143" s="315"/>
      <c r="H3143" s="153"/>
      <c r="I3143" s="12"/>
      <c r="J3143" s="12"/>
      <c r="K3143" s="12"/>
      <c r="L3143" s="379"/>
      <c r="M3143" s="380"/>
      <c r="N3143" s="380"/>
      <c r="O3143" s="12"/>
      <c r="P3143" s="381"/>
      <c r="Q3143" s="12"/>
      <c r="R3143" s="12"/>
      <c r="S3143" s="382"/>
      <c r="T3143" s="383"/>
      <c r="U3143" s="384"/>
      <c r="V3143" s="12"/>
      <c r="W3143" s="12"/>
    </row>
    <row r="3144" spans="1:23" x14ac:dyDescent="0.3">
      <c r="A3144" s="193"/>
      <c r="B3144" s="378"/>
      <c r="C3144" s="315"/>
      <c r="D3144" s="316"/>
      <c r="E3144" s="315"/>
      <c r="F3144" s="315"/>
      <c r="G3144" s="315"/>
      <c r="H3144" s="153"/>
      <c r="I3144" s="12"/>
      <c r="J3144" s="12"/>
      <c r="K3144" s="12"/>
      <c r="L3144" s="379"/>
      <c r="M3144" s="380"/>
      <c r="N3144" s="380"/>
      <c r="O3144" s="12"/>
      <c r="P3144" s="381"/>
      <c r="Q3144" s="12"/>
      <c r="R3144" s="12"/>
      <c r="S3144" s="382"/>
      <c r="T3144" s="383"/>
      <c r="U3144" s="384"/>
      <c r="V3144" s="12"/>
      <c r="W3144" s="12"/>
    </row>
    <row r="3145" spans="1:23" x14ac:dyDescent="0.3">
      <c r="A3145" s="193"/>
      <c r="B3145" s="378"/>
      <c r="C3145" s="315"/>
      <c r="D3145" s="316"/>
      <c r="E3145" s="315"/>
      <c r="F3145" s="315"/>
      <c r="G3145" s="315"/>
      <c r="H3145" s="153"/>
      <c r="I3145" s="12"/>
      <c r="J3145" s="12"/>
      <c r="K3145" s="12"/>
      <c r="L3145" s="379"/>
      <c r="M3145" s="380"/>
      <c r="N3145" s="380"/>
      <c r="O3145" s="12"/>
      <c r="P3145" s="381"/>
      <c r="Q3145" s="12"/>
      <c r="R3145" s="12"/>
      <c r="S3145" s="382"/>
      <c r="T3145" s="383"/>
      <c r="U3145" s="384"/>
      <c r="V3145" s="12"/>
      <c r="W3145" s="12"/>
    </row>
    <row r="3146" spans="1:23" x14ac:dyDescent="0.3">
      <c r="A3146" s="193"/>
      <c r="B3146" s="378"/>
      <c r="C3146" s="315"/>
      <c r="D3146" s="316"/>
      <c r="E3146" s="315"/>
      <c r="F3146" s="315"/>
      <c r="G3146" s="315"/>
      <c r="H3146" s="153"/>
      <c r="I3146" s="12"/>
      <c r="J3146" s="12"/>
      <c r="K3146" s="12"/>
      <c r="L3146" s="379"/>
      <c r="M3146" s="380"/>
      <c r="N3146" s="380"/>
      <c r="O3146" s="12"/>
      <c r="P3146" s="381"/>
      <c r="Q3146" s="12"/>
      <c r="R3146" s="12"/>
      <c r="S3146" s="382"/>
      <c r="T3146" s="383"/>
      <c r="U3146" s="384"/>
      <c r="V3146" s="12"/>
      <c r="W3146" s="12"/>
    </row>
    <row r="3147" spans="1:23" x14ac:dyDescent="0.3">
      <c r="A3147" s="193"/>
      <c r="B3147" s="378"/>
      <c r="C3147" s="315"/>
      <c r="D3147" s="316"/>
      <c r="E3147" s="315"/>
      <c r="F3147" s="315"/>
      <c r="G3147" s="315"/>
      <c r="H3147" s="153"/>
      <c r="I3147" s="12"/>
      <c r="J3147" s="12"/>
      <c r="K3147" s="12"/>
      <c r="L3147" s="379"/>
      <c r="M3147" s="380"/>
      <c r="N3147" s="380"/>
      <c r="O3147" s="12"/>
      <c r="P3147" s="381"/>
      <c r="Q3147" s="12"/>
      <c r="R3147" s="12"/>
      <c r="S3147" s="382"/>
      <c r="T3147" s="383"/>
      <c r="U3147" s="384"/>
      <c r="V3147" s="12"/>
      <c r="W3147" s="12"/>
    </row>
    <row r="3148" spans="1:23" x14ac:dyDescent="0.3">
      <c r="A3148" s="193"/>
      <c r="B3148" s="378"/>
      <c r="C3148" s="315"/>
      <c r="D3148" s="316"/>
      <c r="E3148" s="315"/>
      <c r="F3148" s="315"/>
      <c r="G3148" s="315"/>
      <c r="H3148" s="153"/>
      <c r="I3148" s="12"/>
      <c r="J3148" s="12"/>
      <c r="K3148" s="12"/>
      <c r="L3148" s="379"/>
      <c r="M3148" s="380"/>
      <c r="N3148" s="380"/>
      <c r="O3148" s="12"/>
      <c r="P3148" s="381"/>
      <c r="Q3148" s="12"/>
      <c r="R3148" s="12"/>
      <c r="S3148" s="382"/>
      <c r="T3148" s="383"/>
      <c r="U3148" s="384"/>
      <c r="V3148" s="12"/>
      <c r="W3148" s="12"/>
    </row>
    <row r="3149" spans="1:23" x14ac:dyDescent="0.3">
      <c r="A3149" s="193"/>
      <c r="B3149" s="378"/>
      <c r="C3149" s="315"/>
      <c r="D3149" s="316"/>
      <c r="E3149" s="315"/>
      <c r="F3149" s="315"/>
      <c r="G3149" s="315"/>
      <c r="H3149" s="153"/>
      <c r="I3149" s="12"/>
      <c r="J3149" s="12"/>
      <c r="K3149" s="12"/>
      <c r="L3149" s="379"/>
      <c r="M3149" s="380"/>
      <c r="N3149" s="380"/>
      <c r="O3149" s="12"/>
      <c r="P3149" s="381"/>
      <c r="Q3149" s="12"/>
      <c r="R3149" s="12"/>
      <c r="S3149" s="382"/>
      <c r="T3149" s="383"/>
      <c r="U3149" s="384"/>
      <c r="V3149" s="12"/>
      <c r="W3149" s="12"/>
    </row>
    <row r="3150" spans="1:23" x14ac:dyDescent="0.3">
      <c r="A3150" s="193"/>
      <c r="B3150" s="378"/>
      <c r="C3150" s="315"/>
      <c r="D3150" s="316"/>
      <c r="E3150" s="315"/>
      <c r="F3150" s="315"/>
      <c r="G3150" s="315"/>
      <c r="H3150" s="153"/>
      <c r="I3150" s="12"/>
      <c r="J3150" s="12"/>
      <c r="K3150" s="12"/>
      <c r="L3150" s="379"/>
      <c r="M3150" s="380"/>
      <c r="N3150" s="380"/>
      <c r="O3150" s="12"/>
      <c r="P3150" s="381"/>
      <c r="Q3150" s="12"/>
      <c r="R3150" s="12"/>
      <c r="S3150" s="382"/>
      <c r="T3150" s="383"/>
      <c r="U3150" s="384"/>
      <c r="V3150" s="12"/>
      <c r="W3150" s="12"/>
    </row>
    <row r="3151" spans="1:23" x14ac:dyDescent="0.3">
      <c r="A3151" s="193"/>
      <c r="B3151" s="378"/>
      <c r="C3151" s="315"/>
      <c r="D3151" s="316"/>
      <c r="E3151" s="315"/>
      <c r="F3151" s="315"/>
      <c r="G3151" s="315"/>
      <c r="H3151" s="153"/>
      <c r="I3151" s="12"/>
      <c r="J3151" s="12"/>
      <c r="K3151" s="12"/>
      <c r="L3151" s="379"/>
      <c r="M3151" s="380"/>
      <c r="N3151" s="380"/>
      <c r="O3151" s="12"/>
      <c r="P3151" s="381"/>
      <c r="Q3151" s="12"/>
      <c r="R3151" s="12"/>
      <c r="S3151" s="382"/>
      <c r="T3151" s="383"/>
      <c r="U3151" s="384"/>
      <c r="V3151" s="12"/>
      <c r="W3151" s="12"/>
    </row>
    <row r="3152" spans="1:23" x14ac:dyDescent="0.3">
      <c r="A3152" s="193"/>
      <c r="B3152" s="378"/>
      <c r="C3152" s="315"/>
      <c r="D3152" s="316"/>
      <c r="E3152" s="315"/>
      <c r="F3152" s="315"/>
      <c r="G3152" s="315"/>
      <c r="H3152" s="153"/>
      <c r="I3152" s="12"/>
      <c r="J3152" s="12"/>
      <c r="K3152" s="12"/>
      <c r="L3152" s="379"/>
      <c r="M3152" s="380"/>
      <c r="N3152" s="380"/>
      <c r="O3152" s="12"/>
      <c r="P3152" s="381"/>
      <c r="Q3152" s="12"/>
      <c r="R3152" s="12"/>
      <c r="S3152" s="382"/>
      <c r="T3152" s="383"/>
      <c r="U3152" s="384"/>
      <c r="V3152" s="12"/>
      <c r="W3152" s="12"/>
    </row>
    <row r="3153" spans="1:23" x14ac:dyDescent="0.3">
      <c r="A3153" s="193"/>
      <c r="B3153" s="378"/>
      <c r="C3153" s="315"/>
      <c r="D3153" s="316"/>
      <c r="E3153" s="315"/>
      <c r="F3153" s="315"/>
      <c r="G3153" s="315"/>
      <c r="H3153" s="153"/>
      <c r="I3153" s="12"/>
      <c r="J3153" s="12"/>
      <c r="K3153" s="12"/>
      <c r="L3153" s="379"/>
      <c r="M3153" s="380"/>
      <c r="N3153" s="380"/>
      <c r="O3153" s="12"/>
      <c r="P3153" s="381"/>
      <c r="Q3153" s="12"/>
      <c r="R3153" s="12"/>
      <c r="S3153" s="382"/>
      <c r="T3153" s="383"/>
      <c r="U3153" s="384"/>
      <c r="V3153" s="12"/>
      <c r="W3153" s="12"/>
    </row>
    <row r="3154" spans="1:23" x14ac:dyDescent="0.3">
      <c r="A3154" s="193"/>
      <c r="B3154" s="378"/>
      <c r="C3154" s="315"/>
      <c r="D3154" s="316"/>
      <c r="E3154" s="315"/>
      <c r="F3154" s="315"/>
      <c r="G3154" s="315"/>
      <c r="H3154" s="153"/>
      <c r="I3154" s="12"/>
      <c r="J3154" s="12"/>
      <c r="K3154" s="12"/>
      <c r="L3154" s="379"/>
      <c r="M3154" s="380"/>
      <c r="N3154" s="380"/>
      <c r="O3154" s="12"/>
      <c r="P3154" s="381"/>
      <c r="Q3154" s="12"/>
      <c r="R3154" s="12"/>
      <c r="S3154" s="382"/>
      <c r="T3154" s="383"/>
      <c r="U3154" s="384"/>
      <c r="V3154" s="12"/>
      <c r="W3154" s="12"/>
    </row>
    <row r="3155" spans="1:23" x14ac:dyDescent="0.3">
      <c r="A3155" s="193"/>
      <c r="B3155" s="378"/>
      <c r="C3155" s="315"/>
      <c r="D3155" s="316"/>
      <c r="E3155" s="315"/>
      <c r="F3155" s="315"/>
      <c r="G3155" s="315"/>
      <c r="H3155" s="153"/>
      <c r="I3155" s="12"/>
      <c r="J3155" s="12"/>
      <c r="K3155" s="12"/>
      <c r="L3155" s="379"/>
      <c r="M3155" s="380"/>
      <c r="N3155" s="380"/>
      <c r="O3155" s="12"/>
      <c r="P3155" s="381"/>
      <c r="Q3155" s="12"/>
      <c r="R3155" s="12"/>
      <c r="S3155" s="382"/>
      <c r="T3155" s="383"/>
      <c r="U3155" s="384"/>
      <c r="V3155" s="12"/>
      <c r="W3155" s="12"/>
    </row>
    <row r="3156" spans="1:23" x14ac:dyDescent="0.3">
      <c r="A3156" s="193"/>
      <c r="B3156" s="378"/>
      <c r="C3156" s="315"/>
      <c r="D3156" s="316"/>
      <c r="E3156" s="315"/>
      <c r="F3156" s="315"/>
      <c r="G3156" s="315"/>
      <c r="H3156" s="153"/>
      <c r="I3156" s="12"/>
      <c r="J3156" s="12"/>
      <c r="K3156" s="12"/>
      <c r="L3156" s="379"/>
      <c r="M3156" s="380"/>
      <c r="N3156" s="380"/>
      <c r="O3156" s="12"/>
      <c r="P3156" s="381"/>
      <c r="Q3156" s="12"/>
      <c r="R3156" s="12"/>
      <c r="S3156" s="382"/>
      <c r="T3156" s="383"/>
      <c r="U3156" s="384"/>
      <c r="V3156" s="12"/>
      <c r="W3156" s="12"/>
    </row>
    <row r="3157" spans="1:23" x14ac:dyDescent="0.3">
      <c r="A3157" s="193"/>
      <c r="B3157" s="378"/>
      <c r="C3157" s="315"/>
      <c r="D3157" s="316"/>
      <c r="E3157" s="315"/>
      <c r="F3157" s="315"/>
      <c r="G3157" s="315"/>
      <c r="H3157" s="153"/>
      <c r="I3157" s="12"/>
      <c r="J3157" s="12"/>
      <c r="K3157" s="12"/>
      <c r="L3157" s="379"/>
      <c r="M3157" s="380"/>
      <c r="N3157" s="380"/>
      <c r="O3157" s="12"/>
      <c r="P3157" s="381"/>
      <c r="Q3157" s="12"/>
      <c r="R3157" s="12"/>
      <c r="S3157" s="382"/>
      <c r="T3157" s="383"/>
      <c r="U3157" s="384"/>
      <c r="V3157" s="12"/>
      <c r="W3157" s="12"/>
    </row>
    <row r="3158" spans="1:23" x14ac:dyDescent="0.3">
      <c r="A3158" s="193"/>
      <c r="B3158" s="378"/>
      <c r="C3158" s="315"/>
      <c r="D3158" s="316"/>
      <c r="E3158" s="315"/>
      <c r="F3158" s="315"/>
      <c r="G3158" s="315"/>
      <c r="H3158" s="153"/>
      <c r="I3158" s="12"/>
      <c r="J3158" s="12"/>
      <c r="K3158" s="12"/>
      <c r="L3158" s="379"/>
      <c r="M3158" s="380"/>
      <c r="N3158" s="380"/>
      <c r="O3158" s="12"/>
      <c r="P3158" s="381"/>
      <c r="Q3158" s="12"/>
      <c r="R3158" s="12"/>
      <c r="S3158" s="382"/>
      <c r="T3158" s="383"/>
      <c r="U3158" s="384"/>
      <c r="V3158" s="12"/>
      <c r="W3158" s="12"/>
    </row>
    <row r="3159" spans="1:23" x14ac:dyDescent="0.3">
      <c r="A3159" s="193"/>
      <c r="B3159" s="378"/>
      <c r="C3159" s="315"/>
      <c r="D3159" s="316"/>
      <c r="E3159" s="315"/>
      <c r="F3159" s="315"/>
      <c r="G3159" s="315"/>
      <c r="H3159" s="153"/>
      <c r="I3159" s="12"/>
      <c r="J3159" s="12"/>
      <c r="K3159" s="12"/>
      <c r="L3159" s="379"/>
      <c r="M3159" s="380"/>
      <c r="N3159" s="380"/>
      <c r="O3159" s="12"/>
      <c r="P3159" s="381"/>
      <c r="Q3159" s="12"/>
      <c r="R3159" s="12"/>
      <c r="S3159" s="382"/>
      <c r="T3159" s="383"/>
      <c r="U3159" s="384"/>
      <c r="V3159" s="12"/>
      <c r="W3159" s="12"/>
    </row>
    <row r="3160" spans="1:23" x14ac:dyDescent="0.3">
      <c r="A3160" s="193"/>
      <c r="B3160" s="378"/>
      <c r="C3160" s="315"/>
      <c r="D3160" s="316"/>
      <c r="E3160" s="315"/>
      <c r="F3160" s="315"/>
      <c r="G3160" s="315"/>
      <c r="H3160" s="153"/>
      <c r="I3160" s="12"/>
      <c r="J3160" s="12"/>
      <c r="K3160" s="12"/>
      <c r="L3160" s="379"/>
      <c r="M3160" s="380"/>
      <c r="N3160" s="380"/>
      <c r="O3160" s="12"/>
      <c r="P3160" s="381"/>
      <c r="Q3160" s="12"/>
      <c r="R3160" s="12"/>
      <c r="S3160" s="382"/>
      <c r="T3160" s="383"/>
      <c r="U3160" s="384"/>
      <c r="V3160" s="12"/>
      <c r="W3160" s="12"/>
    </row>
    <row r="3161" spans="1:23" x14ac:dyDescent="0.3">
      <c r="A3161" s="193"/>
      <c r="B3161" s="378"/>
      <c r="C3161" s="315"/>
      <c r="D3161" s="316"/>
      <c r="E3161" s="315"/>
      <c r="F3161" s="315"/>
      <c r="G3161" s="315"/>
      <c r="H3161" s="153"/>
      <c r="I3161" s="12"/>
      <c r="J3161" s="12"/>
      <c r="K3161" s="12"/>
      <c r="L3161" s="379"/>
      <c r="M3161" s="380"/>
      <c r="N3161" s="380"/>
      <c r="O3161" s="12"/>
      <c r="P3161" s="381"/>
      <c r="Q3161" s="12"/>
      <c r="R3161" s="12"/>
      <c r="S3161" s="382"/>
      <c r="T3161" s="383"/>
      <c r="U3161" s="384"/>
      <c r="V3161" s="12"/>
      <c r="W3161" s="12"/>
    </row>
    <row r="3162" spans="1:23" x14ac:dyDescent="0.3">
      <c r="A3162" s="193"/>
      <c r="B3162" s="378"/>
      <c r="C3162" s="315"/>
      <c r="D3162" s="316"/>
      <c r="E3162" s="315"/>
      <c r="F3162" s="315"/>
      <c r="G3162" s="315"/>
      <c r="H3162" s="153"/>
      <c r="I3162" s="12"/>
      <c r="J3162" s="12"/>
      <c r="K3162" s="12"/>
      <c r="L3162" s="379"/>
      <c r="M3162" s="380"/>
      <c r="N3162" s="380"/>
      <c r="O3162" s="12"/>
      <c r="P3162" s="381"/>
      <c r="Q3162" s="12"/>
      <c r="R3162" s="12"/>
      <c r="S3162" s="382"/>
      <c r="T3162" s="383"/>
      <c r="U3162" s="384"/>
      <c r="V3162" s="12"/>
      <c r="W3162" s="12"/>
    </row>
    <row r="3163" spans="1:23" x14ac:dyDescent="0.3">
      <c r="A3163" s="193"/>
      <c r="B3163" s="378"/>
      <c r="C3163" s="315"/>
      <c r="D3163" s="316"/>
      <c r="E3163" s="315"/>
      <c r="F3163" s="315"/>
      <c r="G3163" s="315"/>
      <c r="H3163" s="153"/>
      <c r="I3163" s="12"/>
      <c r="J3163" s="12"/>
      <c r="K3163" s="12"/>
      <c r="L3163" s="379"/>
      <c r="M3163" s="380"/>
      <c r="N3163" s="380"/>
      <c r="O3163" s="12"/>
      <c r="P3163" s="381"/>
      <c r="Q3163" s="12"/>
      <c r="R3163" s="12"/>
      <c r="S3163" s="382"/>
      <c r="T3163" s="383"/>
      <c r="U3163" s="384"/>
      <c r="V3163" s="12"/>
      <c r="W3163" s="12"/>
    </row>
    <row r="3164" spans="1:23" x14ac:dyDescent="0.3">
      <c r="A3164" s="193"/>
      <c r="B3164" s="378"/>
      <c r="C3164" s="315"/>
      <c r="D3164" s="316"/>
      <c r="E3164" s="315"/>
      <c r="F3164" s="315"/>
      <c r="G3164" s="315"/>
      <c r="H3164" s="153"/>
      <c r="I3164" s="12"/>
      <c r="J3164" s="12"/>
      <c r="K3164" s="12"/>
      <c r="L3164" s="379"/>
      <c r="M3164" s="380"/>
      <c r="N3164" s="380"/>
      <c r="O3164" s="12"/>
      <c r="P3164" s="381"/>
      <c r="Q3164" s="12"/>
      <c r="R3164" s="12"/>
      <c r="S3164" s="382"/>
      <c r="T3164" s="383"/>
      <c r="U3164" s="384"/>
      <c r="V3164" s="12"/>
      <c r="W3164" s="12"/>
    </row>
    <row r="3165" spans="1:23" x14ac:dyDescent="0.3">
      <c r="A3165" s="193"/>
      <c r="B3165" s="378"/>
      <c r="C3165" s="315"/>
      <c r="D3165" s="316"/>
      <c r="E3165" s="315"/>
      <c r="F3165" s="315"/>
      <c r="G3165" s="315"/>
      <c r="H3165" s="153"/>
      <c r="I3165" s="12"/>
      <c r="J3165" s="12"/>
      <c r="K3165" s="12"/>
      <c r="L3165" s="379"/>
      <c r="M3165" s="380"/>
      <c r="N3165" s="380"/>
      <c r="O3165" s="12"/>
      <c r="P3165" s="381"/>
      <c r="Q3165" s="12"/>
      <c r="R3165" s="12"/>
      <c r="S3165" s="382"/>
      <c r="T3165" s="383"/>
      <c r="U3165" s="384"/>
      <c r="V3165" s="12"/>
      <c r="W3165" s="12"/>
    </row>
    <row r="3166" spans="1:23" x14ac:dyDescent="0.3">
      <c r="A3166" s="193"/>
      <c r="B3166" s="378"/>
      <c r="C3166" s="315"/>
      <c r="D3166" s="316"/>
      <c r="E3166" s="315"/>
      <c r="F3166" s="315"/>
      <c r="G3166" s="315"/>
      <c r="H3166" s="153"/>
      <c r="I3166" s="12"/>
      <c r="J3166" s="12"/>
      <c r="K3166" s="12"/>
      <c r="L3166" s="379"/>
      <c r="M3166" s="380"/>
      <c r="N3166" s="380"/>
      <c r="O3166" s="12"/>
      <c r="P3166" s="381"/>
      <c r="Q3166" s="12"/>
      <c r="R3166" s="12"/>
      <c r="S3166" s="382"/>
      <c r="T3166" s="383"/>
      <c r="U3166" s="384"/>
      <c r="V3166" s="12"/>
      <c r="W3166" s="12"/>
    </row>
    <row r="3167" spans="1:23" x14ac:dyDescent="0.3">
      <c r="A3167" s="193"/>
      <c r="B3167" s="378"/>
      <c r="C3167" s="315"/>
      <c r="D3167" s="316"/>
      <c r="E3167" s="315"/>
      <c r="F3167" s="315"/>
      <c r="G3167" s="315"/>
      <c r="H3167" s="153"/>
      <c r="I3167" s="12"/>
      <c r="J3167" s="12"/>
      <c r="K3167" s="12"/>
      <c r="L3167" s="379"/>
      <c r="M3167" s="380"/>
      <c r="N3167" s="380"/>
      <c r="O3167" s="12"/>
      <c r="P3167" s="381"/>
      <c r="Q3167" s="12"/>
      <c r="R3167" s="12"/>
      <c r="S3167" s="382"/>
      <c r="T3167" s="383"/>
      <c r="U3167" s="384"/>
      <c r="V3167" s="12"/>
      <c r="W3167" s="12"/>
    </row>
    <row r="3168" spans="1:23" x14ac:dyDescent="0.3">
      <c r="A3168" s="193"/>
      <c r="B3168" s="378"/>
      <c r="C3168" s="315"/>
      <c r="D3168" s="316"/>
      <c r="E3168" s="315"/>
      <c r="F3168" s="315"/>
      <c r="G3168" s="315"/>
      <c r="H3168" s="153"/>
      <c r="I3168" s="12"/>
      <c r="J3168" s="12"/>
      <c r="K3168" s="12"/>
      <c r="L3168" s="379"/>
      <c r="M3168" s="380"/>
      <c r="N3168" s="380"/>
      <c r="O3168" s="12"/>
      <c r="P3168" s="381"/>
      <c r="Q3168" s="12"/>
      <c r="R3168" s="12"/>
      <c r="S3168" s="382"/>
      <c r="T3168" s="383"/>
      <c r="U3168" s="384"/>
      <c r="V3168" s="12"/>
      <c r="W3168" s="12"/>
    </row>
    <row r="3169" spans="1:23" x14ac:dyDescent="0.3">
      <c r="A3169" s="193"/>
      <c r="B3169" s="378"/>
      <c r="C3169" s="315"/>
      <c r="D3169" s="316"/>
      <c r="E3169" s="315"/>
      <c r="F3169" s="315"/>
      <c r="G3169" s="315"/>
      <c r="H3169" s="153"/>
      <c r="I3169" s="12"/>
      <c r="J3169" s="12"/>
      <c r="K3169" s="12"/>
      <c r="L3169" s="379"/>
      <c r="M3169" s="380"/>
      <c r="N3169" s="380"/>
      <c r="O3169" s="12"/>
      <c r="P3169" s="381"/>
      <c r="Q3169" s="12"/>
      <c r="R3169" s="12"/>
      <c r="S3169" s="382"/>
      <c r="T3169" s="383"/>
      <c r="U3169" s="384"/>
      <c r="V3169" s="12"/>
      <c r="W3169" s="12"/>
    </row>
    <row r="3170" spans="1:23" x14ac:dyDescent="0.3">
      <c r="A3170" s="193"/>
      <c r="B3170" s="378"/>
      <c r="C3170" s="315"/>
      <c r="D3170" s="316"/>
      <c r="E3170" s="315"/>
      <c r="F3170" s="315"/>
      <c r="G3170" s="315"/>
      <c r="H3170" s="153"/>
      <c r="I3170" s="12"/>
      <c r="J3170" s="12"/>
      <c r="K3170" s="12"/>
      <c r="L3170" s="379"/>
      <c r="M3170" s="380"/>
      <c r="N3170" s="380"/>
      <c r="O3170" s="12"/>
      <c r="P3170" s="381"/>
      <c r="Q3170" s="12"/>
      <c r="R3170" s="12"/>
      <c r="S3170" s="382"/>
      <c r="T3170" s="383"/>
      <c r="U3170" s="384"/>
      <c r="V3170" s="12"/>
      <c r="W3170" s="12"/>
    </row>
    <row r="3171" spans="1:23" x14ac:dyDescent="0.3">
      <c r="A3171" s="193"/>
      <c r="B3171" s="378"/>
      <c r="C3171" s="315"/>
      <c r="D3171" s="316"/>
      <c r="E3171" s="315"/>
      <c r="F3171" s="315"/>
      <c r="G3171" s="315"/>
      <c r="H3171" s="153"/>
      <c r="I3171" s="12"/>
      <c r="J3171" s="12"/>
      <c r="K3171" s="12"/>
      <c r="L3171" s="379"/>
      <c r="M3171" s="380"/>
      <c r="N3171" s="380"/>
      <c r="O3171" s="12"/>
      <c r="P3171" s="381"/>
      <c r="Q3171" s="12"/>
      <c r="R3171" s="12"/>
      <c r="S3171" s="382"/>
      <c r="T3171" s="383"/>
      <c r="U3171" s="384"/>
      <c r="V3171" s="12"/>
      <c r="W3171" s="12"/>
    </row>
    <row r="3172" spans="1:23" x14ac:dyDescent="0.3">
      <c r="A3172" s="193"/>
      <c r="B3172" s="378"/>
      <c r="C3172" s="315"/>
      <c r="D3172" s="316"/>
      <c r="E3172" s="315"/>
      <c r="F3172" s="315"/>
      <c r="G3172" s="315"/>
      <c r="H3172" s="153"/>
      <c r="I3172" s="12"/>
      <c r="J3172" s="12"/>
      <c r="K3172" s="12"/>
      <c r="L3172" s="379"/>
      <c r="M3172" s="380"/>
      <c r="N3172" s="380"/>
      <c r="O3172" s="12"/>
      <c r="P3172" s="381"/>
      <c r="Q3172" s="12"/>
      <c r="R3172" s="12"/>
      <c r="S3172" s="382"/>
      <c r="T3172" s="383"/>
      <c r="U3172" s="384"/>
      <c r="V3172" s="12"/>
      <c r="W3172" s="12"/>
    </row>
    <row r="3173" spans="1:23" x14ac:dyDescent="0.3">
      <c r="A3173" s="193"/>
      <c r="B3173" s="378"/>
      <c r="C3173" s="315"/>
      <c r="D3173" s="316"/>
      <c r="E3173" s="315"/>
      <c r="F3173" s="315"/>
      <c r="G3173" s="315"/>
      <c r="H3173" s="153"/>
      <c r="I3173" s="12"/>
      <c r="J3173" s="12"/>
      <c r="K3173" s="12"/>
      <c r="L3173" s="379"/>
      <c r="M3173" s="380"/>
      <c r="N3173" s="380"/>
      <c r="O3173" s="12"/>
      <c r="P3173" s="381"/>
      <c r="Q3173" s="12"/>
      <c r="R3173" s="12"/>
      <c r="S3173" s="382"/>
      <c r="T3173" s="383"/>
      <c r="U3173" s="384"/>
      <c r="V3173" s="12"/>
      <c r="W3173" s="12"/>
    </row>
    <row r="3174" spans="1:23" x14ac:dyDescent="0.3">
      <c r="A3174" s="193"/>
      <c r="B3174" s="378"/>
      <c r="C3174" s="315"/>
      <c r="D3174" s="316"/>
      <c r="E3174" s="315"/>
      <c r="F3174" s="315"/>
      <c r="G3174" s="315"/>
      <c r="H3174" s="153"/>
      <c r="I3174" s="12"/>
      <c r="J3174" s="12"/>
      <c r="K3174" s="12"/>
      <c r="L3174" s="379"/>
      <c r="M3174" s="380"/>
      <c r="N3174" s="380"/>
      <c r="O3174" s="12"/>
      <c r="P3174" s="381"/>
      <c r="Q3174" s="12"/>
      <c r="R3174" s="12"/>
      <c r="S3174" s="382"/>
      <c r="T3174" s="383"/>
      <c r="U3174" s="384"/>
      <c r="V3174" s="12"/>
      <c r="W3174" s="12"/>
    </row>
    <row r="3175" spans="1:23" x14ac:dyDescent="0.3">
      <c r="A3175" s="193"/>
      <c r="B3175" s="378"/>
      <c r="C3175" s="315"/>
      <c r="D3175" s="316"/>
      <c r="E3175" s="315"/>
      <c r="F3175" s="315"/>
      <c r="G3175" s="315"/>
      <c r="H3175" s="153"/>
      <c r="I3175" s="12"/>
      <c r="J3175" s="12"/>
      <c r="K3175" s="12"/>
      <c r="L3175" s="379"/>
      <c r="M3175" s="380"/>
      <c r="N3175" s="380"/>
      <c r="O3175" s="12"/>
      <c r="P3175" s="381"/>
      <c r="Q3175" s="12"/>
      <c r="R3175" s="12"/>
      <c r="S3175" s="382"/>
      <c r="T3175" s="383"/>
      <c r="U3175" s="384"/>
      <c r="V3175" s="12"/>
      <c r="W3175" s="12"/>
    </row>
    <row r="3176" spans="1:23" x14ac:dyDescent="0.3">
      <c r="A3176" s="193"/>
      <c r="B3176" s="378"/>
      <c r="C3176" s="315"/>
      <c r="D3176" s="316"/>
      <c r="E3176" s="315"/>
      <c r="F3176" s="315"/>
      <c r="G3176" s="315"/>
      <c r="H3176" s="153"/>
      <c r="I3176" s="12"/>
      <c r="J3176" s="12"/>
      <c r="K3176" s="12"/>
      <c r="L3176" s="379"/>
      <c r="M3176" s="380"/>
      <c r="N3176" s="380"/>
      <c r="O3176" s="12"/>
      <c r="P3176" s="381"/>
      <c r="Q3176" s="12"/>
      <c r="R3176" s="12"/>
      <c r="S3176" s="382"/>
      <c r="T3176" s="383"/>
      <c r="U3176" s="384"/>
      <c r="V3176" s="12"/>
      <c r="W3176" s="12"/>
    </row>
    <row r="3177" spans="1:23" x14ac:dyDescent="0.3">
      <c r="A3177" s="193"/>
      <c r="B3177" s="378"/>
      <c r="C3177" s="315"/>
      <c r="D3177" s="316"/>
      <c r="E3177" s="315"/>
      <c r="F3177" s="315"/>
      <c r="G3177" s="315"/>
      <c r="H3177" s="153"/>
      <c r="I3177" s="12"/>
      <c r="J3177" s="12"/>
      <c r="K3177" s="12"/>
      <c r="L3177" s="379"/>
      <c r="M3177" s="380"/>
      <c r="N3177" s="380"/>
      <c r="O3177" s="12"/>
      <c r="P3177" s="381"/>
      <c r="Q3177" s="12"/>
      <c r="R3177" s="12"/>
      <c r="S3177" s="382"/>
      <c r="T3177" s="383"/>
      <c r="U3177" s="384"/>
      <c r="V3177" s="12"/>
      <c r="W3177" s="12"/>
    </row>
    <row r="3178" spans="1:23" x14ac:dyDescent="0.3">
      <c r="A3178" s="193"/>
      <c r="B3178" s="378"/>
      <c r="C3178" s="315"/>
      <c r="D3178" s="316"/>
      <c r="E3178" s="315"/>
      <c r="F3178" s="315"/>
      <c r="G3178" s="315"/>
      <c r="H3178" s="153"/>
      <c r="I3178" s="12"/>
      <c r="J3178" s="12"/>
      <c r="K3178" s="12"/>
      <c r="L3178" s="379"/>
      <c r="M3178" s="380"/>
      <c r="N3178" s="380"/>
      <c r="O3178" s="12"/>
      <c r="P3178" s="381"/>
      <c r="Q3178" s="12"/>
      <c r="R3178" s="12"/>
      <c r="S3178" s="382"/>
      <c r="T3178" s="383"/>
      <c r="U3178" s="384"/>
      <c r="V3178" s="12"/>
      <c r="W3178" s="12"/>
    </row>
    <row r="3179" spans="1:23" x14ac:dyDescent="0.3">
      <c r="A3179" s="193"/>
      <c r="B3179" s="378"/>
      <c r="C3179" s="315"/>
      <c r="D3179" s="316"/>
      <c r="E3179" s="315"/>
      <c r="F3179" s="315"/>
      <c r="G3179" s="315"/>
      <c r="H3179" s="153"/>
      <c r="I3179" s="12"/>
      <c r="J3179" s="12"/>
      <c r="K3179" s="12"/>
      <c r="L3179" s="379"/>
      <c r="M3179" s="380"/>
      <c r="N3179" s="380"/>
      <c r="O3179" s="12"/>
      <c r="P3179" s="381"/>
      <c r="Q3179" s="12"/>
      <c r="R3179" s="12"/>
      <c r="S3179" s="382"/>
      <c r="T3179" s="383"/>
      <c r="U3179" s="384"/>
      <c r="V3179" s="12"/>
      <c r="W3179" s="12"/>
    </row>
    <row r="3180" spans="1:23" x14ac:dyDescent="0.3">
      <c r="A3180" s="193"/>
      <c r="B3180" s="378"/>
      <c r="C3180" s="315"/>
      <c r="D3180" s="316"/>
      <c r="E3180" s="315"/>
      <c r="F3180" s="315"/>
      <c r="G3180" s="315"/>
      <c r="H3180" s="153"/>
      <c r="I3180" s="12"/>
      <c r="J3180" s="12"/>
      <c r="K3180" s="12"/>
      <c r="L3180" s="379"/>
      <c r="M3180" s="380"/>
      <c r="N3180" s="380"/>
      <c r="O3180" s="12"/>
      <c r="P3180" s="381"/>
      <c r="Q3180" s="12"/>
      <c r="R3180" s="12"/>
      <c r="S3180" s="382"/>
      <c r="T3180" s="383"/>
      <c r="U3180" s="384"/>
      <c r="V3180" s="12"/>
      <c r="W3180" s="12"/>
    </row>
    <row r="3181" spans="1:23" x14ac:dyDescent="0.3">
      <c r="A3181" s="193"/>
      <c r="B3181" s="378"/>
      <c r="C3181" s="315"/>
      <c r="D3181" s="316"/>
      <c r="E3181" s="315"/>
      <c r="F3181" s="315"/>
      <c r="G3181" s="315"/>
      <c r="H3181" s="153"/>
      <c r="I3181" s="12"/>
      <c r="J3181" s="12"/>
      <c r="K3181" s="12"/>
      <c r="L3181" s="379"/>
      <c r="M3181" s="380"/>
      <c r="N3181" s="380"/>
      <c r="O3181" s="12"/>
      <c r="P3181" s="381"/>
      <c r="Q3181" s="12"/>
      <c r="R3181" s="12"/>
      <c r="S3181" s="382"/>
      <c r="T3181" s="383"/>
      <c r="U3181" s="384"/>
      <c r="V3181" s="12"/>
      <c r="W3181" s="12"/>
    </row>
    <row r="3182" spans="1:23" x14ac:dyDescent="0.3">
      <c r="A3182" s="193"/>
      <c r="B3182" s="378"/>
      <c r="C3182" s="315"/>
      <c r="D3182" s="316"/>
      <c r="E3182" s="315"/>
      <c r="F3182" s="315"/>
      <c r="G3182" s="315"/>
      <c r="H3182" s="153"/>
      <c r="I3182" s="12"/>
      <c r="J3182" s="12"/>
      <c r="K3182" s="12"/>
      <c r="L3182" s="379"/>
      <c r="M3182" s="380"/>
      <c r="N3182" s="380"/>
      <c r="O3182" s="12"/>
      <c r="P3182" s="381"/>
      <c r="Q3182" s="12"/>
      <c r="R3182" s="12"/>
      <c r="S3182" s="382"/>
      <c r="T3182" s="383"/>
      <c r="U3182" s="384"/>
      <c r="V3182" s="12"/>
      <c r="W3182" s="12"/>
    </row>
    <row r="3183" spans="1:23" x14ac:dyDescent="0.3">
      <c r="A3183" s="193"/>
      <c r="B3183" s="378"/>
      <c r="C3183" s="315"/>
      <c r="D3183" s="316"/>
      <c r="E3183" s="315"/>
      <c r="F3183" s="315"/>
      <c r="G3183" s="315"/>
      <c r="H3183" s="153"/>
      <c r="I3183" s="12"/>
      <c r="J3183" s="12"/>
      <c r="K3183" s="12"/>
      <c r="L3183" s="379"/>
      <c r="M3183" s="380"/>
      <c r="N3183" s="380"/>
      <c r="O3183" s="12"/>
      <c r="P3183" s="381"/>
      <c r="Q3183" s="12"/>
      <c r="R3183" s="12"/>
      <c r="S3183" s="382"/>
      <c r="T3183" s="383"/>
      <c r="U3183" s="384"/>
      <c r="V3183" s="12"/>
      <c r="W3183" s="12"/>
    </row>
    <row r="3184" spans="1:23" x14ac:dyDescent="0.3">
      <c r="A3184" s="193"/>
      <c r="B3184" s="378"/>
      <c r="C3184" s="315"/>
      <c r="D3184" s="316"/>
      <c r="E3184" s="315"/>
      <c r="F3184" s="315"/>
      <c r="G3184" s="315"/>
      <c r="H3184" s="153"/>
      <c r="I3184" s="12"/>
      <c r="J3184" s="12"/>
      <c r="K3184" s="12"/>
      <c r="L3184" s="379"/>
      <c r="M3184" s="380"/>
      <c r="N3184" s="380"/>
      <c r="O3184" s="12"/>
      <c r="P3184" s="381"/>
      <c r="Q3184" s="12"/>
      <c r="R3184" s="12"/>
      <c r="S3184" s="382"/>
      <c r="T3184" s="383"/>
      <c r="U3184" s="384"/>
      <c r="V3184" s="12"/>
      <c r="W3184" s="12"/>
    </row>
    <row r="3185" spans="1:23" x14ac:dyDescent="0.3">
      <c r="A3185" s="193"/>
      <c r="B3185" s="378"/>
      <c r="C3185" s="315"/>
      <c r="D3185" s="316"/>
      <c r="E3185" s="315"/>
      <c r="F3185" s="315"/>
      <c r="G3185" s="315"/>
      <c r="H3185" s="153"/>
      <c r="I3185" s="12"/>
      <c r="J3185" s="12"/>
      <c r="K3185" s="12"/>
      <c r="L3185" s="379"/>
      <c r="M3185" s="380"/>
      <c r="N3185" s="380"/>
      <c r="O3185" s="12"/>
      <c r="P3185" s="381"/>
      <c r="Q3185" s="12"/>
      <c r="R3185" s="12"/>
      <c r="S3185" s="382"/>
      <c r="T3185" s="383"/>
      <c r="U3185" s="384"/>
      <c r="V3185" s="12"/>
      <c r="W3185" s="12"/>
    </row>
    <row r="3186" spans="1:23" x14ac:dyDescent="0.3">
      <c r="A3186" s="193"/>
      <c r="B3186" s="378"/>
      <c r="C3186" s="315"/>
      <c r="D3186" s="316"/>
      <c r="E3186" s="315"/>
      <c r="F3186" s="315"/>
      <c r="G3186" s="315"/>
      <c r="H3186" s="153"/>
      <c r="I3186" s="12"/>
      <c r="J3186" s="12"/>
      <c r="K3186" s="12"/>
      <c r="L3186" s="379"/>
      <c r="M3186" s="380"/>
      <c r="N3186" s="380"/>
      <c r="O3186" s="12"/>
      <c r="P3186" s="381"/>
      <c r="Q3186" s="12"/>
      <c r="R3186" s="12"/>
      <c r="S3186" s="382"/>
      <c r="T3186" s="383"/>
      <c r="U3186" s="384"/>
      <c r="V3186" s="12"/>
      <c r="W3186" s="12"/>
    </row>
    <row r="3187" spans="1:23" x14ac:dyDescent="0.3">
      <c r="A3187" s="193"/>
      <c r="B3187" s="378"/>
      <c r="C3187" s="315"/>
      <c r="D3187" s="316"/>
      <c r="E3187" s="315"/>
      <c r="F3187" s="315"/>
      <c r="G3187" s="315"/>
      <c r="H3187" s="153"/>
      <c r="I3187" s="12"/>
      <c r="J3187" s="12"/>
      <c r="K3187" s="12"/>
      <c r="L3187" s="379"/>
      <c r="M3187" s="380"/>
      <c r="N3187" s="380"/>
      <c r="O3187" s="12"/>
      <c r="P3187" s="381"/>
      <c r="Q3187" s="12"/>
      <c r="R3187" s="12"/>
      <c r="S3187" s="382"/>
      <c r="T3187" s="383"/>
      <c r="U3187" s="384"/>
      <c r="V3187" s="12"/>
      <c r="W3187" s="12"/>
    </row>
    <row r="3188" spans="1:23" x14ac:dyDescent="0.3">
      <c r="A3188" s="193"/>
      <c r="B3188" s="378"/>
      <c r="C3188" s="315"/>
      <c r="D3188" s="316"/>
      <c r="E3188" s="315"/>
      <c r="F3188" s="315"/>
      <c r="G3188" s="315"/>
      <c r="H3188" s="153"/>
      <c r="I3188" s="12"/>
      <c r="J3188" s="12"/>
      <c r="K3188" s="12"/>
      <c r="L3188" s="379"/>
      <c r="M3188" s="380"/>
      <c r="N3188" s="380"/>
      <c r="O3188" s="12"/>
      <c r="P3188" s="381"/>
      <c r="Q3188" s="12"/>
      <c r="R3188" s="12"/>
      <c r="S3188" s="382"/>
      <c r="T3188" s="383"/>
      <c r="U3188" s="384"/>
      <c r="V3188" s="12"/>
      <c r="W3188" s="12"/>
    </row>
    <row r="3189" spans="1:23" x14ac:dyDescent="0.3">
      <c r="A3189" s="193"/>
      <c r="B3189" s="378"/>
      <c r="C3189" s="315"/>
      <c r="D3189" s="316"/>
      <c r="E3189" s="315"/>
      <c r="F3189" s="315"/>
      <c r="G3189" s="315"/>
      <c r="H3189" s="153"/>
      <c r="I3189" s="12"/>
      <c r="J3189" s="12"/>
      <c r="K3189" s="12"/>
      <c r="L3189" s="379"/>
      <c r="M3189" s="380"/>
      <c r="N3189" s="380"/>
      <c r="O3189" s="12"/>
      <c r="P3189" s="381"/>
      <c r="Q3189" s="12"/>
      <c r="R3189" s="12"/>
      <c r="S3189" s="382"/>
      <c r="T3189" s="383"/>
      <c r="U3189" s="384"/>
      <c r="V3189" s="12"/>
      <c r="W3189" s="12"/>
    </row>
    <row r="3190" spans="1:23" x14ac:dyDescent="0.3">
      <c r="A3190" s="193"/>
      <c r="B3190" s="378"/>
      <c r="C3190" s="315"/>
      <c r="D3190" s="316"/>
      <c r="E3190" s="315"/>
      <c r="F3190" s="315"/>
      <c r="G3190" s="315"/>
      <c r="H3190" s="153"/>
      <c r="I3190" s="12"/>
      <c r="J3190" s="12"/>
      <c r="K3190" s="12"/>
      <c r="L3190" s="379"/>
      <c r="M3190" s="380"/>
      <c r="N3190" s="380"/>
      <c r="O3190" s="12"/>
      <c r="P3190" s="381"/>
      <c r="Q3190" s="12"/>
      <c r="R3190" s="12"/>
      <c r="S3190" s="382"/>
      <c r="T3190" s="383"/>
      <c r="U3190" s="384"/>
      <c r="V3190" s="12"/>
      <c r="W3190" s="12"/>
    </row>
    <row r="3191" spans="1:23" x14ac:dyDescent="0.3">
      <c r="A3191" s="193"/>
      <c r="B3191" s="378"/>
      <c r="C3191" s="315"/>
      <c r="D3191" s="316"/>
      <c r="E3191" s="315"/>
      <c r="F3191" s="315"/>
      <c r="G3191" s="315"/>
      <c r="H3191" s="153"/>
      <c r="I3191" s="12"/>
      <c r="J3191" s="12"/>
      <c r="K3191" s="12"/>
      <c r="L3191" s="379"/>
      <c r="M3191" s="380"/>
      <c r="N3191" s="380"/>
      <c r="O3191" s="12"/>
      <c r="P3191" s="381"/>
      <c r="Q3191" s="12"/>
      <c r="R3191" s="12"/>
      <c r="S3191" s="382"/>
      <c r="T3191" s="383"/>
      <c r="U3191" s="384"/>
      <c r="V3191" s="12"/>
      <c r="W3191" s="12"/>
    </row>
    <row r="3192" spans="1:23" x14ac:dyDescent="0.3">
      <c r="A3192" s="193"/>
      <c r="B3192" s="378"/>
      <c r="C3192" s="315"/>
      <c r="D3192" s="316"/>
      <c r="E3192" s="315"/>
      <c r="F3192" s="315"/>
      <c r="G3192" s="315"/>
      <c r="H3192" s="153"/>
      <c r="I3192" s="12"/>
      <c r="J3192" s="12"/>
      <c r="K3192" s="12"/>
      <c r="L3192" s="379"/>
      <c r="M3192" s="380"/>
      <c r="N3192" s="380"/>
      <c r="O3192" s="12"/>
      <c r="P3192" s="381"/>
      <c r="Q3192" s="12"/>
      <c r="R3192" s="12"/>
      <c r="S3192" s="382"/>
      <c r="T3192" s="383"/>
      <c r="U3192" s="384"/>
      <c r="V3192" s="12"/>
      <c r="W3192" s="12"/>
    </row>
    <row r="3193" spans="1:23" x14ac:dyDescent="0.3">
      <c r="A3193" s="193"/>
      <c r="B3193" s="378"/>
      <c r="C3193" s="315"/>
      <c r="D3193" s="316"/>
      <c r="E3193" s="315"/>
      <c r="F3193" s="315"/>
      <c r="G3193" s="315"/>
      <c r="H3193" s="153"/>
      <c r="I3193" s="12"/>
      <c r="J3193" s="12"/>
      <c r="K3193" s="12"/>
      <c r="L3193" s="379"/>
      <c r="M3193" s="380"/>
      <c r="N3193" s="380"/>
      <c r="O3193" s="12"/>
      <c r="P3193" s="381"/>
      <c r="Q3193" s="12"/>
      <c r="R3193" s="12"/>
      <c r="S3193" s="382"/>
      <c r="T3193" s="383"/>
      <c r="U3193" s="384"/>
      <c r="V3193" s="12"/>
      <c r="W3193" s="12"/>
    </row>
    <row r="3194" spans="1:23" x14ac:dyDescent="0.3">
      <c r="A3194" s="193"/>
      <c r="B3194" s="378"/>
      <c r="C3194" s="315"/>
      <c r="D3194" s="316"/>
      <c r="E3194" s="315"/>
      <c r="F3194" s="315"/>
      <c r="G3194" s="315"/>
      <c r="H3194" s="153"/>
      <c r="I3194" s="12"/>
      <c r="J3194" s="12"/>
      <c r="K3194" s="12"/>
      <c r="L3194" s="379"/>
      <c r="M3194" s="380"/>
      <c r="N3194" s="380"/>
      <c r="O3194" s="12"/>
      <c r="P3194" s="381"/>
      <c r="Q3194" s="12"/>
      <c r="R3194" s="12"/>
      <c r="S3194" s="382"/>
      <c r="T3194" s="383"/>
      <c r="U3194" s="384"/>
      <c r="V3194" s="12"/>
      <c r="W3194" s="12"/>
    </row>
    <row r="3195" spans="1:23" x14ac:dyDescent="0.3">
      <c r="A3195" s="193"/>
      <c r="B3195" s="378"/>
      <c r="C3195" s="315"/>
      <c r="D3195" s="316"/>
      <c r="E3195" s="315"/>
      <c r="F3195" s="315"/>
      <c r="G3195" s="315"/>
      <c r="H3195" s="153"/>
      <c r="I3195" s="12"/>
      <c r="J3195" s="12"/>
      <c r="K3195" s="12"/>
      <c r="L3195" s="379"/>
      <c r="M3195" s="380"/>
      <c r="N3195" s="380"/>
      <c r="O3195" s="12"/>
      <c r="P3195" s="381"/>
      <c r="Q3195" s="12"/>
      <c r="R3195" s="12"/>
      <c r="S3195" s="382"/>
      <c r="T3195" s="383"/>
      <c r="U3195" s="384"/>
      <c r="V3195" s="12"/>
      <c r="W3195" s="12"/>
    </row>
    <row r="3196" spans="1:23" x14ac:dyDescent="0.3">
      <c r="A3196" s="193"/>
      <c r="B3196" s="378"/>
      <c r="C3196" s="315"/>
      <c r="D3196" s="316"/>
      <c r="E3196" s="315"/>
      <c r="F3196" s="315"/>
      <c r="G3196" s="315"/>
      <c r="H3196" s="153"/>
      <c r="I3196" s="12"/>
      <c r="J3196" s="12"/>
      <c r="K3196" s="12"/>
      <c r="L3196" s="379"/>
      <c r="M3196" s="380"/>
      <c r="N3196" s="380"/>
      <c r="O3196" s="12"/>
      <c r="P3196" s="381"/>
      <c r="Q3196" s="12"/>
      <c r="R3196" s="12"/>
      <c r="S3196" s="382"/>
      <c r="T3196" s="383"/>
      <c r="U3196" s="384"/>
      <c r="V3196" s="12"/>
      <c r="W3196" s="12"/>
    </row>
    <row r="3197" spans="1:23" x14ac:dyDescent="0.3">
      <c r="A3197" s="193"/>
      <c r="B3197" s="378"/>
      <c r="C3197" s="315"/>
      <c r="D3197" s="316"/>
      <c r="E3197" s="315"/>
      <c r="F3197" s="315"/>
      <c r="G3197" s="315"/>
      <c r="H3197" s="153"/>
      <c r="I3197" s="12"/>
      <c r="J3197" s="12"/>
      <c r="K3197" s="12"/>
      <c r="L3197" s="379"/>
      <c r="M3197" s="380"/>
      <c r="N3197" s="380"/>
      <c r="O3197" s="12"/>
      <c r="P3197" s="381"/>
      <c r="Q3197" s="12"/>
      <c r="R3197" s="12"/>
      <c r="S3197" s="382"/>
      <c r="T3197" s="383"/>
      <c r="U3197" s="384"/>
      <c r="V3197" s="12"/>
      <c r="W3197" s="12"/>
    </row>
    <row r="3198" spans="1:23" x14ac:dyDescent="0.3">
      <c r="A3198" s="193"/>
      <c r="B3198" s="378"/>
      <c r="C3198" s="315"/>
      <c r="D3198" s="316"/>
      <c r="E3198" s="315"/>
      <c r="F3198" s="315"/>
      <c r="G3198" s="315"/>
      <c r="H3198" s="153"/>
      <c r="I3198" s="12"/>
      <c r="J3198" s="12"/>
      <c r="K3198" s="12"/>
      <c r="L3198" s="379"/>
      <c r="M3198" s="380"/>
      <c r="N3198" s="380"/>
      <c r="O3198" s="12"/>
      <c r="P3198" s="381"/>
      <c r="Q3198" s="12"/>
      <c r="R3198" s="12"/>
      <c r="S3198" s="382"/>
      <c r="T3198" s="383"/>
      <c r="U3198" s="384"/>
      <c r="V3198" s="12"/>
      <c r="W3198" s="12"/>
    </row>
    <row r="3199" spans="1:23" x14ac:dyDescent="0.3">
      <c r="A3199" s="193"/>
      <c r="B3199" s="378"/>
      <c r="C3199" s="315"/>
      <c r="D3199" s="316"/>
      <c r="E3199" s="315"/>
      <c r="F3199" s="315"/>
      <c r="G3199" s="315"/>
      <c r="H3199" s="153"/>
      <c r="I3199" s="12"/>
      <c r="J3199" s="12"/>
      <c r="K3199" s="12"/>
      <c r="L3199" s="379"/>
      <c r="M3199" s="380"/>
      <c r="N3199" s="380"/>
      <c r="O3199" s="12"/>
      <c r="P3199" s="381"/>
      <c r="Q3199" s="12"/>
      <c r="R3199" s="12"/>
      <c r="S3199" s="382"/>
      <c r="T3199" s="383"/>
      <c r="U3199" s="384"/>
      <c r="V3199" s="12"/>
      <c r="W3199" s="12"/>
    </row>
    <row r="3200" spans="1:23" x14ac:dyDescent="0.3">
      <c r="A3200" s="193"/>
      <c r="B3200" s="378"/>
      <c r="C3200" s="315"/>
      <c r="D3200" s="316"/>
      <c r="E3200" s="315"/>
      <c r="F3200" s="315"/>
      <c r="G3200" s="315"/>
      <c r="H3200" s="153"/>
      <c r="I3200" s="12"/>
      <c r="J3200" s="12"/>
      <c r="K3200" s="12"/>
      <c r="L3200" s="379"/>
      <c r="M3200" s="380"/>
      <c r="N3200" s="380"/>
      <c r="O3200" s="12"/>
      <c r="P3200" s="381"/>
      <c r="Q3200" s="12"/>
      <c r="R3200" s="12"/>
      <c r="S3200" s="382"/>
      <c r="T3200" s="383"/>
      <c r="U3200" s="384"/>
      <c r="V3200" s="12"/>
      <c r="W3200" s="12"/>
    </row>
    <row r="3201" spans="1:23" x14ac:dyDescent="0.3">
      <c r="A3201" s="193"/>
      <c r="B3201" s="378"/>
      <c r="C3201" s="315"/>
      <c r="D3201" s="316"/>
      <c r="E3201" s="315"/>
      <c r="F3201" s="315"/>
      <c r="G3201" s="315"/>
      <c r="H3201" s="153"/>
      <c r="I3201" s="12"/>
      <c r="J3201" s="12"/>
      <c r="K3201" s="12"/>
      <c r="L3201" s="379"/>
      <c r="M3201" s="380"/>
      <c r="N3201" s="380"/>
      <c r="O3201" s="12"/>
      <c r="P3201" s="381"/>
      <c r="Q3201" s="12"/>
      <c r="R3201" s="12"/>
      <c r="S3201" s="382"/>
      <c r="T3201" s="383"/>
      <c r="U3201" s="384"/>
      <c r="V3201" s="12"/>
      <c r="W3201" s="12"/>
    </row>
    <row r="3202" spans="1:23" x14ac:dyDescent="0.3">
      <c r="A3202" s="193"/>
      <c r="B3202" s="378"/>
      <c r="C3202" s="315"/>
      <c r="D3202" s="316"/>
      <c r="E3202" s="315"/>
      <c r="F3202" s="315"/>
      <c r="G3202" s="315"/>
      <c r="H3202" s="153"/>
      <c r="I3202" s="12"/>
      <c r="J3202" s="12"/>
      <c r="K3202" s="12"/>
      <c r="L3202" s="379"/>
      <c r="M3202" s="380"/>
      <c r="N3202" s="380"/>
      <c r="O3202" s="12"/>
      <c r="P3202" s="381"/>
      <c r="Q3202" s="12"/>
      <c r="R3202" s="12"/>
      <c r="S3202" s="382"/>
      <c r="T3202" s="383"/>
      <c r="U3202" s="384"/>
      <c r="V3202" s="12"/>
      <c r="W3202" s="12"/>
    </row>
    <row r="3203" spans="1:23" x14ac:dyDescent="0.3">
      <c r="A3203" s="193"/>
      <c r="B3203" s="378"/>
      <c r="C3203" s="315"/>
      <c r="D3203" s="316"/>
      <c r="E3203" s="315"/>
      <c r="F3203" s="315"/>
      <c r="G3203" s="315"/>
      <c r="H3203" s="153"/>
      <c r="I3203" s="12"/>
      <c r="J3203" s="12"/>
      <c r="K3203" s="12"/>
      <c r="L3203" s="379"/>
      <c r="M3203" s="380"/>
      <c r="N3203" s="380"/>
      <c r="O3203" s="12"/>
      <c r="P3203" s="381"/>
      <c r="Q3203" s="12"/>
      <c r="R3203" s="12"/>
      <c r="S3203" s="382"/>
      <c r="T3203" s="383"/>
      <c r="U3203" s="384"/>
      <c r="V3203" s="12"/>
      <c r="W3203" s="12"/>
    </row>
    <row r="3204" spans="1:23" x14ac:dyDescent="0.3">
      <c r="A3204" s="193"/>
      <c r="B3204" s="378"/>
      <c r="C3204" s="315"/>
      <c r="D3204" s="316"/>
      <c r="E3204" s="315"/>
      <c r="F3204" s="315"/>
      <c r="G3204" s="315"/>
      <c r="H3204" s="153"/>
      <c r="I3204" s="12"/>
      <c r="J3204" s="12"/>
      <c r="K3204" s="12"/>
      <c r="L3204" s="379"/>
      <c r="M3204" s="380"/>
      <c r="N3204" s="380"/>
      <c r="O3204" s="12"/>
      <c r="P3204" s="381"/>
      <c r="Q3204" s="12"/>
      <c r="R3204" s="12"/>
      <c r="S3204" s="382"/>
      <c r="T3204" s="383"/>
      <c r="U3204" s="384"/>
      <c r="V3204" s="12"/>
      <c r="W3204" s="12"/>
    </row>
    <row r="3205" spans="1:23" x14ac:dyDescent="0.3">
      <c r="A3205" s="193"/>
      <c r="B3205" s="378"/>
      <c r="C3205" s="315"/>
      <c r="D3205" s="316"/>
      <c r="E3205" s="315"/>
      <c r="F3205" s="315"/>
      <c r="G3205" s="315"/>
      <c r="H3205" s="153"/>
      <c r="I3205" s="12"/>
      <c r="J3205" s="12"/>
      <c r="K3205" s="12"/>
      <c r="L3205" s="379"/>
      <c r="M3205" s="380"/>
      <c r="N3205" s="380"/>
      <c r="O3205" s="12"/>
      <c r="P3205" s="381"/>
      <c r="Q3205" s="12"/>
      <c r="R3205" s="12"/>
      <c r="S3205" s="382"/>
      <c r="T3205" s="383"/>
      <c r="U3205" s="384"/>
      <c r="V3205" s="12"/>
      <c r="W3205" s="12"/>
    </row>
    <row r="3206" spans="1:23" x14ac:dyDescent="0.3">
      <c r="A3206" s="193"/>
      <c r="B3206" s="378"/>
      <c r="C3206" s="315"/>
      <c r="D3206" s="316"/>
      <c r="E3206" s="315"/>
      <c r="F3206" s="315"/>
      <c r="G3206" s="315"/>
      <c r="H3206" s="153"/>
      <c r="I3206" s="12"/>
      <c r="J3206" s="12"/>
      <c r="K3206" s="12"/>
      <c r="L3206" s="379"/>
      <c r="M3206" s="380"/>
      <c r="N3206" s="380"/>
      <c r="O3206" s="12"/>
      <c r="P3206" s="381"/>
      <c r="Q3206" s="12"/>
      <c r="R3206" s="12"/>
      <c r="S3206" s="382"/>
      <c r="T3206" s="383"/>
      <c r="U3206" s="384"/>
      <c r="V3206" s="12"/>
      <c r="W3206" s="12"/>
    </row>
    <row r="3207" spans="1:23" x14ac:dyDescent="0.3">
      <c r="A3207" s="193"/>
      <c r="B3207" s="378"/>
      <c r="C3207" s="315"/>
      <c r="D3207" s="316"/>
      <c r="E3207" s="315"/>
      <c r="F3207" s="315"/>
      <c r="G3207" s="315"/>
      <c r="H3207" s="153"/>
      <c r="I3207" s="12"/>
      <c r="J3207" s="12"/>
      <c r="K3207" s="12"/>
      <c r="L3207" s="379"/>
      <c r="M3207" s="380"/>
      <c r="N3207" s="380"/>
      <c r="O3207" s="12"/>
      <c r="P3207" s="381"/>
      <c r="Q3207" s="12"/>
      <c r="R3207" s="12"/>
      <c r="S3207" s="382"/>
      <c r="T3207" s="383"/>
      <c r="U3207" s="384"/>
      <c r="V3207" s="12"/>
      <c r="W3207" s="12"/>
    </row>
    <row r="3208" spans="1:23" x14ac:dyDescent="0.3">
      <c r="A3208" s="193"/>
      <c r="B3208" s="378"/>
      <c r="C3208" s="315"/>
      <c r="D3208" s="316"/>
      <c r="E3208" s="315"/>
      <c r="F3208" s="315"/>
      <c r="G3208" s="315"/>
      <c r="H3208" s="153"/>
      <c r="I3208" s="12"/>
      <c r="J3208" s="12"/>
      <c r="K3208" s="12"/>
      <c r="L3208" s="379"/>
      <c r="M3208" s="380"/>
      <c r="N3208" s="380"/>
      <c r="O3208" s="12"/>
      <c r="P3208" s="381"/>
      <c r="Q3208" s="12"/>
      <c r="R3208" s="12"/>
      <c r="S3208" s="382"/>
      <c r="T3208" s="383"/>
      <c r="U3208" s="384"/>
      <c r="V3208" s="12"/>
      <c r="W3208" s="12"/>
    </row>
    <row r="3209" spans="1:23" x14ac:dyDescent="0.3">
      <c r="A3209" s="193"/>
      <c r="B3209" s="378"/>
      <c r="C3209" s="315"/>
      <c r="D3209" s="316"/>
      <c r="E3209" s="315"/>
      <c r="F3209" s="315"/>
      <c r="G3209" s="315"/>
      <c r="H3209" s="153"/>
      <c r="I3209" s="12"/>
      <c r="J3209" s="12"/>
      <c r="K3209" s="12"/>
      <c r="L3209" s="379"/>
      <c r="M3209" s="380"/>
      <c r="N3209" s="380"/>
      <c r="O3209" s="12"/>
      <c r="P3209" s="381"/>
      <c r="Q3209" s="12"/>
      <c r="R3209" s="12"/>
      <c r="S3209" s="382"/>
      <c r="T3209" s="383"/>
      <c r="U3209" s="384"/>
      <c r="V3209" s="12"/>
      <c r="W3209" s="12"/>
    </row>
    <row r="3210" spans="1:23" x14ac:dyDescent="0.3">
      <c r="A3210" s="193"/>
      <c r="B3210" s="378"/>
      <c r="C3210" s="315"/>
      <c r="D3210" s="316"/>
      <c r="E3210" s="315"/>
      <c r="F3210" s="315"/>
      <c r="G3210" s="315"/>
      <c r="H3210" s="153"/>
      <c r="I3210" s="12"/>
      <c r="J3210" s="12"/>
      <c r="K3210" s="12"/>
      <c r="L3210" s="379"/>
      <c r="M3210" s="380"/>
      <c r="N3210" s="380"/>
      <c r="O3210" s="12"/>
      <c r="P3210" s="381"/>
      <c r="Q3210" s="12"/>
      <c r="R3210" s="12"/>
      <c r="S3210" s="382"/>
      <c r="T3210" s="383"/>
      <c r="U3210" s="384"/>
      <c r="V3210" s="12"/>
      <c r="W3210" s="12"/>
    </row>
    <row r="3211" spans="1:23" x14ac:dyDescent="0.3">
      <c r="A3211" s="193"/>
      <c r="B3211" s="378"/>
      <c r="C3211" s="315"/>
      <c r="D3211" s="316"/>
      <c r="E3211" s="315"/>
      <c r="F3211" s="315"/>
      <c r="G3211" s="315"/>
      <c r="H3211" s="153"/>
      <c r="I3211" s="12"/>
      <c r="J3211" s="12"/>
      <c r="K3211" s="12"/>
      <c r="L3211" s="379"/>
      <c r="M3211" s="380"/>
      <c r="N3211" s="380"/>
      <c r="O3211" s="12"/>
      <c r="P3211" s="381"/>
      <c r="Q3211" s="12"/>
      <c r="R3211" s="12"/>
      <c r="S3211" s="382"/>
      <c r="T3211" s="383"/>
      <c r="U3211" s="384"/>
      <c r="V3211" s="12"/>
      <c r="W3211" s="12"/>
    </row>
    <row r="3212" spans="1:23" x14ac:dyDescent="0.3">
      <c r="A3212" s="193"/>
      <c r="B3212" s="378"/>
      <c r="C3212" s="315"/>
      <c r="D3212" s="316"/>
      <c r="E3212" s="315"/>
      <c r="F3212" s="315"/>
      <c r="G3212" s="315"/>
      <c r="H3212" s="153"/>
      <c r="I3212" s="12"/>
      <c r="J3212" s="12"/>
      <c r="K3212" s="12"/>
      <c r="L3212" s="379"/>
      <c r="M3212" s="380"/>
      <c r="N3212" s="380"/>
      <c r="O3212" s="12"/>
      <c r="P3212" s="381"/>
      <c r="Q3212" s="12"/>
      <c r="R3212" s="12"/>
      <c r="S3212" s="382"/>
      <c r="T3212" s="383"/>
      <c r="U3212" s="384"/>
      <c r="V3212" s="12"/>
      <c r="W3212" s="12"/>
    </row>
    <row r="3213" spans="1:23" x14ac:dyDescent="0.3">
      <c r="A3213" s="193"/>
      <c r="B3213" s="378"/>
      <c r="C3213" s="315"/>
      <c r="D3213" s="316"/>
      <c r="E3213" s="315"/>
      <c r="F3213" s="315"/>
      <c r="G3213" s="315"/>
      <c r="H3213" s="153"/>
      <c r="I3213" s="12"/>
      <c r="J3213" s="12"/>
      <c r="K3213" s="12"/>
      <c r="L3213" s="379"/>
      <c r="M3213" s="380"/>
      <c r="N3213" s="380"/>
      <c r="O3213" s="12"/>
      <c r="P3213" s="381"/>
      <c r="Q3213" s="12"/>
      <c r="R3213" s="12"/>
      <c r="S3213" s="382"/>
      <c r="T3213" s="383"/>
      <c r="U3213" s="384"/>
      <c r="V3213" s="12"/>
      <c r="W3213" s="12"/>
    </row>
    <row r="3214" spans="1:23" x14ac:dyDescent="0.3">
      <c r="A3214" s="193"/>
      <c r="B3214" s="378"/>
      <c r="C3214" s="315"/>
      <c r="D3214" s="316"/>
      <c r="E3214" s="315"/>
      <c r="F3214" s="315"/>
      <c r="G3214" s="315"/>
      <c r="H3214" s="153"/>
      <c r="I3214" s="12"/>
      <c r="J3214" s="12"/>
      <c r="K3214" s="12"/>
      <c r="L3214" s="379"/>
      <c r="M3214" s="380"/>
      <c r="N3214" s="380"/>
      <c r="O3214" s="12"/>
      <c r="P3214" s="381"/>
      <c r="Q3214" s="12"/>
      <c r="R3214" s="12"/>
      <c r="S3214" s="382"/>
      <c r="T3214" s="383"/>
      <c r="U3214" s="384"/>
      <c r="V3214" s="12"/>
      <c r="W3214" s="12"/>
    </row>
    <row r="3215" spans="1:23" x14ac:dyDescent="0.3">
      <c r="A3215" s="193"/>
      <c r="B3215" s="378"/>
      <c r="C3215" s="315"/>
      <c r="D3215" s="316"/>
      <c r="E3215" s="315"/>
      <c r="F3215" s="315"/>
      <c r="G3215" s="315"/>
      <c r="H3215" s="153"/>
      <c r="I3215" s="12"/>
      <c r="J3215" s="12"/>
      <c r="K3215" s="12"/>
      <c r="L3215" s="379"/>
      <c r="M3215" s="380"/>
      <c r="N3215" s="380"/>
      <c r="O3215" s="12"/>
      <c r="P3215" s="381"/>
      <c r="Q3215" s="12"/>
      <c r="R3215" s="12"/>
      <c r="S3215" s="382"/>
      <c r="T3215" s="383"/>
      <c r="U3215" s="384"/>
      <c r="V3215" s="12"/>
      <c r="W3215" s="12"/>
    </row>
    <row r="3216" spans="1:23" x14ac:dyDescent="0.3">
      <c r="A3216" s="193"/>
      <c r="B3216" s="378"/>
      <c r="C3216" s="315"/>
      <c r="D3216" s="316"/>
      <c r="E3216" s="315"/>
      <c r="F3216" s="315"/>
      <c r="G3216" s="315"/>
      <c r="H3216" s="153"/>
      <c r="I3216" s="12"/>
      <c r="J3216" s="12"/>
      <c r="K3216" s="12"/>
      <c r="L3216" s="379"/>
      <c r="M3216" s="380"/>
      <c r="N3216" s="380"/>
      <c r="O3216" s="12"/>
      <c r="P3216" s="381"/>
      <c r="Q3216" s="12"/>
      <c r="R3216" s="12"/>
      <c r="S3216" s="382"/>
      <c r="T3216" s="383"/>
      <c r="U3216" s="384"/>
      <c r="V3216" s="12"/>
      <c r="W3216" s="12"/>
    </row>
    <row r="3217" spans="1:23" x14ac:dyDescent="0.3">
      <c r="A3217" s="193"/>
      <c r="B3217" s="378"/>
      <c r="C3217" s="315"/>
      <c r="D3217" s="316"/>
      <c r="E3217" s="315"/>
      <c r="F3217" s="315"/>
      <c r="G3217" s="315"/>
      <c r="H3217" s="153"/>
      <c r="I3217" s="12"/>
      <c r="J3217" s="12"/>
      <c r="K3217" s="12"/>
      <c r="L3217" s="379"/>
      <c r="M3217" s="380"/>
      <c r="N3217" s="380"/>
      <c r="O3217" s="12"/>
      <c r="P3217" s="381"/>
      <c r="Q3217" s="12"/>
      <c r="R3217" s="12"/>
      <c r="S3217" s="382"/>
      <c r="T3217" s="383"/>
      <c r="U3217" s="384"/>
      <c r="V3217" s="12"/>
      <c r="W3217" s="12"/>
    </row>
    <row r="3218" spans="1:23" x14ac:dyDescent="0.3">
      <c r="A3218" s="193"/>
      <c r="B3218" s="378"/>
      <c r="C3218" s="315"/>
      <c r="D3218" s="316"/>
      <c r="E3218" s="315"/>
      <c r="F3218" s="315"/>
      <c r="G3218" s="315"/>
      <c r="H3218" s="153"/>
      <c r="I3218" s="12"/>
      <c r="J3218" s="12"/>
      <c r="K3218" s="12"/>
      <c r="L3218" s="379"/>
      <c r="M3218" s="380"/>
      <c r="N3218" s="380"/>
      <c r="O3218" s="12"/>
      <c r="P3218" s="381"/>
      <c r="Q3218" s="12"/>
      <c r="R3218" s="12"/>
      <c r="S3218" s="382"/>
      <c r="T3218" s="383"/>
      <c r="U3218" s="384"/>
      <c r="V3218" s="12"/>
      <c r="W3218" s="12"/>
    </row>
    <row r="3219" spans="1:23" x14ac:dyDescent="0.3">
      <c r="A3219" s="193"/>
      <c r="B3219" s="378"/>
      <c r="C3219" s="315"/>
      <c r="D3219" s="316"/>
      <c r="E3219" s="315"/>
      <c r="F3219" s="315"/>
      <c r="G3219" s="315"/>
      <c r="H3219" s="153"/>
      <c r="I3219" s="12"/>
      <c r="J3219" s="12"/>
      <c r="K3219" s="12"/>
      <c r="L3219" s="379"/>
      <c r="M3219" s="380"/>
      <c r="N3219" s="380"/>
      <c r="O3219" s="12"/>
      <c r="P3219" s="381"/>
      <c r="Q3219" s="12"/>
      <c r="R3219" s="12"/>
      <c r="S3219" s="382"/>
      <c r="T3219" s="383"/>
      <c r="U3219" s="384"/>
      <c r="V3219" s="12"/>
      <c r="W3219" s="12"/>
    </row>
    <row r="3220" spans="1:23" x14ac:dyDescent="0.3">
      <c r="A3220" s="193"/>
      <c r="B3220" s="378"/>
      <c r="C3220" s="315"/>
      <c r="D3220" s="316"/>
      <c r="E3220" s="315"/>
      <c r="F3220" s="315"/>
      <c r="G3220" s="315"/>
      <c r="H3220" s="153"/>
      <c r="I3220" s="12"/>
      <c r="J3220" s="12"/>
      <c r="K3220" s="12"/>
      <c r="L3220" s="379"/>
      <c r="M3220" s="380"/>
      <c r="N3220" s="380"/>
      <c r="O3220" s="12"/>
      <c r="P3220" s="381"/>
      <c r="Q3220" s="12"/>
      <c r="R3220" s="12"/>
      <c r="S3220" s="382"/>
      <c r="T3220" s="383"/>
      <c r="U3220" s="384"/>
      <c r="V3220" s="12"/>
      <c r="W3220" s="12"/>
    </row>
    <row r="3221" spans="1:23" x14ac:dyDescent="0.3">
      <c r="A3221" s="193"/>
      <c r="B3221" s="378"/>
      <c r="C3221" s="315"/>
      <c r="D3221" s="316"/>
      <c r="E3221" s="315"/>
      <c r="F3221" s="315"/>
      <c r="G3221" s="315"/>
      <c r="H3221" s="153"/>
      <c r="I3221" s="12"/>
      <c r="J3221" s="12"/>
      <c r="K3221" s="12"/>
      <c r="L3221" s="379"/>
      <c r="M3221" s="380"/>
      <c r="N3221" s="380"/>
      <c r="O3221" s="12"/>
      <c r="P3221" s="381"/>
      <c r="Q3221" s="12"/>
      <c r="R3221" s="12"/>
      <c r="S3221" s="382"/>
      <c r="T3221" s="383"/>
      <c r="U3221" s="384"/>
      <c r="V3221" s="12"/>
      <c r="W3221" s="12"/>
    </row>
    <row r="3222" spans="1:23" x14ac:dyDescent="0.3">
      <c r="A3222" s="193"/>
      <c r="B3222" s="378"/>
      <c r="C3222" s="315"/>
      <c r="D3222" s="316"/>
      <c r="E3222" s="315"/>
      <c r="F3222" s="315"/>
      <c r="G3222" s="315"/>
      <c r="H3222" s="153"/>
      <c r="I3222" s="12"/>
      <c r="J3222" s="12"/>
      <c r="K3222" s="12"/>
      <c r="L3222" s="379"/>
      <c r="M3222" s="380"/>
      <c r="N3222" s="380"/>
      <c r="O3222" s="12"/>
      <c r="P3222" s="381"/>
      <c r="Q3222" s="12"/>
      <c r="R3222" s="12"/>
      <c r="S3222" s="382"/>
      <c r="T3222" s="383"/>
      <c r="U3222" s="384"/>
      <c r="V3222" s="12"/>
      <c r="W3222" s="12"/>
    </row>
    <row r="3223" spans="1:23" x14ac:dyDescent="0.3">
      <c r="A3223" s="193"/>
      <c r="B3223" s="378"/>
      <c r="C3223" s="315"/>
      <c r="D3223" s="316"/>
      <c r="E3223" s="315"/>
      <c r="F3223" s="315"/>
      <c r="G3223" s="315"/>
      <c r="H3223" s="153"/>
      <c r="I3223" s="12"/>
      <c r="J3223" s="12"/>
      <c r="K3223" s="12"/>
      <c r="L3223" s="379"/>
      <c r="M3223" s="380"/>
      <c r="N3223" s="380"/>
      <c r="O3223" s="12"/>
      <c r="P3223" s="381"/>
      <c r="Q3223" s="12"/>
      <c r="R3223" s="12"/>
      <c r="S3223" s="382"/>
      <c r="T3223" s="383"/>
      <c r="U3223" s="384"/>
      <c r="V3223" s="12"/>
      <c r="W3223" s="12"/>
    </row>
    <row r="3224" spans="1:23" x14ac:dyDescent="0.3">
      <c r="A3224" s="193"/>
      <c r="B3224" s="378"/>
      <c r="C3224" s="315"/>
      <c r="D3224" s="316"/>
      <c r="E3224" s="315"/>
      <c r="F3224" s="315"/>
      <c r="G3224" s="315"/>
      <c r="H3224" s="153"/>
      <c r="I3224" s="12"/>
      <c r="J3224" s="12"/>
      <c r="K3224" s="12"/>
      <c r="L3224" s="379"/>
      <c r="M3224" s="380"/>
      <c r="N3224" s="380"/>
      <c r="O3224" s="12"/>
      <c r="P3224" s="381"/>
      <c r="Q3224" s="12"/>
      <c r="R3224" s="12"/>
      <c r="S3224" s="382"/>
      <c r="T3224" s="383"/>
      <c r="U3224" s="384"/>
      <c r="V3224" s="12"/>
      <c r="W3224" s="12"/>
    </row>
    <row r="3225" spans="1:23" x14ac:dyDescent="0.3">
      <c r="A3225" s="193"/>
      <c r="B3225" s="378"/>
      <c r="C3225" s="315"/>
      <c r="D3225" s="316"/>
      <c r="E3225" s="315"/>
      <c r="F3225" s="315"/>
      <c r="G3225" s="315"/>
      <c r="H3225" s="153"/>
      <c r="I3225" s="12"/>
      <c r="J3225" s="12"/>
      <c r="K3225" s="12"/>
      <c r="L3225" s="379"/>
      <c r="M3225" s="380"/>
      <c r="N3225" s="380"/>
      <c r="O3225" s="12"/>
      <c r="P3225" s="381"/>
      <c r="Q3225" s="12"/>
      <c r="R3225" s="12"/>
      <c r="S3225" s="382"/>
      <c r="T3225" s="383"/>
      <c r="U3225" s="384"/>
      <c r="V3225" s="12"/>
      <c r="W3225" s="12"/>
    </row>
    <row r="3226" spans="1:23" x14ac:dyDescent="0.3">
      <c r="A3226" s="193"/>
      <c r="B3226" s="378"/>
      <c r="C3226" s="315"/>
      <c r="D3226" s="316"/>
      <c r="E3226" s="315"/>
      <c r="F3226" s="315"/>
      <c r="G3226" s="315"/>
      <c r="H3226" s="153"/>
      <c r="I3226" s="12"/>
      <c r="J3226" s="12"/>
      <c r="K3226" s="12"/>
      <c r="L3226" s="379"/>
      <c r="M3226" s="380"/>
      <c r="N3226" s="380"/>
      <c r="O3226" s="12"/>
      <c r="P3226" s="381"/>
      <c r="Q3226" s="12"/>
      <c r="R3226" s="12"/>
      <c r="S3226" s="382"/>
      <c r="T3226" s="383"/>
      <c r="U3226" s="384"/>
      <c r="V3226" s="12"/>
      <c r="W3226" s="12"/>
    </row>
    <row r="3227" spans="1:23" x14ac:dyDescent="0.3">
      <c r="A3227" s="193"/>
      <c r="B3227" s="378"/>
      <c r="C3227" s="315"/>
      <c r="D3227" s="316"/>
      <c r="E3227" s="315"/>
      <c r="F3227" s="315"/>
      <c r="G3227" s="315"/>
      <c r="H3227" s="153"/>
      <c r="I3227" s="12"/>
      <c r="J3227" s="12"/>
      <c r="K3227" s="12"/>
      <c r="L3227" s="379"/>
      <c r="M3227" s="380"/>
      <c r="N3227" s="380"/>
      <c r="O3227" s="12"/>
      <c r="P3227" s="381"/>
      <c r="Q3227" s="12"/>
      <c r="R3227" s="12"/>
      <c r="S3227" s="382"/>
      <c r="T3227" s="383"/>
      <c r="U3227" s="384"/>
      <c r="V3227" s="12"/>
      <c r="W3227" s="12"/>
    </row>
    <row r="3228" spans="1:23" x14ac:dyDescent="0.3">
      <c r="A3228" s="193"/>
      <c r="B3228" s="378"/>
      <c r="C3228" s="315"/>
      <c r="D3228" s="316"/>
      <c r="E3228" s="315"/>
      <c r="F3228" s="315"/>
      <c r="G3228" s="315"/>
      <c r="H3228" s="153"/>
      <c r="I3228" s="12"/>
      <c r="J3228" s="12"/>
      <c r="K3228" s="12"/>
      <c r="L3228" s="379"/>
      <c r="M3228" s="380"/>
      <c r="N3228" s="380"/>
      <c r="O3228" s="12"/>
      <c r="P3228" s="381"/>
      <c r="Q3228" s="12"/>
      <c r="R3228" s="12"/>
      <c r="S3228" s="382"/>
      <c r="T3228" s="383"/>
      <c r="U3228" s="384"/>
      <c r="V3228" s="12"/>
      <c r="W3228" s="12"/>
    </row>
    <row r="3229" spans="1:23" x14ac:dyDescent="0.3">
      <c r="A3229" s="193"/>
      <c r="B3229" s="378"/>
      <c r="C3229" s="315"/>
      <c r="D3229" s="316"/>
      <c r="E3229" s="315"/>
      <c r="F3229" s="315"/>
      <c r="G3229" s="315"/>
      <c r="H3229" s="153"/>
      <c r="I3229" s="12"/>
      <c r="J3229" s="12"/>
      <c r="K3229" s="12"/>
      <c r="L3229" s="379"/>
      <c r="M3229" s="380"/>
      <c r="N3229" s="380"/>
      <c r="O3229" s="12"/>
      <c r="P3229" s="381"/>
      <c r="Q3229" s="12"/>
      <c r="R3229" s="12"/>
      <c r="S3229" s="382"/>
      <c r="T3229" s="383"/>
      <c r="U3229" s="384"/>
      <c r="V3229" s="12"/>
      <c r="W3229" s="12"/>
    </row>
    <row r="3230" spans="1:23" x14ac:dyDescent="0.3">
      <c r="A3230" s="193"/>
      <c r="B3230" s="378"/>
      <c r="C3230" s="315"/>
      <c r="D3230" s="316"/>
      <c r="E3230" s="315"/>
      <c r="F3230" s="315"/>
      <c r="G3230" s="315"/>
      <c r="H3230" s="153"/>
      <c r="I3230" s="12"/>
      <c r="J3230" s="12"/>
      <c r="K3230" s="12"/>
      <c r="L3230" s="379"/>
      <c r="M3230" s="380"/>
      <c r="N3230" s="380"/>
      <c r="O3230" s="12"/>
      <c r="P3230" s="381"/>
      <c r="Q3230" s="12"/>
      <c r="R3230" s="12"/>
      <c r="S3230" s="382"/>
      <c r="T3230" s="383"/>
      <c r="U3230" s="384"/>
      <c r="V3230" s="12"/>
      <c r="W3230" s="12"/>
    </row>
    <row r="3231" spans="1:23" x14ac:dyDescent="0.3">
      <c r="A3231" s="193"/>
      <c r="B3231" s="378"/>
      <c r="C3231" s="315"/>
      <c r="D3231" s="316"/>
      <c r="E3231" s="315"/>
      <c r="F3231" s="315"/>
      <c r="G3231" s="315"/>
      <c r="H3231" s="153"/>
      <c r="I3231" s="12"/>
      <c r="J3231" s="12"/>
      <c r="K3231" s="12"/>
      <c r="L3231" s="379"/>
      <c r="M3231" s="380"/>
      <c r="N3231" s="380"/>
      <c r="O3231" s="12"/>
      <c r="P3231" s="381"/>
      <c r="Q3231" s="12"/>
      <c r="R3231" s="12"/>
      <c r="S3231" s="382"/>
      <c r="T3231" s="383"/>
      <c r="U3231" s="384"/>
      <c r="V3231" s="12"/>
      <c r="W3231" s="12"/>
    </row>
    <row r="3232" spans="1:23" x14ac:dyDescent="0.3">
      <c r="A3232" s="193"/>
      <c r="B3232" s="378"/>
      <c r="C3232" s="315"/>
      <c r="D3232" s="316"/>
      <c r="E3232" s="315"/>
      <c r="F3232" s="315"/>
      <c r="G3232" s="315"/>
      <c r="H3232" s="153"/>
      <c r="I3232" s="12"/>
      <c r="J3232" s="12"/>
      <c r="K3232" s="12"/>
      <c r="L3232" s="379"/>
      <c r="M3232" s="380"/>
      <c r="N3232" s="380"/>
      <c r="O3232" s="12"/>
      <c r="P3232" s="381"/>
      <c r="Q3232" s="12"/>
      <c r="R3232" s="12"/>
      <c r="S3232" s="382"/>
      <c r="T3232" s="383"/>
      <c r="U3232" s="384"/>
      <c r="V3232" s="12"/>
      <c r="W3232" s="12"/>
    </row>
    <row r="3233" spans="1:23" x14ac:dyDescent="0.3">
      <c r="A3233" s="193"/>
      <c r="B3233" s="378"/>
      <c r="C3233" s="315"/>
      <c r="D3233" s="316"/>
      <c r="E3233" s="315"/>
      <c r="F3233" s="315"/>
      <c r="G3233" s="315"/>
      <c r="H3233" s="153"/>
      <c r="I3233" s="12"/>
      <c r="J3233" s="12"/>
      <c r="K3233" s="12"/>
      <c r="L3233" s="379"/>
      <c r="M3233" s="380"/>
      <c r="N3233" s="380"/>
      <c r="O3233" s="12"/>
      <c r="P3233" s="381"/>
      <c r="Q3233" s="12"/>
      <c r="R3233" s="12"/>
      <c r="S3233" s="382"/>
      <c r="T3233" s="383"/>
      <c r="U3233" s="384"/>
      <c r="V3233" s="12"/>
      <c r="W3233" s="12"/>
    </row>
    <row r="3234" spans="1:23" x14ac:dyDescent="0.3">
      <c r="A3234" s="193"/>
      <c r="B3234" s="378"/>
      <c r="C3234" s="315"/>
      <c r="D3234" s="316"/>
      <c r="E3234" s="315"/>
      <c r="F3234" s="315"/>
      <c r="G3234" s="315"/>
      <c r="H3234" s="153"/>
      <c r="I3234" s="12"/>
      <c r="J3234" s="12"/>
      <c r="K3234" s="12"/>
      <c r="L3234" s="379"/>
      <c r="M3234" s="380"/>
      <c r="N3234" s="380"/>
      <c r="O3234" s="12"/>
      <c r="P3234" s="381"/>
      <c r="Q3234" s="12"/>
      <c r="R3234" s="12"/>
      <c r="S3234" s="382"/>
      <c r="T3234" s="383"/>
      <c r="U3234" s="384"/>
      <c r="V3234" s="12"/>
      <c r="W3234" s="12"/>
    </row>
    <row r="3235" spans="1:23" x14ac:dyDescent="0.3">
      <c r="A3235" s="193"/>
      <c r="B3235" s="378"/>
      <c r="C3235" s="315"/>
      <c r="D3235" s="316"/>
      <c r="E3235" s="315"/>
      <c r="F3235" s="315"/>
      <c r="G3235" s="315"/>
      <c r="H3235" s="153"/>
      <c r="I3235" s="12"/>
      <c r="J3235" s="12"/>
      <c r="K3235" s="12"/>
      <c r="L3235" s="379"/>
      <c r="M3235" s="380"/>
      <c r="N3235" s="380"/>
      <c r="O3235" s="12"/>
      <c r="P3235" s="381"/>
      <c r="Q3235" s="12"/>
      <c r="R3235" s="12"/>
      <c r="S3235" s="382"/>
      <c r="T3235" s="383"/>
      <c r="U3235" s="384"/>
      <c r="V3235" s="12"/>
      <c r="W3235" s="12"/>
    </row>
    <row r="3236" spans="1:23" x14ac:dyDescent="0.3">
      <c r="A3236" s="193"/>
      <c r="B3236" s="378"/>
      <c r="C3236" s="315"/>
      <c r="D3236" s="316"/>
      <c r="E3236" s="315"/>
      <c r="F3236" s="315"/>
      <c r="G3236" s="315"/>
      <c r="H3236" s="153"/>
      <c r="I3236" s="12"/>
      <c r="J3236" s="12"/>
      <c r="K3236" s="12"/>
      <c r="L3236" s="379"/>
      <c r="M3236" s="380"/>
      <c r="N3236" s="380"/>
      <c r="O3236" s="12"/>
      <c r="P3236" s="381"/>
      <c r="Q3236" s="12"/>
      <c r="R3236" s="12"/>
      <c r="S3236" s="382"/>
      <c r="T3236" s="383"/>
      <c r="U3236" s="384"/>
      <c r="V3236" s="12"/>
      <c r="W3236" s="12"/>
    </row>
    <row r="3237" spans="1:23" x14ac:dyDescent="0.3">
      <c r="A3237" s="193"/>
      <c r="B3237" s="378"/>
      <c r="C3237" s="315"/>
      <c r="D3237" s="316"/>
      <c r="E3237" s="315"/>
      <c r="F3237" s="315"/>
      <c r="G3237" s="315"/>
      <c r="H3237" s="153"/>
      <c r="I3237" s="12"/>
      <c r="J3237" s="12"/>
      <c r="K3237" s="12"/>
      <c r="L3237" s="379"/>
      <c r="M3237" s="380"/>
      <c r="N3237" s="380"/>
      <c r="O3237" s="12"/>
      <c r="P3237" s="381"/>
      <c r="Q3237" s="12"/>
      <c r="R3237" s="12"/>
      <c r="S3237" s="382"/>
      <c r="T3237" s="383"/>
      <c r="U3237" s="384"/>
      <c r="V3237" s="12"/>
      <c r="W3237" s="12"/>
    </row>
    <row r="3238" spans="1:23" x14ac:dyDescent="0.3">
      <c r="A3238" s="193"/>
      <c r="B3238" s="378"/>
      <c r="C3238" s="315"/>
      <c r="D3238" s="316"/>
      <c r="E3238" s="315"/>
      <c r="F3238" s="315"/>
      <c r="G3238" s="315"/>
      <c r="H3238" s="153"/>
      <c r="I3238" s="12"/>
      <c r="J3238" s="12"/>
      <c r="K3238" s="12"/>
      <c r="L3238" s="379"/>
      <c r="M3238" s="380"/>
      <c r="N3238" s="380"/>
      <c r="O3238" s="12"/>
      <c r="P3238" s="381"/>
      <c r="Q3238" s="12"/>
      <c r="R3238" s="12"/>
      <c r="S3238" s="382"/>
      <c r="T3238" s="383"/>
      <c r="U3238" s="384"/>
      <c r="V3238" s="12"/>
      <c r="W3238" s="12"/>
    </row>
    <row r="3239" spans="1:23" x14ac:dyDescent="0.3">
      <c r="A3239" s="193"/>
      <c r="B3239" s="378"/>
      <c r="C3239" s="315"/>
      <c r="D3239" s="316"/>
      <c r="E3239" s="315"/>
      <c r="F3239" s="315"/>
      <c r="G3239" s="315"/>
      <c r="H3239" s="153"/>
      <c r="I3239" s="12"/>
      <c r="J3239" s="12"/>
      <c r="K3239" s="12"/>
      <c r="L3239" s="379"/>
      <c r="M3239" s="380"/>
      <c r="N3239" s="380"/>
      <c r="O3239" s="12"/>
      <c r="P3239" s="381"/>
      <c r="Q3239" s="12"/>
      <c r="R3239" s="12"/>
      <c r="S3239" s="382"/>
      <c r="T3239" s="383"/>
      <c r="U3239" s="384"/>
      <c r="V3239" s="12"/>
      <c r="W3239" s="12"/>
    </row>
    <row r="3240" spans="1:23" x14ac:dyDescent="0.3">
      <c r="A3240" s="193"/>
      <c r="B3240" s="378"/>
      <c r="C3240" s="315"/>
      <c r="D3240" s="316"/>
      <c r="E3240" s="315"/>
      <c r="F3240" s="315"/>
      <c r="G3240" s="315"/>
      <c r="H3240" s="153"/>
      <c r="I3240" s="12"/>
      <c r="J3240" s="12"/>
      <c r="K3240" s="12"/>
      <c r="L3240" s="379"/>
      <c r="M3240" s="380"/>
      <c r="N3240" s="380"/>
      <c r="O3240" s="12"/>
      <c r="P3240" s="381"/>
      <c r="Q3240" s="12"/>
      <c r="R3240" s="12"/>
      <c r="S3240" s="382"/>
      <c r="T3240" s="383"/>
      <c r="U3240" s="384"/>
      <c r="V3240" s="12"/>
      <c r="W3240" s="12"/>
    </row>
    <row r="3241" spans="1:23" x14ac:dyDescent="0.3">
      <c r="A3241" s="193"/>
      <c r="B3241" s="378"/>
      <c r="C3241" s="315"/>
      <c r="D3241" s="316"/>
      <c r="E3241" s="315"/>
      <c r="F3241" s="315"/>
      <c r="G3241" s="315"/>
      <c r="H3241" s="153"/>
      <c r="I3241" s="12"/>
      <c r="J3241" s="12"/>
      <c r="K3241" s="12"/>
      <c r="L3241" s="379"/>
      <c r="M3241" s="380"/>
      <c r="N3241" s="380"/>
      <c r="O3241" s="12"/>
      <c r="P3241" s="381"/>
      <c r="Q3241" s="12"/>
      <c r="R3241" s="12"/>
      <c r="S3241" s="382"/>
      <c r="T3241" s="383"/>
      <c r="U3241" s="384"/>
      <c r="V3241" s="12"/>
      <c r="W3241" s="12"/>
    </row>
    <row r="3242" spans="1:23" x14ac:dyDescent="0.3">
      <c r="A3242" s="193"/>
      <c r="B3242" s="378"/>
      <c r="C3242" s="315"/>
      <c r="D3242" s="316"/>
      <c r="E3242" s="315"/>
      <c r="F3242" s="315"/>
      <c r="G3242" s="315"/>
      <c r="H3242" s="153"/>
      <c r="I3242" s="12"/>
      <c r="J3242" s="12"/>
      <c r="K3242" s="12"/>
      <c r="L3242" s="379"/>
      <c r="M3242" s="380"/>
      <c r="N3242" s="380"/>
      <c r="O3242" s="12"/>
      <c r="P3242" s="381"/>
      <c r="Q3242" s="12"/>
      <c r="R3242" s="12"/>
      <c r="S3242" s="382"/>
      <c r="T3242" s="383"/>
      <c r="U3242" s="384"/>
      <c r="V3242" s="12"/>
      <c r="W3242" s="12"/>
    </row>
    <row r="3243" spans="1:23" x14ac:dyDescent="0.3">
      <c r="A3243" s="193"/>
      <c r="B3243" s="378"/>
      <c r="C3243" s="315"/>
      <c r="D3243" s="316"/>
      <c r="E3243" s="315"/>
      <c r="F3243" s="315"/>
      <c r="G3243" s="315"/>
      <c r="H3243" s="153"/>
      <c r="I3243" s="12"/>
      <c r="J3243" s="12"/>
      <c r="K3243" s="12"/>
      <c r="L3243" s="379"/>
      <c r="M3243" s="380"/>
      <c r="N3243" s="380"/>
      <c r="O3243" s="12"/>
      <c r="P3243" s="381"/>
      <c r="Q3243" s="12"/>
      <c r="R3243" s="12"/>
      <c r="S3243" s="382"/>
      <c r="T3243" s="383"/>
      <c r="U3243" s="384"/>
      <c r="V3243" s="12"/>
      <c r="W3243" s="12"/>
    </row>
    <row r="3244" spans="1:23" x14ac:dyDescent="0.3">
      <c r="A3244" s="193"/>
      <c r="B3244" s="378"/>
      <c r="C3244" s="315"/>
      <c r="D3244" s="316"/>
      <c r="E3244" s="315"/>
      <c r="F3244" s="315"/>
      <c r="G3244" s="315"/>
      <c r="H3244" s="153"/>
      <c r="I3244" s="12"/>
      <c r="J3244" s="12"/>
      <c r="K3244" s="12"/>
      <c r="L3244" s="379"/>
      <c r="M3244" s="380"/>
      <c r="N3244" s="380"/>
      <c r="O3244" s="12"/>
      <c r="P3244" s="381"/>
      <c r="Q3244" s="12"/>
      <c r="R3244" s="12"/>
      <c r="S3244" s="382"/>
      <c r="T3244" s="383"/>
      <c r="U3244" s="384"/>
      <c r="V3244" s="12"/>
      <c r="W3244" s="12"/>
    </row>
    <row r="3245" spans="1:23" x14ac:dyDescent="0.3">
      <c r="A3245" s="193"/>
      <c r="B3245" s="378"/>
      <c r="C3245" s="315"/>
      <c r="D3245" s="316"/>
      <c r="E3245" s="315"/>
      <c r="F3245" s="315"/>
      <c r="G3245" s="315"/>
      <c r="H3245" s="153"/>
      <c r="I3245" s="12"/>
      <c r="J3245" s="12"/>
      <c r="K3245" s="12"/>
      <c r="L3245" s="379"/>
      <c r="M3245" s="380"/>
      <c r="N3245" s="380"/>
      <c r="O3245" s="12"/>
      <c r="P3245" s="381"/>
      <c r="Q3245" s="12"/>
      <c r="R3245" s="12"/>
      <c r="S3245" s="382"/>
      <c r="T3245" s="383"/>
      <c r="U3245" s="384"/>
      <c r="V3245" s="12"/>
      <c r="W3245" s="12"/>
    </row>
    <row r="3246" spans="1:23" x14ac:dyDescent="0.3">
      <c r="A3246" s="193"/>
      <c r="B3246" s="378"/>
      <c r="C3246" s="315"/>
      <c r="D3246" s="316"/>
      <c r="E3246" s="315"/>
      <c r="F3246" s="315"/>
      <c r="G3246" s="315"/>
      <c r="H3246" s="153"/>
      <c r="I3246" s="12"/>
      <c r="J3246" s="12"/>
      <c r="K3246" s="12"/>
      <c r="L3246" s="379"/>
      <c r="M3246" s="380"/>
      <c r="N3246" s="380"/>
      <c r="O3246" s="12"/>
      <c r="P3246" s="381"/>
      <c r="Q3246" s="12"/>
      <c r="R3246" s="12"/>
      <c r="S3246" s="382"/>
      <c r="T3246" s="383"/>
      <c r="U3246" s="384"/>
      <c r="V3246" s="12"/>
      <c r="W3246" s="12"/>
    </row>
    <row r="3247" spans="1:23" x14ac:dyDescent="0.3">
      <c r="A3247" s="193"/>
      <c r="B3247" s="378"/>
      <c r="C3247" s="315"/>
      <c r="D3247" s="316"/>
      <c r="E3247" s="315"/>
      <c r="F3247" s="315"/>
      <c r="G3247" s="315"/>
      <c r="H3247" s="153"/>
      <c r="I3247" s="12"/>
      <c r="J3247" s="12"/>
      <c r="K3247" s="12"/>
      <c r="L3247" s="379"/>
      <c r="M3247" s="380"/>
      <c r="N3247" s="380"/>
      <c r="O3247" s="12"/>
      <c r="P3247" s="381"/>
      <c r="Q3247" s="12"/>
      <c r="R3247" s="12"/>
      <c r="S3247" s="382"/>
      <c r="T3247" s="383"/>
      <c r="U3247" s="384"/>
      <c r="V3247" s="12"/>
      <c r="W3247" s="12"/>
    </row>
    <row r="3248" spans="1:23" x14ac:dyDescent="0.3">
      <c r="A3248" s="193"/>
      <c r="B3248" s="378"/>
      <c r="C3248" s="315"/>
      <c r="D3248" s="316"/>
      <c r="E3248" s="315"/>
      <c r="F3248" s="315"/>
      <c r="G3248" s="315"/>
      <c r="H3248" s="153"/>
      <c r="I3248" s="12"/>
      <c r="J3248" s="12"/>
      <c r="K3248" s="12"/>
      <c r="L3248" s="379"/>
      <c r="M3248" s="380"/>
      <c r="N3248" s="380"/>
      <c r="O3248" s="12"/>
      <c r="P3248" s="381"/>
      <c r="Q3248" s="12"/>
      <c r="R3248" s="12"/>
      <c r="S3248" s="382"/>
      <c r="T3248" s="383"/>
      <c r="U3248" s="384"/>
      <c r="V3248" s="12"/>
      <c r="W3248" s="12"/>
    </row>
    <row r="3249" spans="1:23" x14ac:dyDescent="0.3">
      <c r="A3249" s="193"/>
      <c r="B3249" s="378"/>
      <c r="C3249" s="315"/>
      <c r="D3249" s="316"/>
      <c r="E3249" s="315"/>
      <c r="F3249" s="315"/>
      <c r="G3249" s="315"/>
      <c r="H3249" s="153"/>
      <c r="I3249" s="12"/>
      <c r="J3249" s="12"/>
      <c r="K3249" s="12"/>
      <c r="L3249" s="379"/>
      <c r="M3249" s="380"/>
      <c r="N3249" s="380"/>
      <c r="O3249" s="12"/>
      <c r="P3249" s="381"/>
      <c r="Q3249" s="12"/>
      <c r="R3249" s="12"/>
      <c r="S3249" s="382"/>
      <c r="T3249" s="383"/>
      <c r="U3249" s="384"/>
      <c r="V3249" s="12"/>
      <c r="W3249" s="12"/>
    </row>
    <row r="3250" spans="1:23" x14ac:dyDescent="0.3">
      <c r="A3250" s="193"/>
      <c r="B3250" s="378"/>
      <c r="C3250" s="315"/>
      <c r="D3250" s="316"/>
      <c r="E3250" s="315"/>
      <c r="F3250" s="315"/>
      <c r="G3250" s="315"/>
      <c r="H3250" s="153"/>
      <c r="I3250" s="12"/>
      <c r="J3250" s="12"/>
      <c r="K3250" s="12"/>
      <c r="L3250" s="379"/>
      <c r="M3250" s="380"/>
      <c r="N3250" s="380"/>
      <c r="O3250" s="12"/>
      <c r="P3250" s="381"/>
      <c r="Q3250" s="12"/>
      <c r="R3250" s="12"/>
      <c r="S3250" s="382"/>
      <c r="T3250" s="383"/>
      <c r="U3250" s="384"/>
      <c r="V3250" s="12"/>
      <c r="W3250" s="12"/>
    </row>
    <row r="3251" spans="1:23" x14ac:dyDescent="0.3">
      <c r="A3251" s="193"/>
      <c r="B3251" s="378"/>
      <c r="C3251" s="315"/>
      <c r="D3251" s="316"/>
      <c r="E3251" s="315"/>
      <c r="F3251" s="315"/>
      <c r="G3251" s="315"/>
      <c r="H3251" s="153"/>
      <c r="I3251" s="12"/>
      <c r="J3251" s="12"/>
      <c r="K3251" s="12"/>
      <c r="L3251" s="379"/>
      <c r="M3251" s="380"/>
      <c r="N3251" s="380"/>
      <c r="O3251" s="12"/>
      <c r="P3251" s="381"/>
      <c r="Q3251" s="12"/>
      <c r="R3251" s="12"/>
      <c r="S3251" s="382"/>
      <c r="T3251" s="383"/>
      <c r="U3251" s="384"/>
      <c r="V3251" s="12"/>
      <c r="W3251" s="12"/>
    </row>
    <row r="3252" spans="1:23" x14ac:dyDescent="0.3">
      <c r="A3252" s="193"/>
      <c r="B3252" s="378"/>
      <c r="C3252" s="315"/>
      <c r="D3252" s="316"/>
      <c r="E3252" s="315"/>
      <c r="F3252" s="315"/>
      <c r="G3252" s="315"/>
      <c r="H3252" s="153"/>
      <c r="I3252" s="12"/>
      <c r="J3252" s="12"/>
      <c r="K3252" s="12"/>
      <c r="L3252" s="379"/>
      <c r="M3252" s="380"/>
      <c r="N3252" s="380"/>
      <c r="O3252" s="12"/>
      <c r="P3252" s="381"/>
      <c r="Q3252" s="12"/>
      <c r="R3252" s="12"/>
      <c r="S3252" s="382"/>
      <c r="T3252" s="383"/>
      <c r="U3252" s="384"/>
      <c r="V3252" s="12"/>
      <c r="W3252" s="12"/>
    </row>
    <row r="3253" spans="1:23" x14ac:dyDescent="0.3">
      <c r="A3253" s="193"/>
      <c r="B3253" s="378"/>
      <c r="C3253" s="315"/>
      <c r="D3253" s="316"/>
      <c r="E3253" s="315"/>
      <c r="F3253" s="315"/>
      <c r="G3253" s="315"/>
      <c r="H3253" s="153"/>
      <c r="I3253" s="12"/>
      <c r="J3253" s="12"/>
      <c r="K3253" s="12"/>
      <c r="L3253" s="379"/>
      <c r="M3253" s="380"/>
      <c r="N3253" s="380"/>
      <c r="O3253" s="12"/>
      <c r="P3253" s="381"/>
      <c r="Q3253" s="12"/>
      <c r="R3253" s="12"/>
      <c r="S3253" s="382"/>
      <c r="T3253" s="383"/>
      <c r="U3253" s="384"/>
      <c r="V3253" s="12"/>
      <c r="W3253" s="12"/>
    </row>
    <row r="3254" spans="1:23" x14ac:dyDescent="0.3">
      <c r="A3254" s="193"/>
      <c r="B3254" s="378"/>
      <c r="C3254" s="315"/>
      <c r="D3254" s="316"/>
      <c r="E3254" s="315"/>
      <c r="F3254" s="315"/>
      <c r="G3254" s="315"/>
      <c r="H3254" s="153"/>
      <c r="I3254" s="12"/>
      <c r="J3254" s="12"/>
      <c r="K3254" s="12"/>
      <c r="L3254" s="379"/>
      <c r="M3254" s="380"/>
      <c r="N3254" s="380"/>
      <c r="O3254" s="12"/>
      <c r="P3254" s="381"/>
      <c r="Q3254" s="12"/>
      <c r="R3254" s="12"/>
      <c r="S3254" s="382"/>
      <c r="T3254" s="383"/>
      <c r="U3254" s="384"/>
      <c r="V3254" s="12"/>
      <c r="W3254" s="12"/>
    </row>
    <row r="3255" spans="1:23" x14ac:dyDescent="0.3">
      <c r="A3255" s="193"/>
      <c r="B3255" s="378"/>
      <c r="C3255" s="315"/>
      <c r="D3255" s="316"/>
      <c r="E3255" s="315"/>
      <c r="F3255" s="315"/>
      <c r="G3255" s="315"/>
      <c r="H3255" s="153"/>
      <c r="I3255" s="12"/>
      <c r="J3255" s="12"/>
      <c r="K3255" s="12"/>
      <c r="L3255" s="379"/>
      <c r="M3255" s="380"/>
      <c r="N3255" s="380"/>
      <c r="O3255" s="12"/>
      <c r="P3255" s="381"/>
      <c r="Q3255" s="12"/>
      <c r="R3255" s="12"/>
      <c r="S3255" s="382"/>
      <c r="T3255" s="383"/>
      <c r="U3255" s="384"/>
      <c r="V3255" s="12"/>
      <c r="W3255" s="12"/>
    </row>
    <row r="3256" spans="1:23" x14ac:dyDescent="0.3">
      <c r="A3256" s="193"/>
      <c r="B3256" s="378"/>
      <c r="C3256" s="315"/>
      <c r="D3256" s="316"/>
      <c r="E3256" s="315"/>
      <c r="F3256" s="315"/>
      <c r="G3256" s="315"/>
      <c r="H3256" s="153"/>
      <c r="I3256" s="12"/>
      <c r="J3256" s="12"/>
      <c r="K3256" s="12"/>
      <c r="L3256" s="379"/>
      <c r="M3256" s="380"/>
      <c r="N3256" s="380"/>
      <c r="O3256" s="12"/>
      <c r="P3256" s="381"/>
      <c r="Q3256" s="12"/>
      <c r="R3256" s="12"/>
      <c r="S3256" s="382"/>
      <c r="T3256" s="383"/>
      <c r="U3256" s="384"/>
      <c r="V3256" s="12"/>
      <c r="W3256" s="12"/>
    </row>
    <row r="3257" spans="1:23" x14ac:dyDescent="0.3">
      <c r="A3257" s="193"/>
      <c r="B3257" s="378"/>
      <c r="C3257" s="315"/>
      <c r="D3257" s="316"/>
      <c r="E3257" s="315"/>
      <c r="F3257" s="315"/>
      <c r="G3257" s="315"/>
      <c r="H3257" s="153"/>
      <c r="I3257" s="12"/>
      <c r="J3257" s="12"/>
      <c r="K3257" s="12"/>
      <c r="L3257" s="379"/>
      <c r="M3257" s="380"/>
      <c r="N3257" s="380"/>
      <c r="O3257" s="12"/>
      <c r="P3257" s="381"/>
      <c r="Q3257" s="12"/>
      <c r="R3257" s="12"/>
      <c r="S3257" s="382"/>
      <c r="T3257" s="383"/>
      <c r="U3257" s="384"/>
      <c r="V3257" s="12"/>
      <c r="W3257" s="12"/>
    </row>
    <row r="3258" spans="1:23" x14ac:dyDescent="0.3">
      <c r="A3258" s="193"/>
      <c r="B3258" s="378"/>
      <c r="C3258" s="315"/>
      <c r="D3258" s="316"/>
      <c r="E3258" s="315"/>
      <c r="F3258" s="315"/>
      <c r="G3258" s="315"/>
      <c r="H3258" s="153"/>
      <c r="I3258" s="12"/>
      <c r="J3258" s="12"/>
      <c r="K3258" s="12"/>
      <c r="L3258" s="379"/>
      <c r="M3258" s="380"/>
      <c r="N3258" s="380"/>
      <c r="O3258" s="12"/>
      <c r="P3258" s="381"/>
      <c r="Q3258" s="12"/>
      <c r="R3258" s="12"/>
      <c r="S3258" s="382"/>
      <c r="T3258" s="383"/>
      <c r="U3258" s="384"/>
      <c r="V3258" s="12"/>
      <c r="W3258" s="12"/>
    </row>
    <row r="3259" spans="1:23" x14ac:dyDescent="0.3">
      <c r="A3259" s="193"/>
      <c r="B3259" s="378"/>
      <c r="C3259" s="315"/>
      <c r="D3259" s="316"/>
      <c r="E3259" s="315"/>
      <c r="F3259" s="315"/>
      <c r="G3259" s="315"/>
      <c r="H3259" s="153"/>
      <c r="I3259" s="12"/>
      <c r="J3259" s="12"/>
      <c r="K3259" s="12"/>
      <c r="L3259" s="379"/>
      <c r="M3259" s="380"/>
      <c r="N3259" s="380"/>
      <c r="O3259" s="12"/>
      <c r="P3259" s="381"/>
      <c r="Q3259" s="12"/>
      <c r="R3259" s="12"/>
      <c r="S3259" s="382"/>
      <c r="T3259" s="383"/>
      <c r="U3259" s="384"/>
      <c r="V3259" s="12"/>
      <c r="W3259" s="12"/>
    </row>
    <row r="3260" spans="1:23" x14ac:dyDescent="0.3">
      <c r="A3260" s="193"/>
      <c r="B3260" s="378"/>
      <c r="C3260" s="315"/>
      <c r="D3260" s="316"/>
      <c r="E3260" s="315"/>
      <c r="F3260" s="315"/>
      <c r="G3260" s="315"/>
      <c r="H3260" s="153"/>
      <c r="I3260" s="12"/>
      <c r="J3260" s="12"/>
      <c r="K3260" s="12"/>
      <c r="L3260" s="379"/>
      <c r="M3260" s="380"/>
      <c r="N3260" s="380"/>
      <c r="O3260" s="12"/>
      <c r="P3260" s="381"/>
      <c r="Q3260" s="12"/>
      <c r="R3260" s="12"/>
      <c r="S3260" s="382"/>
      <c r="T3260" s="383"/>
      <c r="U3260" s="384"/>
      <c r="V3260" s="12"/>
      <c r="W3260" s="12"/>
    </row>
    <row r="3261" spans="1:23" x14ac:dyDescent="0.3">
      <c r="A3261" s="193"/>
      <c r="B3261" s="378"/>
      <c r="C3261" s="315"/>
      <c r="D3261" s="316"/>
      <c r="E3261" s="315"/>
      <c r="F3261" s="315"/>
      <c r="G3261" s="315"/>
      <c r="H3261" s="153"/>
      <c r="I3261" s="12"/>
      <c r="J3261" s="12"/>
      <c r="K3261" s="12"/>
      <c r="L3261" s="379"/>
      <c r="M3261" s="380"/>
      <c r="N3261" s="380"/>
      <c r="O3261" s="12"/>
      <c r="P3261" s="381"/>
      <c r="Q3261" s="12"/>
      <c r="R3261" s="12"/>
      <c r="S3261" s="382"/>
      <c r="T3261" s="383"/>
      <c r="U3261" s="384"/>
      <c r="V3261" s="12"/>
      <c r="W3261" s="12"/>
    </row>
    <row r="3262" spans="1:23" x14ac:dyDescent="0.3">
      <c r="A3262" s="193"/>
      <c r="B3262" s="378"/>
      <c r="C3262" s="315"/>
      <c r="D3262" s="316"/>
      <c r="E3262" s="315"/>
      <c r="F3262" s="315"/>
      <c r="G3262" s="315"/>
      <c r="H3262" s="153"/>
      <c r="I3262" s="12"/>
      <c r="J3262" s="12"/>
      <c r="K3262" s="12"/>
      <c r="L3262" s="379"/>
      <c r="M3262" s="380"/>
      <c r="N3262" s="380"/>
      <c r="O3262" s="12"/>
      <c r="P3262" s="381"/>
      <c r="Q3262" s="12"/>
      <c r="R3262" s="12"/>
      <c r="S3262" s="382"/>
      <c r="T3262" s="383"/>
      <c r="U3262" s="384"/>
      <c r="V3262" s="12"/>
      <c r="W3262" s="12"/>
    </row>
    <row r="3263" spans="1:23" x14ac:dyDescent="0.3">
      <c r="A3263" s="193"/>
      <c r="B3263" s="378"/>
      <c r="C3263" s="315"/>
      <c r="D3263" s="316"/>
      <c r="E3263" s="315"/>
      <c r="F3263" s="315"/>
      <c r="G3263" s="315"/>
      <c r="H3263" s="153"/>
      <c r="I3263" s="12"/>
      <c r="J3263" s="12"/>
      <c r="K3263" s="12"/>
      <c r="L3263" s="379"/>
      <c r="M3263" s="380"/>
      <c r="N3263" s="380"/>
      <c r="O3263" s="12"/>
      <c r="P3263" s="381"/>
      <c r="Q3263" s="12"/>
      <c r="R3263" s="12"/>
      <c r="S3263" s="382"/>
      <c r="T3263" s="383"/>
      <c r="U3263" s="384"/>
      <c r="V3263" s="12"/>
      <c r="W3263" s="12"/>
    </row>
    <row r="3264" spans="1:23" x14ac:dyDescent="0.3">
      <c r="A3264" s="193"/>
      <c r="B3264" s="378"/>
      <c r="C3264" s="315"/>
      <c r="D3264" s="316"/>
      <c r="E3264" s="315"/>
      <c r="F3264" s="315"/>
      <c r="G3264" s="315"/>
      <c r="H3264" s="153"/>
      <c r="I3264" s="12"/>
      <c r="J3264" s="12"/>
      <c r="K3264" s="12"/>
      <c r="L3264" s="379"/>
      <c r="M3264" s="380"/>
      <c r="N3264" s="380"/>
      <c r="O3264" s="12"/>
      <c r="P3264" s="381"/>
      <c r="Q3264" s="12"/>
      <c r="R3264" s="12"/>
      <c r="S3264" s="382"/>
      <c r="T3264" s="383"/>
      <c r="U3264" s="384"/>
      <c r="V3264" s="12"/>
      <c r="W3264" s="12"/>
    </row>
    <row r="3265" spans="1:23" x14ac:dyDescent="0.3">
      <c r="A3265" s="193"/>
      <c r="B3265" s="378"/>
      <c r="C3265" s="315"/>
      <c r="D3265" s="316"/>
      <c r="E3265" s="315"/>
      <c r="F3265" s="315"/>
      <c r="G3265" s="315"/>
      <c r="H3265" s="153"/>
      <c r="I3265" s="12"/>
      <c r="J3265" s="12"/>
      <c r="K3265" s="12"/>
      <c r="L3265" s="379"/>
      <c r="M3265" s="380"/>
      <c r="N3265" s="380"/>
      <c r="O3265" s="12"/>
      <c r="P3265" s="381"/>
      <c r="Q3265" s="12"/>
      <c r="R3265" s="12"/>
      <c r="S3265" s="382"/>
      <c r="T3265" s="383"/>
      <c r="U3265" s="384"/>
      <c r="V3265" s="12"/>
      <c r="W3265" s="12"/>
    </row>
    <row r="3266" spans="1:23" x14ac:dyDescent="0.3">
      <c r="A3266" s="193"/>
      <c r="B3266" s="378"/>
      <c r="C3266" s="315"/>
      <c r="D3266" s="316"/>
      <c r="E3266" s="315"/>
      <c r="F3266" s="315"/>
      <c r="G3266" s="315"/>
      <c r="H3266" s="153"/>
      <c r="I3266" s="12"/>
      <c r="J3266" s="12"/>
      <c r="K3266" s="12"/>
      <c r="L3266" s="379"/>
      <c r="M3266" s="380"/>
      <c r="N3266" s="380"/>
      <c r="O3266" s="12"/>
      <c r="P3266" s="381"/>
      <c r="Q3266" s="12"/>
      <c r="R3266" s="12"/>
      <c r="S3266" s="382"/>
      <c r="T3266" s="383"/>
      <c r="U3266" s="384"/>
      <c r="V3266" s="12"/>
      <c r="W3266" s="12"/>
    </row>
    <row r="3267" spans="1:23" x14ac:dyDescent="0.3">
      <c r="A3267" s="193"/>
      <c r="B3267" s="378"/>
      <c r="C3267" s="315"/>
      <c r="D3267" s="316"/>
      <c r="E3267" s="315"/>
      <c r="F3267" s="315"/>
      <c r="G3267" s="315"/>
      <c r="H3267" s="153"/>
      <c r="I3267" s="12"/>
      <c r="J3267" s="12"/>
      <c r="K3267" s="12"/>
      <c r="L3267" s="379"/>
      <c r="M3267" s="380"/>
      <c r="N3267" s="380"/>
      <c r="O3267" s="12"/>
      <c r="P3267" s="381"/>
      <c r="Q3267" s="12"/>
      <c r="R3267" s="12"/>
      <c r="S3267" s="382"/>
      <c r="T3267" s="383"/>
      <c r="U3267" s="384"/>
      <c r="V3267" s="12"/>
      <c r="W3267" s="12"/>
    </row>
    <row r="3268" spans="1:23" x14ac:dyDescent="0.3">
      <c r="A3268" s="193"/>
      <c r="B3268" s="378"/>
      <c r="C3268" s="315"/>
      <c r="D3268" s="316"/>
      <c r="E3268" s="315"/>
      <c r="F3268" s="315"/>
      <c r="G3268" s="315"/>
      <c r="H3268" s="153"/>
      <c r="I3268" s="12"/>
      <c r="J3268" s="12"/>
      <c r="K3268" s="12"/>
      <c r="L3268" s="379"/>
      <c r="M3268" s="380"/>
      <c r="N3268" s="380"/>
      <c r="O3268" s="12"/>
      <c r="P3268" s="381"/>
      <c r="Q3268" s="12"/>
      <c r="R3268" s="12"/>
      <c r="S3268" s="382"/>
      <c r="T3268" s="383"/>
      <c r="U3268" s="384"/>
      <c r="V3268" s="12"/>
      <c r="W3268" s="12"/>
    </row>
    <row r="3269" spans="1:23" x14ac:dyDescent="0.3">
      <c r="A3269" s="193"/>
      <c r="B3269" s="378"/>
      <c r="C3269" s="315"/>
      <c r="D3269" s="316"/>
      <c r="E3269" s="315"/>
      <c r="F3269" s="315"/>
      <c r="G3269" s="315"/>
      <c r="H3269" s="153"/>
      <c r="I3269" s="12"/>
      <c r="J3269" s="12"/>
      <c r="K3269" s="12"/>
      <c r="L3269" s="379"/>
      <c r="M3269" s="380"/>
      <c r="N3269" s="380"/>
      <c r="O3269" s="12"/>
      <c r="P3269" s="381"/>
      <c r="Q3269" s="12"/>
      <c r="R3269" s="12"/>
      <c r="S3269" s="382"/>
      <c r="T3269" s="383"/>
      <c r="U3269" s="384"/>
      <c r="V3269" s="12"/>
      <c r="W3269" s="12"/>
    </row>
    <row r="3270" spans="1:23" x14ac:dyDescent="0.3">
      <c r="A3270" s="193"/>
      <c r="B3270" s="378"/>
      <c r="C3270" s="315"/>
      <c r="D3270" s="316"/>
      <c r="E3270" s="315"/>
      <c r="F3270" s="315"/>
      <c r="G3270" s="315"/>
      <c r="H3270" s="153"/>
      <c r="I3270" s="12"/>
      <c r="J3270" s="12"/>
      <c r="K3270" s="12"/>
      <c r="L3270" s="379"/>
      <c r="M3270" s="380"/>
      <c r="N3270" s="380"/>
      <c r="O3270" s="12"/>
      <c r="P3270" s="381"/>
      <c r="Q3270" s="12"/>
      <c r="R3270" s="12"/>
      <c r="S3270" s="382"/>
      <c r="T3270" s="383"/>
      <c r="U3270" s="384"/>
      <c r="V3270" s="12"/>
      <c r="W3270" s="12"/>
    </row>
    <row r="3271" spans="1:23" x14ac:dyDescent="0.3">
      <c r="A3271" s="193"/>
      <c r="B3271" s="378"/>
      <c r="C3271" s="315"/>
      <c r="D3271" s="316"/>
      <c r="E3271" s="315"/>
      <c r="F3271" s="315"/>
      <c r="G3271" s="315"/>
      <c r="H3271" s="153"/>
      <c r="I3271" s="12"/>
      <c r="J3271" s="12"/>
      <c r="K3271" s="12"/>
      <c r="L3271" s="379"/>
      <c r="M3271" s="380"/>
      <c r="N3271" s="380"/>
      <c r="O3271" s="12"/>
      <c r="P3271" s="381"/>
      <c r="Q3271" s="12"/>
      <c r="R3271" s="12"/>
      <c r="S3271" s="382"/>
      <c r="T3271" s="383"/>
      <c r="U3271" s="384"/>
      <c r="V3271" s="12"/>
      <c r="W3271" s="12"/>
    </row>
    <row r="3272" spans="1:23" x14ac:dyDescent="0.3">
      <c r="A3272" s="193"/>
      <c r="B3272" s="378"/>
      <c r="C3272" s="315"/>
      <c r="D3272" s="316"/>
      <c r="E3272" s="315"/>
      <c r="F3272" s="315"/>
      <c r="G3272" s="315"/>
      <c r="H3272" s="153"/>
      <c r="I3272" s="12"/>
      <c r="J3272" s="12"/>
      <c r="K3272" s="12"/>
      <c r="L3272" s="379"/>
      <c r="M3272" s="380"/>
      <c r="N3272" s="380"/>
      <c r="O3272" s="12"/>
      <c r="P3272" s="381"/>
      <c r="Q3272" s="12"/>
      <c r="R3272" s="12"/>
      <c r="S3272" s="382"/>
      <c r="T3272" s="383"/>
      <c r="U3272" s="384"/>
      <c r="V3272" s="12"/>
      <c r="W3272" s="12"/>
    </row>
    <row r="3273" spans="1:23" x14ac:dyDescent="0.3">
      <c r="A3273" s="193"/>
      <c r="B3273" s="378"/>
      <c r="C3273" s="315"/>
      <c r="D3273" s="316"/>
      <c r="E3273" s="315"/>
      <c r="F3273" s="315"/>
      <c r="G3273" s="315"/>
      <c r="H3273" s="153"/>
      <c r="I3273" s="12"/>
      <c r="J3273" s="12"/>
      <c r="K3273" s="12"/>
      <c r="L3273" s="379"/>
      <c r="M3273" s="380"/>
      <c r="N3273" s="380"/>
      <c r="O3273" s="12"/>
      <c r="P3273" s="381"/>
      <c r="Q3273" s="12"/>
      <c r="R3273" s="12"/>
      <c r="S3273" s="382"/>
      <c r="T3273" s="383"/>
      <c r="U3273" s="384"/>
      <c r="V3273" s="12"/>
      <c r="W3273" s="12"/>
    </row>
    <row r="3274" spans="1:23" x14ac:dyDescent="0.3">
      <c r="A3274" s="193"/>
      <c r="B3274" s="378"/>
      <c r="C3274" s="315"/>
      <c r="D3274" s="316"/>
      <c r="E3274" s="315"/>
      <c r="F3274" s="315"/>
      <c r="G3274" s="315"/>
      <c r="H3274" s="153"/>
      <c r="I3274" s="12"/>
      <c r="J3274" s="12"/>
      <c r="K3274" s="12"/>
      <c r="L3274" s="379"/>
      <c r="M3274" s="380"/>
      <c r="N3274" s="380"/>
      <c r="O3274" s="12"/>
      <c r="P3274" s="381"/>
      <c r="Q3274" s="12"/>
      <c r="R3274" s="12"/>
      <c r="S3274" s="382"/>
      <c r="T3274" s="383"/>
      <c r="U3274" s="384"/>
      <c r="V3274" s="12"/>
      <c r="W3274" s="12"/>
    </row>
    <row r="3275" spans="1:23" x14ac:dyDescent="0.3">
      <c r="A3275" s="193"/>
      <c r="B3275" s="378"/>
      <c r="C3275" s="315"/>
      <c r="D3275" s="316"/>
      <c r="E3275" s="315"/>
      <c r="F3275" s="315"/>
      <c r="G3275" s="315"/>
      <c r="H3275" s="153"/>
      <c r="I3275" s="12"/>
      <c r="J3275" s="12"/>
      <c r="K3275" s="12"/>
      <c r="L3275" s="379"/>
      <c r="M3275" s="380"/>
      <c r="N3275" s="380"/>
      <c r="O3275" s="12"/>
      <c r="P3275" s="381"/>
      <c r="Q3275" s="12"/>
      <c r="R3275" s="12"/>
      <c r="S3275" s="382"/>
      <c r="T3275" s="383"/>
      <c r="U3275" s="384"/>
      <c r="V3275" s="12"/>
      <c r="W3275" s="12"/>
    </row>
    <row r="3276" spans="1:23" x14ac:dyDescent="0.3">
      <c r="A3276" s="193"/>
      <c r="B3276" s="378"/>
      <c r="C3276" s="315"/>
      <c r="D3276" s="316"/>
      <c r="E3276" s="315"/>
      <c r="F3276" s="315"/>
      <c r="G3276" s="315"/>
      <c r="H3276" s="153"/>
      <c r="I3276" s="12"/>
      <c r="J3276" s="12"/>
      <c r="K3276" s="12"/>
      <c r="L3276" s="379"/>
      <c r="M3276" s="380"/>
      <c r="N3276" s="380"/>
      <c r="O3276" s="12"/>
      <c r="P3276" s="381"/>
      <c r="Q3276" s="12"/>
      <c r="R3276" s="12"/>
      <c r="S3276" s="382"/>
      <c r="T3276" s="383"/>
      <c r="U3276" s="384"/>
      <c r="V3276" s="12"/>
      <c r="W3276" s="12"/>
    </row>
    <row r="3277" spans="1:23" x14ac:dyDescent="0.3">
      <c r="A3277" s="193"/>
      <c r="B3277" s="378"/>
      <c r="C3277" s="315"/>
      <c r="D3277" s="316"/>
      <c r="E3277" s="315"/>
      <c r="F3277" s="315"/>
      <c r="G3277" s="315"/>
      <c r="H3277" s="153"/>
      <c r="I3277" s="12"/>
      <c r="J3277" s="12"/>
      <c r="K3277" s="12"/>
      <c r="L3277" s="379"/>
      <c r="M3277" s="380"/>
      <c r="N3277" s="380"/>
      <c r="O3277" s="12"/>
      <c r="P3277" s="381"/>
      <c r="Q3277" s="12"/>
      <c r="R3277" s="12"/>
      <c r="S3277" s="382"/>
      <c r="T3277" s="383"/>
      <c r="U3277" s="384"/>
      <c r="V3277" s="12"/>
      <c r="W3277" s="12"/>
    </row>
    <row r="3278" spans="1:23" x14ac:dyDescent="0.3">
      <c r="A3278" s="193"/>
      <c r="B3278" s="378"/>
      <c r="C3278" s="315"/>
      <c r="D3278" s="316"/>
      <c r="E3278" s="315"/>
      <c r="F3278" s="315"/>
      <c r="G3278" s="315"/>
      <c r="H3278" s="153"/>
      <c r="I3278" s="12"/>
      <c r="J3278" s="12"/>
      <c r="K3278" s="12"/>
      <c r="L3278" s="379"/>
      <c r="M3278" s="380"/>
      <c r="N3278" s="380"/>
      <c r="O3278" s="12"/>
      <c r="P3278" s="381"/>
      <c r="Q3278" s="12"/>
      <c r="R3278" s="12"/>
      <c r="S3278" s="382"/>
      <c r="T3278" s="383"/>
      <c r="U3278" s="384"/>
      <c r="V3278" s="12"/>
      <c r="W3278" s="12"/>
    </row>
    <row r="3279" spans="1:23" x14ac:dyDescent="0.3">
      <c r="A3279" s="193"/>
      <c r="B3279" s="378"/>
      <c r="C3279" s="315"/>
      <c r="D3279" s="316"/>
      <c r="E3279" s="315"/>
      <c r="F3279" s="315"/>
      <c r="G3279" s="315"/>
      <c r="H3279" s="153"/>
      <c r="I3279" s="12"/>
      <c r="J3279" s="12"/>
      <c r="K3279" s="12"/>
      <c r="L3279" s="379"/>
      <c r="M3279" s="380"/>
      <c r="N3279" s="380"/>
      <c r="O3279" s="12"/>
      <c r="P3279" s="381"/>
      <c r="Q3279" s="12"/>
      <c r="R3279" s="12"/>
      <c r="S3279" s="382"/>
      <c r="T3279" s="383"/>
      <c r="U3279" s="384"/>
      <c r="V3279" s="12"/>
      <c r="W3279" s="12"/>
    </row>
    <row r="3280" spans="1:23" x14ac:dyDescent="0.3">
      <c r="A3280" s="193"/>
      <c r="B3280" s="378"/>
      <c r="C3280" s="315"/>
      <c r="D3280" s="316"/>
      <c r="E3280" s="315"/>
      <c r="F3280" s="315"/>
      <c r="G3280" s="315"/>
      <c r="H3280" s="153"/>
      <c r="I3280" s="12"/>
      <c r="J3280" s="12"/>
      <c r="K3280" s="12"/>
      <c r="L3280" s="379"/>
      <c r="M3280" s="380"/>
      <c r="N3280" s="380"/>
      <c r="O3280" s="12"/>
      <c r="P3280" s="381"/>
      <c r="Q3280" s="12"/>
      <c r="R3280" s="12"/>
      <c r="S3280" s="382"/>
      <c r="T3280" s="383"/>
      <c r="U3280" s="384"/>
      <c r="V3280" s="12"/>
      <c r="W3280" s="12"/>
    </row>
    <row r="3281" spans="1:23" x14ac:dyDescent="0.3">
      <c r="A3281" s="193"/>
      <c r="B3281" s="378"/>
      <c r="C3281" s="315"/>
      <c r="D3281" s="316"/>
      <c r="E3281" s="315"/>
      <c r="F3281" s="315"/>
      <c r="G3281" s="315"/>
      <c r="H3281" s="153"/>
      <c r="I3281" s="12"/>
      <c r="J3281" s="12"/>
      <c r="K3281" s="12"/>
      <c r="L3281" s="379"/>
      <c r="M3281" s="380"/>
      <c r="N3281" s="380"/>
      <c r="O3281" s="12"/>
      <c r="P3281" s="381"/>
      <c r="Q3281" s="12"/>
      <c r="R3281" s="12"/>
      <c r="S3281" s="382"/>
      <c r="T3281" s="383"/>
      <c r="U3281" s="384"/>
      <c r="V3281" s="12"/>
      <c r="W3281" s="12"/>
    </row>
    <row r="3282" spans="1:23" x14ac:dyDescent="0.3">
      <c r="A3282" s="193"/>
      <c r="B3282" s="378"/>
      <c r="C3282" s="315"/>
      <c r="D3282" s="316"/>
      <c r="E3282" s="315"/>
      <c r="F3282" s="315"/>
      <c r="G3282" s="315"/>
      <c r="H3282" s="153"/>
      <c r="I3282" s="12"/>
      <c r="J3282" s="12"/>
      <c r="K3282" s="12"/>
      <c r="L3282" s="379"/>
      <c r="M3282" s="380"/>
      <c r="N3282" s="380"/>
      <c r="O3282" s="12"/>
      <c r="P3282" s="381"/>
      <c r="Q3282" s="12"/>
      <c r="R3282" s="12"/>
      <c r="S3282" s="382"/>
      <c r="T3282" s="383"/>
      <c r="U3282" s="384"/>
      <c r="V3282" s="12"/>
      <c r="W3282" s="12"/>
    </row>
    <row r="3283" spans="1:23" x14ac:dyDescent="0.3">
      <c r="A3283" s="193"/>
      <c r="B3283" s="378"/>
      <c r="C3283" s="315"/>
      <c r="D3283" s="316"/>
      <c r="E3283" s="315"/>
      <c r="F3283" s="315"/>
      <c r="G3283" s="315"/>
      <c r="H3283" s="153"/>
      <c r="I3283" s="12"/>
      <c r="J3283" s="12"/>
      <c r="K3283" s="12"/>
      <c r="L3283" s="379"/>
      <c r="M3283" s="380"/>
      <c r="N3283" s="380"/>
      <c r="O3283" s="12"/>
      <c r="P3283" s="381"/>
      <c r="Q3283" s="12"/>
      <c r="R3283" s="12"/>
      <c r="S3283" s="382"/>
      <c r="T3283" s="383"/>
      <c r="U3283" s="384"/>
      <c r="V3283" s="12"/>
      <c r="W3283" s="12"/>
    </row>
    <row r="3284" spans="1:23" x14ac:dyDescent="0.3">
      <c r="A3284" s="193"/>
      <c r="B3284" s="378"/>
      <c r="C3284" s="315"/>
      <c r="D3284" s="316"/>
      <c r="E3284" s="315"/>
      <c r="F3284" s="315"/>
      <c r="G3284" s="315"/>
      <c r="H3284" s="153"/>
      <c r="I3284" s="12"/>
      <c r="J3284" s="12"/>
      <c r="K3284" s="12"/>
      <c r="L3284" s="379"/>
      <c r="M3284" s="380"/>
      <c r="N3284" s="380"/>
      <c r="O3284" s="12"/>
      <c r="P3284" s="381"/>
      <c r="Q3284" s="12"/>
      <c r="R3284" s="12"/>
      <c r="S3284" s="382"/>
      <c r="T3284" s="383"/>
      <c r="U3284" s="384"/>
      <c r="V3284" s="12"/>
      <c r="W3284" s="12"/>
    </row>
    <row r="3285" spans="1:23" x14ac:dyDescent="0.3">
      <c r="A3285" s="193"/>
      <c r="B3285" s="378"/>
      <c r="C3285" s="315"/>
      <c r="D3285" s="316"/>
      <c r="E3285" s="315"/>
      <c r="F3285" s="315"/>
      <c r="G3285" s="315"/>
      <c r="H3285" s="153"/>
      <c r="I3285" s="12"/>
      <c r="J3285" s="12"/>
      <c r="K3285" s="12"/>
      <c r="L3285" s="379"/>
      <c r="M3285" s="380"/>
      <c r="N3285" s="380"/>
      <c r="O3285" s="12"/>
      <c r="P3285" s="381"/>
      <c r="Q3285" s="12"/>
      <c r="R3285" s="12"/>
      <c r="S3285" s="382"/>
      <c r="T3285" s="383"/>
      <c r="U3285" s="384"/>
      <c r="V3285" s="12"/>
      <c r="W3285" s="12"/>
    </row>
    <row r="3286" spans="1:23" x14ac:dyDescent="0.3">
      <c r="A3286" s="193"/>
      <c r="B3286" s="378"/>
      <c r="C3286" s="315"/>
      <c r="D3286" s="316"/>
      <c r="E3286" s="315"/>
      <c r="F3286" s="315"/>
      <c r="G3286" s="315"/>
      <c r="H3286" s="153"/>
      <c r="I3286" s="12"/>
      <c r="J3286" s="12"/>
      <c r="K3286" s="12"/>
      <c r="L3286" s="379"/>
      <c r="M3286" s="380"/>
      <c r="N3286" s="380"/>
      <c r="O3286" s="12"/>
      <c r="P3286" s="381"/>
      <c r="Q3286" s="12"/>
      <c r="R3286" s="12"/>
      <c r="S3286" s="382"/>
      <c r="T3286" s="383"/>
      <c r="U3286" s="384"/>
      <c r="V3286" s="12"/>
      <c r="W3286" s="12"/>
    </row>
    <row r="3287" spans="1:23" x14ac:dyDescent="0.3">
      <c r="A3287" s="193"/>
      <c r="B3287" s="378"/>
      <c r="C3287" s="315"/>
      <c r="D3287" s="316"/>
      <c r="E3287" s="315"/>
      <c r="F3287" s="315"/>
      <c r="G3287" s="315"/>
      <c r="H3287" s="153"/>
      <c r="I3287" s="12"/>
      <c r="J3287" s="12"/>
      <c r="K3287" s="12"/>
      <c r="L3287" s="379"/>
      <c r="M3287" s="380"/>
      <c r="N3287" s="380"/>
      <c r="O3287" s="12"/>
      <c r="P3287" s="381"/>
      <c r="Q3287" s="12"/>
      <c r="R3287" s="12"/>
      <c r="S3287" s="382"/>
      <c r="T3287" s="383"/>
      <c r="U3287" s="384"/>
      <c r="V3287" s="12"/>
      <c r="W3287" s="12"/>
    </row>
    <row r="3288" spans="1:23" x14ac:dyDescent="0.3">
      <c r="A3288" s="193"/>
      <c r="B3288" s="378"/>
      <c r="C3288" s="315"/>
      <c r="D3288" s="316"/>
      <c r="E3288" s="315"/>
      <c r="F3288" s="315"/>
      <c r="G3288" s="315"/>
      <c r="H3288" s="153"/>
      <c r="I3288" s="12"/>
      <c r="J3288" s="12"/>
      <c r="K3288" s="12"/>
      <c r="L3288" s="379"/>
      <c r="M3288" s="380"/>
      <c r="N3288" s="380"/>
      <c r="O3288" s="12"/>
      <c r="P3288" s="381"/>
      <c r="Q3288" s="12"/>
      <c r="R3288" s="12"/>
      <c r="S3288" s="382"/>
      <c r="T3288" s="383"/>
      <c r="U3288" s="384"/>
      <c r="V3288" s="12"/>
      <c r="W3288" s="12"/>
    </row>
    <row r="3289" spans="1:23" x14ac:dyDescent="0.3">
      <c r="A3289" s="193"/>
      <c r="B3289" s="378"/>
      <c r="C3289" s="315"/>
      <c r="D3289" s="316"/>
      <c r="E3289" s="315"/>
      <c r="F3289" s="315"/>
      <c r="G3289" s="315"/>
      <c r="H3289" s="153"/>
      <c r="I3289" s="12"/>
      <c r="J3289" s="12"/>
      <c r="K3289" s="12"/>
      <c r="L3289" s="379"/>
      <c r="M3289" s="380"/>
      <c r="N3289" s="380"/>
      <c r="O3289" s="12"/>
      <c r="P3289" s="381"/>
      <c r="Q3289" s="12"/>
      <c r="R3289" s="12"/>
      <c r="S3289" s="382"/>
      <c r="T3289" s="383"/>
      <c r="U3289" s="384"/>
      <c r="V3289" s="12"/>
      <c r="W3289" s="12"/>
    </row>
    <row r="3290" spans="1:23" x14ac:dyDescent="0.3">
      <c r="A3290" s="193"/>
      <c r="B3290" s="378"/>
      <c r="C3290" s="315"/>
      <c r="D3290" s="316"/>
      <c r="E3290" s="315"/>
      <c r="F3290" s="315"/>
      <c r="G3290" s="315"/>
      <c r="H3290" s="153"/>
      <c r="I3290" s="12"/>
      <c r="J3290" s="12"/>
      <c r="K3290" s="12"/>
      <c r="L3290" s="379"/>
      <c r="M3290" s="380"/>
      <c r="N3290" s="380"/>
      <c r="O3290" s="12"/>
      <c r="P3290" s="381"/>
      <c r="Q3290" s="12"/>
      <c r="R3290" s="12"/>
      <c r="S3290" s="382"/>
      <c r="T3290" s="383"/>
      <c r="U3290" s="384"/>
      <c r="V3290" s="12"/>
      <c r="W3290" s="12"/>
    </row>
    <row r="3291" spans="1:23" x14ac:dyDescent="0.3">
      <c r="A3291" s="193"/>
      <c r="B3291" s="378"/>
      <c r="C3291" s="315"/>
      <c r="D3291" s="316"/>
      <c r="E3291" s="315"/>
      <c r="F3291" s="315"/>
      <c r="G3291" s="315"/>
      <c r="H3291" s="153"/>
      <c r="I3291" s="12"/>
      <c r="J3291" s="12"/>
      <c r="K3291" s="12"/>
      <c r="L3291" s="379"/>
      <c r="M3291" s="380"/>
      <c r="N3291" s="380"/>
      <c r="O3291" s="12"/>
      <c r="P3291" s="381"/>
      <c r="Q3291" s="12"/>
      <c r="R3291" s="12"/>
      <c r="S3291" s="382"/>
      <c r="T3291" s="383"/>
      <c r="U3291" s="384"/>
      <c r="V3291" s="12"/>
      <c r="W3291" s="12"/>
    </row>
    <row r="3292" spans="1:23" x14ac:dyDescent="0.3">
      <c r="A3292" s="193"/>
      <c r="B3292" s="378"/>
      <c r="C3292" s="315"/>
      <c r="D3292" s="316"/>
      <c r="E3292" s="315"/>
      <c r="F3292" s="315"/>
      <c r="G3292" s="315"/>
      <c r="H3292" s="153"/>
      <c r="I3292" s="12"/>
      <c r="J3292" s="12"/>
      <c r="K3292" s="12"/>
      <c r="L3292" s="379"/>
      <c r="M3292" s="380"/>
      <c r="N3292" s="380"/>
      <c r="O3292" s="12"/>
      <c r="P3292" s="381"/>
      <c r="Q3292" s="12"/>
      <c r="R3292" s="12"/>
      <c r="S3292" s="382"/>
      <c r="T3292" s="383"/>
      <c r="U3292" s="384"/>
      <c r="V3292" s="12"/>
      <c r="W3292" s="12"/>
    </row>
    <row r="3293" spans="1:23" x14ac:dyDescent="0.3">
      <c r="A3293" s="193"/>
      <c r="B3293" s="378"/>
      <c r="C3293" s="315"/>
      <c r="D3293" s="316"/>
      <c r="E3293" s="315"/>
      <c r="F3293" s="315"/>
      <c r="G3293" s="315"/>
      <c r="H3293" s="153"/>
      <c r="I3293" s="12"/>
      <c r="J3293" s="12"/>
      <c r="K3293" s="12"/>
      <c r="L3293" s="379"/>
      <c r="M3293" s="380"/>
      <c r="N3293" s="380"/>
      <c r="O3293" s="12"/>
      <c r="P3293" s="381"/>
      <c r="Q3293" s="12"/>
      <c r="R3293" s="12"/>
      <c r="S3293" s="382"/>
      <c r="T3293" s="383"/>
      <c r="U3293" s="384"/>
      <c r="V3293" s="12"/>
      <c r="W3293" s="12"/>
    </row>
    <row r="3294" spans="1:23" x14ac:dyDescent="0.3">
      <c r="A3294" s="193"/>
      <c r="B3294" s="378"/>
      <c r="C3294" s="315"/>
      <c r="D3294" s="316"/>
      <c r="E3294" s="315"/>
      <c r="F3294" s="315"/>
      <c r="G3294" s="315"/>
      <c r="H3294" s="153"/>
      <c r="I3294" s="12"/>
      <c r="J3294" s="12"/>
      <c r="K3294" s="12"/>
      <c r="L3294" s="379"/>
      <c r="M3294" s="380"/>
      <c r="N3294" s="380"/>
      <c r="O3294" s="12"/>
      <c r="P3294" s="381"/>
      <c r="Q3294" s="12"/>
      <c r="R3294" s="12"/>
      <c r="S3294" s="382"/>
      <c r="T3294" s="383"/>
      <c r="U3294" s="384"/>
      <c r="V3294" s="12"/>
      <c r="W3294" s="12"/>
    </row>
    <row r="3295" spans="1:23" x14ac:dyDescent="0.3">
      <c r="A3295" s="193"/>
      <c r="B3295" s="378"/>
      <c r="C3295" s="315"/>
      <c r="D3295" s="316"/>
      <c r="E3295" s="315"/>
      <c r="F3295" s="315"/>
      <c r="G3295" s="315"/>
      <c r="H3295" s="153"/>
      <c r="I3295" s="12"/>
      <c r="J3295" s="12"/>
      <c r="K3295" s="12"/>
      <c r="L3295" s="379"/>
      <c r="M3295" s="380"/>
      <c r="N3295" s="380"/>
      <c r="O3295" s="12"/>
      <c r="P3295" s="381"/>
      <c r="Q3295" s="12"/>
      <c r="R3295" s="12"/>
      <c r="S3295" s="382"/>
      <c r="T3295" s="383"/>
      <c r="U3295" s="384"/>
      <c r="V3295" s="12"/>
      <c r="W3295" s="12"/>
    </row>
    <row r="3296" spans="1:23" x14ac:dyDescent="0.3">
      <c r="A3296" s="193"/>
      <c r="B3296" s="378"/>
      <c r="C3296" s="315"/>
      <c r="D3296" s="316"/>
      <c r="E3296" s="315"/>
      <c r="F3296" s="315"/>
      <c r="G3296" s="315"/>
      <c r="H3296" s="153"/>
      <c r="I3296" s="12"/>
      <c r="J3296" s="12"/>
      <c r="K3296" s="12"/>
      <c r="L3296" s="379"/>
      <c r="M3296" s="380"/>
      <c r="N3296" s="380"/>
      <c r="O3296" s="12"/>
      <c r="P3296" s="381"/>
      <c r="Q3296" s="12"/>
      <c r="R3296" s="12"/>
      <c r="S3296" s="382"/>
      <c r="T3296" s="383"/>
      <c r="U3296" s="384"/>
      <c r="V3296" s="12"/>
      <c r="W3296" s="12"/>
    </row>
    <row r="3297" spans="1:23" x14ac:dyDescent="0.3">
      <c r="A3297" s="193"/>
      <c r="B3297" s="378"/>
      <c r="C3297" s="315"/>
      <c r="D3297" s="316"/>
      <c r="E3297" s="315"/>
      <c r="F3297" s="315"/>
      <c r="G3297" s="315"/>
      <c r="H3297" s="153"/>
      <c r="I3297" s="12"/>
      <c r="J3297" s="12"/>
      <c r="K3297" s="12"/>
      <c r="L3297" s="379"/>
      <c r="M3297" s="380"/>
      <c r="N3297" s="380"/>
      <c r="O3297" s="12"/>
      <c r="P3297" s="381"/>
      <c r="Q3297" s="12"/>
      <c r="R3297" s="12"/>
      <c r="S3297" s="382"/>
      <c r="T3297" s="383"/>
      <c r="U3297" s="384"/>
      <c r="V3297" s="12"/>
      <c r="W3297" s="12"/>
    </row>
    <row r="3298" spans="1:23" x14ac:dyDescent="0.3">
      <c r="A3298" s="193"/>
      <c r="B3298" s="378"/>
      <c r="C3298" s="315"/>
      <c r="D3298" s="316"/>
      <c r="E3298" s="315"/>
      <c r="F3298" s="315"/>
      <c r="G3298" s="315"/>
      <c r="H3298" s="153"/>
      <c r="I3298" s="12"/>
      <c r="J3298" s="12"/>
      <c r="K3298" s="12"/>
      <c r="L3298" s="379"/>
      <c r="M3298" s="380"/>
      <c r="N3298" s="380"/>
      <c r="O3298" s="12"/>
      <c r="P3298" s="381"/>
      <c r="Q3298" s="12"/>
      <c r="R3298" s="12"/>
      <c r="S3298" s="382"/>
      <c r="T3298" s="383"/>
      <c r="U3298" s="384"/>
      <c r="V3298" s="12"/>
      <c r="W3298" s="12"/>
    </row>
    <row r="3299" spans="1:23" x14ac:dyDescent="0.3">
      <c r="A3299" s="193"/>
      <c r="B3299" s="378"/>
      <c r="C3299" s="315"/>
      <c r="D3299" s="316"/>
      <c r="E3299" s="315"/>
      <c r="F3299" s="315"/>
      <c r="G3299" s="315"/>
      <c r="H3299" s="153"/>
      <c r="I3299" s="12"/>
      <c r="J3299" s="12"/>
      <c r="K3299" s="12"/>
      <c r="L3299" s="379"/>
      <c r="M3299" s="380"/>
      <c r="N3299" s="380"/>
      <c r="O3299" s="12"/>
      <c r="P3299" s="381"/>
      <c r="Q3299" s="12"/>
      <c r="R3299" s="12"/>
      <c r="S3299" s="382"/>
      <c r="T3299" s="383"/>
      <c r="U3299" s="384"/>
      <c r="V3299" s="12"/>
      <c r="W3299" s="12"/>
    </row>
    <row r="3300" spans="1:23" x14ac:dyDescent="0.3">
      <c r="A3300" s="193"/>
      <c r="B3300" s="378"/>
      <c r="C3300" s="315"/>
      <c r="D3300" s="316"/>
      <c r="E3300" s="315"/>
      <c r="F3300" s="315"/>
      <c r="G3300" s="315"/>
      <c r="H3300" s="153"/>
      <c r="I3300" s="12"/>
      <c r="J3300" s="12"/>
      <c r="K3300" s="12"/>
      <c r="L3300" s="379"/>
      <c r="M3300" s="380"/>
      <c r="N3300" s="380"/>
      <c r="O3300" s="12"/>
      <c r="P3300" s="381"/>
      <c r="Q3300" s="12"/>
      <c r="R3300" s="12"/>
      <c r="S3300" s="382"/>
      <c r="T3300" s="383"/>
      <c r="U3300" s="384"/>
      <c r="V3300" s="12"/>
      <c r="W3300" s="12"/>
    </row>
    <row r="3301" spans="1:23" x14ac:dyDescent="0.3">
      <c r="A3301" s="193"/>
      <c r="B3301" s="378"/>
      <c r="C3301" s="315"/>
      <c r="D3301" s="316"/>
      <c r="E3301" s="315"/>
      <c r="F3301" s="315"/>
      <c r="G3301" s="315"/>
      <c r="H3301" s="153"/>
      <c r="I3301" s="12"/>
      <c r="J3301" s="12"/>
      <c r="K3301" s="12"/>
      <c r="L3301" s="379"/>
      <c r="M3301" s="380"/>
      <c r="N3301" s="380"/>
      <c r="O3301" s="12"/>
      <c r="P3301" s="381"/>
      <c r="Q3301" s="12"/>
      <c r="R3301" s="12"/>
      <c r="S3301" s="382"/>
      <c r="T3301" s="383"/>
      <c r="U3301" s="384"/>
      <c r="V3301" s="12"/>
      <c r="W3301" s="12"/>
    </row>
    <row r="3302" spans="1:23" x14ac:dyDescent="0.3">
      <c r="A3302" s="193"/>
      <c r="B3302" s="378"/>
      <c r="C3302" s="315"/>
      <c r="D3302" s="316"/>
      <c r="E3302" s="315"/>
      <c r="F3302" s="315"/>
      <c r="G3302" s="315"/>
      <c r="H3302" s="153"/>
      <c r="I3302" s="12"/>
      <c r="J3302" s="12"/>
      <c r="K3302" s="12"/>
      <c r="L3302" s="379"/>
      <c r="M3302" s="380"/>
      <c r="N3302" s="380"/>
      <c r="O3302" s="12"/>
      <c r="P3302" s="381"/>
      <c r="Q3302" s="12"/>
      <c r="R3302" s="12"/>
      <c r="S3302" s="382"/>
      <c r="T3302" s="383"/>
      <c r="U3302" s="384"/>
      <c r="V3302" s="12"/>
      <c r="W3302" s="12"/>
    </row>
    <row r="3303" spans="1:23" x14ac:dyDescent="0.3">
      <c r="A3303" s="193"/>
      <c r="B3303" s="378"/>
      <c r="C3303" s="315"/>
      <c r="D3303" s="316"/>
      <c r="E3303" s="315"/>
      <c r="F3303" s="315"/>
      <c r="G3303" s="315"/>
      <c r="H3303" s="153"/>
      <c r="I3303" s="12"/>
      <c r="J3303" s="12"/>
      <c r="K3303" s="12"/>
      <c r="L3303" s="379"/>
      <c r="M3303" s="380"/>
      <c r="N3303" s="380"/>
      <c r="O3303" s="12"/>
      <c r="P3303" s="381"/>
      <c r="Q3303" s="12"/>
      <c r="R3303" s="12"/>
      <c r="S3303" s="382"/>
      <c r="T3303" s="383"/>
      <c r="U3303" s="384"/>
      <c r="V3303" s="12"/>
      <c r="W3303" s="12"/>
    </row>
    <row r="3304" spans="1:23" x14ac:dyDescent="0.3">
      <c r="A3304" s="193"/>
      <c r="B3304" s="378"/>
      <c r="C3304" s="315"/>
      <c r="D3304" s="316"/>
      <c r="E3304" s="315"/>
      <c r="F3304" s="315"/>
      <c r="G3304" s="315"/>
      <c r="H3304" s="153"/>
      <c r="I3304" s="12"/>
      <c r="J3304" s="12"/>
      <c r="K3304" s="12"/>
      <c r="L3304" s="379"/>
      <c r="M3304" s="380"/>
      <c r="N3304" s="380"/>
      <c r="O3304" s="12"/>
      <c r="P3304" s="381"/>
      <c r="Q3304" s="12"/>
      <c r="R3304" s="12"/>
      <c r="S3304" s="382"/>
      <c r="T3304" s="383"/>
      <c r="U3304" s="384"/>
      <c r="V3304" s="12"/>
      <c r="W3304" s="12"/>
    </row>
    <row r="3305" spans="1:23" x14ac:dyDescent="0.3">
      <c r="A3305" s="193"/>
      <c r="B3305" s="378"/>
      <c r="C3305" s="315"/>
      <c r="D3305" s="316"/>
      <c r="E3305" s="315"/>
      <c r="F3305" s="315"/>
      <c r="G3305" s="315"/>
      <c r="H3305" s="153"/>
      <c r="I3305" s="12"/>
      <c r="J3305" s="12"/>
      <c r="K3305" s="12"/>
      <c r="L3305" s="379"/>
      <c r="M3305" s="380"/>
      <c r="N3305" s="380"/>
      <c r="O3305" s="12"/>
      <c r="P3305" s="381"/>
      <c r="Q3305" s="12"/>
      <c r="R3305" s="12"/>
      <c r="S3305" s="382"/>
      <c r="T3305" s="383"/>
      <c r="U3305" s="384"/>
      <c r="V3305" s="12"/>
      <c r="W3305" s="12"/>
    </row>
    <row r="3306" spans="1:23" x14ac:dyDescent="0.3">
      <c r="A3306" s="193"/>
      <c r="B3306" s="378"/>
      <c r="C3306" s="315"/>
      <c r="D3306" s="316"/>
      <c r="E3306" s="315"/>
      <c r="F3306" s="315"/>
      <c r="G3306" s="315"/>
      <c r="H3306" s="153"/>
      <c r="I3306" s="12"/>
      <c r="J3306" s="12"/>
      <c r="K3306" s="12"/>
      <c r="L3306" s="379"/>
      <c r="M3306" s="380"/>
      <c r="N3306" s="380"/>
      <c r="O3306" s="12"/>
      <c r="P3306" s="381"/>
      <c r="Q3306" s="12"/>
      <c r="R3306" s="12"/>
      <c r="S3306" s="382"/>
      <c r="T3306" s="383"/>
      <c r="U3306" s="384"/>
      <c r="V3306" s="12"/>
      <c r="W3306" s="12"/>
    </row>
    <row r="3307" spans="1:23" x14ac:dyDescent="0.3">
      <c r="A3307" s="193"/>
      <c r="B3307" s="378"/>
      <c r="C3307" s="315"/>
      <c r="D3307" s="316"/>
      <c r="E3307" s="315"/>
      <c r="F3307" s="315"/>
      <c r="G3307" s="315"/>
      <c r="H3307" s="153"/>
      <c r="I3307" s="12"/>
      <c r="J3307" s="12"/>
      <c r="K3307" s="12"/>
      <c r="L3307" s="379"/>
      <c r="M3307" s="380"/>
      <c r="N3307" s="380"/>
      <c r="O3307" s="12"/>
      <c r="P3307" s="381"/>
      <c r="Q3307" s="12"/>
      <c r="R3307" s="12"/>
      <c r="S3307" s="382"/>
      <c r="T3307" s="383"/>
      <c r="U3307" s="384"/>
      <c r="V3307" s="12"/>
      <c r="W3307" s="12"/>
    </row>
    <row r="3308" spans="1:23" x14ac:dyDescent="0.3">
      <c r="A3308" s="193"/>
      <c r="B3308" s="378"/>
      <c r="C3308" s="315"/>
      <c r="D3308" s="316"/>
      <c r="E3308" s="315"/>
      <c r="F3308" s="315"/>
      <c r="G3308" s="315"/>
      <c r="H3308" s="153"/>
      <c r="I3308" s="12"/>
      <c r="J3308" s="12"/>
      <c r="K3308" s="12"/>
      <c r="L3308" s="379"/>
      <c r="M3308" s="380"/>
      <c r="N3308" s="380"/>
      <c r="O3308" s="12"/>
      <c r="P3308" s="381"/>
      <c r="Q3308" s="12"/>
      <c r="R3308" s="12"/>
      <c r="S3308" s="382"/>
      <c r="T3308" s="383"/>
      <c r="U3308" s="384"/>
      <c r="V3308" s="12"/>
      <c r="W3308" s="12"/>
    </row>
    <row r="3309" spans="1:23" x14ac:dyDescent="0.3">
      <c r="A3309" s="193"/>
      <c r="B3309" s="378"/>
      <c r="C3309" s="315"/>
      <c r="D3309" s="316"/>
      <c r="E3309" s="315"/>
      <c r="F3309" s="315"/>
      <c r="G3309" s="315"/>
      <c r="H3309" s="153"/>
      <c r="I3309" s="12"/>
      <c r="J3309" s="12"/>
      <c r="K3309" s="12"/>
      <c r="L3309" s="379"/>
      <c r="M3309" s="380"/>
      <c r="N3309" s="380"/>
      <c r="O3309" s="12"/>
      <c r="P3309" s="381"/>
      <c r="Q3309" s="12"/>
      <c r="R3309" s="12"/>
      <c r="S3309" s="382"/>
      <c r="T3309" s="383"/>
      <c r="U3309" s="384"/>
      <c r="V3309" s="12"/>
      <c r="W3309" s="12"/>
    </row>
    <row r="3310" spans="1:23" x14ac:dyDescent="0.3">
      <c r="A3310" s="193"/>
      <c r="B3310" s="378"/>
      <c r="C3310" s="315"/>
      <c r="D3310" s="316"/>
      <c r="E3310" s="315"/>
      <c r="F3310" s="315"/>
      <c r="G3310" s="315"/>
      <c r="H3310" s="153"/>
      <c r="I3310" s="12"/>
      <c r="J3310" s="12"/>
      <c r="K3310" s="12"/>
      <c r="L3310" s="379"/>
      <c r="M3310" s="380"/>
      <c r="N3310" s="380"/>
      <c r="O3310" s="12"/>
      <c r="P3310" s="381"/>
      <c r="Q3310" s="12"/>
      <c r="R3310" s="12"/>
      <c r="S3310" s="382"/>
      <c r="T3310" s="383"/>
      <c r="U3310" s="384"/>
      <c r="V3310" s="12"/>
      <c r="W3310" s="12"/>
    </row>
    <row r="3311" spans="1:23" x14ac:dyDescent="0.3">
      <c r="A3311" s="193"/>
      <c r="B3311" s="378"/>
      <c r="C3311" s="315"/>
      <c r="D3311" s="316"/>
      <c r="E3311" s="315"/>
      <c r="F3311" s="315"/>
      <c r="G3311" s="315"/>
      <c r="H3311" s="153"/>
      <c r="I3311" s="12"/>
      <c r="J3311" s="12"/>
      <c r="K3311" s="12"/>
      <c r="L3311" s="379"/>
      <c r="M3311" s="380"/>
      <c r="N3311" s="380"/>
      <c r="O3311" s="12"/>
      <c r="P3311" s="381"/>
      <c r="Q3311" s="12"/>
      <c r="R3311" s="12"/>
      <c r="S3311" s="382"/>
      <c r="T3311" s="383"/>
      <c r="U3311" s="384"/>
      <c r="V3311" s="12"/>
      <c r="W3311" s="12"/>
    </row>
    <row r="3312" spans="1:23" x14ac:dyDescent="0.3">
      <c r="A3312" s="193"/>
      <c r="B3312" s="378"/>
      <c r="C3312" s="315"/>
      <c r="D3312" s="316"/>
      <c r="E3312" s="315"/>
      <c r="F3312" s="315"/>
      <c r="G3312" s="315"/>
      <c r="H3312" s="153"/>
      <c r="I3312" s="12"/>
      <c r="J3312" s="12"/>
      <c r="K3312" s="12"/>
      <c r="L3312" s="379"/>
      <c r="M3312" s="380"/>
      <c r="N3312" s="380"/>
      <c r="O3312" s="12"/>
      <c r="P3312" s="381"/>
      <c r="Q3312" s="12"/>
      <c r="R3312" s="12"/>
      <c r="S3312" s="382"/>
      <c r="T3312" s="383"/>
      <c r="U3312" s="384"/>
      <c r="V3312" s="12"/>
      <c r="W3312" s="12"/>
    </row>
    <row r="3313" spans="1:23" x14ac:dyDescent="0.3">
      <c r="A3313" s="193"/>
      <c r="B3313" s="378"/>
      <c r="C3313" s="315"/>
      <c r="D3313" s="316"/>
      <c r="E3313" s="315"/>
      <c r="F3313" s="315"/>
      <c r="G3313" s="315"/>
      <c r="H3313" s="153"/>
      <c r="I3313" s="12"/>
      <c r="J3313" s="12"/>
      <c r="K3313" s="12"/>
      <c r="L3313" s="379"/>
      <c r="M3313" s="380"/>
      <c r="N3313" s="380"/>
      <c r="O3313" s="12"/>
      <c r="P3313" s="381"/>
      <c r="Q3313" s="12"/>
      <c r="R3313" s="12"/>
      <c r="S3313" s="382"/>
      <c r="T3313" s="383"/>
      <c r="U3313" s="384"/>
      <c r="V3313" s="12"/>
      <c r="W3313" s="12"/>
    </row>
    <row r="3314" spans="1:23" x14ac:dyDescent="0.3">
      <c r="A3314" s="193"/>
      <c r="B3314" s="378"/>
      <c r="C3314" s="315"/>
      <c r="D3314" s="316"/>
      <c r="E3314" s="315"/>
      <c r="F3314" s="315"/>
      <c r="G3314" s="315"/>
      <c r="H3314" s="153"/>
      <c r="I3314" s="12"/>
      <c r="J3314" s="12"/>
      <c r="K3314" s="12"/>
      <c r="L3314" s="379"/>
      <c r="M3314" s="380"/>
      <c r="N3314" s="380"/>
      <c r="O3314" s="12"/>
      <c r="P3314" s="381"/>
      <c r="Q3314" s="12"/>
      <c r="R3314" s="12"/>
      <c r="S3314" s="382"/>
      <c r="T3314" s="383"/>
      <c r="U3314" s="384"/>
      <c r="V3314" s="12"/>
      <c r="W3314" s="12"/>
    </row>
    <row r="3315" spans="1:23" x14ac:dyDescent="0.3">
      <c r="A3315" s="193"/>
      <c r="B3315" s="378"/>
      <c r="C3315" s="315"/>
      <c r="D3315" s="316"/>
      <c r="E3315" s="315"/>
      <c r="F3315" s="315"/>
      <c r="G3315" s="315"/>
      <c r="H3315" s="153"/>
      <c r="I3315" s="12"/>
      <c r="J3315" s="12"/>
      <c r="K3315" s="12"/>
      <c r="L3315" s="379"/>
      <c r="M3315" s="380"/>
      <c r="N3315" s="380"/>
      <c r="O3315" s="12"/>
      <c r="P3315" s="381"/>
      <c r="Q3315" s="12"/>
      <c r="R3315" s="12"/>
      <c r="S3315" s="382"/>
      <c r="T3315" s="383"/>
      <c r="U3315" s="384"/>
      <c r="V3315" s="12"/>
      <c r="W3315" s="12"/>
    </row>
    <row r="3316" spans="1:23" x14ac:dyDescent="0.3">
      <c r="A3316" s="193"/>
      <c r="B3316" s="378"/>
      <c r="C3316" s="315"/>
      <c r="D3316" s="316"/>
      <c r="E3316" s="315"/>
      <c r="F3316" s="315"/>
      <c r="G3316" s="315"/>
      <c r="H3316" s="153"/>
      <c r="I3316" s="12"/>
      <c r="J3316" s="12"/>
      <c r="K3316" s="12"/>
      <c r="L3316" s="379"/>
      <c r="M3316" s="380"/>
      <c r="N3316" s="380"/>
      <c r="O3316" s="12"/>
      <c r="P3316" s="381"/>
      <c r="Q3316" s="12"/>
      <c r="R3316" s="12"/>
      <c r="S3316" s="382"/>
      <c r="T3316" s="383"/>
      <c r="U3316" s="384"/>
      <c r="V3316" s="12"/>
      <c r="W3316" s="12"/>
    </row>
    <row r="3317" spans="1:23" x14ac:dyDescent="0.3">
      <c r="A3317" s="193"/>
      <c r="B3317" s="378"/>
      <c r="C3317" s="315"/>
      <c r="D3317" s="316"/>
      <c r="E3317" s="315"/>
      <c r="F3317" s="315"/>
      <c r="G3317" s="315"/>
      <c r="H3317" s="153"/>
      <c r="I3317" s="12"/>
      <c r="J3317" s="12"/>
      <c r="K3317" s="12"/>
      <c r="L3317" s="379"/>
      <c r="M3317" s="380"/>
      <c r="N3317" s="380"/>
      <c r="O3317" s="12"/>
      <c r="P3317" s="381"/>
      <c r="Q3317" s="12"/>
      <c r="R3317" s="12"/>
      <c r="S3317" s="382"/>
      <c r="T3317" s="383"/>
      <c r="U3317" s="384"/>
      <c r="V3317" s="12"/>
      <c r="W3317" s="12"/>
    </row>
    <row r="3318" spans="1:23" x14ac:dyDescent="0.3">
      <c r="A3318" s="193"/>
      <c r="B3318" s="378"/>
      <c r="C3318" s="315"/>
      <c r="D3318" s="316"/>
      <c r="E3318" s="315"/>
      <c r="F3318" s="315"/>
      <c r="G3318" s="315"/>
      <c r="H3318" s="153"/>
      <c r="I3318" s="12"/>
      <c r="J3318" s="12"/>
      <c r="K3318" s="12"/>
      <c r="L3318" s="379"/>
      <c r="M3318" s="380"/>
      <c r="N3318" s="380"/>
      <c r="O3318" s="12"/>
      <c r="P3318" s="381"/>
      <c r="Q3318" s="12"/>
      <c r="R3318" s="12"/>
      <c r="S3318" s="382"/>
      <c r="T3318" s="383"/>
      <c r="U3318" s="384"/>
      <c r="V3318" s="12"/>
      <c r="W3318" s="12"/>
    </row>
    <row r="3319" spans="1:23" x14ac:dyDescent="0.3">
      <c r="A3319" s="193"/>
      <c r="B3319" s="378"/>
      <c r="C3319" s="315"/>
      <c r="D3319" s="316"/>
      <c r="E3319" s="315"/>
      <c r="F3319" s="315"/>
      <c r="G3319" s="315"/>
      <c r="H3319" s="153"/>
      <c r="I3319" s="12"/>
      <c r="J3319" s="12"/>
      <c r="K3319" s="12"/>
      <c r="L3319" s="379"/>
      <c r="M3319" s="380"/>
      <c r="N3319" s="380"/>
      <c r="O3319" s="12"/>
      <c r="P3319" s="381"/>
      <c r="Q3319" s="12"/>
      <c r="R3319" s="12"/>
      <c r="S3319" s="382"/>
      <c r="T3319" s="383"/>
      <c r="U3319" s="384"/>
      <c r="V3319" s="12"/>
      <c r="W3319" s="12"/>
    </row>
    <row r="3320" spans="1:23" x14ac:dyDescent="0.3">
      <c r="A3320" s="193"/>
      <c r="B3320" s="378"/>
      <c r="C3320" s="315"/>
      <c r="D3320" s="316"/>
      <c r="E3320" s="315"/>
      <c r="F3320" s="315"/>
      <c r="G3320" s="315"/>
      <c r="H3320" s="153"/>
      <c r="I3320" s="12"/>
      <c r="J3320" s="12"/>
      <c r="K3320" s="12"/>
      <c r="L3320" s="379"/>
      <c r="M3320" s="380"/>
      <c r="N3320" s="380"/>
      <c r="O3320" s="12"/>
      <c r="P3320" s="381"/>
      <c r="Q3320" s="12"/>
      <c r="R3320" s="12"/>
      <c r="S3320" s="382"/>
      <c r="T3320" s="383"/>
      <c r="U3320" s="384"/>
      <c r="V3320" s="12"/>
      <c r="W3320" s="12"/>
    </row>
    <row r="3321" spans="1:23" x14ac:dyDescent="0.3">
      <c r="A3321" s="193"/>
      <c r="B3321" s="378"/>
      <c r="C3321" s="315"/>
      <c r="D3321" s="316"/>
      <c r="E3321" s="315"/>
      <c r="F3321" s="315"/>
      <c r="G3321" s="315"/>
      <c r="H3321" s="153"/>
      <c r="I3321" s="12"/>
      <c r="J3321" s="12"/>
      <c r="K3321" s="12"/>
      <c r="L3321" s="379"/>
      <c r="M3321" s="380"/>
      <c r="N3321" s="380"/>
      <c r="O3321" s="12"/>
      <c r="P3321" s="381"/>
      <c r="Q3321" s="12"/>
      <c r="R3321" s="12"/>
      <c r="S3321" s="382"/>
      <c r="T3321" s="383"/>
      <c r="U3321" s="384"/>
      <c r="V3321" s="12"/>
      <c r="W3321" s="12"/>
    </row>
    <row r="3322" spans="1:23" x14ac:dyDescent="0.3">
      <c r="A3322" s="193"/>
      <c r="B3322" s="378"/>
      <c r="C3322" s="315"/>
      <c r="D3322" s="316"/>
      <c r="E3322" s="315"/>
      <c r="F3322" s="315"/>
      <c r="G3322" s="315"/>
      <c r="H3322" s="153"/>
      <c r="I3322" s="12"/>
      <c r="J3322" s="12"/>
      <c r="K3322" s="12"/>
      <c r="L3322" s="379"/>
      <c r="M3322" s="380"/>
      <c r="N3322" s="380"/>
      <c r="O3322" s="12"/>
      <c r="P3322" s="381"/>
      <c r="Q3322" s="12"/>
      <c r="R3322" s="12"/>
      <c r="S3322" s="382"/>
      <c r="T3322" s="383"/>
      <c r="U3322" s="384"/>
      <c r="V3322" s="12"/>
      <c r="W3322" s="12"/>
    </row>
    <row r="3323" spans="1:23" x14ac:dyDescent="0.3">
      <c r="A3323" s="193"/>
      <c r="B3323" s="378"/>
      <c r="C3323" s="315"/>
      <c r="D3323" s="316"/>
      <c r="E3323" s="315"/>
      <c r="F3323" s="315"/>
      <c r="G3323" s="315"/>
      <c r="H3323" s="153"/>
      <c r="I3323" s="12"/>
      <c r="J3323" s="12"/>
      <c r="K3323" s="12"/>
      <c r="L3323" s="379"/>
      <c r="M3323" s="380"/>
      <c r="N3323" s="380"/>
      <c r="O3323" s="12"/>
      <c r="P3323" s="381"/>
      <c r="Q3323" s="12"/>
      <c r="R3323" s="12"/>
      <c r="S3323" s="382"/>
      <c r="T3323" s="383"/>
      <c r="U3323" s="384"/>
      <c r="V3323" s="12"/>
      <c r="W3323" s="12"/>
    </row>
    <row r="3324" spans="1:23" x14ac:dyDescent="0.3">
      <c r="A3324" s="193"/>
      <c r="B3324" s="378"/>
      <c r="C3324" s="315"/>
      <c r="D3324" s="316"/>
      <c r="E3324" s="315"/>
      <c r="F3324" s="315"/>
      <c r="G3324" s="315"/>
      <c r="H3324" s="153"/>
      <c r="I3324" s="12"/>
      <c r="J3324" s="12"/>
      <c r="K3324" s="12"/>
      <c r="L3324" s="379"/>
      <c r="M3324" s="380"/>
      <c r="N3324" s="380"/>
      <c r="O3324" s="12"/>
      <c r="P3324" s="381"/>
      <c r="Q3324" s="12"/>
      <c r="R3324" s="12"/>
      <c r="S3324" s="382"/>
      <c r="T3324" s="383"/>
      <c r="U3324" s="384"/>
      <c r="V3324" s="12"/>
      <c r="W3324" s="12"/>
    </row>
    <row r="3325" spans="1:23" x14ac:dyDescent="0.3">
      <c r="A3325" s="193"/>
      <c r="B3325" s="378"/>
      <c r="C3325" s="315"/>
      <c r="D3325" s="316"/>
      <c r="E3325" s="315"/>
      <c r="F3325" s="315"/>
      <c r="G3325" s="315"/>
      <c r="H3325" s="153"/>
      <c r="I3325" s="12"/>
      <c r="J3325" s="12"/>
      <c r="K3325" s="12"/>
      <c r="L3325" s="379"/>
      <c r="M3325" s="380"/>
      <c r="N3325" s="380"/>
      <c r="O3325" s="12"/>
      <c r="P3325" s="381"/>
      <c r="Q3325" s="12"/>
      <c r="R3325" s="12"/>
      <c r="S3325" s="382"/>
      <c r="T3325" s="383"/>
      <c r="U3325" s="384"/>
      <c r="V3325" s="12"/>
      <c r="W3325" s="12"/>
    </row>
    <row r="3326" spans="1:23" x14ac:dyDescent="0.3">
      <c r="A3326" s="193"/>
      <c r="B3326" s="378"/>
      <c r="C3326" s="315"/>
      <c r="D3326" s="316"/>
      <c r="E3326" s="315"/>
      <c r="F3326" s="315"/>
      <c r="G3326" s="315"/>
      <c r="H3326" s="153"/>
      <c r="I3326" s="12"/>
      <c r="J3326" s="12"/>
      <c r="K3326" s="12"/>
      <c r="L3326" s="379"/>
      <c r="M3326" s="380"/>
      <c r="N3326" s="380"/>
      <c r="O3326" s="12"/>
      <c r="P3326" s="381"/>
      <c r="Q3326" s="12"/>
      <c r="R3326" s="12"/>
      <c r="S3326" s="382"/>
      <c r="T3326" s="383"/>
      <c r="U3326" s="384"/>
      <c r="V3326" s="12"/>
      <c r="W3326" s="12"/>
    </row>
    <row r="3327" spans="1:23" x14ac:dyDescent="0.3">
      <c r="A3327" s="193"/>
      <c r="B3327" s="378"/>
      <c r="C3327" s="315"/>
      <c r="D3327" s="316"/>
      <c r="E3327" s="315"/>
      <c r="F3327" s="315"/>
      <c r="G3327" s="315"/>
      <c r="H3327" s="153"/>
      <c r="I3327" s="12"/>
      <c r="J3327" s="12"/>
      <c r="K3327" s="12"/>
      <c r="L3327" s="379"/>
      <c r="M3327" s="380"/>
      <c r="N3327" s="380"/>
      <c r="O3327" s="12"/>
      <c r="P3327" s="381"/>
      <c r="Q3327" s="12"/>
      <c r="R3327" s="12"/>
      <c r="S3327" s="382"/>
      <c r="T3327" s="383"/>
      <c r="U3327" s="384"/>
      <c r="V3327" s="12"/>
      <c r="W3327" s="12"/>
    </row>
    <row r="3328" spans="1:23" x14ac:dyDescent="0.3">
      <c r="A3328" s="193"/>
      <c r="B3328" s="378"/>
      <c r="C3328" s="315"/>
      <c r="D3328" s="316"/>
      <c r="E3328" s="315"/>
      <c r="F3328" s="315"/>
      <c r="G3328" s="315"/>
      <c r="H3328" s="153"/>
      <c r="I3328" s="12"/>
      <c r="J3328" s="12"/>
      <c r="K3328" s="12"/>
      <c r="L3328" s="379"/>
      <c r="M3328" s="380"/>
      <c r="N3328" s="380"/>
      <c r="O3328" s="12"/>
      <c r="P3328" s="381"/>
      <c r="Q3328" s="12"/>
      <c r="R3328" s="12"/>
      <c r="S3328" s="382"/>
      <c r="T3328" s="383"/>
      <c r="U3328" s="384"/>
      <c r="V3328" s="12"/>
      <c r="W3328" s="12"/>
    </row>
    <row r="3329" spans="1:23" x14ac:dyDescent="0.3">
      <c r="A3329" s="193"/>
      <c r="B3329" s="378"/>
      <c r="C3329" s="315"/>
      <c r="D3329" s="316"/>
      <c r="E3329" s="315"/>
      <c r="F3329" s="315"/>
      <c r="G3329" s="315"/>
      <c r="H3329" s="153"/>
      <c r="I3329" s="12"/>
      <c r="J3329" s="12"/>
      <c r="K3329" s="12"/>
      <c r="L3329" s="379"/>
      <c r="M3329" s="380"/>
      <c r="N3329" s="380"/>
      <c r="O3329" s="12"/>
      <c r="P3329" s="381"/>
      <c r="Q3329" s="12"/>
      <c r="R3329" s="12"/>
      <c r="S3329" s="382"/>
      <c r="T3329" s="383"/>
      <c r="U3329" s="384"/>
      <c r="V3329" s="12"/>
      <c r="W3329" s="12"/>
    </row>
    <row r="3330" spans="1:23" x14ac:dyDescent="0.3">
      <c r="A3330" s="193"/>
      <c r="B3330" s="378"/>
      <c r="C3330" s="315"/>
      <c r="D3330" s="316"/>
      <c r="E3330" s="315"/>
      <c r="F3330" s="315"/>
      <c r="G3330" s="315"/>
      <c r="H3330" s="153"/>
      <c r="I3330" s="12"/>
      <c r="J3330" s="12"/>
      <c r="K3330" s="12"/>
      <c r="L3330" s="379"/>
      <c r="M3330" s="380"/>
      <c r="N3330" s="380"/>
      <c r="O3330" s="12"/>
      <c r="P3330" s="381"/>
      <c r="Q3330" s="12"/>
      <c r="R3330" s="12"/>
      <c r="S3330" s="382"/>
      <c r="T3330" s="383"/>
      <c r="U3330" s="384"/>
      <c r="V3330" s="12"/>
      <c r="W3330" s="12"/>
    </row>
    <row r="3331" spans="1:23" x14ac:dyDescent="0.3">
      <c r="A3331" s="193"/>
      <c r="B3331" s="378"/>
      <c r="C3331" s="315"/>
      <c r="D3331" s="316"/>
      <c r="E3331" s="315"/>
      <c r="F3331" s="315"/>
      <c r="G3331" s="315"/>
      <c r="H3331" s="153"/>
      <c r="I3331" s="12"/>
      <c r="J3331" s="12"/>
      <c r="K3331" s="12"/>
      <c r="L3331" s="379"/>
      <c r="M3331" s="380"/>
      <c r="N3331" s="380"/>
      <c r="O3331" s="12"/>
      <c r="P3331" s="381"/>
      <c r="Q3331" s="12"/>
      <c r="R3331" s="12"/>
      <c r="S3331" s="382"/>
      <c r="T3331" s="383"/>
      <c r="U3331" s="384"/>
      <c r="V3331" s="12"/>
      <c r="W3331" s="12"/>
    </row>
    <row r="3332" spans="1:23" x14ac:dyDescent="0.3">
      <c r="A3332" s="193"/>
      <c r="B3332" s="378"/>
      <c r="C3332" s="315"/>
      <c r="D3332" s="316"/>
      <c r="E3332" s="315"/>
      <c r="F3332" s="315"/>
      <c r="G3332" s="315"/>
      <c r="H3332" s="153"/>
      <c r="I3332" s="12"/>
      <c r="J3332" s="12"/>
      <c r="K3332" s="12"/>
      <c r="L3332" s="379"/>
      <c r="M3332" s="380"/>
      <c r="N3332" s="380"/>
      <c r="O3332" s="12"/>
      <c r="P3332" s="381"/>
      <c r="Q3332" s="12"/>
      <c r="R3332" s="12"/>
      <c r="S3332" s="382"/>
      <c r="T3332" s="383"/>
      <c r="U3332" s="384"/>
      <c r="V3332" s="12"/>
      <c r="W3332" s="12"/>
    </row>
    <row r="3333" spans="1:23" x14ac:dyDescent="0.3">
      <c r="A3333" s="193"/>
      <c r="B3333" s="378"/>
      <c r="C3333" s="315"/>
      <c r="D3333" s="316"/>
      <c r="E3333" s="315"/>
      <c r="F3333" s="315"/>
      <c r="G3333" s="315"/>
      <c r="H3333" s="153"/>
      <c r="I3333" s="12"/>
      <c r="J3333" s="12"/>
      <c r="K3333" s="12"/>
      <c r="L3333" s="379"/>
      <c r="M3333" s="380"/>
      <c r="N3333" s="380"/>
      <c r="O3333" s="12"/>
      <c r="P3333" s="381"/>
      <c r="Q3333" s="12"/>
      <c r="R3333" s="12"/>
      <c r="S3333" s="382"/>
      <c r="T3333" s="383"/>
      <c r="U3333" s="384"/>
      <c r="V3333" s="12"/>
      <c r="W3333" s="12"/>
    </row>
    <row r="3334" spans="1:23" x14ac:dyDescent="0.3">
      <c r="A3334" s="193"/>
      <c r="B3334" s="378"/>
      <c r="C3334" s="315"/>
      <c r="D3334" s="316"/>
      <c r="E3334" s="315"/>
      <c r="F3334" s="315"/>
      <c r="G3334" s="315"/>
      <c r="H3334" s="153"/>
      <c r="I3334" s="12"/>
      <c r="J3334" s="12"/>
      <c r="K3334" s="12"/>
      <c r="L3334" s="379"/>
      <c r="M3334" s="380"/>
      <c r="N3334" s="380"/>
      <c r="O3334" s="12"/>
      <c r="P3334" s="381"/>
      <c r="Q3334" s="12"/>
      <c r="R3334" s="12"/>
      <c r="S3334" s="382"/>
      <c r="T3334" s="383"/>
      <c r="U3334" s="384"/>
      <c r="V3334" s="12"/>
      <c r="W3334" s="12"/>
    </row>
    <row r="3335" spans="1:23" x14ac:dyDescent="0.3">
      <c r="A3335" s="193"/>
      <c r="B3335" s="378"/>
      <c r="C3335" s="315"/>
      <c r="D3335" s="316"/>
      <c r="E3335" s="315"/>
      <c r="F3335" s="315"/>
      <c r="G3335" s="315"/>
      <c r="H3335" s="153"/>
      <c r="I3335" s="12"/>
      <c r="J3335" s="12"/>
      <c r="K3335" s="12"/>
      <c r="L3335" s="379"/>
      <c r="M3335" s="380"/>
      <c r="N3335" s="380"/>
      <c r="O3335" s="12"/>
      <c r="P3335" s="381"/>
      <c r="Q3335" s="12"/>
      <c r="R3335" s="12"/>
      <c r="S3335" s="382"/>
      <c r="T3335" s="383"/>
      <c r="U3335" s="384"/>
      <c r="V3335" s="12"/>
      <c r="W3335" s="12"/>
    </row>
    <row r="3336" spans="1:23" x14ac:dyDescent="0.3">
      <c r="A3336" s="193"/>
      <c r="B3336" s="378"/>
      <c r="C3336" s="315"/>
      <c r="D3336" s="316"/>
      <c r="E3336" s="315"/>
      <c r="F3336" s="315"/>
      <c r="G3336" s="315"/>
      <c r="H3336" s="153"/>
      <c r="I3336" s="12"/>
      <c r="J3336" s="12"/>
      <c r="K3336" s="12"/>
      <c r="L3336" s="379"/>
      <c r="M3336" s="380"/>
      <c r="N3336" s="380"/>
      <c r="O3336" s="12"/>
      <c r="P3336" s="381"/>
      <c r="Q3336" s="12"/>
      <c r="R3336" s="12"/>
      <c r="S3336" s="382"/>
      <c r="T3336" s="383"/>
      <c r="U3336" s="384"/>
      <c r="V3336" s="12"/>
      <c r="W3336" s="12"/>
    </row>
    <row r="3337" spans="1:23" x14ac:dyDescent="0.3">
      <c r="A3337" s="193"/>
      <c r="B3337" s="378"/>
      <c r="C3337" s="315"/>
      <c r="D3337" s="316"/>
      <c r="E3337" s="315"/>
      <c r="F3337" s="315"/>
      <c r="G3337" s="315"/>
      <c r="H3337" s="153"/>
      <c r="I3337" s="12"/>
      <c r="J3337" s="12"/>
      <c r="K3337" s="12"/>
      <c r="L3337" s="379"/>
      <c r="M3337" s="380"/>
      <c r="N3337" s="380"/>
      <c r="O3337" s="12"/>
      <c r="P3337" s="381"/>
      <c r="Q3337" s="12"/>
      <c r="R3337" s="12"/>
      <c r="S3337" s="382"/>
      <c r="T3337" s="383"/>
      <c r="U3337" s="384"/>
      <c r="V3337" s="12"/>
      <c r="W3337" s="12"/>
    </row>
    <row r="3338" spans="1:23" x14ac:dyDescent="0.3">
      <c r="A3338" s="193"/>
      <c r="B3338" s="378"/>
      <c r="C3338" s="315"/>
      <c r="D3338" s="316"/>
      <c r="E3338" s="315"/>
      <c r="F3338" s="315"/>
      <c r="G3338" s="315"/>
      <c r="H3338" s="153"/>
      <c r="I3338" s="12"/>
      <c r="J3338" s="12"/>
      <c r="K3338" s="12"/>
      <c r="L3338" s="379"/>
      <c r="M3338" s="380"/>
      <c r="N3338" s="380"/>
      <c r="O3338" s="12"/>
      <c r="P3338" s="381"/>
      <c r="Q3338" s="12"/>
      <c r="R3338" s="12"/>
      <c r="S3338" s="382"/>
      <c r="T3338" s="383"/>
      <c r="U3338" s="384"/>
      <c r="V3338" s="12"/>
      <c r="W3338" s="12"/>
    </row>
    <row r="3339" spans="1:23" x14ac:dyDescent="0.3">
      <c r="A3339" s="193"/>
      <c r="B3339" s="378"/>
      <c r="C3339" s="315"/>
      <c r="D3339" s="316"/>
      <c r="E3339" s="315"/>
      <c r="F3339" s="315"/>
      <c r="G3339" s="315"/>
      <c r="H3339" s="153"/>
      <c r="I3339" s="12"/>
      <c r="J3339" s="12"/>
      <c r="K3339" s="12"/>
      <c r="L3339" s="379"/>
      <c r="M3339" s="380"/>
      <c r="N3339" s="380"/>
      <c r="O3339" s="12"/>
      <c r="P3339" s="381"/>
      <c r="Q3339" s="12"/>
      <c r="R3339" s="12"/>
      <c r="S3339" s="382"/>
      <c r="T3339" s="383"/>
      <c r="U3339" s="384"/>
      <c r="V3339" s="12"/>
      <c r="W3339" s="12"/>
    </row>
    <row r="3340" spans="1:23" x14ac:dyDescent="0.3">
      <c r="A3340" s="193"/>
      <c r="B3340" s="378"/>
      <c r="C3340" s="315"/>
      <c r="D3340" s="316"/>
      <c r="E3340" s="315"/>
      <c r="F3340" s="315"/>
      <c r="G3340" s="315"/>
      <c r="H3340" s="153"/>
      <c r="I3340" s="12"/>
      <c r="J3340" s="12"/>
      <c r="K3340" s="12"/>
      <c r="L3340" s="379"/>
      <c r="M3340" s="380"/>
      <c r="N3340" s="380"/>
      <c r="O3340" s="12"/>
      <c r="P3340" s="381"/>
      <c r="Q3340" s="12"/>
      <c r="R3340" s="12"/>
      <c r="S3340" s="382"/>
      <c r="T3340" s="383"/>
      <c r="U3340" s="384"/>
      <c r="V3340" s="12"/>
      <c r="W3340" s="12"/>
    </row>
    <row r="3341" spans="1:23" x14ac:dyDescent="0.3">
      <c r="A3341" s="193"/>
      <c r="B3341" s="378"/>
      <c r="C3341" s="315"/>
      <c r="D3341" s="316"/>
      <c r="E3341" s="315"/>
      <c r="F3341" s="315"/>
      <c r="G3341" s="315"/>
      <c r="H3341" s="153"/>
      <c r="I3341" s="12"/>
      <c r="J3341" s="12"/>
      <c r="K3341" s="12"/>
      <c r="L3341" s="379"/>
      <c r="M3341" s="380"/>
      <c r="N3341" s="380"/>
      <c r="O3341" s="12"/>
      <c r="P3341" s="381"/>
      <c r="Q3341" s="12"/>
      <c r="R3341" s="12"/>
      <c r="S3341" s="382"/>
      <c r="T3341" s="383"/>
      <c r="U3341" s="384"/>
      <c r="V3341" s="12"/>
      <c r="W3341" s="12"/>
    </row>
    <row r="3342" spans="1:23" x14ac:dyDescent="0.3">
      <c r="A3342" s="193"/>
      <c r="B3342" s="378"/>
      <c r="C3342" s="315"/>
      <c r="D3342" s="316"/>
      <c r="E3342" s="315"/>
      <c r="F3342" s="315"/>
      <c r="G3342" s="315"/>
      <c r="H3342" s="153"/>
      <c r="I3342" s="12"/>
      <c r="J3342" s="12"/>
      <c r="K3342" s="12"/>
      <c r="L3342" s="379"/>
      <c r="M3342" s="380"/>
      <c r="N3342" s="380"/>
      <c r="O3342" s="12"/>
      <c r="P3342" s="381"/>
      <c r="Q3342" s="12"/>
      <c r="R3342" s="12"/>
      <c r="S3342" s="382"/>
      <c r="T3342" s="383"/>
      <c r="U3342" s="384"/>
      <c r="V3342" s="12"/>
      <c r="W3342" s="12"/>
    </row>
    <row r="3343" spans="1:23" x14ac:dyDescent="0.3">
      <c r="A3343" s="193"/>
      <c r="B3343" s="378"/>
      <c r="C3343" s="315"/>
      <c r="D3343" s="316"/>
      <c r="E3343" s="315"/>
      <c r="F3343" s="315"/>
      <c r="G3343" s="315"/>
      <c r="H3343" s="153"/>
      <c r="I3343" s="12"/>
      <c r="J3343" s="12"/>
      <c r="K3343" s="12"/>
      <c r="L3343" s="379"/>
      <c r="M3343" s="380"/>
      <c r="N3343" s="380"/>
      <c r="O3343" s="12"/>
      <c r="P3343" s="381"/>
      <c r="Q3343" s="12"/>
      <c r="R3343" s="12"/>
      <c r="S3343" s="382"/>
      <c r="T3343" s="383"/>
      <c r="U3343" s="384"/>
      <c r="V3343" s="12"/>
      <c r="W3343" s="12"/>
    </row>
    <row r="3344" spans="1:23" x14ac:dyDescent="0.3">
      <c r="A3344" s="193"/>
      <c r="B3344" s="378"/>
      <c r="C3344" s="315"/>
      <c r="D3344" s="316"/>
      <c r="E3344" s="315"/>
      <c r="F3344" s="315"/>
      <c r="G3344" s="315"/>
      <c r="H3344" s="153"/>
      <c r="I3344" s="12"/>
      <c r="J3344" s="12"/>
      <c r="K3344" s="12"/>
      <c r="L3344" s="379"/>
      <c r="M3344" s="380"/>
      <c r="N3344" s="380"/>
      <c r="O3344" s="12"/>
      <c r="P3344" s="381"/>
      <c r="Q3344" s="12"/>
      <c r="R3344" s="12"/>
      <c r="S3344" s="382"/>
      <c r="T3344" s="383"/>
      <c r="U3344" s="384"/>
      <c r="V3344" s="12"/>
      <c r="W3344" s="12"/>
    </row>
    <row r="3345" spans="1:23" x14ac:dyDescent="0.3">
      <c r="A3345" s="193"/>
      <c r="B3345" s="378"/>
      <c r="C3345" s="315"/>
      <c r="D3345" s="316"/>
      <c r="E3345" s="315"/>
      <c r="F3345" s="315"/>
      <c r="G3345" s="315"/>
      <c r="H3345" s="153"/>
      <c r="I3345" s="12"/>
      <c r="J3345" s="12"/>
      <c r="K3345" s="12"/>
      <c r="L3345" s="379"/>
      <c r="M3345" s="380"/>
      <c r="N3345" s="380"/>
      <c r="O3345" s="12"/>
      <c r="P3345" s="381"/>
      <c r="Q3345" s="12"/>
      <c r="R3345" s="12"/>
      <c r="S3345" s="382"/>
      <c r="T3345" s="383"/>
      <c r="U3345" s="384"/>
      <c r="V3345" s="12"/>
      <c r="W3345" s="12"/>
    </row>
    <row r="3346" spans="1:23" x14ac:dyDescent="0.3">
      <c r="A3346" s="193"/>
      <c r="B3346" s="378"/>
      <c r="C3346" s="315"/>
      <c r="D3346" s="316"/>
      <c r="E3346" s="315"/>
      <c r="F3346" s="315"/>
      <c r="G3346" s="315"/>
      <c r="H3346" s="153"/>
      <c r="I3346" s="12"/>
      <c r="J3346" s="12"/>
      <c r="K3346" s="12"/>
      <c r="L3346" s="379"/>
      <c r="M3346" s="380"/>
      <c r="N3346" s="380"/>
      <c r="O3346" s="12"/>
      <c r="P3346" s="381"/>
      <c r="Q3346" s="12"/>
      <c r="R3346" s="12"/>
      <c r="S3346" s="382"/>
      <c r="T3346" s="383"/>
      <c r="U3346" s="384"/>
      <c r="V3346" s="12"/>
      <c r="W3346" s="12"/>
    </row>
    <row r="3347" spans="1:23" x14ac:dyDescent="0.3">
      <c r="A3347" s="193"/>
      <c r="B3347" s="378"/>
      <c r="C3347" s="315"/>
      <c r="D3347" s="316"/>
      <c r="E3347" s="315"/>
      <c r="F3347" s="315"/>
      <c r="G3347" s="315"/>
      <c r="H3347" s="153"/>
      <c r="I3347" s="12"/>
      <c r="J3347" s="12"/>
      <c r="K3347" s="12"/>
      <c r="L3347" s="379"/>
      <c r="M3347" s="380"/>
      <c r="N3347" s="380"/>
      <c r="O3347" s="12"/>
      <c r="P3347" s="381"/>
      <c r="Q3347" s="12"/>
      <c r="R3347" s="12"/>
      <c r="S3347" s="382"/>
      <c r="T3347" s="383"/>
      <c r="U3347" s="384"/>
      <c r="V3347" s="12"/>
      <c r="W3347" s="12"/>
    </row>
    <row r="3348" spans="1:23" x14ac:dyDescent="0.3">
      <c r="A3348" s="193"/>
      <c r="B3348" s="378"/>
      <c r="C3348" s="315"/>
      <c r="D3348" s="316"/>
      <c r="E3348" s="315"/>
      <c r="F3348" s="315"/>
      <c r="G3348" s="315"/>
      <c r="H3348" s="153"/>
      <c r="I3348" s="12"/>
      <c r="J3348" s="12"/>
      <c r="K3348" s="12"/>
      <c r="L3348" s="379"/>
      <c r="M3348" s="380"/>
      <c r="N3348" s="380"/>
      <c r="O3348" s="12"/>
      <c r="P3348" s="381"/>
      <c r="Q3348" s="12"/>
      <c r="R3348" s="12"/>
      <c r="S3348" s="382"/>
      <c r="T3348" s="383"/>
      <c r="U3348" s="384"/>
      <c r="V3348" s="12"/>
      <c r="W3348" s="12"/>
    </row>
    <row r="3349" spans="1:23" x14ac:dyDescent="0.3">
      <c r="A3349" s="193"/>
      <c r="B3349" s="378"/>
      <c r="C3349" s="315"/>
      <c r="D3349" s="316"/>
      <c r="E3349" s="315"/>
      <c r="F3349" s="315"/>
      <c r="G3349" s="315"/>
      <c r="H3349" s="153"/>
      <c r="I3349" s="12"/>
      <c r="J3349" s="12"/>
      <c r="K3349" s="12"/>
      <c r="L3349" s="379"/>
      <c r="M3349" s="380"/>
      <c r="N3349" s="380"/>
      <c r="O3349" s="12"/>
      <c r="P3349" s="381"/>
      <c r="Q3349" s="12"/>
      <c r="R3349" s="12"/>
      <c r="S3349" s="382"/>
      <c r="T3349" s="383"/>
      <c r="U3349" s="384"/>
      <c r="V3349" s="12"/>
      <c r="W3349" s="12"/>
    </row>
    <row r="3350" spans="1:23" x14ac:dyDescent="0.3">
      <c r="A3350" s="193"/>
      <c r="B3350" s="378"/>
      <c r="C3350" s="315"/>
      <c r="D3350" s="316"/>
      <c r="E3350" s="315"/>
      <c r="F3350" s="315"/>
      <c r="G3350" s="315"/>
      <c r="H3350" s="153"/>
      <c r="I3350" s="12"/>
      <c r="J3350" s="12"/>
      <c r="K3350" s="12"/>
      <c r="L3350" s="379"/>
      <c r="M3350" s="380"/>
      <c r="N3350" s="380"/>
      <c r="O3350" s="12"/>
      <c r="P3350" s="381"/>
      <c r="Q3350" s="12"/>
      <c r="R3350" s="12"/>
      <c r="S3350" s="382"/>
      <c r="T3350" s="383"/>
      <c r="U3350" s="384"/>
      <c r="V3350" s="12"/>
      <c r="W3350" s="12"/>
    </row>
    <row r="3351" spans="1:23" x14ac:dyDescent="0.3">
      <c r="A3351" s="193"/>
      <c r="B3351" s="378"/>
      <c r="C3351" s="315"/>
      <c r="D3351" s="316"/>
      <c r="E3351" s="315"/>
      <c r="F3351" s="315"/>
      <c r="G3351" s="315"/>
      <c r="H3351" s="153"/>
      <c r="I3351" s="12"/>
      <c r="J3351" s="12"/>
      <c r="K3351" s="12"/>
      <c r="L3351" s="379"/>
      <c r="M3351" s="380"/>
      <c r="N3351" s="380"/>
      <c r="O3351" s="12"/>
      <c r="P3351" s="381"/>
      <c r="Q3351" s="12"/>
      <c r="R3351" s="12"/>
      <c r="S3351" s="382"/>
      <c r="T3351" s="383"/>
      <c r="U3351" s="384"/>
      <c r="V3351" s="12"/>
      <c r="W3351" s="12"/>
    </row>
    <row r="3352" spans="1:23" x14ac:dyDescent="0.3">
      <c r="A3352" s="193"/>
      <c r="B3352" s="378"/>
      <c r="C3352" s="315"/>
      <c r="D3352" s="316"/>
      <c r="E3352" s="315"/>
      <c r="F3352" s="315"/>
      <c r="G3352" s="315"/>
      <c r="H3352" s="153"/>
      <c r="I3352" s="12"/>
      <c r="J3352" s="12"/>
      <c r="K3352" s="12"/>
      <c r="L3352" s="379"/>
      <c r="M3352" s="380"/>
      <c r="N3352" s="380"/>
      <c r="O3352" s="12"/>
      <c r="P3352" s="381"/>
      <c r="Q3352" s="12"/>
      <c r="R3352" s="12"/>
      <c r="S3352" s="382"/>
      <c r="T3352" s="383"/>
      <c r="U3352" s="384"/>
      <c r="V3352" s="12"/>
      <c r="W3352" s="12"/>
    </row>
    <row r="3353" spans="1:23" x14ac:dyDescent="0.3">
      <c r="A3353" s="193"/>
      <c r="B3353" s="378"/>
      <c r="C3353" s="315"/>
      <c r="D3353" s="316"/>
      <c r="E3353" s="315"/>
      <c r="F3353" s="315"/>
      <c r="G3353" s="315"/>
      <c r="H3353" s="153"/>
      <c r="I3353" s="12"/>
      <c r="J3353" s="12"/>
      <c r="K3353" s="12"/>
      <c r="L3353" s="379"/>
      <c r="M3353" s="380"/>
      <c r="N3353" s="380"/>
      <c r="O3353" s="12"/>
      <c r="P3353" s="381"/>
      <c r="Q3353" s="12"/>
      <c r="R3353" s="12"/>
      <c r="S3353" s="382"/>
      <c r="T3353" s="383"/>
      <c r="U3353" s="384"/>
      <c r="V3353" s="12"/>
      <c r="W3353" s="12"/>
    </row>
    <row r="3354" spans="1:23" x14ac:dyDescent="0.3">
      <c r="A3354" s="193"/>
      <c r="B3354" s="378"/>
      <c r="C3354" s="315"/>
      <c r="D3354" s="316"/>
      <c r="E3354" s="315"/>
      <c r="F3354" s="315"/>
      <c r="G3354" s="315"/>
      <c r="H3354" s="153"/>
      <c r="I3354" s="12"/>
      <c r="J3354" s="12"/>
      <c r="K3354" s="12"/>
      <c r="L3354" s="379"/>
      <c r="M3354" s="380"/>
      <c r="N3354" s="380"/>
      <c r="O3354" s="12"/>
      <c r="P3354" s="381"/>
      <c r="Q3354" s="12"/>
      <c r="R3354" s="12"/>
      <c r="S3354" s="382"/>
      <c r="T3354" s="383"/>
      <c r="U3354" s="384"/>
      <c r="V3354" s="12"/>
      <c r="W3354" s="12"/>
    </row>
    <row r="3355" spans="1:23" x14ac:dyDescent="0.3">
      <c r="A3355" s="193"/>
      <c r="B3355" s="378"/>
      <c r="C3355" s="315"/>
      <c r="D3355" s="316"/>
      <c r="E3355" s="315"/>
      <c r="F3355" s="315"/>
      <c r="G3355" s="315"/>
      <c r="H3355" s="153"/>
      <c r="I3355" s="12"/>
      <c r="J3355" s="12"/>
      <c r="K3355" s="12"/>
      <c r="L3355" s="379"/>
      <c r="M3355" s="380"/>
      <c r="N3355" s="380"/>
      <c r="O3355" s="12"/>
      <c r="P3355" s="381"/>
      <c r="Q3355" s="12"/>
      <c r="R3355" s="12"/>
      <c r="S3355" s="382"/>
      <c r="T3355" s="383"/>
      <c r="U3355" s="384"/>
      <c r="V3355" s="12"/>
      <c r="W3355" s="12"/>
    </row>
    <row r="3356" spans="1:23" x14ac:dyDescent="0.3">
      <c r="A3356" s="193"/>
      <c r="B3356" s="378"/>
      <c r="C3356" s="315"/>
      <c r="D3356" s="316"/>
      <c r="E3356" s="315"/>
      <c r="F3356" s="315"/>
      <c r="G3356" s="315"/>
      <c r="H3356" s="153"/>
      <c r="I3356" s="12"/>
      <c r="J3356" s="12"/>
      <c r="K3356" s="12"/>
      <c r="L3356" s="379"/>
      <c r="M3356" s="380"/>
      <c r="N3356" s="380"/>
      <c r="O3356" s="12"/>
      <c r="P3356" s="381"/>
      <c r="Q3356" s="12"/>
      <c r="R3356" s="12"/>
      <c r="S3356" s="382"/>
      <c r="T3356" s="383"/>
      <c r="U3356" s="384"/>
      <c r="V3356" s="12"/>
      <c r="W3356" s="12"/>
    </row>
    <row r="3357" spans="1:23" x14ac:dyDescent="0.3">
      <c r="A3357" s="193"/>
      <c r="B3357" s="378"/>
      <c r="C3357" s="315"/>
      <c r="D3357" s="316"/>
      <c r="E3357" s="315"/>
      <c r="F3357" s="315"/>
      <c r="G3357" s="315"/>
      <c r="H3357" s="153"/>
      <c r="I3357" s="12"/>
      <c r="J3357" s="12"/>
      <c r="K3357" s="12"/>
      <c r="L3357" s="379"/>
      <c r="M3357" s="380"/>
      <c r="N3357" s="380"/>
      <c r="O3357" s="12"/>
      <c r="P3357" s="381"/>
      <c r="Q3357" s="12"/>
      <c r="R3357" s="12"/>
      <c r="S3357" s="382"/>
      <c r="T3357" s="383"/>
      <c r="U3357" s="384"/>
      <c r="V3357" s="12"/>
      <c r="W3357" s="12"/>
    </row>
    <row r="3358" spans="1:23" x14ac:dyDescent="0.3">
      <c r="A3358" s="193"/>
      <c r="B3358" s="378"/>
      <c r="C3358" s="315"/>
      <c r="D3358" s="316"/>
      <c r="E3358" s="315"/>
      <c r="F3358" s="315"/>
      <c r="G3358" s="315"/>
      <c r="H3358" s="153"/>
      <c r="I3358" s="12"/>
      <c r="J3358" s="12"/>
      <c r="K3358" s="12"/>
      <c r="L3358" s="379"/>
      <c r="M3358" s="380"/>
      <c r="N3358" s="380"/>
      <c r="O3358" s="12"/>
      <c r="P3358" s="381"/>
      <c r="Q3358" s="12"/>
      <c r="R3358" s="12"/>
      <c r="S3358" s="382"/>
      <c r="T3358" s="383"/>
      <c r="U3358" s="384"/>
      <c r="V3358" s="12"/>
      <c r="W3358" s="12"/>
    </row>
    <row r="3359" spans="1:23" x14ac:dyDescent="0.3">
      <c r="A3359" s="193"/>
      <c r="B3359" s="378"/>
      <c r="C3359" s="315"/>
      <c r="D3359" s="316"/>
      <c r="E3359" s="315"/>
      <c r="F3359" s="315"/>
      <c r="G3359" s="315"/>
      <c r="H3359" s="153"/>
      <c r="I3359" s="12"/>
      <c r="J3359" s="12"/>
      <c r="K3359" s="12"/>
      <c r="L3359" s="379"/>
      <c r="M3359" s="380"/>
      <c r="N3359" s="380"/>
      <c r="O3359" s="12"/>
      <c r="P3359" s="381"/>
      <c r="Q3359" s="12"/>
      <c r="R3359" s="12"/>
      <c r="S3359" s="382"/>
      <c r="T3359" s="383"/>
      <c r="U3359" s="384"/>
      <c r="V3359" s="12"/>
      <c r="W3359" s="12"/>
    </row>
    <row r="3360" spans="1:23" x14ac:dyDescent="0.3">
      <c r="A3360" s="193"/>
      <c r="B3360" s="378"/>
      <c r="C3360" s="315"/>
      <c r="D3360" s="316"/>
      <c r="E3360" s="315"/>
      <c r="F3360" s="315"/>
      <c r="G3360" s="315"/>
      <c r="H3360" s="153"/>
      <c r="I3360" s="12"/>
      <c r="J3360" s="12"/>
      <c r="K3360" s="12"/>
      <c r="L3360" s="379"/>
      <c r="M3360" s="380"/>
      <c r="N3360" s="380"/>
      <c r="O3360" s="12"/>
      <c r="P3360" s="381"/>
      <c r="Q3360" s="12"/>
      <c r="R3360" s="12"/>
      <c r="S3360" s="382"/>
      <c r="T3360" s="383"/>
      <c r="U3360" s="384"/>
      <c r="V3360" s="12"/>
      <c r="W3360" s="12"/>
    </row>
    <row r="3361" spans="1:23" x14ac:dyDescent="0.3">
      <c r="A3361" s="193"/>
      <c r="B3361" s="378"/>
      <c r="C3361" s="315"/>
      <c r="D3361" s="316"/>
      <c r="E3361" s="315"/>
      <c r="F3361" s="315"/>
      <c r="G3361" s="315"/>
      <c r="H3361" s="153"/>
      <c r="I3361" s="12"/>
      <c r="J3361" s="12"/>
      <c r="K3361" s="12"/>
      <c r="L3361" s="379"/>
      <c r="M3361" s="380"/>
      <c r="N3361" s="380"/>
      <c r="O3361" s="12"/>
      <c r="P3361" s="381"/>
      <c r="Q3361" s="12"/>
      <c r="R3361" s="12"/>
      <c r="S3361" s="382"/>
      <c r="T3361" s="383"/>
      <c r="U3361" s="384"/>
      <c r="V3361" s="12"/>
      <c r="W3361" s="12"/>
    </row>
    <row r="3362" spans="1:23" x14ac:dyDescent="0.3">
      <c r="A3362" s="193"/>
      <c r="B3362" s="378"/>
      <c r="C3362" s="315"/>
      <c r="D3362" s="316"/>
      <c r="E3362" s="315"/>
      <c r="F3362" s="315"/>
      <c r="G3362" s="315"/>
      <c r="H3362" s="153"/>
      <c r="I3362" s="12"/>
      <c r="J3362" s="12"/>
      <c r="K3362" s="12"/>
      <c r="L3362" s="379"/>
      <c r="M3362" s="380"/>
      <c r="N3362" s="380"/>
      <c r="O3362" s="12"/>
      <c r="P3362" s="381"/>
      <c r="Q3362" s="12"/>
      <c r="R3362" s="12"/>
      <c r="S3362" s="382"/>
      <c r="T3362" s="383"/>
      <c r="U3362" s="384"/>
      <c r="V3362" s="12"/>
      <c r="W3362" s="12"/>
    </row>
    <row r="3363" spans="1:23" x14ac:dyDescent="0.3">
      <c r="A3363" s="193"/>
      <c r="B3363" s="378"/>
      <c r="C3363" s="315"/>
      <c r="D3363" s="316"/>
      <c r="E3363" s="315"/>
      <c r="F3363" s="315"/>
      <c r="G3363" s="315"/>
      <c r="H3363" s="153"/>
      <c r="I3363" s="12"/>
      <c r="J3363" s="12"/>
      <c r="K3363" s="12"/>
      <c r="L3363" s="379"/>
      <c r="M3363" s="380"/>
      <c r="N3363" s="380"/>
      <c r="O3363" s="12"/>
      <c r="P3363" s="381"/>
      <c r="Q3363" s="12"/>
      <c r="R3363" s="12"/>
      <c r="S3363" s="382"/>
      <c r="T3363" s="383"/>
      <c r="U3363" s="384"/>
      <c r="V3363" s="12"/>
      <c r="W3363" s="12"/>
    </row>
    <row r="3364" spans="1:23" x14ac:dyDescent="0.3">
      <c r="A3364" s="193"/>
      <c r="B3364" s="378"/>
      <c r="C3364" s="315"/>
      <c r="D3364" s="316"/>
      <c r="E3364" s="315"/>
      <c r="F3364" s="315"/>
      <c r="G3364" s="315"/>
      <c r="H3364" s="153"/>
      <c r="I3364" s="12"/>
      <c r="J3364" s="12"/>
      <c r="K3364" s="12"/>
      <c r="L3364" s="379"/>
      <c r="M3364" s="380"/>
      <c r="N3364" s="380"/>
      <c r="O3364" s="12"/>
      <c r="P3364" s="381"/>
      <c r="Q3364" s="12"/>
      <c r="R3364" s="12"/>
      <c r="S3364" s="382"/>
      <c r="T3364" s="383"/>
      <c r="U3364" s="384"/>
      <c r="V3364" s="12"/>
      <c r="W3364" s="12"/>
    </row>
    <row r="3365" spans="1:23" x14ac:dyDescent="0.3">
      <c r="A3365" s="193"/>
      <c r="B3365" s="378"/>
      <c r="C3365" s="315"/>
      <c r="D3365" s="316"/>
      <c r="E3365" s="315"/>
      <c r="F3365" s="315"/>
      <c r="G3365" s="315"/>
      <c r="H3365" s="153"/>
      <c r="I3365" s="12"/>
      <c r="J3365" s="12"/>
      <c r="K3365" s="12"/>
      <c r="L3365" s="379"/>
      <c r="M3365" s="380"/>
      <c r="N3365" s="380"/>
      <c r="O3365" s="12"/>
      <c r="P3365" s="381"/>
      <c r="Q3365" s="12"/>
      <c r="R3365" s="12"/>
      <c r="S3365" s="382"/>
      <c r="T3365" s="383"/>
      <c r="U3365" s="384"/>
      <c r="V3365" s="12"/>
      <c r="W3365" s="12"/>
    </row>
    <row r="3366" spans="1:23" x14ac:dyDescent="0.3">
      <c r="A3366" s="193"/>
      <c r="B3366" s="378"/>
      <c r="C3366" s="315"/>
      <c r="D3366" s="316"/>
      <c r="E3366" s="315"/>
      <c r="F3366" s="315"/>
      <c r="G3366" s="315"/>
      <c r="H3366" s="153"/>
      <c r="I3366" s="12"/>
      <c r="J3366" s="12"/>
      <c r="K3366" s="12"/>
      <c r="L3366" s="379"/>
      <c r="M3366" s="380"/>
      <c r="N3366" s="380"/>
      <c r="O3366" s="12"/>
      <c r="P3366" s="381"/>
      <c r="Q3366" s="12"/>
      <c r="R3366" s="12"/>
      <c r="S3366" s="382"/>
      <c r="T3366" s="383"/>
      <c r="U3366" s="384"/>
      <c r="V3366" s="12"/>
      <c r="W3366" s="12"/>
    </row>
    <row r="3367" spans="1:23" x14ac:dyDescent="0.3">
      <c r="A3367" s="193"/>
      <c r="B3367" s="378"/>
      <c r="C3367" s="315"/>
      <c r="D3367" s="316"/>
      <c r="E3367" s="315"/>
      <c r="F3367" s="315"/>
      <c r="G3367" s="315"/>
      <c r="H3367" s="153"/>
      <c r="I3367" s="12"/>
      <c r="J3367" s="12"/>
      <c r="K3367" s="12"/>
      <c r="L3367" s="379"/>
      <c r="M3367" s="380"/>
      <c r="N3367" s="380"/>
      <c r="O3367" s="12"/>
      <c r="P3367" s="381"/>
      <c r="Q3367" s="12"/>
      <c r="R3367" s="12"/>
      <c r="S3367" s="382"/>
      <c r="T3367" s="383"/>
      <c r="U3367" s="384"/>
      <c r="V3367" s="12"/>
      <c r="W3367" s="12"/>
    </row>
    <row r="3368" spans="1:23" x14ac:dyDescent="0.3">
      <c r="A3368" s="193"/>
      <c r="B3368" s="378"/>
      <c r="C3368" s="315"/>
      <c r="D3368" s="316"/>
      <c r="E3368" s="315"/>
      <c r="F3368" s="315"/>
      <c r="G3368" s="315"/>
      <c r="H3368" s="153"/>
      <c r="I3368" s="12"/>
      <c r="J3368" s="12"/>
      <c r="K3368" s="12"/>
      <c r="L3368" s="379"/>
      <c r="M3368" s="380"/>
      <c r="N3368" s="380"/>
      <c r="O3368" s="12"/>
      <c r="P3368" s="381"/>
      <c r="Q3368" s="12"/>
      <c r="R3368" s="12"/>
      <c r="S3368" s="382"/>
      <c r="T3368" s="383"/>
      <c r="U3368" s="384"/>
      <c r="V3368" s="12"/>
      <c r="W3368" s="12"/>
    </row>
    <row r="3369" spans="1:23" x14ac:dyDescent="0.3">
      <c r="A3369" s="193"/>
      <c r="B3369" s="378"/>
      <c r="C3369" s="315"/>
      <c r="D3369" s="316"/>
      <c r="E3369" s="315"/>
      <c r="F3369" s="315"/>
      <c r="G3369" s="315"/>
      <c r="H3369" s="153"/>
      <c r="I3369" s="12"/>
      <c r="J3369" s="12"/>
      <c r="K3369" s="12"/>
      <c r="L3369" s="379"/>
      <c r="M3369" s="380"/>
      <c r="N3369" s="380"/>
      <c r="O3369" s="12"/>
      <c r="P3369" s="381"/>
      <c r="Q3369" s="12"/>
      <c r="R3369" s="12"/>
      <c r="S3369" s="382"/>
      <c r="T3369" s="383"/>
      <c r="U3369" s="384"/>
      <c r="V3369" s="12"/>
      <c r="W3369" s="12"/>
    </row>
    <row r="3370" spans="1:23" x14ac:dyDescent="0.3">
      <c r="A3370" s="193"/>
      <c r="B3370" s="378"/>
      <c r="C3370" s="315"/>
      <c r="D3370" s="316"/>
      <c r="E3370" s="315"/>
      <c r="F3370" s="315"/>
      <c r="G3370" s="315"/>
      <c r="H3370" s="153"/>
      <c r="I3370" s="12"/>
      <c r="J3370" s="12"/>
      <c r="K3370" s="12"/>
      <c r="L3370" s="379"/>
      <c r="M3370" s="380"/>
      <c r="N3370" s="380"/>
      <c r="O3370" s="12"/>
      <c r="P3370" s="381"/>
      <c r="Q3370" s="12"/>
      <c r="R3370" s="12"/>
      <c r="S3370" s="382"/>
      <c r="T3370" s="383"/>
      <c r="U3370" s="384"/>
      <c r="V3370" s="12"/>
      <c r="W3370" s="12"/>
    </row>
    <row r="3371" spans="1:23" x14ac:dyDescent="0.3">
      <c r="A3371" s="193"/>
      <c r="B3371" s="378"/>
      <c r="C3371" s="315"/>
      <c r="D3371" s="316"/>
      <c r="E3371" s="315"/>
      <c r="F3371" s="315"/>
      <c r="G3371" s="315"/>
      <c r="H3371" s="153"/>
      <c r="I3371" s="12"/>
      <c r="J3371" s="12"/>
      <c r="K3371" s="12"/>
      <c r="L3371" s="379"/>
      <c r="M3371" s="380"/>
      <c r="N3371" s="380"/>
      <c r="O3371" s="12"/>
      <c r="P3371" s="381"/>
      <c r="Q3371" s="12"/>
      <c r="R3371" s="12"/>
      <c r="S3371" s="382"/>
      <c r="T3371" s="383"/>
      <c r="U3371" s="384"/>
      <c r="V3371" s="12"/>
      <c r="W3371" s="12"/>
    </row>
    <row r="3372" spans="1:23" x14ac:dyDescent="0.3">
      <c r="A3372" s="193"/>
      <c r="B3372" s="378"/>
      <c r="C3372" s="315"/>
      <c r="D3372" s="316"/>
      <c r="E3372" s="315"/>
      <c r="F3372" s="315"/>
      <c r="G3372" s="315"/>
      <c r="H3372" s="153"/>
      <c r="I3372" s="12"/>
      <c r="J3372" s="12"/>
      <c r="K3372" s="12"/>
      <c r="L3372" s="379"/>
      <c r="M3372" s="380"/>
      <c r="N3372" s="380"/>
      <c r="O3372" s="12"/>
      <c r="P3372" s="381"/>
      <c r="Q3372" s="12"/>
      <c r="R3372" s="12"/>
      <c r="S3372" s="382"/>
      <c r="T3372" s="383"/>
      <c r="U3372" s="384"/>
      <c r="V3372" s="12"/>
      <c r="W3372" s="12"/>
    </row>
    <row r="3373" spans="1:23" x14ac:dyDescent="0.3">
      <c r="A3373" s="193"/>
      <c r="B3373" s="378"/>
      <c r="C3373" s="315"/>
      <c r="D3373" s="316"/>
      <c r="E3373" s="315"/>
      <c r="F3373" s="315"/>
      <c r="G3373" s="315"/>
      <c r="H3373" s="153"/>
      <c r="I3373" s="12"/>
      <c r="J3373" s="12"/>
      <c r="K3373" s="12"/>
      <c r="L3373" s="379"/>
      <c r="M3373" s="380"/>
      <c r="N3373" s="380"/>
      <c r="O3373" s="12"/>
      <c r="P3373" s="381"/>
      <c r="Q3373" s="12"/>
      <c r="R3373" s="12"/>
      <c r="S3373" s="382"/>
      <c r="T3373" s="383"/>
      <c r="U3373" s="384"/>
      <c r="V3373" s="12"/>
      <c r="W3373" s="12"/>
    </row>
    <row r="3374" spans="1:23" x14ac:dyDescent="0.3">
      <c r="A3374" s="193"/>
      <c r="B3374" s="378"/>
      <c r="C3374" s="315"/>
      <c r="D3374" s="316"/>
      <c r="E3374" s="315"/>
      <c r="F3374" s="315"/>
      <c r="G3374" s="315"/>
      <c r="H3374" s="153"/>
      <c r="I3374" s="12"/>
      <c r="J3374" s="12"/>
      <c r="K3374" s="12"/>
      <c r="L3374" s="379"/>
      <c r="M3374" s="380"/>
      <c r="N3374" s="380"/>
      <c r="O3374" s="12"/>
      <c r="P3374" s="381"/>
      <c r="Q3374" s="12"/>
      <c r="R3374" s="12"/>
      <c r="S3374" s="382"/>
      <c r="T3374" s="383"/>
      <c r="U3374" s="384"/>
      <c r="V3374" s="12"/>
      <c r="W3374" s="12"/>
    </row>
    <row r="3375" spans="1:23" x14ac:dyDescent="0.3">
      <c r="A3375" s="193"/>
      <c r="B3375" s="378"/>
      <c r="C3375" s="315"/>
      <c r="D3375" s="316"/>
      <c r="E3375" s="315"/>
      <c r="F3375" s="315"/>
      <c r="G3375" s="315"/>
      <c r="H3375" s="153"/>
      <c r="I3375" s="12"/>
      <c r="J3375" s="12"/>
      <c r="K3375" s="12"/>
      <c r="L3375" s="379"/>
      <c r="M3375" s="380"/>
      <c r="N3375" s="380"/>
      <c r="O3375" s="12"/>
      <c r="P3375" s="381"/>
      <c r="Q3375" s="12"/>
      <c r="R3375" s="12"/>
      <c r="S3375" s="382"/>
      <c r="T3375" s="383"/>
      <c r="U3375" s="384"/>
      <c r="V3375" s="12"/>
      <c r="W3375" s="12"/>
    </row>
    <row r="3376" spans="1:23" x14ac:dyDescent="0.3">
      <c r="A3376" s="193"/>
      <c r="B3376" s="378"/>
      <c r="C3376" s="315"/>
      <c r="D3376" s="316"/>
      <c r="E3376" s="315"/>
      <c r="F3376" s="315"/>
      <c r="G3376" s="315"/>
      <c r="H3376" s="153"/>
      <c r="I3376" s="12"/>
      <c r="J3376" s="12"/>
      <c r="K3376" s="12"/>
      <c r="L3376" s="379"/>
      <c r="M3376" s="380"/>
      <c r="N3376" s="380"/>
      <c r="O3376" s="12"/>
      <c r="P3376" s="381"/>
      <c r="Q3376" s="12"/>
      <c r="R3376" s="12"/>
      <c r="S3376" s="382"/>
      <c r="T3376" s="383"/>
      <c r="U3376" s="384"/>
      <c r="V3376" s="12"/>
      <c r="W3376" s="12"/>
    </row>
    <row r="3377" spans="1:23" x14ac:dyDescent="0.3">
      <c r="A3377" s="193"/>
      <c r="B3377" s="378"/>
      <c r="C3377" s="315"/>
      <c r="D3377" s="316"/>
      <c r="E3377" s="315"/>
      <c r="F3377" s="315"/>
      <c r="G3377" s="315"/>
      <c r="H3377" s="153"/>
      <c r="I3377" s="12"/>
      <c r="J3377" s="12"/>
      <c r="K3377" s="12"/>
      <c r="L3377" s="379"/>
      <c r="M3377" s="380"/>
      <c r="N3377" s="380"/>
      <c r="O3377" s="12"/>
      <c r="P3377" s="381"/>
      <c r="Q3377" s="12"/>
      <c r="R3377" s="12"/>
      <c r="S3377" s="382"/>
      <c r="T3377" s="383"/>
      <c r="U3377" s="384"/>
      <c r="V3377" s="12"/>
      <c r="W3377" s="12"/>
    </row>
    <row r="3378" spans="1:23" x14ac:dyDescent="0.3">
      <c r="A3378" s="193"/>
      <c r="B3378" s="378"/>
      <c r="C3378" s="315"/>
      <c r="D3378" s="316"/>
      <c r="E3378" s="315"/>
      <c r="F3378" s="315"/>
      <c r="G3378" s="315"/>
      <c r="H3378" s="153"/>
      <c r="I3378" s="12"/>
      <c r="J3378" s="12"/>
      <c r="K3378" s="12"/>
      <c r="L3378" s="379"/>
      <c r="M3378" s="380"/>
      <c r="N3378" s="380"/>
      <c r="O3378" s="12"/>
      <c r="P3378" s="381"/>
      <c r="Q3378" s="12"/>
      <c r="R3378" s="12"/>
      <c r="S3378" s="382"/>
      <c r="T3378" s="383"/>
      <c r="U3378" s="384"/>
      <c r="V3378" s="12"/>
      <c r="W3378" s="12"/>
    </row>
    <row r="3379" spans="1:23" x14ac:dyDescent="0.3">
      <c r="A3379" s="193"/>
      <c r="B3379" s="378"/>
      <c r="C3379" s="315"/>
      <c r="D3379" s="316"/>
      <c r="E3379" s="315"/>
      <c r="F3379" s="315"/>
      <c r="G3379" s="315"/>
      <c r="H3379" s="153"/>
      <c r="I3379" s="12"/>
      <c r="J3379" s="12"/>
      <c r="K3379" s="12"/>
      <c r="L3379" s="379"/>
      <c r="M3379" s="380"/>
      <c r="N3379" s="380"/>
      <c r="O3379" s="12"/>
      <c r="P3379" s="381"/>
      <c r="Q3379" s="12"/>
      <c r="R3379" s="12"/>
      <c r="S3379" s="382"/>
      <c r="T3379" s="383"/>
      <c r="U3379" s="384"/>
      <c r="V3379" s="12"/>
      <c r="W3379" s="12"/>
    </row>
    <row r="3380" spans="1:23" x14ac:dyDescent="0.3">
      <c r="A3380" s="193"/>
      <c r="B3380" s="378"/>
      <c r="C3380" s="315"/>
      <c r="D3380" s="316"/>
      <c r="E3380" s="315"/>
      <c r="F3380" s="315"/>
      <c r="G3380" s="315"/>
      <c r="H3380" s="153"/>
      <c r="I3380" s="12"/>
      <c r="J3380" s="12"/>
      <c r="K3380" s="12"/>
      <c r="L3380" s="379"/>
      <c r="M3380" s="380"/>
      <c r="N3380" s="380"/>
      <c r="O3380" s="12"/>
      <c r="P3380" s="381"/>
      <c r="Q3380" s="12"/>
      <c r="R3380" s="12"/>
      <c r="S3380" s="382"/>
      <c r="T3380" s="383"/>
      <c r="U3380" s="384"/>
      <c r="V3380" s="12"/>
      <c r="W3380" s="12"/>
    </row>
    <row r="3381" spans="1:23" x14ac:dyDescent="0.3">
      <c r="A3381" s="193"/>
      <c r="B3381" s="378"/>
      <c r="C3381" s="315"/>
      <c r="D3381" s="316"/>
      <c r="E3381" s="315"/>
      <c r="F3381" s="315"/>
      <c r="G3381" s="315"/>
      <c r="H3381" s="153"/>
      <c r="I3381" s="12"/>
      <c r="J3381" s="12"/>
      <c r="K3381" s="12"/>
      <c r="L3381" s="379"/>
      <c r="M3381" s="380"/>
      <c r="N3381" s="380"/>
      <c r="O3381" s="12"/>
      <c r="P3381" s="381"/>
      <c r="Q3381" s="12"/>
      <c r="R3381" s="12"/>
      <c r="S3381" s="382"/>
      <c r="T3381" s="383"/>
      <c r="U3381" s="384"/>
      <c r="V3381" s="12"/>
      <c r="W3381" s="12"/>
    </row>
    <row r="3382" spans="1:23" x14ac:dyDescent="0.3">
      <c r="A3382" s="193"/>
      <c r="B3382" s="378"/>
      <c r="C3382" s="315"/>
      <c r="D3382" s="316"/>
      <c r="E3382" s="315"/>
      <c r="F3382" s="315"/>
      <c r="G3382" s="315"/>
      <c r="H3382" s="153"/>
      <c r="I3382" s="12"/>
      <c r="J3382" s="12"/>
      <c r="K3382" s="12"/>
      <c r="L3382" s="379"/>
      <c r="M3382" s="380"/>
      <c r="N3382" s="380"/>
      <c r="O3382" s="12"/>
      <c r="P3382" s="381"/>
      <c r="Q3382" s="12"/>
      <c r="R3382" s="12"/>
      <c r="S3382" s="382"/>
      <c r="T3382" s="383"/>
      <c r="U3382" s="384"/>
      <c r="V3382" s="12"/>
      <c r="W3382" s="12"/>
    </row>
    <row r="3383" spans="1:23" x14ac:dyDescent="0.3">
      <c r="A3383" s="193"/>
      <c r="B3383" s="378"/>
      <c r="C3383" s="315"/>
      <c r="D3383" s="316"/>
      <c r="E3383" s="315"/>
      <c r="F3383" s="315"/>
      <c r="G3383" s="315"/>
      <c r="H3383" s="153"/>
      <c r="I3383" s="12"/>
      <c r="J3383" s="12"/>
      <c r="K3383" s="12"/>
      <c r="L3383" s="379"/>
      <c r="M3383" s="380"/>
      <c r="N3383" s="380"/>
      <c r="O3383" s="12"/>
      <c r="P3383" s="381"/>
      <c r="Q3383" s="12"/>
      <c r="R3383" s="12"/>
      <c r="S3383" s="382"/>
      <c r="T3383" s="383"/>
      <c r="U3383" s="384"/>
      <c r="V3383" s="12"/>
      <c r="W3383" s="12"/>
    </row>
    <row r="3384" spans="1:23" x14ac:dyDescent="0.3">
      <c r="A3384" s="193"/>
      <c r="B3384" s="378"/>
      <c r="C3384" s="315"/>
      <c r="D3384" s="316"/>
      <c r="E3384" s="315"/>
      <c r="F3384" s="315"/>
      <c r="G3384" s="315"/>
      <c r="H3384" s="153"/>
      <c r="I3384" s="12"/>
      <c r="J3384" s="12"/>
      <c r="K3384" s="12"/>
      <c r="L3384" s="379"/>
      <c r="M3384" s="380"/>
      <c r="N3384" s="380"/>
      <c r="O3384" s="12"/>
      <c r="P3384" s="381"/>
      <c r="Q3384" s="12"/>
      <c r="R3384" s="12"/>
      <c r="S3384" s="382"/>
      <c r="T3384" s="383"/>
      <c r="U3384" s="384"/>
      <c r="V3384" s="12"/>
      <c r="W3384" s="12"/>
    </row>
    <row r="3385" spans="1:23" x14ac:dyDescent="0.3">
      <c r="A3385" s="193"/>
      <c r="B3385" s="378"/>
      <c r="C3385" s="315"/>
      <c r="D3385" s="316"/>
      <c r="E3385" s="315"/>
      <c r="F3385" s="315"/>
      <c r="G3385" s="315"/>
      <c r="H3385" s="153"/>
      <c r="I3385" s="12"/>
      <c r="J3385" s="12"/>
      <c r="K3385" s="12"/>
      <c r="L3385" s="379"/>
      <c r="M3385" s="380"/>
      <c r="N3385" s="380"/>
      <c r="O3385" s="12"/>
      <c r="P3385" s="381"/>
      <c r="Q3385" s="12"/>
      <c r="R3385" s="12"/>
      <c r="S3385" s="382"/>
      <c r="T3385" s="383"/>
      <c r="U3385" s="384"/>
      <c r="V3385" s="12"/>
      <c r="W3385" s="12"/>
    </row>
    <row r="3386" spans="1:23" x14ac:dyDescent="0.3">
      <c r="A3386" s="193"/>
      <c r="B3386" s="378"/>
      <c r="C3386" s="315"/>
      <c r="D3386" s="316"/>
      <c r="E3386" s="315"/>
      <c r="F3386" s="315"/>
      <c r="G3386" s="315"/>
      <c r="H3386" s="153"/>
      <c r="I3386" s="12"/>
      <c r="J3386" s="12"/>
      <c r="K3386" s="12"/>
      <c r="L3386" s="379"/>
      <c r="M3386" s="380"/>
      <c r="N3386" s="380"/>
      <c r="O3386" s="12"/>
      <c r="P3386" s="381"/>
      <c r="Q3386" s="12"/>
      <c r="R3386" s="12"/>
      <c r="S3386" s="382"/>
      <c r="T3386" s="383"/>
      <c r="U3386" s="384"/>
      <c r="V3386" s="12"/>
      <c r="W3386" s="12"/>
    </row>
    <row r="3387" spans="1:23" x14ac:dyDescent="0.3">
      <c r="A3387" s="193"/>
      <c r="B3387" s="378"/>
      <c r="C3387" s="315"/>
      <c r="D3387" s="316"/>
      <c r="E3387" s="315"/>
      <c r="F3387" s="315"/>
      <c r="G3387" s="315"/>
      <c r="H3387" s="153"/>
      <c r="I3387" s="12"/>
      <c r="J3387" s="12"/>
      <c r="K3387" s="12"/>
      <c r="L3387" s="379"/>
      <c r="M3387" s="380"/>
      <c r="N3387" s="380"/>
      <c r="O3387" s="12"/>
      <c r="P3387" s="381"/>
      <c r="Q3387" s="12"/>
      <c r="R3387" s="12"/>
      <c r="S3387" s="382"/>
      <c r="T3387" s="383"/>
      <c r="U3387" s="384"/>
      <c r="V3387" s="12"/>
      <c r="W3387" s="12"/>
    </row>
    <row r="3388" spans="1:23" x14ac:dyDescent="0.3">
      <c r="A3388" s="193"/>
      <c r="B3388" s="378"/>
      <c r="C3388" s="315"/>
      <c r="D3388" s="316"/>
      <c r="E3388" s="315"/>
      <c r="F3388" s="315"/>
      <c r="G3388" s="315"/>
      <c r="H3388" s="153"/>
      <c r="I3388" s="12"/>
      <c r="J3388" s="12"/>
      <c r="K3388" s="12"/>
      <c r="L3388" s="379"/>
      <c r="M3388" s="380"/>
      <c r="N3388" s="380"/>
      <c r="O3388" s="12"/>
      <c r="P3388" s="381"/>
      <c r="Q3388" s="12"/>
      <c r="R3388" s="12"/>
      <c r="S3388" s="382"/>
      <c r="T3388" s="383"/>
      <c r="U3388" s="384"/>
      <c r="V3388" s="12"/>
      <c r="W3388" s="12"/>
    </row>
    <row r="3389" spans="1:23" x14ac:dyDescent="0.3">
      <c r="A3389" s="193"/>
      <c r="B3389" s="378"/>
      <c r="C3389" s="315"/>
      <c r="D3389" s="316"/>
      <c r="E3389" s="315"/>
      <c r="F3389" s="315"/>
      <c r="G3389" s="315"/>
      <c r="H3389" s="153"/>
      <c r="I3389" s="12"/>
      <c r="J3389" s="12"/>
      <c r="K3389" s="12"/>
      <c r="L3389" s="379"/>
      <c r="M3389" s="380"/>
      <c r="N3389" s="380"/>
      <c r="O3389" s="12"/>
      <c r="P3389" s="381"/>
      <c r="Q3389" s="12"/>
      <c r="R3389" s="12"/>
      <c r="S3389" s="382"/>
      <c r="T3389" s="383"/>
      <c r="U3389" s="384"/>
      <c r="V3389" s="12"/>
      <c r="W3389" s="12"/>
    </row>
    <row r="3390" spans="1:23" x14ac:dyDescent="0.3">
      <c r="A3390" s="193"/>
      <c r="B3390" s="378"/>
      <c r="C3390" s="315"/>
      <c r="D3390" s="316"/>
      <c r="E3390" s="315"/>
      <c r="F3390" s="315"/>
      <c r="G3390" s="315"/>
      <c r="H3390" s="153"/>
      <c r="I3390" s="12"/>
      <c r="J3390" s="12"/>
      <c r="K3390" s="12"/>
      <c r="L3390" s="379"/>
      <c r="M3390" s="380"/>
      <c r="N3390" s="380"/>
      <c r="O3390" s="12"/>
      <c r="P3390" s="381"/>
      <c r="Q3390" s="12"/>
      <c r="R3390" s="12"/>
      <c r="S3390" s="382"/>
      <c r="T3390" s="383"/>
      <c r="U3390" s="384"/>
      <c r="V3390" s="12"/>
      <c r="W3390" s="12"/>
    </row>
    <row r="3391" spans="1:23" x14ac:dyDescent="0.3">
      <c r="A3391" s="193"/>
      <c r="B3391" s="378"/>
      <c r="C3391" s="315"/>
      <c r="D3391" s="316"/>
      <c r="E3391" s="315"/>
      <c r="F3391" s="315"/>
      <c r="G3391" s="315"/>
      <c r="H3391" s="153"/>
      <c r="I3391" s="12"/>
      <c r="J3391" s="12"/>
      <c r="K3391" s="12"/>
      <c r="L3391" s="379"/>
      <c r="M3391" s="380"/>
      <c r="N3391" s="380"/>
      <c r="O3391" s="12"/>
      <c r="P3391" s="381"/>
      <c r="Q3391" s="12"/>
      <c r="R3391" s="12"/>
      <c r="S3391" s="382"/>
      <c r="T3391" s="383"/>
      <c r="U3391" s="384"/>
      <c r="V3391" s="12"/>
      <c r="W3391" s="12"/>
    </row>
    <row r="3392" spans="1:23" x14ac:dyDescent="0.3">
      <c r="A3392" s="193"/>
      <c r="B3392" s="378"/>
      <c r="C3392" s="315"/>
      <c r="D3392" s="316"/>
      <c r="E3392" s="315"/>
      <c r="F3392" s="315"/>
      <c r="G3392" s="315"/>
      <c r="H3392" s="153"/>
      <c r="I3392" s="12"/>
      <c r="J3392" s="12"/>
      <c r="K3392" s="12"/>
      <c r="L3392" s="379"/>
      <c r="M3392" s="380"/>
      <c r="N3392" s="380"/>
      <c r="O3392" s="12"/>
      <c r="P3392" s="381"/>
      <c r="Q3392" s="12"/>
      <c r="R3392" s="12"/>
      <c r="S3392" s="382"/>
      <c r="T3392" s="383"/>
      <c r="U3392" s="384"/>
      <c r="V3392" s="12"/>
      <c r="W3392" s="12"/>
    </row>
    <row r="3393" spans="1:23" x14ac:dyDescent="0.3">
      <c r="A3393" s="193"/>
      <c r="B3393" s="378"/>
      <c r="C3393" s="315"/>
      <c r="D3393" s="316"/>
      <c r="E3393" s="315"/>
      <c r="F3393" s="315"/>
      <c r="G3393" s="315"/>
      <c r="H3393" s="153"/>
      <c r="I3393" s="12"/>
      <c r="J3393" s="12"/>
      <c r="K3393" s="12"/>
      <c r="L3393" s="379"/>
      <c r="M3393" s="380"/>
      <c r="N3393" s="380"/>
      <c r="O3393" s="12"/>
      <c r="P3393" s="381"/>
      <c r="Q3393" s="12"/>
      <c r="R3393" s="12"/>
      <c r="S3393" s="382"/>
      <c r="T3393" s="383"/>
      <c r="U3393" s="384"/>
      <c r="V3393" s="12"/>
      <c r="W3393" s="12"/>
    </row>
    <row r="3394" spans="1:23" x14ac:dyDescent="0.3">
      <c r="A3394" s="193"/>
      <c r="B3394" s="378"/>
      <c r="C3394" s="315"/>
      <c r="D3394" s="316"/>
      <c r="E3394" s="315"/>
      <c r="F3394" s="315"/>
      <c r="G3394" s="315"/>
      <c r="H3394" s="153"/>
      <c r="I3394" s="12"/>
      <c r="J3394" s="12"/>
      <c r="K3394" s="12"/>
      <c r="L3394" s="379"/>
      <c r="M3394" s="380"/>
      <c r="N3394" s="380"/>
      <c r="O3394" s="12"/>
      <c r="P3394" s="381"/>
      <c r="Q3394" s="12"/>
      <c r="R3394" s="12"/>
      <c r="S3394" s="382"/>
      <c r="T3394" s="383"/>
      <c r="U3394" s="384"/>
      <c r="V3394" s="12"/>
      <c r="W3394" s="12"/>
    </row>
    <row r="3395" spans="1:23" x14ac:dyDescent="0.3">
      <c r="A3395" s="193"/>
      <c r="B3395" s="378"/>
      <c r="C3395" s="315"/>
      <c r="D3395" s="316"/>
      <c r="E3395" s="315"/>
      <c r="F3395" s="315"/>
      <c r="G3395" s="315"/>
      <c r="H3395" s="153"/>
      <c r="I3395" s="12"/>
      <c r="J3395" s="12"/>
      <c r="K3395" s="12"/>
      <c r="L3395" s="379"/>
      <c r="M3395" s="380"/>
      <c r="N3395" s="380"/>
      <c r="O3395" s="12"/>
      <c r="P3395" s="381"/>
      <c r="Q3395" s="12"/>
      <c r="R3395" s="12"/>
      <c r="S3395" s="382"/>
      <c r="T3395" s="383"/>
      <c r="U3395" s="384"/>
      <c r="V3395" s="12"/>
      <c r="W3395" s="12"/>
    </row>
    <row r="3396" spans="1:23" x14ac:dyDescent="0.3">
      <c r="A3396" s="193"/>
      <c r="B3396" s="378"/>
      <c r="C3396" s="315"/>
      <c r="D3396" s="316"/>
      <c r="E3396" s="315"/>
      <c r="F3396" s="315"/>
      <c r="G3396" s="315"/>
      <c r="H3396" s="153"/>
      <c r="I3396" s="12"/>
      <c r="J3396" s="12"/>
      <c r="K3396" s="12"/>
      <c r="L3396" s="379"/>
      <c r="M3396" s="380"/>
      <c r="N3396" s="380"/>
      <c r="O3396" s="12"/>
      <c r="P3396" s="381"/>
      <c r="Q3396" s="12"/>
      <c r="R3396" s="12"/>
      <c r="S3396" s="382"/>
      <c r="T3396" s="383"/>
      <c r="U3396" s="384"/>
      <c r="V3396" s="12"/>
      <c r="W3396" s="12"/>
    </row>
    <row r="3397" spans="1:23" x14ac:dyDescent="0.3">
      <c r="A3397" s="193"/>
      <c r="B3397" s="378"/>
      <c r="C3397" s="315"/>
      <c r="D3397" s="316"/>
      <c r="E3397" s="315"/>
      <c r="F3397" s="315"/>
      <c r="G3397" s="315"/>
      <c r="H3397" s="153"/>
      <c r="I3397" s="12"/>
      <c r="J3397" s="12"/>
      <c r="K3397" s="12"/>
      <c r="L3397" s="379"/>
      <c r="M3397" s="380"/>
      <c r="N3397" s="380"/>
      <c r="O3397" s="12"/>
      <c r="P3397" s="381"/>
      <c r="Q3397" s="12"/>
      <c r="R3397" s="12"/>
      <c r="S3397" s="382"/>
      <c r="T3397" s="383"/>
      <c r="U3397" s="384"/>
      <c r="V3397" s="12"/>
      <c r="W3397" s="12"/>
    </row>
    <row r="3398" spans="1:23" x14ac:dyDescent="0.3">
      <c r="A3398" s="193"/>
      <c r="B3398" s="378"/>
      <c r="C3398" s="315"/>
      <c r="D3398" s="316"/>
      <c r="E3398" s="315"/>
      <c r="F3398" s="315"/>
      <c r="G3398" s="315"/>
      <c r="H3398" s="153"/>
      <c r="I3398" s="12"/>
      <c r="J3398" s="12"/>
      <c r="K3398" s="12"/>
      <c r="L3398" s="379"/>
      <c r="M3398" s="380"/>
      <c r="N3398" s="380"/>
      <c r="O3398" s="12"/>
      <c r="P3398" s="381"/>
      <c r="Q3398" s="12"/>
      <c r="R3398" s="12"/>
      <c r="S3398" s="382"/>
      <c r="T3398" s="383"/>
      <c r="U3398" s="384"/>
      <c r="V3398" s="12"/>
      <c r="W3398" s="12"/>
    </row>
    <row r="3399" spans="1:23" x14ac:dyDescent="0.3">
      <c r="A3399" s="193"/>
      <c r="B3399" s="378"/>
      <c r="C3399" s="315"/>
      <c r="D3399" s="316"/>
      <c r="E3399" s="315"/>
      <c r="F3399" s="315"/>
      <c r="G3399" s="315"/>
      <c r="H3399" s="153"/>
      <c r="I3399" s="12"/>
      <c r="J3399" s="12"/>
      <c r="K3399" s="12"/>
      <c r="L3399" s="379"/>
      <c r="M3399" s="380"/>
      <c r="N3399" s="380"/>
      <c r="O3399" s="12"/>
      <c r="P3399" s="381"/>
      <c r="Q3399" s="12"/>
      <c r="R3399" s="12"/>
      <c r="S3399" s="382"/>
      <c r="T3399" s="383"/>
      <c r="U3399" s="384"/>
      <c r="V3399" s="12"/>
      <c r="W3399" s="12"/>
    </row>
    <row r="3400" spans="1:23" x14ac:dyDescent="0.3">
      <c r="A3400" s="193"/>
      <c r="B3400" s="378"/>
      <c r="C3400" s="315"/>
      <c r="D3400" s="316"/>
      <c r="E3400" s="315"/>
      <c r="F3400" s="315"/>
      <c r="G3400" s="315"/>
      <c r="H3400" s="153"/>
      <c r="I3400" s="12"/>
      <c r="J3400" s="12"/>
      <c r="K3400" s="12"/>
      <c r="L3400" s="379"/>
      <c r="M3400" s="380"/>
      <c r="N3400" s="380"/>
      <c r="O3400" s="12"/>
      <c r="P3400" s="381"/>
      <c r="Q3400" s="12"/>
      <c r="R3400" s="12"/>
      <c r="S3400" s="382"/>
      <c r="T3400" s="383"/>
      <c r="U3400" s="384"/>
      <c r="V3400" s="12"/>
      <c r="W3400" s="12"/>
    </row>
    <row r="3401" spans="1:23" x14ac:dyDescent="0.3">
      <c r="A3401" s="193"/>
      <c r="B3401" s="378"/>
      <c r="C3401" s="315"/>
      <c r="D3401" s="316"/>
      <c r="E3401" s="315"/>
      <c r="F3401" s="315"/>
      <c r="G3401" s="315"/>
      <c r="H3401" s="153"/>
      <c r="I3401" s="12"/>
      <c r="J3401" s="12"/>
      <c r="K3401" s="12"/>
      <c r="L3401" s="379"/>
      <c r="M3401" s="380"/>
      <c r="N3401" s="380"/>
      <c r="O3401" s="12"/>
      <c r="P3401" s="381"/>
      <c r="Q3401" s="12"/>
      <c r="R3401" s="12"/>
      <c r="S3401" s="382"/>
      <c r="T3401" s="383"/>
      <c r="U3401" s="384"/>
      <c r="V3401" s="12"/>
      <c r="W3401" s="12"/>
    </row>
    <row r="3402" spans="1:23" x14ac:dyDescent="0.3">
      <c r="A3402" s="193"/>
      <c r="B3402" s="378"/>
      <c r="C3402" s="315"/>
      <c r="D3402" s="316"/>
      <c r="E3402" s="315"/>
      <c r="F3402" s="315"/>
      <c r="G3402" s="315"/>
      <c r="H3402" s="153"/>
      <c r="I3402" s="12"/>
      <c r="J3402" s="12"/>
      <c r="K3402" s="12"/>
      <c r="L3402" s="379"/>
      <c r="M3402" s="380"/>
      <c r="N3402" s="380"/>
      <c r="O3402" s="12"/>
      <c r="P3402" s="381"/>
      <c r="Q3402" s="12"/>
      <c r="R3402" s="12"/>
      <c r="S3402" s="382"/>
      <c r="T3402" s="383"/>
      <c r="U3402" s="384"/>
      <c r="V3402" s="12"/>
      <c r="W3402" s="12"/>
    </row>
    <row r="3403" spans="1:23" x14ac:dyDescent="0.3">
      <c r="A3403" s="193"/>
      <c r="B3403" s="378"/>
      <c r="C3403" s="315"/>
      <c r="D3403" s="316"/>
      <c r="E3403" s="315"/>
      <c r="F3403" s="315"/>
      <c r="G3403" s="315"/>
      <c r="H3403" s="153"/>
      <c r="I3403" s="12"/>
      <c r="J3403" s="12"/>
      <c r="K3403" s="12"/>
      <c r="L3403" s="379"/>
      <c r="M3403" s="380"/>
      <c r="N3403" s="380"/>
      <c r="O3403" s="12"/>
      <c r="P3403" s="381"/>
      <c r="Q3403" s="12"/>
      <c r="R3403" s="12"/>
      <c r="S3403" s="382"/>
      <c r="T3403" s="383"/>
      <c r="U3403" s="384"/>
      <c r="V3403" s="12"/>
      <c r="W3403" s="12"/>
    </row>
    <row r="3404" spans="1:23" x14ac:dyDescent="0.3">
      <c r="A3404" s="193"/>
      <c r="B3404" s="378"/>
      <c r="C3404" s="315"/>
      <c r="D3404" s="316"/>
      <c r="E3404" s="315"/>
      <c r="F3404" s="315"/>
      <c r="G3404" s="315"/>
      <c r="H3404" s="153"/>
      <c r="I3404" s="12"/>
      <c r="J3404" s="12"/>
      <c r="K3404" s="12"/>
      <c r="L3404" s="379"/>
      <c r="M3404" s="380"/>
      <c r="N3404" s="380"/>
      <c r="O3404" s="12"/>
      <c r="P3404" s="381"/>
      <c r="Q3404" s="12"/>
      <c r="R3404" s="12"/>
      <c r="S3404" s="382"/>
      <c r="T3404" s="383"/>
      <c r="U3404" s="384"/>
      <c r="V3404" s="12"/>
      <c r="W3404" s="12"/>
    </row>
    <row r="3405" spans="1:23" x14ac:dyDescent="0.3">
      <c r="A3405" s="193"/>
      <c r="B3405" s="378"/>
      <c r="C3405" s="315"/>
      <c r="D3405" s="316"/>
      <c r="E3405" s="315"/>
      <c r="F3405" s="315"/>
      <c r="G3405" s="315"/>
      <c r="H3405" s="153"/>
      <c r="I3405" s="12"/>
      <c r="J3405" s="12"/>
      <c r="K3405" s="12"/>
      <c r="L3405" s="379"/>
      <c r="M3405" s="380"/>
      <c r="N3405" s="380"/>
      <c r="O3405" s="12"/>
      <c r="P3405" s="381"/>
      <c r="Q3405" s="12"/>
      <c r="R3405" s="12"/>
      <c r="S3405" s="382"/>
      <c r="T3405" s="383"/>
      <c r="U3405" s="384"/>
      <c r="V3405" s="12"/>
      <c r="W3405" s="12"/>
    </row>
    <row r="3406" spans="1:23" x14ac:dyDescent="0.3">
      <c r="A3406" s="193"/>
      <c r="B3406" s="378"/>
      <c r="C3406" s="315"/>
      <c r="D3406" s="316"/>
      <c r="E3406" s="315"/>
      <c r="F3406" s="315"/>
      <c r="G3406" s="315"/>
      <c r="H3406" s="153"/>
      <c r="I3406" s="12"/>
      <c r="J3406" s="12"/>
      <c r="K3406" s="12"/>
      <c r="L3406" s="379"/>
      <c r="M3406" s="380"/>
      <c r="N3406" s="380"/>
      <c r="O3406" s="12"/>
      <c r="P3406" s="381"/>
      <c r="Q3406" s="12"/>
      <c r="R3406" s="12"/>
      <c r="S3406" s="382"/>
      <c r="T3406" s="383"/>
      <c r="U3406" s="384"/>
      <c r="V3406" s="12"/>
      <c r="W3406" s="12"/>
    </row>
    <row r="3407" spans="1:23" x14ac:dyDescent="0.3">
      <c r="A3407" s="193"/>
      <c r="B3407" s="378"/>
      <c r="C3407" s="315"/>
      <c r="D3407" s="316"/>
      <c r="E3407" s="315"/>
      <c r="F3407" s="315"/>
      <c r="G3407" s="315"/>
      <c r="H3407" s="153"/>
      <c r="I3407" s="12"/>
      <c r="J3407" s="12"/>
      <c r="K3407" s="12"/>
      <c r="L3407" s="379"/>
      <c r="M3407" s="380"/>
      <c r="N3407" s="380"/>
      <c r="O3407" s="12"/>
      <c r="P3407" s="381"/>
      <c r="Q3407" s="12"/>
      <c r="R3407" s="12"/>
      <c r="S3407" s="382"/>
      <c r="T3407" s="383"/>
      <c r="U3407" s="384"/>
      <c r="V3407" s="12"/>
      <c r="W3407" s="12"/>
    </row>
    <row r="3408" spans="1:23" x14ac:dyDescent="0.3">
      <c r="A3408" s="193"/>
      <c r="B3408" s="378"/>
      <c r="C3408" s="315"/>
      <c r="D3408" s="316"/>
      <c r="E3408" s="315"/>
      <c r="F3408" s="315"/>
      <c r="G3408" s="315"/>
      <c r="H3408" s="153"/>
      <c r="I3408" s="12"/>
      <c r="J3408" s="12"/>
      <c r="K3408" s="12"/>
      <c r="L3408" s="379"/>
      <c r="M3408" s="380"/>
      <c r="N3408" s="380"/>
      <c r="O3408" s="12"/>
      <c r="P3408" s="381"/>
      <c r="Q3408" s="12"/>
      <c r="R3408" s="12"/>
      <c r="S3408" s="382"/>
      <c r="T3408" s="383"/>
      <c r="U3408" s="384"/>
      <c r="V3408" s="12"/>
      <c r="W3408" s="12"/>
    </row>
    <row r="3409" spans="1:23" x14ac:dyDescent="0.3">
      <c r="A3409" s="193"/>
      <c r="B3409" s="378"/>
      <c r="C3409" s="315"/>
      <c r="D3409" s="316"/>
      <c r="E3409" s="315"/>
      <c r="F3409" s="315"/>
      <c r="G3409" s="315"/>
      <c r="H3409" s="153"/>
      <c r="I3409" s="12"/>
      <c r="J3409" s="12"/>
      <c r="K3409" s="12"/>
      <c r="L3409" s="379"/>
      <c r="M3409" s="380"/>
      <c r="N3409" s="380"/>
      <c r="O3409" s="12"/>
      <c r="P3409" s="381"/>
      <c r="Q3409" s="12"/>
      <c r="R3409" s="12"/>
      <c r="S3409" s="382"/>
      <c r="T3409" s="383"/>
      <c r="U3409" s="384"/>
      <c r="V3409" s="12"/>
      <c r="W3409" s="12"/>
    </row>
    <row r="3410" spans="1:23" x14ac:dyDescent="0.3">
      <c r="A3410" s="193"/>
      <c r="B3410" s="378"/>
      <c r="C3410" s="315"/>
      <c r="D3410" s="316"/>
      <c r="E3410" s="315"/>
      <c r="F3410" s="315"/>
      <c r="G3410" s="315"/>
      <c r="H3410" s="153"/>
      <c r="I3410" s="12"/>
      <c r="J3410" s="12"/>
      <c r="K3410" s="12"/>
      <c r="L3410" s="379"/>
      <c r="M3410" s="380"/>
      <c r="N3410" s="380"/>
      <c r="O3410" s="12"/>
      <c r="P3410" s="381"/>
      <c r="Q3410" s="12"/>
      <c r="R3410" s="12"/>
      <c r="S3410" s="382"/>
      <c r="T3410" s="383"/>
      <c r="U3410" s="384"/>
      <c r="V3410" s="12"/>
      <c r="W3410" s="12"/>
    </row>
    <row r="3411" spans="1:23" x14ac:dyDescent="0.3">
      <c r="A3411" s="193"/>
      <c r="B3411" s="378"/>
      <c r="C3411" s="315"/>
      <c r="D3411" s="316"/>
      <c r="E3411" s="315"/>
      <c r="F3411" s="315"/>
      <c r="G3411" s="315"/>
      <c r="H3411" s="153"/>
      <c r="I3411" s="12"/>
      <c r="J3411" s="12"/>
      <c r="K3411" s="12"/>
      <c r="L3411" s="379"/>
      <c r="M3411" s="380"/>
      <c r="N3411" s="380"/>
      <c r="O3411" s="12"/>
      <c r="P3411" s="381"/>
      <c r="Q3411" s="12"/>
      <c r="R3411" s="12"/>
      <c r="S3411" s="382"/>
      <c r="T3411" s="383"/>
      <c r="U3411" s="384"/>
      <c r="V3411" s="12"/>
      <c r="W3411" s="12"/>
    </row>
    <row r="3412" spans="1:23" x14ac:dyDescent="0.3">
      <c r="A3412" s="193"/>
      <c r="B3412" s="378"/>
      <c r="C3412" s="315"/>
      <c r="D3412" s="316"/>
      <c r="E3412" s="315"/>
      <c r="F3412" s="315"/>
      <c r="G3412" s="315"/>
      <c r="H3412" s="153"/>
      <c r="I3412" s="12"/>
      <c r="J3412" s="12"/>
      <c r="K3412" s="12"/>
      <c r="L3412" s="379"/>
      <c r="M3412" s="380"/>
      <c r="N3412" s="380"/>
      <c r="O3412" s="12"/>
      <c r="P3412" s="381"/>
      <c r="Q3412" s="12"/>
      <c r="R3412" s="12"/>
      <c r="S3412" s="382"/>
      <c r="T3412" s="383"/>
      <c r="U3412" s="384"/>
      <c r="V3412" s="12"/>
      <c r="W3412" s="12"/>
    </row>
    <row r="3413" spans="1:23" x14ac:dyDescent="0.3">
      <c r="A3413" s="193"/>
      <c r="B3413" s="378"/>
      <c r="C3413" s="315"/>
      <c r="D3413" s="316"/>
      <c r="E3413" s="315"/>
      <c r="F3413" s="315"/>
      <c r="G3413" s="315"/>
      <c r="H3413" s="153"/>
      <c r="I3413" s="12"/>
      <c r="J3413" s="12"/>
      <c r="K3413" s="12"/>
      <c r="L3413" s="379"/>
      <c r="M3413" s="380"/>
      <c r="N3413" s="380"/>
      <c r="O3413" s="12"/>
      <c r="P3413" s="381"/>
      <c r="Q3413" s="12"/>
      <c r="R3413" s="12"/>
      <c r="S3413" s="382"/>
      <c r="T3413" s="383"/>
      <c r="U3413" s="384"/>
      <c r="V3413" s="12"/>
      <c r="W3413" s="12"/>
    </row>
    <row r="3414" spans="1:23" x14ac:dyDescent="0.3">
      <c r="A3414" s="193"/>
      <c r="B3414" s="378"/>
      <c r="C3414" s="315"/>
      <c r="D3414" s="316"/>
      <c r="E3414" s="315"/>
      <c r="F3414" s="315"/>
      <c r="G3414" s="315"/>
      <c r="H3414" s="153"/>
      <c r="I3414" s="12"/>
      <c r="J3414" s="12"/>
      <c r="K3414" s="12"/>
      <c r="L3414" s="379"/>
      <c r="M3414" s="380"/>
      <c r="N3414" s="380"/>
      <c r="O3414" s="12"/>
      <c r="P3414" s="381"/>
      <c r="Q3414" s="12"/>
      <c r="R3414" s="12"/>
      <c r="S3414" s="382"/>
      <c r="T3414" s="383"/>
      <c r="U3414" s="384"/>
      <c r="V3414" s="12"/>
      <c r="W3414" s="12"/>
    </row>
    <row r="3415" spans="1:23" x14ac:dyDescent="0.3">
      <c r="A3415" s="193"/>
      <c r="B3415" s="378"/>
      <c r="C3415" s="315"/>
      <c r="D3415" s="316"/>
      <c r="E3415" s="315"/>
      <c r="F3415" s="315"/>
      <c r="G3415" s="315"/>
      <c r="H3415" s="153"/>
      <c r="I3415" s="12"/>
      <c r="J3415" s="12"/>
      <c r="K3415" s="12"/>
      <c r="L3415" s="379"/>
      <c r="M3415" s="380"/>
      <c r="N3415" s="380"/>
      <c r="O3415" s="12"/>
      <c r="P3415" s="381"/>
      <c r="Q3415" s="12"/>
      <c r="R3415" s="12"/>
      <c r="S3415" s="382"/>
      <c r="T3415" s="383"/>
      <c r="U3415" s="384"/>
      <c r="V3415" s="12"/>
      <c r="W3415" s="12"/>
    </row>
    <row r="3416" spans="1:23" x14ac:dyDescent="0.3">
      <c r="A3416" s="193"/>
      <c r="B3416" s="378"/>
      <c r="C3416" s="315"/>
      <c r="D3416" s="316"/>
      <c r="E3416" s="315"/>
      <c r="F3416" s="315"/>
      <c r="G3416" s="315"/>
      <c r="H3416" s="153"/>
      <c r="I3416" s="12"/>
      <c r="J3416" s="12"/>
      <c r="K3416" s="12"/>
      <c r="L3416" s="379"/>
      <c r="M3416" s="380"/>
      <c r="N3416" s="380"/>
      <c r="O3416" s="12"/>
      <c r="P3416" s="381"/>
      <c r="Q3416" s="12"/>
      <c r="R3416" s="12"/>
      <c r="S3416" s="382"/>
      <c r="T3416" s="383"/>
      <c r="U3416" s="384"/>
      <c r="V3416" s="12"/>
      <c r="W3416" s="12"/>
    </row>
    <row r="3417" spans="1:23" x14ac:dyDescent="0.3">
      <c r="A3417" s="193"/>
      <c r="B3417" s="378"/>
      <c r="C3417" s="315"/>
      <c r="D3417" s="316"/>
      <c r="E3417" s="315"/>
      <c r="F3417" s="315"/>
      <c r="G3417" s="315"/>
      <c r="H3417" s="153"/>
      <c r="I3417" s="12"/>
      <c r="J3417" s="12"/>
      <c r="K3417" s="12"/>
      <c r="L3417" s="379"/>
      <c r="M3417" s="380"/>
      <c r="N3417" s="380"/>
      <c r="O3417" s="12"/>
      <c r="P3417" s="381"/>
      <c r="Q3417" s="12"/>
      <c r="R3417" s="12"/>
      <c r="S3417" s="382"/>
      <c r="T3417" s="383"/>
      <c r="U3417" s="384"/>
      <c r="V3417" s="12"/>
      <c r="W3417" s="12"/>
    </row>
    <row r="3418" spans="1:23" x14ac:dyDescent="0.3">
      <c r="A3418" s="193"/>
      <c r="B3418" s="378"/>
      <c r="C3418" s="315"/>
      <c r="D3418" s="316"/>
      <c r="E3418" s="315"/>
      <c r="F3418" s="315"/>
      <c r="G3418" s="315"/>
      <c r="H3418" s="153"/>
      <c r="I3418" s="12"/>
      <c r="J3418" s="12"/>
      <c r="K3418" s="12"/>
      <c r="L3418" s="379"/>
      <c r="M3418" s="380"/>
      <c r="N3418" s="380"/>
      <c r="O3418" s="12"/>
      <c r="P3418" s="381"/>
      <c r="Q3418" s="12"/>
      <c r="R3418" s="12"/>
      <c r="S3418" s="382"/>
      <c r="T3418" s="383"/>
      <c r="U3418" s="384"/>
      <c r="V3418" s="12"/>
      <c r="W3418" s="12"/>
    </row>
    <row r="3419" spans="1:23" x14ac:dyDescent="0.3">
      <c r="A3419" s="193"/>
      <c r="B3419" s="378"/>
      <c r="C3419" s="315"/>
      <c r="D3419" s="316"/>
      <c r="E3419" s="315"/>
      <c r="F3419" s="315"/>
      <c r="G3419" s="315"/>
      <c r="H3419" s="153"/>
      <c r="I3419" s="12"/>
      <c r="J3419" s="12"/>
      <c r="K3419" s="12"/>
      <c r="L3419" s="379"/>
      <c r="M3419" s="380"/>
      <c r="N3419" s="380"/>
      <c r="O3419" s="12"/>
      <c r="P3419" s="381"/>
      <c r="Q3419" s="12"/>
      <c r="R3419" s="12"/>
      <c r="S3419" s="382"/>
      <c r="T3419" s="383"/>
      <c r="U3419" s="384"/>
      <c r="V3419" s="12"/>
      <c r="W3419" s="12"/>
    </row>
    <row r="3420" spans="1:23" x14ac:dyDescent="0.3">
      <c r="A3420" s="193"/>
      <c r="B3420" s="378"/>
      <c r="C3420" s="315"/>
      <c r="D3420" s="316"/>
      <c r="E3420" s="315"/>
      <c r="F3420" s="315"/>
      <c r="G3420" s="315"/>
      <c r="H3420" s="153"/>
      <c r="I3420" s="12"/>
      <c r="J3420" s="12"/>
      <c r="K3420" s="12"/>
      <c r="L3420" s="379"/>
      <c r="M3420" s="380"/>
      <c r="N3420" s="380"/>
      <c r="O3420" s="12"/>
      <c r="P3420" s="381"/>
      <c r="Q3420" s="12"/>
      <c r="R3420" s="12"/>
      <c r="S3420" s="382"/>
      <c r="T3420" s="383"/>
      <c r="U3420" s="384"/>
      <c r="V3420" s="12"/>
      <c r="W3420" s="12"/>
    </row>
    <row r="3421" spans="1:23" x14ac:dyDescent="0.3">
      <c r="A3421" s="193"/>
      <c r="B3421" s="378"/>
      <c r="C3421" s="315"/>
      <c r="D3421" s="316"/>
      <c r="E3421" s="315"/>
      <c r="F3421" s="315"/>
      <c r="G3421" s="315"/>
      <c r="H3421" s="153"/>
      <c r="I3421" s="12"/>
      <c r="J3421" s="12"/>
      <c r="K3421" s="12"/>
      <c r="L3421" s="379"/>
      <c r="M3421" s="380"/>
      <c r="N3421" s="380"/>
      <c r="O3421" s="12"/>
      <c r="P3421" s="381"/>
      <c r="Q3421" s="12"/>
      <c r="R3421" s="12"/>
      <c r="S3421" s="382"/>
      <c r="T3421" s="383"/>
      <c r="U3421" s="384"/>
      <c r="V3421" s="12"/>
      <c r="W3421" s="12"/>
    </row>
    <row r="3422" spans="1:23" x14ac:dyDescent="0.3">
      <c r="A3422" s="193"/>
      <c r="B3422" s="378"/>
      <c r="C3422" s="315"/>
      <c r="D3422" s="316"/>
      <c r="E3422" s="315"/>
      <c r="F3422" s="315"/>
      <c r="G3422" s="315"/>
      <c r="H3422" s="153"/>
      <c r="I3422" s="12"/>
      <c r="J3422" s="12"/>
      <c r="K3422" s="12"/>
      <c r="L3422" s="379"/>
      <c r="M3422" s="380"/>
      <c r="N3422" s="380"/>
      <c r="O3422" s="12"/>
      <c r="P3422" s="381"/>
      <c r="Q3422" s="12"/>
      <c r="R3422" s="12"/>
      <c r="S3422" s="382"/>
      <c r="T3422" s="383"/>
      <c r="U3422" s="384"/>
      <c r="V3422" s="12"/>
      <c r="W3422" s="12"/>
    </row>
    <row r="3423" spans="1:23" x14ac:dyDescent="0.3">
      <c r="A3423" s="193"/>
      <c r="B3423" s="378"/>
      <c r="C3423" s="315"/>
      <c r="D3423" s="316"/>
      <c r="E3423" s="315"/>
      <c r="F3423" s="315"/>
      <c r="G3423" s="315"/>
      <c r="H3423" s="153"/>
      <c r="I3423" s="12"/>
      <c r="J3423" s="12"/>
      <c r="K3423" s="12"/>
      <c r="L3423" s="379"/>
      <c r="M3423" s="380"/>
      <c r="N3423" s="380"/>
      <c r="O3423" s="12"/>
      <c r="P3423" s="381"/>
      <c r="Q3423" s="12"/>
      <c r="R3423" s="12"/>
      <c r="S3423" s="382"/>
      <c r="T3423" s="383"/>
      <c r="U3423" s="384"/>
      <c r="V3423" s="12"/>
      <c r="W3423" s="12"/>
    </row>
    <row r="3424" spans="1:23" x14ac:dyDescent="0.3">
      <c r="A3424" s="193"/>
      <c r="B3424" s="378"/>
      <c r="C3424" s="315"/>
      <c r="D3424" s="316"/>
      <c r="E3424" s="315"/>
      <c r="F3424" s="315"/>
      <c r="G3424" s="315"/>
      <c r="H3424" s="153"/>
      <c r="I3424" s="12"/>
      <c r="J3424" s="12"/>
      <c r="K3424" s="12"/>
      <c r="L3424" s="379"/>
      <c r="M3424" s="380"/>
      <c r="N3424" s="380"/>
      <c r="O3424" s="12"/>
      <c r="P3424" s="381"/>
      <c r="Q3424" s="12"/>
      <c r="R3424" s="12"/>
      <c r="S3424" s="382"/>
      <c r="T3424" s="383"/>
      <c r="U3424" s="384"/>
      <c r="V3424" s="12"/>
      <c r="W3424" s="12"/>
    </row>
    <row r="3425" spans="1:23" x14ac:dyDescent="0.3">
      <c r="A3425" s="193"/>
      <c r="B3425" s="378"/>
      <c r="C3425" s="315"/>
      <c r="D3425" s="316"/>
      <c r="E3425" s="315"/>
      <c r="F3425" s="315"/>
      <c r="G3425" s="315"/>
      <c r="H3425" s="153"/>
      <c r="I3425" s="12"/>
      <c r="J3425" s="12"/>
      <c r="K3425" s="12"/>
      <c r="L3425" s="379"/>
      <c r="M3425" s="380"/>
      <c r="N3425" s="380"/>
      <c r="O3425" s="12"/>
      <c r="P3425" s="381"/>
      <c r="Q3425" s="12"/>
      <c r="R3425" s="12"/>
      <c r="S3425" s="382"/>
      <c r="T3425" s="383"/>
      <c r="U3425" s="384"/>
      <c r="V3425" s="12"/>
      <c r="W3425" s="12"/>
    </row>
    <row r="3426" spans="1:23" x14ac:dyDescent="0.3">
      <c r="A3426" s="193"/>
      <c r="B3426" s="378"/>
      <c r="C3426" s="315"/>
      <c r="D3426" s="316"/>
      <c r="E3426" s="315"/>
      <c r="F3426" s="315"/>
      <c r="G3426" s="315"/>
      <c r="H3426" s="153"/>
      <c r="I3426" s="12"/>
      <c r="J3426" s="12"/>
      <c r="K3426" s="12"/>
      <c r="L3426" s="379"/>
      <c r="M3426" s="380"/>
      <c r="N3426" s="380"/>
      <c r="O3426" s="12"/>
      <c r="P3426" s="381"/>
      <c r="Q3426" s="12"/>
      <c r="R3426" s="12"/>
      <c r="S3426" s="382"/>
      <c r="T3426" s="383"/>
      <c r="U3426" s="384"/>
      <c r="V3426" s="12"/>
      <c r="W3426" s="12"/>
    </row>
    <row r="3427" spans="1:23" x14ac:dyDescent="0.3">
      <c r="A3427" s="193"/>
      <c r="B3427" s="378"/>
      <c r="C3427" s="315"/>
      <c r="D3427" s="316"/>
      <c r="E3427" s="315"/>
      <c r="F3427" s="315"/>
      <c r="G3427" s="315"/>
      <c r="H3427" s="153"/>
      <c r="I3427" s="12"/>
      <c r="J3427" s="12"/>
      <c r="K3427" s="12"/>
      <c r="L3427" s="379"/>
      <c r="M3427" s="380"/>
      <c r="N3427" s="380"/>
      <c r="O3427" s="12"/>
      <c r="P3427" s="381"/>
      <c r="Q3427" s="12"/>
      <c r="R3427" s="12"/>
      <c r="S3427" s="382"/>
      <c r="T3427" s="383"/>
      <c r="U3427" s="384"/>
      <c r="V3427" s="12"/>
      <c r="W3427" s="12"/>
    </row>
    <row r="3428" spans="1:23" x14ac:dyDescent="0.3">
      <c r="A3428" s="193"/>
      <c r="B3428" s="378"/>
      <c r="C3428" s="315"/>
      <c r="D3428" s="316"/>
      <c r="E3428" s="315"/>
      <c r="F3428" s="315"/>
      <c r="G3428" s="315"/>
      <c r="H3428" s="153"/>
      <c r="I3428" s="12"/>
      <c r="J3428" s="12"/>
      <c r="K3428" s="12"/>
      <c r="L3428" s="379"/>
      <c r="M3428" s="380"/>
      <c r="N3428" s="380"/>
      <c r="O3428" s="12"/>
      <c r="P3428" s="381"/>
      <c r="Q3428" s="12"/>
      <c r="R3428" s="12"/>
      <c r="S3428" s="382"/>
      <c r="T3428" s="383"/>
      <c r="U3428" s="384"/>
      <c r="V3428" s="12"/>
      <c r="W3428" s="12"/>
    </row>
    <row r="3429" spans="1:23" x14ac:dyDescent="0.3">
      <c r="A3429" s="193"/>
      <c r="B3429" s="378"/>
      <c r="C3429" s="315"/>
      <c r="D3429" s="316"/>
      <c r="E3429" s="315"/>
      <c r="F3429" s="315"/>
      <c r="G3429" s="315"/>
      <c r="H3429" s="153"/>
      <c r="I3429" s="12"/>
      <c r="J3429" s="12"/>
      <c r="K3429" s="12"/>
      <c r="L3429" s="379"/>
      <c r="M3429" s="380"/>
      <c r="N3429" s="380"/>
      <c r="O3429" s="12"/>
      <c r="P3429" s="381"/>
      <c r="Q3429" s="12"/>
      <c r="R3429" s="12"/>
      <c r="S3429" s="382"/>
      <c r="T3429" s="383"/>
      <c r="U3429" s="384"/>
      <c r="V3429" s="12"/>
      <c r="W3429" s="12"/>
    </row>
    <row r="3430" spans="1:23" x14ac:dyDescent="0.3">
      <c r="A3430" s="193"/>
      <c r="B3430" s="378"/>
      <c r="C3430" s="315"/>
      <c r="D3430" s="316"/>
      <c r="E3430" s="315"/>
      <c r="F3430" s="315"/>
      <c r="G3430" s="315"/>
      <c r="H3430" s="153"/>
      <c r="I3430" s="12"/>
      <c r="J3430" s="12"/>
      <c r="K3430" s="12"/>
      <c r="L3430" s="379"/>
      <c r="M3430" s="380"/>
      <c r="N3430" s="380"/>
      <c r="O3430" s="12"/>
      <c r="P3430" s="381"/>
      <c r="Q3430" s="12"/>
      <c r="R3430" s="12"/>
      <c r="S3430" s="382"/>
      <c r="T3430" s="383"/>
      <c r="U3430" s="384"/>
      <c r="V3430" s="12"/>
      <c r="W3430" s="12"/>
    </row>
    <row r="3431" spans="1:23" x14ac:dyDescent="0.3">
      <c r="A3431" s="193"/>
      <c r="B3431" s="378"/>
      <c r="C3431" s="315"/>
      <c r="D3431" s="316"/>
      <c r="E3431" s="315"/>
      <c r="F3431" s="315"/>
      <c r="G3431" s="315"/>
      <c r="H3431" s="153"/>
      <c r="I3431" s="12"/>
      <c r="J3431" s="12"/>
      <c r="K3431" s="12"/>
      <c r="L3431" s="379"/>
      <c r="M3431" s="380"/>
      <c r="N3431" s="380"/>
      <c r="O3431" s="12"/>
      <c r="P3431" s="381"/>
      <c r="Q3431" s="12"/>
      <c r="R3431" s="12"/>
      <c r="S3431" s="382"/>
      <c r="T3431" s="383"/>
      <c r="U3431" s="384"/>
      <c r="V3431" s="12"/>
      <c r="W3431" s="12"/>
    </row>
    <row r="3432" spans="1:23" x14ac:dyDescent="0.3">
      <c r="A3432" s="193"/>
      <c r="B3432" s="378"/>
      <c r="C3432" s="315"/>
      <c r="D3432" s="316"/>
      <c r="E3432" s="315"/>
      <c r="F3432" s="315"/>
      <c r="G3432" s="315"/>
      <c r="H3432" s="153"/>
      <c r="I3432" s="12"/>
      <c r="J3432" s="12"/>
      <c r="K3432" s="12"/>
      <c r="L3432" s="379"/>
      <c r="M3432" s="380"/>
      <c r="N3432" s="380"/>
      <c r="O3432" s="12"/>
      <c r="P3432" s="381"/>
      <c r="Q3432" s="12"/>
      <c r="R3432" s="12"/>
      <c r="S3432" s="382"/>
      <c r="T3432" s="383"/>
      <c r="U3432" s="384"/>
      <c r="V3432" s="12"/>
      <c r="W3432" s="12"/>
    </row>
    <row r="3433" spans="1:23" x14ac:dyDescent="0.3">
      <c r="A3433" s="193"/>
      <c r="B3433" s="378"/>
      <c r="C3433" s="315"/>
      <c r="D3433" s="316"/>
      <c r="E3433" s="315"/>
      <c r="F3433" s="315"/>
      <c r="G3433" s="315"/>
      <c r="H3433" s="153"/>
      <c r="I3433" s="12"/>
      <c r="J3433" s="12"/>
      <c r="K3433" s="12"/>
      <c r="L3433" s="379"/>
      <c r="M3433" s="380"/>
      <c r="N3433" s="380"/>
      <c r="O3433" s="12"/>
      <c r="P3433" s="381"/>
      <c r="Q3433" s="12"/>
      <c r="R3433" s="12"/>
      <c r="S3433" s="382"/>
      <c r="T3433" s="383"/>
      <c r="U3433" s="384"/>
      <c r="V3433" s="12"/>
      <c r="W3433" s="12"/>
    </row>
    <row r="3434" spans="1:23" x14ac:dyDescent="0.3">
      <c r="A3434" s="193"/>
      <c r="B3434" s="378"/>
      <c r="C3434" s="315"/>
      <c r="D3434" s="316"/>
      <c r="E3434" s="315"/>
      <c r="F3434" s="315"/>
      <c r="G3434" s="315"/>
      <c r="H3434" s="153"/>
      <c r="I3434" s="12"/>
      <c r="J3434" s="12"/>
      <c r="K3434" s="12"/>
      <c r="L3434" s="379"/>
      <c r="M3434" s="380"/>
      <c r="N3434" s="380"/>
      <c r="O3434" s="12"/>
      <c r="P3434" s="381"/>
      <c r="Q3434" s="12"/>
      <c r="R3434" s="12"/>
      <c r="S3434" s="382"/>
      <c r="T3434" s="383"/>
      <c r="U3434" s="384"/>
      <c r="V3434" s="12"/>
      <c r="W3434" s="12"/>
    </row>
    <row r="3435" spans="1:23" x14ac:dyDescent="0.3">
      <c r="A3435" s="193"/>
      <c r="B3435" s="378"/>
      <c r="C3435" s="315"/>
      <c r="D3435" s="316"/>
      <c r="E3435" s="315"/>
      <c r="F3435" s="315"/>
      <c r="G3435" s="315"/>
      <c r="H3435" s="153"/>
      <c r="I3435" s="12"/>
      <c r="J3435" s="12"/>
      <c r="K3435" s="12"/>
      <c r="L3435" s="379"/>
      <c r="M3435" s="380"/>
      <c r="N3435" s="380"/>
      <c r="O3435" s="12"/>
      <c r="P3435" s="381"/>
      <c r="Q3435" s="12"/>
      <c r="R3435" s="12"/>
      <c r="S3435" s="382"/>
      <c r="T3435" s="383"/>
      <c r="U3435" s="384"/>
      <c r="V3435" s="12"/>
      <c r="W3435" s="12"/>
    </row>
    <row r="3436" spans="1:23" x14ac:dyDescent="0.3">
      <c r="A3436" s="193"/>
      <c r="B3436" s="378"/>
      <c r="C3436" s="315"/>
      <c r="D3436" s="316"/>
      <c r="E3436" s="315"/>
      <c r="F3436" s="315"/>
      <c r="G3436" s="315"/>
      <c r="H3436" s="153"/>
      <c r="I3436" s="12"/>
      <c r="J3436" s="12"/>
      <c r="K3436" s="12"/>
      <c r="L3436" s="379"/>
      <c r="M3436" s="380"/>
      <c r="N3436" s="380"/>
      <c r="O3436" s="12"/>
      <c r="P3436" s="381"/>
      <c r="Q3436" s="12"/>
      <c r="R3436" s="12"/>
      <c r="S3436" s="382"/>
      <c r="T3436" s="383"/>
      <c r="U3436" s="384"/>
      <c r="V3436" s="12"/>
      <c r="W3436" s="12"/>
    </row>
    <row r="3437" spans="1:23" x14ac:dyDescent="0.3">
      <c r="A3437" s="193"/>
      <c r="B3437" s="378"/>
      <c r="C3437" s="315"/>
      <c r="D3437" s="316"/>
      <c r="E3437" s="315"/>
      <c r="F3437" s="315"/>
      <c r="G3437" s="315"/>
      <c r="H3437" s="153"/>
      <c r="I3437" s="12"/>
      <c r="J3437" s="12"/>
      <c r="K3437" s="12"/>
      <c r="L3437" s="379"/>
      <c r="M3437" s="380"/>
      <c r="N3437" s="380"/>
      <c r="O3437" s="12"/>
      <c r="P3437" s="381"/>
      <c r="Q3437" s="12"/>
      <c r="R3437" s="12"/>
      <c r="S3437" s="382"/>
      <c r="T3437" s="383"/>
      <c r="U3437" s="384"/>
      <c r="V3437" s="12"/>
      <c r="W3437" s="12"/>
    </row>
    <row r="3438" spans="1:23" x14ac:dyDescent="0.3">
      <c r="A3438" s="193"/>
      <c r="B3438" s="378"/>
      <c r="C3438" s="315"/>
      <c r="D3438" s="316"/>
      <c r="E3438" s="315"/>
      <c r="F3438" s="315"/>
      <c r="G3438" s="315"/>
      <c r="H3438" s="153"/>
      <c r="I3438" s="12"/>
      <c r="J3438" s="12"/>
      <c r="K3438" s="12"/>
      <c r="L3438" s="379"/>
      <c r="M3438" s="380"/>
      <c r="N3438" s="380"/>
      <c r="O3438" s="12"/>
      <c r="P3438" s="381"/>
      <c r="Q3438" s="12"/>
      <c r="R3438" s="12"/>
      <c r="S3438" s="382"/>
      <c r="T3438" s="383"/>
      <c r="U3438" s="384"/>
      <c r="V3438" s="12"/>
      <c r="W3438" s="12"/>
    </row>
    <row r="3439" spans="1:23" x14ac:dyDescent="0.3">
      <c r="A3439" s="193"/>
      <c r="B3439" s="378"/>
      <c r="C3439" s="315"/>
      <c r="D3439" s="316"/>
      <c r="E3439" s="315"/>
      <c r="F3439" s="315"/>
      <c r="G3439" s="315"/>
      <c r="H3439" s="153"/>
      <c r="I3439" s="12"/>
      <c r="J3439" s="12"/>
      <c r="K3439" s="12"/>
      <c r="L3439" s="379"/>
      <c r="M3439" s="380"/>
      <c r="N3439" s="380"/>
      <c r="O3439" s="12"/>
      <c r="P3439" s="381"/>
      <c r="Q3439" s="12"/>
      <c r="R3439" s="12"/>
      <c r="S3439" s="382"/>
      <c r="T3439" s="383"/>
      <c r="U3439" s="384"/>
      <c r="V3439" s="12"/>
      <c r="W3439" s="12"/>
    </row>
    <row r="3440" spans="1:23" x14ac:dyDescent="0.3">
      <c r="A3440" s="193"/>
      <c r="B3440" s="378"/>
      <c r="C3440" s="315"/>
      <c r="D3440" s="316"/>
      <c r="E3440" s="315"/>
      <c r="F3440" s="315"/>
      <c r="G3440" s="315"/>
      <c r="H3440" s="153"/>
      <c r="I3440" s="12"/>
      <c r="J3440" s="12"/>
      <c r="K3440" s="12"/>
      <c r="L3440" s="379"/>
      <c r="M3440" s="380"/>
      <c r="N3440" s="380"/>
      <c r="O3440" s="12"/>
      <c r="P3440" s="381"/>
      <c r="Q3440" s="12"/>
      <c r="R3440" s="12"/>
      <c r="S3440" s="382"/>
      <c r="T3440" s="383"/>
      <c r="U3440" s="384"/>
      <c r="V3440" s="12"/>
      <c r="W3440" s="12"/>
    </row>
    <row r="3441" spans="1:23" x14ac:dyDescent="0.3">
      <c r="A3441" s="193"/>
      <c r="B3441" s="378"/>
      <c r="C3441" s="315"/>
      <c r="D3441" s="316"/>
      <c r="E3441" s="315"/>
      <c r="F3441" s="315"/>
      <c r="G3441" s="315"/>
      <c r="H3441" s="153"/>
      <c r="I3441" s="12"/>
      <c r="J3441" s="12"/>
      <c r="K3441" s="12"/>
      <c r="L3441" s="379"/>
      <c r="M3441" s="380"/>
      <c r="N3441" s="380"/>
      <c r="O3441" s="12"/>
      <c r="P3441" s="381"/>
      <c r="Q3441" s="12"/>
      <c r="R3441" s="12"/>
      <c r="S3441" s="382"/>
      <c r="T3441" s="383"/>
      <c r="U3441" s="384"/>
      <c r="V3441" s="12"/>
      <c r="W3441" s="12"/>
    </row>
    <row r="3442" spans="1:23" x14ac:dyDescent="0.3">
      <c r="A3442" s="193"/>
      <c r="B3442" s="378"/>
      <c r="C3442" s="315"/>
      <c r="D3442" s="316"/>
      <c r="E3442" s="315"/>
      <c r="F3442" s="315"/>
      <c r="G3442" s="315"/>
      <c r="H3442" s="153"/>
      <c r="I3442" s="12"/>
      <c r="J3442" s="12"/>
      <c r="K3442" s="12"/>
      <c r="L3442" s="379"/>
      <c r="M3442" s="380"/>
      <c r="N3442" s="380"/>
      <c r="O3442" s="12"/>
      <c r="P3442" s="381"/>
      <c r="Q3442" s="12"/>
      <c r="R3442" s="12"/>
      <c r="S3442" s="382"/>
      <c r="T3442" s="383"/>
      <c r="U3442" s="384"/>
      <c r="V3442" s="12"/>
      <c r="W3442" s="12"/>
    </row>
    <row r="3443" spans="1:23" x14ac:dyDescent="0.3">
      <c r="A3443" s="193"/>
      <c r="B3443" s="378"/>
      <c r="C3443" s="315"/>
      <c r="D3443" s="316"/>
      <c r="E3443" s="315"/>
      <c r="F3443" s="315"/>
      <c r="G3443" s="315"/>
      <c r="H3443" s="153"/>
      <c r="I3443" s="12"/>
      <c r="J3443" s="12"/>
      <c r="K3443" s="12"/>
      <c r="L3443" s="379"/>
      <c r="M3443" s="380"/>
      <c r="N3443" s="380"/>
      <c r="O3443" s="12"/>
      <c r="P3443" s="381"/>
      <c r="Q3443" s="12"/>
      <c r="R3443" s="12"/>
      <c r="S3443" s="382"/>
      <c r="T3443" s="383"/>
      <c r="U3443" s="384"/>
      <c r="V3443" s="12"/>
      <c r="W3443" s="12"/>
    </row>
    <row r="3444" spans="1:23" x14ac:dyDescent="0.3">
      <c r="A3444" s="193"/>
      <c r="B3444" s="378"/>
      <c r="C3444" s="315"/>
      <c r="D3444" s="316"/>
      <c r="E3444" s="315"/>
      <c r="F3444" s="315"/>
      <c r="G3444" s="315"/>
      <c r="H3444" s="153"/>
      <c r="I3444" s="12"/>
      <c r="J3444" s="12"/>
      <c r="K3444" s="12"/>
      <c r="L3444" s="379"/>
      <c r="M3444" s="380"/>
      <c r="N3444" s="380"/>
      <c r="O3444" s="12"/>
      <c r="P3444" s="381"/>
      <c r="Q3444" s="12"/>
      <c r="R3444" s="12"/>
      <c r="S3444" s="382"/>
      <c r="T3444" s="383"/>
      <c r="U3444" s="384"/>
      <c r="V3444" s="12"/>
      <c r="W3444" s="12"/>
    </row>
    <row r="3445" spans="1:23" x14ac:dyDescent="0.3">
      <c r="A3445" s="193"/>
      <c r="B3445" s="378"/>
      <c r="C3445" s="315"/>
      <c r="D3445" s="316"/>
      <c r="E3445" s="315"/>
      <c r="F3445" s="315"/>
      <c r="G3445" s="315"/>
      <c r="H3445" s="153"/>
      <c r="I3445" s="12"/>
      <c r="J3445" s="12"/>
      <c r="K3445" s="12"/>
      <c r="L3445" s="379"/>
      <c r="M3445" s="380"/>
      <c r="N3445" s="380"/>
      <c r="O3445" s="12"/>
      <c r="P3445" s="381"/>
      <c r="Q3445" s="12"/>
      <c r="R3445" s="12"/>
      <c r="S3445" s="382"/>
      <c r="T3445" s="383"/>
      <c r="U3445" s="384"/>
      <c r="V3445" s="12"/>
      <c r="W3445" s="12"/>
    </row>
    <row r="3446" spans="1:23" x14ac:dyDescent="0.3">
      <c r="A3446" s="193"/>
      <c r="B3446" s="378"/>
      <c r="C3446" s="315"/>
      <c r="D3446" s="316"/>
      <c r="E3446" s="315"/>
      <c r="F3446" s="315"/>
      <c r="G3446" s="315"/>
      <c r="H3446" s="153"/>
      <c r="I3446" s="12"/>
      <c r="J3446" s="12"/>
      <c r="K3446" s="12"/>
      <c r="L3446" s="379"/>
      <c r="M3446" s="380"/>
      <c r="N3446" s="380"/>
      <c r="O3446" s="12"/>
      <c r="P3446" s="381"/>
      <c r="Q3446" s="12"/>
      <c r="R3446" s="12"/>
      <c r="S3446" s="382"/>
      <c r="T3446" s="383"/>
      <c r="U3446" s="384"/>
      <c r="V3446" s="12"/>
      <c r="W3446" s="12"/>
    </row>
    <row r="3447" spans="1:23" x14ac:dyDescent="0.3">
      <c r="A3447" s="193"/>
      <c r="B3447" s="378"/>
      <c r="C3447" s="315"/>
      <c r="D3447" s="316"/>
      <c r="E3447" s="315"/>
      <c r="F3447" s="315"/>
      <c r="G3447" s="315"/>
      <c r="H3447" s="153"/>
      <c r="I3447" s="12"/>
      <c r="J3447" s="12"/>
      <c r="K3447" s="12"/>
      <c r="L3447" s="379"/>
      <c r="M3447" s="380"/>
      <c r="N3447" s="380"/>
      <c r="O3447" s="12"/>
      <c r="P3447" s="381"/>
      <c r="Q3447" s="12"/>
      <c r="R3447" s="12"/>
      <c r="S3447" s="382"/>
      <c r="T3447" s="383"/>
      <c r="U3447" s="384"/>
      <c r="V3447" s="12"/>
      <c r="W3447" s="12"/>
    </row>
    <row r="3448" spans="1:23" x14ac:dyDescent="0.3">
      <c r="A3448" s="193"/>
      <c r="B3448" s="378"/>
      <c r="C3448" s="315"/>
      <c r="D3448" s="316"/>
      <c r="E3448" s="315"/>
      <c r="F3448" s="315"/>
      <c r="G3448" s="315"/>
      <c r="H3448" s="153"/>
      <c r="I3448" s="12"/>
      <c r="J3448" s="12"/>
      <c r="K3448" s="12"/>
      <c r="L3448" s="379"/>
      <c r="M3448" s="380"/>
      <c r="N3448" s="380"/>
      <c r="O3448" s="12"/>
      <c r="P3448" s="381"/>
      <c r="Q3448" s="12"/>
      <c r="R3448" s="12"/>
      <c r="S3448" s="382"/>
      <c r="T3448" s="383"/>
      <c r="U3448" s="384"/>
      <c r="V3448" s="12"/>
      <c r="W3448" s="12"/>
    </row>
    <row r="3449" spans="1:23" x14ac:dyDescent="0.3">
      <c r="A3449" s="193"/>
      <c r="B3449" s="378"/>
      <c r="C3449" s="315"/>
      <c r="D3449" s="316"/>
      <c r="E3449" s="315"/>
      <c r="F3449" s="315"/>
      <c r="G3449" s="315"/>
      <c r="H3449" s="153"/>
      <c r="I3449" s="12"/>
      <c r="J3449" s="12"/>
      <c r="K3449" s="12"/>
      <c r="L3449" s="379"/>
      <c r="M3449" s="380"/>
      <c r="N3449" s="380"/>
      <c r="O3449" s="12"/>
      <c r="P3449" s="381"/>
      <c r="Q3449" s="12"/>
      <c r="R3449" s="12"/>
      <c r="S3449" s="382"/>
      <c r="T3449" s="383"/>
      <c r="U3449" s="384"/>
      <c r="V3449" s="12"/>
      <c r="W3449" s="12"/>
    </row>
    <row r="3450" spans="1:23" x14ac:dyDescent="0.3">
      <c r="A3450" s="193"/>
      <c r="B3450" s="378"/>
      <c r="C3450" s="315"/>
      <c r="D3450" s="316"/>
      <c r="E3450" s="315"/>
      <c r="F3450" s="315"/>
      <c r="G3450" s="315"/>
      <c r="H3450" s="153"/>
      <c r="I3450" s="12"/>
      <c r="J3450" s="12"/>
      <c r="K3450" s="12"/>
      <c r="L3450" s="379"/>
      <c r="M3450" s="380"/>
      <c r="N3450" s="380"/>
      <c r="O3450" s="12"/>
      <c r="P3450" s="381"/>
      <c r="Q3450" s="12"/>
      <c r="R3450" s="12"/>
      <c r="S3450" s="382"/>
      <c r="T3450" s="383"/>
      <c r="U3450" s="384"/>
      <c r="V3450" s="12"/>
      <c r="W3450" s="12"/>
    </row>
    <row r="3451" spans="1:23" x14ac:dyDescent="0.3">
      <c r="A3451" s="193"/>
      <c r="B3451" s="378"/>
      <c r="C3451" s="315"/>
      <c r="D3451" s="316"/>
      <c r="E3451" s="315"/>
      <c r="F3451" s="315"/>
      <c r="G3451" s="315"/>
      <c r="H3451" s="153"/>
      <c r="I3451" s="12"/>
      <c r="J3451" s="12"/>
      <c r="K3451" s="12"/>
      <c r="L3451" s="379"/>
      <c r="M3451" s="380"/>
      <c r="N3451" s="380"/>
      <c r="O3451" s="12"/>
      <c r="P3451" s="381"/>
      <c r="Q3451" s="12"/>
      <c r="R3451" s="12"/>
      <c r="S3451" s="382"/>
      <c r="T3451" s="383"/>
      <c r="U3451" s="384"/>
      <c r="V3451" s="12"/>
      <c r="W3451" s="12"/>
    </row>
    <row r="3452" spans="1:23" x14ac:dyDescent="0.3">
      <c r="A3452" s="193"/>
      <c r="B3452" s="378"/>
      <c r="C3452" s="315"/>
      <c r="D3452" s="316"/>
      <c r="E3452" s="315"/>
      <c r="F3452" s="315"/>
      <c r="G3452" s="315"/>
      <c r="H3452" s="153"/>
      <c r="I3452" s="12"/>
      <c r="J3452" s="12"/>
      <c r="K3452" s="12"/>
      <c r="L3452" s="379"/>
      <c r="M3452" s="380"/>
      <c r="N3452" s="380"/>
      <c r="O3452" s="12"/>
      <c r="P3452" s="381"/>
      <c r="Q3452" s="12"/>
      <c r="R3452" s="12"/>
      <c r="S3452" s="382"/>
      <c r="T3452" s="383"/>
      <c r="U3452" s="384"/>
      <c r="V3452" s="12"/>
      <c r="W3452" s="12"/>
    </row>
    <row r="3453" spans="1:23" x14ac:dyDescent="0.3">
      <c r="A3453" s="193"/>
      <c r="B3453" s="378"/>
      <c r="C3453" s="315"/>
      <c r="D3453" s="316"/>
      <c r="E3453" s="315"/>
      <c r="F3453" s="315"/>
      <c r="G3453" s="315"/>
      <c r="H3453" s="153"/>
      <c r="I3453" s="12"/>
      <c r="J3453" s="12"/>
      <c r="K3453" s="12"/>
      <c r="L3453" s="379"/>
      <c r="M3453" s="380"/>
      <c r="N3453" s="380"/>
      <c r="O3453" s="12"/>
      <c r="P3453" s="381"/>
      <c r="Q3453" s="12"/>
      <c r="R3453" s="12"/>
      <c r="S3453" s="382"/>
      <c r="T3453" s="383"/>
      <c r="U3453" s="384"/>
      <c r="V3453" s="12"/>
      <c r="W3453" s="12"/>
    </row>
    <row r="3454" spans="1:23" x14ac:dyDescent="0.3">
      <c r="A3454" s="193"/>
      <c r="B3454" s="378"/>
      <c r="C3454" s="315"/>
      <c r="D3454" s="316"/>
      <c r="E3454" s="315"/>
      <c r="F3454" s="315"/>
      <c r="G3454" s="315"/>
      <c r="H3454" s="153"/>
      <c r="I3454" s="12"/>
      <c r="J3454" s="12"/>
      <c r="K3454" s="12"/>
      <c r="L3454" s="379"/>
      <c r="M3454" s="380"/>
      <c r="N3454" s="380"/>
      <c r="O3454" s="12"/>
      <c r="P3454" s="381"/>
      <c r="Q3454" s="12"/>
      <c r="R3454" s="12"/>
      <c r="S3454" s="382"/>
      <c r="T3454" s="383"/>
      <c r="U3454" s="384"/>
      <c r="V3454" s="12"/>
      <c r="W3454" s="12"/>
    </row>
    <row r="3455" spans="1:23" x14ac:dyDescent="0.3">
      <c r="A3455" s="193"/>
      <c r="B3455" s="378"/>
      <c r="C3455" s="315"/>
      <c r="D3455" s="316"/>
      <c r="E3455" s="315"/>
      <c r="F3455" s="315"/>
      <c r="G3455" s="315"/>
      <c r="H3455" s="153"/>
      <c r="I3455" s="12"/>
      <c r="J3455" s="12"/>
      <c r="K3455" s="12"/>
      <c r="L3455" s="379"/>
      <c r="M3455" s="380"/>
      <c r="N3455" s="380"/>
      <c r="O3455" s="12"/>
      <c r="P3455" s="381"/>
      <c r="Q3455" s="12"/>
      <c r="R3455" s="12"/>
      <c r="S3455" s="382"/>
      <c r="T3455" s="383"/>
      <c r="U3455" s="384"/>
      <c r="V3455" s="12"/>
      <c r="W3455" s="12"/>
    </row>
    <row r="3456" spans="1:23" x14ac:dyDescent="0.3">
      <c r="A3456" s="193"/>
      <c r="B3456" s="378"/>
      <c r="C3456" s="315"/>
      <c r="D3456" s="316"/>
      <c r="E3456" s="315"/>
      <c r="F3456" s="315"/>
      <c r="G3456" s="315"/>
      <c r="H3456" s="153"/>
      <c r="I3456" s="12"/>
      <c r="J3456" s="12"/>
      <c r="K3456" s="12"/>
      <c r="L3456" s="379"/>
      <c r="M3456" s="380"/>
      <c r="N3456" s="380"/>
      <c r="O3456" s="12"/>
      <c r="P3456" s="381"/>
      <c r="Q3456" s="12"/>
      <c r="R3456" s="12"/>
      <c r="S3456" s="382"/>
      <c r="T3456" s="383"/>
      <c r="U3456" s="384"/>
      <c r="V3456" s="12"/>
      <c r="W3456" s="12"/>
    </row>
    <row r="3457" spans="1:23" x14ac:dyDescent="0.3">
      <c r="A3457" s="193"/>
      <c r="B3457" s="378"/>
      <c r="C3457" s="315"/>
      <c r="D3457" s="316"/>
      <c r="E3457" s="315"/>
      <c r="F3457" s="315"/>
      <c r="G3457" s="315"/>
      <c r="H3457" s="153"/>
      <c r="I3457" s="12"/>
      <c r="J3457" s="12"/>
      <c r="K3457" s="12"/>
      <c r="L3457" s="379"/>
      <c r="M3457" s="380"/>
      <c r="N3457" s="380"/>
      <c r="O3457" s="12"/>
      <c r="P3457" s="381"/>
      <c r="Q3457" s="12"/>
      <c r="R3457" s="12"/>
      <c r="S3457" s="382"/>
      <c r="T3457" s="383"/>
      <c r="U3457" s="384"/>
      <c r="V3457" s="12"/>
      <c r="W3457" s="12"/>
    </row>
    <row r="3458" spans="1:23" x14ac:dyDescent="0.3">
      <c r="A3458" s="193"/>
      <c r="B3458" s="378"/>
      <c r="C3458" s="315"/>
      <c r="D3458" s="316"/>
      <c r="E3458" s="315"/>
      <c r="F3458" s="315"/>
      <c r="G3458" s="315"/>
      <c r="H3458" s="153"/>
      <c r="I3458" s="12"/>
      <c r="J3458" s="12"/>
      <c r="K3458" s="12"/>
      <c r="L3458" s="379"/>
      <c r="M3458" s="380"/>
      <c r="N3458" s="380"/>
      <c r="O3458" s="12"/>
      <c r="P3458" s="381"/>
      <c r="Q3458" s="12"/>
      <c r="R3458" s="12"/>
      <c r="S3458" s="382"/>
      <c r="T3458" s="383"/>
      <c r="U3458" s="384"/>
      <c r="V3458" s="12"/>
      <c r="W3458" s="12"/>
    </row>
    <row r="3459" spans="1:23" x14ac:dyDescent="0.3">
      <c r="A3459" s="193"/>
      <c r="B3459" s="378"/>
      <c r="C3459" s="315"/>
      <c r="D3459" s="316"/>
      <c r="E3459" s="315"/>
      <c r="F3459" s="315"/>
      <c r="G3459" s="315"/>
      <c r="H3459" s="153"/>
      <c r="I3459" s="12"/>
      <c r="J3459" s="12"/>
      <c r="K3459" s="12"/>
      <c r="L3459" s="379"/>
      <c r="M3459" s="380"/>
      <c r="N3459" s="380"/>
      <c r="O3459" s="12"/>
      <c r="P3459" s="381"/>
      <c r="Q3459" s="12"/>
      <c r="R3459" s="12"/>
      <c r="S3459" s="382"/>
      <c r="T3459" s="383"/>
      <c r="U3459" s="384"/>
      <c r="V3459" s="12"/>
      <c r="W3459" s="12"/>
    </row>
    <row r="3460" spans="1:23" x14ac:dyDescent="0.3">
      <c r="A3460" s="193"/>
      <c r="B3460" s="378"/>
      <c r="C3460" s="315"/>
      <c r="D3460" s="316"/>
      <c r="E3460" s="315"/>
      <c r="F3460" s="315"/>
      <c r="G3460" s="315"/>
      <c r="H3460" s="153"/>
      <c r="I3460" s="12"/>
      <c r="J3460" s="12"/>
      <c r="K3460" s="12"/>
      <c r="L3460" s="379"/>
      <c r="M3460" s="380"/>
      <c r="N3460" s="380"/>
      <c r="O3460" s="12"/>
      <c r="P3460" s="381"/>
      <c r="Q3460" s="12"/>
      <c r="R3460" s="12"/>
      <c r="S3460" s="382"/>
      <c r="T3460" s="383"/>
      <c r="U3460" s="384"/>
      <c r="V3460" s="12"/>
      <c r="W3460" s="12"/>
    </row>
    <row r="3461" spans="1:23" x14ac:dyDescent="0.3">
      <c r="A3461" s="193"/>
      <c r="B3461" s="378"/>
      <c r="C3461" s="315"/>
      <c r="D3461" s="316"/>
      <c r="E3461" s="315"/>
      <c r="F3461" s="315"/>
      <c r="G3461" s="315"/>
      <c r="H3461" s="153"/>
      <c r="I3461" s="12"/>
      <c r="J3461" s="12"/>
      <c r="K3461" s="12"/>
      <c r="L3461" s="379"/>
      <c r="M3461" s="380"/>
      <c r="N3461" s="380"/>
      <c r="O3461" s="12"/>
      <c r="P3461" s="381"/>
      <c r="Q3461" s="12"/>
      <c r="R3461" s="12"/>
      <c r="S3461" s="382"/>
      <c r="T3461" s="383"/>
      <c r="U3461" s="384"/>
      <c r="V3461" s="12"/>
      <c r="W3461" s="12"/>
    </row>
    <row r="3462" spans="1:23" x14ac:dyDescent="0.3">
      <c r="A3462" s="193"/>
      <c r="B3462" s="378"/>
      <c r="C3462" s="315"/>
      <c r="D3462" s="316"/>
      <c r="E3462" s="315"/>
      <c r="F3462" s="315"/>
      <c r="G3462" s="315"/>
      <c r="H3462" s="153"/>
      <c r="I3462" s="12"/>
      <c r="J3462" s="12"/>
      <c r="K3462" s="12"/>
      <c r="L3462" s="379"/>
      <c r="M3462" s="380"/>
      <c r="N3462" s="380"/>
      <c r="O3462" s="12"/>
      <c r="P3462" s="381"/>
      <c r="Q3462" s="12"/>
      <c r="R3462" s="12"/>
      <c r="S3462" s="382"/>
      <c r="T3462" s="383"/>
      <c r="U3462" s="384"/>
      <c r="V3462" s="12"/>
      <c r="W3462" s="12"/>
    </row>
    <row r="3463" spans="1:23" x14ac:dyDescent="0.3">
      <c r="A3463" s="193"/>
      <c r="B3463" s="378"/>
      <c r="C3463" s="315"/>
      <c r="D3463" s="316"/>
      <c r="E3463" s="315"/>
      <c r="F3463" s="315"/>
      <c r="G3463" s="315"/>
      <c r="H3463" s="153"/>
      <c r="I3463" s="12"/>
      <c r="J3463" s="12"/>
      <c r="K3463" s="12"/>
      <c r="L3463" s="379"/>
      <c r="M3463" s="380"/>
      <c r="N3463" s="380"/>
      <c r="O3463" s="12"/>
      <c r="P3463" s="381"/>
      <c r="Q3463" s="12"/>
      <c r="R3463" s="12"/>
      <c r="S3463" s="382"/>
      <c r="T3463" s="383"/>
      <c r="U3463" s="384"/>
      <c r="V3463" s="12"/>
      <c r="W3463" s="12"/>
    </row>
    <row r="3464" spans="1:23" x14ac:dyDescent="0.3">
      <c r="A3464" s="193"/>
      <c r="B3464" s="378"/>
      <c r="C3464" s="315"/>
      <c r="D3464" s="316"/>
      <c r="E3464" s="315"/>
      <c r="F3464" s="315"/>
      <c r="G3464" s="315"/>
      <c r="H3464" s="153"/>
      <c r="I3464" s="12"/>
      <c r="J3464" s="12"/>
      <c r="K3464" s="12"/>
      <c r="L3464" s="379"/>
      <c r="M3464" s="380"/>
      <c r="N3464" s="380"/>
      <c r="O3464" s="12"/>
      <c r="P3464" s="381"/>
      <c r="Q3464" s="12"/>
      <c r="R3464" s="12"/>
      <c r="S3464" s="382"/>
      <c r="T3464" s="383"/>
      <c r="U3464" s="384"/>
      <c r="V3464" s="12"/>
      <c r="W3464" s="12"/>
    </row>
    <row r="3465" spans="1:23" x14ac:dyDescent="0.3">
      <c r="A3465" s="193"/>
      <c r="B3465" s="378"/>
      <c r="C3465" s="315"/>
      <c r="D3465" s="316"/>
      <c r="E3465" s="315"/>
      <c r="F3465" s="315"/>
      <c r="G3465" s="315"/>
      <c r="H3465" s="153"/>
      <c r="I3465" s="12"/>
      <c r="J3465" s="12"/>
      <c r="K3465" s="12"/>
      <c r="L3465" s="379"/>
      <c r="M3465" s="380"/>
      <c r="N3465" s="380"/>
      <c r="O3465" s="12"/>
      <c r="P3465" s="381"/>
      <c r="Q3465" s="12"/>
      <c r="R3465" s="12"/>
      <c r="S3465" s="382"/>
      <c r="T3465" s="383"/>
      <c r="U3465" s="384"/>
      <c r="V3465" s="12"/>
      <c r="W3465" s="12"/>
    </row>
    <row r="3466" spans="1:23" x14ac:dyDescent="0.3">
      <c r="A3466" s="193"/>
      <c r="B3466" s="378"/>
      <c r="C3466" s="315"/>
      <c r="D3466" s="316"/>
      <c r="E3466" s="315"/>
      <c r="F3466" s="315"/>
      <c r="G3466" s="315"/>
      <c r="H3466" s="153"/>
      <c r="I3466" s="12"/>
      <c r="J3466" s="12"/>
      <c r="K3466" s="12"/>
      <c r="L3466" s="379"/>
      <c r="M3466" s="380"/>
      <c r="N3466" s="380"/>
      <c r="O3466" s="12"/>
      <c r="P3466" s="381"/>
      <c r="Q3466" s="12"/>
      <c r="R3466" s="12"/>
      <c r="S3466" s="382"/>
      <c r="T3466" s="383"/>
      <c r="U3466" s="384"/>
      <c r="V3466" s="12"/>
      <c r="W3466" s="12"/>
    </row>
    <row r="3467" spans="1:23" x14ac:dyDescent="0.3">
      <c r="A3467" s="193"/>
      <c r="B3467" s="378"/>
      <c r="C3467" s="315"/>
      <c r="D3467" s="316"/>
      <c r="E3467" s="315"/>
      <c r="F3467" s="315"/>
      <c r="G3467" s="315"/>
      <c r="H3467" s="153"/>
      <c r="I3467" s="12"/>
      <c r="J3467" s="12"/>
      <c r="K3467" s="12"/>
      <c r="L3467" s="379"/>
      <c r="M3467" s="380"/>
      <c r="N3467" s="380"/>
      <c r="O3467" s="12"/>
      <c r="P3467" s="381"/>
      <c r="Q3467" s="12"/>
      <c r="R3467" s="12"/>
      <c r="S3467" s="382"/>
      <c r="T3467" s="383"/>
      <c r="U3467" s="384"/>
      <c r="V3467" s="12"/>
      <c r="W3467" s="12"/>
    </row>
    <row r="3468" spans="1:23" x14ac:dyDescent="0.3">
      <c r="A3468" s="193"/>
      <c r="B3468" s="378"/>
      <c r="C3468" s="315"/>
      <c r="D3468" s="316"/>
      <c r="E3468" s="315"/>
      <c r="F3468" s="315"/>
      <c r="G3468" s="315"/>
      <c r="H3468" s="153"/>
      <c r="I3468" s="12"/>
      <c r="J3468" s="12"/>
      <c r="K3468" s="12"/>
      <c r="L3468" s="379"/>
      <c r="M3468" s="380"/>
      <c r="N3468" s="380"/>
      <c r="O3468" s="12"/>
      <c r="P3468" s="381"/>
      <c r="Q3468" s="12"/>
      <c r="R3468" s="12"/>
      <c r="S3468" s="382"/>
      <c r="T3468" s="383"/>
      <c r="U3468" s="384"/>
      <c r="V3468" s="12"/>
      <c r="W3468" s="12"/>
    </row>
    <row r="3469" spans="1:23" x14ac:dyDescent="0.3">
      <c r="A3469" s="193"/>
      <c r="B3469" s="378"/>
      <c r="C3469" s="315"/>
      <c r="D3469" s="316"/>
      <c r="E3469" s="315"/>
      <c r="F3469" s="315"/>
      <c r="G3469" s="315"/>
      <c r="H3469" s="153"/>
      <c r="I3469" s="12"/>
      <c r="J3469" s="12"/>
      <c r="K3469" s="12"/>
      <c r="L3469" s="379"/>
      <c r="M3469" s="380"/>
      <c r="N3469" s="380"/>
      <c r="O3469" s="12"/>
      <c r="P3469" s="381"/>
      <c r="Q3469" s="12"/>
      <c r="R3469" s="12"/>
      <c r="S3469" s="382"/>
      <c r="T3469" s="383"/>
      <c r="U3469" s="384"/>
      <c r="V3469" s="12"/>
      <c r="W3469" s="12"/>
    </row>
    <row r="3470" spans="1:23" x14ac:dyDescent="0.3">
      <c r="A3470" s="193"/>
      <c r="B3470" s="378"/>
      <c r="C3470" s="315"/>
      <c r="D3470" s="316"/>
      <c r="E3470" s="315"/>
      <c r="F3470" s="315"/>
      <c r="G3470" s="315"/>
      <c r="H3470" s="153"/>
      <c r="I3470" s="12"/>
      <c r="J3470" s="12"/>
      <c r="K3470" s="12"/>
      <c r="L3470" s="379"/>
      <c r="M3470" s="380"/>
      <c r="N3470" s="380"/>
      <c r="O3470" s="12"/>
      <c r="P3470" s="381"/>
      <c r="Q3470" s="12"/>
      <c r="R3470" s="12"/>
      <c r="S3470" s="382"/>
      <c r="T3470" s="383"/>
      <c r="U3470" s="384"/>
      <c r="V3470" s="12"/>
      <c r="W3470" s="12"/>
    </row>
    <row r="3471" spans="1:23" x14ac:dyDescent="0.3">
      <c r="A3471" s="193"/>
      <c r="B3471" s="378"/>
      <c r="C3471" s="315"/>
      <c r="D3471" s="316"/>
      <c r="E3471" s="315"/>
      <c r="F3471" s="315"/>
      <c r="G3471" s="315"/>
      <c r="H3471" s="153"/>
      <c r="I3471" s="12"/>
      <c r="J3471" s="12"/>
      <c r="K3471" s="12"/>
      <c r="L3471" s="379"/>
      <c r="M3471" s="380"/>
      <c r="N3471" s="380"/>
      <c r="O3471" s="12"/>
      <c r="P3471" s="381"/>
      <c r="Q3471" s="12"/>
      <c r="R3471" s="12"/>
      <c r="S3471" s="382"/>
      <c r="T3471" s="383"/>
      <c r="U3471" s="384"/>
      <c r="V3471" s="12"/>
      <c r="W3471" s="12"/>
    </row>
    <row r="3472" spans="1:23" x14ac:dyDescent="0.3">
      <c r="A3472" s="193"/>
      <c r="B3472" s="378"/>
      <c r="C3472" s="315"/>
      <c r="D3472" s="316"/>
      <c r="E3472" s="315"/>
      <c r="F3472" s="315"/>
      <c r="G3472" s="315"/>
      <c r="H3472" s="153"/>
      <c r="I3472" s="12"/>
      <c r="J3472" s="12"/>
      <c r="K3472" s="12"/>
      <c r="L3472" s="379"/>
      <c r="M3472" s="380"/>
      <c r="N3472" s="380"/>
      <c r="O3472" s="12"/>
      <c r="P3472" s="381"/>
      <c r="Q3472" s="12"/>
      <c r="R3472" s="12"/>
      <c r="S3472" s="382"/>
      <c r="T3472" s="383"/>
      <c r="U3472" s="384"/>
      <c r="V3472" s="12"/>
      <c r="W3472" s="12"/>
    </row>
    <row r="3473" spans="1:23" x14ac:dyDescent="0.3">
      <c r="A3473" s="193"/>
      <c r="B3473" s="378"/>
      <c r="C3473" s="315"/>
      <c r="D3473" s="316"/>
      <c r="E3473" s="315"/>
      <c r="F3473" s="315"/>
      <c r="G3473" s="315"/>
      <c r="H3473" s="153"/>
      <c r="I3473" s="12"/>
      <c r="J3473" s="12"/>
      <c r="K3473" s="12"/>
      <c r="L3473" s="379"/>
      <c r="M3473" s="380"/>
      <c r="N3473" s="380"/>
      <c r="O3473" s="12"/>
      <c r="P3473" s="381"/>
      <c r="Q3473" s="12"/>
      <c r="R3473" s="12"/>
      <c r="S3473" s="382"/>
      <c r="T3473" s="383"/>
      <c r="U3473" s="384"/>
      <c r="V3473" s="12"/>
      <c r="W3473" s="12"/>
    </row>
    <row r="3474" spans="1:23" x14ac:dyDescent="0.3">
      <c r="A3474" s="193"/>
      <c r="B3474" s="378"/>
      <c r="C3474" s="315"/>
      <c r="D3474" s="316"/>
      <c r="E3474" s="315"/>
      <c r="F3474" s="315"/>
      <c r="G3474" s="315"/>
      <c r="H3474" s="153"/>
      <c r="I3474" s="12"/>
      <c r="J3474" s="12"/>
      <c r="K3474" s="12"/>
      <c r="L3474" s="379"/>
      <c r="M3474" s="380"/>
      <c r="N3474" s="380"/>
      <c r="O3474" s="12"/>
      <c r="P3474" s="381"/>
      <c r="Q3474" s="12"/>
      <c r="R3474" s="12"/>
      <c r="S3474" s="382"/>
      <c r="T3474" s="383"/>
      <c r="U3474" s="384"/>
      <c r="V3474" s="12"/>
      <c r="W3474" s="12"/>
    </row>
    <row r="3475" spans="1:23" x14ac:dyDescent="0.3">
      <c r="A3475" s="193"/>
      <c r="B3475" s="378"/>
      <c r="C3475" s="315"/>
      <c r="D3475" s="316"/>
      <c r="E3475" s="315"/>
      <c r="F3475" s="315"/>
      <c r="G3475" s="315"/>
      <c r="H3475" s="153"/>
      <c r="I3475" s="12"/>
      <c r="J3475" s="12"/>
      <c r="K3475" s="12"/>
      <c r="L3475" s="379"/>
      <c r="M3475" s="380"/>
      <c r="N3475" s="380"/>
      <c r="O3475" s="12"/>
      <c r="P3475" s="381"/>
      <c r="Q3475" s="12"/>
      <c r="R3475" s="12"/>
      <c r="S3475" s="382"/>
      <c r="T3475" s="383"/>
      <c r="U3475" s="384"/>
      <c r="V3475" s="12"/>
      <c r="W3475" s="12"/>
    </row>
    <row r="3476" spans="1:23" x14ac:dyDescent="0.3">
      <c r="A3476" s="193"/>
      <c r="B3476" s="378"/>
      <c r="C3476" s="315"/>
      <c r="D3476" s="316"/>
      <c r="E3476" s="315"/>
      <c r="F3476" s="315"/>
      <c r="G3476" s="315"/>
      <c r="H3476" s="153"/>
      <c r="I3476" s="12"/>
      <c r="J3476" s="12"/>
      <c r="K3476" s="12"/>
      <c r="L3476" s="379"/>
      <c r="M3476" s="380"/>
      <c r="N3476" s="380"/>
      <c r="O3476" s="12"/>
      <c r="P3476" s="381"/>
      <c r="Q3476" s="12"/>
      <c r="R3476" s="12"/>
      <c r="S3476" s="382"/>
      <c r="T3476" s="383"/>
      <c r="U3476" s="384"/>
      <c r="V3476" s="12"/>
      <c r="W3476" s="12"/>
    </row>
    <row r="3477" spans="1:23" x14ac:dyDescent="0.3">
      <c r="A3477" s="193"/>
      <c r="B3477" s="378"/>
      <c r="C3477" s="315"/>
      <c r="D3477" s="316"/>
      <c r="E3477" s="315"/>
      <c r="F3477" s="315"/>
      <c r="G3477" s="315"/>
      <c r="H3477" s="153"/>
      <c r="I3477" s="12"/>
      <c r="J3477" s="12"/>
      <c r="K3477" s="12"/>
      <c r="L3477" s="379"/>
      <c r="M3477" s="380"/>
      <c r="N3477" s="380"/>
      <c r="O3477" s="12"/>
      <c r="P3477" s="381"/>
      <c r="Q3477" s="12"/>
      <c r="R3477" s="12"/>
      <c r="S3477" s="382"/>
      <c r="T3477" s="383"/>
      <c r="U3477" s="384"/>
      <c r="V3477" s="12"/>
      <c r="W3477" s="12"/>
    </row>
    <row r="3478" spans="1:23" x14ac:dyDescent="0.3">
      <c r="A3478" s="193"/>
      <c r="B3478" s="378"/>
      <c r="C3478" s="315"/>
      <c r="D3478" s="316"/>
      <c r="E3478" s="315"/>
      <c r="F3478" s="315"/>
      <c r="G3478" s="315"/>
      <c r="H3478" s="153"/>
      <c r="I3478" s="12"/>
      <c r="J3478" s="12"/>
      <c r="K3478" s="12"/>
      <c r="L3478" s="379"/>
      <c r="M3478" s="380"/>
      <c r="N3478" s="380"/>
      <c r="O3478" s="12"/>
      <c r="P3478" s="381"/>
      <c r="Q3478" s="12"/>
      <c r="R3478" s="12"/>
      <c r="S3478" s="382"/>
      <c r="T3478" s="383"/>
      <c r="U3478" s="384"/>
      <c r="V3478" s="12"/>
      <c r="W3478" s="12"/>
    </row>
    <row r="3479" spans="1:23" x14ac:dyDescent="0.3">
      <c r="A3479" s="193"/>
      <c r="B3479" s="378"/>
      <c r="C3479" s="315"/>
      <c r="D3479" s="316"/>
      <c r="E3479" s="315"/>
      <c r="F3479" s="315"/>
      <c r="G3479" s="315"/>
      <c r="H3479" s="153"/>
      <c r="I3479" s="12"/>
      <c r="J3479" s="12"/>
      <c r="K3479" s="12"/>
      <c r="L3479" s="379"/>
      <c r="M3479" s="380"/>
      <c r="N3479" s="380"/>
      <c r="O3479" s="12"/>
      <c r="P3479" s="381"/>
      <c r="Q3479" s="12"/>
      <c r="R3479" s="12"/>
      <c r="S3479" s="382"/>
      <c r="T3479" s="383"/>
      <c r="U3479" s="384"/>
      <c r="V3479" s="12"/>
      <c r="W3479" s="12"/>
    </row>
    <row r="3480" spans="1:23" x14ac:dyDescent="0.3">
      <c r="A3480" s="193"/>
      <c r="B3480" s="378"/>
      <c r="C3480" s="315"/>
      <c r="D3480" s="316"/>
      <c r="E3480" s="315"/>
      <c r="F3480" s="315"/>
      <c r="G3480" s="315"/>
      <c r="H3480" s="153"/>
      <c r="I3480" s="12"/>
      <c r="J3480" s="12"/>
      <c r="K3480" s="12"/>
      <c r="L3480" s="379"/>
      <c r="M3480" s="380"/>
      <c r="N3480" s="380"/>
      <c r="O3480" s="12"/>
      <c r="P3480" s="381"/>
      <c r="Q3480" s="12"/>
      <c r="R3480" s="12"/>
      <c r="S3480" s="382"/>
      <c r="T3480" s="383"/>
      <c r="U3480" s="384"/>
      <c r="V3480" s="12"/>
      <c r="W3480" s="12"/>
    </row>
    <row r="3481" spans="1:23" x14ac:dyDescent="0.3">
      <c r="A3481" s="193"/>
      <c r="B3481" s="378"/>
      <c r="C3481" s="315"/>
      <c r="D3481" s="316"/>
      <c r="E3481" s="315"/>
      <c r="F3481" s="315"/>
      <c r="G3481" s="315"/>
      <c r="H3481" s="153"/>
      <c r="I3481" s="12"/>
      <c r="J3481" s="12"/>
      <c r="K3481" s="12"/>
      <c r="L3481" s="379"/>
      <c r="M3481" s="380"/>
      <c r="N3481" s="380"/>
      <c r="O3481" s="12"/>
      <c r="P3481" s="381"/>
      <c r="Q3481" s="12"/>
      <c r="R3481" s="12"/>
      <c r="S3481" s="382"/>
      <c r="T3481" s="383"/>
      <c r="U3481" s="384"/>
      <c r="V3481" s="12"/>
      <c r="W3481" s="12"/>
    </row>
    <row r="3482" spans="1:23" x14ac:dyDescent="0.3">
      <c r="A3482" s="193"/>
      <c r="B3482" s="378"/>
      <c r="C3482" s="315"/>
      <c r="D3482" s="316"/>
      <c r="E3482" s="315"/>
      <c r="F3482" s="315"/>
      <c r="G3482" s="315"/>
      <c r="H3482" s="153"/>
      <c r="I3482" s="12"/>
      <c r="J3482" s="12"/>
      <c r="K3482" s="12"/>
      <c r="L3482" s="379"/>
      <c r="M3482" s="380"/>
      <c r="N3482" s="380"/>
      <c r="O3482" s="12"/>
      <c r="P3482" s="381"/>
      <c r="Q3482" s="12"/>
      <c r="R3482" s="12"/>
      <c r="S3482" s="382"/>
      <c r="T3482" s="383"/>
      <c r="U3482" s="384"/>
      <c r="V3482" s="12"/>
      <c r="W3482" s="12"/>
    </row>
    <row r="3483" spans="1:23" x14ac:dyDescent="0.3">
      <c r="A3483" s="193"/>
      <c r="B3483" s="378"/>
      <c r="C3483" s="315"/>
      <c r="D3483" s="316"/>
      <c r="E3483" s="315"/>
      <c r="F3483" s="315"/>
      <c r="G3483" s="315"/>
      <c r="H3483" s="153"/>
      <c r="I3483" s="12"/>
      <c r="J3483" s="12"/>
      <c r="K3483" s="12"/>
      <c r="L3483" s="379"/>
      <c r="M3483" s="380"/>
      <c r="N3483" s="380"/>
      <c r="O3483" s="12"/>
      <c r="P3483" s="381"/>
      <c r="Q3483" s="12"/>
      <c r="R3483" s="12"/>
      <c r="S3483" s="382"/>
      <c r="T3483" s="383"/>
      <c r="U3483" s="384"/>
      <c r="V3483" s="12"/>
      <c r="W3483" s="12"/>
    </row>
    <row r="3484" spans="1:23" x14ac:dyDescent="0.3">
      <c r="A3484" s="193"/>
      <c r="B3484" s="378"/>
      <c r="C3484" s="315"/>
      <c r="D3484" s="316"/>
      <c r="E3484" s="315"/>
      <c r="F3484" s="315"/>
      <c r="G3484" s="315"/>
      <c r="H3484" s="153"/>
      <c r="I3484" s="12"/>
      <c r="J3484" s="12"/>
      <c r="K3484" s="12"/>
      <c r="L3484" s="379"/>
      <c r="M3484" s="380"/>
      <c r="N3484" s="380"/>
      <c r="O3484" s="12"/>
      <c r="P3484" s="381"/>
      <c r="Q3484" s="12"/>
      <c r="R3484" s="12"/>
      <c r="S3484" s="382"/>
      <c r="T3484" s="383"/>
      <c r="U3484" s="384"/>
      <c r="V3484" s="12"/>
      <c r="W3484" s="12"/>
    </row>
    <row r="3485" spans="1:23" x14ac:dyDescent="0.3">
      <c r="A3485" s="193"/>
      <c r="B3485" s="378"/>
      <c r="C3485" s="315"/>
      <c r="D3485" s="316"/>
      <c r="E3485" s="315"/>
      <c r="F3485" s="315"/>
      <c r="G3485" s="315"/>
      <c r="H3485" s="153"/>
      <c r="I3485" s="12"/>
      <c r="J3485" s="12"/>
      <c r="K3485" s="12"/>
      <c r="L3485" s="379"/>
      <c r="M3485" s="380"/>
      <c r="N3485" s="380"/>
      <c r="O3485" s="12"/>
      <c r="P3485" s="381"/>
      <c r="Q3485" s="12"/>
      <c r="R3485" s="12"/>
      <c r="S3485" s="382"/>
      <c r="T3485" s="383"/>
      <c r="U3485" s="384"/>
      <c r="V3485" s="12"/>
      <c r="W3485" s="12"/>
    </row>
    <row r="3486" spans="1:23" x14ac:dyDescent="0.3">
      <c r="A3486" s="193"/>
      <c r="B3486" s="378"/>
      <c r="C3486" s="315"/>
      <c r="D3486" s="316"/>
      <c r="E3486" s="315"/>
      <c r="F3486" s="315"/>
      <c r="G3486" s="315"/>
      <c r="H3486" s="153"/>
      <c r="I3486" s="12"/>
      <c r="J3486" s="12"/>
      <c r="K3486" s="12"/>
      <c r="L3486" s="379"/>
      <c r="M3486" s="380"/>
      <c r="N3486" s="380"/>
      <c r="O3486" s="12"/>
      <c r="P3486" s="381"/>
      <c r="Q3486" s="12"/>
      <c r="R3486" s="12"/>
      <c r="S3486" s="382"/>
      <c r="T3486" s="383"/>
      <c r="U3486" s="384"/>
      <c r="V3486" s="12"/>
      <c r="W3486" s="12"/>
    </row>
    <row r="3487" spans="1:23" x14ac:dyDescent="0.3">
      <c r="A3487" s="193"/>
      <c r="B3487" s="378"/>
      <c r="C3487" s="315"/>
      <c r="D3487" s="316"/>
      <c r="E3487" s="315"/>
      <c r="F3487" s="315"/>
      <c r="G3487" s="315"/>
      <c r="H3487" s="153"/>
      <c r="I3487" s="12"/>
      <c r="J3487" s="12"/>
      <c r="K3487" s="12"/>
      <c r="L3487" s="379"/>
      <c r="M3487" s="380"/>
      <c r="N3487" s="380"/>
      <c r="O3487" s="12"/>
      <c r="P3487" s="381"/>
      <c r="Q3487" s="12"/>
      <c r="R3487" s="12"/>
      <c r="S3487" s="382"/>
      <c r="T3487" s="383"/>
      <c r="U3487" s="384"/>
      <c r="V3487" s="12"/>
      <c r="W3487" s="12"/>
    </row>
    <row r="3488" spans="1:23" x14ac:dyDescent="0.3">
      <c r="A3488" s="193"/>
      <c r="B3488" s="378"/>
      <c r="C3488" s="315"/>
      <c r="D3488" s="316"/>
      <c r="E3488" s="315"/>
      <c r="F3488" s="315"/>
      <c r="G3488" s="315"/>
      <c r="H3488" s="153"/>
      <c r="I3488" s="12"/>
      <c r="J3488" s="12"/>
      <c r="K3488" s="12"/>
      <c r="L3488" s="379"/>
      <c r="M3488" s="380"/>
      <c r="N3488" s="380"/>
      <c r="O3488" s="12"/>
      <c r="P3488" s="381"/>
      <c r="Q3488" s="12"/>
      <c r="R3488" s="12"/>
      <c r="S3488" s="382"/>
      <c r="T3488" s="383"/>
      <c r="U3488" s="384"/>
      <c r="V3488" s="12"/>
      <c r="W3488" s="12"/>
    </row>
    <row r="3489" spans="1:23" x14ac:dyDescent="0.3">
      <c r="A3489" s="193"/>
      <c r="B3489" s="378"/>
      <c r="C3489" s="315"/>
      <c r="D3489" s="316"/>
      <c r="E3489" s="315"/>
      <c r="F3489" s="315"/>
      <c r="G3489" s="315"/>
      <c r="H3489" s="153"/>
      <c r="I3489" s="12"/>
      <c r="J3489" s="12"/>
      <c r="K3489" s="12"/>
      <c r="L3489" s="379"/>
      <c r="M3489" s="380"/>
      <c r="N3489" s="380"/>
      <c r="O3489" s="12"/>
      <c r="P3489" s="381"/>
      <c r="Q3489" s="12"/>
      <c r="R3489" s="12"/>
      <c r="S3489" s="382"/>
      <c r="T3489" s="383"/>
      <c r="U3489" s="384"/>
      <c r="V3489" s="12"/>
      <c r="W3489" s="12"/>
    </row>
    <row r="3490" spans="1:23" x14ac:dyDescent="0.3">
      <c r="A3490" s="193"/>
      <c r="B3490" s="378"/>
      <c r="C3490" s="315"/>
      <c r="D3490" s="316"/>
      <c r="E3490" s="315"/>
      <c r="F3490" s="315"/>
      <c r="G3490" s="315"/>
      <c r="H3490" s="153"/>
      <c r="I3490" s="12"/>
      <c r="J3490" s="12"/>
      <c r="K3490" s="12"/>
      <c r="L3490" s="379"/>
      <c r="M3490" s="380"/>
      <c r="N3490" s="380"/>
      <c r="O3490" s="12"/>
      <c r="P3490" s="381"/>
      <c r="Q3490" s="12"/>
      <c r="R3490" s="12"/>
      <c r="S3490" s="382"/>
      <c r="T3490" s="383"/>
      <c r="U3490" s="384"/>
      <c r="V3490" s="12"/>
      <c r="W3490" s="12"/>
    </row>
    <row r="3491" spans="1:23" x14ac:dyDescent="0.3">
      <c r="A3491" s="193"/>
      <c r="B3491" s="378"/>
      <c r="C3491" s="315"/>
      <c r="D3491" s="316"/>
      <c r="E3491" s="315"/>
      <c r="F3491" s="315"/>
      <c r="G3491" s="315"/>
      <c r="H3491" s="153"/>
      <c r="I3491" s="12"/>
      <c r="J3491" s="12"/>
      <c r="K3491" s="12"/>
      <c r="L3491" s="379"/>
      <c r="M3491" s="380"/>
      <c r="N3491" s="380"/>
      <c r="O3491" s="12"/>
      <c r="P3491" s="381"/>
      <c r="Q3491" s="12"/>
      <c r="R3491" s="12"/>
      <c r="S3491" s="382"/>
      <c r="T3491" s="383"/>
      <c r="U3491" s="384"/>
      <c r="V3491" s="12"/>
      <c r="W3491" s="12"/>
    </row>
    <row r="3492" spans="1:23" x14ac:dyDescent="0.3">
      <c r="A3492" s="193"/>
      <c r="B3492" s="378"/>
      <c r="C3492" s="315"/>
      <c r="D3492" s="316"/>
      <c r="E3492" s="315"/>
      <c r="F3492" s="315"/>
      <c r="G3492" s="315"/>
      <c r="H3492" s="153"/>
      <c r="I3492" s="12"/>
      <c r="J3492" s="12"/>
      <c r="K3492" s="12"/>
      <c r="L3492" s="379"/>
      <c r="M3492" s="380"/>
      <c r="N3492" s="380"/>
      <c r="O3492" s="12"/>
      <c r="P3492" s="381"/>
      <c r="Q3492" s="12"/>
      <c r="R3492" s="12"/>
      <c r="S3492" s="382"/>
      <c r="T3492" s="383"/>
      <c r="U3492" s="384"/>
      <c r="V3492" s="12"/>
      <c r="W3492" s="12"/>
    </row>
    <row r="3493" spans="1:23" x14ac:dyDescent="0.3">
      <c r="A3493" s="193"/>
      <c r="B3493" s="378"/>
      <c r="C3493" s="315"/>
      <c r="D3493" s="316"/>
      <c r="E3493" s="315"/>
      <c r="F3493" s="315"/>
      <c r="G3493" s="315"/>
      <c r="H3493" s="153"/>
      <c r="I3493" s="12"/>
      <c r="J3493" s="12"/>
      <c r="K3493" s="12"/>
      <c r="L3493" s="379"/>
      <c r="M3493" s="380"/>
      <c r="N3493" s="380"/>
      <c r="O3493" s="12"/>
      <c r="P3493" s="381"/>
      <c r="Q3493" s="12"/>
      <c r="R3493" s="12"/>
      <c r="S3493" s="382"/>
      <c r="T3493" s="383"/>
      <c r="U3493" s="384"/>
      <c r="V3493" s="12"/>
      <c r="W3493" s="12"/>
    </row>
    <row r="3494" spans="1:23" x14ac:dyDescent="0.3">
      <c r="A3494" s="193"/>
      <c r="B3494" s="378"/>
      <c r="C3494" s="315"/>
      <c r="D3494" s="316"/>
      <c r="E3494" s="315"/>
      <c r="F3494" s="315"/>
      <c r="G3494" s="315"/>
      <c r="H3494" s="153"/>
      <c r="I3494" s="12"/>
      <c r="J3494" s="12"/>
      <c r="K3494" s="12"/>
      <c r="L3494" s="379"/>
      <c r="M3494" s="380"/>
      <c r="N3494" s="380"/>
      <c r="O3494" s="12"/>
      <c r="P3494" s="381"/>
      <c r="Q3494" s="12"/>
      <c r="R3494" s="12"/>
      <c r="S3494" s="382"/>
      <c r="T3494" s="383"/>
      <c r="U3494" s="384"/>
      <c r="V3494" s="12"/>
      <c r="W3494" s="12"/>
    </row>
    <row r="3495" spans="1:23" x14ac:dyDescent="0.3">
      <c r="A3495" s="193"/>
      <c r="B3495" s="378"/>
      <c r="C3495" s="315"/>
      <c r="D3495" s="316"/>
      <c r="E3495" s="315"/>
      <c r="F3495" s="315"/>
      <c r="G3495" s="315"/>
      <c r="H3495" s="153"/>
      <c r="I3495" s="12"/>
      <c r="J3495" s="12"/>
      <c r="K3495" s="12"/>
      <c r="L3495" s="379"/>
      <c r="M3495" s="380"/>
      <c r="N3495" s="380"/>
      <c r="O3495" s="12"/>
      <c r="P3495" s="381"/>
      <c r="Q3495" s="12"/>
      <c r="R3495" s="12"/>
      <c r="S3495" s="382"/>
      <c r="T3495" s="383"/>
      <c r="U3495" s="384"/>
      <c r="V3495" s="12"/>
      <c r="W3495" s="12"/>
    </row>
    <row r="3496" spans="1:23" x14ac:dyDescent="0.3">
      <c r="A3496" s="193"/>
      <c r="B3496" s="378"/>
      <c r="C3496" s="315"/>
      <c r="D3496" s="316"/>
      <c r="E3496" s="315"/>
      <c r="F3496" s="315"/>
      <c r="G3496" s="315"/>
      <c r="H3496" s="153"/>
      <c r="I3496" s="12"/>
      <c r="J3496" s="12"/>
      <c r="K3496" s="12"/>
      <c r="L3496" s="379"/>
      <c r="M3496" s="380"/>
      <c r="N3496" s="380"/>
      <c r="O3496" s="12"/>
      <c r="P3496" s="381"/>
      <c r="Q3496" s="12"/>
      <c r="R3496" s="12"/>
      <c r="S3496" s="382"/>
      <c r="T3496" s="383"/>
      <c r="U3496" s="384"/>
      <c r="V3496" s="12"/>
      <c r="W3496" s="12"/>
    </row>
    <row r="3497" spans="1:23" x14ac:dyDescent="0.3">
      <c r="A3497" s="193"/>
      <c r="B3497" s="378"/>
      <c r="C3497" s="315"/>
      <c r="D3497" s="316"/>
      <c r="E3497" s="315"/>
      <c r="F3497" s="315"/>
      <c r="G3497" s="315"/>
      <c r="H3497" s="153"/>
      <c r="I3497" s="12"/>
      <c r="J3497" s="12"/>
      <c r="K3497" s="12"/>
      <c r="L3497" s="379"/>
      <c r="M3497" s="380"/>
      <c r="N3497" s="380"/>
      <c r="O3497" s="12"/>
      <c r="P3497" s="381"/>
      <c r="Q3497" s="12"/>
      <c r="R3497" s="12"/>
      <c r="S3497" s="382"/>
      <c r="T3497" s="383"/>
      <c r="U3497" s="384"/>
      <c r="V3497" s="12"/>
      <c r="W3497" s="12"/>
    </row>
    <row r="3498" spans="1:23" x14ac:dyDescent="0.3">
      <c r="A3498" s="193"/>
      <c r="B3498" s="378"/>
      <c r="C3498" s="315"/>
      <c r="D3498" s="316"/>
      <c r="E3498" s="315"/>
      <c r="F3498" s="315"/>
      <c r="G3498" s="315"/>
      <c r="H3498" s="153"/>
      <c r="I3498" s="12"/>
      <c r="J3498" s="12"/>
      <c r="K3498" s="12"/>
      <c r="L3498" s="379"/>
      <c r="M3498" s="380"/>
      <c r="N3498" s="380"/>
      <c r="O3498" s="12"/>
      <c r="P3498" s="381"/>
      <c r="Q3498" s="12"/>
      <c r="R3498" s="12"/>
      <c r="S3498" s="382"/>
      <c r="T3498" s="383"/>
      <c r="U3498" s="384"/>
      <c r="V3498" s="12"/>
      <c r="W3498" s="12"/>
    </row>
    <row r="3499" spans="1:23" x14ac:dyDescent="0.3">
      <c r="A3499" s="193"/>
      <c r="B3499" s="378"/>
      <c r="C3499" s="315"/>
      <c r="D3499" s="316"/>
      <c r="E3499" s="315"/>
      <c r="F3499" s="315"/>
      <c r="G3499" s="315"/>
      <c r="H3499" s="153"/>
      <c r="I3499" s="12"/>
      <c r="J3499" s="12"/>
      <c r="K3499" s="12"/>
      <c r="L3499" s="379"/>
      <c r="M3499" s="380"/>
      <c r="N3499" s="380"/>
      <c r="O3499" s="12"/>
      <c r="P3499" s="381"/>
      <c r="Q3499" s="12"/>
      <c r="R3499" s="12"/>
      <c r="S3499" s="382"/>
      <c r="T3499" s="383"/>
      <c r="U3499" s="384"/>
      <c r="V3499" s="12"/>
      <c r="W3499" s="12"/>
    </row>
    <row r="3500" spans="1:23" x14ac:dyDescent="0.3">
      <c r="A3500" s="193"/>
      <c r="B3500" s="378"/>
      <c r="C3500" s="315"/>
      <c r="D3500" s="316"/>
      <c r="E3500" s="315"/>
      <c r="F3500" s="315"/>
      <c r="G3500" s="315"/>
      <c r="H3500" s="153"/>
      <c r="I3500" s="12"/>
      <c r="J3500" s="12"/>
      <c r="K3500" s="12"/>
      <c r="L3500" s="379"/>
      <c r="M3500" s="380"/>
      <c r="N3500" s="380"/>
      <c r="O3500" s="12"/>
      <c r="P3500" s="381"/>
      <c r="Q3500" s="12"/>
      <c r="R3500" s="12"/>
      <c r="S3500" s="382"/>
      <c r="T3500" s="383"/>
      <c r="U3500" s="384"/>
      <c r="V3500" s="12"/>
      <c r="W3500" s="12"/>
    </row>
    <row r="3501" spans="1:23" x14ac:dyDescent="0.3">
      <c r="A3501" s="193"/>
      <c r="B3501" s="378"/>
      <c r="C3501" s="315"/>
      <c r="D3501" s="316"/>
      <c r="E3501" s="315"/>
      <c r="F3501" s="315"/>
      <c r="G3501" s="315"/>
      <c r="H3501" s="153"/>
      <c r="I3501" s="12"/>
      <c r="J3501" s="12"/>
      <c r="K3501" s="12"/>
      <c r="L3501" s="379"/>
      <c r="M3501" s="380"/>
      <c r="N3501" s="380"/>
      <c r="O3501" s="12"/>
      <c r="P3501" s="381"/>
      <c r="Q3501" s="12"/>
      <c r="R3501" s="12"/>
      <c r="S3501" s="382"/>
      <c r="T3501" s="383"/>
      <c r="U3501" s="384"/>
      <c r="V3501" s="12"/>
      <c r="W3501" s="12"/>
    </row>
    <row r="3502" spans="1:23" x14ac:dyDescent="0.3">
      <c r="A3502" s="193"/>
      <c r="B3502" s="378"/>
      <c r="C3502" s="315"/>
      <c r="D3502" s="316"/>
      <c r="E3502" s="315"/>
      <c r="F3502" s="315"/>
      <c r="G3502" s="315"/>
      <c r="H3502" s="153"/>
      <c r="I3502" s="12"/>
      <c r="J3502" s="12"/>
      <c r="K3502" s="12"/>
      <c r="L3502" s="379"/>
      <c r="M3502" s="380"/>
      <c r="N3502" s="380"/>
      <c r="O3502" s="12"/>
      <c r="P3502" s="381"/>
      <c r="Q3502" s="12"/>
      <c r="R3502" s="12"/>
      <c r="S3502" s="382"/>
      <c r="T3502" s="383"/>
      <c r="U3502" s="384"/>
      <c r="V3502" s="12"/>
      <c r="W3502" s="12"/>
    </row>
    <row r="3503" spans="1:23" x14ac:dyDescent="0.3">
      <c r="A3503" s="193"/>
      <c r="B3503" s="378"/>
      <c r="C3503" s="315"/>
      <c r="D3503" s="316"/>
      <c r="E3503" s="315"/>
      <c r="F3503" s="315"/>
      <c r="G3503" s="315"/>
      <c r="H3503" s="153"/>
      <c r="I3503" s="12"/>
      <c r="J3503" s="12"/>
      <c r="K3503" s="12"/>
      <c r="L3503" s="379"/>
      <c r="M3503" s="380"/>
      <c r="N3503" s="380"/>
      <c r="O3503" s="12"/>
      <c r="P3503" s="381"/>
      <c r="Q3503" s="12"/>
      <c r="R3503" s="12"/>
      <c r="S3503" s="382"/>
      <c r="T3503" s="383"/>
      <c r="U3503" s="384"/>
      <c r="V3503" s="12"/>
      <c r="W3503" s="12"/>
    </row>
    <row r="3504" spans="1:23" x14ac:dyDescent="0.3">
      <c r="A3504" s="193"/>
      <c r="B3504" s="378"/>
      <c r="C3504" s="315"/>
      <c r="D3504" s="316"/>
      <c r="E3504" s="315"/>
      <c r="F3504" s="315"/>
      <c r="G3504" s="315"/>
      <c r="H3504" s="153"/>
      <c r="I3504" s="12"/>
      <c r="J3504" s="12"/>
      <c r="K3504" s="12"/>
      <c r="L3504" s="379"/>
      <c r="M3504" s="380"/>
      <c r="N3504" s="380"/>
      <c r="O3504" s="12"/>
      <c r="P3504" s="381"/>
      <c r="Q3504" s="12"/>
      <c r="R3504" s="12"/>
      <c r="S3504" s="382"/>
      <c r="T3504" s="383"/>
      <c r="U3504" s="384"/>
      <c r="V3504" s="12"/>
      <c r="W3504" s="12"/>
    </row>
    <row r="3505" spans="1:23" x14ac:dyDescent="0.3">
      <c r="A3505" s="193"/>
      <c r="B3505" s="378"/>
      <c r="C3505" s="315"/>
      <c r="D3505" s="316"/>
      <c r="E3505" s="315"/>
      <c r="F3505" s="315"/>
      <c r="G3505" s="315"/>
      <c r="H3505" s="153"/>
      <c r="I3505" s="12"/>
      <c r="J3505" s="12"/>
      <c r="K3505" s="12"/>
      <c r="L3505" s="379"/>
      <c r="M3505" s="380"/>
      <c r="N3505" s="380"/>
      <c r="O3505" s="12"/>
      <c r="P3505" s="381"/>
      <c r="Q3505" s="12"/>
      <c r="R3505" s="12"/>
      <c r="S3505" s="382"/>
      <c r="T3505" s="383"/>
      <c r="U3505" s="384"/>
      <c r="V3505" s="12"/>
      <c r="W3505" s="12"/>
    </row>
    <row r="3506" spans="1:23" x14ac:dyDescent="0.3">
      <c r="A3506" s="193"/>
      <c r="B3506" s="378"/>
      <c r="C3506" s="315"/>
      <c r="D3506" s="316"/>
      <c r="E3506" s="315"/>
      <c r="F3506" s="315"/>
      <c r="G3506" s="315"/>
      <c r="H3506" s="153"/>
      <c r="I3506" s="12"/>
      <c r="J3506" s="12"/>
      <c r="K3506" s="12"/>
      <c r="L3506" s="379"/>
      <c r="M3506" s="380"/>
      <c r="N3506" s="380"/>
      <c r="O3506" s="12"/>
      <c r="P3506" s="381"/>
      <c r="Q3506" s="12"/>
      <c r="R3506" s="12"/>
      <c r="S3506" s="382"/>
      <c r="T3506" s="383"/>
      <c r="U3506" s="384"/>
      <c r="V3506" s="12"/>
      <c r="W3506" s="12"/>
    </row>
    <row r="3507" spans="1:23" x14ac:dyDescent="0.3">
      <c r="A3507" s="193"/>
      <c r="B3507" s="378"/>
      <c r="C3507" s="315"/>
      <c r="D3507" s="316"/>
      <c r="E3507" s="315"/>
      <c r="F3507" s="315"/>
      <c r="G3507" s="315"/>
      <c r="H3507" s="153"/>
      <c r="I3507" s="12"/>
      <c r="J3507" s="12"/>
      <c r="K3507" s="12"/>
      <c r="L3507" s="379"/>
      <c r="M3507" s="380"/>
      <c r="N3507" s="380"/>
      <c r="O3507" s="12"/>
      <c r="P3507" s="381"/>
      <c r="Q3507" s="12"/>
      <c r="R3507" s="12"/>
      <c r="S3507" s="382"/>
      <c r="T3507" s="383"/>
      <c r="U3507" s="384"/>
      <c r="V3507" s="12"/>
      <c r="W3507" s="12"/>
    </row>
    <row r="3508" spans="1:23" x14ac:dyDescent="0.3">
      <c r="A3508" s="193"/>
      <c r="B3508" s="378"/>
      <c r="C3508" s="315"/>
      <c r="D3508" s="316"/>
      <c r="E3508" s="315"/>
      <c r="F3508" s="315"/>
      <c r="G3508" s="315"/>
      <c r="H3508" s="153"/>
      <c r="I3508" s="12"/>
      <c r="J3508" s="12"/>
      <c r="K3508" s="12"/>
      <c r="L3508" s="379"/>
      <c r="M3508" s="380"/>
      <c r="N3508" s="380"/>
      <c r="O3508" s="12"/>
      <c r="P3508" s="381"/>
      <c r="Q3508" s="12"/>
      <c r="R3508" s="12"/>
      <c r="S3508" s="382"/>
      <c r="T3508" s="383"/>
      <c r="U3508" s="384"/>
      <c r="V3508" s="12"/>
      <c r="W3508" s="12"/>
    </row>
    <row r="3509" spans="1:23" x14ac:dyDescent="0.3">
      <c r="A3509" s="193"/>
      <c r="B3509" s="378"/>
      <c r="C3509" s="315"/>
      <c r="D3509" s="316"/>
      <c r="E3509" s="315"/>
      <c r="F3509" s="315"/>
      <c r="G3509" s="315"/>
      <c r="H3509" s="153"/>
      <c r="I3509" s="12"/>
      <c r="J3509" s="12"/>
      <c r="K3509" s="12"/>
      <c r="L3509" s="379"/>
      <c r="M3509" s="380"/>
      <c r="N3509" s="380"/>
      <c r="O3509" s="12"/>
      <c r="P3509" s="381"/>
      <c r="Q3509" s="12"/>
      <c r="R3509" s="12"/>
      <c r="S3509" s="382"/>
      <c r="T3509" s="383"/>
      <c r="U3509" s="384"/>
      <c r="V3509" s="12"/>
      <c r="W3509" s="12"/>
    </row>
    <row r="3510" spans="1:23" x14ac:dyDescent="0.3">
      <c r="A3510" s="193"/>
      <c r="B3510" s="378"/>
      <c r="C3510" s="315"/>
      <c r="D3510" s="316"/>
      <c r="E3510" s="315"/>
      <c r="F3510" s="315"/>
      <c r="G3510" s="315"/>
      <c r="H3510" s="153"/>
      <c r="I3510" s="12"/>
      <c r="J3510" s="12"/>
      <c r="K3510" s="12"/>
      <c r="L3510" s="379"/>
      <c r="M3510" s="380"/>
      <c r="N3510" s="380"/>
      <c r="O3510" s="12"/>
      <c r="P3510" s="381"/>
      <c r="Q3510" s="12"/>
      <c r="R3510" s="12"/>
      <c r="S3510" s="382"/>
      <c r="T3510" s="383"/>
      <c r="U3510" s="384"/>
      <c r="V3510" s="12"/>
      <c r="W3510" s="12"/>
    </row>
    <row r="3511" spans="1:23" x14ac:dyDescent="0.3">
      <c r="A3511" s="193"/>
      <c r="B3511" s="378"/>
      <c r="C3511" s="315"/>
      <c r="D3511" s="316"/>
      <c r="E3511" s="315"/>
      <c r="F3511" s="315"/>
      <c r="G3511" s="315"/>
      <c r="H3511" s="153"/>
      <c r="I3511" s="12"/>
      <c r="J3511" s="12"/>
      <c r="K3511" s="12"/>
      <c r="L3511" s="379"/>
      <c r="M3511" s="380"/>
      <c r="N3511" s="380"/>
      <c r="O3511" s="12"/>
      <c r="P3511" s="381"/>
      <c r="Q3511" s="12"/>
      <c r="R3511" s="12"/>
      <c r="S3511" s="382"/>
      <c r="T3511" s="383"/>
      <c r="U3511" s="384"/>
      <c r="V3511" s="12"/>
      <c r="W3511" s="12"/>
    </row>
    <row r="3512" spans="1:23" x14ac:dyDescent="0.3">
      <c r="A3512" s="193"/>
      <c r="B3512" s="378"/>
      <c r="C3512" s="315"/>
      <c r="D3512" s="316"/>
      <c r="E3512" s="315"/>
      <c r="F3512" s="315"/>
      <c r="G3512" s="315"/>
      <c r="H3512" s="153"/>
      <c r="I3512" s="12"/>
      <c r="J3512" s="12"/>
      <c r="K3512" s="12"/>
      <c r="L3512" s="379"/>
      <c r="M3512" s="380"/>
      <c r="N3512" s="380"/>
      <c r="O3512" s="12"/>
      <c r="P3512" s="381"/>
      <c r="Q3512" s="12"/>
      <c r="R3512" s="12"/>
      <c r="S3512" s="382"/>
      <c r="T3512" s="383"/>
      <c r="U3512" s="384"/>
      <c r="V3512" s="12"/>
      <c r="W3512" s="12"/>
    </row>
    <row r="3513" spans="1:23" x14ac:dyDescent="0.3">
      <c r="A3513" s="193"/>
      <c r="B3513" s="378"/>
      <c r="C3513" s="315"/>
      <c r="D3513" s="316"/>
      <c r="E3513" s="315"/>
      <c r="F3513" s="315"/>
      <c r="G3513" s="315"/>
      <c r="H3513" s="153"/>
      <c r="I3513" s="12"/>
      <c r="J3513" s="12"/>
      <c r="K3513" s="12"/>
      <c r="L3513" s="379"/>
      <c r="M3513" s="380"/>
      <c r="N3513" s="380"/>
      <c r="O3513" s="12"/>
      <c r="P3513" s="381"/>
      <c r="Q3513" s="12"/>
      <c r="R3513" s="12"/>
      <c r="S3513" s="382"/>
      <c r="T3513" s="383"/>
      <c r="U3513" s="384"/>
      <c r="V3513" s="12"/>
      <c r="W3513" s="12"/>
    </row>
    <row r="3514" spans="1:23" x14ac:dyDescent="0.3">
      <c r="A3514" s="193"/>
      <c r="B3514" s="378"/>
      <c r="C3514" s="315"/>
      <c r="D3514" s="316"/>
      <c r="E3514" s="315"/>
      <c r="F3514" s="315"/>
      <c r="G3514" s="315"/>
      <c r="H3514" s="153"/>
      <c r="I3514" s="12"/>
      <c r="J3514" s="12"/>
      <c r="K3514" s="12"/>
      <c r="L3514" s="379"/>
      <c r="M3514" s="380"/>
      <c r="N3514" s="380"/>
      <c r="O3514" s="12"/>
      <c r="P3514" s="381"/>
      <c r="Q3514" s="12"/>
      <c r="R3514" s="12"/>
      <c r="S3514" s="382"/>
      <c r="T3514" s="383"/>
      <c r="U3514" s="384"/>
      <c r="V3514" s="12"/>
      <c r="W3514" s="12"/>
    </row>
    <row r="3515" spans="1:23" x14ac:dyDescent="0.3">
      <c r="A3515" s="193"/>
      <c r="B3515" s="378"/>
      <c r="C3515" s="315"/>
      <c r="D3515" s="316"/>
      <c r="E3515" s="315"/>
      <c r="F3515" s="315"/>
      <c r="G3515" s="315"/>
      <c r="H3515" s="153"/>
      <c r="I3515" s="12"/>
      <c r="J3515" s="12"/>
      <c r="K3515" s="12"/>
      <c r="L3515" s="379"/>
      <c r="M3515" s="380"/>
      <c r="N3515" s="380"/>
      <c r="O3515" s="12"/>
      <c r="P3515" s="381"/>
      <c r="Q3515" s="12"/>
      <c r="R3515" s="12"/>
      <c r="S3515" s="382"/>
      <c r="T3515" s="383"/>
      <c r="U3515" s="384"/>
      <c r="V3515" s="12"/>
      <c r="W3515" s="12"/>
    </row>
    <row r="3516" spans="1:23" x14ac:dyDescent="0.3">
      <c r="A3516" s="193"/>
      <c r="B3516" s="378"/>
      <c r="C3516" s="315"/>
      <c r="D3516" s="316"/>
      <c r="E3516" s="315"/>
      <c r="F3516" s="315"/>
      <c r="G3516" s="315"/>
      <c r="H3516" s="153"/>
      <c r="I3516" s="12"/>
      <c r="J3516" s="12"/>
      <c r="K3516" s="12"/>
      <c r="L3516" s="379"/>
      <c r="M3516" s="380"/>
      <c r="N3516" s="380"/>
      <c r="O3516" s="12"/>
      <c r="P3516" s="381"/>
      <c r="Q3516" s="12"/>
      <c r="R3516" s="12"/>
      <c r="S3516" s="382"/>
      <c r="T3516" s="383"/>
      <c r="U3516" s="384"/>
      <c r="V3516" s="12"/>
      <c r="W3516" s="12"/>
    </row>
    <row r="3517" spans="1:23" x14ac:dyDescent="0.3">
      <c r="A3517" s="193"/>
      <c r="B3517" s="378"/>
      <c r="C3517" s="315"/>
      <c r="D3517" s="316"/>
      <c r="E3517" s="315"/>
      <c r="F3517" s="315"/>
      <c r="G3517" s="315"/>
      <c r="H3517" s="153"/>
      <c r="I3517" s="12"/>
      <c r="J3517" s="12"/>
      <c r="K3517" s="12"/>
      <c r="L3517" s="379"/>
      <c r="M3517" s="380"/>
      <c r="N3517" s="380"/>
      <c r="O3517" s="12"/>
      <c r="P3517" s="381"/>
      <c r="Q3517" s="12"/>
      <c r="R3517" s="12"/>
      <c r="S3517" s="382"/>
      <c r="T3517" s="383"/>
      <c r="U3517" s="384"/>
      <c r="V3517" s="12"/>
      <c r="W3517" s="12"/>
    </row>
    <row r="3518" spans="1:23" x14ac:dyDescent="0.3">
      <c r="A3518" s="193"/>
      <c r="B3518" s="378"/>
      <c r="C3518" s="315"/>
      <c r="D3518" s="316"/>
      <c r="E3518" s="315"/>
      <c r="F3518" s="315"/>
      <c r="G3518" s="315"/>
      <c r="H3518" s="153"/>
      <c r="I3518" s="12"/>
      <c r="J3518" s="12"/>
      <c r="K3518" s="12"/>
      <c r="L3518" s="379"/>
      <c r="M3518" s="380"/>
      <c r="N3518" s="380"/>
      <c r="O3518" s="12"/>
      <c r="P3518" s="381"/>
      <c r="Q3518" s="12"/>
      <c r="R3518" s="12"/>
      <c r="S3518" s="382"/>
      <c r="T3518" s="383"/>
      <c r="U3518" s="384"/>
      <c r="V3518" s="12"/>
      <c r="W3518" s="12"/>
    </row>
    <row r="3519" spans="1:23" x14ac:dyDescent="0.3">
      <c r="A3519" s="193"/>
      <c r="B3519" s="378"/>
      <c r="C3519" s="315"/>
      <c r="D3519" s="316"/>
      <c r="E3519" s="315"/>
      <c r="F3519" s="315"/>
      <c r="G3519" s="315"/>
      <c r="H3519" s="153"/>
      <c r="I3519" s="12"/>
      <c r="J3519" s="12"/>
      <c r="K3519" s="12"/>
      <c r="L3519" s="379"/>
      <c r="M3519" s="380"/>
      <c r="N3519" s="380"/>
      <c r="O3519" s="12"/>
      <c r="P3519" s="381"/>
      <c r="Q3519" s="12"/>
      <c r="R3519" s="12"/>
      <c r="S3519" s="382"/>
      <c r="T3519" s="383"/>
      <c r="U3519" s="384"/>
      <c r="V3519" s="12"/>
      <c r="W3519" s="12"/>
    </row>
    <row r="3520" spans="1:23" x14ac:dyDescent="0.3">
      <c r="A3520" s="193"/>
      <c r="B3520" s="378"/>
      <c r="C3520" s="315"/>
      <c r="D3520" s="316"/>
      <c r="E3520" s="315"/>
      <c r="F3520" s="315"/>
      <c r="G3520" s="315"/>
      <c r="H3520" s="153"/>
      <c r="I3520" s="12"/>
      <c r="J3520" s="12"/>
      <c r="K3520" s="12"/>
      <c r="L3520" s="379"/>
      <c r="M3520" s="380"/>
      <c r="N3520" s="380"/>
      <c r="O3520" s="12"/>
      <c r="P3520" s="381"/>
      <c r="Q3520" s="12"/>
      <c r="R3520" s="12"/>
      <c r="S3520" s="382"/>
      <c r="T3520" s="383"/>
      <c r="U3520" s="384"/>
      <c r="V3520" s="12"/>
      <c r="W3520" s="12"/>
    </row>
    <row r="3521" spans="1:23" x14ac:dyDescent="0.3">
      <c r="A3521" s="193"/>
      <c r="B3521" s="378"/>
      <c r="C3521" s="315"/>
      <c r="D3521" s="316"/>
      <c r="E3521" s="315"/>
      <c r="F3521" s="315"/>
      <c r="G3521" s="315"/>
      <c r="H3521" s="153"/>
      <c r="I3521" s="12"/>
      <c r="J3521" s="12"/>
      <c r="K3521" s="12"/>
      <c r="L3521" s="379"/>
      <c r="M3521" s="380"/>
      <c r="N3521" s="380"/>
      <c r="O3521" s="12"/>
      <c r="P3521" s="381"/>
      <c r="Q3521" s="12"/>
      <c r="R3521" s="12"/>
      <c r="S3521" s="382"/>
      <c r="T3521" s="383"/>
      <c r="U3521" s="384"/>
      <c r="V3521" s="12"/>
      <c r="W3521" s="12"/>
    </row>
    <row r="3522" spans="1:23" x14ac:dyDescent="0.3">
      <c r="A3522" s="193"/>
      <c r="B3522" s="378"/>
      <c r="C3522" s="315"/>
      <c r="D3522" s="316"/>
      <c r="E3522" s="315"/>
      <c r="F3522" s="315"/>
      <c r="G3522" s="315"/>
      <c r="H3522" s="153"/>
      <c r="I3522" s="12"/>
      <c r="J3522" s="12"/>
      <c r="K3522" s="12"/>
      <c r="L3522" s="379"/>
      <c r="M3522" s="380"/>
      <c r="N3522" s="380"/>
      <c r="O3522" s="12"/>
      <c r="P3522" s="381"/>
      <c r="Q3522" s="12"/>
      <c r="R3522" s="12"/>
      <c r="S3522" s="382"/>
      <c r="T3522" s="383"/>
      <c r="U3522" s="384"/>
      <c r="V3522" s="12"/>
      <c r="W3522" s="12"/>
    </row>
    <row r="3523" spans="1:23" x14ac:dyDescent="0.3">
      <c r="A3523" s="193"/>
      <c r="B3523" s="378"/>
      <c r="C3523" s="315"/>
      <c r="D3523" s="316"/>
      <c r="E3523" s="315"/>
      <c r="F3523" s="315"/>
      <c r="G3523" s="315"/>
      <c r="H3523" s="153"/>
      <c r="I3523" s="12"/>
      <c r="J3523" s="12"/>
      <c r="K3523" s="12"/>
      <c r="L3523" s="379"/>
      <c r="M3523" s="380"/>
      <c r="N3523" s="380"/>
      <c r="O3523" s="12"/>
      <c r="P3523" s="381"/>
      <c r="Q3523" s="12"/>
      <c r="R3523" s="12"/>
      <c r="S3523" s="382"/>
      <c r="T3523" s="383"/>
      <c r="U3523" s="384"/>
      <c r="V3523" s="12"/>
      <c r="W3523" s="12"/>
    </row>
    <row r="3524" spans="1:23" x14ac:dyDescent="0.3">
      <c r="A3524" s="193"/>
      <c r="B3524" s="378"/>
      <c r="C3524" s="315"/>
      <c r="D3524" s="316"/>
      <c r="E3524" s="315"/>
      <c r="F3524" s="315"/>
      <c r="G3524" s="315"/>
      <c r="H3524" s="153"/>
      <c r="I3524" s="12"/>
      <c r="J3524" s="12"/>
      <c r="K3524" s="12"/>
      <c r="L3524" s="379"/>
      <c r="M3524" s="380"/>
      <c r="N3524" s="380"/>
      <c r="O3524" s="12"/>
      <c r="P3524" s="381"/>
      <c r="Q3524" s="12"/>
      <c r="R3524" s="12"/>
      <c r="S3524" s="382"/>
      <c r="T3524" s="383"/>
      <c r="U3524" s="384"/>
      <c r="V3524" s="12"/>
      <c r="W3524" s="12"/>
    </row>
    <row r="3525" spans="1:23" x14ac:dyDescent="0.3">
      <c r="A3525" s="193"/>
      <c r="B3525" s="378"/>
      <c r="C3525" s="315"/>
      <c r="D3525" s="316"/>
      <c r="E3525" s="315"/>
      <c r="F3525" s="315"/>
      <c r="G3525" s="315"/>
      <c r="H3525" s="153"/>
      <c r="I3525" s="12"/>
      <c r="J3525" s="12"/>
      <c r="K3525" s="12"/>
      <c r="L3525" s="379"/>
      <c r="M3525" s="380"/>
      <c r="N3525" s="380"/>
      <c r="O3525" s="12"/>
      <c r="P3525" s="381"/>
      <c r="Q3525" s="12"/>
      <c r="R3525" s="12"/>
      <c r="S3525" s="382"/>
      <c r="T3525" s="383"/>
      <c r="U3525" s="384"/>
      <c r="V3525" s="12"/>
      <c r="W3525" s="12"/>
    </row>
    <row r="3526" spans="1:23" x14ac:dyDescent="0.3">
      <c r="A3526" s="193"/>
      <c r="B3526" s="378"/>
      <c r="C3526" s="315"/>
      <c r="D3526" s="316"/>
      <c r="E3526" s="315"/>
      <c r="F3526" s="315"/>
      <c r="G3526" s="315"/>
      <c r="H3526" s="153"/>
      <c r="I3526" s="12"/>
      <c r="J3526" s="12"/>
      <c r="K3526" s="12"/>
      <c r="L3526" s="379"/>
      <c r="M3526" s="380"/>
      <c r="N3526" s="380"/>
      <c r="O3526" s="12"/>
      <c r="P3526" s="381"/>
      <c r="Q3526" s="12"/>
      <c r="R3526" s="12"/>
      <c r="S3526" s="382"/>
      <c r="T3526" s="383"/>
      <c r="U3526" s="384"/>
      <c r="V3526" s="12"/>
      <c r="W3526" s="12"/>
    </row>
    <row r="3527" spans="1:23" x14ac:dyDescent="0.3">
      <c r="A3527" s="193"/>
      <c r="B3527" s="378"/>
      <c r="C3527" s="315"/>
      <c r="D3527" s="316"/>
      <c r="E3527" s="315"/>
      <c r="F3527" s="315"/>
      <c r="G3527" s="315"/>
      <c r="H3527" s="153"/>
      <c r="I3527" s="12"/>
      <c r="J3527" s="12"/>
      <c r="K3527" s="12"/>
      <c r="L3527" s="379"/>
      <c r="M3527" s="380"/>
      <c r="N3527" s="380"/>
      <c r="O3527" s="12"/>
      <c r="P3527" s="381"/>
      <c r="Q3527" s="12"/>
      <c r="R3527" s="12"/>
      <c r="S3527" s="382"/>
      <c r="T3527" s="383"/>
      <c r="U3527" s="384"/>
      <c r="V3527" s="12"/>
      <c r="W3527" s="12"/>
    </row>
    <row r="3528" spans="1:23" x14ac:dyDescent="0.3">
      <c r="A3528" s="193"/>
      <c r="B3528" s="378"/>
      <c r="C3528" s="315"/>
      <c r="D3528" s="316"/>
      <c r="E3528" s="315"/>
      <c r="F3528" s="315"/>
      <c r="G3528" s="315"/>
      <c r="H3528" s="153"/>
      <c r="I3528" s="12"/>
      <c r="J3528" s="12"/>
      <c r="K3528" s="12"/>
      <c r="L3528" s="379"/>
      <c r="M3528" s="380"/>
      <c r="N3528" s="380"/>
      <c r="O3528" s="12"/>
      <c r="P3528" s="381"/>
      <c r="Q3528" s="12"/>
      <c r="R3528" s="12"/>
      <c r="S3528" s="382"/>
      <c r="T3528" s="383"/>
      <c r="U3528" s="384"/>
      <c r="V3528" s="12"/>
      <c r="W3528" s="12"/>
    </row>
    <row r="3529" spans="1:23" x14ac:dyDescent="0.3">
      <c r="A3529" s="193"/>
      <c r="B3529" s="378"/>
      <c r="C3529" s="315"/>
      <c r="D3529" s="316"/>
      <c r="E3529" s="315"/>
      <c r="F3529" s="315"/>
      <c r="G3529" s="315"/>
      <c r="H3529" s="153"/>
      <c r="I3529" s="12"/>
      <c r="J3529" s="12"/>
      <c r="K3529" s="12"/>
      <c r="L3529" s="379"/>
      <c r="M3529" s="380"/>
      <c r="N3529" s="380"/>
      <c r="O3529" s="12"/>
      <c r="P3529" s="381"/>
      <c r="Q3529" s="12"/>
      <c r="R3529" s="12"/>
      <c r="S3529" s="382"/>
      <c r="T3529" s="383"/>
      <c r="U3529" s="384"/>
      <c r="V3529" s="12"/>
      <c r="W3529" s="12"/>
    </row>
    <row r="3530" spans="1:23" x14ac:dyDescent="0.3">
      <c r="A3530" s="193"/>
      <c r="B3530" s="378"/>
      <c r="C3530" s="315"/>
      <c r="D3530" s="316"/>
      <c r="E3530" s="315"/>
      <c r="F3530" s="315"/>
      <c r="G3530" s="315"/>
      <c r="H3530" s="153"/>
      <c r="I3530" s="12"/>
      <c r="J3530" s="12"/>
      <c r="K3530" s="12"/>
      <c r="L3530" s="379"/>
      <c r="M3530" s="380"/>
      <c r="N3530" s="380"/>
      <c r="O3530" s="12"/>
      <c r="P3530" s="381"/>
      <c r="Q3530" s="12"/>
      <c r="R3530" s="12"/>
      <c r="S3530" s="382"/>
      <c r="T3530" s="383"/>
      <c r="U3530" s="384"/>
      <c r="V3530" s="12"/>
      <c r="W3530" s="12"/>
    </row>
    <row r="3531" spans="1:23" x14ac:dyDescent="0.3">
      <c r="A3531" s="193"/>
      <c r="B3531" s="378"/>
      <c r="C3531" s="315"/>
      <c r="D3531" s="316"/>
      <c r="E3531" s="315"/>
      <c r="F3531" s="315"/>
      <c r="G3531" s="315"/>
      <c r="H3531" s="153"/>
      <c r="I3531" s="12"/>
      <c r="J3531" s="12"/>
      <c r="K3531" s="12"/>
      <c r="L3531" s="379"/>
      <c r="M3531" s="380"/>
      <c r="N3531" s="380"/>
      <c r="O3531" s="12"/>
      <c r="P3531" s="381"/>
      <c r="Q3531" s="12"/>
      <c r="R3531" s="12"/>
      <c r="S3531" s="382"/>
      <c r="T3531" s="383"/>
      <c r="U3531" s="384"/>
      <c r="V3531" s="12"/>
      <c r="W3531" s="12"/>
    </row>
    <row r="3532" spans="1:23" x14ac:dyDescent="0.3">
      <c r="A3532" s="193"/>
      <c r="B3532" s="378"/>
      <c r="C3532" s="315"/>
      <c r="D3532" s="316"/>
      <c r="E3532" s="315"/>
      <c r="F3532" s="315"/>
      <c r="G3532" s="315"/>
      <c r="H3532" s="153"/>
      <c r="I3532" s="12"/>
      <c r="J3532" s="12"/>
      <c r="K3532" s="12"/>
      <c r="L3532" s="379"/>
      <c r="M3532" s="380"/>
      <c r="N3532" s="380"/>
      <c r="O3532" s="12"/>
      <c r="P3532" s="381"/>
      <c r="Q3532" s="12"/>
      <c r="R3532" s="12"/>
      <c r="S3532" s="382"/>
      <c r="T3532" s="383"/>
      <c r="U3532" s="384"/>
      <c r="V3532" s="12"/>
      <c r="W3532" s="12"/>
    </row>
    <row r="3533" spans="1:23" x14ac:dyDescent="0.3">
      <c r="A3533" s="193"/>
      <c r="B3533" s="378"/>
      <c r="C3533" s="315"/>
      <c r="D3533" s="316"/>
      <c r="E3533" s="315"/>
      <c r="F3533" s="315"/>
      <c r="G3533" s="315"/>
      <c r="H3533" s="153"/>
      <c r="I3533" s="12"/>
      <c r="J3533" s="12"/>
      <c r="K3533" s="12"/>
      <c r="L3533" s="379"/>
      <c r="M3533" s="380"/>
      <c r="N3533" s="380"/>
      <c r="O3533" s="12"/>
      <c r="P3533" s="381"/>
      <c r="Q3533" s="12"/>
      <c r="R3533" s="12"/>
      <c r="S3533" s="382"/>
      <c r="T3533" s="383"/>
      <c r="U3533" s="384"/>
      <c r="V3533" s="12"/>
      <c r="W3533" s="12"/>
    </row>
    <row r="3534" spans="1:23" x14ac:dyDescent="0.3">
      <c r="A3534" s="193"/>
      <c r="B3534" s="378"/>
      <c r="C3534" s="315"/>
      <c r="D3534" s="316"/>
      <c r="E3534" s="315"/>
      <c r="F3534" s="315"/>
      <c r="G3534" s="315"/>
      <c r="H3534" s="153"/>
      <c r="I3534" s="12"/>
      <c r="J3534" s="12"/>
      <c r="K3534" s="12"/>
      <c r="L3534" s="379"/>
      <c r="M3534" s="380"/>
      <c r="N3534" s="380"/>
      <c r="O3534" s="12"/>
      <c r="P3534" s="381"/>
      <c r="Q3534" s="12"/>
      <c r="R3534" s="12"/>
      <c r="S3534" s="382"/>
      <c r="T3534" s="383"/>
      <c r="U3534" s="384"/>
      <c r="V3534" s="12"/>
      <c r="W3534" s="12"/>
    </row>
    <row r="3535" spans="1:23" x14ac:dyDescent="0.3">
      <c r="A3535" s="193"/>
      <c r="B3535" s="378"/>
      <c r="C3535" s="315"/>
      <c r="D3535" s="316"/>
      <c r="E3535" s="315"/>
      <c r="F3535" s="315"/>
      <c r="G3535" s="315"/>
      <c r="H3535" s="153"/>
      <c r="I3535" s="12"/>
      <c r="J3535" s="12"/>
      <c r="K3535" s="12"/>
      <c r="L3535" s="379"/>
      <c r="M3535" s="380"/>
      <c r="N3535" s="380"/>
      <c r="O3535" s="12"/>
      <c r="P3535" s="381"/>
      <c r="Q3535" s="12"/>
      <c r="R3535" s="12"/>
      <c r="S3535" s="382"/>
      <c r="T3535" s="383"/>
      <c r="U3535" s="384"/>
      <c r="V3535" s="12"/>
      <c r="W3535" s="12"/>
    </row>
    <row r="3536" spans="1:23" x14ac:dyDescent="0.3">
      <c r="A3536" s="193"/>
      <c r="B3536" s="378"/>
      <c r="C3536" s="315"/>
      <c r="D3536" s="316"/>
      <c r="E3536" s="315"/>
      <c r="F3536" s="315"/>
      <c r="G3536" s="315"/>
      <c r="H3536" s="153"/>
      <c r="I3536" s="12"/>
      <c r="J3536" s="12"/>
      <c r="K3536" s="12"/>
      <c r="L3536" s="379"/>
      <c r="M3536" s="380"/>
      <c r="N3536" s="380"/>
      <c r="O3536" s="12"/>
      <c r="P3536" s="381"/>
      <c r="Q3536" s="12"/>
      <c r="R3536" s="12"/>
      <c r="S3536" s="382"/>
      <c r="T3536" s="383"/>
      <c r="U3536" s="384"/>
      <c r="V3536" s="12"/>
      <c r="W3536" s="12"/>
    </row>
    <row r="3537" spans="1:23" x14ac:dyDescent="0.3">
      <c r="A3537" s="193"/>
      <c r="B3537" s="378"/>
      <c r="C3537" s="315"/>
      <c r="D3537" s="316"/>
      <c r="E3537" s="315"/>
      <c r="F3537" s="315"/>
      <c r="G3537" s="315"/>
      <c r="H3537" s="153"/>
      <c r="I3537" s="12"/>
      <c r="J3537" s="12"/>
      <c r="K3537" s="12"/>
      <c r="L3537" s="379"/>
      <c r="M3537" s="380"/>
      <c r="N3537" s="380"/>
      <c r="O3537" s="12"/>
      <c r="P3537" s="381"/>
      <c r="Q3537" s="12"/>
      <c r="R3537" s="12"/>
      <c r="S3537" s="382"/>
      <c r="T3537" s="383"/>
      <c r="U3537" s="384"/>
      <c r="V3537" s="12"/>
      <c r="W3537" s="12"/>
    </row>
    <row r="3538" spans="1:23" x14ac:dyDescent="0.3">
      <c r="A3538" s="193"/>
      <c r="B3538" s="378"/>
      <c r="C3538" s="315"/>
      <c r="D3538" s="316"/>
      <c r="E3538" s="315"/>
      <c r="F3538" s="315"/>
      <c r="G3538" s="315"/>
      <c r="H3538" s="153"/>
      <c r="I3538" s="12"/>
      <c r="J3538" s="12"/>
      <c r="K3538" s="12"/>
      <c r="L3538" s="379"/>
      <c r="M3538" s="380"/>
      <c r="N3538" s="380"/>
      <c r="O3538" s="12"/>
      <c r="P3538" s="381"/>
      <c r="Q3538" s="12"/>
      <c r="R3538" s="12"/>
      <c r="S3538" s="382"/>
      <c r="T3538" s="383"/>
      <c r="U3538" s="384"/>
      <c r="V3538" s="12"/>
      <c r="W3538" s="12"/>
    </row>
    <row r="3539" spans="1:23" x14ac:dyDescent="0.3">
      <c r="A3539" s="193"/>
      <c r="B3539" s="378"/>
      <c r="C3539" s="315"/>
      <c r="D3539" s="316"/>
      <c r="E3539" s="315"/>
      <c r="F3539" s="315"/>
      <c r="G3539" s="315"/>
      <c r="H3539" s="153"/>
      <c r="I3539" s="12"/>
      <c r="J3539" s="12"/>
      <c r="K3539" s="12"/>
      <c r="L3539" s="379"/>
      <c r="M3539" s="380"/>
      <c r="N3539" s="380"/>
      <c r="O3539" s="12"/>
      <c r="P3539" s="381"/>
      <c r="Q3539" s="12"/>
      <c r="R3539" s="12"/>
      <c r="S3539" s="382"/>
      <c r="T3539" s="383"/>
      <c r="U3539" s="384"/>
      <c r="V3539" s="12"/>
      <c r="W3539" s="12"/>
    </row>
    <row r="3540" spans="1:23" x14ac:dyDescent="0.3">
      <c r="A3540" s="193"/>
      <c r="B3540" s="378"/>
      <c r="C3540" s="315"/>
      <c r="D3540" s="316"/>
      <c r="E3540" s="315"/>
      <c r="F3540" s="315"/>
      <c r="G3540" s="315"/>
      <c r="H3540" s="153"/>
      <c r="I3540" s="12"/>
      <c r="J3540" s="12"/>
      <c r="K3540" s="12"/>
      <c r="L3540" s="379"/>
      <c r="M3540" s="380"/>
      <c r="N3540" s="380"/>
      <c r="O3540" s="12"/>
      <c r="P3540" s="381"/>
      <c r="Q3540" s="12"/>
      <c r="R3540" s="12"/>
      <c r="S3540" s="382"/>
      <c r="T3540" s="383"/>
      <c r="U3540" s="384"/>
      <c r="V3540" s="12"/>
      <c r="W3540" s="12"/>
    </row>
    <row r="3541" spans="1:23" x14ac:dyDescent="0.3">
      <c r="A3541" s="193"/>
      <c r="B3541" s="378"/>
      <c r="C3541" s="315"/>
      <c r="D3541" s="316"/>
      <c r="E3541" s="315"/>
      <c r="F3541" s="315"/>
      <c r="G3541" s="315"/>
      <c r="H3541" s="153"/>
      <c r="I3541" s="12"/>
      <c r="J3541" s="12"/>
      <c r="K3541" s="12"/>
      <c r="L3541" s="379"/>
      <c r="M3541" s="380"/>
      <c r="N3541" s="380"/>
      <c r="O3541" s="12"/>
      <c r="P3541" s="381"/>
      <c r="Q3541" s="12"/>
      <c r="R3541" s="12"/>
      <c r="S3541" s="382"/>
      <c r="T3541" s="383"/>
      <c r="U3541" s="384"/>
      <c r="V3541" s="12"/>
      <c r="W3541" s="12"/>
    </row>
    <row r="3542" spans="1:23" x14ac:dyDescent="0.3">
      <c r="A3542" s="193"/>
      <c r="B3542" s="378"/>
      <c r="C3542" s="315"/>
      <c r="D3542" s="316"/>
      <c r="E3542" s="315"/>
      <c r="F3542" s="315"/>
      <c r="G3542" s="315"/>
      <c r="H3542" s="153"/>
      <c r="I3542" s="12"/>
      <c r="J3542" s="12"/>
      <c r="K3542" s="12"/>
      <c r="L3542" s="379"/>
      <c r="M3542" s="380"/>
      <c r="N3542" s="380"/>
      <c r="O3542" s="12"/>
      <c r="P3542" s="381"/>
      <c r="Q3542" s="12"/>
      <c r="R3542" s="12"/>
      <c r="S3542" s="382"/>
      <c r="T3542" s="383"/>
      <c r="U3542" s="384"/>
      <c r="V3542" s="12"/>
      <c r="W3542" s="12"/>
    </row>
    <row r="3543" spans="1:23" x14ac:dyDescent="0.3">
      <c r="A3543" s="193"/>
      <c r="B3543" s="378"/>
      <c r="C3543" s="315"/>
      <c r="D3543" s="316"/>
      <c r="E3543" s="315"/>
      <c r="F3543" s="315"/>
      <c r="G3543" s="315"/>
      <c r="H3543" s="153"/>
      <c r="I3543" s="12"/>
      <c r="J3543" s="12"/>
      <c r="K3543" s="12"/>
      <c r="L3543" s="379"/>
      <c r="M3543" s="380"/>
      <c r="N3543" s="380"/>
      <c r="O3543" s="12"/>
      <c r="P3543" s="381"/>
      <c r="Q3543" s="12"/>
      <c r="R3543" s="12"/>
      <c r="S3543" s="382"/>
      <c r="T3543" s="383"/>
      <c r="U3543" s="384"/>
      <c r="V3543" s="12"/>
      <c r="W3543" s="12"/>
    </row>
    <row r="3544" spans="1:23" x14ac:dyDescent="0.3">
      <c r="A3544" s="193"/>
      <c r="B3544" s="378"/>
      <c r="C3544" s="315"/>
      <c r="D3544" s="316"/>
      <c r="E3544" s="315"/>
      <c r="F3544" s="315"/>
      <c r="G3544" s="315"/>
      <c r="H3544" s="153"/>
      <c r="I3544" s="12"/>
      <c r="J3544" s="12"/>
      <c r="K3544" s="12"/>
      <c r="L3544" s="379"/>
      <c r="M3544" s="380"/>
      <c r="N3544" s="380"/>
      <c r="O3544" s="12"/>
      <c r="P3544" s="381"/>
      <c r="Q3544" s="12"/>
      <c r="R3544" s="12"/>
      <c r="S3544" s="382"/>
      <c r="T3544" s="383"/>
      <c r="U3544" s="384"/>
      <c r="V3544" s="12"/>
      <c r="W3544" s="12"/>
    </row>
    <row r="3545" spans="1:23" x14ac:dyDescent="0.3">
      <c r="A3545" s="193"/>
      <c r="B3545" s="378"/>
      <c r="C3545" s="315"/>
      <c r="D3545" s="316"/>
      <c r="E3545" s="315"/>
      <c r="F3545" s="315"/>
      <c r="G3545" s="315"/>
      <c r="H3545" s="153"/>
      <c r="I3545" s="12"/>
      <c r="J3545" s="12"/>
      <c r="K3545" s="12"/>
      <c r="L3545" s="379"/>
      <c r="M3545" s="380"/>
      <c r="N3545" s="380"/>
      <c r="O3545" s="12"/>
      <c r="P3545" s="381"/>
      <c r="Q3545" s="12"/>
      <c r="R3545" s="12"/>
      <c r="S3545" s="382"/>
      <c r="T3545" s="383"/>
      <c r="U3545" s="384"/>
      <c r="V3545" s="12"/>
      <c r="W3545" s="12"/>
    </row>
    <row r="3546" spans="1:23" x14ac:dyDescent="0.3">
      <c r="A3546" s="193"/>
      <c r="B3546" s="378"/>
      <c r="C3546" s="315"/>
      <c r="D3546" s="316"/>
      <c r="E3546" s="315"/>
      <c r="F3546" s="315"/>
      <c r="G3546" s="315"/>
      <c r="H3546" s="153"/>
      <c r="I3546" s="12"/>
      <c r="J3546" s="12"/>
      <c r="K3546" s="12"/>
      <c r="L3546" s="379"/>
      <c r="M3546" s="380"/>
      <c r="N3546" s="380"/>
      <c r="O3546" s="12"/>
      <c r="P3546" s="381"/>
      <c r="Q3546" s="12"/>
      <c r="R3546" s="12"/>
      <c r="S3546" s="382"/>
      <c r="T3546" s="383"/>
      <c r="U3546" s="384"/>
      <c r="V3546" s="12"/>
      <c r="W3546" s="12"/>
    </row>
    <row r="3547" spans="1:23" x14ac:dyDescent="0.3">
      <c r="A3547" s="193"/>
      <c r="B3547" s="378"/>
      <c r="C3547" s="315"/>
      <c r="D3547" s="316"/>
      <c r="E3547" s="315"/>
      <c r="F3547" s="315"/>
      <c r="G3547" s="315"/>
      <c r="H3547" s="153"/>
      <c r="I3547" s="12"/>
      <c r="J3547" s="12"/>
      <c r="K3547" s="12"/>
      <c r="L3547" s="379"/>
      <c r="M3547" s="380"/>
      <c r="N3547" s="380"/>
      <c r="O3547" s="12"/>
      <c r="P3547" s="381"/>
      <c r="Q3547" s="12"/>
      <c r="R3547" s="12"/>
      <c r="S3547" s="382"/>
      <c r="T3547" s="383"/>
      <c r="U3547" s="384"/>
      <c r="V3547" s="12"/>
      <c r="W3547" s="12"/>
    </row>
    <row r="3548" spans="1:23" x14ac:dyDescent="0.3">
      <c r="A3548" s="193"/>
      <c r="B3548" s="378"/>
      <c r="C3548" s="315"/>
      <c r="D3548" s="316"/>
      <c r="E3548" s="315"/>
      <c r="F3548" s="315"/>
      <c r="G3548" s="315"/>
      <c r="H3548" s="153"/>
      <c r="I3548" s="12"/>
      <c r="J3548" s="12"/>
      <c r="K3548" s="12"/>
      <c r="L3548" s="379"/>
      <c r="M3548" s="380"/>
      <c r="N3548" s="380"/>
      <c r="O3548" s="12"/>
      <c r="P3548" s="381"/>
      <c r="Q3548" s="12"/>
      <c r="R3548" s="12"/>
      <c r="S3548" s="382"/>
      <c r="T3548" s="383"/>
      <c r="U3548" s="384"/>
      <c r="V3548" s="12"/>
      <c r="W3548" s="12"/>
    </row>
    <row r="3549" spans="1:23" x14ac:dyDescent="0.3">
      <c r="A3549" s="193"/>
      <c r="B3549" s="378"/>
      <c r="C3549" s="315"/>
      <c r="D3549" s="316"/>
      <c r="E3549" s="315"/>
      <c r="F3549" s="315"/>
      <c r="G3549" s="315"/>
      <c r="H3549" s="153"/>
      <c r="I3549" s="12"/>
      <c r="J3549" s="12"/>
      <c r="K3549" s="12"/>
      <c r="L3549" s="379"/>
      <c r="M3549" s="380"/>
      <c r="N3549" s="380"/>
      <c r="O3549" s="12"/>
      <c r="P3549" s="381"/>
      <c r="Q3549" s="12"/>
      <c r="R3549" s="12"/>
      <c r="S3549" s="382"/>
      <c r="T3549" s="383"/>
      <c r="U3549" s="384"/>
      <c r="V3549" s="12"/>
      <c r="W3549" s="12"/>
    </row>
    <row r="3550" spans="1:23" x14ac:dyDescent="0.3">
      <c r="A3550" s="193"/>
      <c r="B3550" s="378"/>
      <c r="C3550" s="315"/>
      <c r="D3550" s="316"/>
      <c r="E3550" s="315"/>
      <c r="F3550" s="315"/>
      <c r="G3550" s="315"/>
      <c r="H3550" s="153"/>
      <c r="I3550" s="12"/>
      <c r="J3550" s="12"/>
      <c r="K3550" s="12"/>
      <c r="L3550" s="379"/>
      <c r="M3550" s="380"/>
      <c r="N3550" s="380"/>
      <c r="O3550" s="12"/>
      <c r="P3550" s="381"/>
      <c r="Q3550" s="12"/>
      <c r="R3550" s="12"/>
      <c r="S3550" s="382"/>
      <c r="T3550" s="383"/>
      <c r="U3550" s="384"/>
      <c r="V3550" s="12"/>
      <c r="W3550" s="12"/>
    </row>
    <row r="3551" spans="1:23" x14ac:dyDescent="0.3">
      <c r="A3551" s="193"/>
      <c r="B3551" s="378"/>
      <c r="C3551" s="315"/>
      <c r="D3551" s="316"/>
      <c r="E3551" s="315"/>
      <c r="F3551" s="315"/>
      <c r="G3551" s="315"/>
      <c r="H3551" s="153"/>
      <c r="I3551" s="12"/>
      <c r="J3551" s="12"/>
      <c r="K3551" s="12"/>
      <c r="L3551" s="379"/>
      <c r="M3551" s="380"/>
      <c r="N3551" s="380"/>
      <c r="O3551" s="12"/>
      <c r="P3551" s="381"/>
      <c r="Q3551" s="12"/>
      <c r="R3551" s="12"/>
      <c r="S3551" s="382"/>
      <c r="T3551" s="383"/>
      <c r="U3551" s="384"/>
      <c r="V3551" s="12"/>
      <c r="W3551" s="12"/>
    </row>
    <row r="3552" spans="1:23" x14ac:dyDescent="0.3">
      <c r="A3552" s="193"/>
      <c r="B3552" s="378"/>
      <c r="C3552" s="315"/>
      <c r="D3552" s="316"/>
      <c r="E3552" s="315"/>
      <c r="F3552" s="315"/>
      <c r="G3552" s="315"/>
      <c r="H3552" s="153"/>
      <c r="I3552" s="12"/>
      <c r="J3552" s="12"/>
      <c r="K3552" s="12"/>
      <c r="L3552" s="379"/>
      <c r="M3552" s="380"/>
      <c r="N3552" s="380"/>
      <c r="O3552" s="12"/>
      <c r="P3552" s="381"/>
      <c r="Q3552" s="12"/>
      <c r="R3552" s="12"/>
      <c r="S3552" s="382"/>
      <c r="T3552" s="383"/>
      <c r="U3552" s="384"/>
      <c r="V3552" s="12"/>
      <c r="W3552" s="12"/>
    </row>
    <row r="3553" spans="1:23" x14ac:dyDescent="0.3">
      <c r="A3553" s="193"/>
      <c r="B3553" s="378"/>
      <c r="C3553" s="315"/>
      <c r="D3553" s="316"/>
      <c r="E3553" s="315"/>
      <c r="F3553" s="315"/>
      <c r="G3553" s="315"/>
      <c r="H3553" s="153"/>
      <c r="I3553" s="12"/>
      <c r="J3553" s="12"/>
      <c r="K3553" s="12"/>
      <c r="L3553" s="379"/>
      <c r="M3553" s="380"/>
      <c r="N3553" s="380"/>
      <c r="O3553" s="12"/>
      <c r="P3553" s="381"/>
      <c r="Q3553" s="12"/>
      <c r="R3553" s="12"/>
      <c r="S3553" s="382"/>
      <c r="T3553" s="383"/>
      <c r="U3553" s="384"/>
      <c r="V3553" s="12"/>
      <c r="W3553" s="12"/>
    </row>
    <row r="3554" spans="1:23" x14ac:dyDescent="0.3">
      <c r="A3554" s="193"/>
      <c r="B3554" s="378"/>
      <c r="C3554" s="315"/>
      <c r="D3554" s="316"/>
      <c r="E3554" s="315"/>
      <c r="F3554" s="315"/>
      <c r="G3554" s="315"/>
      <c r="H3554" s="153"/>
      <c r="I3554" s="12"/>
      <c r="J3554" s="12"/>
      <c r="K3554" s="12"/>
      <c r="L3554" s="379"/>
      <c r="M3554" s="380"/>
      <c r="N3554" s="380"/>
      <c r="O3554" s="12"/>
      <c r="P3554" s="381"/>
      <c r="Q3554" s="12"/>
      <c r="R3554" s="12"/>
      <c r="S3554" s="382"/>
      <c r="T3554" s="383"/>
      <c r="U3554" s="384"/>
      <c r="V3554" s="12"/>
      <c r="W3554" s="12"/>
    </row>
    <row r="3555" spans="1:23" x14ac:dyDescent="0.3">
      <c r="A3555" s="193"/>
      <c r="B3555" s="378"/>
      <c r="C3555" s="315"/>
      <c r="D3555" s="316"/>
      <c r="E3555" s="315"/>
      <c r="F3555" s="315"/>
      <c r="G3555" s="315"/>
      <c r="H3555" s="153"/>
      <c r="I3555" s="12"/>
      <c r="J3555" s="12"/>
      <c r="K3555" s="12"/>
      <c r="L3555" s="379"/>
      <c r="M3555" s="380"/>
      <c r="N3555" s="380"/>
      <c r="O3555" s="12"/>
      <c r="P3555" s="381"/>
      <c r="Q3555" s="12"/>
      <c r="R3555" s="12"/>
      <c r="S3555" s="382"/>
      <c r="T3555" s="383"/>
      <c r="U3555" s="384"/>
      <c r="V3555" s="12"/>
      <c r="W3555" s="12"/>
    </row>
    <row r="3556" spans="1:23" x14ac:dyDescent="0.3">
      <c r="A3556" s="193"/>
      <c r="B3556" s="378"/>
      <c r="C3556" s="315"/>
      <c r="D3556" s="316"/>
      <c r="E3556" s="315"/>
      <c r="F3556" s="315"/>
      <c r="G3556" s="315"/>
      <c r="H3556" s="153"/>
      <c r="I3556" s="12"/>
      <c r="J3556" s="12"/>
      <c r="K3556" s="12"/>
      <c r="L3556" s="379"/>
      <c r="M3556" s="380"/>
      <c r="N3556" s="380"/>
      <c r="O3556" s="12"/>
      <c r="P3556" s="381"/>
      <c r="Q3556" s="12"/>
      <c r="R3556" s="12"/>
      <c r="S3556" s="382"/>
      <c r="T3556" s="383"/>
      <c r="U3556" s="384"/>
      <c r="V3556" s="12"/>
      <c r="W3556" s="12"/>
    </row>
    <row r="3557" spans="1:23" x14ac:dyDescent="0.3">
      <c r="A3557" s="193"/>
      <c r="B3557" s="378"/>
      <c r="C3557" s="315"/>
      <c r="D3557" s="316"/>
      <c r="E3557" s="315"/>
      <c r="F3557" s="315"/>
      <c r="G3557" s="315"/>
      <c r="H3557" s="153"/>
      <c r="I3557" s="12"/>
      <c r="J3557" s="12"/>
      <c r="K3557" s="12"/>
      <c r="L3557" s="379"/>
      <c r="M3557" s="380"/>
      <c r="N3557" s="380"/>
      <c r="O3557" s="12"/>
      <c r="P3557" s="381"/>
      <c r="Q3557" s="12"/>
      <c r="R3557" s="12"/>
      <c r="S3557" s="382"/>
      <c r="T3557" s="383"/>
      <c r="U3557" s="384"/>
      <c r="V3557" s="12"/>
      <c r="W3557" s="12"/>
    </row>
    <row r="3558" spans="1:23" x14ac:dyDescent="0.3">
      <c r="A3558" s="193"/>
      <c r="B3558" s="378"/>
      <c r="C3558" s="315"/>
      <c r="D3558" s="316"/>
      <c r="E3558" s="315"/>
      <c r="F3558" s="315"/>
      <c r="G3558" s="315"/>
      <c r="H3558" s="153"/>
      <c r="I3558" s="12"/>
      <c r="J3558" s="12"/>
      <c r="K3558" s="12"/>
      <c r="L3558" s="379"/>
      <c r="M3558" s="380"/>
      <c r="N3558" s="380"/>
      <c r="O3558" s="12"/>
      <c r="P3558" s="381"/>
      <c r="Q3558" s="12"/>
      <c r="R3558" s="12"/>
      <c r="S3558" s="382"/>
      <c r="T3558" s="383"/>
      <c r="U3558" s="384"/>
      <c r="V3558" s="12"/>
      <c r="W3558" s="12"/>
    </row>
    <row r="3559" spans="1:23" x14ac:dyDescent="0.3">
      <c r="A3559" s="193"/>
      <c r="B3559" s="378"/>
      <c r="C3559" s="315"/>
      <c r="D3559" s="316"/>
      <c r="E3559" s="315"/>
      <c r="F3559" s="315"/>
      <c r="G3559" s="315"/>
      <c r="H3559" s="153"/>
      <c r="I3559" s="12"/>
      <c r="J3559" s="12"/>
      <c r="K3559" s="12"/>
      <c r="L3559" s="379"/>
      <c r="M3559" s="380"/>
      <c r="N3559" s="380"/>
      <c r="O3559" s="12"/>
      <c r="P3559" s="381"/>
      <c r="Q3559" s="12"/>
      <c r="R3559" s="12"/>
      <c r="S3559" s="382"/>
      <c r="T3559" s="383"/>
      <c r="U3559" s="384"/>
      <c r="V3559" s="12"/>
      <c r="W3559" s="12"/>
    </row>
    <row r="3560" spans="1:23" x14ac:dyDescent="0.3">
      <c r="A3560" s="193"/>
      <c r="B3560" s="378"/>
      <c r="C3560" s="315"/>
      <c r="D3560" s="316"/>
      <c r="E3560" s="315"/>
      <c r="F3560" s="315"/>
      <c r="G3560" s="315"/>
      <c r="H3560" s="153"/>
      <c r="I3560" s="12"/>
      <c r="J3560" s="12"/>
      <c r="K3560" s="12"/>
      <c r="L3560" s="379"/>
      <c r="M3560" s="380"/>
      <c r="N3560" s="380"/>
      <c r="O3560" s="12"/>
      <c r="P3560" s="381"/>
      <c r="Q3560" s="12"/>
      <c r="R3560" s="12"/>
      <c r="S3560" s="382"/>
      <c r="T3560" s="383"/>
      <c r="U3560" s="384"/>
      <c r="V3560" s="12"/>
      <c r="W3560" s="12"/>
    </row>
    <row r="3561" spans="1:23" x14ac:dyDescent="0.3">
      <c r="A3561" s="193"/>
      <c r="B3561" s="378"/>
      <c r="C3561" s="315"/>
      <c r="D3561" s="316"/>
      <c r="E3561" s="315"/>
      <c r="F3561" s="315"/>
      <c r="G3561" s="315"/>
      <c r="H3561" s="153"/>
      <c r="I3561" s="12"/>
      <c r="J3561" s="12"/>
      <c r="K3561" s="12"/>
      <c r="L3561" s="379"/>
      <c r="M3561" s="380"/>
      <c r="N3561" s="380"/>
      <c r="O3561" s="12"/>
      <c r="P3561" s="381"/>
      <c r="Q3561" s="12"/>
      <c r="R3561" s="12"/>
      <c r="S3561" s="382"/>
      <c r="T3561" s="383"/>
      <c r="U3561" s="384"/>
      <c r="V3561" s="12"/>
      <c r="W3561" s="12"/>
    </row>
    <row r="3562" spans="1:23" x14ac:dyDescent="0.3">
      <c r="A3562" s="193"/>
      <c r="B3562" s="378"/>
      <c r="C3562" s="315"/>
      <c r="D3562" s="316"/>
      <c r="E3562" s="315"/>
      <c r="F3562" s="315"/>
      <c r="G3562" s="315"/>
      <c r="H3562" s="153"/>
      <c r="I3562" s="12"/>
      <c r="J3562" s="12"/>
      <c r="K3562" s="12"/>
      <c r="L3562" s="379"/>
      <c r="M3562" s="380"/>
      <c r="N3562" s="380"/>
      <c r="O3562" s="12"/>
      <c r="P3562" s="381"/>
      <c r="Q3562" s="12"/>
      <c r="R3562" s="12"/>
      <c r="S3562" s="382"/>
      <c r="T3562" s="383"/>
      <c r="U3562" s="384"/>
      <c r="V3562" s="12"/>
      <c r="W3562" s="12"/>
    </row>
    <row r="3563" spans="1:23" x14ac:dyDescent="0.3">
      <c r="A3563" s="193"/>
      <c r="B3563" s="378"/>
      <c r="C3563" s="315"/>
      <c r="D3563" s="316"/>
      <c r="E3563" s="315"/>
      <c r="F3563" s="315"/>
      <c r="G3563" s="315"/>
      <c r="H3563" s="153"/>
      <c r="I3563" s="12"/>
      <c r="J3563" s="12"/>
      <c r="K3563" s="12"/>
      <c r="L3563" s="379"/>
      <c r="M3563" s="380"/>
      <c r="N3563" s="380"/>
      <c r="O3563" s="12"/>
      <c r="P3563" s="381"/>
      <c r="Q3563" s="12"/>
      <c r="R3563" s="12"/>
      <c r="S3563" s="382"/>
      <c r="T3563" s="383"/>
      <c r="U3563" s="384"/>
      <c r="V3563" s="12"/>
      <c r="W3563" s="12"/>
    </row>
    <row r="3564" spans="1:23" x14ac:dyDescent="0.3">
      <c r="A3564" s="193"/>
      <c r="B3564" s="378"/>
      <c r="C3564" s="315"/>
      <c r="D3564" s="316"/>
      <c r="E3564" s="315"/>
      <c r="F3564" s="315"/>
      <c r="G3564" s="315"/>
      <c r="H3564" s="153"/>
      <c r="I3564" s="12"/>
      <c r="J3564" s="12"/>
      <c r="K3564" s="12"/>
      <c r="L3564" s="379"/>
      <c r="M3564" s="380"/>
      <c r="N3564" s="380"/>
      <c r="O3564" s="12"/>
      <c r="P3564" s="381"/>
      <c r="Q3564" s="12"/>
      <c r="R3564" s="12"/>
      <c r="S3564" s="382"/>
      <c r="T3564" s="383"/>
      <c r="U3564" s="384"/>
      <c r="V3564" s="12"/>
      <c r="W3564" s="12"/>
    </row>
    <row r="3565" spans="1:23" x14ac:dyDescent="0.3">
      <c r="A3565" s="193"/>
      <c r="B3565" s="378"/>
      <c r="C3565" s="315"/>
      <c r="D3565" s="316"/>
      <c r="E3565" s="315"/>
      <c r="F3565" s="315"/>
      <c r="G3565" s="315"/>
      <c r="H3565" s="153"/>
      <c r="I3565" s="12"/>
      <c r="J3565" s="12"/>
      <c r="K3565" s="12"/>
      <c r="L3565" s="379"/>
      <c r="M3565" s="380"/>
      <c r="N3565" s="380"/>
      <c r="O3565" s="12"/>
      <c r="P3565" s="381"/>
      <c r="Q3565" s="12"/>
      <c r="R3565" s="12"/>
      <c r="S3565" s="382"/>
      <c r="T3565" s="383"/>
      <c r="U3565" s="384"/>
      <c r="V3565" s="12"/>
      <c r="W3565" s="12"/>
    </row>
    <row r="3566" spans="1:23" x14ac:dyDescent="0.3">
      <c r="A3566" s="193"/>
      <c r="B3566" s="378"/>
      <c r="C3566" s="315"/>
      <c r="D3566" s="316"/>
      <c r="E3566" s="315"/>
      <c r="F3566" s="315"/>
      <c r="G3566" s="315"/>
      <c r="H3566" s="153"/>
      <c r="I3566" s="12"/>
      <c r="J3566" s="12"/>
      <c r="K3566" s="12"/>
      <c r="L3566" s="379"/>
      <c r="M3566" s="380"/>
      <c r="N3566" s="380"/>
      <c r="O3566" s="12"/>
      <c r="P3566" s="381"/>
      <c r="Q3566" s="12"/>
      <c r="R3566" s="12"/>
      <c r="S3566" s="382"/>
      <c r="T3566" s="383"/>
      <c r="U3566" s="384"/>
      <c r="V3566" s="12"/>
      <c r="W3566" s="12"/>
    </row>
    <row r="3567" spans="1:23" x14ac:dyDescent="0.3">
      <c r="A3567" s="193"/>
      <c r="B3567" s="378"/>
      <c r="C3567" s="315"/>
      <c r="D3567" s="316"/>
      <c r="E3567" s="315"/>
      <c r="F3567" s="315"/>
      <c r="G3567" s="315"/>
      <c r="H3567" s="153"/>
      <c r="I3567" s="12"/>
      <c r="J3567" s="12"/>
      <c r="K3567" s="12"/>
      <c r="L3567" s="379"/>
      <c r="M3567" s="380"/>
      <c r="N3567" s="380"/>
      <c r="O3567" s="12"/>
      <c r="P3567" s="381"/>
      <c r="Q3567" s="12"/>
      <c r="R3567" s="12"/>
      <c r="S3567" s="382"/>
      <c r="T3567" s="383"/>
      <c r="U3567" s="384"/>
      <c r="V3567" s="12"/>
      <c r="W3567" s="12"/>
    </row>
    <row r="3568" spans="1:23" x14ac:dyDescent="0.3">
      <c r="A3568" s="193"/>
      <c r="B3568" s="378"/>
      <c r="C3568" s="315"/>
      <c r="D3568" s="316"/>
      <c r="E3568" s="315"/>
      <c r="F3568" s="315"/>
      <c r="G3568" s="315"/>
      <c r="H3568" s="153"/>
      <c r="I3568" s="12"/>
      <c r="J3568" s="12"/>
      <c r="K3568" s="12"/>
      <c r="L3568" s="379"/>
      <c r="M3568" s="380"/>
      <c r="N3568" s="380"/>
      <c r="O3568" s="12"/>
      <c r="P3568" s="381"/>
      <c r="Q3568" s="12"/>
      <c r="R3568" s="12"/>
      <c r="S3568" s="382"/>
      <c r="T3568" s="383"/>
      <c r="U3568" s="384"/>
      <c r="V3568" s="12"/>
      <c r="W3568" s="12"/>
    </row>
    <row r="3569" spans="1:23" x14ac:dyDescent="0.3">
      <c r="A3569" s="193"/>
      <c r="B3569" s="378"/>
      <c r="C3569" s="315"/>
      <c r="D3569" s="316"/>
      <c r="E3569" s="315"/>
      <c r="F3569" s="315"/>
      <c r="G3569" s="315"/>
      <c r="H3569" s="153"/>
      <c r="I3569" s="12"/>
      <c r="J3569" s="12"/>
      <c r="K3569" s="12"/>
      <c r="L3569" s="379"/>
      <c r="M3569" s="380"/>
      <c r="N3569" s="380"/>
      <c r="O3569" s="12"/>
      <c r="P3569" s="381"/>
      <c r="Q3569" s="12"/>
      <c r="R3569" s="12"/>
      <c r="S3569" s="382"/>
      <c r="T3569" s="383"/>
      <c r="U3569" s="384"/>
      <c r="V3569" s="12"/>
      <c r="W3569" s="12"/>
    </row>
    <row r="3570" spans="1:23" x14ac:dyDescent="0.3">
      <c r="A3570" s="193"/>
      <c r="B3570" s="378"/>
      <c r="C3570" s="315"/>
      <c r="D3570" s="316"/>
      <c r="E3570" s="315"/>
      <c r="F3570" s="315"/>
      <c r="G3570" s="315"/>
      <c r="H3570" s="153"/>
      <c r="I3570" s="12"/>
      <c r="J3570" s="12"/>
      <c r="K3570" s="12"/>
      <c r="L3570" s="379"/>
      <c r="M3570" s="380"/>
      <c r="N3570" s="380"/>
      <c r="O3570" s="12"/>
      <c r="P3570" s="381"/>
      <c r="Q3570" s="12"/>
      <c r="R3570" s="12"/>
      <c r="S3570" s="382"/>
      <c r="T3570" s="383"/>
      <c r="U3570" s="384"/>
      <c r="V3570" s="12"/>
      <c r="W3570" s="12"/>
    </row>
    <row r="3571" spans="1:23" x14ac:dyDescent="0.3">
      <c r="A3571" s="193"/>
      <c r="B3571" s="378"/>
      <c r="C3571" s="315"/>
      <c r="D3571" s="316"/>
      <c r="E3571" s="315"/>
      <c r="F3571" s="315"/>
      <c r="G3571" s="315"/>
      <c r="H3571" s="153"/>
      <c r="I3571" s="12"/>
      <c r="J3571" s="12"/>
      <c r="K3571" s="12"/>
      <c r="L3571" s="379"/>
      <c r="M3571" s="380"/>
      <c r="N3571" s="380"/>
      <c r="O3571" s="12"/>
      <c r="P3571" s="381"/>
      <c r="Q3571" s="12"/>
      <c r="R3571" s="12"/>
      <c r="S3571" s="382"/>
      <c r="T3571" s="383"/>
      <c r="U3571" s="384"/>
      <c r="V3571" s="12"/>
      <c r="W3571" s="12"/>
    </row>
    <row r="3572" spans="1:23" x14ac:dyDescent="0.3">
      <c r="A3572" s="193"/>
      <c r="B3572" s="378"/>
      <c r="C3572" s="315"/>
      <c r="D3572" s="316"/>
      <c r="E3572" s="315"/>
      <c r="F3572" s="315"/>
      <c r="G3572" s="315"/>
      <c r="H3572" s="153"/>
      <c r="I3572" s="12"/>
      <c r="J3572" s="12"/>
      <c r="K3572" s="12"/>
      <c r="L3572" s="379"/>
      <c r="M3572" s="380"/>
      <c r="N3572" s="380"/>
      <c r="O3572" s="12"/>
      <c r="P3572" s="381"/>
      <c r="Q3572" s="12"/>
      <c r="R3572" s="12"/>
      <c r="S3572" s="382"/>
      <c r="T3572" s="383"/>
      <c r="U3572" s="384"/>
      <c r="V3572" s="12"/>
      <c r="W3572" s="12"/>
    </row>
    <row r="3573" spans="1:23" x14ac:dyDescent="0.3">
      <c r="A3573" s="193"/>
      <c r="B3573" s="378"/>
      <c r="C3573" s="315"/>
      <c r="D3573" s="316"/>
      <c r="E3573" s="315"/>
      <c r="F3573" s="315"/>
      <c r="G3573" s="315"/>
      <c r="H3573" s="153"/>
      <c r="I3573" s="12"/>
      <c r="J3573" s="12"/>
      <c r="K3573" s="12"/>
      <c r="L3573" s="379"/>
      <c r="M3573" s="380"/>
      <c r="N3573" s="380"/>
      <c r="O3573" s="12"/>
      <c r="P3573" s="381"/>
      <c r="Q3573" s="12"/>
      <c r="R3573" s="12"/>
      <c r="S3573" s="382"/>
      <c r="T3573" s="383"/>
      <c r="U3573" s="384"/>
      <c r="V3573" s="12"/>
      <c r="W3573" s="12"/>
    </row>
    <row r="3574" spans="1:23" x14ac:dyDescent="0.3">
      <c r="A3574" s="193"/>
      <c r="B3574" s="378"/>
      <c r="C3574" s="315"/>
      <c r="D3574" s="316"/>
      <c r="E3574" s="315"/>
      <c r="F3574" s="315"/>
      <c r="G3574" s="315"/>
      <c r="H3574" s="153"/>
      <c r="I3574" s="12"/>
      <c r="J3574" s="12"/>
      <c r="K3574" s="12"/>
      <c r="L3574" s="379"/>
      <c r="M3574" s="380"/>
      <c r="N3574" s="380"/>
      <c r="O3574" s="12"/>
      <c r="P3574" s="381"/>
      <c r="Q3574" s="12"/>
      <c r="R3574" s="12"/>
      <c r="S3574" s="382"/>
      <c r="T3574" s="383"/>
      <c r="U3574" s="384"/>
      <c r="V3574" s="12"/>
      <c r="W3574" s="12"/>
    </row>
    <row r="3575" spans="1:23" x14ac:dyDescent="0.3">
      <c r="A3575" s="193"/>
      <c r="B3575" s="378"/>
      <c r="C3575" s="315"/>
      <c r="D3575" s="316"/>
      <c r="E3575" s="315"/>
      <c r="F3575" s="315"/>
      <c r="G3575" s="315"/>
      <c r="H3575" s="153"/>
      <c r="I3575" s="12"/>
      <c r="J3575" s="12"/>
      <c r="K3575" s="12"/>
      <c r="L3575" s="379"/>
      <c r="M3575" s="380"/>
      <c r="N3575" s="380"/>
      <c r="O3575" s="12"/>
      <c r="P3575" s="381"/>
      <c r="Q3575" s="12"/>
      <c r="R3575" s="12"/>
      <c r="S3575" s="382"/>
      <c r="T3575" s="383"/>
      <c r="U3575" s="384"/>
      <c r="V3575" s="12"/>
      <c r="W3575" s="12"/>
    </row>
    <row r="3576" spans="1:23" x14ac:dyDescent="0.3">
      <c r="A3576" s="193"/>
      <c r="B3576" s="378"/>
      <c r="C3576" s="315"/>
      <c r="D3576" s="316"/>
      <c r="E3576" s="315"/>
      <c r="F3576" s="315"/>
      <c r="G3576" s="315"/>
      <c r="H3576" s="153"/>
      <c r="I3576" s="12"/>
      <c r="J3576" s="12"/>
      <c r="K3576" s="12"/>
      <c r="L3576" s="379"/>
      <c r="M3576" s="380"/>
      <c r="N3576" s="380"/>
      <c r="O3576" s="12"/>
      <c r="P3576" s="381"/>
      <c r="Q3576" s="12"/>
      <c r="R3576" s="12"/>
      <c r="S3576" s="382"/>
      <c r="T3576" s="383"/>
      <c r="U3576" s="384"/>
      <c r="V3576" s="12"/>
      <c r="W3576" s="12"/>
    </row>
    <row r="3577" spans="1:23" x14ac:dyDescent="0.3">
      <c r="A3577" s="193"/>
      <c r="B3577" s="378"/>
      <c r="C3577" s="315"/>
      <c r="D3577" s="316"/>
      <c r="E3577" s="315"/>
      <c r="F3577" s="315"/>
      <c r="G3577" s="315"/>
      <c r="H3577" s="153"/>
      <c r="I3577" s="12"/>
      <c r="J3577" s="12"/>
      <c r="K3577" s="12"/>
      <c r="L3577" s="379"/>
      <c r="M3577" s="380"/>
      <c r="N3577" s="380"/>
      <c r="O3577" s="12"/>
      <c r="P3577" s="381"/>
      <c r="Q3577" s="12"/>
      <c r="R3577" s="12"/>
      <c r="S3577" s="382"/>
      <c r="T3577" s="383"/>
      <c r="U3577" s="384"/>
      <c r="V3577" s="12"/>
      <c r="W3577" s="12"/>
    </row>
    <row r="3578" spans="1:23" x14ac:dyDescent="0.3">
      <c r="A3578" s="193"/>
      <c r="B3578" s="378"/>
      <c r="C3578" s="315"/>
      <c r="D3578" s="316"/>
      <c r="E3578" s="315"/>
      <c r="F3578" s="315"/>
      <c r="G3578" s="315"/>
      <c r="H3578" s="153"/>
      <c r="I3578" s="12"/>
      <c r="J3578" s="12"/>
      <c r="K3578" s="12"/>
      <c r="L3578" s="379"/>
      <c r="M3578" s="380"/>
      <c r="N3578" s="380"/>
      <c r="O3578" s="12"/>
      <c r="P3578" s="381"/>
      <c r="Q3578" s="12"/>
      <c r="R3578" s="12"/>
      <c r="S3578" s="382"/>
      <c r="T3578" s="383"/>
      <c r="U3578" s="384"/>
      <c r="V3578" s="12"/>
      <c r="W3578" s="12"/>
    </row>
    <row r="3579" spans="1:23" x14ac:dyDescent="0.3">
      <c r="A3579" s="193"/>
      <c r="B3579" s="378"/>
      <c r="C3579" s="315"/>
      <c r="D3579" s="316"/>
      <c r="E3579" s="315"/>
      <c r="F3579" s="315"/>
      <c r="G3579" s="315"/>
      <c r="H3579" s="153"/>
      <c r="I3579" s="12"/>
      <c r="J3579" s="12"/>
      <c r="K3579" s="12"/>
      <c r="L3579" s="379"/>
      <c r="M3579" s="380"/>
      <c r="N3579" s="380"/>
      <c r="O3579" s="12"/>
      <c r="P3579" s="381"/>
      <c r="Q3579" s="12"/>
      <c r="R3579" s="12"/>
      <c r="S3579" s="382"/>
      <c r="T3579" s="383"/>
      <c r="U3579" s="384"/>
      <c r="V3579" s="12"/>
      <c r="W3579" s="12"/>
    </row>
    <row r="3580" spans="1:23" x14ac:dyDescent="0.3">
      <c r="A3580" s="193"/>
      <c r="B3580" s="378"/>
      <c r="C3580" s="315"/>
      <c r="D3580" s="316"/>
      <c r="E3580" s="315"/>
      <c r="F3580" s="315"/>
      <c r="G3580" s="315"/>
      <c r="H3580" s="153"/>
      <c r="I3580" s="12"/>
      <c r="J3580" s="12"/>
      <c r="K3580" s="12"/>
      <c r="L3580" s="379"/>
      <c r="M3580" s="380"/>
      <c r="N3580" s="380"/>
      <c r="O3580" s="12"/>
      <c r="P3580" s="381"/>
      <c r="Q3580" s="12"/>
      <c r="R3580" s="12"/>
      <c r="S3580" s="382"/>
      <c r="T3580" s="383"/>
      <c r="U3580" s="384"/>
      <c r="V3580" s="12"/>
      <c r="W3580" s="12"/>
    </row>
    <row r="3581" spans="1:23" x14ac:dyDescent="0.3">
      <c r="A3581" s="193"/>
      <c r="B3581" s="378"/>
      <c r="C3581" s="315"/>
      <c r="D3581" s="316"/>
      <c r="E3581" s="315"/>
      <c r="F3581" s="315"/>
      <c r="G3581" s="315"/>
      <c r="H3581" s="153"/>
      <c r="I3581" s="12"/>
      <c r="J3581" s="12"/>
      <c r="K3581" s="12"/>
      <c r="L3581" s="379"/>
      <c r="M3581" s="380"/>
      <c r="N3581" s="380"/>
      <c r="O3581" s="12"/>
      <c r="P3581" s="381"/>
      <c r="Q3581" s="12"/>
      <c r="R3581" s="12"/>
      <c r="S3581" s="382"/>
      <c r="T3581" s="383"/>
      <c r="U3581" s="384"/>
      <c r="V3581" s="12"/>
      <c r="W3581" s="12"/>
    </row>
    <row r="3582" spans="1:23" x14ac:dyDescent="0.3">
      <c r="A3582" s="193"/>
      <c r="B3582" s="378"/>
      <c r="C3582" s="315"/>
      <c r="D3582" s="316"/>
      <c r="E3582" s="315"/>
      <c r="F3582" s="315"/>
      <c r="G3582" s="315"/>
      <c r="H3582" s="153"/>
      <c r="I3582" s="12"/>
      <c r="J3582" s="12"/>
      <c r="K3582" s="12"/>
      <c r="L3582" s="379"/>
      <c r="M3582" s="380"/>
      <c r="N3582" s="380"/>
      <c r="O3582" s="12"/>
      <c r="P3582" s="381"/>
      <c r="Q3582" s="12"/>
      <c r="R3582" s="12"/>
      <c r="S3582" s="382"/>
      <c r="T3582" s="383"/>
      <c r="U3582" s="384"/>
      <c r="V3582" s="12"/>
      <c r="W3582" s="12"/>
    </row>
    <row r="3583" spans="1:23" x14ac:dyDescent="0.3">
      <c r="A3583" s="193"/>
      <c r="B3583" s="378"/>
      <c r="C3583" s="315"/>
      <c r="D3583" s="316"/>
      <c r="E3583" s="315"/>
      <c r="F3583" s="315"/>
      <c r="G3583" s="315"/>
      <c r="H3583" s="153"/>
      <c r="I3583" s="12"/>
      <c r="J3583" s="12"/>
      <c r="K3583" s="12"/>
      <c r="L3583" s="379"/>
      <c r="M3583" s="380"/>
      <c r="N3583" s="380"/>
      <c r="O3583" s="12"/>
      <c r="P3583" s="381"/>
      <c r="Q3583" s="12"/>
      <c r="R3583" s="12"/>
      <c r="S3583" s="382"/>
      <c r="T3583" s="383"/>
      <c r="U3583" s="384"/>
      <c r="V3583" s="12"/>
      <c r="W3583" s="12"/>
    </row>
    <row r="3584" spans="1:23" x14ac:dyDescent="0.3">
      <c r="A3584" s="193"/>
      <c r="B3584" s="378"/>
      <c r="C3584" s="315"/>
      <c r="D3584" s="316"/>
      <c r="E3584" s="315"/>
      <c r="F3584" s="315"/>
      <c r="G3584" s="315"/>
      <c r="H3584" s="153"/>
      <c r="I3584" s="12"/>
      <c r="J3584" s="12"/>
      <c r="K3584" s="12"/>
      <c r="L3584" s="379"/>
      <c r="M3584" s="380"/>
      <c r="N3584" s="380"/>
      <c r="O3584" s="12"/>
      <c r="P3584" s="381"/>
      <c r="Q3584" s="12"/>
      <c r="R3584" s="12"/>
      <c r="S3584" s="382"/>
      <c r="T3584" s="383"/>
      <c r="U3584" s="384"/>
      <c r="V3584" s="12"/>
      <c r="W3584" s="12"/>
    </row>
    <row r="3585" spans="1:23" x14ac:dyDescent="0.3">
      <c r="A3585" s="193"/>
      <c r="B3585" s="378"/>
      <c r="C3585" s="315"/>
      <c r="D3585" s="316"/>
      <c r="E3585" s="315"/>
      <c r="F3585" s="315"/>
      <c r="G3585" s="315"/>
      <c r="H3585" s="153"/>
      <c r="I3585" s="12"/>
      <c r="J3585" s="12"/>
      <c r="K3585" s="12"/>
      <c r="L3585" s="379"/>
      <c r="M3585" s="380"/>
      <c r="N3585" s="380"/>
      <c r="O3585" s="12"/>
      <c r="P3585" s="381"/>
      <c r="Q3585" s="12"/>
      <c r="R3585" s="12"/>
      <c r="S3585" s="382"/>
      <c r="T3585" s="383"/>
      <c r="U3585" s="384"/>
      <c r="V3585" s="12"/>
      <c r="W3585" s="12"/>
    </row>
    <row r="3586" spans="1:23" x14ac:dyDescent="0.3">
      <c r="A3586" s="193"/>
      <c r="B3586" s="378"/>
      <c r="C3586" s="315"/>
      <c r="D3586" s="316"/>
      <c r="E3586" s="315"/>
      <c r="F3586" s="315"/>
      <c r="G3586" s="315"/>
      <c r="H3586" s="153"/>
      <c r="I3586" s="12"/>
      <c r="J3586" s="12"/>
      <c r="K3586" s="12"/>
      <c r="L3586" s="379"/>
      <c r="M3586" s="380"/>
      <c r="N3586" s="380"/>
      <c r="O3586" s="12"/>
      <c r="P3586" s="381"/>
      <c r="Q3586" s="12"/>
      <c r="R3586" s="12"/>
      <c r="S3586" s="382"/>
      <c r="T3586" s="383"/>
      <c r="U3586" s="384"/>
      <c r="V3586" s="12"/>
      <c r="W3586" s="12"/>
    </row>
    <row r="3587" spans="1:23" x14ac:dyDescent="0.3">
      <c r="A3587" s="193"/>
      <c r="B3587" s="378"/>
      <c r="C3587" s="315"/>
      <c r="D3587" s="316"/>
      <c r="E3587" s="315"/>
      <c r="F3587" s="315"/>
      <c r="G3587" s="315"/>
      <c r="H3587" s="153"/>
      <c r="I3587" s="12"/>
      <c r="J3587" s="12"/>
      <c r="K3587" s="12"/>
      <c r="L3587" s="379"/>
      <c r="M3587" s="380"/>
      <c r="N3587" s="380"/>
      <c r="O3587" s="12"/>
      <c r="P3587" s="381"/>
      <c r="Q3587" s="12"/>
      <c r="R3587" s="12"/>
      <c r="S3587" s="382"/>
      <c r="T3587" s="383"/>
      <c r="U3587" s="384"/>
      <c r="V3587" s="12"/>
      <c r="W3587" s="12"/>
    </row>
    <row r="3588" spans="1:23" x14ac:dyDescent="0.3">
      <c r="A3588" s="193"/>
      <c r="B3588" s="378"/>
      <c r="C3588" s="315"/>
      <c r="D3588" s="316"/>
      <c r="E3588" s="315"/>
      <c r="F3588" s="315"/>
      <c r="G3588" s="315"/>
      <c r="H3588" s="153"/>
      <c r="I3588" s="12"/>
      <c r="J3588" s="12"/>
      <c r="K3588" s="12"/>
      <c r="L3588" s="379"/>
      <c r="M3588" s="380"/>
      <c r="N3588" s="380"/>
      <c r="O3588" s="12"/>
      <c r="P3588" s="381"/>
      <c r="Q3588" s="12"/>
      <c r="R3588" s="12"/>
      <c r="S3588" s="382"/>
      <c r="T3588" s="383"/>
      <c r="U3588" s="384"/>
      <c r="V3588" s="12"/>
      <c r="W3588" s="12"/>
    </row>
    <row r="3589" spans="1:23" x14ac:dyDescent="0.3">
      <c r="A3589" s="193"/>
      <c r="B3589" s="378"/>
      <c r="C3589" s="315"/>
      <c r="D3589" s="316"/>
      <c r="E3589" s="315"/>
      <c r="F3589" s="315"/>
      <c r="G3589" s="315"/>
      <c r="H3589" s="153"/>
      <c r="I3589" s="12"/>
      <c r="J3589" s="12"/>
      <c r="K3589" s="12"/>
      <c r="L3589" s="379"/>
      <c r="M3589" s="380"/>
      <c r="N3589" s="380"/>
      <c r="O3589" s="12"/>
      <c r="P3589" s="381"/>
      <c r="Q3589" s="12"/>
      <c r="R3589" s="12"/>
      <c r="S3589" s="382"/>
      <c r="T3589" s="383"/>
      <c r="U3589" s="384"/>
      <c r="V3589" s="12"/>
      <c r="W3589" s="12"/>
    </row>
    <row r="3590" spans="1:23" x14ac:dyDescent="0.3">
      <c r="A3590" s="193"/>
      <c r="B3590" s="378"/>
      <c r="C3590" s="315"/>
      <c r="D3590" s="316"/>
      <c r="E3590" s="315"/>
      <c r="F3590" s="315"/>
      <c r="G3590" s="315"/>
      <c r="H3590" s="153"/>
      <c r="I3590" s="12"/>
      <c r="J3590" s="12"/>
      <c r="K3590" s="12"/>
      <c r="L3590" s="379"/>
      <c r="M3590" s="380"/>
      <c r="N3590" s="380"/>
      <c r="O3590" s="12"/>
      <c r="P3590" s="381"/>
      <c r="Q3590" s="12"/>
      <c r="R3590" s="12"/>
      <c r="S3590" s="382"/>
      <c r="T3590" s="383"/>
      <c r="U3590" s="384"/>
      <c r="V3590" s="12"/>
      <c r="W3590" s="12"/>
    </row>
    <row r="3591" spans="1:23" x14ac:dyDescent="0.3">
      <c r="A3591" s="193"/>
      <c r="B3591" s="378"/>
      <c r="C3591" s="315"/>
      <c r="D3591" s="316"/>
      <c r="E3591" s="315"/>
      <c r="F3591" s="315"/>
      <c r="G3591" s="315"/>
      <c r="H3591" s="153"/>
      <c r="I3591" s="12"/>
      <c r="J3591" s="12"/>
      <c r="K3591" s="12"/>
      <c r="L3591" s="379"/>
      <c r="M3591" s="380"/>
      <c r="N3591" s="380"/>
      <c r="O3591" s="12"/>
      <c r="P3591" s="381"/>
      <c r="Q3591" s="12"/>
      <c r="R3591" s="12"/>
      <c r="S3591" s="382"/>
      <c r="T3591" s="383"/>
      <c r="U3591" s="384"/>
      <c r="V3591" s="12"/>
      <c r="W3591" s="12"/>
    </row>
    <row r="3592" spans="1:23" x14ac:dyDescent="0.3">
      <c r="A3592" s="193"/>
      <c r="B3592" s="378"/>
      <c r="C3592" s="315"/>
      <c r="D3592" s="316"/>
      <c r="E3592" s="315"/>
      <c r="F3592" s="315"/>
      <c r="G3592" s="315"/>
      <c r="H3592" s="153"/>
      <c r="I3592" s="12"/>
      <c r="J3592" s="12"/>
      <c r="K3592" s="12"/>
      <c r="L3592" s="379"/>
      <c r="M3592" s="380"/>
      <c r="N3592" s="380"/>
      <c r="O3592" s="12"/>
      <c r="P3592" s="381"/>
      <c r="Q3592" s="12"/>
      <c r="R3592" s="12"/>
      <c r="S3592" s="382"/>
      <c r="T3592" s="383"/>
      <c r="U3592" s="384"/>
      <c r="V3592" s="12"/>
      <c r="W3592" s="12"/>
    </row>
    <row r="3593" spans="1:23" x14ac:dyDescent="0.3">
      <c r="A3593" s="193"/>
      <c r="B3593" s="378"/>
      <c r="C3593" s="315"/>
      <c r="D3593" s="316"/>
      <c r="E3593" s="315"/>
      <c r="F3593" s="315"/>
      <c r="G3593" s="315"/>
      <c r="H3593" s="153"/>
      <c r="I3593" s="12"/>
      <c r="J3593" s="12"/>
      <c r="K3593" s="12"/>
      <c r="L3593" s="379"/>
      <c r="M3593" s="380"/>
      <c r="N3593" s="380"/>
      <c r="O3593" s="12"/>
      <c r="P3593" s="381"/>
      <c r="Q3593" s="12"/>
      <c r="R3593" s="12"/>
      <c r="S3593" s="382"/>
      <c r="T3593" s="383"/>
      <c r="U3593" s="384"/>
      <c r="V3593" s="12"/>
      <c r="W3593" s="12"/>
    </row>
    <row r="3594" spans="1:23" x14ac:dyDescent="0.3">
      <c r="A3594" s="193"/>
      <c r="B3594" s="378"/>
      <c r="C3594" s="315"/>
      <c r="D3594" s="316"/>
      <c r="E3594" s="315"/>
      <c r="F3594" s="315"/>
      <c r="G3594" s="315"/>
      <c r="H3594" s="153"/>
      <c r="I3594" s="12"/>
      <c r="J3594" s="12"/>
      <c r="K3594" s="12"/>
      <c r="L3594" s="379"/>
      <c r="M3594" s="380"/>
      <c r="N3594" s="380"/>
      <c r="O3594" s="12"/>
      <c r="P3594" s="381"/>
      <c r="Q3594" s="12"/>
      <c r="R3594" s="12"/>
      <c r="S3594" s="382"/>
      <c r="T3594" s="383"/>
      <c r="U3594" s="384"/>
      <c r="V3594" s="12"/>
      <c r="W3594" s="12"/>
    </row>
    <row r="3595" spans="1:23" x14ac:dyDescent="0.3">
      <c r="A3595" s="193"/>
      <c r="B3595" s="378"/>
      <c r="C3595" s="315"/>
      <c r="D3595" s="316"/>
      <c r="E3595" s="315"/>
      <c r="F3595" s="315"/>
      <c r="G3595" s="315"/>
      <c r="H3595" s="153"/>
      <c r="I3595" s="12"/>
      <c r="J3595" s="12"/>
      <c r="K3595" s="12"/>
      <c r="L3595" s="379"/>
      <c r="M3595" s="380"/>
      <c r="N3595" s="380"/>
      <c r="O3595" s="12"/>
      <c r="P3595" s="381"/>
      <c r="Q3595" s="12"/>
      <c r="R3595" s="12"/>
      <c r="S3595" s="382"/>
      <c r="T3595" s="383"/>
      <c r="U3595" s="384"/>
      <c r="V3595" s="12"/>
      <c r="W3595" s="12"/>
    </row>
    <row r="3596" spans="1:23" x14ac:dyDescent="0.3">
      <c r="A3596" s="193"/>
      <c r="B3596" s="378"/>
      <c r="C3596" s="315"/>
      <c r="D3596" s="316"/>
      <c r="E3596" s="315"/>
      <c r="F3596" s="315"/>
      <c r="G3596" s="315"/>
      <c r="H3596" s="153"/>
      <c r="I3596" s="12"/>
      <c r="J3596" s="12"/>
      <c r="K3596" s="12"/>
      <c r="L3596" s="379"/>
      <c r="M3596" s="380"/>
      <c r="N3596" s="380"/>
      <c r="O3596" s="12"/>
      <c r="P3596" s="381"/>
      <c r="Q3596" s="12"/>
      <c r="R3596" s="12"/>
      <c r="S3596" s="382"/>
      <c r="T3596" s="383"/>
      <c r="U3596" s="384"/>
      <c r="V3596" s="12"/>
      <c r="W3596" s="12"/>
    </row>
    <row r="3597" spans="1:23" x14ac:dyDescent="0.3">
      <c r="A3597" s="193"/>
      <c r="B3597" s="378"/>
      <c r="C3597" s="315"/>
      <c r="D3597" s="316"/>
      <c r="E3597" s="315"/>
      <c r="F3597" s="315"/>
      <c r="G3597" s="315"/>
      <c r="H3597" s="153"/>
      <c r="I3597" s="12"/>
      <c r="J3597" s="12"/>
      <c r="K3597" s="12"/>
      <c r="L3597" s="379"/>
      <c r="M3597" s="380"/>
      <c r="N3597" s="380"/>
      <c r="O3597" s="12"/>
      <c r="P3597" s="381"/>
      <c r="Q3597" s="12"/>
      <c r="R3597" s="12"/>
      <c r="S3597" s="382"/>
      <c r="T3597" s="383"/>
      <c r="U3597" s="384"/>
      <c r="V3597" s="12"/>
      <c r="W3597" s="12"/>
    </row>
    <row r="3598" spans="1:23" x14ac:dyDescent="0.3">
      <c r="A3598" s="193"/>
      <c r="B3598" s="378"/>
      <c r="C3598" s="315"/>
      <c r="D3598" s="316"/>
      <c r="E3598" s="315"/>
      <c r="F3598" s="315"/>
      <c r="G3598" s="315"/>
      <c r="H3598" s="153"/>
      <c r="I3598" s="12"/>
      <c r="J3598" s="12"/>
      <c r="K3598" s="12"/>
      <c r="L3598" s="379"/>
      <c r="M3598" s="380"/>
      <c r="N3598" s="380"/>
      <c r="O3598" s="12"/>
      <c r="P3598" s="381"/>
      <c r="Q3598" s="12"/>
      <c r="R3598" s="12"/>
      <c r="S3598" s="382"/>
      <c r="T3598" s="383"/>
      <c r="U3598" s="384"/>
      <c r="V3598" s="12"/>
      <c r="W3598" s="12"/>
    </row>
    <row r="3599" spans="1:23" x14ac:dyDescent="0.3">
      <c r="A3599" s="193"/>
      <c r="B3599" s="378"/>
      <c r="C3599" s="315"/>
      <c r="D3599" s="316"/>
      <c r="E3599" s="315"/>
      <c r="F3599" s="315"/>
      <c r="G3599" s="315"/>
      <c r="H3599" s="153"/>
      <c r="I3599" s="12"/>
      <c r="J3599" s="12"/>
      <c r="K3599" s="12"/>
      <c r="L3599" s="379"/>
      <c r="M3599" s="380"/>
      <c r="N3599" s="380"/>
      <c r="O3599" s="12"/>
      <c r="P3599" s="381"/>
      <c r="Q3599" s="12"/>
      <c r="R3599" s="12"/>
      <c r="S3599" s="382"/>
      <c r="T3599" s="383"/>
      <c r="U3599" s="384"/>
      <c r="V3599" s="12"/>
      <c r="W3599" s="12"/>
    </row>
    <row r="3600" spans="1:23" x14ac:dyDescent="0.3">
      <c r="A3600" s="193"/>
      <c r="B3600" s="378"/>
      <c r="C3600" s="315"/>
      <c r="D3600" s="316"/>
      <c r="E3600" s="315"/>
      <c r="F3600" s="315"/>
      <c r="G3600" s="315"/>
      <c r="H3600" s="153"/>
      <c r="I3600" s="12"/>
      <c r="J3600" s="12"/>
      <c r="K3600" s="12"/>
      <c r="L3600" s="379"/>
      <c r="M3600" s="380"/>
      <c r="N3600" s="380"/>
      <c r="O3600" s="12"/>
      <c r="P3600" s="381"/>
      <c r="Q3600" s="12"/>
      <c r="R3600" s="12"/>
      <c r="S3600" s="382"/>
      <c r="T3600" s="383"/>
      <c r="U3600" s="384"/>
      <c r="V3600" s="12"/>
      <c r="W3600" s="12"/>
    </row>
    <row r="3601" spans="1:23" x14ac:dyDescent="0.3">
      <c r="A3601" s="193"/>
      <c r="B3601" s="378"/>
      <c r="C3601" s="315"/>
      <c r="D3601" s="316"/>
      <c r="E3601" s="315"/>
      <c r="F3601" s="315"/>
      <c r="G3601" s="315"/>
      <c r="H3601" s="153"/>
      <c r="I3601" s="12"/>
      <c r="J3601" s="12"/>
      <c r="K3601" s="12"/>
      <c r="L3601" s="379"/>
      <c r="M3601" s="380"/>
      <c r="N3601" s="380"/>
      <c r="O3601" s="12"/>
      <c r="P3601" s="381"/>
      <c r="Q3601" s="12"/>
      <c r="R3601" s="12"/>
      <c r="S3601" s="382"/>
      <c r="T3601" s="383"/>
      <c r="U3601" s="384"/>
      <c r="V3601" s="12"/>
      <c r="W3601" s="12"/>
    </row>
    <row r="3602" spans="1:23" x14ac:dyDescent="0.3">
      <c r="A3602" s="193"/>
      <c r="B3602" s="378"/>
      <c r="C3602" s="315"/>
      <c r="D3602" s="316"/>
      <c r="E3602" s="315"/>
      <c r="F3602" s="315"/>
      <c r="G3602" s="315"/>
      <c r="H3602" s="153"/>
      <c r="I3602" s="12"/>
      <c r="J3602" s="12"/>
      <c r="K3602" s="12"/>
      <c r="L3602" s="379"/>
      <c r="M3602" s="380"/>
      <c r="N3602" s="380"/>
      <c r="O3602" s="12"/>
      <c r="P3602" s="381"/>
      <c r="Q3602" s="12"/>
      <c r="R3602" s="12"/>
      <c r="S3602" s="382"/>
      <c r="T3602" s="383"/>
      <c r="U3602" s="384"/>
      <c r="V3602" s="12"/>
      <c r="W3602" s="12"/>
    </row>
    <row r="3603" spans="1:23" x14ac:dyDescent="0.3">
      <c r="A3603" s="193"/>
      <c r="B3603" s="378"/>
      <c r="C3603" s="315"/>
      <c r="D3603" s="316"/>
      <c r="E3603" s="315"/>
      <c r="F3603" s="315"/>
      <c r="G3603" s="315"/>
      <c r="H3603" s="153"/>
      <c r="I3603" s="12"/>
      <c r="J3603" s="12"/>
      <c r="K3603" s="12"/>
      <c r="L3603" s="379"/>
      <c r="M3603" s="380"/>
      <c r="N3603" s="380"/>
      <c r="O3603" s="12"/>
      <c r="P3603" s="381"/>
      <c r="Q3603" s="12"/>
      <c r="R3603" s="12"/>
      <c r="S3603" s="382"/>
      <c r="T3603" s="383"/>
      <c r="U3603" s="384"/>
      <c r="V3603" s="12"/>
      <c r="W3603" s="12"/>
    </row>
    <row r="3604" spans="1:23" x14ac:dyDescent="0.3">
      <c r="A3604" s="193"/>
      <c r="B3604" s="378"/>
      <c r="C3604" s="315"/>
      <c r="D3604" s="316"/>
      <c r="E3604" s="315"/>
      <c r="F3604" s="315"/>
      <c r="G3604" s="315"/>
      <c r="H3604" s="153"/>
      <c r="I3604" s="12"/>
      <c r="J3604" s="12"/>
      <c r="K3604" s="12"/>
      <c r="L3604" s="379"/>
      <c r="M3604" s="380"/>
      <c r="N3604" s="380"/>
      <c r="O3604" s="12"/>
      <c r="P3604" s="381"/>
      <c r="Q3604" s="12"/>
      <c r="R3604" s="12"/>
      <c r="S3604" s="382"/>
      <c r="T3604" s="383"/>
      <c r="U3604" s="384"/>
      <c r="V3604" s="12"/>
      <c r="W3604" s="12"/>
    </row>
    <row r="3605" spans="1:23" x14ac:dyDescent="0.3">
      <c r="A3605" s="193"/>
      <c r="B3605" s="378"/>
      <c r="C3605" s="315"/>
      <c r="D3605" s="316"/>
      <c r="E3605" s="315"/>
      <c r="F3605" s="315"/>
      <c r="G3605" s="315"/>
      <c r="H3605" s="153"/>
      <c r="I3605" s="12"/>
      <c r="J3605" s="12"/>
      <c r="K3605" s="12"/>
      <c r="L3605" s="379"/>
      <c r="M3605" s="380"/>
      <c r="N3605" s="380"/>
      <c r="O3605" s="12"/>
      <c r="P3605" s="381"/>
      <c r="Q3605" s="12"/>
      <c r="R3605" s="12"/>
      <c r="S3605" s="382"/>
      <c r="T3605" s="383"/>
      <c r="U3605" s="384"/>
      <c r="V3605" s="12"/>
      <c r="W3605" s="12"/>
    </row>
    <row r="3606" spans="1:23" x14ac:dyDescent="0.3">
      <c r="A3606" s="193"/>
      <c r="B3606" s="378"/>
      <c r="C3606" s="315"/>
      <c r="D3606" s="316"/>
      <c r="E3606" s="315"/>
      <c r="F3606" s="315"/>
      <c r="G3606" s="315"/>
      <c r="H3606" s="153"/>
      <c r="I3606" s="12"/>
      <c r="J3606" s="12"/>
      <c r="K3606" s="12"/>
      <c r="L3606" s="379"/>
      <c r="M3606" s="380"/>
      <c r="N3606" s="380"/>
      <c r="O3606" s="12"/>
      <c r="P3606" s="381"/>
      <c r="Q3606" s="12"/>
      <c r="R3606" s="12"/>
      <c r="S3606" s="382"/>
      <c r="T3606" s="383"/>
      <c r="U3606" s="384"/>
      <c r="V3606" s="12"/>
      <c r="W3606" s="12"/>
    </row>
    <row r="3607" spans="1:23" x14ac:dyDescent="0.3">
      <c r="A3607" s="193"/>
      <c r="B3607" s="378"/>
      <c r="C3607" s="315"/>
      <c r="D3607" s="316"/>
      <c r="E3607" s="315"/>
      <c r="F3607" s="315"/>
      <c r="G3607" s="315"/>
      <c r="H3607" s="153"/>
      <c r="I3607" s="12"/>
      <c r="J3607" s="12"/>
      <c r="K3607" s="12"/>
      <c r="L3607" s="379"/>
      <c r="M3607" s="380"/>
      <c r="N3607" s="380"/>
      <c r="O3607" s="12"/>
      <c r="P3607" s="381"/>
      <c r="Q3607" s="12"/>
      <c r="R3607" s="12"/>
      <c r="S3607" s="382"/>
      <c r="T3607" s="383"/>
      <c r="U3607" s="384"/>
      <c r="V3607" s="12"/>
      <c r="W3607" s="12"/>
    </row>
    <row r="3608" spans="1:23" x14ac:dyDescent="0.3">
      <c r="A3608" s="193"/>
      <c r="B3608" s="378"/>
      <c r="C3608" s="315"/>
      <c r="D3608" s="316"/>
      <c r="E3608" s="315"/>
      <c r="F3608" s="315"/>
      <c r="G3608" s="315"/>
      <c r="H3608" s="153"/>
      <c r="I3608" s="12"/>
      <c r="J3608" s="12"/>
      <c r="K3608" s="12"/>
      <c r="L3608" s="379"/>
      <c r="M3608" s="380"/>
      <c r="N3608" s="380"/>
      <c r="O3608" s="12"/>
      <c r="P3608" s="381"/>
      <c r="Q3608" s="12"/>
      <c r="R3608" s="12"/>
      <c r="S3608" s="382"/>
      <c r="T3608" s="383"/>
      <c r="U3608" s="384"/>
      <c r="V3608" s="12"/>
      <c r="W3608" s="12"/>
    </row>
    <row r="3609" spans="1:23" x14ac:dyDescent="0.3">
      <c r="A3609" s="193"/>
      <c r="B3609" s="378"/>
      <c r="C3609" s="315"/>
      <c r="D3609" s="316"/>
      <c r="E3609" s="315"/>
      <c r="F3609" s="315"/>
      <c r="G3609" s="315"/>
      <c r="H3609" s="153"/>
      <c r="I3609" s="12"/>
      <c r="J3609" s="12"/>
      <c r="K3609" s="12"/>
      <c r="L3609" s="379"/>
      <c r="M3609" s="380"/>
      <c r="N3609" s="380"/>
      <c r="O3609" s="12"/>
      <c r="P3609" s="381"/>
      <c r="Q3609" s="12"/>
      <c r="R3609" s="12"/>
      <c r="S3609" s="382"/>
      <c r="T3609" s="383"/>
      <c r="U3609" s="384"/>
      <c r="V3609" s="12"/>
      <c r="W3609" s="12"/>
    </row>
    <row r="3610" spans="1:23" x14ac:dyDescent="0.3">
      <c r="A3610" s="193"/>
      <c r="B3610" s="378"/>
      <c r="C3610" s="315"/>
      <c r="D3610" s="316"/>
      <c r="E3610" s="315"/>
      <c r="F3610" s="315"/>
      <c r="G3610" s="315"/>
      <c r="H3610" s="153"/>
      <c r="I3610" s="12"/>
      <c r="J3610" s="12"/>
      <c r="K3610" s="12"/>
      <c r="L3610" s="379"/>
      <c r="M3610" s="380"/>
      <c r="N3610" s="380"/>
      <c r="O3610" s="12"/>
      <c r="P3610" s="381"/>
      <c r="Q3610" s="12"/>
      <c r="R3610" s="12"/>
      <c r="S3610" s="382"/>
      <c r="T3610" s="383"/>
      <c r="U3610" s="384"/>
      <c r="V3610" s="12"/>
      <c r="W3610" s="12"/>
    </row>
    <row r="3611" spans="1:23" x14ac:dyDescent="0.3">
      <c r="A3611" s="193"/>
      <c r="B3611" s="378"/>
      <c r="C3611" s="315"/>
      <c r="D3611" s="316"/>
      <c r="E3611" s="315"/>
      <c r="F3611" s="315"/>
      <c r="G3611" s="315"/>
      <c r="H3611" s="153"/>
      <c r="I3611" s="12"/>
      <c r="J3611" s="12"/>
      <c r="K3611" s="12"/>
      <c r="L3611" s="379"/>
      <c r="M3611" s="380"/>
      <c r="N3611" s="380"/>
      <c r="O3611" s="12"/>
      <c r="P3611" s="381"/>
      <c r="Q3611" s="12"/>
      <c r="R3611" s="12"/>
      <c r="S3611" s="382"/>
      <c r="T3611" s="383"/>
      <c r="U3611" s="384"/>
      <c r="V3611" s="12"/>
      <c r="W3611" s="12"/>
    </row>
    <row r="3612" spans="1:23" x14ac:dyDescent="0.3">
      <c r="A3612" s="193"/>
      <c r="B3612" s="378"/>
      <c r="C3612" s="315"/>
      <c r="D3612" s="316"/>
      <c r="E3612" s="315"/>
      <c r="F3612" s="315"/>
      <c r="G3612" s="315"/>
      <c r="H3612" s="153"/>
      <c r="I3612" s="12"/>
      <c r="J3612" s="12"/>
      <c r="K3612" s="12"/>
      <c r="L3612" s="379"/>
      <c r="M3612" s="380"/>
      <c r="N3612" s="380"/>
      <c r="O3612" s="12"/>
      <c r="P3612" s="381"/>
      <c r="Q3612" s="12"/>
      <c r="R3612" s="12"/>
      <c r="S3612" s="382"/>
      <c r="T3612" s="383"/>
      <c r="U3612" s="384"/>
      <c r="V3612" s="12"/>
      <c r="W3612" s="12"/>
    </row>
    <row r="3613" spans="1:23" x14ac:dyDescent="0.3">
      <c r="A3613" s="193"/>
      <c r="B3613" s="378"/>
      <c r="C3613" s="315"/>
      <c r="D3613" s="316"/>
      <c r="E3613" s="315"/>
      <c r="F3613" s="315"/>
      <c r="G3613" s="315"/>
      <c r="H3613" s="153"/>
      <c r="I3613" s="12"/>
      <c r="J3613" s="12"/>
      <c r="K3613" s="12"/>
      <c r="L3613" s="379"/>
      <c r="M3613" s="380"/>
      <c r="N3613" s="380"/>
      <c r="O3613" s="12"/>
      <c r="P3613" s="381"/>
      <c r="Q3613" s="12"/>
      <c r="R3613" s="12"/>
      <c r="S3613" s="382"/>
      <c r="T3613" s="383"/>
      <c r="U3613" s="384"/>
      <c r="V3613" s="12"/>
      <c r="W3613" s="12"/>
    </row>
    <row r="3614" spans="1:23" x14ac:dyDescent="0.3">
      <c r="A3614" s="193"/>
      <c r="B3614" s="378"/>
      <c r="C3614" s="315"/>
      <c r="D3614" s="316"/>
      <c r="E3614" s="315"/>
      <c r="F3614" s="315"/>
      <c r="G3614" s="315"/>
      <c r="H3614" s="153"/>
      <c r="I3614" s="12"/>
      <c r="J3614" s="12"/>
      <c r="K3614" s="12"/>
      <c r="L3614" s="379"/>
      <c r="M3614" s="380"/>
      <c r="N3614" s="380"/>
      <c r="O3614" s="12"/>
      <c r="P3614" s="381"/>
      <c r="Q3614" s="12"/>
      <c r="R3614" s="12"/>
      <c r="S3614" s="382"/>
      <c r="T3614" s="383"/>
      <c r="U3614" s="384"/>
      <c r="V3614" s="12"/>
      <c r="W3614" s="12"/>
    </row>
    <row r="3615" spans="1:23" x14ac:dyDescent="0.3">
      <c r="A3615" s="193"/>
      <c r="B3615" s="378"/>
      <c r="C3615" s="315"/>
      <c r="D3615" s="316"/>
      <c r="E3615" s="315"/>
      <c r="F3615" s="315"/>
      <c r="G3615" s="315"/>
      <c r="H3615" s="153"/>
      <c r="I3615" s="12"/>
      <c r="J3615" s="12"/>
      <c r="K3615" s="12"/>
      <c r="L3615" s="379"/>
      <c r="M3615" s="380"/>
      <c r="N3615" s="380"/>
      <c r="O3615" s="12"/>
      <c r="P3615" s="381"/>
      <c r="Q3615" s="12"/>
      <c r="R3615" s="12"/>
      <c r="S3615" s="382"/>
      <c r="T3615" s="383"/>
      <c r="U3615" s="384"/>
      <c r="V3615" s="12"/>
      <c r="W3615" s="12"/>
    </row>
    <row r="3616" spans="1:23" x14ac:dyDescent="0.3">
      <c r="A3616" s="193"/>
      <c r="B3616" s="378"/>
      <c r="C3616" s="315"/>
      <c r="D3616" s="316"/>
      <c r="E3616" s="315"/>
      <c r="F3616" s="315"/>
      <c r="G3616" s="315"/>
      <c r="H3616" s="153"/>
      <c r="I3616" s="12"/>
      <c r="J3616" s="12"/>
      <c r="K3616" s="12"/>
      <c r="L3616" s="379"/>
      <c r="M3616" s="380"/>
      <c r="N3616" s="380"/>
      <c r="O3616" s="12"/>
      <c r="P3616" s="381"/>
      <c r="Q3616" s="12"/>
      <c r="R3616" s="12"/>
      <c r="S3616" s="382"/>
      <c r="T3616" s="383"/>
      <c r="U3616" s="384"/>
      <c r="V3616" s="12"/>
      <c r="W3616" s="12"/>
    </row>
    <row r="3617" spans="1:23" x14ac:dyDescent="0.3">
      <c r="A3617" s="193"/>
      <c r="B3617" s="378"/>
      <c r="C3617" s="315"/>
      <c r="D3617" s="316"/>
      <c r="E3617" s="315"/>
      <c r="F3617" s="315"/>
      <c r="G3617" s="315"/>
      <c r="H3617" s="153"/>
      <c r="I3617" s="12"/>
      <c r="J3617" s="12"/>
      <c r="K3617" s="12"/>
      <c r="L3617" s="379"/>
      <c r="M3617" s="380"/>
      <c r="N3617" s="380"/>
      <c r="O3617" s="12"/>
      <c r="P3617" s="381"/>
      <c r="Q3617" s="12"/>
      <c r="R3617" s="12"/>
      <c r="S3617" s="382"/>
      <c r="T3617" s="383"/>
      <c r="U3617" s="384"/>
      <c r="V3617" s="12"/>
      <c r="W3617" s="12"/>
    </row>
    <row r="3618" spans="1:23" x14ac:dyDescent="0.3">
      <c r="A3618" s="193"/>
      <c r="B3618" s="378"/>
      <c r="C3618" s="315"/>
      <c r="D3618" s="316"/>
      <c r="E3618" s="315"/>
      <c r="F3618" s="315"/>
      <c r="G3618" s="315"/>
      <c r="H3618" s="153"/>
      <c r="I3618" s="12"/>
      <c r="J3618" s="12"/>
      <c r="K3618" s="12"/>
      <c r="L3618" s="379"/>
      <c r="M3618" s="380"/>
      <c r="N3618" s="380"/>
      <c r="O3618" s="12"/>
      <c r="P3618" s="381"/>
      <c r="Q3618" s="12"/>
      <c r="R3618" s="12"/>
      <c r="S3618" s="382"/>
      <c r="T3618" s="383"/>
      <c r="U3618" s="384"/>
      <c r="V3618" s="12"/>
      <c r="W3618" s="12"/>
    </row>
    <row r="3619" spans="1:23" x14ac:dyDescent="0.3">
      <c r="A3619" s="193"/>
      <c r="B3619" s="378"/>
      <c r="C3619" s="315"/>
      <c r="D3619" s="316"/>
      <c r="E3619" s="315"/>
      <c r="F3619" s="315"/>
      <c r="G3619" s="315"/>
      <c r="H3619" s="153"/>
      <c r="I3619" s="12"/>
      <c r="J3619" s="12"/>
      <c r="K3619" s="12"/>
      <c r="L3619" s="379"/>
      <c r="M3619" s="380"/>
      <c r="N3619" s="380"/>
      <c r="O3619" s="12"/>
      <c r="P3619" s="381"/>
      <c r="Q3619" s="12"/>
      <c r="R3619" s="12"/>
      <c r="S3619" s="382"/>
      <c r="T3619" s="383"/>
      <c r="U3619" s="384"/>
      <c r="V3619" s="12"/>
      <c r="W3619" s="12"/>
    </row>
    <row r="3620" spans="1:23" x14ac:dyDescent="0.3">
      <c r="A3620" s="193"/>
      <c r="B3620" s="378"/>
      <c r="C3620" s="315"/>
      <c r="D3620" s="316"/>
      <c r="E3620" s="315"/>
      <c r="F3620" s="315"/>
      <c r="G3620" s="315"/>
      <c r="H3620" s="153"/>
      <c r="I3620" s="12"/>
      <c r="J3620" s="12"/>
      <c r="K3620" s="12"/>
      <c r="L3620" s="379"/>
      <c r="M3620" s="380"/>
      <c r="N3620" s="380"/>
      <c r="O3620" s="12"/>
      <c r="P3620" s="381"/>
      <c r="Q3620" s="12"/>
      <c r="R3620" s="12"/>
      <c r="S3620" s="382"/>
      <c r="T3620" s="383"/>
      <c r="U3620" s="384"/>
      <c r="V3620" s="12"/>
      <c r="W3620" s="12"/>
    </row>
    <row r="3621" spans="1:23" x14ac:dyDescent="0.3">
      <c r="A3621" s="193"/>
      <c r="B3621" s="378"/>
      <c r="C3621" s="315"/>
      <c r="D3621" s="316"/>
      <c r="E3621" s="315"/>
      <c r="F3621" s="315"/>
      <c r="G3621" s="315"/>
      <c r="H3621" s="153"/>
      <c r="I3621" s="12"/>
      <c r="J3621" s="12"/>
      <c r="K3621" s="12"/>
      <c r="L3621" s="379"/>
      <c r="M3621" s="380"/>
      <c r="N3621" s="380"/>
      <c r="O3621" s="12"/>
      <c r="P3621" s="381"/>
      <c r="Q3621" s="12"/>
      <c r="R3621" s="12"/>
      <c r="S3621" s="382"/>
      <c r="T3621" s="383"/>
      <c r="U3621" s="384"/>
      <c r="V3621" s="12"/>
      <c r="W3621" s="12"/>
    </row>
    <row r="3622" spans="1:23" x14ac:dyDescent="0.3">
      <c r="A3622" s="193"/>
      <c r="B3622" s="378"/>
      <c r="C3622" s="315"/>
      <c r="D3622" s="316"/>
      <c r="E3622" s="315"/>
      <c r="F3622" s="315"/>
      <c r="G3622" s="315"/>
      <c r="H3622" s="153"/>
      <c r="I3622" s="12"/>
      <c r="J3622" s="12"/>
      <c r="K3622" s="12"/>
      <c r="L3622" s="379"/>
      <c r="M3622" s="380"/>
      <c r="N3622" s="380"/>
      <c r="O3622" s="12"/>
      <c r="P3622" s="381"/>
      <c r="Q3622" s="12"/>
      <c r="R3622" s="12"/>
      <c r="S3622" s="382"/>
      <c r="T3622" s="383"/>
      <c r="U3622" s="384"/>
      <c r="V3622" s="12"/>
      <c r="W3622" s="12"/>
    </row>
    <row r="3623" spans="1:23" x14ac:dyDescent="0.3">
      <c r="A3623" s="193"/>
      <c r="B3623" s="378"/>
      <c r="C3623" s="315"/>
      <c r="D3623" s="316"/>
      <c r="E3623" s="315"/>
      <c r="F3623" s="315"/>
      <c r="G3623" s="315"/>
      <c r="H3623" s="153"/>
      <c r="I3623" s="12"/>
      <c r="J3623" s="12"/>
      <c r="K3623" s="12"/>
      <c r="L3623" s="379"/>
      <c r="M3623" s="380"/>
      <c r="N3623" s="380"/>
      <c r="O3623" s="12"/>
      <c r="P3623" s="381"/>
      <c r="Q3623" s="12"/>
      <c r="R3623" s="12"/>
      <c r="S3623" s="382"/>
      <c r="T3623" s="383"/>
      <c r="U3623" s="384"/>
      <c r="V3623" s="12"/>
      <c r="W3623" s="12"/>
    </row>
    <row r="3624" spans="1:23" x14ac:dyDescent="0.3">
      <c r="A3624" s="193"/>
      <c r="B3624" s="378"/>
      <c r="C3624" s="315"/>
      <c r="D3624" s="316"/>
      <c r="E3624" s="315"/>
      <c r="F3624" s="315"/>
      <c r="G3624" s="315"/>
      <c r="H3624" s="153"/>
      <c r="I3624" s="12"/>
      <c r="J3624" s="12"/>
      <c r="K3624" s="12"/>
      <c r="L3624" s="379"/>
      <c r="M3624" s="380"/>
      <c r="N3624" s="380"/>
      <c r="O3624" s="12"/>
      <c r="P3624" s="381"/>
      <c r="Q3624" s="12"/>
      <c r="R3624" s="12"/>
      <c r="S3624" s="382"/>
      <c r="T3624" s="383"/>
      <c r="U3624" s="384"/>
      <c r="V3624" s="12"/>
      <c r="W3624" s="12"/>
    </row>
    <row r="3625" spans="1:23" x14ac:dyDescent="0.3">
      <c r="A3625" s="193"/>
      <c r="B3625" s="378"/>
      <c r="C3625" s="315"/>
      <c r="D3625" s="316"/>
      <c r="E3625" s="315"/>
      <c r="F3625" s="315"/>
      <c r="G3625" s="315"/>
      <c r="H3625" s="153"/>
      <c r="I3625" s="12"/>
      <c r="J3625" s="12"/>
      <c r="K3625" s="12"/>
      <c r="L3625" s="379"/>
      <c r="M3625" s="380"/>
      <c r="N3625" s="380"/>
      <c r="O3625" s="12"/>
      <c r="P3625" s="381"/>
      <c r="Q3625" s="12"/>
      <c r="R3625" s="12"/>
      <c r="S3625" s="382"/>
      <c r="T3625" s="383"/>
      <c r="U3625" s="384"/>
      <c r="V3625" s="12"/>
      <c r="W3625" s="12"/>
    </row>
    <row r="3626" spans="1:23" x14ac:dyDescent="0.3">
      <c r="A3626" s="193"/>
      <c r="B3626" s="378"/>
      <c r="C3626" s="315"/>
      <c r="D3626" s="316"/>
      <c r="E3626" s="315"/>
      <c r="F3626" s="315"/>
      <c r="G3626" s="315"/>
      <c r="H3626" s="153"/>
      <c r="I3626" s="12"/>
      <c r="J3626" s="12"/>
      <c r="K3626" s="12"/>
      <c r="L3626" s="379"/>
      <c r="M3626" s="380"/>
      <c r="N3626" s="380"/>
      <c r="O3626" s="12"/>
      <c r="P3626" s="381"/>
      <c r="Q3626" s="12"/>
      <c r="R3626" s="12"/>
      <c r="S3626" s="382"/>
      <c r="T3626" s="383"/>
      <c r="U3626" s="384"/>
      <c r="V3626" s="12"/>
      <c r="W3626" s="12"/>
    </row>
    <row r="3627" spans="1:23" x14ac:dyDescent="0.3">
      <c r="A3627" s="193"/>
      <c r="B3627" s="378"/>
      <c r="C3627" s="315"/>
      <c r="D3627" s="316"/>
      <c r="E3627" s="315"/>
      <c r="F3627" s="315"/>
      <c r="G3627" s="315"/>
      <c r="H3627" s="153"/>
      <c r="I3627" s="12"/>
      <c r="J3627" s="12"/>
      <c r="K3627" s="12"/>
      <c r="L3627" s="379"/>
      <c r="M3627" s="380"/>
      <c r="N3627" s="380"/>
      <c r="O3627" s="12"/>
      <c r="P3627" s="381"/>
      <c r="Q3627" s="12"/>
      <c r="R3627" s="12"/>
      <c r="S3627" s="382"/>
      <c r="T3627" s="383"/>
      <c r="U3627" s="384"/>
      <c r="V3627" s="12"/>
      <c r="W3627" s="12"/>
    </row>
    <row r="3628" spans="1:23" x14ac:dyDescent="0.3">
      <c r="A3628" s="193"/>
      <c r="B3628" s="378"/>
      <c r="C3628" s="315"/>
      <c r="D3628" s="316"/>
      <c r="E3628" s="315"/>
      <c r="F3628" s="315"/>
      <c r="G3628" s="315"/>
      <c r="H3628" s="153"/>
      <c r="I3628" s="12"/>
      <c r="J3628" s="12"/>
      <c r="K3628" s="12"/>
      <c r="L3628" s="379"/>
      <c r="M3628" s="380"/>
      <c r="N3628" s="380"/>
      <c r="O3628" s="12"/>
      <c r="P3628" s="381"/>
      <c r="Q3628" s="12"/>
      <c r="R3628" s="12"/>
      <c r="S3628" s="382"/>
      <c r="T3628" s="383"/>
      <c r="U3628" s="384"/>
      <c r="V3628" s="12"/>
      <c r="W3628" s="12"/>
    </row>
    <row r="3629" spans="1:23" x14ac:dyDescent="0.3">
      <c r="A3629" s="193"/>
      <c r="B3629" s="378"/>
      <c r="C3629" s="315"/>
      <c r="D3629" s="316"/>
      <c r="E3629" s="315"/>
      <c r="F3629" s="315"/>
      <c r="G3629" s="315"/>
      <c r="H3629" s="153"/>
      <c r="I3629" s="12"/>
      <c r="J3629" s="12"/>
      <c r="K3629" s="12"/>
      <c r="L3629" s="379"/>
      <c r="M3629" s="380"/>
      <c r="N3629" s="380"/>
      <c r="O3629" s="12"/>
      <c r="P3629" s="381"/>
      <c r="Q3629" s="12"/>
      <c r="R3629" s="12"/>
      <c r="S3629" s="382"/>
      <c r="T3629" s="383"/>
      <c r="U3629" s="384"/>
      <c r="V3629" s="12"/>
      <c r="W3629" s="12"/>
    </row>
    <row r="3630" spans="1:23" x14ac:dyDescent="0.3">
      <c r="A3630" s="193"/>
      <c r="B3630" s="378"/>
      <c r="C3630" s="315"/>
      <c r="D3630" s="316"/>
      <c r="E3630" s="315"/>
      <c r="F3630" s="315"/>
      <c r="G3630" s="315"/>
      <c r="H3630" s="153"/>
      <c r="I3630" s="12"/>
      <c r="J3630" s="12"/>
      <c r="K3630" s="12"/>
      <c r="L3630" s="379"/>
      <c r="M3630" s="380"/>
      <c r="N3630" s="380"/>
      <c r="O3630" s="12"/>
      <c r="P3630" s="381"/>
      <c r="Q3630" s="12"/>
      <c r="R3630" s="12"/>
      <c r="S3630" s="382"/>
      <c r="T3630" s="383"/>
      <c r="U3630" s="384"/>
      <c r="V3630" s="12"/>
      <c r="W3630" s="12"/>
    </row>
    <row r="3631" spans="1:23" x14ac:dyDescent="0.3">
      <c r="A3631" s="193"/>
      <c r="B3631" s="378"/>
      <c r="C3631" s="315"/>
      <c r="D3631" s="316"/>
      <c r="E3631" s="315"/>
      <c r="F3631" s="315"/>
      <c r="G3631" s="315"/>
      <c r="H3631" s="153"/>
      <c r="I3631" s="12"/>
      <c r="J3631" s="12"/>
      <c r="K3631" s="12"/>
      <c r="L3631" s="379"/>
      <c r="M3631" s="380"/>
      <c r="N3631" s="380"/>
      <c r="O3631" s="12"/>
      <c r="P3631" s="381"/>
      <c r="Q3631" s="12"/>
      <c r="R3631" s="12"/>
      <c r="S3631" s="382"/>
      <c r="T3631" s="383"/>
      <c r="U3631" s="384"/>
      <c r="V3631" s="12"/>
      <c r="W3631" s="12"/>
    </row>
    <row r="3632" spans="1:23" x14ac:dyDescent="0.3">
      <c r="A3632" s="193"/>
      <c r="B3632" s="378"/>
      <c r="C3632" s="315"/>
      <c r="D3632" s="316"/>
      <c r="E3632" s="315"/>
      <c r="F3632" s="315"/>
      <c r="G3632" s="315"/>
      <c r="H3632" s="153"/>
      <c r="I3632" s="12"/>
      <c r="J3632" s="12"/>
      <c r="K3632" s="12"/>
      <c r="L3632" s="379"/>
      <c r="M3632" s="380"/>
      <c r="N3632" s="380"/>
      <c r="O3632" s="12"/>
      <c r="P3632" s="381"/>
      <c r="Q3632" s="12"/>
      <c r="R3632" s="12"/>
      <c r="S3632" s="382"/>
      <c r="T3632" s="383"/>
      <c r="U3632" s="384"/>
      <c r="V3632" s="12"/>
      <c r="W3632" s="12"/>
    </row>
    <row r="3633" spans="1:23" x14ac:dyDescent="0.3">
      <c r="A3633" s="193"/>
      <c r="B3633" s="378"/>
      <c r="C3633" s="315"/>
      <c r="D3633" s="316"/>
      <c r="E3633" s="315"/>
      <c r="F3633" s="315"/>
      <c r="G3633" s="315"/>
      <c r="H3633" s="153"/>
      <c r="I3633" s="12"/>
      <c r="J3633" s="12"/>
      <c r="K3633" s="12"/>
      <c r="L3633" s="379"/>
      <c r="M3633" s="380"/>
      <c r="N3633" s="380"/>
      <c r="O3633" s="12"/>
      <c r="P3633" s="381"/>
      <c r="Q3633" s="12"/>
      <c r="R3633" s="12"/>
      <c r="S3633" s="382"/>
      <c r="T3633" s="383"/>
      <c r="U3633" s="384"/>
      <c r="V3633" s="12"/>
      <c r="W3633" s="12"/>
    </row>
    <row r="3634" spans="1:23" x14ac:dyDescent="0.3">
      <c r="A3634" s="193"/>
      <c r="B3634" s="378"/>
      <c r="C3634" s="315"/>
      <c r="D3634" s="316"/>
      <c r="E3634" s="315"/>
      <c r="F3634" s="315"/>
      <c r="G3634" s="315"/>
      <c r="H3634" s="153"/>
      <c r="I3634" s="12"/>
      <c r="J3634" s="12"/>
      <c r="K3634" s="12"/>
      <c r="L3634" s="379"/>
      <c r="M3634" s="380"/>
      <c r="N3634" s="380"/>
      <c r="O3634" s="12"/>
      <c r="P3634" s="381"/>
      <c r="Q3634" s="12"/>
      <c r="R3634" s="12"/>
      <c r="S3634" s="382"/>
      <c r="T3634" s="383"/>
      <c r="U3634" s="384"/>
      <c r="V3634" s="12"/>
      <c r="W3634" s="12"/>
    </row>
    <row r="3635" spans="1:23" x14ac:dyDescent="0.3">
      <c r="A3635" s="193"/>
      <c r="B3635" s="378"/>
      <c r="C3635" s="315"/>
      <c r="D3635" s="316"/>
      <c r="E3635" s="315"/>
      <c r="F3635" s="315"/>
      <c r="G3635" s="315"/>
      <c r="H3635" s="153"/>
      <c r="I3635" s="12"/>
      <c r="J3635" s="12"/>
      <c r="K3635" s="12"/>
      <c r="L3635" s="379"/>
      <c r="M3635" s="380"/>
      <c r="N3635" s="380"/>
      <c r="O3635" s="12"/>
      <c r="P3635" s="381"/>
      <c r="Q3635" s="12"/>
      <c r="R3635" s="12"/>
      <c r="S3635" s="382"/>
      <c r="T3635" s="383"/>
      <c r="U3635" s="384"/>
      <c r="V3635" s="12"/>
      <c r="W3635" s="12"/>
    </row>
    <row r="3636" spans="1:23" x14ac:dyDescent="0.3">
      <c r="A3636" s="193"/>
      <c r="B3636" s="378"/>
      <c r="C3636" s="315"/>
      <c r="D3636" s="316"/>
      <c r="E3636" s="315"/>
      <c r="F3636" s="315"/>
      <c r="G3636" s="315"/>
      <c r="H3636" s="153"/>
      <c r="I3636" s="12"/>
      <c r="J3636" s="12"/>
      <c r="K3636" s="12"/>
      <c r="L3636" s="379"/>
      <c r="M3636" s="380"/>
      <c r="N3636" s="380"/>
      <c r="O3636" s="12"/>
      <c r="P3636" s="381"/>
      <c r="Q3636" s="12"/>
      <c r="R3636" s="12"/>
      <c r="S3636" s="382"/>
      <c r="T3636" s="383"/>
      <c r="U3636" s="384"/>
      <c r="V3636" s="12"/>
      <c r="W3636" s="12"/>
    </row>
    <row r="3637" spans="1:23" x14ac:dyDescent="0.3">
      <c r="A3637" s="193"/>
      <c r="B3637" s="378"/>
      <c r="C3637" s="315"/>
      <c r="D3637" s="316"/>
      <c r="E3637" s="315"/>
      <c r="F3637" s="315"/>
      <c r="G3637" s="315"/>
      <c r="H3637" s="153"/>
      <c r="I3637" s="12"/>
      <c r="J3637" s="12"/>
      <c r="K3637" s="12"/>
      <c r="L3637" s="379"/>
      <c r="M3637" s="380"/>
      <c r="N3637" s="380"/>
      <c r="O3637" s="12"/>
      <c r="P3637" s="381"/>
      <c r="Q3637" s="12"/>
      <c r="R3637" s="12"/>
      <c r="S3637" s="382"/>
      <c r="T3637" s="383"/>
      <c r="U3637" s="384"/>
      <c r="V3637" s="12"/>
      <c r="W3637" s="12"/>
    </row>
    <row r="3638" spans="1:23" x14ac:dyDescent="0.3">
      <c r="A3638" s="193"/>
      <c r="B3638" s="378"/>
      <c r="C3638" s="315"/>
      <c r="D3638" s="316"/>
      <c r="E3638" s="315"/>
      <c r="F3638" s="315"/>
      <c r="G3638" s="315"/>
      <c r="H3638" s="153"/>
      <c r="I3638" s="12"/>
      <c r="J3638" s="12"/>
      <c r="K3638" s="12"/>
      <c r="L3638" s="379"/>
      <c r="M3638" s="380"/>
      <c r="N3638" s="380"/>
      <c r="O3638" s="12"/>
      <c r="P3638" s="381"/>
      <c r="Q3638" s="12"/>
      <c r="R3638" s="12"/>
      <c r="S3638" s="382"/>
      <c r="T3638" s="383"/>
      <c r="U3638" s="384"/>
      <c r="V3638" s="12"/>
      <c r="W3638" s="12"/>
    </row>
    <row r="3639" spans="1:23" x14ac:dyDescent="0.3">
      <c r="A3639" s="193"/>
      <c r="B3639" s="378"/>
      <c r="C3639" s="315"/>
      <c r="D3639" s="316"/>
      <c r="E3639" s="315"/>
      <c r="F3639" s="315"/>
      <c r="G3639" s="315"/>
      <c r="H3639" s="153"/>
      <c r="I3639" s="12"/>
      <c r="J3639" s="12"/>
      <c r="K3639" s="12"/>
      <c r="L3639" s="379"/>
      <c r="M3639" s="380"/>
      <c r="N3639" s="380"/>
      <c r="O3639" s="12"/>
      <c r="P3639" s="381"/>
      <c r="Q3639" s="12"/>
      <c r="R3639" s="12"/>
      <c r="S3639" s="382"/>
      <c r="T3639" s="383"/>
      <c r="U3639" s="384"/>
      <c r="V3639" s="12"/>
      <c r="W3639" s="12"/>
    </row>
    <row r="3640" spans="1:23" x14ac:dyDescent="0.3">
      <c r="A3640" s="193"/>
      <c r="B3640" s="378"/>
      <c r="C3640" s="315"/>
      <c r="D3640" s="316"/>
      <c r="E3640" s="315"/>
      <c r="F3640" s="315"/>
      <c r="G3640" s="315"/>
      <c r="H3640" s="153"/>
      <c r="I3640" s="12"/>
      <c r="J3640" s="12"/>
      <c r="K3640" s="12"/>
      <c r="L3640" s="379"/>
      <c r="M3640" s="380"/>
      <c r="N3640" s="380"/>
      <c r="O3640" s="12"/>
      <c r="P3640" s="381"/>
      <c r="Q3640" s="12"/>
      <c r="R3640" s="12"/>
      <c r="S3640" s="382"/>
      <c r="T3640" s="383"/>
      <c r="U3640" s="384"/>
      <c r="V3640" s="12"/>
      <c r="W3640" s="12"/>
    </row>
    <row r="3641" spans="1:23" x14ac:dyDescent="0.3">
      <c r="A3641" s="193"/>
      <c r="B3641" s="378"/>
      <c r="C3641" s="315"/>
      <c r="D3641" s="316"/>
      <c r="E3641" s="315"/>
      <c r="F3641" s="315"/>
      <c r="G3641" s="315"/>
      <c r="H3641" s="153"/>
      <c r="I3641" s="12"/>
      <c r="J3641" s="12"/>
      <c r="K3641" s="12"/>
      <c r="L3641" s="379"/>
      <c r="M3641" s="380"/>
      <c r="N3641" s="380"/>
      <c r="O3641" s="12"/>
      <c r="P3641" s="381"/>
      <c r="Q3641" s="12"/>
      <c r="R3641" s="12"/>
      <c r="S3641" s="382"/>
      <c r="T3641" s="383"/>
      <c r="U3641" s="384"/>
      <c r="V3641" s="12"/>
      <c r="W3641" s="12"/>
    </row>
    <row r="3642" spans="1:23" x14ac:dyDescent="0.3">
      <c r="A3642" s="193"/>
      <c r="B3642" s="378"/>
      <c r="C3642" s="315"/>
      <c r="D3642" s="316"/>
      <c r="E3642" s="315"/>
      <c r="F3642" s="315"/>
      <c r="G3642" s="315"/>
      <c r="H3642" s="153"/>
      <c r="I3642" s="12"/>
      <c r="J3642" s="12"/>
      <c r="K3642" s="12"/>
      <c r="L3642" s="379"/>
      <c r="M3642" s="380"/>
      <c r="N3642" s="380"/>
      <c r="O3642" s="12"/>
      <c r="P3642" s="381"/>
      <c r="Q3642" s="12"/>
      <c r="R3642" s="12"/>
      <c r="S3642" s="382"/>
      <c r="T3642" s="383"/>
      <c r="U3642" s="384"/>
      <c r="V3642" s="12"/>
      <c r="W3642" s="12"/>
    </row>
    <row r="3643" spans="1:23" x14ac:dyDescent="0.3">
      <c r="A3643" s="193"/>
      <c r="B3643" s="378"/>
      <c r="C3643" s="315"/>
      <c r="D3643" s="316"/>
      <c r="E3643" s="315"/>
      <c r="F3643" s="315"/>
      <c r="G3643" s="315"/>
      <c r="H3643" s="153"/>
      <c r="I3643" s="12"/>
      <c r="J3643" s="12"/>
      <c r="K3643" s="12"/>
      <c r="L3643" s="379"/>
      <c r="M3643" s="380"/>
      <c r="N3643" s="380"/>
      <c r="O3643" s="12"/>
      <c r="P3643" s="381"/>
      <c r="Q3643" s="12"/>
      <c r="R3643" s="12"/>
      <c r="S3643" s="382"/>
      <c r="T3643" s="383"/>
      <c r="U3643" s="384"/>
      <c r="V3643" s="12"/>
      <c r="W3643" s="12"/>
    </row>
    <row r="3644" spans="1:23" x14ac:dyDescent="0.3">
      <c r="A3644" s="193"/>
      <c r="B3644" s="378"/>
      <c r="C3644" s="315"/>
      <c r="D3644" s="316"/>
      <c r="E3644" s="315"/>
      <c r="F3644" s="315"/>
      <c r="G3644" s="315"/>
      <c r="H3644" s="153"/>
      <c r="I3644" s="12"/>
      <c r="J3644" s="12"/>
      <c r="K3644" s="12"/>
      <c r="L3644" s="379"/>
      <c r="M3644" s="380"/>
      <c r="N3644" s="380"/>
      <c r="O3644" s="12"/>
      <c r="P3644" s="381"/>
      <c r="Q3644" s="12"/>
      <c r="R3644" s="12"/>
      <c r="S3644" s="382"/>
      <c r="T3644" s="383"/>
      <c r="U3644" s="384"/>
      <c r="V3644" s="12"/>
      <c r="W3644" s="12"/>
    </row>
    <row r="3645" spans="1:23" x14ac:dyDescent="0.3">
      <c r="A3645" s="193"/>
      <c r="B3645" s="378"/>
      <c r="C3645" s="315"/>
      <c r="D3645" s="316"/>
      <c r="E3645" s="315"/>
      <c r="F3645" s="315"/>
      <c r="G3645" s="315"/>
      <c r="H3645" s="153"/>
      <c r="I3645" s="12"/>
      <c r="J3645" s="12"/>
      <c r="K3645" s="12"/>
      <c r="L3645" s="379"/>
      <c r="M3645" s="380"/>
      <c r="N3645" s="380"/>
      <c r="O3645" s="12"/>
      <c r="P3645" s="381"/>
      <c r="Q3645" s="12"/>
      <c r="R3645" s="12"/>
      <c r="S3645" s="382"/>
      <c r="T3645" s="383"/>
      <c r="U3645" s="384"/>
      <c r="V3645" s="12"/>
      <c r="W3645" s="12"/>
    </row>
    <row r="3646" spans="1:23" x14ac:dyDescent="0.3">
      <c r="A3646" s="193"/>
      <c r="B3646" s="378"/>
      <c r="C3646" s="315"/>
      <c r="D3646" s="316"/>
      <c r="E3646" s="315"/>
      <c r="F3646" s="315"/>
      <c r="G3646" s="315"/>
      <c r="H3646" s="153"/>
      <c r="I3646" s="12"/>
      <c r="J3646" s="12"/>
      <c r="K3646" s="12"/>
      <c r="L3646" s="379"/>
      <c r="M3646" s="380"/>
      <c r="N3646" s="380"/>
      <c r="O3646" s="12"/>
      <c r="P3646" s="381"/>
      <c r="Q3646" s="12"/>
      <c r="R3646" s="12"/>
      <c r="S3646" s="382"/>
      <c r="T3646" s="383"/>
      <c r="U3646" s="384"/>
      <c r="V3646" s="12"/>
      <c r="W3646" s="12"/>
    </row>
    <row r="3647" spans="1:23" x14ac:dyDescent="0.3">
      <c r="A3647" s="193"/>
      <c r="B3647" s="378"/>
      <c r="C3647" s="315"/>
      <c r="D3647" s="316"/>
      <c r="E3647" s="315"/>
      <c r="F3647" s="315"/>
      <c r="G3647" s="315"/>
      <c r="H3647" s="153"/>
      <c r="I3647" s="12"/>
      <c r="J3647" s="12"/>
      <c r="K3647" s="12"/>
      <c r="L3647" s="379"/>
      <c r="M3647" s="380"/>
      <c r="N3647" s="380"/>
      <c r="O3647" s="12"/>
      <c r="P3647" s="381"/>
      <c r="Q3647" s="12"/>
      <c r="R3647" s="12"/>
      <c r="S3647" s="382"/>
      <c r="T3647" s="383"/>
      <c r="U3647" s="384"/>
      <c r="V3647" s="12"/>
      <c r="W3647" s="12"/>
    </row>
    <row r="3648" spans="1:23" x14ac:dyDescent="0.3">
      <c r="A3648" s="193"/>
      <c r="B3648" s="378"/>
      <c r="C3648" s="315"/>
      <c r="D3648" s="316"/>
      <c r="E3648" s="315"/>
      <c r="F3648" s="315"/>
      <c r="G3648" s="315"/>
      <c r="H3648" s="153"/>
      <c r="I3648" s="12"/>
      <c r="J3648" s="12"/>
      <c r="K3648" s="12"/>
      <c r="L3648" s="379"/>
      <c r="M3648" s="380"/>
      <c r="N3648" s="380"/>
      <c r="O3648" s="12"/>
      <c r="P3648" s="381"/>
      <c r="Q3648" s="12"/>
      <c r="R3648" s="12"/>
      <c r="S3648" s="382"/>
      <c r="T3648" s="383"/>
      <c r="U3648" s="384"/>
      <c r="V3648" s="12"/>
      <c r="W3648" s="12"/>
    </row>
    <row r="3649" spans="1:23" x14ac:dyDescent="0.3">
      <c r="A3649" s="193"/>
      <c r="B3649" s="378"/>
      <c r="C3649" s="315"/>
      <c r="D3649" s="316"/>
      <c r="E3649" s="315"/>
      <c r="F3649" s="315"/>
      <c r="G3649" s="315"/>
      <c r="H3649" s="153"/>
      <c r="I3649" s="12"/>
      <c r="J3649" s="12"/>
      <c r="K3649" s="12"/>
      <c r="L3649" s="379"/>
      <c r="M3649" s="380"/>
      <c r="N3649" s="380"/>
      <c r="O3649" s="12"/>
      <c r="P3649" s="381"/>
      <c r="Q3649" s="12"/>
      <c r="R3649" s="12"/>
      <c r="S3649" s="382"/>
      <c r="T3649" s="383"/>
      <c r="U3649" s="384"/>
      <c r="V3649" s="12"/>
      <c r="W3649" s="12"/>
    </row>
    <row r="3650" spans="1:23" x14ac:dyDescent="0.3">
      <c r="A3650" s="193"/>
      <c r="B3650" s="378"/>
      <c r="C3650" s="315"/>
      <c r="D3650" s="316"/>
      <c r="E3650" s="315"/>
      <c r="F3650" s="315"/>
      <c r="G3650" s="315"/>
      <c r="H3650" s="153"/>
      <c r="I3650" s="12"/>
      <c r="J3650" s="12"/>
      <c r="K3650" s="12"/>
      <c r="L3650" s="379"/>
      <c r="M3650" s="380"/>
      <c r="N3650" s="380"/>
      <c r="O3650" s="12"/>
      <c r="P3650" s="381"/>
      <c r="Q3650" s="12"/>
      <c r="R3650" s="12"/>
      <c r="S3650" s="382"/>
      <c r="T3650" s="383"/>
      <c r="U3650" s="384"/>
      <c r="V3650" s="12"/>
      <c r="W3650" s="12"/>
    </row>
    <row r="3651" spans="1:23" x14ac:dyDescent="0.3">
      <c r="A3651" s="193"/>
      <c r="B3651" s="378"/>
      <c r="C3651" s="315"/>
      <c r="D3651" s="316"/>
      <c r="E3651" s="315"/>
      <c r="F3651" s="315"/>
      <c r="G3651" s="315"/>
      <c r="H3651" s="153"/>
      <c r="I3651" s="12"/>
      <c r="J3651" s="12"/>
      <c r="K3651" s="12"/>
      <c r="L3651" s="379"/>
      <c r="M3651" s="380"/>
      <c r="N3651" s="380"/>
      <c r="O3651" s="12"/>
      <c r="P3651" s="381"/>
      <c r="Q3651" s="12"/>
      <c r="R3651" s="12"/>
      <c r="S3651" s="382"/>
      <c r="T3651" s="383"/>
      <c r="U3651" s="384"/>
      <c r="V3651" s="12"/>
      <c r="W3651" s="12"/>
    </row>
    <row r="3652" spans="1:23" x14ac:dyDescent="0.3">
      <c r="A3652" s="193"/>
      <c r="B3652" s="378"/>
      <c r="C3652" s="315"/>
      <c r="D3652" s="316"/>
      <c r="E3652" s="315"/>
      <c r="F3652" s="315"/>
      <c r="G3652" s="315"/>
      <c r="H3652" s="153"/>
      <c r="I3652" s="12"/>
      <c r="J3652" s="12"/>
      <c r="K3652" s="12"/>
      <c r="L3652" s="379"/>
      <c r="M3652" s="380"/>
      <c r="N3652" s="380"/>
      <c r="O3652" s="12"/>
      <c r="P3652" s="381"/>
      <c r="Q3652" s="12"/>
      <c r="R3652" s="12"/>
      <c r="S3652" s="382"/>
      <c r="T3652" s="383"/>
      <c r="U3652" s="384"/>
      <c r="V3652" s="12"/>
      <c r="W3652" s="12"/>
    </row>
    <row r="3653" spans="1:23" x14ac:dyDescent="0.3">
      <c r="A3653" s="193"/>
      <c r="B3653" s="378"/>
      <c r="C3653" s="315"/>
      <c r="D3653" s="316"/>
      <c r="E3653" s="315"/>
      <c r="F3653" s="315"/>
      <c r="G3653" s="315"/>
      <c r="H3653" s="153"/>
      <c r="I3653" s="12"/>
      <c r="J3653" s="12"/>
      <c r="K3653" s="12"/>
      <c r="L3653" s="379"/>
      <c r="M3653" s="380"/>
      <c r="N3653" s="380"/>
      <c r="O3653" s="12"/>
      <c r="P3653" s="381"/>
      <c r="Q3653" s="12"/>
      <c r="R3653" s="12"/>
      <c r="S3653" s="382"/>
      <c r="T3653" s="383"/>
      <c r="U3653" s="384"/>
      <c r="V3653" s="12"/>
      <c r="W3653" s="12"/>
    </row>
    <row r="3654" spans="1:23" x14ac:dyDescent="0.3">
      <c r="A3654" s="193"/>
      <c r="B3654" s="378"/>
      <c r="C3654" s="315"/>
      <c r="D3654" s="316"/>
      <c r="E3654" s="315"/>
      <c r="F3654" s="315"/>
      <c r="G3654" s="315"/>
      <c r="H3654" s="153"/>
      <c r="I3654" s="12"/>
      <c r="J3654" s="12"/>
      <c r="K3654" s="12"/>
      <c r="L3654" s="379"/>
      <c r="M3654" s="380"/>
      <c r="N3654" s="380"/>
      <c r="O3654" s="12"/>
      <c r="P3654" s="381"/>
      <c r="Q3654" s="12"/>
      <c r="R3654" s="12"/>
      <c r="S3654" s="382"/>
      <c r="T3654" s="383"/>
      <c r="U3654" s="384"/>
      <c r="V3654" s="12"/>
      <c r="W3654" s="12"/>
    </row>
    <row r="3655" spans="1:23" x14ac:dyDescent="0.3">
      <c r="A3655" s="193"/>
      <c r="B3655" s="378"/>
      <c r="C3655" s="315"/>
      <c r="D3655" s="316"/>
      <c r="E3655" s="315"/>
      <c r="F3655" s="315"/>
      <c r="G3655" s="315"/>
      <c r="H3655" s="153"/>
      <c r="I3655" s="12"/>
      <c r="J3655" s="12"/>
      <c r="K3655" s="12"/>
      <c r="L3655" s="379"/>
      <c r="M3655" s="380"/>
      <c r="N3655" s="380"/>
      <c r="O3655" s="12"/>
      <c r="P3655" s="381"/>
      <c r="Q3655" s="12"/>
      <c r="R3655" s="12"/>
      <c r="S3655" s="382"/>
      <c r="T3655" s="383"/>
      <c r="U3655" s="384"/>
      <c r="V3655" s="12"/>
      <c r="W3655" s="12"/>
    </row>
    <row r="3656" spans="1:23" x14ac:dyDescent="0.3">
      <c r="A3656" s="193"/>
      <c r="B3656" s="378"/>
      <c r="C3656" s="315"/>
      <c r="D3656" s="316"/>
      <c r="E3656" s="315"/>
      <c r="F3656" s="315"/>
      <c r="G3656" s="315"/>
      <c r="H3656" s="153"/>
      <c r="I3656" s="12"/>
      <c r="J3656" s="12"/>
      <c r="K3656" s="12"/>
      <c r="L3656" s="379"/>
      <c r="M3656" s="380"/>
      <c r="N3656" s="380"/>
      <c r="O3656" s="12"/>
      <c r="P3656" s="381"/>
      <c r="Q3656" s="12"/>
      <c r="R3656" s="12"/>
      <c r="S3656" s="382"/>
      <c r="T3656" s="383"/>
      <c r="U3656" s="384"/>
      <c r="V3656" s="12"/>
      <c r="W3656" s="12"/>
    </row>
    <row r="3657" spans="1:23" x14ac:dyDescent="0.3">
      <c r="A3657" s="193"/>
      <c r="B3657" s="378"/>
      <c r="C3657" s="315"/>
      <c r="D3657" s="316"/>
      <c r="E3657" s="315"/>
      <c r="F3657" s="315"/>
      <c r="G3657" s="315"/>
      <c r="H3657" s="153"/>
      <c r="I3657" s="12"/>
      <c r="J3657" s="12"/>
      <c r="K3657" s="12"/>
      <c r="L3657" s="379"/>
      <c r="M3657" s="380"/>
      <c r="N3657" s="380"/>
      <c r="O3657" s="12"/>
      <c r="P3657" s="381"/>
      <c r="Q3657" s="12"/>
      <c r="R3657" s="12"/>
      <c r="S3657" s="382"/>
      <c r="T3657" s="383"/>
      <c r="U3657" s="384"/>
      <c r="V3657" s="12"/>
      <c r="W3657" s="12"/>
    </row>
    <row r="3658" spans="1:23" x14ac:dyDescent="0.3">
      <c r="A3658" s="193"/>
      <c r="B3658" s="378"/>
      <c r="C3658" s="315"/>
      <c r="D3658" s="316"/>
      <c r="E3658" s="315"/>
      <c r="F3658" s="315"/>
      <c r="G3658" s="315"/>
      <c r="H3658" s="153"/>
      <c r="I3658" s="12"/>
      <c r="J3658" s="12"/>
      <c r="K3658" s="12"/>
      <c r="L3658" s="379"/>
      <c r="M3658" s="380"/>
      <c r="N3658" s="380"/>
      <c r="O3658" s="12"/>
      <c r="P3658" s="381"/>
      <c r="Q3658" s="12"/>
      <c r="R3658" s="12"/>
      <c r="S3658" s="382"/>
      <c r="T3658" s="383"/>
      <c r="U3658" s="384"/>
      <c r="V3658" s="12"/>
      <c r="W3658" s="12"/>
    </row>
    <row r="3659" spans="1:23" x14ac:dyDescent="0.3">
      <c r="A3659" s="193"/>
      <c r="B3659" s="378"/>
      <c r="C3659" s="315"/>
      <c r="D3659" s="316"/>
      <c r="E3659" s="315"/>
      <c r="F3659" s="315"/>
      <c r="G3659" s="315"/>
      <c r="H3659" s="153"/>
      <c r="I3659" s="12"/>
      <c r="J3659" s="12"/>
      <c r="K3659" s="12"/>
      <c r="L3659" s="379"/>
      <c r="M3659" s="380"/>
      <c r="N3659" s="380"/>
      <c r="O3659" s="12"/>
      <c r="P3659" s="381"/>
      <c r="Q3659" s="12"/>
      <c r="R3659" s="12"/>
      <c r="S3659" s="382"/>
      <c r="T3659" s="383"/>
      <c r="U3659" s="384"/>
      <c r="V3659" s="12"/>
      <c r="W3659" s="12"/>
    </row>
    <row r="3660" spans="1:23" x14ac:dyDescent="0.3">
      <c r="A3660" s="193"/>
      <c r="B3660" s="378"/>
      <c r="C3660" s="315"/>
      <c r="D3660" s="316"/>
      <c r="E3660" s="315"/>
      <c r="F3660" s="315"/>
      <c r="G3660" s="315"/>
      <c r="H3660" s="153"/>
      <c r="I3660" s="12"/>
      <c r="J3660" s="12"/>
      <c r="K3660" s="12"/>
      <c r="L3660" s="379"/>
      <c r="M3660" s="380"/>
      <c r="N3660" s="380"/>
      <c r="O3660" s="12"/>
      <c r="P3660" s="381"/>
      <c r="Q3660" s="12"/>
      <c r="R3660" s="12"/>
      <c r="S3660" s="382"/>
      <c r="T3660" s="383"/>
      <c r="U3660" s="384"/>
      <c r="V3660" s="12"/>
      <c r="W3660" s="12"/>
    </row>
    <row r="3661" spans="1:23" x14ac:dyDescent="0.3">
      <c r="A3661" s="193"/>
      <c r="B3661" s="378"/>
      <c r="C3661" s="315"/>
      <c r="D3661" s="316"/>
      <c r="E3661" s="315"/>
      <c r="F3661" s="315"/>
      <c r="G3661" s="315"/>
      <c r="H3661" s="153"/>
      <c r="I3661" s="12"/>
      <c r="J3661" s="12"/>
      <c r="K3661" s="12"/>
      <c r="L3661" s="379"/>
      <c r="M3661" s="380"/>
      <c r="N3661" s="380"/>
      <c r="O3661" s="12"/>
      <c r="P3661" s="381"/>
      <c r="Q3661" s="12"/>
      <c r="R3661" s="12"/>
      <c r="S3661" s="382"/>
      <c r="T3661" s="383"/>
      <c r="U3661" s="384"/>
      <c r="V3661" s="12"/>
      <c r="W3661" s="12"/>
    </row>
    <row r="3662" spans="1:23" x14ac:dyDescent="0.3">
      <c r="A3662" s="193"/>
      <c r="B3662" s="378"/>
      <c r="C3662" s="315"/>
      <c r="D3662" s="316"/>
      <c r="E3662" s="315"/>
      <c r="F3662" s="315"/>
      <c r="G3662" s="315"/>
      <c r="H3662" s="153"/>
      <c r="I3662" s="12"/>
      <c r="J3662" s="12"/>
      <c r="K3662" s="12"/>
      <c r="L3662" s="379"/>
      <c r="M3662" s="380"/>
      <c r="N3662" s="380"/>
      <c r="O3662" s="12"/>
      <c r="P3662" s="381"/>
      <c r="Q3662" s="12"/>
      <c r="R3662" s="12"/>
      <c r="S3662" s="382"/>
      <c r="T3662" s="383"/>
      <c r="U3662" s="384"/>
      <c r="V3662" s="12"/>
      <c r="W3662" s="12"/>
    </row>
    <row r="3663" spans="1:23" x14ac:dyDescent="0.3">
      <c r="A3663" s="193"/>
      <c r="B3663" s="378"/>
      <c r="C3663" s="315"/>
      <c r="D3663" s="316"/>
      <c r="E3663" s="315"/>
      <c r="F3663" s="315"/>
      <c r="G3663" s="315"/>
      <c r="H3663" s="153"/>
      <c r="I3663" s="12"/>
      <c r="J3663" s="12"/>
      <c r="K3663" s="12"/>
      <c r="L3663" s="379"/>
      <c r="M3663" s="380"/>
      <c r="N3663" s="380"/>
      <c r="O3663" s="12"/>
      <c r="P3663" s="381"/>
      <c r="Q3663" s="12"/>
      <c r="R3663" s="12"/>
      <c r="S3663" s="382"/>
      <c r="T3663" s="383"/>
      <c r="U3663" s="384"/>
      <c r="V3663" s="12"/>
      <c r="W3663" s="12"/>
    </row>
    <row r="3664" spans="1:23" x14ac:dyDescent="0.3">
      <c r="A3664" s="193"/>
      <c r="B3664" s="378"/>
      <c r="C3664" s="315"/>
      <c r="D3664" s="316"/>
      <c r="E3664" s="315"/>
      <c r="F3664" s="315"/>
      <c r="G3664" s="315"/>
      <c r="H3664" s="153"/>
      <c r="I3664" s="12"/>
      <c r="J3664" s="12"/>
      <c r="K3664" s="12"/>
      <c r="L3664" s="379"/>
      <c r="M3664" s="380"/>
      <c r="N3664" s="380"/>
      <c r="O3664" s="12"/>
      <c r="P3664" s="381"/>
      <c r="Q3664" s="12"/>
      <c r="R3664" s="12"/>
      <c r="S3664" s="382"/>
      <c r="T3664" s="383"/>
      <c r="U3664" s="384"/>
      <c r="V3664" s="12"/>
      <c r="W3664" s="12"/>
    </row>
    <row r="3665" spans="1:23" x14ac:dyDescent="0.3">
      <c r="A3665" s="193"/>
      <c r="B3665" s="378"/>
      <c r="C3665" s="315"/>
      <c r="D3665" s="316"/>
      <c r="E3665" s="315"/>
      <c r="F3665" s="315"/>
      <c r="G3665" s="315"/>
      <c r="H3665" s="153"/>
      <c r="I3665" s="12"/>
      <c r="J3665" s="12"/>
      <c r="K3665" s="12"/>
      <c r="L3665" s="379"/>
      <c r="M3665" s="380"/>
      <c r="N3665" s="380"/>
      <c r="O3665" s="12"/>
      <c r="P3665" s="381"/>
      <c r="Q3665" s="12"/>
      <c r="R3665" s="12"/>
      <c r="S3665" s="382"/>
      <c r="T3665" s="383"/>
      <c r="U3665" s="384"/>
      <c r="V3665" s="12"/>
      <c r="W3665" s="12"/>
    </row>
    <row r="3666" spans="1:23" x14ac:dyDescent="0.3">
      <c r="A3666" s="193"/>
      <c r="B3666" s="378"/>
      <c r="C3666" s="315"/>
      <c r="D3666" s="316"/>
      <c r="E3666" s="315"/>
      <c r="F3666" s="315"/>
      <c r="G3666" s="315"/>
      <c r="H3666" s="153"/>
      <c r="I3666" s="12"/>
      <c r="J3666" s="12"/>
      <c r="K3666" s="12"/>
      <c r="L3666" s="379"/>
      <c r="M3666" s="380"/>
      <c r="N3666" s="380"/>
      <c r="O3666" s="12"/>
      <c r="P3666" s="381"/>
      <c r="Q3666" s="12"/>
      <c r="R3666" s="12"/>
      <c r="S3666" s="382"/>
      <c r="T3666" s="383"/>
      <c r="U3666" s="384"/>
      <c r="V3666" s="12"/>
      <c r="W3666" s="12"/>
    </row>
    <row r="3667" spans="1:23" x14ac:dyDescent="0.3">
      <c r="A3667" s="193"/>
      <c r="B3667" s="378"/>
      <c r="C3667" s="315"/>
      <c r="D3667" s="316"/>
      <c r="E3667" s="315"/>
      <c r="F3667" s="315"/>
      <c r="G3667" s="315"/>
      <c r="H3667" s="153"/>
      <c r="I3667" s="12"/>
      <c r="J3667" s="12"/>
      <c r="K3667" s="12"/>
      <c r="L3667" s="379"/>
      <c r="M3667" s="380"/>
      <c r="N3667" s="380"/>
      <c r="O3667" s="12"/>
      <c r="P3667" s="381"/>
      <c r="Q3667" s="12"/>
      <c r="R3667" s="12"/>
      <c r="S3667" s="382"/>
      <c r="T3667" s="383"/>
      <c r="U3667" s="384"/>
      <c r="V3667" s="12"/>
      <c r="W3667" s="12"/>
    </row>
    <row r="3668" spans="1:23" x14ac:dyDescent="0.3">
      <c r="A3668" s="193"/>
      <c r="B3668" s="378"/>
      <c r="C3668" s="315"/>
      <c r="D3668" s="316"/>
      <c r="E3668" s="315"/>
      <c r="F3668" s="315"/>
      <c r="G3668" s="315"/>
      <c r="H3668" s="153"/>
      <c r="I3668" s="12"/>
      <c r="J3668" s="12"/>
      <c r="K3668" s="12"/>
      <c r="L3668" s="379"/>
      <c r="M3668" s="380"/>
      <c r="N3668" s="380"/>
      <c r="O3668" s="12"/>
      <c r="P3668" s="381"/>
      <c r="Q3668" s="12"/>
      <c r="R3668" s="12"/>
      <c r="S3668" s="382"/>
      <c r="T3668" s="383"/>
      <c r="U3668" s="384"/>
      <c r="V3668" s="12"/>
      <c r="W3668" s="12"/>
    </row>
    <row r="3669" spans="1:23" x14ac:dyDescent="0.3">
      <c r="A3669" s="193"/>
      <c r="B3669" s="378"/>
      <c r="C3669" s="315"/>
      <c r="D3669" s="316"/>
      <c r="E3669" s="315"/>
      <c r="F3669" s="315"/>
      <c r="G3669" s="315"/>
      <c r="H3669" s="153"/>
      <c r="I3669" s="12"/>
      <c r="J3669" s="12"/>
      <c r="K3669" s="12"/>
      <c r="L3669" s="379"/>
      <c r="M3669" s="380"/>
      <c r="N3669" s="380"/>
      <c r="O3669" s="12"/>
      <c r="P3669" s="381"/>
      <c r="Q3669" s="12"/>
      <c r="R3669" s="12"/>
      <c r="S3669" s="382"/>
      <c r="T3669" s="383"/>
      <c r="U3669" s="384"/>
      <c r="V3669" s="12"/>
      <c r="W3669" s="12"/>
    </row>
    <row r="3670" spans="1:23" x14ac:dyDescent="0.3">
      <c r="A3670" s="193"/>
      <c r="B3670" s="378"/>
      <c r="C3670" s="315"/>
      <c r="D3670" s="316"/>
      <c r="E3670" s="315"/>
      <c r="F3670" s="315"/>
      <c r="G3670" s="315"/>
      <c r="H3670" s="153"/>
      <c r="I3670" s="12"/>
      <c r="J3670" s="12"/>
      <c r="K3670" s="12"/>
      <c r="L3670" s="379"/>
      <c r="M3670" s="380"/>
      <c r="N3670" s="380"/>
      <c r="O3670" s="12"/>
      <c r="P3670" s="381"/>
      <c r="Q3670" s="12"/>
      <c r="R3670" s="12"/>
      <c r="S3670" s="382"/>
      <c r="T3670" s="383"/>
      <c r="U3670" s="384"/>
      <c r="V3670" s="12"/>
      <c r="W3670" s="12"/>
    </row>
    <row r="3671" spans="1:23" x14ac:dyDescent="0.3">
      <c r="A3671" s="193"/>
      <c r="B3671" s="378"/>
      <c r="C3671" s="315"/>
      <c r="D3671" s="316"/>
      <c r="E3671" s="315"/>
      <c r="F3671" s="315"/>
      <c r="G3671" s="315"/>
      <c r="H3671" s="153"/>
      <c r="I3671" s="12"/>
      <c r="J3671" s="12"/>
      <c r="K3671" s="12"/>
      <c r="L3671" s="379"/>
      <c r="M3671" s="380"/>
      <c r="N3671" s="380"/>
      <c r="O3671" s="12"/>
      <c r="P3671" s="381"/>
      <c r="Q3671" s="12"/>
      <c r="R3671" s="12"/>
      <c r="S3671" s="382"/>
      <c r="T3671" s="383"/>
      <c r="U3671" s="384"/>
      <c r="V3671" s="12"/>
      <c r="W3671" s="12"/>
    </row>
    <row r="3672" spans="1:23" x14ac:dyDescent="0.3">
      <c r="A3672" s="193"/>
      <c r="B3672" s="378"/>
      <c r="C3672" s="315"/>
      <c r="D3672" s="316"/>
      <c r="E3672" s="315"/>
      <c r="F3672" s="315"/>
      <c r="G3672" s="315"/>
      <c r="H3672" s="153"/>
      <c r="I3672" s="12"/>
      <c r="J3672" s="12"/>
      <c r="K3672" s="12"/>
      <c r="L3672" s="379"/>
      <c r="M3672" s="380"/>
      <c r="N3672" s="380"/>
      <c r="O3672" s="12"/>
      <c r="P3672" s="381"/>
      <c r="Q3672" s="12"/>
      <c r="R3672" s="12"/>
      <c r="S3672" s="382"/>
      <c r="T3672" s="383"/>
      <c r="U3672" s="384"/>
      <c r="V3672" s="12"/>
      <c r="W3672" s="12"/>
    </row>
    <row r="3673" spans="1:23" x14ac:dyDescent="0.3">
      <c r="A3673" s="193"/>
      <c r="B3673" s="378"/>
      <c r="C3673" s="315"/>
      <c r="D3673" s="316"/>
      <c r="E3673" s="315"/>
      <c r="F3673" s="315"/>
      <c r="G3673" s="315"/>
      <c r="H3673" s="153"/>
      <c r="I3673" s="12"/>
      <c r="J3673" s="12"/>
      <c r="K3673" s="12"/>
      <c r="L3673" s="379"/>
      <c r="M3673" s="380"/>
      <c r="N3673" s="380"/>
      <c r="O3673" s="12"/>
      <c r="P3673" s="381"/>
      <c r="Q3673" s="12"/>
      <c r="R3673" s="12"/>
      <c r="S3673" s="382"/>
      <c r="T3673" s="383"/>
      <c r="U3673" s="384"/>
      <c r="V3673" s="12"/>
      <c r="W3673" s="12"/>
    </row>
    <row r="3674" spans="1:23" x14ac:dyDescent="0.3">
      <c r="A3674" s="193"/>
      <c r="B3674" s="378"/>
      <c r="C3674" s="315"/>
      <c r="D3674" s="316"/>
      <c r="E3674" s="315"/>
      <c r="F3674" s="315"/>
      <c r="G3674" s="315"/>
      <c r="H3674" s="153"/>
      <c r="I3674" s="12"/>
      <c r="J3674" s="12"/>
      <c r="K3674" s="12"/>
      <c r="L3674" s="379"/>
      <c r="M3674" s="380"/>
      <c r="N3674" s="380"/>
      <c r="O3674" s="12"/>
      <c r="P3674" s="381"/>
      <c r="Q3674" s="12"/>
      <c r="R3674" s="12"/>
      <c r="S3674" s="382"/>
      <c r="T3674" s="383"/>
      <c r="U3674" s="384"/>
      <c r="V3674" s="12"/>
      <c r="W3674" s="12"/>
    </row>
    <row r="3675" spans="1:23" x14ac:dyDescent="0.3">
      <c r="A3675" s="193"/>
      <c r="B3675" s="378"/>
      <c r="C3675" s="315"/>
      <c r="D3675" s="316"/>
      <c r="E3675" s="315"/>
      <c r="F3675" s="315"/>
      <c r="G3675" s="315"/>
      <c r="H3675" s="153"/>
      <c r="I3675" s="12"/>
      <c r="J3675" s="12"/>
      <c r="K3675" s="12"/>
      <c r="L3675" s="379"/>
      <c r="M3675" s="380"/>
      <c r="N3675" s="380"/>
      <c r="O3675" s="12"/>
      <c r="P3675" s="381"/>
      <c r="Q3675" s="12"/>
      <c r="R3675" s="12"/>
      <c r="S3675" s="382"/>
      <c r="T3675" s="383"/>
      <c r="U3675" s="384"/>
      <c r="V3675" s="12"/>
      <c r="W3675" s="12"/>
    </row>
    <row r="3676" spans="1:23" x14ac:dyDescent="0.3">
      <c r="A3676" s="193"/>
      <c r="B3676" s="378"/>
      <c r="C3676" s="315"/>
      <c r="D3676" s="316"/>
      <c r="E3676" s="315"/>
      <c r="F3676" s="315"/>
      <c r="G3676" s="315"/>
      <c r="H3676" s="153"/>
      <c r="I3676" s="12"/>
      <c r="J3676" s="12"/>
      <c r="K3676" s="12"/>
      <c r="L3676" s="379"/>
      <c r="M3676" s="380"/>
      <c r="N3676" s="380"/>
      <c r="O3676" s="12"/>
      <c r="P3676" s="381"/>
      <c r="Q3676" s="12"/>
      <c r="R3676" s="12"/>
      <c r="S3676" s="382"/>
      <c r="T3676" s="383"/>
      <c r="U3676" s="384"/>
      <c r="V3676" s="12"/>
      <c r="W3676" s="12"/>
    </row>
    <row r="3677" spans="1:23" x14ac:dyDescent="0.3">
      <c r="A3677" s="193"/>
      <c r="B3677" s="378"/>
      <c r="C3677" s="315"/>
      <c r="D3677" s="316"/>
      <c r="E3677" s="315"/>
      <c r="F3677" s="315"/>
      <c r="G3677" s="315"/>
      <c r="H3677" s="153"/>
      <c r="I3677" s="12"/>
      <c r="J3677" s="12"/>
      <c r="K3677" s="12"/>
      <c r="L3677" s="379"/>
      <c r="M3677" s="380"/>
      <c r="N3677" s="380"/>
      <c r="O3677" s="12"/>
      <c r="P3677" s="381"/>
      <c r="Q3677" s="12"/>
      <c r="R3677" s="12"/>
      <c r="S3677" s="382"/>
      <c r="T3677" s="383"/>
      <c r="U3677" s="384"/>
      <c r="V3677" s="12"/>
      <c r="W3677" s="12"/>
    </row>
    <row r="3678" spans="1:23" x14ac:dyDescent="0.3">
      <c r="A3678" s="193"/>
      <c r="B3678" s="378"/>
      <c r="C3678" s="315"/>
      <c r="D3678" s="316"/>
      <c r="E3678" s="315"/>
      <c r="F3678" s="315"/>
      <c r="G3678" s="315"/>
      <c r="H3678" s="153"/>
      <c r="I3678" s="12"/>
      <c r="J3678" s="12"/>
      <c r="K3678" s="12"/>
      <c r="L3678" s="379"/>
      <c r="M3678" s="380"/>
      <c r="N3678" s="380"/>
      <c r="O3678" s="12"/>
      <c r="P3678" s="381"/>
      <c r="Q3678" s="12"/>
      <c r="R3678" s="12"/>
      <c r="S3678" s="382"/>
      <c r="T3678" s="383"/>
      <c r="U3678" s="384"/>
      <c r="V3678" s="12"/>
      <c r="W3678" s="12"/>
    </row>
    <row r="3679" spans="1:23" x14ac:dyDescent="0.3">
      <c r="A3679" s="193"/>
      <c r="B3679" s="378"/>
      <c r="C3679" s="315"/>
      <c r="D3679" s="316"/>
      <c r="E3679" s="315"/>
      <c r="F3679" s="315"/>
      <c r="G3679" s="315"/>
      <c r="H3679" s="153"/>
      <c r="I3679" s="12"/>
      <c r="J3679" s="12"/>
      <c r="K3679" s="12"/>
      <c r="L3679" s="379"/>
      <c r="M3679" s="380"/>
      <c r="N3679" s="380"/>
      <c r="O3679" s="12"/>
      <c r="P3679" s="381"/>
      <c r="Q3679" s="12"/>
      <c r="R3679" s="12"/>
      <c r="S3679" s="382"/>
      <c r="T3679" s="383"/>
      <c r="U3679" s="384"/>
      <c r="V3679" s="12"/>
      <c r="W3679" s="12"/>
    </row>
    <row r="3680" spans="1:23" x14ac:dyDescent="0.3">
      <c r="A3680" s="193"/>
      <c r="B3680" s="378"/>
      <c r="C3680" s="315"/>
      <c r="D3680" s="316"/>
      <c r="E3680" s="315"/>
      <c r="F3680" s="315"/>
      <c r="G3680" s="315"/>
      <c r="H3680" s="153"/>
      <c r="I3680" s="12"/>
      <c r="J3680" s="12"/>
      <c r="K3680" s="12"/>
      <c r="L3680" s="379"/>
      <c r="M3680" s="380"/>
      <c r="N3680" s="380"/>
      <c r="O3680" s="12"/>
      <c r="P3680" s="381"/>
      <c r="Q3680" s="12"/>
      <c r="R3680" s="12"/>
      <c r="S3680" s="382"/>
      <c r="T3680" s="383"/>
      <c r="U3680" s="384"/>
      <c r="V3680" s="12"/>
      <c r="W3680" s="12"/>
    </row>
    <row r="3681" spans="1:23" x14ac:dyDescent="0.3">
      <c r="A3681" s="193"/>
      <c r="B3681" s="378"/>
      <c r="C3681" s="315"/>
      <c r="D3681" s="316"/>
      <c r="E3681" s="315"/>
      <c r="F3681" s="315"/>
      <c r="G3681" s="315"/>
      <c r="H3681" s="153"/>
      <c r="I3681" s="12"/>
      <c r="J3681" s="12"/>
      <c r="K3681" s="12"/>
      <c r="L3681" s="379"/>
      <c r="M3681" s="380"/>
      <c r="N3681" s="380"/>
      <c r="O3681" s="12"/>
      <c r="P3681" s="381"/>
      <c r="Q3681" s="12"/>
      <c r="R3681" s="12"/>
      <c r="S3681" s="382"/>
      <c r="T3681" s="383"/>
      <c r="U3681" s="384"/>
      <c r="V3681" s="12"/>
      <c r="W3681" s="12"/>
    </row>
    <row r="3682" spans="1:23" x14ac:dyDescent="0.3">
      <c r="A3682" s="193"/>
      <c r="B3682" s="378"/>
      <c r="C3682" s="315"/>
      <c r="D3682" s="316"/>
      <c r="E3682" s="315"/>
      <c r="F3682" s="315"/>
      <c r="G3682" s="315"/>
      <c r="H3682" s="153"/>
      <c r="I3682" s="12"/>
      <c r="J3682" s="12"/>
      <c r="K3682" s="12"/>
      <c r="L3682" s="379"/>
      <c r="M3682" s="380"/>
      <c r="N3682" s="380"/>
      <c r="O3682" s="12"/>
      <c r="P3682" s="381"/>
      <c r="Q3682" s="12"/>
      <c r="R3682" s="12"/>
      <c r="S3682" s="382"/>
      <c r="T3682" s="383"/>
      <c r="U3682" s="384"/>
      <c r="V3682" s="12"/>
      <c r="W3682" s="12"/>
    </row>
    <row r="3683" spans="1:23" x14ac:dyDescent="0.3">
      <c r="A3683" s="193"/>
      <c r="B3683" s="378"/>
      <c r="C3683" s="315"/>
      <c r="D3683" s="316"/>
      <c r="E3683" s="315"/>
      <c r="F3683" s="315"/>
      <c r="G3683" s="315"/>
      <c r="H3683" s="153"/>
      <c r="I3683" s="12"/>
      <c r="J3683" s="12"/>
      <c r="K3683" s="12"/>
      <c r="L3683" s="379"/>
      <c r="M3683" s="380"/>
      <c r="N3683" s="380"/>
      <c r="O3683" s="12"/>
      <c r="P3683" s="381"/>
      <c r="Q3683" s="12"/>
      <c r="R3683" s="12"/>
      <c r="S3683" s="382"/>
      <c r="T3683" s="383"/>
      <c r="U3683" s="384"/>
      <c r="V3683" s="12"/>
      <c r="W3683" s="12"/>
    </row>
    <row r="3684" spans="1:23" x14ac:dyDescent="0.3">
      <c r="A3684" s="193"/>
      <c r="B3684" s="378"/>
      <c r="C3684" s="315"/>
      <c r="D3684" s="316"/>
      <c r="E3684" s="315"/>
      <c r="F3684" s="315"/>
      <c r="G3684" s="315"/>
      <c r="H3684" s="153"/>
      <c r="I3684" s="12"/>
      <c r="J3684" s="12"/>
      <c r="K3684" s="12"/>
      <c r="L3684" s="379"/>
      <c r="M3684" s="380"/>
      <c r="N3684" s="380"/>
      <c r="O3684" s="12"/>
      <c r="P3684" s="381"/>
      <c r="Q3684" s="12"/>
      <c r="R3684" s="12"/>
      <c r="S3684" s="382"/>
      <c r="T3684" s="383"/>
      <c r="U3684" s="384"/>
      <c r="V3684" s="12"/>
      <c r="W3684" s="12"/>
    </row>
    <row r="3685" spans="1:23" x14ac:dyDescent="0.3">
      <c r="A3685" s="193"/>
      <c r="B3685" s="378"/>
      <c r="C3685" s="315"/>
      <c r="D3685" s="316"/>
      <c r="E3685" s="315"/>
      <c r="F3685" s="315"/>
      <c r="G3685" s="315"/>
      <c r="H3685" s="153"/>
      <c r="I3685" s="12"/>
      <c r="J3685" s="12"/>
      <c r="K3685" s="12"/>
      <c r="L3685" s="379"/>
      <c r="M3685" s="380"/>
      <c r="N3685" s="380"/>
      <c r="O3685" s="12"/>
      <c r="P3685" s="381"/>
      <c r="Q3685" s="12"/>
      <c r="R3685" s="12"/>
      <c r="S3685" s="382"/>
      <c r="T3685" s="383"/>
      <c r="U3685" s="384"/>
      <c r="V3685" s="12"/>
      <c r="W3685" s="12"/>
    </row>
    <row r="3686" spans="1:23" x14ac:dyDescent="0.3">
      <c r="A3686" s="193"/>
      <c r="B3686" s="378"/>
      <c r="C3686" s="315"/>
      <c r="D3686" s="316"/>
      <c r="E3686" s="315"/>
      <c r="F3686" s="315"/>
      <c r="G3686" s="315"/>
      <c r="H3686" s="153"/>
      <c r="I3686" s="12"/>
      <c r="J3686" s="12"/>
      <c r="K3686" s="12"/>
      <c r="L3686" s="379"/>
      <c r="M3686" s="380"/>
      <c r="N3686" s="380"/>
      <c r="O3686" s="12"/>
      <c r="P3686" s="381"/>
      <c r="Q3686" s="12"/>
      <c r="R3686" s="12"/>
      <c r="S3686" s="382"/>
      <c r="T3686" s="383"/>
      <c r="U3686" s="384"/>
      <c r="V3686" s="12"/>
      <c r="W3686" s="12"/>
    </row>
    <row r="3687" spans="1:23" x14ac:dyDescent="0.3">
      <c r="A3687" s="193"/>
      <c r="B3687" s="378"/>
      <c r="C3687" s="315"/>
      <c r="D3687" s="316"/>
      <c r="E3687" s="315"/>
      <c r="F3687" s="315"/>
      <c r="G3687" s="315"/>
      <c r="H3687" s="153"/>
      <c r="I3687" s="12"/>
      <c r="J3687" s="12"/>
      <c r="K3687" s="12"/>
      <c r="L3687" s="379"/>
      <c r="M3687" s="380"/>
      <c r="N3687" s="380"/>
      <c r="O3687" s="12"/>
      <c r="P3687" s="381"/>
      <c r="Q3687" s="12"/>
      <c r="R3687" s="12"/>
      <c r="S3687" s="382"/>
      <c r="T3687" s="383"/>
      <c r="U3687" s="384"/>
      <c r="V3687" s="12"/>
      <c r="W3687" s="12"/>
    </row>
    <row r="3688" spans="1:23" x14ac:dyDescent="0.3">
      <c r="A3688" s="193"/>
      <c r="B3688" s="378"/>
      <c r="C3688" s="315"/>
      <c r="D3688" s="316"/>
      <c r="E3688" s="315"/>
      <c r="F3688" s="315"/>
      <c r="G3688" s="315"/>
      <c r="H3688" s="153"/>
      <c r="I3688" s="12"/>
      <c r="J3688" s="12"/>
      <c r="K3688" s="12"/>
      <c r="L3688" s="379"/>
      <c r="M3688" s="380"/>
      <c r="N3688" s="380"/>
      <c r="O3688" s="12"/>
      <c r="P3688" s="381"/>
      <c r="Q3688" s="12"/>
      <c r="R3688" s="12"/>
      <c r="S3688" s="382"/>
      <c r="T3688" s="383"/>
      <c r="U3688" s="384"/>
      <c r="V3688" s="12"/>
      <c r="W3688" s="12"/>
    </row>
    <row r="3689" spans="1:23" x14ac:dyDescent="0.3">
      <c r="A3689" s="193"/>
      <c r="B3689" s="378"/>
      <c r="C3689" s="315"/>
      <c r="D3689" s="316"/>
      <c r="E3689" s="315"/>
      <c r="F3689" s="315"/>
      <c r="G3689" s="315"/>
      <c r="H3689" s="153"/>
      <c r="I3689" s="12"/>
      <c r="J3689" s="12"/>
      <c r="K3689" s="12"/>
      <c r="L3689" s="379"/>
      <c r="M3689" s="380"/>
      <c r="N3689" s="380"/>
      <c r="O3689" s="12"/>
      <c r="P3689" s="381"/>
      <c r="Q3689" s="12"/>
      <c r="R3689" s="12"/>
      <c r="S3689" s="382"/>
      <c r="T3689" s="383"/>
      <c r="U3689" s="384"/>
      <c r="V3689" s="12"/>
      <c r="W3689" s="12"/>
    </row>
    <row r="3690" spans="1:23" x14ac:dyDescent="0.3">
      <c r="A3690" s="193"/>
      <c r="B3690" s="378"/>
      <c r="C3690" s="315"/>
      <c r="D3690" s="316"/>
      <c r="E3690" s="315"/>
      <c r="F3690" s="315"/>
      <c r="G3690" s="315"/>
      <c r="H3690" s="153"/>
      <c r="I3690" s="12"/>
      <c r="J3690" s="12"/>
      <c r="K3690" s="12"/>
      <c r="L3690" s="379"/>
      <c r="M3690" s="380"/>
      <c r="N3690" s="380"/>
      <c r="O3690" s="12"/>
      <c r="P3690" s="381"/>
      <c r="Q3690" s="12"/>
      <c r="R3690" s="12"/>
      <c r="S3690" s="382"/>
      <c r="T3690" s="383"/>
      <c r="U3690" s="384"/>
      <c r="V3690" s="12"/>
      <c r="W3690" s="12"/>
    </row>
    <row r="3691" spans="1:23" x14ac:dyDescent="0.3">
      <c r="A3691" s="193"/>
      <c r="B3691" s="378"/>
      <c r="C3691" s="315"/>
      <c r="D3691" s="316"/>
      <c r="E3691" s="315"/>
      <c r="F3691" s="315"/>
      <c r="G3691" s="315"/>
      <c r="H3691" s="153"/>
      <c r="I3691" s="12"/>
      <c r="J3691" s="12"/>
      <c r="K3691" s="12"/>
      <c r="L3691" s="379"/>
      <c r="M3691" s="380"/>
      <c r="N3691" s="380"/>
      <c r="O3691" s="12"/>
      <c r="P3691" s="381"/>
      <c r="Q3691" s="12"/>
      <c r="R3691" s="12"/>
      <c r="S3691" s="382"/>
      <c r="T3691" s="383"/>
      <c r="U3691" s="384"/>
      <c r="V3691" s="12"/>
      <c r="W3691" s="12"/>
    </row>
    <row r="3692" spans="1:23" x14ac:dyDescent="0.3">
      <c r="A3692" s="193"/>
      <c r="B3692" s="378"/>
      <c r="C3692" s="315"/>
      <c r="D3692" s="316"/>
      <c r="E3692" s="315"/>
      <c r="F3692" s="315"/>
      <c r="G3692" s="315"/>
      <c r="H3692" s="153"/>
      <c r="I3692" s="12"/>
      <c r="J3692" s="12"/>
      <c r="K3692" s="12"/>
      <c r="L3692" s="379"/>
      <c r="M3692" s="380"/>
      <c r="N3692" s="380"/>
      <c r="O3692" s="12"/>
      <c r="P3692" s="381"/>
      <c r="Q3692" s="12"/>
      <c r="R3692" s="12"/>
      <c r="S3692" s="382"/>
      <c r="T3692" s="383"/>
      <c r="U3692" s="384"/>
      <c r="V3692" s="12"/>
      <c r="W3692" s="12"/>
    </row>
    <row r="3693" spans="1:23" x14ac:dyDescent="0.3">
      <c r="A3693" s="193"/>
      <c r="B3693" s="378"/>
      <c r="C3693" s="315"/>
      <c r="D3693" s="316"/>
      <c r="E3693" s="315"/>
      <c r="F3693" s="315"/>
      <c r="G3693" s="315"/>
      <c r="H3693" s="153"/>
      <c r="I3693" s="12"/>
      <c r="J3693" s="12"/>
      <c r="K3693" s="12"/>
      <c r="L3693" s="379"/>
      <c r="M3693" s="380"/>
      <c r="N3693" s="380"/>
      <c r="O3693" s="12"/>
      <c r="P3693" s="381"/>
      <c r="Q3693" s="12"/>
      <c r="R3693" s="12"/>
      <c r="S3693" s="382"/>
      <c r="T3693" s="383"/>
      <c r="U3693" s="384"/>
      <c r="V3693" s="12"/>
      <c r="W3693" s="12"/>
    </row>
    <row r="3694" spans="1:23" x14ac:dyDescent="0.3">
      <c r="A3694" s="193"/>
      <c r="B3694" s="378"/>
      <c r="C3694" s="315"/>
      <c r="D3694" s="316"/>
      <c r="E3694" s="315"/>
      <c r="F3694" s="315"/>
      <c r="G3694" s="315"/>
      <c r="H3694" s="153"/>
      <c r="I3694" s="12"/>
      <c r="J3694" s="12"/>
      <c r="K3694" s="12"/>
      <c r="L3694" s="379"/>
      <c r="M3694" s="380"/>
      <c r="N3694" s="380"/>
      <c r="O3694" s="12"/>
      <c r="P3694" s="381"/>
      <c r="Q3694" s="12"/>
      <c r="R3694" s="12"/>
      <c r="S3694" s="382"/>
      <c r="T3694" s="383"/>
      <c r="U3694" s="384"/>
      <c r="V3694" s="12"/>
      <c r="W3694" s="12"/>
    </row>
    <row r="3695" spans="1:23" x14ac:dyDescent="0.3">
      <c r="A3695" s="193"/>
      <c r="B3695" s="378"/>
      <c r="C3695" s="315"/>
      <c r="D3695" s="316"/>
      <c r="E3695" s="315"/>
      <c r="F3695" s="315"/>
      <c r="G3695" s="315"/>
      <c r="H3695" s="153"/>
      <c r="I3695" s="12"/>
      <c r="J3695" s="12"/>
      <c r="K3695" s="12"/>
      <c r="L3695" s="379"/>
      <c r="M3695" s="380"/>
      <c r="N3695" s="380"/>
      <c r="O3695" s="12"/>
      <c r="P3695" s="381"/>
      <c r="Q3695" s="12"/>
      <c r="R3695" s="12"/>
      <c r="S3695" s="382"/>
      <c r="T3695" s="383"/>
      <c r="U3695" s="384"/>
      <c r="V3695" s="12"/>
      <c r="W3695" s="12"/>
    </row>
    <row r="3696" spans="1:23" x14ac:dyDescent="0.3">
      <c r="A3696" s="193"/>
      <c r="B3696" s="378"/>
      <c r="C3696" s="315"/>
      <c r="D3696" s="316"/>
      <c r="E3696" s="315"/>
      <c r="F3696" s="315"/>
      <c r="G3696" s="315"/>
      <c r="H3696" s="153"/>
      <c r="I3696" s="12"/>
      <c r="J3696" s="12"/>
      <c r="K3696" s="12"/>
      <c r="L3696" s="379"/>
      <c r="M3696" s="380"/>
      <c r="N3696" s="380"/>
      <c r="O3696" s="12"/>
      <c r="P3696" s="381"/>
      <c r="Q3696" s="12"/>
      <c r="R3696" s="12"/>
      <c r="S3696" s="382"/>
      <c r="T3696" s="383"/>
      <c r="U3696" s="384"/>
      <c r="V3696" s="12"/>
      <c r="W3696" s="12"/>
    </row>
    <row r="3697" spans="1:23" x14ac:dyDescent="0.3">
      <c r="A3697" s="193"/>
      <c r="B3697" s="378"/>
      <c r="C3697" s="315"/>
      <c r="D3697" s="316"/>
      <c r="E3697" s="315"/>
      <c r="F3697" s="315"/>
      <c r="G3697" s="315"/>
      <c r="H3697" s="153"/>
      <c r="I3697" s="12"/>
      <c r="J3697" s="12"/>
      <c r="K3697" s="12"/>
      <c r="L3697" s="379"/>
      <c r="M3697" s="380"/>
      <c r="N3697" s="380"/>
      <c r="O3697" s="12"/>
      <c r="P3697" s="381"/>
      <c r="Q3697" s="12"/>
      <c r="R3697" s="12"/>
      <c r="S3697" s="382"/>
      <c r="T3697" s="383"/>
      <c r="U3697" s="384"/>
      <c r="V3697" s="12"/>
      <c r="W3697" s="12"/>
    </row>
    <row r="3698" spans="1:23" x14ac:dyDescent="0.3">
      <c r="A3698" s="193"/>
      <c r="B3698" s="378"/>
      <c r="C3698" s="315"/>
      <c r="D3698" s="316"/>
      <c r="E3698" s="315"/>
      <c r="F3698" s="315"/>
      <c r="G3698" s="315"/>
      <c r="H3698" s="153"/>
      <c r="I3698" s="12"/>
      <c r="J3698" s="12"/>
      <c r="K3698" s="12"/>
      <c r="L3698" s="379"/>
      <c r="M3698" s="380"/>
      <c r="N3698" s="380"/>
      <c r="O3698" s="12"/>
      <c r="P3698" s="381"/>
      <c r="Q3698" s="12"/>
      <c r="R3698" s="12"/>
      <c r="S3698" s="382"/>
      <c r="T3698" s="383"/>
      <c r="U3698" s="384"/>
      <c r="V3698" s="12"/>
      <c r="W3698" s="12"/>
    </row>
    <row r="3699" spans="1:23" x14ac:dyDescent="0.3">
      <c r="A3699" s="193"/>
      <c r="B3699" s="378"/>
      <c r="C3699" s="315"/>
      <c r="D3699" s="316"/>
      <c r="E3699" s="315"/>
      <c r="F3699" s="315"/>
      <c r="G3699" s="315"/>
      <c r="H3699" s="153"/>
      <c r="I3699" s="12"/>
      <c r="J3699" s="12"/>
      <c r="K3699" s="12"/>
      <c r="L3699" s="379"/>
      <c r="M3699" s="380"/>
      <c r="N3699" s="380"/>
      <c r="O3699" s="12"/>
      <c r="P3699" s="381"/>
      <c r="Q3699" s="12"/>
      <c r="R3699" s="12"/>
      <c r="S3699" s="382"/>
      <c r="T3699" s="383"/>
      <c r="U3699" s="384"/>
      <c r="V3699" s="12"/>
      <c r="W3699" s="12"/>
    </row>
    <row r="3700" spans="1:23" x14ac:dyDescent="0.3">
      <c r="A3700" s="193"/>
      <c r="B3700" s="378"/>
      <c r="C3700" s="315"/>
      <c r="D3700" s="316"/>
      <c r="E3700" s="315"/>
      <c r="F3700" s="315"/>
      <c r="G3700" s="315"/>
      <c r="H3700" s="153"/>
      <c r="I3700" s="12"/>
      <c r="J3700" s="12"/>
      <c r="K3700" s="12"/>
      <c r="L3700" s="379"/>
      <c r="M3700" s="380"/>
      <c r="N3700" s="380"/>
      <c r="O3700" s="12"/>
      <c r="P3700" s="381"/>
      <c r="Q3700" s="12"/>
      <c r="R3700" s="12"/>
      <c r="S3700" s="382"/>
      <c r="T3700" s="383"/>
      <c r="U3700" s="384"/>
      <c r="V3700" s="12"/>
      <c r="W3700" s="12"/>
    </row>
    <row r="3701" spans="1:23" x14ac:dyDescent="0.3">
      <c r="A3701" s="193"/>
      <c r="B3701" s="378"/>
      <c r="C3701" s="315"/>
      <c r="D3701" s="316"/>
      <c r="E3701" s="315"/>
      <c r="F3701" s="315"/>
      <c r="G3701" s="315"/>
      <c r="H3701" s="153"/>
      <c r="I3701" s="12"/>
      <c r="J3701" s="12"/>
      <c r="K3701" s="12"/>
      <c r="L3701" s="379"/>
      <c r="M3701" s="380"/>
      <c r="N3701" s="380"/>
      <c r="O3701" s="12"/>
      <c r="P3701" s="381"/>
      <c r="Q3701" s="12"/>
      <c r="R3701" s="12"/>
      <c r="S3701" s="382"/>
      <c r="T3701" s="383"/>
      <c r="U3701" s="384"/>
      <c r="V3701" s="12"/>
      <c r="W3701" s="12"/>
    </row>
    <row r="3702" spans="1:23" x14ac:dyDescent="0.3">
      <c r="A3702" s="193"/>
      <c r="B3702" s="378"/>
      <c r="C3702" s="315"/>
      <c r="D3702" s="316"/>
      <c r="E3702" s="315"/>
      <c r="F3702" s="315"/>
      <c r="G3702" s="315"/>
      <c r="H3702" s="153"/>
      <c r="I3702" s="12"/>
      <c r="J3702" s="12"/>
      <c r="K3702" s="12"/>
      <c r="L3702" s="379"/>
      <c r="M3702" s="380"/>
      <c r="N3702" s="380"/>
      <c r="O3702" s="12"/>
      <c r="P3702" s="381"/>
      <c r="Q3702" s="12"/>
      <c r="R3702" s="12"/>
      <c r="S3702" s="382"/>
      <c r="T3702" s="383"/>
      <c r="U3702" s="384"/>
      <c r="V3702" s="12"/>
      <c r="W3702" s="12"/>
    </row>
    <row r="3703" spans="1:23" x14ac:dyDescent="0.3">
      <c r="A3703" s="193"/>
      <c r="B3703" s="378"/>
      <c r="C3703" s="315"/>
      <c r="D3703" s="316"/>
      <c r="E3703" s="315"/>
      <c r="F3703" s="315"/>
      <c r="G3703" s="315"/>
      <c r="H3703" s="153"/>
      <c r="I3703" s="12"/>
      <c r="J3703" s="12"/>
      <c r="K3703" s="12"/>
      <c r="L3703" s="379"/>
      <c r="M3703" s="380"/>
      <c r="N3703" s="380"/>
      <c r="O3703" s="12"/>
      <c r="P3703" s="381"/>
      <c r="Q3703" s="12"/>
      <c r="R3703" s="12"/>
      <c r="S3703" s="382"/>
      <c r="T3703" s="383"/>
      <c r="U3703" s="384"/>
      <c r="V3703" s="12"/>
      <c r="W3703" s="12"/>
    </row>
    <row r="3704" spans="1:23" x14ac:dyDescent="0.3">
      <c r="A3704" s="193"/>
      <c r="B3704" s="378"/>
      <c r="C3704" s="315"/>
      <c r="D3704" s="316"/>
      <c r="E3704" s="315"/>
      <c r="F3704" s="315"/>
      <c r="G3704" s="315"/>
      <c r="H3704" s="153"/>
      <c r="I3704" s="12"/>
      <c r="J3704" s="12"/>
      <c r="K3704" s="12"/>
      <c r="L3704" s="379"/>
      <c r="M3704" s="380"/>
      <c r="N3704" s="380"/>
      <c r="O3704" s="12"/>
      <c r="P3704" s="381"/>
      <c r="Q3704" s="12"/>
      <c r="R3704" s="12"/>
      <c r="S3704" s="382"/>
      <c r="T3704" s="383"/>
      <c r="U3704" s="384"/>
      <c r="V3704" s="12"/>
      <c r="W3704" s="12"/>
    </row>
    <row r="3705" spans="1:23" x14ac:dyDescent="0.3">
      <c r="A3705" s="193"/>
      <c r="B3705" s="378"/>
      <c r="C3705" s="315"/>
      <c r="D3705" s="316"/>
      <c r="E3705" s="315"/>
      <c r="F3705" s="315"/>
      <c r="G3705" s="315"/>
      <c r="H3705" s="153"/>
      <c r="I3705" s="12"/>
      <c r="J3705" s="12"/>
      <c r="K3705" s="12"/>
      <c r="L3705" s="379"/>
      <c r="M3705" s="380"/>
      <c r="N3705" s="380"/>
      <c r="O3705" s="12"/>
      <c r="P3705" s="381"/>
      <c r="Q3705" s="12"/>
      <c r="R3705" s="12"/>
      <c r="S3705" s="382"/>
      <c r="T3705" s="383"/>
      <c r="U3705" s="384"/>
      <c r="V3705" s="12"/>
      <c r="W3705" s="12"/>
    </row>
    <row r="3706" spans="1:23" x14ac:dyDescent="0.3">
      <c r="A3706" s="193"/>
      <c r="B3706" s="378"/>
      <c r="C3706" s="315"/>
      <c r="D3706" s="316"/>
      <c r="E3706" s="315"/>
      <c r="F3706" s="315"/>
      <c r="G3706" s="315"/>
      <c r="H3706" s="153"/>
      <c r="I3706" s="12"/>
      <c r="J3706" s="12"/>
      <c r="K3706" s="12"/>
      <c r="L3706" s="379"/>
      <c r="M3706" s="380"/>
      <c r="N3706" s="380"/>
      <c r="O3706" s="12"/>
      <c r="P3706" s="381"/>
      <c r="Q3706" s="12"/>
      <c r="R3706" s="12"/>
      <c r="S3706" s="382"/>
      <c r="T3706" s="383"/>
      <c r="U3706" s="384"/>
      <c r="V3706" s="12"/>
      <c r="W3706" s="12"/>
    </row>
    <row r="3707" spans="1:23" x14ac:dyDescent="0.3">
      <c r="A3707" s="193"/>
      <c r="B3707" s="378"/>
      <c r="C3707" s="315"/>
      <c r="D3707" s="316"/>
      <c r="E3707" s="315"/>
      <c r="F3707" s="315"/>
      <c r="G3707" s="315"/>
      <c r="H3707" s="153"/>
      <c r="I3707" s="12"/>
      <c r="J3707" s="12"/>
      <c r="K3707" s="12"/>
      <c r="L3707" s="379"/>
      <c r="M3707" s="380"/>
      <c r="N3707" s="380"/>
      <c r="O3707" s="12"/>
      <c r="P3707" s="381"/>
      <c r="Q3707" s="12"/>
      <c r="R3707" s="12"/>
      <c r="S3707" s="382"/>
      <c r="T3707" s="383"/>
      <c r="U3707" s="384"/>
      <c r="V3707" s="12"/>
      <c r="W3707" s="12"/>
    </row>
    <row r="3708" spans="1:23" x14ac:dyDescent="0.3">
      <c r="A3708" s="193"/>
      <c r="B3708" s="378"/>
      <c r="C3708" s="315"/>
      <c r="D3708" s="316"/>
      <c r="E3708" s="315"/>
      <c r="F3708" s="315"/>
      <c r="G3708" s="315"/>
      <c r="H3708" s="153"/>
      <c r="I3708" s="12"/>
      <c r="J3708" s="12"/>
      <c r="K3708" s="12"/>
      <c r="L3708" s="379"/>
      <c r="M3708" s="380"/>
      <c r="N3708" s="380"/>
      <c r="O3708" s="12"/>
      <c r="P3708" s="381"/>
      <c r="Q3708" s="12"/>
      <c r="R3708" s="12"/>
      <c r="S3708" s="382"/>
      <c r="T3708" s="383"/>
      <c r="U3708" s="384"/>
      <c r="V3708" s="12"/>
      <c r="W3708" s="12"/>
    </row>
    <row r="3709" spans="1:23" x14ac:dyDescent="0.3">
      <c r="A3709" s="193"/>
      <c r="B3709" s="378"/>
      <c r="C3709" s="315"/>
      <c r="D3709" s="316"/>
      <c r="E3709" s="315"/>
      <c r="F3709" s="315"/>
      <c r="G3709" s="315"/>
      <c r="H3709" s="153"/>
      <c r="I3709" s="12"/>
      <c r="J3709" s="12"/>
      <c r="K3709" s="12"/>
      <c r="L3709" s="379"/>
      <c r="M3709" s="380"/>
      <c r="N3709" s="380"/>
      <c r="O3709" s="12"/>
      <c r="P3709" s="381"/>
      <c r="Q3709" s="12"/>
      <c r="R3709" s="12"/>
      <c r="S3709" s="382"/>
      <c r="T3709" s="383"/>
      <c r="U3709" s="384"/>
      <c r="V3709" s="12"/>
      <c r="W3709" s="12"/>
    </row>
    <row r="3710" spans="1:23" x14ac:dyDescent="0.3">
      <c r="A3710" s="193"/>
      <c r="B3710" s="378"/>
      <c r="C3710" s="315"/>
      <c r="D3710" s="316"/>
      <c r="E3710" s="315"/>
      <c r="F3710" s="315"/>
      <c r="G3710" s="315"/>
      <c r="H3710" s="153"/>
      <c r="I3710" s="12"/>
      <c r="J3710" s="12"/>
      <c r="K3710" s="12"/>
      <c r="L3710" s="379"/>
      <c r="M3710" s="380"/>
      <c r="N3710" s="380"/>
      <c r="O3710" s="12"/>
      <c r="P3710" s="381"/>
      <c r="Q3710" s="12"/>
      <c r="R3710" s="12"/>
      <c r="S3710" s="382"/>
      <c r="T3710" s="383"/>
      <c r="U3710" s="384"/>
      <c r="V3710" s="12"/>
      <c r="W3710" s="12"/>
    </row>
    <row r="3711" spans="1:23" x14ac:dyDescent="0.3">
      <c r="A3711" s="193"/>
      <c r="B3711" s="378"/>
      <c r="C3711" s="315"/>
      <c r="D3711" s="316"/>
      <c r="E3711" s="315"/>
      <c r="F3711" s="315"/>
      <c r="G3711" s="315"/>
      <c r="H3711" s="153"/>
      <c r="I3711" s="12"/>
      <c r="J3711" s="12"/>
      <c r="K3711" s="12"/>
      <c r="L3711" s="379"/>
      <c r="M3711" s="380"/>
      <c r="N3711" s="380"/>
      <c r="O3711" s="12"/>
      <c r="P3711" s="381"/>
      <c r="Q3711" s="12"/>
      <c r="R3711" s="12"/>
      <c r="S3711" s="382"/>
      <c r="T3711" s="383"/>
      <c r="U3711" s="384"/>
      <c r="V3711" s="12"/>
      <c r="W3711" s="12"/>
    </row>
    <row r="3712" spans="1:23" x14ac:dyDescent="0.3">
      <c r="A3712" s="193"/>
      <c r="B3712" s="378"/>
      <c r="C3712" s="315"/>
      <c r="D3712" s="316"/>
      <c r="E3712" s="315"/>
      <c r="F3712" s="315"/>
      <c r="G3712" s="315"/>
      <c r="H3712" s="153"/>
      <c r="I3712" s="12"/>
      <c r="J3712" s="12"/>
      <c r="K3712" s="12"/>
      <c r="L3712" s="379"/>
      <c r="M3712" s="380"/>
      <c r="N3712" s="380"/>
      <c r="O3712" s="12"/>
      <c r="P3712" s="381"/>
      <c r="Q3712" s="12"/>
      <c r="R3712" s="12"/>
      <c r="S3712" s="382"/>
      <c r="T3712" s="383"/>
      <c r="U3712" s="384"/>
      <c r="V3712" s="12"/>
      <c r="W3712" s="12"/>
    </row>
    <row r="3713" spans="1:23" x14ac:dyDescent="0.3">
      <c r="A3713" s="193"/>
      <c r="B3713" s="378"/>
      <c r="C3713" s="315"/>
      <c r="D3713" s="316"/>
      <c r="E3713" s="315"/>
      <c r="F3713" s="315"/>
      <c r="G3713" s="315"/>
      <c r="H3713" s="153"/>
      <c r="I3713" s="12"/>
      <c r="J3713" s="12"/>
      <c r="K3713" s="12"/>
      <c r="L3713" s="379"/>
      <c r="M3713" s="380"/>
      <c r="N3713" s="380"/>
      <c r="O3713" s="12"/>
      <c r="P3713" s="381"/>
      <c r="Q3713" s="12"/>
      <c r="R3713" s="12"/>
      <c r="S3713" s="382"/>
      <c r="T3713" s="383"/>
      <c r="U3713" s="384"/>
      <c r="V3713" s="12"/>
      <c r="W3713" s="12"/>
    </row>
    <row r="3714" spans="1:23" x14ac:dyDescent="0.3">
      <c r="A3714" s="193"/>
      <c r="B3714" s="378"/>
      <c r="C3714" s="315"/>
      <c r="D3714" s="316"/>
      <c r="E3714" s="315"/>
      <c r="F3714" s="315"/>
      <c r="G3714" s="315"/>
      <c r="H3714" s="153"/>
      <c r="I3714" s="12"/>
      <c r="J3714" s="12"/>
      <c r="K3714" s="12"/>
      <c r="L3714" s="379"/>
      <c r="M3714" s="380"/>
      <c r="N3714" s="380"/>
      <c r="O3714" s="12"/>
      <c r="P3714" s="381"/>
      <c r="Q3714" s="12"/>
      <c r="R3714" s="12"/>
      <c r="S3714" s="382"/>
      <c r="T3714" s="383"/>
      <c r="U3714" s="384"/>
      <c r="V3714" s="12"/>
      <c r="W3714" s="12"/>
    </row>
    <row r="3715" spans="1:23" x14ac:dyDescent="0.3">
      <c r="A3715" s="193"/>
      <c r="B3715" s="378"/>
      <c r="C3715" s="315"/>
      <c r="D3715" s="316"/>
      <c r="E3715" s="315"/>
      <c r="F3715" s="315"/>
      <c r="G3715" s="315"/>
      <c r="H3715" s="153"/>
      <c r="I3715" s="12"/>
      <c r="J3715" s="12"/>
      <c r="K3715" s="12"/>
      <c r="L3715" s="379"/>
      <c r="M3715" s="380"/>
      <c r="N3715" s="380"/>
      <c r="O3715" s="12"/>
      <c r="P3715" s="381"/>
      <c r="Q3715" s="12"/>
      <c r="R3715" s="12"/>
      <c r="S3715" s="382"/>
      <c r="T3715" s="383"/>
      <c r="U3715" s="384"/>
      <c r="V3715" s="12"/>
      <c r="W3715" s="12"/>
    </row>
    <row r="3716" spans="1:23" x14ac:dyDescent="0.3">
      <c r="A3716" s="193"/>
      <c r="B3716" s="378"/>
      <c r="C3716" s="315"/>
      <c r="D3716" s="316"/>
      <c r="E3716" s="315"/>
      <c r="F3716" s="315"/>
      <c r="G3716" s="315"/>
      <c r="H3716" s="153"/>
      <c r="I3716" s="12"/>
      <c r="J3716" s="12"/>
      <c r="K3716" s="12"/>
      <c r="L3716" s="379"/>
      <c r="M3716" s="380"/>
      <c r="N3716" s="380"/>
      <c r="O3716" s="12"/>
      <c r="P3716" s="381"/>
      <c r="Q3716" s="12"/>
      <c r="R3716" s="12"/>
      <c r="S3716" s="382"/>
      <c r="T3716" s="383"/>
      <c r="U3716" s="384"/>
      <c r="V3716" s="12"/>
      <c r="W3716" s="12"/>
    </row>
    <row r="3717" spans="1:23" x14ac:dyDescent="0.3">
      <c r="A3717" s="193"/>
      <c r="B3717" s="378"/>
      <c r="C3717" s="315"/>
      <c r="D3717" s="316"/>
      <c r="E3717" s="315"/>
      <c r="F3717" s="315"/>
      <c r="G3717" s="315"/>
      <c r="H3717" s="153"/>
      <c r="I3717" s="12"/>
      <c r="J3717" s="12"/>
      <c r="K3717" s="12"/>
      <c r="L3717" s="379"/>
      <c r="M3717" s="380"/>
      <c r="N3717" s="380"/>
      <c r="O3717" s="12"/>
      <c r="P3717" s="381"/>
      <c r="Q3717" s="12"/>
      <c r="R3717" s="12"/>
      <c r="S3717" s="382"/>
      <c r="T3717" s="383"/>
      <c r="U3717" s="384"/>
      <c r="V3717" s="12"/>
      <c r="W3717" s="12"/>
    </row>
    <row r="3718" spans="1:23" x14ac:dyDescent="0.3">
      <c r="A3718" s="193"/>
      <c r="B3718" s="378"/>
      <c r="C3718" s="315"/>
      <c r="D3718" s="316"/>
      <c r="E3718" s="315"/>
      <c r="F3718" s="315"/>
      <c r="G3718" s="315"/>
      <c r="H3718" s="153"/>
      <c r="I3718" s="12"/>
      <c r="J3718" s="12"/>
      <c r="K3718" s="12"/>
      <c r="L3718" s="379"/>
      <c r="M3718" s="380"/>
      <c r="N3718" s="380"/>
      <c r="O3718" s="12"/>
      <c r="P3718" s="381"/>
      <c r="Q3718" s="12"/>
      <c r="R3718" s="12"/>
      <c r="S3718" s="382"/>
      <c r="T3718" s="383"/>
      <c r="U3718" s="384"/>
      <c r="V3718" s="12"/>
      <c r="W3718" s="12"/>
    </row>
    <row r="3719" spans="1:23" x14ac:dyDescent="0.3">
      <c r="A3719" s="193"/>
      <c r="B3719" s="378"/>
      <c r="C3719" s="315"/>
      <c r="D3719" s="316"/>
      <c r="E3719" s="315"/>
      <c r="F3719" s="315"/>
      <c r="G3719" s="315"/>
      <c r="H3719" s="153"/>
      <c r="I3719" s="12"/>
      <c r="J3719" s="12"/>
      <c r="K3719" s="12"/>
      <c r="L3719" s="379"/>
      <c r="M3719" s="380"/>
      <c r="N3719" s="380"/>
      <c r="O3719" s="12"/>
      <c r="P3719" s="381"/>
      <c r="Q3719" s="12"/>
      <c r="R3719" s="12"/>
      <c r="S3719" s="382"/>
      <c r="T3719" s="383"/>
      <c r="U3719" s="384"/>
      <c r="V3719" s="12"/>
      <c r="W3719" s="12"/>
    </row>
    <row r="3720" spans="1:23" x14ac:dyDescent="0.3">
      <c r="A3720" s="193"/>
      <c r="B3720" s="378"/>
      <c r="C3720" s="315"/>
      <c r="D3720" s="316"/>
      <c r="E3720" s="315"/>
      <c r="F3720" s="315"/>
      <c r="G3720" s="315"/>
      <c r="H3720" s="153"/>
      <c r="I3720" s="12"/>
      <c r="J3720" s="12"/>
      <c r="K3720" s="12"/>
      <c r="L3720" s="379"/>
      <c r="M3720" s="380"/>
      <c r="N3720" s="380"/>
      <c r="O3720" s="12"/>
      <c r="P3720" s="381"/>
      <c r="Q3720" s="12"/>
      <c r="R3720" s="12"/>
      <c r="S3720" s="382"/>
      <c r="T3720" s="383"/>
      <c r="U3720" s="384"/>
      <c r="V3720" s="12"/>
      <c r="W3720" s="12"/>
    </row>
    <row r="3721" spans="1:23" x14ac:dyDescent="0.3">
      <c r="A3721" s="193"/>
      <c r="B3721" s="378"/>
      <c r="C3721" s="315"/>
      <c r="D3721" s="316"/>
      <c r="E3721" s="315"/>
      <c r="F3721" s="315"/>
      <c r="G3721" s="315"/>
      <c r="H3721" s="153"/>
      <c r="I3721" s="12"/>
      <c r="J3721" s="12"/>
      <c r="K3721" s="12"/>
      <c r="L3721" s="379"/>
      <c r="M3721" s="380"/>
      <c r="N3721" s="380"/>
      <c r="O3721" s="12"/>
      <c r="P3721" s="381"/>
      <c r="Q3721" s="12"/>
      <c r="R3721" s="12"/>
      <c r="S3721" s="382"/>
      <c r="T3721" s="383"/>
      <c r="U3721" s="384"/>
      <c r="V3721" s="12"/>
      <c r="W3721" s="12"/>
    </row>
    <row r="3722" spans="1:23" x14ac:dyDescent="0.3">
      <c r="A3722" s="193"/>
      <c r="B3722" s="378"/>
      <c r="C3722" s="315"/>
      <c r="D3722" s="316"/>
      <c r="E3722" s="315"/>
      <c r="F3722" s="315"/>
      <c r="G3722" s="315"/>
      <c r="H3722" s="153"/>
      <c r="I3722" s="12"/>
      <c r="J3722" s="12"/>
      <c r="K3722" s="12"/>
      <c r="L3722" s="379"/>
      <c r="M3722" s="380"/>
      <c r="N3722" s="380"/>
      <c r="O3722" s="12"/>
      <c r="P3722" s="381"/>
      <c r="Q3722" s="12"/>
      <c r="R3722" s="12"/>
      <c r="S3722" s="382"/>
      <c r="T3722" s="383"/>
      <c r="U3722" s="384"/>
      <c r="V3722" s="12"/>
      <c r="W3722" s="12"/>
    </row>
    <row r="3723" spans="1:23" x14ac:dyDescent="0.3">
      <c r="A3723" s="193"/>
      <c r="B3723" s="378"/>
      <c r="C3723" s="315"/>
      <c r="D3723" s="316"/>
      <c r="E3723" s="315"/>
      <c r="F3723" s="315"/>
      <c r="G3723" s="315"/>
      <c r="H3723" s="153"/>
      <c r="I3723" s="12"/>
      <c r="J3723" s="12"/>
      <c r="K3723" s="12"/>
      <c r="L3723" s="379"/>
      <c r="M3723" s="380"/>
      <c r="N3723" s="380"/>
      <c r="O3723" s="12"/>
      <c r="P3723" s="381"/>
      <c r="Q3723" s="12"/>
      <c r="R3723" s="12"/>
      <c r="S3723" s="382"/>
      <c r="T3723" s="383"/>
      <c r="U3723" s="384"/>
      <c r="V3723" s="12"/>
      <c r="W3723" s="12"/>
    </row>
    <row r="3724" spans="1:23" x14ac:dyDescent="0.3">
      <c r="A3724" s="193"/>
      <c r="B3724" s="378"/>
      <c r="C3724" s="315"/>
      <c r="D3724" s="316"/>
      <c r="E3724" s="315"/>
      <c r="F3724" s="315"/>
      <c r="G3724" s="315"/>
      <c r="H3724" s="153"/>
      <c r="I3724" s="12"/>
      <c r="J3724" s="12"/>
      <c r="K3724" s="12"/>
      <c r="L3724" s="379"/>
      <c r="M3724" s="380"/>
      <c r="N3724" s="380"/>
      <c r="O3724" s="12"/>
      <c r="P3724" s="381"/>
      <c r="Q3724" s="12"/>
      <c r="R3724" s="12"/>
      <c r="S3724" s="382"/>
      <c r="T3724" s="383"/>
      <c r="U3724" s="384"/>
      <c r="V3724" s="12"/>
      <c r="W3724" s="12"/>
    </row>
    <row r="3725" spans="1:23" x14ac:dyDescent="0.3">
      <c r="A3725" s="193"/>
      <c r="B3725" s="378"/>
      <c r="C3725" s="315"/>
      <c r="D3725" s="316"/>
      <c r="E3725" s="315"/>
      <c r="F3725" s="315"/>
      <c r="G3725" s="315"/>
      <c r="H3725" s="153"/>
      <c r="I3725" s="12"/>
      <c r="J3725" s="12"/>
      <c r="K3725" s="12"/>
      <c r="L3725" s="379"/>
      <c r="M3725" s="380"/>
      <c r="N3725" s="380"/>
      <c r="O3725" s="12"/>
      <c r="P3725" s="381"/>
      <c r="Q3725" s="12"/>
      <c r="R3725" s="12"/>
      <c r="S3725" s="382"/>
      <c r="T3725" s="383"/>
      <c r="U3725" s="384"/>
      <c r="V3725" s="12"/>
      <c r="W3725" s="12"/>
    </row>
    <row r="3726" spans="1:23" x14ac:dyDescent="0.3">
      <c r="A3726" s="193"/>
      <c r="B3726" s="378"/>
      <c r="C3726" s="315"/>
      <c r="D3726" s="316"/>
      <c r="E3726" s="315"/>
      <c r="F3726" s="315"/>
      <c r="G3726" s="315"/>
      <c r="H3726" s="153"/>
      <c r="I3726" s="12"/>
      <c r="J3726" s="12"/>
      <c r="K3726" s="12"/>
      <c r="L3726" s="379"/>
      <c r="M3726" s="380"/>
      <c r="N3726" s="380"/>
      <c r="O3726" s="12"/>
      <c r="P3726" s="381"/>
      <c r="Q3726" s="12"/>
      <c r="R3726" s="12"/>
      <c r="S3726" s="382"/>
      <c r="T3726" s="383"/>
      <c r="U3726" s="384"/>
      <c r="V3726" s="12"/>
      <c r="W3726" s="12"/>
    </row>
    <row r="3727" spans="1:23" x14ac:dyDescent="0.3">
      <c r="A3727" s="193"/>
      <c r="B3727" s="378"/>
      <c r="C3727" s="315"/>
      <c r="D3727" s="316"/>
      <c r="E3727" s="315"/>
      <c r="F3727" s="315"/>
      <c r="G3727" s="315"/>
      <c r="H3727" s="153"/>
      <c r="I3727" s="12"/>
      <c r="J3727" s="12"/>
      <c r="K3727" s="12"/>
      <c r="L3727" s="379"/>
      <c r="M3727" s="380"/>
      <c r="N3727" s="380"/>
      <c r="O3727" s="12"/>
      <c r="P3727" s="381"/>
      <c r="Q3727" s="12"/>
      <c r="R3727" s="12"/>
      <c r="S3727" s="382"/>
      <c r="T3727" s="383"/>
      <c r="U3727" s="384"/>
      <c r="V3727" s="12"/>
      <c r="W3727" s="12"/>
    </row>
    <row r="3728" spans="1:23" x14ac:dyDescent="0.3">
      <c r="A3728" s="193"/>
      <c r="B3728" s="378"/>
      <c r="C3728" s="315"/>
      <c r="D3728" s="316"/>
      <c r="E3728" s="315"/>
      <c r="F3728" s="315"/>
      <c r="G3728" s="315"/>
      <c r="H3728" s="153"/>
      <c r="I3728" s="12"/>
      <c r="J3728" s="12"/>
      <c r="K3728" s="12"/>
      <c r="L3728" s="379"/>
      <c r="M3728" s="380"/>
      <c r="N3728" s="380"/>
      <c r="O3728" s="12"/>
      <c r="P3728" s="381"/>
      <c r="Q3728" s="12"/>
      <c r="R3728" s="12"/>
      <c r="S3728" s="382"/>
      <c r="T3728" s="383"/>
      <c r="U3728" s="384"/>
      <c r="V3728" s="12"/>
      <c r="W3728" s="12"/>
    </row>
    <row r="3729" spans="1:23" x14ac:dyDescent="0.3">
      <c r="A3729" s="193"/>
      <c r="B3729" s="378"/>
      <c r="C3729" s="315"/>
      <c r="D3729" s="316"/>
      <c r="E3729" s="315"/>
      <c r="F3729" s="315"/>
      <c r="G3729" s="315"/>
      <c r="H3729" s="153"/>
      <c r="I3729" s="12"/>
      <c r="J3729" s="12"/>
      <c r="K3729" s="12"/>
      <c r="L3729" s="379"/>
      <c r="M3729" s="380"/>
      <c r="N3729" s="380"/>
      <c r="O3729" s="12"/>
      <c r="P3729" s="381"/>
      <c r="Q3729" s="12"/>
      <c r="R3729" s="12"/>
      <c r="S3729" s="382"/>
      <c r="T3729" s="383"/>
      <c r="U3729" s="384"/>
      <c r="V3729" s="12"/>
      <c r="W3729" s="12"/>
    </row>
    <row r="3730" spans="1:23" x14ac:dyDescent="0.3">
      <c r="A3730" s="193"/>
      <c r="B3730" s="378"/>
      <c r="C3730" s="315"/>
      <c r="D3730" s="316"/>
      <c r="E3730" s="315"/>
      <c r="F3730" s="315"/>
      <c r="G3730" s="315"/>
      <c r="H3730" s="153"/>
      <c r="I3730" s="12"/>
      <c r="J3730" s="12"/>
      <c r="K3730" s="12"/>
      <c r="L3730" s="379"/>
      <c r="M3730" s="380"/>
      <c r="N3730" s="380"/>
      <c r="O3730" s="12"/>
      <c r="P3730" s="381"/>
      <c r="Q3730" s="12"/>
      <c r="R3730" s="12"/>
      <c r="S3730" s="382"/>
      <c r="T3730" s="383"/>
      <c r="U3730" s="384"/>
      <c r="V3730" s="12"/>
      <c r="W3730" s="12"/>
    </row>
    <row r="3731" spans="1:23" x14ac:dyDescent="0.3">
      <c r="A3731" s="193"/>
      <c r="B3731" s="378"/>
      <c r="C3731" s="315"/>
      <c r="D3731" s="316"/>
      <c r="E3731" s="315"/>
      <c r="F3731" s="315"/>
      <c r="G3731" s="315"/>
      <c r="H3731" s="153"/>
      <c r="I3731" s="12"/>
      <c r="J3731" s="12"/>
      <c r="K3731" s="12"/>
      <c r="L3731" s="379"/>
      <c r="M3731" s="380"/>
      <c r="N3731" s="380"/>
      <c r="O3731" s="12"/>
      <c r="P3731" s="381"/>
      <c r="Q3731" s="12"/>
      <c r="R3731" s="12"/>
      <c r="S3731" s="382"/>
      <c r="T3731" s="383"/>
      <c r="U3731" s="384"/>
      <c r="V3731" s="12"/>
      <c r="W3731" s="12"/>
    </row>
    <row r="3732" spans="1:23" x14ac:dyDescent="0.3">
      <c r="A3732" s="193"/>
      <c r="B3732" s="378"/>
      <c r="C3732" s="315"/>
      <c r="D3732" s="316"/>
      <c r="E3732" s="315"/>
      <c r="F3732" s="315"/>
      <c r="G3732" s="315"/>
      <c r="H3732" s="153"/>
      <c r="I3732" s="12"/>
      <c r="J3732" s="12"/>
      <c r="K3732" s="12"/>
      <c r="L3732" s="379"/>
      <c r="M3732" s="380"/>
      <c r="N3732" s="380"/>
      <c r="O3732" s="12"/>
      <c r="P3732" s="381"/>
      <c r="Q3732" s="12"/>
      <c r="R3732" s="12"/>
      <c r="S3732" s="382"/>
      <c r="T3732" s="383"/>
      <c r="U3732" s="384"/>
      <c r="V3732" s="12"/>
      <c r="W3732" s="12"/>
    </row>
    <row r="3733" spans="1:23" x14ac:dyDescent="0.3">
      <c r="A3733" s="193"/>
      <c r="B3733" s="378"/>
      <c r="C3733" s="315"/>
      <c r="D3733" s="316"/>
      <c r="E3733" s="315"/>
      <c r="F3733" s="315"/>
      <c r="G3733" s="315"/>
      <c r="H3733" s="153"/>
      <c r="I3733" s="12"/>
      <c r="J3733" s="12"/>
      <c r="K3733" s="12"/>
      <c r="L3733" s="379"/>
      <c r="M3733" s="380"/>
      <c r="N3733" s="380"/>
      <c r="O3733" s="12"/>
      <c r="P3733" s="381"/>
      <c r="Q3733" s="12"/>
      <c r="R3733" s="12"/>
      <c r="S3733" s="382"/>
      <c r="T3733" s="383"/>
      <c r="U3733" s="384"/>
      <c r="V3733" s="12"/>
      <c r="W3733" s="12"/>
    </row>
    <row r="3734" spans="1:23" x14ac:dyDescent="0.3">
      <c r="A3734" s="193"/>
      <c r="B3734" s="378"/>
      <c r="C3734" s="315"/>
      <c r="D3734" s="316"/>
      <c r="E3734" s="315"/>
      <c r="F3734" s="315"/>
      <c r="G3734" s="315"/>
      <c r="H3734" s="153"/>
      <c r="I3734" s="12"/>
      <c r="J3734" s="12"/>
      <c r="K3734" s="12"/>
      <c r="L3734" s="379"/>
      <c r="M3734" s="380"/>
      <c r="N3734" s="380"/>
      <c r="O3734" s="12"/>
      <c r="P3734" s="381"/>
      <c r="Q3734" s="12"/>
      <c r="R3734" s="12"/>
      <c r="S3734" s="382"/>
      <c r="T3734" s="383"/>
      <c r="U3734" s="384"/>
      <c r="V3734" s="12"/>
      <c r="W3734" s="12"/>
    </row>
    <row r="3735" spans="1:23" x14ac:dyDescent="0.3">
      <c r="A3735" s="193"/>
      <c r="B3735" s="378"/>
      <c r="C3735" s="315"/>
      <c r="D3735" s="316"/>
      <c r="E3735" s="315"/>
      <c r="F3735" s="315"/>
      <c r="G3735" s="315"/>
      <c r="H3735" s="153"/>
      <c r="I3735" s="12"/>
      <c r="J3735" s="12"/>
      <c r="K3735" s="12"/>
      <c r="L3735" s="379"/>
      <c r="M3735" s="380"/>
      <c r="N3735" s="380"/>
      <c r="O3735" s="12"/>
      <c r="P3735" s="381"/>
      <c r="Q3735" s="12"/>
      <c r="R3735" s="12"/>
      <c r="S3735" s="382"/>
      <c r="T3735" s="383"/>
      <c r="U3735" s="384"/>
      <c r="V3735" s="12"/>
      <c r="W3735" s="12"/>
    </row>
    <row r="3736" spans="1:23" x14ac:dyDescent="0.3">
      <c r="A3736" s="193"/>
      <c r="B3736" s="378"/>
      <c r="C3736" s="315"/>
      <c r="D3736" s="316"/>
      <c r="E3736" s="315"/>
      <c r="F3736" s="315"/>
      <c r="G3736" s="315"/>
      <c r="H3736" s="153"/>
      <c r="I3736" s="12"/>
      <c r="J3736" s="12"/>
      <c r="K3736" s="12"/>
      <c r="L3736" s="379"/>
      <c r="M3736" s="380"/>
      <c r="N3736" s="380"/>
      <c r="O3736" s="12"/>
      <c r="P3736" s="381"/>
      <c r="Q3736" s="12"/>
      <c r="R3736" s="12"/>
      <c r="S3736" s="382"/>
      <c r="T3736" s="383"/>
      <c r="U3736" s="384"/>
      <c r="V3736" s="12"/>
      <c r="W3736" s="12"/>
    </row>
    <row r="3737" spans="1:23" x14ac:dyDescent="0.3">
      <c r="A3737" s="193"/>
      <c r="B3737" s="378"/>
      <c r="C3737" s="315"/>
      <c r="D3737" s="316"/>
      <c r="E3737" s="315"/>
      <c r="F3737" s="315"/>
      <c r="G3737" s="315"/>
      <c r="H3737" s="153"/>
      <c r="I3737" s="12"/>
      <c r="J3737" s="12"/>
      <c r="K3737" s="12"/>
      <c r="L3737" s="379"/>
      <c r="M3737" s="380"/>
      <c r="N3737" s="380"/>
      <c r="O3737" s="12"/>
      <c r="P3737" s="381"/>
      <c r="Q3737" s="12"/>
      <c r="R3737" s="12"/>
      <c r="S3737" s="382"/>
      <c r="T3737" s="383"/>
      <c r="U3737" s="384"/>
      <c r="V3737" s="12"/>
      <c r="W3737" s="12"/>
    </row>
    <row r="3738" spans="1:23" x14ac:dyDescent="0.3">
      <c r="A3738" s="193"/>
      <c r="B3738" s="378"/>
      <c r="C3738" s="315"/>
      <c r="D3738" s="316"/>
      <c r="E3738" s="315"/>
      <c r="F3738" s="315"/>
      <c r="G3738" s="315"/>
      <c r="H3738" s="153"/>
      <c r="I3738" s="12"/>
      <c r="J3738" s="12"/>
      <c r="K3738" s="12"/>
      <c r="L3738" s="379"/>
      <c r="M3738" s="380"/>
      <c r="N3738" s="380"/>
      <c r="O3738" s="12"/>
      <c r="P3738" s="381"/>
      <c r="Q3738" s="12"/>
      <c r="R3738" s="12"/>
      <c r="S3738" s="382"/>
      <c r="T3738" s="383"/>
      <c r="U3738" s="384"/>
      <c r="V3738" s="12"/>
      <c r="W3738" s="12"/>
    </row>
    <row r="3739" spans="1:23" x14ac:dyDescent="0.3">
      <c r="A3739" s="193"/>
      <c r="B3739" s="378"/>
      <c r="C3739" s="315"/>
      <c r="D3739" s="316"/>
      <c r="E3739" s="315"/>
      <c r="F3739" s="315"/>
      <c r="G3739" s="315"/>
      <c r="H3739" s="153"/>
      <c r="I3739" s="12"/>
      <c r="J3739" s="12"/>
      <c r="K3739" s="12"/>
      <c r="L3739" s="379"/>
      <c r="M3739" s="380"/>
      <c r="N3739" s="380"/>
      <c r="O3739" s="12"/>
      <c r="P3739" s="381"/>
      <c r="Q3739" s="12"/>
      <c r="R3739" s="12"/>
      <c r="S3739" s="382"/>
      <c r="T3739" s="383"/>
      <c r="U3739" s="384"/>
      <c r="V3739" s="12"/>
      <c r="W3739" s="12"/>
    </row>
    <row r="3740" spans="1:23" x14ac:dyDescent="0.3">
      <c r="A3740" s="193"/>
      <c r="B3740" s="378"/>
      <c r="C3740" s="315"/>
      <c r="D3740" s="316"/>
      <c r="E3740" s="315"/>
      <c r="F3740" s="315"/>
      <c r="G3740" s="315"/>
      <c r="H3740" s="153"/>
      <c r="I3740" s="12"/>
      <c r="J3740" s="12"/>
      <c r="K3740" s="12"/>
      <c r="L3740" s="379"/>
      <c r="M3740" s="380"/>
      <c r="N3740" s="380"/>
      <c r="O3740" s="12"/>
      <c r="P3740" s="381"/>
      <c r="Q3740" s="12"/>
      <c r="R3740" s="12"/>
      <c r="S3740" s="382"/>
      <c r="T3740" s="383"/>
      <c r="U3740" s="384"/>
      <c r="V3740" s="12"/>
      <c r="W3740" s="12"/>
    </row>
    <row r="3741" spans="1:23" x14ac:dyDescent="0.3">
      <c r="A3741" s="193"/>
      <c r="B3741" s="378"/>
      <c r="C3741" s="315"/>
      <c r="D3741" s="316"/>
      <c r="E3741" s="315"/>
      <c r="F3741" s="315"/>
      <c r="G3741" s="315"/>
      <c r="H3741" s="153"/>
      <c r="I3741" s="12"/>
      <c r="J3741" s="12"/>
      <c r="K3741" s="12"/>
      <c r="L3741" s="379"/>
      <c r="M3741" s="380"/>
      <c r="N3741" s="380"/>
      <c r="O3741" s="12"/>
      <c r="P3741" s="381"/>
      <c r="Q3741" s="12"/>
      <c r="R3741" s="12"/>
      <c r="S3741" s="382"/>
      <c r="T3741" s="383"/>
      <c r="U3741" s="384"/>
      <c r="V3741" s="12"/>
      <c r="W3741" s="12"/>
    </row>
    <row r="3742" spans="1:23" x14ac:dyDescent="0.3">
      <c r="A3742" s="193"/>
      <c r="B3742" s="378"/>
      <c r="C3742" s="315"/>
      <c r="D3742" s="316"/>
      <c r="E3742" s="315"/>
      <c r="F3742" s="315"/>
      <c r="G3742" s="315"/>
      <c r="H3742" s="153"/>
      <c r="I3742" s="12"/>
      <c r="J3742" s="12"/>
      <c r="K3742" s="12"/>
      <c r="L3742" s="379"/>
      <c r="M3742" s="380"/>
      <c r="N3742" s="380"/>
      <c r="O3742" s="12"/>
      <c r="P3742" s="381"/>
      <c r="Q3742" s="12"/>
      <c r="R3742" s="12"/>
      <c r="S3742" s="382"/>
      <c r="T3742" s="383"/>
      <c r="U3742" s="384"/>
      <c r="V3742" s="12"/>
      <c r="W3742" s="12"/>
    </row>
    <row r="3743" spans="1:23" x14ac:dyDescent="0.3">
      <c r="A3743" s="193"/>
      <c r="B3743" s="378"/>
      <c r="C3743" s="315"/>
      <c r="D3743" s="316"/>
      <c r="E3743" s="315"/>
      <c r="F3743" s="315"/>
      <c r="G3743" s="315"/>
      <c r="H3743" s="153"/>
      <c r="I3743" s="12"/>
      <c r="J3743" s="12"/>
      <c r="K3743" s="12"/>
      <c r="L3743" s="379"/>
      <c r="M3743" s="380"/>
      <c r="N3743" s="380"/>
      <c r="O3743" s="12"/>
      <c r="P3743" s="381"/>
      <c r="Q3743" s="12"/>
      <c r="R3743" s="12"/>
      <c r="S3743" s="382"/>
      <c r="T3743" s="383"/>
      <c r="U3743" s="384"/>
      <c r="V3743" s="12"/>
      <c r="W3743" s="12"/>
    </row>
    <row r="3744" spans="1:23" x14ac:dyDescent="0.3">
      <c r="A3744" s="193"/>
      <c r="B3744" s="378"/>
      <c r="C3744" s="315"/>
      <c r="D3744" s="316"/>
      <c r="E3744" s="315"/>
      <c r="F3744" s="315"/>
      <c r="G3744" s="315"/>
      <c r="H3744" s="153"/>
      <c r="I3744" s="12"/>
      <c r="J3744" s="12"/>
      <c r="K3744" s="12"/>
      <c r="L3744" s="379"/>
      <c r="M3744" s="380"/>
      <c r="N3744" s="380"/>
      <c r="O3744" s="12"/>
      <c r="P3744" s="381"/>
      <c r="Q3744" s="12"/>
      <c r="R3744" s="12"/>
      <c r="S3744" s="382"/>
      <c r="T3744" s="383"/>
      <c r="U3744" s="384"/>
      <c r="V3744" s="12"/>
      <c r="W3744" s="12"/>
    </row>
    <row r="3745" spans="1:23" x14ac:dyDescent="0.3">
      <c r="A3745" s="193"/>
      <c r="B3745" s="378"/>
      <c r="C3745" s="315"/>
      <c r="D3745" s="316"/>
      <c r="E3745" s="315"/>
      <c r="F3745" s="315"/>
      <c r="G3745" s="315"/>
      <c r="H3745" s="153"/>
      <c r="I3745" s="12"/>
      <c r="J3745" s="12"/>
      <c r="K3745" s="12"/>
      <c r="L3745" s="379"/>
      <c r="M3745" s="380"/>
      <c r="N3745" s="380"/>
      <c r="O3745" s="12"/>
      <c r="P3745" s="381"/>
      <c r="Q3745" s="12"/>
      <c r="R3745" s="12"/>
      <c r="S3745" s="382"/>
      <c r="T3745" s="383"/>
      <c r="U3745" s="384"/>
      <c r="V3745" s="12"/>
      <c r="W3745" s="12"/>
    </row>
    <row r="3746" spans="1:23" x14ac:dyDescent="0.3">
      <c r="A3746" s="193"/>
      <c r="B3746" s="378"/>
      <c r="C3746" s="315"/>
      <c r="D3746" s="316"/>
      <c r="E3746" s="315"/>
      <c r="F3746" s="315"/>
      <c r="G3746" s="315"/>
      <c r="H3746" s="153"/>
      <c r="I3746" s="12"/>
      <c r="J3746" s="12"/>
      <c r="K3746" s="12"/>
      <c r="L3746" s="379"/>
      <c r="M3746" s="380"/>
      <c r="N3746" s="380"/>
      <c r="O3746" s="12"/>
      <c r="P3746" s="381"/>
      <c r="Q3746" s="12"/>
      <c r="R3746" s="12"/>
      <c r="S3746" s="382"/>
      <c r="T3746" s="383"/>
      <c r="U3746" s="384"/>
      <c r="V3746" s="12"/>
      <c r="W3746" s="12"/>
    </row>
    <row r="3747" spans="1:23" x14ac:dyDescent="0.3">
      <c r="A3747" s="193"/>
      <c r="B3747" s="378"/>
      <c r="C3747" s="315"/>
      <c r="D3747" s="316"/>
      <c r="E3747" s="315"/>
      <c r="F3747" s="315"/>
      <c r="G3747" s="315"/>
      <c r="H3747" s="153"/>
      <c r="I3747" s="12"/>
      <c r="J3747" s="12"/>
      <c r="K3747" s="12"/>
      <c r="L3747" s="379"/>
      <c r="M3747" s="380"/>
      <c r="N3747" s="380"/>
      <c r="O3747" s="12"/>
      <c r="P3747" s="381"/>
      <c r="Q3747" s="12"/>
      <c r="R3747" s="12"/>
      <c r="S3747" s="382"/>
      <c r="T3747" s="383"/>
      <c r="U3747" s="384"/>
      <c r="V3747" s="12"/>
      <c r="W3747" s="12"/>
    </row>
    <row r="3748" spans="1:23" x14ac:dyDescent="0.3">
      <c r="A3748" s="193"/>
      <c r="B3748" s="378"/>
      <c r="C3748" s="315"/>
      <c r="D3748" s="316"/>
      <c r="E3748" s="315"/>
      <c r="F3748" s="315"/>
      <c r="G3748" s="315"/>
      <c r="H3748" s="153"/>
      <c r="I3748" s="12"/>
      <c r="J3748" s="12"/>
      <c r="K3748" s="12"/>
      <c r="L3748" s="379"/>
      <c r="M3748" s="380"/>
      <c r="N3748" s="380"/>
      <c r="O3748" s="12"/>
      <c r="P3748" s="381"/>
      <c r="Q3748" s="12"/>
      <c r="R3748" s="12"/>
      <c r="S3748" s="382"/>
      <c r="T3748" s="383"/>
      <c r="U3748" s="384"/>
      <c r="V3748" s="12"/>
      <c r="W3748" s="12"/>
    </row>
    <row r="3749" spans="1:23" x14ac:dyDescent="0.3">
      <c r="A3749" s="193"/>
      <c r="B3749" s="378"/>
      <c r="C3749" s="315"/>
      <c r="D3749" s="316"/>
      <c r="E3749" s="315"/>
      <c r="F3749" s="315"/>
      <c r="G3749" s="315"/>
      <c r="H3749" s="153"/>
      <c r="I3749" s="12"/>
      <c r="J3749" s="12"/>
      <c r="K3749" s="12"/>
      <c r="L3749" s="379"/>
      <c r="M3749" s="380"/>
      <c r="N3749" s="380"/>
      <c r="O3749" s="12"/>
      <c r="P3749" s="381"/>
      <c r="Q3749" s="12"/>
      <c r="R3749" s="12"/>
      <c r="S3749" s="382"/>
      <c r="T3749" s="383"/>
      <c r="U3749" s="384"/>
      <c r="V3749" s="12"/>
      <c r="W3749" s="12"/>
    </row>
    <row r="3750" spans="1:23" x14ac:dyDescent="0.3">
      <c r="A3750" s="193"/>
      <c r="B3750" s="378"/>
      <c r="C3750" s="315"/>
      <c r="D3750" s="316"/>
      <c r="E3750" s="315"/>
      <c r="F3750" s="315"/>
      <c r="G3750" s="315"/>
      <c r="H3750" s="153"/>
      <c r="I3750" s="12"/>
      <c r="J3750" s="12"/>
      <c r="K3750" s="12"/>
      <c r="L3750" s="379"/>
      <c r="M3750" s="380"/>
      <c r="N3750" s="380"/>
      <c r="O3750" s="12"/>
      <c r="P3750" s="381"/>
      <c r="Q3750" s="12"/>
      <c r="R3750" s="12"/>
      <c r="S3750" s="382"/>
      <c r="T3750" s="383"/>
      <c r="U3750" s="384"/>
      <c r="V3750" s="12"/>
      <c r="W3750" s="12"/>
    </row>
    <row r="3751" spans="1:23" x14ac:dyDescent="0.3">
      <c r="A3751" s="193"/>
      <c r="B3751" s="378"/>
      <c r="C3751" s="315"/>
      <c r="D3751" s="316"/>
      <c r="E3751" s="315"/>
      <c r="F3751" s="315"/>
      <c r="G3751" s="315"/>
      <c r="H3751" s="153"/>
      <c r="I3751" s="12"/>
      <c r="J3751" s="12"/>
      <c r="K3751" s="12"/>
      <c r="L3751" s="379"/>
      <c r="M3751" s="380"/>
      <c r="N3751" s="380"/>
      <c r="O3751" s="12"/>
      <c r="P3751" s="381"/>
      <c r="Q3751" s="12"/>
      <c r="R3751" s="12"/>
      <c r="S3751" s="382"/>
      <c r="T3751" s="383"/>
      <c r="U3751" s="384"/>
      <c r="V3751" s="12"/>
      <c r="W3751" s="12"/>
    </row>
    <row r="3752" spans="1:23" x14ac:dyDescent="0.3">
      <c r="A3752" s="193"/>
      <c r="B3752" s="378"/>
      <c r="C3752" s="315"/>
      <c r="D3752" s="316"/>
      <c r="E3752" s="315"/>
      <c r="F3752" s="315"/>
      <c r="G3752" s="315"/>
      <c r="H3752" s="153"/>
      <c r="I3752" s="12"/>
      <c r="J3752" s="12"/>
      <c r="K3752" s="12"/>
      <c r="L3752" s="379"/>
      <c r="M3752" s="380"/>
      <c r="N3752" s="380"/>
      <c r="O3752" s="12"/>
      <c r="P3752" s="381"/>
      <c r="Q3752" s="12"/>
      <c r="R3752" s="12"/>
      <c r="S3752" s="382"/>
      <c r="T3752" s="383"/>
      <c r="U3752" s="384"/>
      <c r="V3752" s="12"/>
      <c r="W3752" s="12"/>
    </row>
    <row r="3753" spans="1:23" x14ac:dyDescent="0.3">
      <c r="A3753" s="193"/>
      <c r="B3753" s="378"/>
      <c r="C3753" s="315"/>
      <c r="D3753" s="316"/>
      <c r="E3753" s="315"/>
      <c r="F3753" s="315"/>
      <c r="G3753" s="315"/>
      <c r="H3753" s="153"/>
      <c r="I3753" s="12"/>
      <c r="J3753" s="12"/>
      <c r="K3753" s="12"/>
      <c r="L3753" s="379"/>
      <c r="M3753" s="380"/>
      <c r="N3753" s="380"/>
      <c r="O3753" s="12"/>
      <c r="P3753" s="381"/>
      <c r="Q3753" s="12"/>
      <c r="R3753" s="12"/>
      <c r="S3753" s="382"/>
      <c r="T3753" s="383"/>
      <c r="U3753" s="384"/>
      <c r="V3753" s="12"/>
      <c r="W3753" s="12"/>
    </row>
    <row r="3754" spans="1:23" x14ac:dyDescent="0.3">
      <c r="A3754" s="193"/>
      <c r="B3754" s="378"/>
      <c r="C3754" s="315"/>
      <c r="D3754" s="316"/>
      <c r="E3754" s="315"/>
      <c r="F3754" s="315"/>
      <c r="G3754" s="315"/>
      <c r="H3754" s="153"/>
      <c r="I3754" s="12"/>
      <c r="J3754" s="12"/>
      <c r="K3754" s="12"/>
      <c r="L3754" s="379"/>
      <c r="M3754" s="380"/>
      <c r="N3754" s="380"/>
      <c r="O3754" s="12"/>
      <c r="P3754" s="381"/>
      <c r="Q3754" s="12"/>
      <c r="R3754" s="12"/>
      <c r="S3754" s="382"/>
      <c r="T3754" s="383"/>
      <c r="U3754" s="384"/>
      <c r="V3754" s="12"/>
      <c r="W3754" s="12"/>
    </row>
    <row r="3755" spans="1:23" x14ac:dyDescent="0.3">
      <c r="A3755" s="193"/>
      <c r="B3755" s="378"/>
      <c r="C3755" s="315"/>
      <c r="D3755" s="316"/>
      <c r="E3755" s="315"/>
      <c r="F3755" s="315"/>
      <c r="G3755" s="315"/>
      <c r="H3755" s="153"/>
      <c r="I3755" s="12"/>
      <c r="J3755" s="12"/>
      <c r="K3755" s="12"/>
      <c r="L3755" s="379"/>
      <c r="M3755" s="380"/>
      <c r="N3755" s="380"/>
      <c r="O3755" s="12"/>
      <c r="P3755" s="381"/>
      <c r="Q3755" s="12"/>
      <c r="R3755" s="12"/>
      <c r="S3755" s="382"/>
      <c r="T3755" s="383"/>
      <c r="U3755" s="384"/>
      <c r="V3755" s="12"/>
      <c r="W3755" s="12"/>
    </row>
    <row r="3756" spans="1:23" x14ac:dyDescent="0.3">
      <c r="A3756" s="193"/>
      <c r="B3756" s="378"/>
      <c r="C3756" s="315"/>
      <c r="D3756" s="316"/>
      <c r="E3756" s="315"/>
      <c r="F3756" s="315"/>
      <c r="G3756" s="315"/>
      <c r="H3756" s="153"/>
      <c r="I3756" s="12"/>
      <c r="J3756" s="12"/>
      <c r="K3756" s="12"/>
      <c r="L3756" s="379"/>
      <c r="M3756" s="380"/>
      <c r="N3756" s="380"/>
      <c r="O3756" s="12"/>
      <c r="P3756" s="381"/>
      <c r="Q3756" s="12"/>
      <c r="R3756" s="12"/>
      <c r="S3756" s="382"/>
      <c r="T3756" s="383"/>
      <c r="U3756" s="384"/>
      <c r="V3756" s="12"/>
      <c r="W3756" s="12"/>
    </row>
    <row r="3757" spans="1:23" x14ac:dyDescent="0.3">
      <c r="A3757" s="193"/>
      <c r="B3757" s="378"/>
      <c r="C3757" s="315"/>
      <c r="D3757" s="316"/>
      <c r="E3757" s="315"/>
      <c r="F3757" s="315"/>
      <c r="G3757" s="315"/>
      <c r="H3757" s="153"/>
      <c r="I3757" s="12"/>
      <c r="J3757" s="12"/>
      <c r="K3757" s="12"/>
      <c r="L3757" s="379"/>
      <c r="M3757" s="380"/>
      <c r="N3757" s="380"/>
      <c r="O3757" s="12"/>
      <c r="P3757" s="381"/>
      <c r="Q3757" s="12"/>
      <c r="R3757" s="12"/>
      <c r="S3757" s="382"/>
      <c r="T3757" s="383"/>
      <c r="U3757" s="384"/>
      <c r="V3757" s="12"/>
      <c r="W3757" s="12"/>
    </row>
    <row r="3758" spans="1:23" x14ac:dyDescent="0.3">
      <c r="A3758" s="193"/>
      <c r="B3758" s="378"/>
      <c r="C3758" s="315"/>
      <c r="D3758" s="316"/>
      <c r="E3758" s="315"/>
      <c r="F3758" s="315"/>
      <c r="G3758" s="315"/>
      <c r="H3758" s="153"/>
      <c r="I3758" s="12"/>
      <c r="J3758" s="12"/>
      <c r="K3758" s="12"/>
      <c r="L3758" s="379"/>
      <c r="M3758" s="380"/>
      <c r="N3758" s="380"/>
      <c r="O3758" s="12"/>
      <c r="P3758" s="381"/>
      <c r="Q3758" s="12"/>
      <c r="R3758" s="12"/>
      <c r="S3758" s="382"/>
      <c r="T3758" s="383"/>
      <c r="U3758" s="384"/>
      <c r="V3758" s="12"/>
      <c r="W3758" s="12"/>
    </row>
    <row r="3759" spans="1:23" x14ac:dyDescent="0.3">
      <c r="A3759" s="193"/>
      <c r="B3759" s="378"/>
      <c r="C3759" s="315"/>
      <c r="D3759" s="316"/>
      <c r="E3759" s="315"/>
      <c r="F3759" s="315"/>
      <c r="G3759" s="315"/>
      <c r="H3759" s="153"/>
      <c r="I3759" s="12"/>
      <c r="J3759" s="12"/>
      <c r="K3759" s="12"/>
      <c r="L3759" s="379"/>
      <c r="M3759" s="380"/>
      <c r="N3759" s="380"/>
      <c r="O3759" s="12"/>
      <c r="P3759" s="381"/>
      <c r="Q3759" s="12"/>
      <c r="R3759" s="12"/>
      <c r="S3759" s="382"/>
      <c r="T3759" s="383"/>
      <c r="U3759" s="384"/>
      <c r="V3759" s="12"/>
      <c r="W3759" s="12"/>
    </row>
    <row r="3760" spans="1:23" x14ac:dyDescent="0.3">
      <c r="A3760" s="193"/>
      <c r="B3760" s="378"/>
      <c r="C3760" s="315"/>
      <c r="D3760" s="316"/>
      <c r="E3760" s="315"/>
      <c r="F3760" s="315"/>
      <c r="G3760" s="315"/>
      <c r="H3760" s="153"/>
      <c r="I3760" s="12"/>
      <c r="J3760" s="12"/>
      <c r="K3760" s="12"/>
      <c r="L3760" s="379"/>
      <c r="M3760" s="380"/>
      <c r="N3760" s="380"/>
      <c r="O3760" s="12"/>
      <c r="P3760" s="381"/>
      <c r="Q3760" s="12"/>
      <c r="R3760" s="12"/>
      <c r="S3760" s="382"/>
      <c r="T3760" s="383"/>
      <c r="U3760" s="384"/>
      <c r="V3760" s="12"/>
      <c r="W3760" s="12"/>
    </row>
    <row r="3761" spans="1:23" x14ac:dyDescent="0.3">
      <c r="A3761" s="193"/>
      <c r="B3761" s="378"/>
      <c r="C3761" s="315"/>
      <c r="D3761" s="316"/>
      <c r="E3761" s="315"/>
      <c r="F3761" s="315"/>
      <c r="G3761" s="315"/>
      <c r="H3761" s="153"/>
      <c r="I3761" s="12"/>
      <c r="J3761" s="12"/>
      <c r="K3761" s="12"/>
      <c r="L3761" s="379"/>
      <c r="M3761" s="380"/>
      <c r="N3761" s="380"/>
      <c r="O3761" s="12"/>
      <c r="P3761" s="381"/>
      <c r="Q3761" s="12"/>
      <c r="R3761" s="12"/>
      <c r="S3761" s="382"/>
      <c r="T3761" s="383"/>
      <c r="U3761" s="384"/>
      <c r="V3761" s="12"/>
      <c r="W3761" s="12"/>
    </row>
    <row r="3762" spans="1:23" x14ac:dyDescent="0.3">
      <c r="A3762" s="193"/>
      <c r="B3762" s="378"/>
      <c r="C3762" s="315"/>
      <c r="D3762" s="316"/>
      <c r="E3762" s="315"/>
      <c r="F3762" s="315"/>
      <c r="G3762" s="315"/>
      <c r="H3762" s="153"/>
      <c r="I3762" s="12"/>
      <c r="J3762" s="12"/>
      <c r="K3762" s="12"/>
      <c r="L3762" s="379"/>
      <c r="M3762" s="380"/>
      <c r="N3762" s="380"/>
      <c r="O3762" s="12"/>
      <c r="P3762" s="381"/>
      <c r="Q3762" s="12"/>
      <c r="R3762" s="12"/>
      <c r="S3762" s="382"/>
      <c r="T3762" s="383"/>
      <c r="U3762" s="384"/>
      <c r="V3762" s="12"/>
      <c r="W3762" s="12"/>
    </row>
    <row r="3763" spans="1:23" x14ac:dyDescent="0.3">
      <c r="A3763" s="193"/>
      <c r="B3763" s="378"/>
      <c r="C3763" s="315"/>
      <c r="D3763" s="316"/>
      <c r="E3763" s="315"/>
      <c r="F3763" s="315"/>
      <c r="G3763" s="315"/>
      <c r="H3763" s="153"/>
      <c r="I3763" s="12"/>
      <c r="J3763" s="12"/>
      <c r="K3763" s="12"/>
      <c r="L3763" s="379"/>
      <c r="M3763" s="380"/>
      <c r="N3763" s="380"/>
      <c r="O3763" s="12"/>
      <c r="P3763" s="381"/>
      <c r="Q3763" s="12"/>
      <c r="R3763" s="12"/>
      <c r="S3763" s="382"/>
      <c r="T3763" s="383"/>
      <c r="U3763" s="384"/>
      <c r="V3763" s="12"/>
      <c r="W3763" s="12"/>
    </row>
    <row r="3764" spans="1:23" x14ac:dyDescent="0.3">
      <c r="A3764" s="193"/>
      <c r="B3764" s="378"/>
      <c r="C3764" s="315"/>
      <c r="D3764" s="316"/>
      <c r="E3764" s="315"/>
      <c r="F3764" s="315"/>
      <c r="G3764" s="315"/>
      <c r="H3764" s="153"/>
      <c r="I3764" s="12"/>
      <c r="J3764" s="12"/>
      <c r="K3764" s="12"/>
      <c r="L3764" s="379"/>
      <c r="M3764" s="380"/>
      <c r="N3764" s="380"/>
      <c r="O3764" s="12"/>
      <c r="P3764" s="381"/>
      <c r="Q3764" s="12"/>
      <c r="R3764" s="12"/>
      <c r="S3764" s="382"/>
      <c r="T3764" s="383"/>
      <c r="U3764" s="384"/>
      <c r="V3764" s="12"/>
      <c r="W3764" s="12"/>
    </row>
    <row r="3765" spans="1:23" x14ac:dyDescent="0.3">
      <c r="A3765" s="193"/>
      <c r="B3765" s="378"/>
      <c r="C3765" s="315"/>
      <c r="D3765" s="316"/>
      <c r="E3765" s="315"/>
      <c r="F3765" s="315"/>
      <c r="G3765" s="315"/>
      <c r="H3765" s="153"/>
      <c r="I3765" s="12"/>
      <c r="J3765" s="12"/>
      <c r="K3765" s="12"/>
      <c r="L3765" s="379"/>
      <c r="M3765" s="380"/>
      <c r="N3765" s="380"/>
      <c r="O3765" s="12"/>
      <c r="P3765" s="381"/>
      <c r="Q3765" s="12"/>
      <c r="R3765" s="12"/>
      <c r="S3765" s="382"/>
      <c r="T3765" s="383"/>
      <c r="U3765" s="384"/>
      <c r="V3765" s="12"/>
      <c r="W3765" s="12"/>
    </row>
    <row r="3766" spans="1:23" x14ac:dyDescent="0.3">
      <c r="A3766" s="193"/>
      <c r="B3766" s="378"/>
      <c r="C3766" s="315"/>
      <c r="D3766" s="316"/>
      <c r="E3766" s="315"/>
      <c r="F3766" s="315"/>
      <c r="G3766" s="315"/>
      <c r="H3766" s="153"/>
      <c r="I3766" s="12"/>
      <c r="J3766" s="12"/>
      <c r="K3766" s="12"/>
      <c r="L3766" s="379"/>
      <c r="M3766" s="380"/>
      <c r="N3766" s="380"/>
      <c r="O3766" s="12"/>
      <c r="P3766" s="381"/>
      <c r="Q3766" s="12"/>
      <c r="R3766" s="12"/>
      <c r="S3766" s="382"/>
      <c r="T3766" s="383"/>
      <c r="U3766" s="384"/>
      <c r="V3766" s="12"/>
      <c r="W3766" s="12"/>
    </row>
    <row r="3767" spans="1:23" x14ac:dyDescent="0.3">
      <c r="A3767" s="193"/>
      <c r="B3767" s="378"/>
      <c r="C3767" s="315"/>
      <c r="D3767" s="316"/>
      <c r="E3767" s="315"/>
      <c r="F3767" s="315"/>
      <c r="G3767" s="315"/>
      <c r="H3767" s="153"/>
      <c r="I3767" s="12"/>
      <c r="J3767" s="12"/>
      <c r="K3767" s="12"/>
      <c r="L3767" s="379"/>
      <c r="M3767" s="380"/>
      <c r="N3767" s="380"/>
      <c r="O3767" s="12"/>
      <c r="P3767" s="381"/>
      <c r="Q3767" s="12"/>
      <c r="R3767" s="12"/>
      <c r="S3767" s="382"/>
      <c r="T3767" s="383"/>
      <c r="U3767" s="384"/>
      <c r="V3767" s="12"/>
      <c r="W3767" s="12"/>
    </row>
    <row r="3768" spans="1:23" x14ac:dyDescent="0.3">
      <c r="A3768" s="193"/>
      <c r="B3768" s="378"/>
      <c r="C3768" s="315"/>
      <c r="D3768" s="316"/>
      <c r="E3768" s="315"/>
      <c r="F3768" s="315"/>
      <c r="G3768" s="315"/>
      <c r="H3768" s="153"/>
      <c r="I3768" s="12"/>
      <c r="J3768" s="12"/>
      <c r="K3768" s="12"/>
      <c r="L3768" s="379"/>
      <c r="M3768" s="380"/>
      <c r="N3768" s="380"/>
      <c r="O3768" s="12"/>
      <c r="P3768" s="381"/>
      <c r="Q3768" s="12"/>
      <c r="R3768" s="12"/>
      <c r="S3768" s="382"/>
      <c r="T3768" s="383"/>
      <c r="U3768" s="384"/>
      <c r="V3768" s="12"/>
      <c r="W3768" s="12"/>
    </row>
    <row r="3769" spans="1:23" x14ac:dyDescent="0.3">
      <c r="A3769" s="193"/>
      <c r="B3769" s="378"/>
      <c r="C3769" s="315"/>
      <c r="D3769" s="316"/>
      <c r="E3769" s="315"/>
      <c r="F3769" s="315"/>
      <c r="G3769" s="315"/>
      <c r="H3769" s="153"/>
      <c r="I3769" s="12"/>
      <c r="J3769" s="12"/>
      <c r="K3769" s="12"/>
      <c r="L3769" s="379"/>
      <c r="M3769" s="380"/>
      <c r="N3769" s="380"/>
      <c r="O3769" s="12"/>
      <c r="P3769" s="381"/>
      <c r="Q3769" s="12"/>
      <c r="R3769" s="12"/>
      <c r="S3769" s="382"/>
      <c r="T3769" s="383"/>
      <c r="U3769" s="384"/>
      <c r="V3769" s="12"/>
      <c r="W3769" s="12"/>
    </row>
    <row r="3770" spans="1:23" x14ac:dyDescent="0.3">
      <c r="A3770" s="193"/>
      <c r="B3770" s="378"/>
      <c r="C3770" s="315"/>
      <c r="D3770" s="316"/>
      <c r="E3770" s="315"/>
      <c r="F3770" s="315"/>
      <c r="G3770" s="315"/>
      <c r="H3770" s="153"/>
      <c r="I3770" s="12"/>
      <c r="J3770" s="12"/>
      <c r="K3770" s="12"/>
      <c r="L3770" s="379"/>
      <c r="M3770" s="380"/>
      <c r="N3770" s="380"/>
      <c r="O3770" s="12"/>
      <c r="P3770" s="381"/>
      <c r="Q3770" s="12"/>
      <c r="R3770" s="12"/>
      <c r="S3770" s="382"/>
      <c r="T3770" s="383"/>
      <c r="U3770" s="384"/>
      <c r="V3770" s="12"/>
      <c r="W3770" s="12"/>
    </row>
    <row r="3771" spans="1:23" x14ac:dyDescent="0.3">
      <c r="A3771" s="193"/>
      <c r="B3771" s="378"/>
      <c r="C3771" s="315"/>
      <c r="D3771" s="316"/>
      <c r="E3771" s="315"/>
      <c r="F3771" s="315"/>
      <c r="G3771" s="315"/>
      <c r="H3771" s="153"/>
      <c r="I3771" s="12"/>
      <c r="J3771" s="12"/>
      <c r="K3771" s="12"/>
      <c r="L3771" s="379"/>
      <c r="M3771" s="380"/>
      <c r="N3771" s="380"/>
      <c r="O3771" s="12"/>
      <c r="P3771" s="381"/>
      <c r="Q3771" s="12"/>
      <c r="R3771" s="12"/>
      <c r="S3771" s="382"/>
      <c r="T3771" s="383"/>
      <c r="U3771" s="384"/>
      <c r="V3771" s="12"/>
      <c r="W3771" s="12"/>
    </row>
    <row r="3772" spans="1:23" x14ac:dyDescent="0.3">
      <c r="A3772" s="193"/>
      <c r="B3772" s="378"/>
      <c r="C3772" s="315"/>
      <c r="D3772" s="316"/>
      <c r="E3772" s="315"/>
      <c r="F3772" s="315"/>
      <c r="G3772" s="315"/>
      <c r="H3772" s="153"/>
      <c r="I3772" s="12"/>
      <c r="J3772" s="12"/>
      <c r="K3772" s="12"/>
      <c r="L3772" s="379"/>
      <c r="M3772" s="380"/>
      <c r="N3772" s="380"/>
      <c r="O3772" s="12"/>
      <c r="P3772" s="381"/>
      <c r="Q3772" s="12"/>
      <c r="R3772" s="12"/>
      <c r="S3772" s="382"/>
      <c r="T3772" s="383"/>
      <c r="U3772" s="384"/>
      <c r="V3772" s="12"/>
      <c r="W3772" s="12"/>
    </row>
    <row r="3773" spans="1:23" x14ac:dyDescent="0.3">
      <c r="A3773" s="193"/>
      <c r="B3773" s="378"/>
      <c r="C3773" s="315"/>
      <c r="D3773" s="316"/>
      <c r="E3773" s="315"/>
      <c r="F3773" s="315"/>
      <c r="G3773" s="315"/>
      <c r="H3773" s="153"/>
      <c r="I3773" s="12"/>
      <c r="J3773" s="12"/>
      <c r="K3773" s="12"/>
      <c r="L3773" s="379"/>
      <c r="M3773" s="380"/>
      <c r="N3773" s="380"/>
      <c r="O3773" s="12"/>
      <c r="P3773" s="381"/>
      <c r="Q3773" s="12"/>
      <c r="R3773" s="12"/>
      <c r="S3773" s="382"/>
      <c r="T3773" s="383"/>
      <c r="U3773" s="384"/>
      <c r="V3773" s="12"/>
      <c r="W3773" s="12"/>
    </row>
    <row r="3774" spans="1:23" x14ac:dyDescent="0.3">
      <c r="A3774" s="193"/>
      <c r="B3774" s="378"/>
      <c r="C3774" s="315"/>
      <c r="D3774" s="316"/>
      <c r="E3774" s="315"/>
      <c r="F3774" s="315"/>
      <c r="G3774" s="315"/>
      <c r="H3774" s="153"/>
      <c r="I3774" s="12"/>
      <c r="J3774" s="12"/>
      <c r="K3774" s="12"/>
      <c r="L3774" s="379"/>
      <c r="M3774" s="380"/>
      <c r="N3774" s="380"/>
      <c r="O3774" s="12"/>
      <c r="P3774" s="381"/>
      <c r="Q3774" s="12"/>
      <c r="R3774" s="12"/>
      <c r="S3774" s="382"/>
      <c r="T3774" s="383"/>
      <c r="U3774" s="384"/>
      <c r="V3774" s="12"/>
      <c r="W3774" s="12"/>
    </row>
    <row r="3775" spans="1:23" x14ac:dyDescent="0.3">
      <c r="A3775" s="193"/>
      <c r="B3775" s="378"/>
      <c r="C3775" s="315"/>
      <c r="D3775" s="316"/>
      <c r="E3775" s="315"/>
      <c r="F3775" s="315"/>
      <c r="G3775" s="315"/>
      <c r="H3775" s="153"/>
      <c r="I3775" s="12"/>
      <c r="J3775" s="12"/>
      <c r="K3775" s="12"/>
      <c r="L3775" s="379"/>
      <c r="M3775" s="380"/>
      <c r="N3775" s="380"/>
      <c r="O3775" s="12"/>
      <c r="P3775" s="381"/>
      <c r="Q3775" s="12"/>
      <c r="R3775" s="12"/>
      <c r="S3775" s="382"/>
      <c r="T3775" s="383"/>
      <c r="U3775" s="384"/>
      <c r="V3775" s="12"/>
      <c r="W3775" s="12"/>
    </row>
    <row r="3776" spans="1:23" x14ac:dyDescent="0.3">
      <c r="A3776" s="193"/>
      <c r="B3776" s="378"/>
      <c r="C3776" s="315"/>
      <c r="D3776" s="316"/>
      <c r="E3776" s="315"/>
      <c r="F3776" s="315"/>
      <c r="G3776" s="315"/>
      <c r="H3776" s="153"/>
      <c r="I3776" s="12"/>
      <c r="J3776" s="12"/>
      <c r="K3776" s="12"/>
      <c r="L3776" s="379"/>
      <c r="M3776" s="380"/>
      <c r="N3776" s="380"/>
      <c r="O3776" s="12"/>
      <c r="P3776" s="381"/>
      <c r="Q3776" s="12"/>
      <c r="R3776" s="12"/>
      <c r="S3776" s="382"/>
      <c r="T3776" s="383"/>
      <c r="U3776" s="384"/>
      <c r="V3776" s="12"/>
      <c r="W3776" s="12"/>
    </row>
    <row r="3777" spans="1:23" x14ac:dyDescent="0.3">
      <c r="A3777" s="193"/>
      <c r="B3777" s="378"/>
      <c r="C3777" s="315"/>
      <c r="D3777" s="316"/>
      <c r="E3777" s="315"/>
      <c r="F3777" s="315"/>
      <c r="G3777" s="315"/>
      <c r="H3777" s="153"/>
      <c r="I3777" s="12"/>
      <c r="J3777" s="12"/>
      <c r="K3777" s="12"/>
      <c r="L3777" s="379"/>
      <c r="M3777" s="380"/>
      <c r="N3777" s="380"/>
      <c r="O3777" s="12"/>
      <c r="P3777" s="381"/>
      <c r="Q3777" s="12"/>
      <c r="R3777" s="12"/>
      <c r="S3777" s="382"/>
      <c r="T3777" s="383"/>
      <c r="U3777" s="384"/>
      <c r="V3777" s="12"/>
      <c r="W3777" s="12"/>
    </row>
    <row r="3778" spans="1:23" x14ac:dyDescent="0.3">
      <c r="A3778" s="193"/>
      <c r="B3778" s="378"/>
      <c r="C3778" s="315"/>
      <c r="D3778" s="316"/>
      <c r="E3778" s="315"/>
      <c r="F3778" s="315"/>
      <c r="G3778" s="315"/>
      <c r="H3778" s="153"/>
      <c r="I3778" s="12"/>
      <c r="J3778" s="12"/>
      <c r="K3778" s="12"/>
      <c r="L3778" s="379"/>
      <c r="M3778" s="380"/>
      <c r="N3778" s="380"/>
      <c r="O3778" s="12"/>
      <c r="P3778" s="381"/>
      <c r="Q3778" s="12"/>
      <c r="R3778" s="12"/>
      <c r="S3778" s="382"/>
      <c r="T3778" s="383"/>
      <c r="U3778" s="384"/>
      <c r="V3778" s="12"/>
      <c r="W3778" s="12"/>
    </row>
    <row r="3779" spans="1:23" x14ac:dyDescent="0.3">
      <c r="A3779" s="193"/>
      <c r="B3779" s="378"/>
      <c r="C3779" s="315"/>
      <c r="D3779" s="316"/>
      <c r="E3779" s="315"/>
      <c r="F3779" s="315"/>
      <c r="G3779" s="315"/>
      <c r="H3779" s="153"/>
      <c r="I3779" s="12"/>
      <c r="J3779" s="12"/>
      <c r="K3779" s="12"/>
      <c r="L3779" s="379"/>
      <c r="M3779" s="380"/>
      <c r="N3779" s="380"/>
      <c r="O3779" s="12"/>
      <c r="P3779" s="381"/>
      <c r="Q3779" s="12"/>
      <c r="R3779" s="12"/>
      <c r="S3779" s="382"/>
      <c r="T3779" s="383"/>
      <c r="U3779" s="384"/>
      <c r="V3779" s="12"/>
      <c r="W3779" s="12"/>
    </row>
    <row r="3780" spans="1:23" x14ac:dyDescent="0.3">
      <c r="A3780" s="193"/>
      <c r="B3780" s="378"/>
      <c r="C3780" s="315"/>
      <c r="D3780" s="316"/>
      <c r="E3780" s="315"/>
      <c r="F3780" s="315"/>
      <c r="G3780" s="315"/>
      <c r="H3780" s="153"/>
      <c r="I3780" s="12"/>
      <c r="J3780" s="12"/>
      <c r="K3780" s="12"/>
      <c r="L3780" s="379"/>
      <c r="M3780" s="380"/>
      <c r="N3780" s="380"/>
      <c r="O3780" s="12"/>
      <c r="P3780" s="381"/>
      <c r="Q3780" s="12"/>
      <c r="R3780" s="12"/>
      <c r="S3780" s="382"/>
      <c r="T3780" s="383"/>
      <c r="U3780" s="384"/>
      <c r="V3780" s="12"/>
      <c r="W3780" s="12"/>
    </row>
    <row r="3781" spans="1:23" x14ac:dyDescent="0.3">
      <c r="A3781" s="193"/>
      <c r="B3781" s="378"/>
      <c r="C3781" s="315"/>
      <c r="D3781" s="316"/>
      <c r="E3781" s="315"/>
      <c r="F3781" s="315"/>
      <c r="G3781" s="315"/>
      <c r="H3781" s="153"/>
      <c r="I3781" s="12"/>
      <c r="J3781" s="12"/>
      <c r="K3781" s="12"/>
      <c r="L3781" s="379"/>
      <c r="M3781" s="380"/>
      <c r="N3781" s="380"/>
      <c r="O3781" s="12"/>
      <c r="P3781" s="381"/>
      <c r="Q3781" s="12"/>
      <c r="R3781" s="12"/>
      <c r="S3781" s="382"/>
      <c r="T3781" s="383"/>
      <c r="U3781" s="384"/>
      <c r="V3781" s="12"/>
      <c r="W3781" s="12"/>
    </row>
    <row r="3782" spans="1:23" x14ac:dyDescent="0.3">
      <c r="A3782" s="193"/>
      <c r="B3782" s="378"/>
      <c r="C3782" s="315"/>
      <c r="D3782" s="316"/>
      <c r="E3782" s="315"/>
      <c r="F3782" s="315"/>
      <c r="G3782" s="315"/>
      <c r="H3782" s="153"/>
      <c r="I3782" s="12"/>
      <c r="J3782" s="12"/>
      <c r="K3782" s="12"/>
      <c r="L3782" s="379"/>
      <c r="M3782" s="380"/>
      <c r="N3782" s="380"/>
      <c r="O3782" s="12"/>
      <c r="P3782" s="381"/>
      <c r="Q3782" s="12"/>
      <c r="R3782" s="12"/>
      <c r="S3782" s="382"/>
      <c r="T3782" s="383"/>
      <c r="U3782" s="384"/>
      <c r="V3782" s="12"/>
      <c r="W3782" s="12"/>
    </row>
    <row r="3783" spans="1:23" x14ac:dyDescent="0.3">
      <c r="A3783" s="193"/>
      <c r="B3783" s="378"/>
      <c r="C3783" s="315"/>
      <c r="D3783" s="316"/>
      <c r="E3783" s="315"/>
      <c r="F3783" s="315"/>
      <c r="G3783" s="315"/>
      <c r="H3783" s="153"/>
      <c r="I3783" s="12"/>
      <c r="J3783" s="12"/>
      <c r="K3783" s="12"/>
      <c r="L3783" s="379"/>
      <c r="M3783" s="380"/>
      <c r="N3783" s="380"/>
      <c r="O3783" s="12"/>
      <c r="P3783" s="381"/>
      <c r="Q3783" s="12"/>
      <c r="R3783" s="12"/>
      <c r="S3783" s="382"/>
      <c r="T3783" s="383"/>
      <c r="U3783" s="384"/>
      <c r="V3783" s="12"/>
      <c r="W3783" s="12"/>
    </row>
    <row r="3784" spans="1:23" x14ac:dyDescent="0.3">
      <c r="A3784" s="193"/>
      <c r="B3784" s="378"/>
      <c r="C3784" s="315"/>
      <c r="D3784" s="316"/>
      <c r="E3784" s="315"/>
      <c r="F3784" s="315"/>
      <c r="G3784" s="315"/>
      <c r="H3784" s="153"/>
      <c r="I3784" s="12"/>
      <c r="J3784" s="12"/>
      <c r="K3784" s="12"/>
      <c r="L3784" s="379"/>
      <c r="M3784" s="380"/>
      <c r="N3784" s="380"/>
      <c r="O3784" s="12"/>
      <c r="P3784" s="381"/>
      <c r="Q3784" s="12"/>
      <c r="R3784" s="12"/>
      <c r="S3784" s="382"/>
      <c r="T3784" s="383"/>
      <c r="U3784" s="384"/>
      <c r="V3784" s="12"/>
      <c r="W3784" s="12"/>
    </row>
    <row r="3785" spans="1:23" x14ac:dyDescent="0.3">
      <c r="A3785" s="193"/>
      <c r="B3785" s="378"/>
      <c r="C3785" s="315"/>
      <c r="D3785" s="316"/>
      <c r="E3785" s="315"/>
      <c r="F3785" s="315"/>
      <c r="G3785" s="315"/>
      <c r="H3785" s="153"/>
      <c r="I3785" s="12"/>
      <c r="J3785" s="12"/>
      <c r="K3785" s="12"/>
      <c r="L3785" s="379"/>
      <c r="M3785" s="380"/>
      <c r="N3785" s="380"/>
      <c r="O3785" s="12"/>
      <c r="P3785" s="381"/>
      <c r="Q3785" s="12"/>
      <c r="R3785" s="12"/>
      <c r="S3785" s="382"/>
      <c r="T3785" s="383"/>
      <c r="U3785" s="384"/>
      <c r="V3785" s="12"/>
      <c r="W3785" s="12"/>
    </row>
    <row r="3786" spans="1:23" x14ac:dyDescent="0.3">
      <c r="A3786" s="193"/>
      <c r="B3786" s="378"/>
      <c r="C3786" s="315"/>
      <c r="D3786" s="316"/>
      <c r="E3786" s="315"/>
      <c r="F3786" s="315"/>
      <c r="G3786" s="315"/>
      <c r="H3786" s="153"/>
      <c r="I3786" s="12"/>
      <c r="J3786" s="12"/>
      <c r="K3786" s="12"/>
      <c r="L3786" s="379"/>
      <c r="M3786" s="380"/>
      <c r="N3786" s="380"/>
      <c r="O3786" s="12"/>
      <c r="P3786" s="381"/>
      <c r="Q3786" s="12"/>
      <c r="R3786" s="12"/>
      <c r="S3786" s="382"/>
      <c r="T3786" s="383"/>
      <c r="U3786" s="384"/>
      <c r="V3786" s="12"/>
      <c r="W3786" s="12"/>
    </row>
    <row r="3787" spans="1:23" x14ac:dyDescent="0.3">
      <c r="A3787" s="193"/>
      <c r="B3787" s="378"/>
      <c r="C3787" s="315"/>
      <c r="D3787" s="316"/>
      <c r="E3787" s="315"/>
      <c r="F3787" s="315"/>
      <c r="G3787" s="315"/>
      <c r="H3787" s="153"/>
      <c r="I3787" s="12"/>
      <c r="J3787" s="12"/>
      <c r="K3787" s="12"/>
      <c r="L3787" s="379"/>
      <c r="M3787" s="380"/>
      <c r="N3787" s="380"/>
      <c r="O3787" s="12"/>
      <c r="P3787" s="381"/>
      <c r="Q3787" s="12"/>
      <c r="R3787" s="12"/>
      <c r="S3787" s="382"/>
      <c r="T3787" s="383"/>
      <c r="U3787" s="384"/>
      <c r="V3787" s="12"/>
      <c r="W3787" s="12"/>
    </row>
    <row r="3788" spans="1:23" x14ac:dyDescent="0.3">
      <c r="A3788" s="193"/>
      <c r="B3788" s="378"/>
      <c r="C3788" s="315"/>
      <c r="D3788" s="316"/>
      <c r="E3788" s="315"/>
      <c r="F3788" s="315"/>
      <c r="G3788" s="315"/>
      <c r="H3788" s="153"/>
      <c r="I3788" s="12"/>
      <c r="J3788" s="12"/>
      <c r="K3788" s="12"/>
      <c r="L3788" s="379"/>
      <c r="M3788" s="380"/>
      <c r="N3788" s="380"/>
      <c r="O3788" s="12"/>
      <c r="P3788" s="381"/>
      <c r="Q3788" s="12"/>
      <c r="R3788" s="12"/>
      <c r="S3788" s="382"/>
      <c r="T3788" s="383"/>
      <c r="U3788" s="384"/>
      <c r="V3788" s="12"/>
      <c r="W3788" s="12"/>
    </row>
    <row r="3789" spans="1:23" x14ac:dyDescent="0.3">
      <c r="A3789" s="193"/>
      <c r="B3789" s="378"/>
      <c r="C3789" s="315"/>
      <c r="D3789" s="316"/>
      <c r="E3789" s="315"/>
      <c r="F3789" s="315"/>
      <c r="G3789" s="315"/>
      <c r="H3789" s="153"/>
      <c r="I3789" s="12"/>
      <c r="J3789" s="12"/>
      <c r="K3789" s="12"/>
      <c r="L3789" s="379"/>
      <c r="M3789" s="380"/>
      <c r="N3789" s="380"/>
      <c r="O3789" s="12"/>
      <c r="P3789" s="381"/>
      <c r="Q3789" s="12"/>
      <c r="R3789" s="12"/>
      <c r="S3789" s="382"/>
      <c r="T3789" s="383"/>
      <c r="U3789" s="384"/>
      <c r="V3789" s="12"/>
      <c r="W3789" s="12"/>
    </row>
    <row r="3790" spans="1:23" x14ac:dyDescent="0.3">
      <c r="A3790" s="193"/>
      <c r="B3790" s="378"/>
      <c r="C3790" s="315"/>
      <c r="D3790" s="316"/>
      <c r="E3790" s="315"/>
      <c r="F3790" s="315"/>
      <c r="G3790" s="315"/>
      <c r="H3790" s="153"/>
      <c r="I3790" s="12"/>
      <c r="J3790" s="12"/>
      <c r="K3790" s="12"/>
      <c r="L3790" s="379"/>
      <c r="M3790" s="380"/>
      <c r="N3790" s="380"/>
      <c r="O3790" s="12"/>
      <c r="P3790" s="381"/>
      <c r="Q3790" s="12"/>
      <c r="R3790" s="12"/>
      <c r="S3790" s="382"/>
      <c r="T3790" s="383"/>
      <c r="U3790" s="384"/>
      <c r="V3790" s="12"/>
      <c r="W3790" s="12"/>
    </row>
    <row r="3791" spans="1:23" x14ac:dyDescent="0.3">
      <c r="A3791" s="193"/>
      <c r="B3791" s="378"/>
      <c r="C3791" s="315"/>
      <c r="D3791" s="316"/>
      <c r="E3791" s="315"/>
      <c r="F3791" s="315"/>
      <c r="G3791" s="315"/>
      <c r="H3791" s="153"/>
      <c r="I3791" s="12"/>
      <c r="J3791" s="12"/>
      <c r="K3791" s="12"/>
      <c r="L3791" s="379"/>
      <c r="M3791" s="380"/>
      <c r="N3791" s="380"/>
      <c r="O3791" s="12"/>
      <c r="P3791" s="381"/>
      <c r="Q3791" s="12"/>
      <c r="R3791" s="12"/>
      <c r="S3791" s="382"/>
      <c r="T3791" s="383"/>
      <c r="U3791" s="384"/>
      <c r="V3791" s="12"/>
      <c r="W3791" s="12"/>
    </row>
    <row r="3792" spans="1:23" x14ac:dyDescent="0.3">
      <c r="A3792" s="193"/>
      <c r="B3792" s="378"/>
      <c r="C3792" s="315"/>
      <c r="D3792" s="316"/>
      <c r="E3792" s="315"/>
      <c r="F3792" s="315"/>
      <c r="G3792" s="315"/>
      <c r="H3792" s="153"/>
      <c r="I3792" s="12"/>
      <c r="J3792" s="12"/>
      <c r="K3792" s="12"/>
      <c r="L3792" s="379"/>
      <c r="M3792" s="380"/>
      <c r="N3792" s="380"/>
      <c r="O3792" s="12"/>
      <c r="P3792" s="381"/>
      <c r="Q3792" s="12"/>
      <c r="R3792" s="12"/>
      <c r="S3792" s="382"/>
      <c r="T3792" s="383"/>
      <c r="U3792" s="384"/>
      <c r="V3792" s="12"/>
      <c r="W3792" s="12"/>
    </row>
    <row r="3793" spans="1:23" x14ac:dyDescent="0.3">
      <c r="A3793" s="193"/>
      <c r="B3793" s="378"/>
      <c r="C3793" s="315"/>
      <c r="D3793" s="316"/>
      <c r="E3793" s="315"/>
      <c r="F3793" s="315"/>
      <c r="G3793" s="315"/>
      <c r="H3793" s="153"/>
      <c r="I3793" s="12"/>
      <c r="J3793" s="12"/>
      <c r="K3793" s="12"/>
      <c r="L3793" s="379"/>
      <c r="M3793" s="380"/>
      <c r="N3793" s="380"/>
      <c r="O3793" s="12"/>
      <c r="P3793" s="381"/>
      <c r="Q3793" s="12"/>
      <c r="R3793" s="12"/>
      <c r="S3793" s="382"/>
      <c r="T3793" s="383"/>
      <c r="U3793" s="384"/>
      <c r="V3793" s="12"/>
      <c r="W3793" s="12"/>
    </row>
    <row r="3794" spans="1:23" x14ac:dyDescent="0.3">
      <c r="A3794" s="193"/>
      <c r="B3794" s="378"/>
      <c r="C3794" s="315"/>
      <c r="D3794" s="316"/>
      <c r="E3794" s="315"/>
      <c r="F3794" s="315"/>
      <c r="G3794" s="315"/>
      <c r="H3794" s="153"/>
      <c r="I3794" s="12"/>
      <c r="J3794" s="12"/>
      <c r="K3794" s="12"/>
      <c r="L3794" s="379"/>
      <c r="M3794" s="380"/>
      <c r="N3794" s="380"/>
      <c r="O3794" s="12"/>
      <c r="P3794" s="381"/>
      <c r="Q3794" s="12"/>
      <c r="R3794" s="12"/>
      <c r="S3794" s="382"/>
      <c r="T3794" s="383"/>
      <c r="U3794" s="384"/>
      <c r="V3794" s="12"/>
      <c r="W3794" s="12"/>
    </row>
    <row r="3795" spans="1:23" x14ac:dyDescent="0.3">
      <c r="A3795" s="193"/>
      <c r="B3795" s="378"/>
      <c r="C3795" s="315"/>
      <c r="D3795" s="316"/>
      <c r="E3795" s="315"/>
      <c r="F3795" s="315"/>
      <c r="G3795" s="315"/>
      <c r="H3795" s="153"/>
      <c r="I3795" s="12"/>
      <c r="J3795" s="12"/>
      <c r="K3795" s="12"/>
      <c r="L3795" s="379"/>
      <c r="M3795" s="380"/>
      <c r="N3795" s="380"/>
      <c r="O3795" s="12"/>
      <c r="P3795" s="381"/>
      <c r="Q3795" s="12"/>
      <c r="R3795" s="12"/>
      <c r="S3795" s="382"/>
      <c r="T3795" s="383"/>
      <c r="U3795" s="384"/>
      <c r="V3795" s="12"/>
      <c r="W3795" s="12"/>
    </row>
    <row r="3796" spans="1:23" x14ac:dyDescent="0.3">
      <c r="A3796" s="193"/>
      <c r="B3796" s="378"/>
      <c r="C3796" s="315"/>
      <c r="D3796" s="316"/>
      <c r="E3796" s="315"/>
      <c r="F3796" s="315"/>
      <c r="G3796" s="315"/>
      <c r="H3796" s="153"/>
      <c r="I3796" s="12"/>
      <c r="J3796" s="12"/>
      <c r="K3796" s="12"/>
      <c r="L3796" s="379"/>
      <c r="M3796" s="380"/>
      <c r="N3796" s="380"/>
      <c r="O3796" s="12"/>
      <c r="P3796" s="381"/>
      <c r="Q3796" s="12"/>
      <c r="R3796" s="12"/>
      <c r="S3796" s="382"/>
      <c r="T3796" s="383"/>
      <c r="U3796" s="384"/>
      <c r="V3796" s="12"/>
      <c r="W3796" s="12"/>
    </row>
    <row r="3797" spans="1:23" x14ac:dyDescent="0.3">
      <c r="A3797" s="193"/>
      <c r="B3797" s="378"/>
      <c r="C3797" s="315"/>
      <c r="D3797" s="316"/>
      <c r="E3797" s="315"/>
      <c r="F3797" s="315"/>
      <c r="G3797" s="315"/>
      <c r="H3797" s="153"/>
      <c r="I3797" s="12"/>
      <c r="J3797" s="12"/>
      <c r="K3797" s="12"/>
      <c r="L3797" s="379"/>
      <c r="M3797" s="380"/>
      <c r="N3797" s="380"/>
      <c r="O3797" s="12"/>
      <c r="P3797" s="381"/>
      <c r="Q3797" s="12"/>
      <c r="R3797" s="12"/>
      <c r="S3797" s="382"/>
      <c r="T3797" s="383"/>
      <c r="U3797" s="384"/>
      <c r="V3797" s="12"/>
      <c r="W3797" s="12"/>
    </row>
    <row r="3798" spans="1:23" x14ac:dyDescent="0.3">
      <c r="A3798" s="193"/>
      <c r="B3798" s="378"/>
      <c r="C3798" s="315"/>
      <c r="D3798" s="316"/>
      <c r="E3798" s="315"/>
      <c r="F3798" s="315"/>
      <c r="G3798" s="315"/>
      <c r="H3798" s="153"/>
      <c r="I3798" s="12"/>
      <c r="J3798" s="12"/>
      <c r="K3798" s="12"/>
      <c r="L3798" s="379"/>
      <c r="M3798" s="380"/>
      <c r="N3798" s="380"/>
      <c r="O3798" s="12"/>
      <c r="P3798" s="381"/>
      <c r="Q3798" s="12"/>
      <c r="R3798" s="12"/>
      <c r="S3798" s="382"/>
      <c r="T3798" s="383"/>
      <c r="U3798" s="384"/>
      <c r="V3798" s="12"/>
      <c r="W3798" s="12"/>
    </row>
    <row r="3799" spans="1:23" x14ac:dyDescent="0.3">
      <c r="A3799" s="193"/>
      <c r="B3799" s="378"/>
      <c r="C3799" s="315"/>
      <c r="D3799" s="316"/>
      <c r="E3799" s="315"/>
      <c r="F3799" s="315"/>
      <c r="G3799" s="315"/>
      <c r="H3799" s="153"/>
      <c r="I3799" s="12"/>
      <c r="J3799" s="12"/>
      <c r="K3799" s="12"/>
      <c r="L3799" s="379"/>
      <c r="M3799" s="380"/>
      <c r="N3799" s="380"/>
      <c r="O3799" s="12"/>
      <c r="P3799" s="381"/>
      <c r="Q3799" s="12"/>
      <c r="R3799" s="12"/>
      <c r="S3799" s="382"/>
      <c r="T3799" s="383"/>
      <c r="U3799" s="384"/>
      <c r="V3799" s="12"/>
      <c r="W3799" s="12"/>
    </row>
    <row r="3800" spans="1:23" x14ac:dyDescent="0.3">
      <c r="A3800" s="193"/>
      <c r="B3800" s="378"/>
      <c r="C3800" s="315"/>
      <c r="D3800" s="316"/>
      <c r="E3800" s="315"/>
      <c r="F3800" s="315"/>
      <c r="G3800" s="315"/>
      <c r="H3800" s="153"/>
      <c r="I3800" s="12"/>
      <c r="J3800" s="12"/>
      <c r="K3800" s="12"/>
      <c r="L3800" s="379"/>
      <c r="M3800" s="380"/>
      <c r="N3800" s="380"/>
      <c r="O3800" s="12"/>
      <c r="P3800" s="381"/>
      <c r="Q3800" s="12"/>
      <c r="R3800" s="12"/>
      <c r="S3800" s="382"/>
      <c r="T3800" s="383"/>
      <c r="U3800" s="384"/>
      <c r="V3800" s="12"/>
      <c r="W3800" s="12"/>
    </row>
    <row r="3801" spans="1:23" x14ac:dyDescent="0.3">
      <c r="A3801" s="193"/>
      <c r="B3801" s="378"/>
      <c r="C3801" s="315"/>
      <c r="D3801" s="316"/>
      <c r="E3801" s="315"/>
      <c r="F3801" s="315"/>
      <c r="G3801" s="315"/>
      <c r="H3801" s="153"/>
      <c r="I3801" s="12"/>
      <c r="J3801" s="12"/>
      <c r="K3801" s="12"/>
      <c r="L3801" s="379"/>
      <c r="M3801" s="380"/>
      <c r="N3801" s="380"/>
      <c r="O3801" s="12"/>
      <c r="P3801" s="381"/>
      <c r="Q3801" s="12"/>
      <c r="R3801" s="12"/>
      <c r="S3801" s="382"/>
      <c r="T3801" s="383"/>
      <c r="U3801" s="384"/>
      <c r="V3801" s="12"/>
      <c r="W3801" s="12"/>
    </row>
    <row r="3802" spans="1:23" x14ac:dyDescent="0.3">
      <c r="A3802" s="193"/>
      <c r="B3802" s="378"/>
      <c r="C3802" s="315"/>
      <c r="D3802" s="316"/>
      <c r="E3802" s="315"/>
      <c r="F3802" s="315"/>
      <c r="G3802" s="315"/>
      <c r="H3802" s="153"/>
      <c r="I3802" s="12"/>
      <c r="J3802" s="12"/>
      <c r="K3802" s="12"/>
      <c r="L3802" s="379"/>
      <c r="M3802" s="380"/>
      <c r="N3802" s="380"/>
      <c r="O3802" s="12"/>
      <c r="P3802" s="381"/>
      <c r="Q3802" s="12"/>
      <c r="R3802" s="12"/>
      <c r="S3802" s="382"/>
      <c r="T3802" s="383"/>
      <c r="U3802" s="384"/>
      <c r="V3802" s="12"/>
      <c r="W3802" s="12"/>
    </row>
    <row r="3803" spans="1:23" x14ac:dyDescent="0.3">
      <c r="A3803" s="193"/>
      <c r="B3803" s="378"/>
      <c r="C3803" s="315"/>
      <c r="D3803" s="316"/>
      <c r="E3803" s="315"/>
      <c r="F3803" s="315"/>
      <c r="G3803" s="315"/>
      <c r="H3803" s="153"/>
      <c r="I3803" s="12"/>
      <c r="J3803" s="12"/>
      <c r="K3803" s="12"/>
      <c r="L3803" s="379"/>
      <c r="M3803" s="380"/>
      <c r="N3803" s="380"/>
      <c r="O3803" s="12"/>
      <c r="P3803" s="381"/>
      <c r="Q3803" s="12"/>
      <c r="R3803" s="12"/>
      <c r="S3803" s="382"/>
      <c r="T3803" s="383"/>
      <c r="U3803" s="384"/>
      <c r="V3803" s="12"/>
      <c r="W3803" s="12"/>
    </row>
    <row r="3804" spans="1:23" x14ac:dyDescent="0.3">
      <c r="A3804" s="193"/>
      <c r="B3804" s="378"/>
      <c r="C3804" s="315"/>
      <c r="D3804" s="316"/>
      <c r="E3804" s="315"/>
      <c r="F3804" s="315"/>
      <c r="G3804" s="315"/>
      <c r="H3804" s="153"/>
      <c r="I3804" s="12"/>
      <c r="J3804" s="12"/>
      <c r="K3804" s="12"/>
      <c r="L3804" s="379"/>
      <c r="M3804" s="380"/>
      <c r="N3804" s="380"/>
      <c r="O3804" s="12"/>
      <c r="P3804" s="381"/>
      <c r="Q3804" s="12"/>
      <c r="R3804" s="12"/>
      <c r="S3804" s="382"/>
      <c r="T3804" s="383"/>
      <c r="U3804" s="384"/>
      <c r="V3804" s="12"/>
      <c r="W3804" s="12"/>
    </row>
    <row r="3805" spans="1:23" x14ac:dyDescent="0.3">
      <c r="A3805" s="193"/>
      <c r="B3805" s="378"/>
      <c r="C3805" s="315"/>
      <c r="D3805" s="316"/>
      <c r="E3805" s="315"/>
      <c r="F3805" s="315"/>
      <c r="G3805" s="315"/>
      <c r="H3805" s="153"/>
      <c r="I3805" s="12"/>
      <c r="J3805" s="12"/>
      <c r="K3805" s="12"/>
      <c r="L3805" s="379"/>
      <c r="M3805" s="380"/>
      <c r="N3805" s="380"/>
      <c r="O3805" s="12"/>
      <c r="P3805" s="381"/>
      <c r="Q3805" s="12"/>
      <c r="R3805" s="12"/>
      <c r="S3805" s="382"/>
      <c r="T3805" s="383"/>
      <c r="U3805" s="384"/>
      <c r="V3805" s="12"/>
      <c r="W3805" s="12"/>
    </row>
    <row r="3806" spans="1:23" x14ac:dyDescent="0.3">
      <c r="A3806" s="193"/>
      <c r="B3806" s="378"/>
      <c r="C3806" s="315"/>
      <c r="D3806" s="316"/>
      <c r="E3806" s="315"/>
      <c r="F3806" s="315"/>
      <c r="G3806" s="315"/>
      <c r="H3806" s="153"/>
      <c r="I3806" s="12"/>
      <c r="J3806" s="12"/>
      <c r="K3806" s="12"/>
      <c r="L3806" s="379"/>
      <c r="M3806" s="380"/>
      <c r="N3806" s="380"/>
      <c r="O3806" s="12"/>
      <c r="P3806" s="381"/>
      <c r="Q3806" s="12"/>
      <c r="R3806" s="12"/>
      <c r="S3806" s="382"/>
      <c r="T3806" s="383"/>
      <c r="U3806" s="384"/>
      <c r="V3806" s="12"/>
      <c r="W3806" s="12"/>
    </row>
    <row r="3807" spans="1:23" x14ac:dyDescent="0.3">
      <c r="A3807" s="193"/>
      <c r="B3807" s="378"/>
      <c r="C3807" s="315"/>
      <c r="D3807" s="316"/>
      <c r="E3807" s="315"/>
      <c r="F3807" s="315"/>
      <c r="G3807" s="315"/>
      <c r="H3807" s="153"/>
      <c r="I3807" s="12"/>
      <c r="J3807" s="12"/>
      <c r="K3807" s="12"/>
      <c r="L3807" s="379"/>
      <c r="M3807" s="380"/>
      <c r="N3807" s="380"/>
      <c r="O3807" s="12"/>
      <c r="P3807" s="381"/>
      <c r="Q3807" s="12"/>
      <c r="R3807" s="12"/>
      <c r="S3807" s="382"/>
      <c r="T3807" s="383"/>
      <c r="U3807" s="384"/>
      <c r="V3807" s="12"/>
      <c r="W3807" s="12"/>
    </row>
    <row r="3808" spans="1:23" x14ac:dyDescent="0.3">
      <c r="A3808" s="193"/>
      <c r="B3808" s="378"/>
      <c r="C3808" s="315"/>
      <c r="D3808" s="316"/>
      <c r="E3808" s="315"/>
      <c r="F3808" s="315"/>
      <c r="G3808" s="315"/>
      <c r="H3808" s="153"/>
      <c r="I3808" s="12"/>
      <c r="J3808" s="12"/>
      <c r="K3808" s="12"/>
      <c r="L3808" s="379"/>
      <c r="M3808" s="380"/>
      <c r="N3808" s="380"/>
      <c r="O3808" s="12"/>
      <c r="P3808" s="381"/>
      <c r="Q3808" s="12"/>
      <c r="R3808" s="12"/>
      <c r="S3808" s="382"/>
      <c r="T3808" s="383"/>
      <c r="U3808" s="384"/>
      <c r="V3808" s="12"/>
      <c r="W3808" s="12"/>
    </row>
    <row r="3809" spans="1:23" x14ac:dyDescent="0.3">
      <c r="A3809" s="193"/>
      <c r="B3809" s="378"/>
      <c r="C3809" s="315"/>
      <c r="D3809" s="316"/>
      <c r="E3809" s="315"/>
      <c r="F3809" s="315"/>
      <c r="G3809" s="315"/>
      <c r="H3809" s="153"/>
      <c r="I3809" s="12"/>
      <c r="J3809" s="12"/>
      <c r="K3809" s="12"/>
      <c r="L3809" s="379"/>
      <c r="M3809" s="380"/>
      <c r="N3809" s="380"/>
      <c r="O3809" s="12"/>
      <c r="P3809" s="381"/>
      <c r="Q3809" s="12"/>
      <c r="R3809" s="12"/>
      <c r="S3809" s="382"/>
      <c r="T3809" s="383"/>
      <c r="U3809" s="384"/>
      <c r="V3809" s="12"/>
      <c r="W3809" s="12"/>
    </row>
    <row r="3810" spans="1:23" x14ac:dyDescent="0.3">
      <c r="A3810" s="193"/>
      <c r="B3810" s="378"/>
      <c r="C3810" s="315"/>
      <c r="D3810" s="316"/>
      <c r="E3810" s="315"/>
      <c r="F3810" s="315"/>
      <c r="G3810" s="315"/>
      <c r="H3810" s="153"/>
      <c r="I3810" s="12"/>
      <c r="J3810" s="12"/>
      <c r="K3810" s="12"/>
      <c r="L3810" s="379"/>
      <c r="M3810" s="380"/>
      <c r="N3810" s="380"/>
      <c r="O3810" s="12"/>
      <c r="P3810" s="381"/>
      <c r="Q3810" s="12"/>
      <c r="R3810" s="12"/>
      <c r="S3810" s="382"/>
      <c r="T3810" s="383"/>
      <c r="U3810" s="384"/>
      <c r="V3810" s="12"/>
      <c r="W3810" s="12"/>
    </row>
    <row r="3811" spans="1:23" x14ac:dyDescent="0.3">
      <c r="A3811" s="193"/>
      <c r="B3811" s="378"/>
      <c r="C3811" s="315"/>
      <c r="D3811" s="316"/>
      <c r="E3811" s="315"/>
      <c r="F3811" s="315"/>
      <c r="G3811" s="315"/>
      <c r="H3811" s="153"/>
      <c r="I3811" s="12"/>
      <c r="J3811" s="12"/>
      <c r="K3811" s="12"/>
      <c r="L3811" s="379"/>
      <c r="M3811" s="380"/>
      <c r="N3811" s="380"/>
      <c r="O3811" s="12"/>
      <c r="P3811" s="381"/>
      <c r="Q3811" s="12"/>
      <c r="R3811" s="12"/>
      <c r="S3811" s="382"/>
      <c r="T3811" s="383"/>
      <c r="U3811" s="384"/>
      <c r="V3811" s="12"/>
      <c r="W3811" s="12"/>
    </row>
    <row r="3812" spans="1:23" x14ac:dyDescent="0.3">
      <c r="A3812" s="193"/>
      <c r="B3812" s="378"/>
      <c r="C3812" s="315"/>
      <c r="D3812" s="316"/>
      <c r="E3812" s="315"/>
      <c r="F3812" s="315"/>
      <c r="G3812" s="315"/>
      <c r="H3812" s="153"/>
      <c r="I3812" s="12"/>
      <c r="J3812" s="12"/>
      <c r="K3812" s="12"/>
      <c r="L3812" s="379"/>
      <c r="M3812" s="380"/>
      <c r="N3812" s="380"/>
      <c r="O3812" s="12"/>
      <c r="P3812" s="381"/>
      <c r="Q3812" s="12"/>
      <c r="R3812" s="12"/>
      <c r="S3812" s="382"/>
      <c r="T3812" s="383"/>
      <c r="U3812" s="384"/>
      <c r="V3812" s="12"/>
      <c r="W3812" s="12"/>
    </row>
    <row r="3813" spans="1:23" x14ac:dyDescent="0.3">
      <c r="A3813" s="193"/>
      <c r="B3813" s="378"/>
      <c r="C3813" s="315"/>
      <c r="D3813" s="316"/>
      <c r="E3813" s="315"/>
      <c r="F3813" s="315"/>
      <c r="G3813" s="315"/>
      <c r="H3813" s="153"/>
      <c r="I3813" s="12"/>
      <c r="J3813" s="12"/>
      <c r="K3813" s="12"/>
      <c r="L3813" s="379"/>
      <c r="M3813" s="380"/>
      <c r="N3813" s="380"/>
      <c r="O3813" s="12"/>
      <c r="P3813" s="381"/>
      <c r="Q3813" s="12"/>
      <c r="R3813" s="12"/>
      <c r="S3813" s="382"/>
      <c r="T3813" s="383"/>
      <c r="U3813" s="384"/>
      <c r="V3813" s="12"/>
      <c r="W3813" s="12"/>
    </row>
    <row r="3814" spans="1:23" x14ac:dyDescent="0.3">
      <c r="A3814" s="193"/>
      <c r="B3814" s="378"/>
      <c r="C3814" s="315"/>
      <c r="D3814" s="316"/>
      <c r="E3814" s="315"/>
      <c r="F3814" s="315"/>
      <c r="G3814" s="315"/>
      <c r="H3814" s="153"/>
      <c r="I3814" s="12"/>
      <c r="J3814" s="12"/>
      <c r="K3814" s="12"/>
      <c r="L3814" s="379"/>
      <c r="M3814" s="380"/>
      <c r="N3814" s="380"/>
      <c r="O3814" s="12"/>
      <c r="P3814" s="381"/>
      <c r="Q3814" s="12"/>
      <c r="R3814" s="12"/>
      <c r="S3814" s="382"/>
      <c r="T3814" s="383"/>
      <c r="U3814" s="384"/>
      <c r="V3814" s="12"/>
      <c r="W3814" s="12"/>
    </row>
    <row r="3815" spans="1:23" x14ac:dyDescent="0.3">
      <c r="A3815" s="193"/>
      <c r="B3815" s="378"/>
      <c r="C3815" s="315"/>
      <c r="D3815" s="316"/>
      <c r="E3815" s="315"/>
      <c r="F3815" s="315"/>
      <c r="G3815" s="315"/>
      <c r="H3815" s="153"/>
      <c r="I3815" s="12"/>
      <c r="J3815" s="12"/>
      <c r="K3815" s="12"/>
      <c r="L3815" s="379"/>
      <c r="M3815" s="380"/>
      <c r="N3815" s="380"/>
      <c r="O3815" s="12"/>
      <c r="P3815" s="381"/>
      <c r="Q3815" s="12"/>
      <c r="R3815" s="12"/>
      <c r="S3815" s="382"/>
      <c r="T3815" s="383"/>
      <c r="U3815" s="384"/>
      <c r="V3815" s="12"/>
      <c r="W3815" s="12"/>
    </row>
    <row r="3816" spans="1:23" x14ac:dyDescent="0.3">
      <c r="A3816" s="193"/>
      <c r="B3816" s="378"/>
      <c r="C3816" s="315"/>
      <c r="D3816" s="316"/>
      <c r="E3816" s="315"/>
      <c r="F3816" s="315"/>
      <c r="G3816" s="315"/>
      <c r="H3816" s="153"/>
      <c r="I3816" s="12"/>
      <c r="J3816" s="12"/>
      <c r="K3816" s="12"/>
      <c r="L3816" s="379"/>
      <c r="M3816" s="380"/>
      <c r="N3816" s="380"/>
      <c r="O3816" s="12"/>
      <c r="P3816" s="381"/>
      <c r="Q3816" s="12"/>
      <c r="R3816" s="12"/>
      <c r="S3816" s="382"/>
      <c r="T3816" s="383"/>
      <c r="U3816" s="384"/>
      <c r="V3816" s="12"/>
      <c r="W3816" s="12"/>
    </row>
    <row r="3817" spans="1:23" x14ac:dyDescent="0.3">
      <c r="A3817" s="193"/>
      <c r="B3817" s="378"/>
      <c r="C3817" s="315"/>
      <c r="D3817" s="316"/>
      <c r="E3817" s="315"/>
      <c r="F3817" s="315"/>
      <c r="G3817" s="315"/>
      <c r="H3817" s="153"/>
      <c r="I3817" s="12"/>
      <c r="J3817" s="12"/>
      <c r="K3817" s="12"/>
      <c r="L3817" s="379"/>
      <c r="M3817" s="380"/>
      <c r="N3817" s="380"/>
      <c r="O3817" s="12"/>
      <c r="P3817" s="381"/>
      <c r="Q3817" s="12"/>
      <c r="R3817" s="12"/>
      <c r="S3817" s="382"/>
      <c r="T3817" s="383"/>
      <c r="U3817" s="384"/>
      <c r="V3817" s="12"/>
      <c r="W3817" s="12"/>
    </row>
    <row r="3818" spans="1:23" x14ac:dyDescent="0.3">
      <c r="A3818" s="193"/>
      <c r="B3818" s="378"/>
      <c r="C3818" s="315"/>
      <c r="D3818" s="316"/>
      <c r="E3818" s="315"/>
      <c r="F3818" s="315"/>
      <c r="G3818" s="315"/>
      <c r="H3818" s="153"/>
      <c r="I3818" s="12"/>
      <c r="J3818" s="12"/>
      <c r="K3818" s="12"/>
      <c r="L3818" s="379"/>
      <c r="M3818" s="380"/>
      <c r="N3818" s="380"/>
      <c r="O3818" s="12"/>
      <c r="P3818" s="381"/>
      <c r="Q3818" s="12"/>
      <c r="R3818" s="12"/>
      <c r="S3818" s="382"/>
      <c r="T3818" s="383"/>
      <c r="U3818" s="384"/>
      <c r="V3818" s="12"/>
      <c r="W3818" s="12"/>
    </row>
    <row r="3819" spans="1:23" x14ac:dyDescent="0.3">
      <c r="A3819" s="193"/>
      <c r="B3819" s="378"/>
      <c r="C3819" s="315"/>
      <c r="D3819" s="316"/>
      <c r="E3819" s="315"/>
      <c r="F3819" s="315"/>
      <c r="G3819" s="315"/>
      <c r="H3819" s="153"/>
      <c r="I3819" s="12"/>
      <c r="J3819" s="12"/>
      <c r="K3819" s="12"/>
      <c r="L3819" s="379"/>
      <c r="M3819" s="380"/>
      <c r="N3819" s="380"/>
      <c r="O3819" s="12"/>
      <c r="P3819" s="381"/>
      <c r="Q3819" s="12"/>
      <c r="R3819" s="12"/>
      <c r="S3819" s="382"/>
      <c r="T3819" s="383"/>
      <c r="U3819" s="384"/>
      <c r="V3819" s="12"/>
      <c r="W3819" s="12"/>
    </row>
    <row r="3820" spans="1:23" x14ac:dyDescent="0.3">
      <c r="A3820" s="193"/>
      <c r="B3820" s="378"/>
      <c r="C3820" s="315"/>
      <c r="D3820" s="316"/>
      <c r="E3820" s="315"/>
      <c r="F3820" s="315"/>
      <c r="G3820" s="315"/>
      <c r="H3820" s="153"/>
      <c r="I3820" s="12"/>
      <c r="J3820" s="12"/>
      <c r="K3820" s="12"/>
      <c r="L3820" s="379"/>
      <c r="M3820" s="380"/>
      <c r="N3820" s="380"/>
      <c r="O3820" s="12"/>
      <c r="P3820" s="381"/>
      <c r="Q3820" s="12"/>
      <c r="R3820" s="12"/>
      <c r="S3820" s="382"/>
      <c r="T3820" s="383"/>
      <c r="U3820" s="384"/>
      <c r="V3820" s="12"/>
      <c r="W3820" s="12"/>
    </row>
    <row r="3821" spans="1:23" x14ac:dyDescent="0.3">
      <c r="A3821" s="193"/>
      <c r="B3821" s="378"/>
      <c r="C3821" s="315"/>
      <c r="D3821" s="316"/>
      <c r="E3821" s="315"/>
      <c r="F3821" s="315"/>
      <c r="G3821" s="315"/>
      <c r="H3821" s="153"/>
      <c r="I3821" s="12"/>
      <c r="J3821" s="12"/>
      <c r="K3821" s="12"/>
      <c r="L3821" s="379"/>
      <c r="M3821" s="380"/>
      <c r="N3821" s="380"/>
      <c r="O3821" s="12"/>
      <c r="P3821" s="381"/>
      <c r="Q3821" s="12"/>
      <c r="R3821" s="12"/>
      <c r="S3821" s="382"/>
      <c r="T3821" s="383"/>
      <c r="U3821" s="384"/>
      <c r="V3821" s="12"/>
      <c r="W3821" s="12"/>
    </row>
    <row r="3822" spans="1:23" x14ac:dyDescent="0.3">
      <c r="A3822" s="193"/>
      <c r="B3822" s="378"/>
      <c r="C3822" s="315"/>
      <c r="D3822" s="316"/>
      <c r="E3822" s="315"/>
      <c r="F3822" s="315"/>
      <c r="G3822" s="315"/>
      <c r="H3822" s="153"/>
      <c r="I3822" s="12"/>
      <c r="J3822" s="12"/>
      <c r="K3822" s="12"/>
      <c r="L3822" s="379"/>
      <c r="M3822" s="380"/>
      <c r="N3822" s="380"/>
      <c r="O3822" s="12"/>
      <c r="P3822" s="381"/>
      <c r="Q3822" s="12"/>
      <c r="R3822" s="12"/>
      <c r="S3822" s="382"/>
      <c r="T3822" s="383"/>
      <c r="U3822" s="384"/>
      <c r="V3822" s="12"/>
      <c r="W3822" s="12"/>
    </row>
    <row r="3823" spans="1:23" x14ac:dyDescent="0.3">
      <c r="A3823" s="193"/>
      <c r="B3823" s="378"/>
      <c r="C3823" s="315"/>
      <c r="D3823" s="316"/>
      <c r="E3823" s="315"/>
      <c r="F3823" s="315"/>
      <c r="G3823" s="315"/>
      <c r="H3823" s="153"/>
      <c r="I3823" s="12"/>
      <c r="J3823" s="12"/>
      <c r="K3823" s="12"/>
      <c r="L3823" s="379"/>
      <c r="M3823" s="380"/>
      <c r="N3823" s="380"/>
      <c r="O3823" s="12"/>
      <c r="P3823" s="381"/>
      <c r="Q3823" s="12"/>
      <c r="R3823" s="12"/>
      <c r="S3823" s="382"/>
      <c r="T3823" s="383"/>
      <c r="U3823" s="384"/>
      <c r="V3823" s="12"/>
      <c r="W3823" s="12"/>
    </row>
    <row r="3824" spans="1:23" x14ac:dyDescent="0.3">
      <c r="A3824" s="193"/>
      <c r="B3824" s="378"/>
      <c r="C3824" s="315"/>
      <c r="D3824" s="316"/>
      <c r="E3824" s="315"/>
      <c r="F3824" s="315"/>
      <c r="G3824" s="315"/>
      <c r="H3824" s="153"/>
      <c r="I3824" s="12"/>
      <c r="J3824" s="12"/>
      <c r="K3824" s="12"/>
      <c r="L3824" s="379"/>
      <c r="M3824" s="380"/>
      <c r="N3824" s="380"/>
      <c r="O3824" s="12"/>
      <c r="P3824" s="381"/>
      <c r="Q3824" s="12"/>
      <c r="R3824" s="12"/>
      <c r="S3824" s="382"/>
      <c r="T3824" s="383"/>
      <c r="U3824" s="384"/>
      <c r="V3824" s="12"/>
      <c r="W3824" s="12"/>
    </row>
    <row r="3825" spans="1:23" x14ac:dyDescent="0.3">
      <c r="A3825" s="193"/>
      <c r="B3825" s="378"/>
      <c r="C3825" s="315"/>
      <c r="D3825" s="316"/>
      <c r="E3825" s="315"/>
      <c r="F3825" s="315"/>
      <c r="G3825" s="315"/>
      <c r="H3825" s="153"/>
      <c r="I3825" s="12"/>
      <c r="J3825" s="12"/>
      <c r="K3825" s="12"/>
      <c r="L3825" s="379"/>
      <c r="M3825" s="380"/>
      <c r="N3825" s="380"/>
      <c r="O3825" s="12"/>
      <c r="P3825" s="381"/>
      <c r="Q3825" s="12"/>
      <c r="R3825" s="12"/>
      <c r="S3825" s="382"/>
      <c r="T3825" s="383"/>
      <c r="U3825" s="384"/>
      <c r="V3825" s="12"/>
      <c r="W3825" s="12"/>
    </row>
    <row r="3826" spans="1:23" x14ac:dyDescent="0.3">
      <c r="A3826" s="193"/>
      <c r="B3826" s="378"/>
      <c r="C3826" s="315"/>
      <c r="D3826" s="316"/>
      <c r="E3826" s="315"/>
      <c r="F3826" s="315"/>
      <c r="G3826" s="315"/>
      <c r="H3826" s="153"/>
      <c r="I3826" s="12"/>
      <c r="J3826" s="12"/>
      <c r="K3826" s="12"/>
      <c r="L3826" s="379"/>
      <c r="M3826" s="380"/>
      <c r="N3826" s="380"/>
      <c r="O3826" s="12"/>
      <c r="P3826" s="381"/>
      <c r="Q3826" s="12"/>
      <c r="R3826" s="12"/>
      <c r="S3826" s="382"/>
      <c r="T3826" s="383"/>
      <c r="U3826" s="384"/>
      <c r="V3826" s="12"/>
      <c r="W3826" s="12"/>
    </row>
  </sheetData>
  <autoFilter ref="A8:W8" xr:uid="{00000000-0001-0000-0400-000000000000}">
    <sortState xmlns:xlrd2="http://schemas.microsoft.com/office/spreadsheetml/2017/richdata2" ref="A9:W2467">
      <sortCondition ref="B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xSplit="1" ySplit="8" topLeftCell="B9" activePane="bottomRight" state="frozen"/>
      <selection pane="topRight" activeCell="B1" sqref="B1"/>
      <selection pane="bottomLeft" activeCell="A9" sqref="A9"/>
      <selection pane="bottomRight" activeCell="A11" sqref="A11"/>
    </sheetView>
  </sheetViews>
  <sheetFormatPr defaultColWidth="14.44140625" defaultRowHeight="15" customHeight="1" outlineLevelCol="1" x14ac:dyDescent="0.3"/>
  <cols>
    <col min="1" max="1" width="8.6640625" customWidth="1"/>
    <col min="2" max="2" width="29.6640625" customWidth="1"/>
    <col min="3" max="3" width="21.6640625" hidden="1" customWidth="1"/>
    <col min="4" max="4" width="25.33203125" hidden="1" customWidth="1"/>
    <col min="5" max="5" width="29" customWidth="1"/>
    <col min="6" max="6" width="14.33203125" customWidth="1"/>
    <col min="7" max="7" width="10.6640625" customWidth="1"/>
    <col min="8" max="11" width="12.6640625" customWidth="1"/>
    <col min="12" max="12" width="20.6640625" customWidth="1"/>
    <col min="13" max="13" width="9.33203125" customWidth="1"/>
    <col min="14" max="14" width="14.5546875" customWidth="1"/>
    <col min="15" max="15" width="15.6640625" customWidth="1"/>
    <col min="16" max="16" width="11.33203125" customWidth="1" outlineLevel="1"/>
    <col min="17" max="17" width="10.44140625" hidden="1" customWidth="1"/>
    <col min="18" max="18" width="12.6640625" customWidth="1"/>
    <col min="19" max="19" width="8.6640625" customWidth="1"/>
    <col min="20" max="26" width="9" customWidth="1"/>
  </cols>
  <sheetData>
    <row r="1" spans="1:26" ht="18" hidden="1" customHeight="1" x14ac:dyDescent="0.35">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x14ac:dyDescent="0.45">
      <c r="A2" s="3"/>
      <c r="B2" s="8"/>
      <c r="C2" s="3"/>
      <c r="D2" s="3"/>
      <c r="E2" s="8"/>
      <c r="F2" s="3"/>
      <c r="G2" s="9"/>
      <c r="H2" s="3"/>
      <c r="I2" s="5"/>
      <c r="J2" s="5"/>
      <c r="K2" s="5"/>
      <c r="L2" s="3"/>
      <c r="M2" s="10" t="s">
        <v>1</v>
      </c>
      <c r="N2" s="11"/>
      <c r="O2" s="9"/>
      <c r="P2" s="12"/>
      <c r="Q2" s="12"/>
      <c r="R2" s="12"/>
      <c r="S2" s="12"/>
      <c r="T2" s="12"/>
      <c r="U2" s="12"/>
      <c r="V2" s="12"/>
      <c r="W2" s="12"/>
      <c r="X2" s="12"/>
      <c r="Y2" s="12"/>
      <c r="Z2" s="12"/>
    </row>
    <row r="3" spans="1:26" ht="14.25" customHeight="1" x14ac:dyDescent="0.3">
      <c r="A3" s="13" t="s">
        <v>2</v>
      </c>
      <c r="B3" s="13"/>
      <c r="C3" s="13"/>
      <c r="D3" s="13"/>
      <c r="E3" s="13"/>
      <c r="F3" s="13"/>
      <c r="G3" s="13"/>
      <c r="H3" s="13"/>
      <c r="I3" s="13"/>
      <c r="J3" s="13"/>
      <c r="K3" s="13"/>
      <c r="L3" s="13"/>
      <c r="M3" s="13"/>
      <c r="N3" s="14"/>
      <c r="O3" s="13"/>
      <c r="P3" s="12" t="s">
        <v>3</v>
      </c>
      <c r="Q3" s="12"/>
      <c r="R3" s="12"/>
      <c r="S3" s="12"/>
      <c r="T3" s="12"/>
      <c r="U3" s="12"/>
      <c r="V3" s="12"/>
      <c r="W3" s="12"/>
      <c r="X3" s="12"/>
      <c r="Y3" s="12"/>
      <c r="Z3" s="12"/>
    </row>
    <row r="4" spans="1:26" ht="14.25" customHeight="1" x14ac:dyDescent="0.3">
      <c r="A4" s="13" t="s">
        <v>4</v>
      </c>
      <c r="B4" s="13"/>
      <c r="C4" s="13"/>
      <c r="D4" s="13"/>
      <c r="E4" s="13"/>
      <c r="F4" s="13"/>
      <c r="G4" s="13"/>
      <c r="H4" s="13"/>
      <c r="I4" s="13"/>
      <c r="J4" s="13"/>
      <c r="K4" s="13"/>
      <c r="L4" s="13"/>
      <c r="M4" s="13"/>
      <c r="N4" s="14"/>
      <c r="O4" s="13"/>
      <c r="P4" s="12"/>
      <c r="Q4" s="12"/>
      <c r="R4" s="12"/>
      <c r="S4" s="12"/>
      <c r="T4" s="12"/>
      <c r="U4" s="12"/>
      <c r="V4" s="12"/>
      <c r="W4" s="12"/>
      <c r="X4" s="12"/>
      <c r="Y4" s="12"/>
      <c r="Z4" s="12"/>
    </row>
    <row r="5" spans="1:26" ht="14.25" customHeight="1" x14ac:dyDescent="0.3">
      <c r="A5" s="8" t="s">
        <v>5</v>
      </c>
      <c r="B5" s="8"/>
      <c r="C5" s="8"/>
      <c r="D5" s="8"/>
      <c r="E5" s="8"/>
      <c r="F5" s="8"/>
      <c r="G5" s="8"/>
      <c r="H5" s="8"/>
      <c r="I5" s="8"/>
      <c r="J5" s="8"/>
      <c r="K5" s="8"/>
      <c r="L5" s="8"/>
      <c r="M5" s="8"/>
      <c r="N5" s="9"/>
      <c r="O5" s="8"/>
      <c r="P5" s="12"/>
      <c r="Q5" s="12"/>
      <c r="R5" s="12"/>
      <c r="S5" s="12"/>
      <c r="T5" s="12"/>
      <c r="U5" s="12"/>
      <c r="V5" s="12"/>
      <c r="W5" s="12"/>
      <c r="X5" s="12"/>
      <c r="Y5" s="12"/>
      <c r="Z5" s="12"/>
    </row>
    <row r="6" spans="1:26" ht="14.25" customHeight="1" x14ac:dyDescent="0.3">
      <c r="A6" s="15" t="s">
        <v>6</v>
      </c>
      <c r="B6" s="16" t="s">
        <v>7</v>
      </c>
      <c r="C6" s="16" t="s">
        <v>8</v>
      </c>
      <c r="D6" s="16"/>
      <c r="E6" s="16"/>
      <c r="F6" s="15" t="s">
        <v>9</v>
      </c>
      <c r="G6" s="17" t="s">
        <v>10</v>
      </c>
      <c r="H6" s="16" t="s">
        <v>11</v>
      </c>
      <c r="I6" s="18" t="s">
        <v>12</v>
      </c>
      <c r="J6" s="18" t="s">
        <v>13</v>
      </c>
      <c r="K6" s="19"/>
      <c r="L6" s="20" t="s">
        <v>14</v>
      </c>
      <c r="M6" s="21" t="s">
        <v>15</v>
      </c>
      <c r="N6" s="22" t="s">
        <v>15</v>
      </c>
      <c r="O6" s="23" t="s">
        <v>16</v>
      </c>
      <c r="P6" s="24"/>
      <c r="Q6" s="25"/>
      <c r="R6" s="25"/>
      <c r="S6" s="25"/>
      <c r="T6" s="25"/>
      <c r="U6" s="25"/>
      <c r="V6" s="25"/>
      <c r="W6" s="25"/>
      <c r="X6" s="25"/>
      <c r="Y6" s="25"/>
      <c r="Z6" s="25"/>
    </row>
    <row r="7" spans="1:26" ht="12.75" customHeight="1" x14ac:dyDescent="0.3">
      <c r="A7" s="15"/>
      <c r="B7" s="16"/>
      <c r="C7" s="16" t="s">
        <v>17</v>
      </c>
      <c r="D7" s="16" t="s">
        <v>18</v>
      </c>
      <c r="E7" s="16" t="s">
        <v>19</v>
      </c>
      <c r="F7" s="15"/>
      <c r="G7" s="17"/>
      <c r="H7" s="16"/>
      <c r="I7" s="26"/>
      <c r="J7" s="26"/>
      <c r="K7" s="27"/>
      <c r="L7" s="20"/>
      <c r="M7" s="21"/>
      <c r="N7" s="22"/>
      <c r="O7" s="23"/>
      <c r="P7" s="25"/>
      <c r="Q7" s="25"/>
      <c r="R7" s="25"/>
      <c r="S7" s="25"/>
      <c r="T7" s="25"/>
      <c r="U7" s="25"/>
      <c r="V7" s="25"/>
      <c r="W7" s="25"/>
      <c r="X7" s="25"/>
      <c r="Y7" s="25"/>
      <c r="Z7" s="25"/>
    </row>
    <row r="8" spans="1:26" ht="14.25" customHeight="1" x14ac:dyDescent="0.3">
      <c r="A8" s="15" t="s">
        <v>20</v>
      </c>
      <c r="B8" s="16" t="s">
        <v>20</v>
      </c>
      <c r="C8" s="16"/>
      <c r="D8" s="16"/>
      <c r="E8" s="16" t="s">
        <v>20</v>
      </c>
      <c r="F8" s="15" t="s">
        <v>21</v>
      </c>
      <c r="G8" s="17" t="s">
        <v>20</v>
      </c>
      <c r="H8" s="16" t="s">
        <v>20</v>
      </c>
      <c r="I8" s="26" t="s">
        <v>21</v>
      </c>
      <c r="J8" s="26" t="s">
        <v>21</v>
      </c>
      <c r="K8" s="27"/>
      <c r="L8" s="28" t="s">
        <v>22</v>
      </c>
      <c r="M8" s="21"/>
      <c r="N8" s="22" t="s">
        <v>23</v>
      </c>
      <c r="O8" s="23" t="s">
        <v>20</v>
      </c>
      <c r="P8" s="25"/>
      <c r="Q8" s="25"/>
      <c r="R8" s="25"/>
      <c r="S8" s="25"/>
      <c r="T8" s="25"/>
      <c r="U8" s="25"/>
      <c r="V8" s="25"/>
      <c r="W8" s="25"/>
      <c r="X8" s="25"/>
      <c r="Y8" s="25"/>
      <c r="Z8" s="25"/>
    </row>
    <row r="9" spans="1:26" ht="14.25" customHeight="1" x14ac:dyDescent="0.3">
      <c r="A9" s="15"/>
      <c r="B9" s="16"/>
      <c r="C9" s="16"/>
      <c r="D9" s="16"/>
      <c r="E9" s="16"/>
      <c r="F9" s="29" t="s">
        <v>24</v>
      </c>
      <c r="G9" s="17"/>
      <c r="H9" s="16"/>
      <c r="I9" s="30"/>
      <c r="J9" s="30"/>
      <c r="K9" s="31"/>
      <c r="L9" s="28" t="s">
        <v>25</v>
      </c>
      <c r="M9" s="21"/>
      <c r="N9" s="22"/>
      <c r="O9" s="23"/>
      <c r="P9" s="32" t="s">
        <v>26</v>
      </c>
      <c r="Q9" s="32"/>
      <c r="R9" s="32"/>
      <c r="S9" s="32"/>
      <c r="T9" s="32"/>
      <c r="U9" s="32"/>
      <c r="V9" s="32"/>
      <c r="W9" s="32"/>
      <c r="X9" s="32"/>
      <c r="Y9" s="32"/>
      <c r="Z9" s="32"/>
    </row>
    <row r="10" spans="1:26" ht="15" customHeight="1" x14ac:dyDescent="0.3">
      <c r="A10" s="33" t="s">
        <v>27</v>
      </c>
      <c r="B10" s="34" t="s">
        <v>28</v>
      </c>
      <c r="C10" s="34" t="s">
        <v>29</v>
      </c>
      <c r="D10" s="33"/>
      <c r="E10" s="35" t="s">
        <v>30</v>
      </c>
      <c r="F10" s="33" t="s">
        <v>31</v>
      </c>
      <c r="G10" s="36">
        <v>67.5</v>
      </c>
      <c r="H10" s="37">
        <v>10</v>
      </c>
      <c r="I10" s="37">
        <v>250</v>
      </c>
      <c r="J10" s="38" t="s">
        <v>32</v>
      </c>
      <c r="K10" s="39" t="s">
        <v>33</v>
      </c>
      <c r="L10" s="40" t="str">
        <f t="shared" ref="L10:L170" si="0">CONCATENATE(I10,J10)</f>
        <v>250ml</v>
      </c>
      <c r="M10" s="41">
        <f t="shared" ref="M10:M170" si="1">H10*I10</f>
        <v>2500</v>
      </c>
      <c r="N10" s="42" t="str">
        <f t="shared" ref="N10:N264" si="2">CONCATENATE(M10,K10,J10)</f>
        <v>2500 ml</v>
      </c>
      <c r="O10" s="42">
        <f t="shared" ref="O10:O264" si="3">G10*H10</f>
        <v>675</v>
      </c>
      <c r="P10" s="43">
        <f t="shared" ref="P10:P76" si="4">O10/H10</f>
        <v>67.5</v>
      </c>
      <c r="Q10" s="44">
        <f t="shared" ref="Q10:Q170" si="5">G10-P10</f>
        <v>0</v>
      </c>
      <c r="R10" s="32"/>
      <c r="S10" s="32"/>
      <c r="T10" s="32"/>
      <c r="U10" s="32"/>
      <c r="V10" s="32"/>
      <c r="W10" s="32"/>
      <c r="X10" s="32"/>
      <c r="Y10" s="32"/>
      <c r="Z10" s="32"/>
    </row>
    <row r="11" spans="1:26" ht="15" customHeight="1" x14ac:dyDescent="0.3">
      <c r="A11" s="45">
        <v>1</v>
      </c>
      <c r="B11" s="46" t="s">
        <v>34</v>
      </c>
      <c r="C11" s="46"/>
      <c r="D11" s="47"/>
      <c r="E11" s="48" t="s">
        <v>35</v>
      </c>
      <c r="F11" s="45"/>
      <c r="G11" s="49">
        <v>61.32</v>
      </c>
      <c r="H11" s="50">
        <v>30</v>
      </c>
      <c r="I11" s="50">
        <v>250</v>
      </c>
      <c r="J11" s="51" t="s">
        <v>32</v>
      </c>
      <c r="K11" s="52" t="s">
        <v>33</v>
      </c>
      <c r="L11" s="53" t="str">
        <f t="shared" si="0"/>
        <v>250ml</v>
      </c>
      <c r="M11" s="54">
        <f t="shared" si="1"/>
        <v>7500</v>
      </c>
      <c r="N11" s="55" t="str">
        <f t="shared" si="2"/>
        <v>7500 ml</v>
      </c>
      <c r="O11" s="56">
        <f t="shared" si="3"/>
        <v>1839.6</v>
      </c>
      <c r="P11" s="44">
        <f t="shared" si="4"/>
        <v>61.32</v>
      </c>
      <c r="Q11" s="44">
        <f t="shared" si="5"/>
        <v>0</v>
      </c>
      <c r="R11" s="12"/>
      <c r="S11" s="32"/>
      <c r="T11" s="32"/>
      <c r="U11" s="32"/>
      <c r="V11" s="32"/>
      <c r="W11" s="32"/>
      <c r="X11" s="32"/>
      <c r="Y11" s="32"/>
      <c r="Z11" s="32"/>
    </row>
    <row r="12" spans="1:26" ht="15" customHeight="1" x14ac:dyDescent="0.3">
      <c r="A12" s="45">
        <v>2</v>
      </c>
      <c r="B12" s="57" t="s">
        <v>34</v>
      </c>
      <c r="C12" s="46"/>
      <c r="D12" s="58"/>
      <c r="E12" s="59" t="s">
        <v>36</v>
      </c>
      <c r="F12" s="45"/>
      <c r="G12" s="49">
        <v>46.58</v>
      </c>
      <c r="H12" s="50">
        <v>22</v>
      </c>
      <c r="I12" s="50">
        <v>250</v>
      </c>
      <c r="J12" s="51" t="s">
        <v>32</v>
      </c>
      <c r="K12" s="52" t="s">
        <v>33</v>
      </c>
      <c r="L12" s="53" t="str">
        <f t="shared" si="0"/>
        <v>250ml</v>
      </c>
      <c r="M12" s="54">
        <f t="shared" si="1"/>
        <v>5500</v>
      </c>
      <c r="N12" s="55" t="str">
        <f t="shared" si="2"/>
        <v>5500 ml</v>
      </c>
      <c r="O12" s="56">
        <f t="shared" si="3"/>
        <v>1024.76</v>
      </c>
      <c r="P12" s="44">
        <f t="shared" si="4"/>
        <v>46.58</v>
      </c>
      <c r="Q12" s="44">
        <f t="shared" si="5"/>
        <v>0</v>
      </c>
      <c r="R12" s="32"/>
      <c r="S12" s="32"/>
      <c r="T12" s="32"/>
      <c r="U12" s="32"/>
      <c r="V12" s="32"/>
      <c r="W12" s="32"/>
      <c r="X12" s="32"/>
      <c r="Y12" s="32"/>
      <c r="Z12" s="32"/>
    </row>
    <row r="13" spans="1:26" ht="15" customHeight="1" x14ac:dyDescent="0.3">
      <c r="A13" s="45">
        <v>3</v>
      </c>
      <c r="B13" s="46" t="s">
        <v>37</v>
      </c>
      <c r="C13" s="46"/>
      <c r="D13" s="58"/>
      <c r="E13" s="48" t="s">
        <v>38</v>
      </c>
      <c r="F13" s="45"/>
      <c r="G13" s="60">
        <v>45.54</v>
      </c>
      <c r="H13" s="61">
        <v>2</v>
      </c>
      <c r="I13" s="61">
        <v>400</v>
      </c>
      <c r="J13" s="51" t="s">
        <v>39</v>
      </c>
      <c r="K13" s="52" t="s">
        <v>33</v>
      </c>
      <c r="L13" s="53" t="str">
        <f t="shared" si="0"/>
        <v>400grams</v>
      </c>
      <c r="M13" s="54">
        <f t="shared" si="1"/>
        <v>800</v>
      </c>
      <c r="N13" s="55" t="str">
        <f t="shared" si="2"/>
        <v>800 grams</v>
      </c>
      <c r="O13" s="56">
        <f t="shared" si="3"/>
        <v>91.08</v>
      </c>
      <c r="P13" s="44">
        <f t="shared" si="4"/>
        <v>45.54</v>
      </c>
      <c r="Q13" s="62">
        <f t="shared" si="5"/>
        <v>0</v>
      </c>
      <c r="R13" s="12"/>
      <c r="S13" s="32"/>
      <c r="T13" s="32"/>
      <c r="U13" s="32"/>
      <c r="V13" s="32"/>
      <c r="W13" s="32"/>
      <c r="X13" s="32"/>
      <c r="Y13" s="32"/>
      <c r="Z13" s="32"/>
    </row>
    <row r="14" spans="1:26" ht="15" customHeight="1" x14ac:dyDescent="0.3">
      <c r="A14" s="45">
        <v>4</v>
      </c>
      <c r="B14" s="46" t="s">
        <v>37</v>
      </c>
      <c r="C14" s="46"/>
      <c r="D14" s="63"/>
      <c r="E14" s="48" t="s">
        <v>40</v>
      </c>
      <c r="F14" s="45"/>
      <c r="G14" s="64">
        <v>59.6</v>
      </c>
      <c r="H14" s="65">
        <v>22</v>
      </c>
      <c r="I14" s="65">
        <v>1000</v>
      </c>
      <c r="J14" s="51" t="s">
        <v>41</v>
      </c>
      <c r="K14" s="52" t="s">
        <v>33</v>
      </c>
      <c r="L14" s="53" t="str">
        <f t="shared" si="0"/>
        <v>1000 grams</v>
      </c>
      <c r="M14" s="54">
        <f t="shared" si="1"/>
        <v>22000</v>
      </c>
      <c r="N14" s="55" t="str">
        <f t="shared" si="2"/>
        <v>22000  grams</v>
      </c>
      <c r="O14" s="56">
        <f t="shared" si="3"/>
        <v>1311.2</v>
      </c>
      <c r="P14" s="44">
        <f t="shared" si="4"/>
        <v>59.6</v>
      </c>
      <c r="Q14" s="44">
        <f t="shared" si="5"/>
        <v>0</v>
      </c>
      <c r="R14" s="32"/>
      <c r="S14" s="32"/>
      <c r="T14" s="32"/>
      <c r="U14" s="32"/>
      <c r="V14" s="32"/>
      <c r="W14" s="32"/>
      <c r="X14" s="32"/>
      <c r="Y14" s="32"/>
      <c r="Z14" s="32"/>
    </row>
    <row r="15" spans="1:26" ht="15" customHeight="1" x14ac:dyDescent="0.3">
      <c r="A15" s="45">
        <v>5</v>
      </c>
      <c r="B15" s="46" t="s">
        <v>42</v>
      </c>
      <c r="C15" s="46"/>
      <c r="D15" s="63"/>
      <c r="E15" s="48" t="s">
        <v>43</v>
      </c>
      <c r="F15" s="45"/>
      <c r="G15" s="60">
        <v>48</v>
      </c>
      <c r="H15" s="61">
        <v>26</v>
      </c>
      <c r="I15" s="61">
        <v>1000</v>
      </c>
      <c r="J15" s="51" t="s">
        <v>39</v>
      </c>
      <c r="K15" s="52" t="s">
        <v>33</v>
      </c>
      <c r="L15" s="53" t="str">
        <f t="shared" si="0"/>
        <v>1000grams</v>
      </c>
      <c r="M15" s="54">
        <f t="shared" si="1"/>
        <v>26000</v>
      </c>
      <c r="N15" s="55" t="str">
        <f t="shared" si="2"/>
        <v>26000 grams</v>
      </c>
      <c r="O15" s="56">
        <f t="shared" si="3"/>
        <v>1248</v>
      </c>
      <c r="P15" s="44">
        <f t="shared" si="4"/>
        <v>48</v>
      </c>
      <c r="Q15" s="44">
        <f t="shared" si="5"/>
        <v>0</v>
      </c>
      <c r="R15" s="32"/>
      <c r="S15" s="32"/>
      <c r="T15" s="32"/>
      <c r="U15" s="32"/>
      <c r="V15" s="32"/>
      <c r="W15" s="32"/>
      <c r="X15" s="32"/>
      <c r="Y15" s="32"/>
      <c r="Z15" s="32"/>
    </row>
    <row r="16" spans="1:26" ht="15" customHeight="1" x14ac:dyDescent="0.3">
      <c r="A16" s="45">
        <v>6</v>
      </c>
      <c r="B16" s="46" t="s">
        <v>44</v>
      </c>
      <c r="C16" s="46"/>
      <c r="D16" s="63"/>
      <c r="E16" s="48" t="s">
        <v>45</v>
      </c>
      <c r="F16" s="45"/>
      <c r="G16" s="60">
        <v>208</v>
      </c>
      <c r="H16" s="61">
        <v>2</v>
      </c>
      <c r="I16" s="61">
        <v>1000</v>
      </c>
      <c r="J16" s="51" t="s">
        <v>39</v>
      </c>
      <c r="K16" s="52" t="s">
        <v>33</v>
      </c>
      <c r="L16" s="53" t="str">
        <f t="shared" si="0"/>
        <v>1000grams</v>
      </c>
      <c r="M16" s="54">
        <f t="shared" si="1"/>
        <v>2000</v>
      </c>
      <c r="N16" s="55" t="str">
        <f t="shared" si="2"/>
        <v>2000 grams</v>
      </c>
      <c r="O16" s="56">
        <f t="shared" si="3"/>
        <v>416</v>
      </c>
      <c r="P16" s="44">
        <f t="shared" si="4"/>
        <v>208</v>
      </c>
      <c r="Q16" s="44">
        <f t="shared" si="5"/>
        <v>0</v>
      </c>
      <c r="R16" s="32"/>
      <c r="S16" s="32"/>
      <c r="T16" s="32"/>
      <c r="U16" s="32"/>
      <c r="V16" s="32"/>
      <c r="W16" s="32"/>
      <c r="X16" s="32"/>
      <c r="Y16" s="32"/>
      <c r="Z16" s="32"/>
    </row>
    <row r="17" spans="1:26" ht="15" customHeight="1" x14ac:dyDescent="0.3">
      <c r="A17" s="45">
        <v>7</v>
      </c>
      <c r="B17" s="46" t="s">
        <v>46</v>
      </c>
      <c r="C17" s="46"/>
      <c r="D17" s="63"/>
      <c r="E17" s="48" t="s">
        <v>47</v>
      </c>
      <c r="F17" s="45"/>
      <c r="G17" s="60">
        <v>32.1</v>
      </c>
      <c r="H17" s="61">
        <v>2</v>
      </c>
      <c r="I17" s="61">
        <v>250</v>
      </c>
      <c r="J17" s="51" t="s">
        <v>39</v>
      </c>
      <c r="K17" s="52" t="s">
        <v>33</v>
      </c>
      <c r="L17" s="53" t="str">
        <f t="shared" si="0"/>
        <v>250grams</v>
      </c>
      <c r="M17" s="54">
        <f t="shared" si="1"/>
        <v>500</v>
      </c>
      <c r="N17" s="55" t="str">
        <f t="shared" si="2"/>
        <v>500 grams</v>
      </c>
      <c r="O17" s="56">
        <f t="shared" si="3"/>
        <v>64.2</v>
      </c>
      <c r="P17" s="44">
        <f t="shared" si="4"/>
        <v>32.1</v>
      </c>
      <c r="Q17" s="44">
        <f t="shared" si="5"/>
        <v>0</v>
      </c>
      <c r="R17" s="32"/>
      <c r="S17" s="32"/>
      <c r="T17" s="32"/>
      <c r="U17" s="32"/>
      <c r="V17" s="32"/>
      <c r="W17" s="32"/>
      <c r="X17" s="32"/>
      <c r="Y17" s="32"/>
      <c r="Z17" s="32"/>
    </row>
    <row r="18" spans="1:26" ht="15" customHeight="1" x14ac:dyDescent="0.3">
      <c r="A18" s="45">
        <v>8</v>
      </c>
      <c r="B18" s="46" t="s">
        <v>48</v>
      </c>
      <c r="C18" s="46"/>
      <c r="D18" s="63"/>
      <c r="E18" s="48" t="s">
        <v>49</v>
      </c>
      <c r="F18" s="45"/>
      <c r="G18" s="60">
        <v>143.19999999999999</v>
      </c>
      <c r="H18" s="61">
        <v>9</v>
      </c>
      <c r="I18" s="61">
        <v>1000</v>
      </c>
      <c r="J18" s="51" t="s">
        <v>39</v>
      </c>
      <c r="K18" s="52" t="s">
        <v>33</v>
      </c>
      <c r="L18" s="53" t="str">
        <f t="shared" si="0"/>
        <v>1000grams</v>
      </c>
      <c r="M18" s="54">
        <f t="shared" si="1"/>
        <v>9000</v>
      </c>
      <c r="N18" s="55" t="str">
        <f t="shared" si="2"/>
        <v>9000 grams</v>
      </c>
      <c r="O18" s="56">
        <f t="shared" si="3"/>
        <v>1288.8</v>
      </c>
      <c r="P18" s="44">
        <f t="shared" si="4"/>
        <v>143.19999999999999</v>
      </c>
      <c r="Q18" s="44">
        <f t="shared" si="5"/>
        <v>0</v>
      </c>
      <c r="R18" s="32"/>
      <c r="S18" s="32"/>
      <c r="T18" s="32"/>
      <c r="U18" s="32"/>
      <c r="V18" s="32"/>
      <c r="W18" s="32"/>
      <c r="X18" s="32"/>
      <c r="Y18" s="32"/>
      <c r="Z18" s="32"/>
    </row>
    <row r="19" spans="1:26" ht="15" customHeight="1" x14ac:dyDescent="0.3">
      <c r="A19" s="45">
        <v>9</v>
      </c>
      <c r="B19" s="46" t="s">
        <v>50</v>
      </c>
      <c r="C19" s="46"/>
      <c r="D19" s="63"/>
      <c r="E19" s="48" t="s">
        <v>51</v>
      </c>
      <c r="F19" s="45"/>
      <c r="G19" s="60">
        <v>75</v>
      </c>
      <c r="H19" s="61">
        <v>2</v>
      </c>
      <c r="I19" s="61">
        <v>1000</v>
      </c>
      <c r="J19" s="51" t="s">
        <v>39</v>
      </c>
      <c r="K19" s="52" t="s">
        <v>33</v>
      </c>
      <c r="L19" s="53" t="str">
        <f t="shared" si="0"/>
        <v>1000grams</v>
      </c>
      <c r="M19" s="54">
        <f t="shared" si="1"/>
        <v>2000</v>
      </c>
      <c r="N19" s="55" t="str">
        <f t="shared" si="2"/>
        <v>2000 grams</v>
      </c>
      <c r="O19" s="56">
        <f t="shared" si="3"/>
        <v>150</v>
      </c>
      <c r="P19" s="44">
        <f t="shared" si="4"/>
        <v>75</v>
      </c>
      <c r="Q19" s="66">
        <f t="shared" si="5"/>
        <v>0</v>
      </c>
      <c r="R19" s="67"/>
      <c r="S19" s="32"/>
      <c r="T19" s="32"/>
      <c r="U19" s="32"/>
      <c r="V19" s="32"/>
      <c r="W19" s="32"/>
      <c r="X19" s="32"/>
      <c r="Y19" s="32"/>
      <c r="Z19" s="32"/>
    </row>
    <row r="20" spans="1:26" ht="15" customHeight="1" x14ac:dyDescent="0.3">
      <c r="A20" s="45">
        <v>10</v>
      </c>
      <c r="B20" s="68" t="s">
        <v>52</v>
      </c>
      <c r="C20" s="46"/>
      <c r="D20" s="63"/>
      <c r="E20" s="48" t="s">
        <v>51</v>
      </c>
      <c r="F20" s="45"/>
      <c r="G20" s="60">
        <v>70</v>
      </c>
      <c r="H20" s="61">
        <v>10</v>
      </c>
      <c r="I20" s="61">
        <v>1000</v>
      </c>
      <c r="J20" s="51" t="s">
        <v>39</v>
      </c>
      <c r="K20" s="52" t="s">
        <v>33</v>
      </c>
      <c r="L20" s="53" t="str">
        <f t="shared" si="0"/>
        <v>1000grams</v>
      </c>
      <c r="M20" s="54">
        <f t="shared" si="1"/>
        <v>10000</v>
      </c>
      <c r="N20" s="55" t="str">
        <f t="shared" si="2"/>
        <v>10000 grams</v>
      </c>
      <c r="O20" s="56">
        <f t="shared" si="3"/>
        <v>700</v>
      </c>
      <c r="P20" s="44">
        <f t="shared" si="4"/>
        <v>70</v>
      </c>
      <c r="Q20" s="44">
        <f t="shared" si="5"/>
        <v>0</v>
      </c>
      <c r="R20" s="32"/>
      <c r="S20" s="32"/>
      <c r="T20" s="32"/>
      <c r="U20" s="32"/>
      <c r="V20" s="32"/>
      <c r="W20" s="32"/>
      <c r="X20" s="32"/>
      <c r="Y20" s="32"/>
      <c r="Z20" s="32"/>
    </row>
    <row r="21" spans="1:26" ht="15" customHeight="1" x14ac:dyDescent="0.3">
      <c r="A21" s="45">
        <v>11</v>
      </c>
      <c r="B21" s="69" t="s">
        <v>53</v>
      </c>
      <c r="C21" s="46"/>
      <c r="D21" s="58"/>
      <c r="E21" s="59" t="s">
        <v>54</v>
      </c>
      <c r="F21" s="45"/>
      <c r="G21" s="70">
        <v>34.42</v>
      </c>
      <c r="H21" s="71">
        <v>32</v>
      </c>
      <c r="I21" s="71">
        <v>160</v>
      </c>
      <c r="J21" s="51" t="s">
        <v>39</v>
      </c>
      <c r="K21" s="52" t="s">
        <v>33</v>
      </c>
      <c r="L21" s="53" t="str">
        <f t="shared" si="0"/>
        <v>160grams</v>
      </c>
      <c r="M21" s="54">
        <f t="shared" si="1"/>
        <v>5120</v>
      </c>
      <c r="N21" s="55" t="str">
        <f t="shared" si="2"/>
        <v>5120 grams</v>
      </c>
      <c r="O21" s="56">
        <f t="shared" si="3"/>
        <v>1101.44</v>
      </c>
      <c r="P21" s="44">
        <f t="shared" si="4"/>
        <v>34.42</v>
      </c>
      <c r="Q21" s="44">
        <f t="shared" si="5"/>
        <v>0</v>
      </c>
      <c r="R21" s="32"/>
      <c r="S21" s="32"/>
      <c r="T21" s="32"/>
      <c r="U21" s="32"/>
      <c r="V21" s="32"/>
      <c r="W21" s="32"/>
      <c r="X21" s="32"/>
      <c r="Y21" s="32"/>
      <c r="Z21" s="32"/>
    </row>
    <row r="22" spans="1:26" ht="15" customHeight="1" x14ac:dyDescent="0.3">
      <c r="A22" s="45">
        <v>12</v>
      </c>
      <c r="B22" s="69" t="s">
        <v>53</v>
      </c>
      <c r="C22" s="46"/>
      <c r="D22" s="58"/>
      <c r="E22" s="48" t="s">
        <v>55</v>
      </c>
      <c r="F22" s="45"/>
      <c r="G22" s="72">
        <v>35.82</v>
      </c>
      <c r="H22" s="71">
        <v>24</v>
      </c>
      <c r="I22" s="71">
        <v>160</v>
      </c>
      <c r="J22" s="51" t="s">
        <v>39</v>
      </c>
      <c r="K22" s="52" t="s">
        <v>33</v>
      </c>
      <c r="L22" s="53" t="str">
        <f t="shared" si="0"/>
        <v>160grams</v>
      </c>
      <c r="M22" s="54">
        <f t="shared" si="1"/>
        <v>3840</v>
      </c>
      <c r="N22" s="55" t="str">
        <f t="shared" si="2"/>
        <v>3840 grams</v>
      </c>
      <c r="O22" s="56">
        <f t="shared" si="3"/>
        <v>859.68000000000006</v>
      </c>
      <c r="P22" s="44">
        <f t="shared" si="4"/>
        <v>35.82</v>
      </c>
      <c r="Q22" s="44">
        <f t="shared" si="5"/>
        <v>0</v>
      </c>
      <c r="R22" s="67"/>
      <c r="S22" s="32"/>
      <c r="T22" s="32"/>
      <c r="U22" s="32"/>
      <c r="V22" s="32"/>
      <c r="W22" s="32"/>
      <c r="X22" s="32"/>
      <c r="Y22" s="32"/>
      <c r="Z22" s="32"/>
    </row>
    <row r="23" spans="1:26" ht="15" customHeight="1" x14ac:dyDescent="0.3">
      <c r="A23" s="45">
        <v>13</v>
      </c>
      <c r="B23" s="69" t="s">
        <v>56</v>
      </c>
      <c r="C23" s="46"/>
      <c r="D23" s="58"/>
      <c r="E23" s="73" t="s">
        <v>57</v>
      </c>
      <c r="F23" s="45"/>
      <c r="G23" s="74">
        <v>40.72</v>
      </c>
      <c r="H23" s="71">
        <v>163.63999999999999</v>
      </c>
      <c r="I23" s="75">
        <v>374</v>
      </c>
      <c r="J23" s="76" t="s">
        <v>32</v>
      </c>
      <c r="K23" s="52" t="s">
        <v>33</v>
      </c>
      <c r="L23" s="53" t="str">
        <f t="shared" si="0"/>
        <v>374ml</v>
      </c>
      <c r="M23" s="54">
        <f t="shared" si="1"/>
        <v>61201.359999999993</v>
      </c>
      <c r="N23" s="55" t="str">
        <f t="shared" si="2"/>
        <v>61201.36 ml</v>
      </c>
      <c r="O23" s="56">
        <f t="shared" si="3"/>
        <v>6663.420799999999</v>
      </c>
      <c r="P23" s="44">
        <f t="shared" si="4"/>
        <v>40.72</v>
      </c>
      <c r="Q23" s="66">
        <f t="shared" si="5"/>
        <v>0</v>
      </c>
      <c r="R23" s="67"/>
      <c r="S23" s="32"/>
      <c r="T23" s="32"/>
      <c r="U23" s="32"/>
      <c r="V23" s="32"/>
      <c r="W23" s="32"/>
      <c r="X23" s="32"/>
      <c r="Y23" s="32"/>
      <c r="Z23" s="32"/>
    </row>
    <row r="24" spans="1:26" ht="15" customHeight="1" x14ac:dyDescent="0.3">
      <c r="A24" s="45">
        <v>14</v>
      </c>
      <c r="B24" s="69" t="s">
        <v>58</v>
      </c>
      <c r="C24" s="46"/>
      <c r="D24" s="58"/>
      <c r="E24" s="77" t="s">
        <v>59</v>
      </c>
      <c r="F24" s="45"/>
      <c r="G24" s="60">
        <v>62.7</v>
      </c>
      <c r="H24" s="71">
        <v>1</v>
      </c>
      <c r="I24" s="50">
        <v>390</v>
      </c>
      <c r="J24" s="76" t="s">
        <v>32</v>
      </c>
      <c r="K24" s="52" t="s">
        <v>33</v>
      </c>
      <c r="L24" s="53" t="str">
        <f t="shared" si="0"/>
        <v>390ml</v>
      </c>
      <c r="M24" s="54">
        <f t="shared" si="1"/>
        <v>390</v>
      </c>
      <c r="N24" s="55" t="str">
        <f t="shared" si="2"/>
        <v>390 ml</v>
      </c>
      <c r="O24" s="56">
        <f t="shared" si="3"/>
        <v>62.7</v>
      </c>
      <c r="P24" s="44">
        <f t="shared" si="4"/>
        <v>62.7</v>
      </c>
      <c r="Q24" s="44">
        <f t="shared" si="5"/>
        <v>0</v>
      </c>
      <c r="R24" s="32"/>
      <c r="S24" s="32"/>
      <c r="T24" s="32"/>
      <c r="U24" s="32"/>
      <c r="V24" s="32"/>
      <c r="W24" s="32"/>
      <c r="X24" s="32"/>
      <c r="Y24" s="32"/>
      <c r="Z24" s="32"/>
    </row>
    <row r="25" spans="1:26" ht="15" customHeight="1" x14ac:dyDescent="0.3">
      <c r="A25" s="45">
        <v>15</v>
      </c>
      <c r="B25" s="69" t="s">
        <v>60</v>
      </c>
      <c r="C25" s="46"/>
      <c r="D25" s="58"/>
      <c r="E25" s="78" t="s">
        <v>61</v>
      </c>
      <c r="F25" s="45"/>
      <c r="G25" s="79">
        <v>350</v>
      </c>
      <c r="H25" s="71">
        <v>2.2200000000000002</v>
      </c>
      <c r="I25" s="71">
        <v>450</v>
      </c>
      <c r="J25" s="51" t="s">
        <v>39</v>
      </c>
      <c r="K25" s="52" t="s">
        <v>33</v>
      </c>
      <c r="L25" s="53" t="str">
        <f t="shared" si="0"/>
        <v>450grams</v>
      </c>
      <c r="M25" s="54">
        <f t="shared" si="1"/>
        <v>999.00000000000011</v>
      </c>
      <c r="N25" s="55" t="str">
        <f t="shared" si="2"/>
        <v>999 grams</v>
      </c>
      <c r="O25" s="56">
        <f t="shared" si="3"/>
        <v>777.00000000000011</v>
      </c>
      <c r="P25" s="44">
        <f t="shared" si="4"/>
        <v>350</v>
      </c>
      <c r="Q25" s="44">
        <f t="shared" si="5"/>
        <v>0</v>
      </c>
      <c r="R25" s="32"/>
      <c r="S25" s="32"/>
      <c r="T25" s="32"/>
      <c r="U25" s="32"/>
      <c r="V25" s="32"/>
      <c r="W25" s="32"/>
      <c r="X25" s="32"/>
      <c r="Y25" s="32"/>
      <c r="Z25" s="32"/>
    </row>
    <row r="26" spans="1:26" ht="15" customHeight="1" x14ac:dyDescent="0.3">
      <c r="A26" s="45">
        <v>16</v>
      </c>
      <c r="B26" s="69" t="s">
        <v>62</v>
      </c>
      <c r="C26" s="46"/>
      <c r="D26" s="58"/>
      <c r="E26" s="80" t="s">
        <v>63</v>
      </c>
      <c r="F26" s="45"/>
      <c r="G26" s="81">
        <v>51.4</v>
      </c>
      <c r="H26" s="71">
        <v>28</v>
      </c>
      <c r="I26" s="71">
        <v>1000</v>
      </c>
      <c r="J26" s="71" t="s">
        <v>39</v>
      </c>
      <c r="K26" s="52" t="s">
        <v>33</v>
      </c>
      <c r="L26" s="53" t="str">
        <f t="shared" si="0"/>
        <v>1000grams</v>
      </c>
      <c r="M26" s="54">
        <f t="shared" si="1"/>
        <v>28000</v>
      </c>
      <c r="N26" s="55" t="str">
        <f t="shared" si="2"/>
        <v>28000 grams</v>
      </c>
      <c r="O26" s="56">
        <f t="shared" si="3"/>
        <v>1439.2</v>
      </c>
      <c r="P26" s="44">
        <f t="shared" si="4"/>
        <v>51.4</v>
      </c>
      <c r="Q26" s="44">
        <f t="shared" si="5"/>
        <v>0</v>
      </c>
      <c r="R26" s="32"/>
      <c r="S26" s="32"/>
      <c r="T26" s="32"/>
      <c r="U26" s="32"/>
      <c r="V26" s="32"/>
      <c r="W26" s="32"/>
      <c r="X26" s="32"/>
      <c r="Y26" s="32"/>
      <c r="Z26" s="32"/>
    </row>
    <row r="27" spans="1:26" ht="15" customHeight="1" x14ac:dyDescent="0.3">
      <c r="A27" s="45">
        <v>17</v>
      </c>
      <c r="B27" s="69" t="s">
        <v>64</v>
      </c>
      <c r="C27" s="46"/>
      <c r="D27" s="58"/>
      <c r="E27" s="80" t="s">
        <v>65</v>
      </c>
      <c r="F27" s="45"/>
      <c r="G27" s="79">
        <v>29.63</v>
      </c>
      <c r="H27" s="71">
        <v>191.73</v>
      </c>
      <c r="I27" s="71">
        <v>360</v>
      </c>
      <c r="J27" s="71" t="s">
        <v>32</v>
      </c>
      <c r="K27" s="52" t="s">
        <v>33</v>
      </c>
      <c r="L27" s="53" t="str">
        <f t="shared" si="0"/>
        <v>360ml</v>
      </c>
      <c r="M27" s="54">
        <f t="shared" si="1"/>
        <v>69022.8</v>
      </c>
      <c r="N27" s="55" t="str">
        <f t="shared" si="2"/>
        <v>69022.8 ml</v>
      </c>
      <c r="O27" s="56">
        <f t="shared" si="3"/>
        <v>5680.9598999999998</v>
      </c>
      <c r="P27" s="44">
        <f t="shared" si="4"/>
        <v>29.63</v>
      </c>
      <c r="Q27" s="44">
        <f t="shared" si="5"/>
        <v>0</v>
      </c>
      <c r="R27" s="32"/>
      <c r="S27" s="32"/>
      <c r="T27" s="32"/>
      <c r="U27" s="32"/>
      <c r="V27" s="32"/>
      <c r="W27" s="32"/>
      <c r="X27" s="32"/>
      <c r="Y27" s="32"/>
      <c r="Z27" s="32"/>
    </row>
    <row r="28" spans="1:26" ht="15" customHeight="1" x14ac:dyDescent="0.3">
      <c r="A28" s="45">
        <v>18</v>
      </c>
      <c r="B28" s="69" t="s">
        <v>66</v>
      </c>
      <c r="C28" s="46"/>
      <c r="D28" s="58"/>
      <c r="E28" s="80" t="s">
        <v>67</v>
      </c>
      <c r="F28" s="45"/>
      <c r="G28" s="79">
        <v>57.5</v>
      </c>
      <c r="H28" s="71">
        <v>2</v>
      </c>
      <c r="I28" s="71">
        <v>500</v>
      </c>
      <c r="J28" s="71" t="s">
        <v>39</v>
      </c>
      <c r="K28" s="52" t="s">
        <v>33</v>
      </c>
      <c r="L28" s="53" t="str">
        <f t="shared" si="0"/>
        <v>500grams</v>
      </c>
      <c r="M28" s="54">
        <f t="shared" si="1"/>
        <v>1000</v>
      </c>
      <c r="N28" s="55" t="str">
        <f t="shared" si="2"/>
        <v>1000 grams</v>
      </c>
      <c r="O28" s="56">
        <f t="shared" si="3"/>
        <v>115</v>
      </c>
      <c r="P28" s="44">
        <f t="shared" si="4"/>
        <v>57.5</v>
      </c>
      <c r="Q28" s="44">
        <f t="shared" si="5"/>
        <v>0</v>
      </c>
      <c r="R28" s="32"/>
      <c r="S28" s="32"/>
      <c r="T28" s="32"/>
      <c r="U28" s="32"/>
      <c r="V28" s="32"/>
      <c r="W28" s="32"/>
      <c r="X28" s="32"/>
      <c r="Y28" s="32"/>
      <c r="Z28" s="32"/>
    </row>
    <row r="29" spans="1:26" ht="15" customHeight="1" x14ac:dyDescent="0.3">
      <c r="A29" s="45">
        <v>19</v>
      </c>
      <c r="B29" s="69" t="s">
        <v>68</v>
      </c>
      <c r="C29" s="46"/>
      <c r="D29" s="58"/>
      <c r="E29" s="78" t="s">
        <v>69</v>
      </c>
      <c r="F29" s="45"/>
      <c r="G29" s="79">
        <v>14</v>
      </c>
      <c r="H29" s="71">
        <v>10</v>
      </c>
      <c r="I29" s="71">
        <v>25</v>
      </c>
      <c r="J29" s="71" t="s">
        <v>39</v>
      </c>
      <c r="K29" s="52" t="s">
        <v>33</v>
      </c>
      <c r="L29" s="53" t="str">
        <f t="shared" si="0"/>
        <v>25grams</v>
      </c>
      <c r="M29" s="54">
        <f t="shared" si="1"/>
        <v>250</v>
      </c>
      <c r="N29" s="55" t="str">
        <f t="shared" si="2"/>
        <v>250 grams</v>
      </c>
      <c r="O29" s="56">
        <f t="shared" si="3"/>
        <v>140</v>
      </c>
      <c r="P29" s="44">
        <f t="shared" si="4"/>
        <v>14</v>
      </c>
      <c r="Q29" s="44">
        <f t="shared" si="5"/>
        <v>0</v>
      </c>
      <c r="R29" s="32"/>
      <c r="S29" s="32"/>
      <c r="T29" s="32"/>
      <c r="U29" s="32"/>
      <c r="V29" s="32"/>
      <c r="W29" s="32"/>
      <c r="X29" s="32"/>
      <c r="Y29" s="32"/>
      <c r="Z29" s="32"/>
    </row>
    <row r="30" spans="1:26" ht="15" customHeight="1" x14ac:dyDescent="0.3">
      <c r="A30" s="45">
        <v>20</v>
      </c>
      <c r="B30" s="69" t="s">
        <v>70</v>
      </c>
      <c r="C30" s="46"/>
      <c r="D30" s="82"/>
      <c r="E30" s="78" t="s">
        <v>69</v>
      </c>
      <c r="F30" s="45"/>
      <c r="G30" s="79">
        <v>14</v>
      </c>
      <c r="H30" s="71">
        <v>20</v>
      </c>
      <c r="I30" s="71">
        <v>25</v>
      </c>
      <c r="J30" s="71" t="s">
        <v>39</v>
      </c>
      <c r="K30" s="52" t="s">
        <v>33</v>
      </c>
      <c r="L30" s="53" t="str">
        <f t="shared" si="0"/>
        <v>25grams</v>
      </c>
      <c r="M30" s="54">
        <f t="shared" si="1"/>
        <v>500</v>
      </c>
      <c r="N30" s="55" t="str">
        <f t="shared" si="2"/>
        <v>500 grams</v>
      </c>
      <c r="O30" s="56">
        <f t="shared" si="3"/>
        <v>280</v>
      </c>
      <c r="P30" s="44">
        <f t="shared" si="4"/>
        <v>14</v>
      </c>
      <c r="Q30" s="44">
        <f t="shared" si="5"/>
        <v>0</v>
      </c>
      <c r="R30" s="12"/>
      <c r="S30" s="32"/>
      <c r="T30" s="32"/>
      <c r="U30" s="32"/>
      <c r="V30" s="32"/>
      <c r="W30" s="32"/>
      <c r="X30" s="32"/>
      <c r="Y30" s="32"/>
      <c r="Z30" s="32"/>
    </row>
    <row r="31" spans="1:26" ht="15" customHeight="1" x14ac:dyDescent="0.3">
      <c r="A31" s="45">
        <v>21</v>
      </c>
      <c r="B31" s="69" t="s">
        <v>71</v>
      </c>
      <c r="C31" s="46" t="s">
        <v>69</v>
      </c>
      <c r="D31" s="63"/>
      <c r="E31" s="78" t="s">
        <v>69</v>
      </c>
      <c r="F31" s="45"/>
      <c r="G31" s="79">
        <v>14</v>
      </c>
      <c r="H31" s="71">
        <v>5</v>
      </c>
      <c r="I31" s="71">
        <v>25</v>
      </c>
      <c r="J31" s="71" t="s">
        <v>39</v>
      </c>
      <c r="K31" s="52" t="s">
        <v>33</v>
      </c>
      <c r="L31" s="53" t="str">
        <f t="shared" si="0"/>
        <v>25grams</v>
      </c>
      <c r="M31" s="54">
        <f t="shared" si="1"/>
        <v>125</v>
      </c>
      <c r="N31" s="55" t="str">
        <f t="shared" si="2"/>
        <v>125 grams</v>
      </c>
      <c r="O31" s="56">
        <f t="shared" si="3"/>
        <v>70</v>
      </c>
      <c r="P31" s="44">
        <f t="shared" si="4"/>
        <v>14</v>
      </c>
      <c r="Q31" s="62">
        <f t="shared" si="5"/>
        <v>0</v>
      </c>
      <c r="R31" s="12"/>
      <c r="S31" s="32"/>
      <c r="T31" s="32"/>
      <c r="U31" s="32"/>
      <c r="V31" s="32"/>
      <c r="W31" s="32"/>
      <c r="X31" s="32"/>
      <c r="Y31" s="32"/>
      <c r="Z31" s="32"/>
    </row>
    <row r="32" spans="1:26" ht="15" customHeight="1" x14ac:dyDescent="0.3">
      <c r="A32" s="45">
        <v>22</v>
      </c>
      <c r="B32" s="69" t="s">
        <v>72</v>
      </c>
      <c r="C32" s="46"/>
      <c r="D32" s="58"/>
      <c r="E32" s="78" t="s">
        <v>69</v>
      </c>
      <c r="F32" s="45"/>
      <c r="G32" s="79">
        <v>14</v>
      </c>
      <c r="H32" s="71">
        <v>20</v>
      </c>
      <c r="I32" s="71">
        <v>25</v>
      </c>
      <c r="J32" s="71" t="s">
        <v>39</v>
      </c>
      <c r="K32" s="52" t="s">
        <v>33</v>
      </c>
      <c r="L32" s="53" t="str">
        <f t="shared" si="0"/>
        <v>25grams</v>
      </c>
      <c r="M32" s="54">
        <f t="shared" si="1"/>
        <v>500</v>
      </c>
      <c r="N32" s="55" t="str">
        <f t="shared" si="2"/>
        <v>500 grams</v>
      </c>
      <c r="O32" s="56">
        <f t="shared" si="3"/>
        <v>280</v>
      </c>
      <c r="P32" s="44">
        <f t="shared" si="4"/>
        <v>14</v>
      </c>
      <c r="Q32" s="44">
        <f t="shared" si="5"/>
        <v>0</v>
      </c>
      <c r="R32" s="32"/>
      <c r="S32" s="32"/>
      <c r="T32" s="32"/>
      <c r="U32" s="32"/>
      <c r="V32" s="32"/>
      <c r="W32" s="32"/>
      <c r="X32" s="32"/>
      <c r="Y32" s="32"/>
      <c r="Z32" s="32"/>
    </row>
    <row r="33" spans="1:26" ht="15" customHeight="1" x14ac:dyDescent="0.3">
      <c r="A33" s="45">
        <v>23</v>
      </c>
      <c r="B33" s="69" t="s">
        <v>73</v>
      </c>
      <c r="C33" s="46"/>
      <c r="D33" s="58"/>
      <c r="E33" s="78" t="s">
        <v>74</v>
      </c>
      <c r="F33" s="45"/>
      <c r="G33" s="79">
        <v>56.2</v>
      </c>
      <c r="H33" s="71">
        <v>1</v>
      </c>
      <c r="I33" s="71">
        <v>500</v>
      </c>
      <c r="J33" s="71" t="s">
        <v>39</v>
      </c>
      <c r="K33" s="52" t="s">
        <v>33</v>
      </c>
      <c r="L33" s="53" t="str">
        <f t="shared" si="0"/>
        <v>500grams</v>
      </c>
      <c r="M33" s="54">
        <f t="shared" si="1"/>
        <v>500</v>
      </c>
      <c r="N33" s="55" t="str">
        <f t="shared" si="2"/>
        <v>500 grams</v>
      </c>
      <c r="O33" s="56">
        <f t="shared" si="3"/>
        <v>56.2</v>
      </c>
      <c r="P33" s="44">
        <f t="shared" si="4"/>
        <v>56.2</v>
      </c>
      <c r="Q33" s="66">
        <f t="shared" si="5"/>
        <v>0</v>
      </c>
      <c r="R33" s="32"/>
      <c r="S33" s="32"/>
      <c r="T33" s="32"/>
      <c r="U33" s="32"/>
      <c r="V33" s="32"/>
      <c r="W33" s="32"/>
      <c r="X33" s="32"/>
      <c r="Y33" s="32"/>
      <c r="Z33" s="32"/>
    </row>
    <row r="34" spans="1:26" ht="15" customHeight="1" x14ac:dyDescent="0.3">
      <c r="A34" s="45">
        <v>24</v>
      </c>
      <c r="B34" s="69" t="s">
        <v>75</v>
      </c>
      <c r="C34" s="46"/>
      <c r="D34" s="58"/>
      <c r="E34" s="78" t="s">
        <v>76</v>
      </c>
      <c r="F34" s="45"/>
      <c r="G34" s="79">
        <v>1440</v>
      </c>
      <c r="H34" s="71">
        <v>0.14000000000000001</v>
      </c>
      <c r="I34" s="71">
        <v>11000</v>
      </c>
      <c r="J34" s="71" t="s">
        <v>39</v>
      </c>
      <c r="K34" s="52" t="s">
        <v>33</v>
      </c>
      <c r="L34" s="53" t="str">
        <f t="shared" si="0"/>
        <v>11000grams</v>
      </c>
      <c r="M34" s="54">
        <f t="shared" si="1"/>
        <v>1540.0000000000002</v>
      </c>
      <c r="N34" s="55" t="str">
        <f t="shared" si="2"/>
        <v>1540 grams</v>
      </c>
      <c r="O34" s="56">
        <f t="shared" si="3"/>
        <v>201.60000000000002</v>
      </c>
      <c r="P34" s="44">
        <f t="shared" si="4"/>
        <v>1440</v>
      </c>
      <c r="Q34" s="66">
        <f t="shared" si="5"/>
        <v>0</v>
      </c>
      <c r="R34" s="32"/>
      <c r="S34" s="32"/>
      <c r="T34" s="32"/>
      <c r="U34" s="32"/>
      <c r="V34" s="32"/>
      <c r="W34" s="32"/>
      <c r="X34" s="32"/>
      <c r="Y34" s="32"/>
      <c r="Z34" s="32"/>
    </row>
    <row r="35" spans="1:26" ht="15" customHeight="1" x14ac:dyDescent="0.3">
      <c r="A35" s="45">
        <v>25</v>
      </c>
      <c r="B35" s="83" t="s">
        <v>77</v>
      </c>
      <c r="C35" s="46"/>
      <c r="D35" s="58"/>
      <c r="E35" s="84" t="s">
        <v>78</v>
      </c>
      <c r="F35" s="45"/>
      <c r="G35" s="85">
        <v>55</v>
      </c>
      <c r="H35" s="75">
        <v>3</v>
      </c>
      <c r="I35" s="75">
        <v>350</v>
      </c>
      <c r="J35" s="71" t="s">
        <v>32</v>
      </c>
      <c r="K35" s="52" t="s">
        <v>33</v>
      </c>
      <c r="L35" s="53" t="str">
        <f t="shared" si="0"/>
        <v>350ml</v>
      </c>
      <c r="M35" s="54">
        <f t="shared" si="1"/>
        <v>1050</v>
      </c>
      <c r="N35" s="55" t="str">
        <f t="shared" si="2"/>
        <v>1050 ml</v>
      </c>
      <c r="O35" s="56">
        <f t="shared" si="3"/>
        <v>165</v>
      </c>
      <c r="P35" s="44">
        <f t="shared" si="4"/>
        <v>55</v>
      </c>
      <c r="Q35" s="66">
        <f t="shared" si="5"/>
        <v>0</v>
      </c>
      <c r="R35" s="32"/>
      <c r="S35" s="32"/>
      <c r="T35" s="32"/>
      <c r="U35" s="32"/>
      <c r="V35" s="32"/>
      <c r="W35" s="32"/>
      <c r="X35" s="32"/>
      <c r="Y35" s="32"/>
      <c r="Z35" s="32"/>
    </row>
    <row r="36" spans="1:26" ht="15" customHeight="1" x14ac:dyDescent="0.3">
      <c r="A36" s="45">
        <v>26</v>
      </c>
      <c r="B36" s="57" t="s">
        <v>79</v>
      </c>
      <c r="C36" s="46"/>
      <c r="D36" s="58"/>
      <c r="E36" s="59" t="s">
        <v>80</v>
      </c>
      <c r="F36" s="45"/>
      <c r="G36" s="49">
        <v>1120</v>
      </c>
      <c r="H36" s="50">
        <v>1</v>
      </c>
      <c r="I36" s="50">
        <v>11000</v>
      </c>
      <c r="J36" s="71" t="s">
        <v>39</v>
      </c>
      <c r="K36" s="52" t="s">
        <v>33</v>
      </c>
      <c r="L36" s="53" t="str">
        <f t="shared" si="0"/>
        <v>11000grams</v>
      </c>
      <c r="M36" s="54">
        <f t="shared" si="1"/>
        <v>11000</v>
      </c>
      <c r="N36" s="55" t="str">
        <f t="shared" si="2"/>
        <v>11000 grams</v>
      </c>
      <c r="O36" s="56">
        <f t="shared" si="3"/>
        <v>1120</v>
      </c>
      <c r="P36" s="44">
        <f t="shared" si="4"/>
        <v>1120</v>
      </c>
      <c r="Q36" s="44">
        <f t="shared" si="5"/>
        <v>0</v>
      </c>
      <c r="R36" s="32"/>
      <c r="S36" s="32"/>
      <c r="T36" s="32"/>
      <c r="U36" s="32"/>
      <c r="V36" s="32"/>
      <c r="W36" s="32"/>
      <c r="X36" s="32"/>
      <c r="Y36" s="32"/>
      <c r="Z36" s="32"/>
    </row>
    <row r="37" spans="1:26" ht="15" customHeight="1" x14ac:dyDescent="0.3">
      <c r="A37" s="45">
        <v>27</v>
      </c>
      <c r="B37" s="57" t="s">
        <v>81</v>
      </c>
      <c r="C37" s="46"/>
      <c r="D37" s="58"/>
      <c r="E37" s="59" t="s">
        <v>82</v>
      </c>
      <c r="F37" s="45"/>
      <c r="G37" s="49">
        <v>79.09</v>
      </c>
      <c r="H37" s="50">
        <v>8</v>
      </c>
      <c r="I37" s="50">
        <v>1000</v>
      </c>
      <c r="J37" s="71" t="s">
        <v>39</v>
      </c>
      <c r="K37" s="52" t="s">
        <v>33</v>
      </c>
      <c r="L37" s="53" t="str">
        <f t="shared" si="0"/>
        <v>1000grams</v>
      </c>
      <c r="M37" s="54">
        <f t="shared" si="1"/>
        <v>8000</v>
      </c>
      <c r="N37" s="55" t="str">
        <f t="shared" si="2"/>
        <v>8000 grams</v>
      </c>
      <c r="O37" s="56">
        <f t="shared" si="3"/>
        <v>632.72</v>
      </c>
      <c r="P37" s="44">
        <f t="shared" si="4"/>
        <v>79.09</v>
      </c>
      <c r="Q37" s="62">
        <f t="shared" si="5"/>
        <v>0</v>
      </c>
      <c r="R37" s="12"/>
      <c r="S37" s="32"/>
      <c r="T37" s="32"/>
      <c r="U37" s="32"/>
      <c r="V37" s="32"/>
      <c r="W37" s="32"/>
      <c r="X37" s="32"/>
      <c r="Y37" s="32"/>
      <c r="Z37" s="32"/>
    </row>
    <row r="38" spans="1:26" ht="15" customHeight="1" x14ac:dyDescent="0.3">
      <c r="A38" s="45">
        <v>28</v>
      </c>
      <c r="B38" s="57" t="s">
        <v>83</v>
      </c>
      <c r="C38" s="46"/>
      <c r="D38" s="58"/>
      <c r="E38" s="59" t="s">
        <v>82</v>
      </c>
      <c r="F38" s="45"/>
      <c r="G38" s="49">
        <v>80.319999999999993</v>
      </c>
      <c r="H38" s="50">
        <v>71</v>
      </c>
      <c r="I38" s="50">
        <v>1000</v>
      </c>
      <c r="J38" s="71" t="s">
        <v>39</v>
      </c>
      <c r="K38" s="52" t="s">
        <v>33</v>
      </c>
      <c r="L38" s="53" t="str">
        <f t="shared" si="0"/>
        <v>1000grams</v>
      </c>
      <c r="M38" s="54">
        <f t="shared" si="1"/>
        <v>71000</v>
      </c>
      <c r="N38" s="55" t="str">
        <f t="shared" si="2"/>
        <v>71000 grams</v>
      </c>
      <c r="O38" s="56">
        <f t="shared" si="3"/>
        <v>5702.7199999999993</v>
      </c>
      <c r="P38" s="44">
        <f t="shared" si="4"/>
        <v>80.319999999999993</v>
      </c>
      <c r="Q38" s="66">
        <f t="shared" si="5"/>
        <v>0</v>
      </c>
      <c r="R38" s="32"/>
      <c r="S38" s="32"/>
      <c r="T38" s="32"/>
      <c r="U38" s="32"/>
      <c r="V38" s="32"/>
      <c r="W38" s="32"/>
      <c r="X38" s="32"/>
      <c r="Y38" s="32"/>
      <c r="Z38" s="32"/>
    </row>
    <row r="39" spans="1:26" ht="15" customHeight="1" x14ac:dyDescent="0.3">
      <c r="A39" s="45">
        <v>29</v>
      </c>
      <c r="B39" s="57" t="s">
        <v>84</v>
      </c>
      <c r="C39" s="46"/>
      <c r="D39" s="58"/>
      <c r="E39" s="59" t="s">
        <v>82</v>
      </c>
      <c r="F39" s="45"/>
      <c r="G39" s="49">
        <v>84.44</v>
      </c>
      <c r="H39" s="50">
        <v>22</v>
      </c>
      <c r="I39" s="50">
        <v>1000</v>
      </c>
      <c r="J39" s="71" t="s">
        <v>39</v>
      </c>
      <c r="K39" s="52" t="s">
        <v>33</v>
      </c>
      <c r="L39" s="53" t="str">
        <f t="shared" si="0"/>
        <v>1000grams</v>
      </c>
      <c r="M39" s="54">
        <f t="shared" si="1"/>
        <v>22000</v>
      </c>
      <c r="N39" s="55" t="str">
        <f t="shared" si="2"/>
        <v>22000 grams</v>
      </c>
      <c r="O39" s="56">
        <f t="shared" si="3"/>
        <v>1857.6799999999998</v>
      </c>
      <c r="P39" s="44">
        <f t="shared" si="4"/>
        <v>84.44</v>
      </c>
      <c r="Q39" s="44">
        <f t="shared" si="5"/>
        <v>0</v>
      </c>
      <c r="R39" s="32"/>
      <c r="S39" s="32"/>
      <c r="T39" s="32"/>
      <c r="U39" s="32"/>
      <c r="V39" s="32"/>
      <c r="W39" s="32"/>
      <c r="X39" s="32"/>
      <c r="Y39" s="32"/>
      <c r="Z39" s="32"/>
    </row>
    <row r="40" spans="1:26" ht="15" customHeight="1" x14ac:dyDescent="0.3">
      <c r="A40" s="45">
        <v>30</v>
      </c>
      <c r="B40" s="46" t="s">
        <v>85</v>
      </c>
      <c r="C40" s="46"/>
      <c r="D40" s="58"/>
      <c r="E40" s="48" t="s">
        <v>86</v>
      </c>
      <c r="F40" s="45"/>
      <c r="G40" s="49">
        <v>50</v>
      </c>
      <c r="H40" s="50">
        <v>4</v>
      </c>
      <c r="I40" s="71">
        <v>375</v>
      </c>
      <c r="J40" s="50" t="s">
        <v>32</v>
      </c>
      <c r="K40" s="52" t="s">
        <v>33</v>
      </c>
      <c r="L40" s="53" t="str">
        <f t="shared" si="0"/>
        <v>375ml</v>
      </c>
      <c r="M40" s="54">
        <f t="shared" si="1"/>
        <v>1500</v>
      </c>
      <c r="N40" s="55" t="str">
        <f t="shared" si="2"/>
        <v>1500 ml</v>
      </c>
      <c r="O40" s="56">
        <f t="shared" si="3"/>
        <v>200</v>
      </c>
      <c r="P40" s="44">
        <f t="shared" si="4"/>
        <v>50</v>
      </c>
      <c r="Q40" s="44">
        <f t="shared" si="5"/>
        <v>0</v>
      </c>
      <c r="R40" s="32"/>
      <c r="S40" s="32"/>
      <c r="T40" s="32"/>
      <c r="U40" s="32"/>
      <c r="V40" s="32"/>
      <c r="W40" s="32"/>
      <c r="X40" s="32"/>
      <c r="Y40" s="32"/>
      <c r="Z40" s="32"/>
    </row>
    <row r="41" spans="1:26" ht="15" customHeight="1" x14ac:dyDescent="0.3">
      <c r="A41" s="45">
        <v>31</v>
      </c>
      <c r="B41" s="57" t="s">
        <v>87</v>
      </c>
      <c r="C41" s="46"/>
      <c r="D41" s="58"/>
      <c r="E41" s="48" t="s">
        <v>88</v>
      </c>
      <c r="F41" s="45"/>
      <c r="G41" s="79">
        <v>330</v>
      </c>
      <c r="H41" s="71">
        <v>30</v>
      </c>
      <c r="I41" s="71">
        <v>1</v>
      </c>
      <c r="J41" s="51" t="s">
        <v>89</v>
      </c>
      <c r="K41" s="52" t="s">
        <v>33</v>
      </c>
      <c r="L41" s="53" t="str">
        <f t="shared" si="0"/>
        <v>1kilo</v>
      </c>
      <c r="M41" s="54">
        <f t="shared" si="1"/>
        <v>30</v>
      </c>
      <c r="N41" s="55" t="str">
        <f t="shared" si="2"/>
        <v>30 kilo</v>
      </c>
      <c r="O41" s="56">
        <f t="shared" si="3"/>
        <v>9900</v>
      </c>
      <c r="P41" s="44">
        <f t="shared" si="4"/>
        <v>330</v>
      </c>
      <c r="Q41" s="66">
        <f t="shared" si="5"/>
        <v>0</v>
      </c>
      <c r="R41" s="32"/>
      <c r="S41" s="32"/>
      <c r="T41" s="32"/>
      <c r="U41" s="32"/>
      <c r="V41" s="32"/>
      <c r="W41" s="32"/>
      <c r="X41" s="32"/>
      <c r="Y41" s="32"/>
      <c r="Z41" s="32"/>
    </row>
    <row r="42" spans="1:26" ht="15" customHeight="1" x14ac:dyDescent="0.3">
      <c r="A42" s="45">
        <v>32</v>
      </c>
      <c r="B42" s="57" t="s">
        <v>90</v>
      </c>
      <c r="C42" s="46"/>
      <c r="D42" s="58"/>
      <c r="E42" s="48" t="s">
        <v>91</v>
      </c>
      <c r="F42" s="45"/>
      <c r="G42" s="79">
        <v>23.75</v>
      </c>
      <c r="H42" s="71">
        <v>20</v>
      </c>
      <c r="I42" s="71">
        <v>1</v>
      </c>
      <c r="J42" s="51" t="s">
        <v>92</v>
      </c>
      <c r="K42" s="52" t="s">
        <v>33</v>
      </c>
      <c r="L42" s="53" t="str">
        <f t="shared" si="0"/>
        <v>1pieces</v>
      </c>
      <c r="M42" s="54">
        <f t="shared" si="1"/>
        <v>20</v>
      </c>
      <c r="N42" s="55" t="str">
        <f t="shared" si="2"/>
        <v>20 pieces</v>
      </c>
      <c r="O42" s="56">
        <f t="shared" si="3"/>
        <v>475</v>
      </c>
      <c r="P42" s="44">
        <f t="shared" si="4"/>
        <v>23.75</v>
      </c>
      <c r="Q42" s="66">
        <f t="shared" si="5"/>
        <v>0</v>
      </c>
      <c r="R42" s="32"/>
      <c r="S42" s="32"/>
      <c r="T42" s="32"/>
      <c r="U42" s="32"/>
      <c r="V42" s="32"/>
      <c r="W42" s="32"/>
      <c r="X42" s="32"/>
      <c r="Y42" s="32"/>
      <c r="Z42" s="32"/>
    </row>
    <row r="43" spans="1:26" ht="15" customHeight="1" x14ac:dyDescent="0.3">
      <c r="A43" s="45">
        <v>33</v>
      </c>
      <c r="B43" s="46" t="s">
        <v>93</v>
      </c>
      <c r="C43" s="46"/>
      <c r="D43" s="46"/>
      <c r="E43" s="48" t="s">
        <v>94</v>
      </c>
      <c r="F43" s="45"/>
      <c r="G43" s="79">
        <v>12.49</v>
      </c>
      <c r="H43" s="71">
        <v>317</v>
      </c>
      <c r="I43" s="71">
        <v>24</v>
      </c>
      <c r="J43" s="51" t="s">
        <v>92</v>
      </c>
      <c r="K43" s="52" t="s">
        <v>33</v>
      </c>
      <c r="L43" s="53" t="str">
        <f t="shared" si="0"/>
        <v>24pieces</v>
      </c>
      <c r="M43" s="54">
        <f t="shared" si="1"/>
        <v>7608</v>
      </c>
      <c r="N43" s="55" t="str">
        <f t="shared" si="2"/>
        <v>7608 pieces</v>
      </c>
      <c r="O43" s="56">
        <f t="shared" si="3"/>
        <v>3959.33</v>
      </c>
      <c r="P43" s="44">
        <f t="shared" si="4"/>
        <v>12.49</v>
      </c>
      <c r="Q43" s="66">
        <f t="shared" si="5"/>
        <v>0</v>
      </c>
      <c r="R43" s="32"/>
      <c r="S43" s="32"/>
      <c r="T43" s="32"/>
      <c r="U43" s="32"/>
      <c r="V43" s="32"/>
      <c r="W43" s="32"/>
      <c r="X43" s="32"/>
      <c r="Y43" s="32"/>
      <c r="Z43" s="32"/>
    </row>
    <row r="44" spans="1:26" ht="15" customHeight="1" x14ac:dyDescent="0.3">
      <c r="A44" s="45">
        <v>34</v>
      </c>
      <c r="B44" s="57" t="s">
        <v>95</v>
      </c>
      <c r="C44" s="46"/>
      <c r="D44" s="46"/>
      <c r="E44" s="59" t="s">
        <v>96</v>
      </c>
      <c r="F44" s="45"/>
      <c r="G44" s="79">
        <v>16.66</v>
      </c>
      <c r="H44" s="71">
        <v>135</v>
      </c>
      <c r="I44" s="71">
        <v>12</v>
      </c>
      <c r="J44" s="51" t="s">
        <v>92</v>
      </c>
      <c r="K44" s="52" t="s">
        <v>33</v>
      </c>
      <c r="L44" s="53" t="str">
        <f t="shared" si="0"/>
        <v>12pieces</v>
      </c>
      <c r="M44" s="54">
        <f t="shared" si="1"/>
        <v>1620</v>
      </c>
      <c r="N44" s="55" t="str">
        <f t="shared" si="2"/>
        <v>1620 pieces</v>
      </c>
      <c r="O44" s="56">
        <f t="shared" si="3"/>
        <v>2249.1</v>
      </c>
      <c r="P44" s="44">
        <f t="shared" si="4"/>
        <v>16.66</v>
      </c>
      <c r="Q44" s="44">
        <f t="shared" si="5"/>
        <v>0</v>
      </c>
      <c r="R44" s="32"/>
      <c r="S44" s="32"/>
      <c r="T44" s="32"/>
      <c r="U44" s="32"/>
      <c r="V44" s="32"/>
      <c r="W44" s="32"/>
      <c r="X44" s="32"/>
      <c r="Y44" s="32"/>
      <c r="Z44" s="32"/>
    </row>
    <row r="45" spans="1:26" ht="15" customHeight="1" x14ac:dyDescent="0.3">
      <c r="A45" s="45">
        <v>35</v>
      </c>
      <c r="B45" s="57" t="s">
        <v>97</v>
      </c>
      <c r="C45" s="46"/>
      <c r="D45" s="46"/>
      <c r="E45" s="48" t="s">
        <v>98</v>
      </c>
      <c r="F45" s="45"/>
      <c r="G45" s="79">
        <v>26.16</v>
      </c>
      <c r="H45" s="71">
        <v>30</v>
      </c>
      <c r="I45" s="71">
        <v>1</v>
      </c>
      <c r="J45" s="51" t="s">
        <v>92</v>
      </c>
      <c r="K45" s="52" t="s">
        <v>33</v>
      </c>
      <c r="L45" s="53" t="str">
        <f t="shared" si="0"/>
        <v>1pieces</v>
      </c>
      <c r="M45" s="54">
        <f t="shared" si="1"/>
        <v>30</v>
      </c>
      <c r="N45" s="55" t="str">
        <f t="shared" si="2"/>
        <v>30 pieces</v>
      </c>
      <c r="O45" s="56">
        <f t="shared" si="3"/>
        <v>784.8</v>
      </c>
      <c r="P45" s="44">
        <f t="shared" si="4"/>
        <v>26.16</v>
      </c>
      <c r="Q45" s="62">
        <f t="shared" si="5"/>
        <v>0</v>
      </c>
      <c r="R45" s="12"/>
      <c r="S45" s="32"/>
      <c r="T45" s="32"/>
      <c r="U45" s="32"/>
      <c r="V45" s="32"/>
      <c r="W45" s="32"/>
      <c r="X45" s="32"/>
      <c r="Y45" s="32"/>
      <c r="Z45" s="32"/>
    </row>
    <row r="46" spans="1:26" ht="15" customHeight="1" x14ac:dyDescent="0.3">
      <c r="A46" s="45">
        <v>36</v>
      </c>
      <c r="B46" s="46" t="s">
        <v>99</v>
      </c>
      <c r="C46" s="46"/>
      <c r="D46" s="46"/>
      <c r="E46" s="48" t="s">
        <v>100</v>
      </c>
      <c r="F46" s="45"/>
      <c r="G46" s="79">
        <v>33.619999999999997</v>
      </c>
      <c r="H46" s="71">
        <v>69</v>
      </c>
      <c r="I46" s="71">
        <v>1</v>
      </c>
      <c r="J46" s="51" t="s">
        <v>92</v>
      </c>
      <c r="K46" s="52" t="s">
        <v>33</v>
      </c>
      <c r="L46" s="53" t="str">
        <f t="shared" si="0"/>
        <v>1pieces</v>
      </c>
      <c r="M46" s="54">
        <f t="shared" si="1"/>
        <v>69</v>
      </c>
      <c r="N46" s="55" t="str">
        <f t="shared" si="2"/>
        <v>69 pieces</v>
      </c>
      <c r="O46" s="56">
        <f t="shared" si="3"/>
        <v>2319.7799999999997</v>
      </c>
      <c r="P46" s="44">
        <f t="shared" si="4"/>
        <v>33.619999999999997</v>
      </c>
      <c r="Q46" s="44">
        <f t="shared" si="5"/>
        <v>0</v>
      </c>
      <c r="R46" s="32"/>
      <c r="S46" s="32"/>
      <c r="T46" s="32"/>
      <c r="U46" s="32"/>
      <c r="V46" s="32"/>
      <c r="W46" s="32"/>
      <c r="X46" s="32"/>
      <c r="Y46" s="32"/>
      <c r="Z46" s="32"/>
    </row>
    <row r="47" spans="1:26" ht="15" customHeight="1" x14ac:dyDescent="0.3">
      <c r="A47" s="45">
        <v>37</v>
      </c>
      <c r="B47" s="57" t="s">
        <v>101</v>
      </c>
      <c r="C47" s="46"/>
      <c r="D47" s="46"/>
      <c r="E47" s="48" t="s">
        <v>102</v>
      </c>
      <c r="F47" s="45"/>
      <c r="G47" s="79">
        <v>8.86</v>
      </c>
      <c r="H47" s="71">
        <v>190</v>
      </c>
      <c r="I47" s="71">
        <v>1</v>
      </c>
      <c r="J47" s="51" t="s">
        <v>92</v>
      </c>
      <c r="K47" s="52" t="s">
        <v>33</v>
      </c>
      <c r="L47" s="53" t="str">
        <f t="shared" si="0"/>
        <v>1pieces</v>
      </c>
      <c r="M47" s="54">
        <f t="shared" si="1"/>
        <v>190</v>
      </c>
      <c r="N47" s="55" t="str">
        <f t="shared" si="2"/>
        <v>190 pieces</v>
      </c>
      <c r="O47" s="56">
        <f t="shared" si="3"/>
        <v>1683.3999999999999</v>
      </c>
      <c r="P47" s="44">
        <f t="shared" si="4"/>
        <v>8.86</v>
      </c>
      <c r="Q47" s="62">
        <f t="shared" si="5"/>
        <v>0</v>
      </c>
      <c r="R47" s="12"/>
      <c r="S47" s="32"/>
      <c r="T47" s="32"/>
      <c r="U47" s="32"/>
      <c r="V47" s="32"/>
      <c r="W47" s="32"/>
      <c r="X47" s="32"/>
      <c r="Y47" s="32"/>
      <c r="Z47" s="32"/>
    </row>
    <row r="48" spans="1:26" ht="15" customHeight="1" x14ac:dyDescent="0.3">
      <c r="A48" s="45">
        <v>38</v>
      </c>
      <c r="B48" s="57" t="s">
        <v>103</v>
      </c>
      <c r="C48" s="46"/>
      <c r="D48" s="46"/>
      <c r="E48" s="48" t="s">
        <v>104</v>
      </c>
      <c r="F48" s="45"/>
      <c r="G48" s="79">
        <v>7.5</v>
      </c>
      <c r="H48" s="71">
        <v>3519</v>
      </c>
      <c r="I48" s="71">
        <v>1</v>
      </c>
      <c r="J48" s="51" t="s">
        <v>92</v>
      </c>
      <c r="K48" s="52" t="s">
        <v>33</v>
      </c>
      <c r="L48" s="53" t="str">
        <f t="shared" si="0"/>
        <v>1pieces</v>
      </c>
      <c r="M48" s="54">
        <f t="shared" si="1"/>
        <v>3519</v>
      </c>
      <c r="N48" s="55" t="str">
        <f t="shared" si="2"/>
        <v>3519 pieces</v>
      </c>
      <c r="O48" s="56">
        <f t="shared" si="3"/>
        <v>26392.5</v>
      </c>
      <c r="P48" s="44">
        <f t="shared" si="4"/>
        <v>7.5</v>
      </c>
      <c r="Q48" s="44">
        <f t="shared" si="5"/>
        <v>0</v>
      </c>
      <c r="R48" s="32"/>
      <c r="S48" s="32"/>
      <c r="T48" s="32"/>
      <c r="U48" s="32"/>
      <c r="V48" s="32"/>
      <c r="W48" s="32"/>
      <c r="X48" s="32"/>
      <c r="Y48" s="32"/>
      <c r="Z48" s="32"/>
    </row>
    <row r="49" spans="1:26" ht="15" customHeight="1" x14ac:dyDescent="0.3">
      <c r="A49" s="45">
        <v>39</v>
      </c>
      <c r="B49" s="57" t="s">
        <v>105</v>
      </c>
      <c r="C49" s="46"/>
      <c r="D49" s="46"/>
      <c r="E49" s="48" t="s">
        <v>106</v>
      </c>
      <c r="F49" s="45"/>
      <c r="G49" s="79">
        <v>14.35</v>
      </c>
      <c r="H49" s="71">
        <v>240</v>
      </c>
      <c r="I49" s="71">
        <v>1</v>
      </c>
      <c r="J49" s="51" t="s">
        <v>92</v>
      </c>
      <c r="K49" s="52" t="s">
        <v>33</v>
      </c>
      <c r="L49" s="53" t="str">
        <f t="shared" si="0"/>
        <v>1pieces</v>
      </c>
      <c r="M49" s="54">
        <f t="shared" si="1"/>
        <v>240</v>
      </c>
      <c r="N49" s="55" t="str">
        <f t="shared" si="2"/>
        <v>240 pieces</v>
      </c>
      <c r="O49" s="56">
        <f t="shared" si="3"/>
        <v>3444</v>
      </c>
      <c r="P49" s="44">
        <f t="shared" si="4"/>
        <v>14.35</v>
      </c>
      <c r="Q49" s="62">
        <f t="shared" si="5"/>
        <v>0</v>
      </c>
      <c r="R49" s="12"/>
      <c r="S49" s="32"/>
      <c r="T49" s="32"/>
      <c r="U49" s="32"/>
      <c r="V49" s="32"/>
      <c r="W49" s="32"/>
      <c r="X49" s="32"/>
      <c r="Y49" s="32"/>
      <c r="Z49" s="32"/>
    </row>
    <row r="50" spans="1:26" ht="15" customHeight="1" x14ac:dyDescent="0.3">
      <c r="A50" s="45">
        <v>40</v>
      </c>
      <c r="B50" s="46" t="s">
        <v>107</v>
      </c>
      <c r="C50" s="46"/>
      <c r="D50" s="46"/>
      <c r="E50" s="80" t="s">
        <v>108</v>
      </c>
      <c r="F50" s="45"/>
      <c r="G50" s="79">
        <v>16.079999999999998</v>
      </c>
      <c r="H50" s="71">
        <v>125</v>
      </c>
      <c r="I50" s="71">
        <v>1</v>
      </c>
      <c r="J50" s="51" t="s">
        <v>92</v>
      </c>
      <c r="K50" s="52" t="s">
        <v>33</v>
      </c>
      <c r="L50" s="53" t="str">
        <f t="shared" si="0"/>
        <v>1pieces</v>
      </c>
      <c r="M50" s="54">
        <f t="shared" si="1"/>
        <v>125</v>
      </c>
      <c r="N50" s="55" t="str">
        <f t="shared" si="2"/>
        <v>125 pieces</v>
      </c>
      <c r="O50" s="56">
        <f t="shared" si="3"/>
        <v>2009.9999999999998</v>
      </c>
      <c r="P50" s="44">
        <f t="shared" si="4"/>
        <v>16.079999999999998</v>
      </c>
      <c r="Q50" s="44">
        <f t="shared" si="5"/>
        <v>0</v>
      </c>
      <c r="R50" s="32"/>
      <c r="S50" s="32"/>
      <c r="T50" s="32"/>
      <c r="U50" s="32"/>
      <c r="V50" s="32"/>
      <c r="W50" s="32"/>
      <c r="X50" s="32"/>
      <c r="Y50" s="32"/>
      <c r="Z50" s="32"/>
    </row>
    <row r="51" spans="1:26" ht="15" customHeight="1" x14ac:dyDescent="0.3">
      <c r="A51" s="45">
        <v>41</v>
      </c>
      <c r="B51" s="86" t="s">
        <v>109</v>
      </c>
      <c r="C51" s="46"/>
      <c r="D51" s="46"/>
      <c r="E51" s="87" t="s">
        <v>110</v>
      </c>
      <c r="F51" s="45"/>
      <c r="G51" s="79">
        <v>30.07</v>
      </c>
      <c r="H51" s="71">
        <v>71</v>
      </c>
      <c r="I51" s="71">
        <v>1</v>
      </c>
      <c r="J51" s="71" t="s">
        <v>92</v>
      </c>
      <c r="K51" s="52" t="s">
        <v>33</v>
      </c>
      <c r="L51" s="53" t="str">
        <f t="shared" si="0"/>
        <v>1pieces</v>
      </c>
      <c r="M51" s="54">
        <f t="shared" si="1"/>
        <v>71</v>
      </c>
      <c r="N51" s="55" t="str">
        <f t="shared" si="2"/>
        <v>71 pieces</v>
      </c>
      <c r="O51" s="56">
        <f t="shared" si="3"/>
        <v>2134.9699999999998</v>
      </c>
      <c r="P51" s="44">
        <f t="shared" si="4"/>
        <v>30.069999999999997</v>
      </c>
      <c r="Q51" s="44">
        <f t="shared" si="5"/>
        <v>0</v>
      </c>
      <c r="R51" s="12"/>
      <c r="S51" s="32"/>
      <c r="T51" s="32"/>
      <c r="U51" s="32"/>
      <c r="V51" s="32"/>
      <c r="W51" s="32"/>
      <c r="X51" s="32"/>
      <c r="Y51" s="32"/>
      <c r="Z51" s="32"/>
    </row>
    <row r="52" spans="1:26" ht="15" customHeight="1" x14ac:dyDescent="0.3">
      <c r="A52" s="45">
        <v>42</v>
      </c>
      <c r="B52" s="88" t="s">
        <v>111</v>
      </c>
      <c r="C52" s="46"/>
      <c r="D52" s="46"/>
      <c r="E52" s="48" t="s">
        <v>112</v>
      </c>
      <c r="F52" s="45"/>
      <c r="G52" s="79">
        <v>27.98</v>
      </c>
      <c r="H52" s="71">
        <v>72</v>
      </c>
      <c r="I52" s="71">
        <v>1</v>
      </c>
      <c r="J52" s="71" t="s">
        <v>92</v>
      </c>
      <c r="K52" s="52" t="s">
        <v>33</v>
      </c>
      <c r="L52" s="53" t="str">
        <f t="shared" si="0"/>
        <v>1pieces</v>
      </c>
      <c r="M52" s="54">
        <f t="shared" si="1"/>
        <v>72</v>
      </c>
      <c r="N52" s="55" t="str">
        <f t="shared" si="2"/>
        <v>72 pieces</v>
      </c>
      <c r="O52" s="56">
        <f t="shared" si="3"/>
        <v>2014.56</v>
      </c>
      <c r="P52" s="44">
        <f t="shared" si="4"/>
        <v>27.98</v>
      </c>
      <c r="Q52" s="62">
        <f t="shared" si="5"/>
        <v>0</v>
      </c>
      <c r="R52" s="12"/>
      <c r="S52" s="32"/>
      <c r="T52" s="32"/>
      <c r="U52" s="32"/>
      <c r="V52" s="32"/>
      <c r="W52" s="32"/>
      <c r="X52" s="32"/>
      <c r="Y52" s="32"/>
      <c r="Z52" s="32"/>
    </row>
    <row r="53" spans="1:26" ht="15" customHeight="1" x14ac:dyDescent="0.3">
      <c r="A53" s="45">
        <v>43</v>
      </c>
      <c r="B53" s="57" t="s">
        <v>113</v>
      </c>
      <c r="C53" s="46"/>
      <c r="D53" s="46"/>
      <c r="E53" s="59" t="s">
        <v>114</v>
      </c>
      <c r="F53" s="45"/>
      <c r="G53" s="79">
        <v>10.72</v>
      </c>
      <c r="H53" s="71">
        <v>167</v>
      </c>
      <c r="I53" s="71">
        <v>1</v>
      </c>
      <c r="J53" s="71" t="s">
        <v>92</v>
      </c>
      <c r="K53" s="52" t="s">
        <v>33</v>
      </c>
      <c r="L53" s="53" t="str">
        <f t="shared" si="0"/>
        <v>1pieces</v>
      </c>
      <c r="M53" s="54">
        <f t="shared" si="1"/>
        <v>167</v>
      </c>
      <c r="N53" s="55" t="str">
        <f t="shared" si="2"/>
        <v>167 pieces</v>
      </c>
      <c r="O53" s="56">
        <f t="shared" si="3"/>
        <v>1790.24</v>
      </c>
      <c r="P53" s="44">
        <f t="shared" si="4"/>
        <v>10.72</v>
      </c>
      <c r="Q53" s="62">
        <f t="shared" si="5"/>
        <v>0</v>
      </c>
      <c r="R53" s="12"/>
      <c r="S53" s="32"/>
      <c r="T53" s="32"/>
      <c r="U53" s="32"/>
      <c r="V53" s="32"/>
      <c r="W53" s="32"/>
      <c r="X53" s="32"/>
      <c r="Y53" s="32"/>
      <c r="Z53" s="32"/>
    </row>
    <row r="54" spans="1:26" ht="15" customHeight="1" x14ac:dyDescent="0.3">
      <c r="A54" s="45">
        <v>44</v>
      </c>
      <c r="B54" s="57" t="s">
        <v>115</v>
      </c>
      <c r="C54" s="46"/>
      <c r="D54" s="46"/>
      <c r="E54" s="59" t="s">
        <v>116</v>
      </c>
      <c r="F54" s="45"/>
      <c r="G54" s="79">
        <v>30.07</v>
      </c>
      <c r="H54" s="71">
        <v>18</v>
      </c>
      <c r="I54" s="71">
        <v>1</v>
      </c>
      <c r="J54" s="71" t="s">
        <v>92</v>
      </c>
      <c r="K54" s="52" t="s">
        <v>33</v>
      </c>
      <c r="L54" s="53" t="str">
        <f t="shared" si="0"/>
        <v>1pieces</v>
      </c>
      <c r="M54" s="54">
        <f t="shared" si="1"/>
        <v>18</v>
      </c>
      <c r="N54" s="55" t="str">
        <f t="shared" si="2"/>
        <v>18 pieces</v>
      </c>
      <c r="O54" s="56">
        <f t="shared" si="3"/>
        <v>541.26</v>
      </c>
      <c r="P54" s="44">
        <f t="shared" si="4"/>
        <v>30.07</v>
      </c>
      <c r="Q54" s="62">
        <f t="shared" si="5"/>
        <v>0</v>
      </c>
      <c r="R54" s="12"/>
      <c r="S54" s="32"/>
      <c r="T54" s="32"/>
      <c r="U54" s="32"/>
      <c r="V54" s="32"/>
      <c r="W54" s="32"/>
      <c r="X54" s="32"/>
      <c r="Y54" s="32"/>
      <c r="Z54" s="32"/>
    </row>
    <row r="55" spans="1:26" ht="15" customHeight="1" x14ac:dyDescent="0.3">
      <c r="A55" s="45">
        <v>45</v>
      </c>
      <c r="B55" s="57" t="s">
        <v>117</v>
      </c>
      <c r="C55" s="46"/>
      <c r="D55" s="89"/>
      <c r="E55" s="59" t="s">
        <v>118</v>
      </c>
      <c r="F55" s="45"/>
      <c r="G55" s="79">
        <v>16.66</v>
      </c>
      <c r="H55" s="71">
        <v>120</v>
      </c>
      <c r="I55" s="71">
        <v>1</v>
      </c>
      <c r="J55" s="71" t="s">
        <v>92</v>
      </c>
      <c r="K55" s="52" t="s">
        <v>33</v>
      </c>
      <c r="L55" s="53" t="str">
        <f t="shared" si="0"/>
        <v>1pieces</v>
      </c>
      <c r="M55" s="54">
        <f t="shared" si="1"/>
        <v>120</v>
      </c>
      <c r="N55" s="55" t="str">
        <f t="shared" si="2"/>
        <v>120 pieces</v>
      </c>
      <c r="O55" s="56">
        <f t="shared" si="3"/>
        <v>1999.2</v>
      </c>
      <c r="P55" s="44">
        <f t="shared" si="4"/>
        <v>16.66</v>
      </c>
      <c r="Q55" s="62">
        <f t="shared" si="5"/>
        <v>0</v>
      </c>
      <c r="R55" s="12"/>
      <c r="S55" s="32"/>
      <c r="T55" s="32"/>
      <c r="U55" s="32"/>
      <c r="V55" s="32"/>
      <c r="W55" s="32"/>
      <c r="X55" s="32"/>
      <c r="Y55" s="32"/>
      <c r="Z55" s="32"/>
    </row>
    <row r="56" spans="1:26" ht="15" customHeight="1" x14ac:dyDescent="0.3">
      <c r="A56" s="45">
        <v>46</v>
      </c>
      <c r="B56" s="57" t="s">
        <v>119</v>
      </c>
      <c r="C56" s="46"/>
      <c r="D56" s="89"/>
      <c r="E56" s="59" t="s">
        <v>120</v>
      </c>
      <c r="F56" s="45"/>
      <c r="G56" s="79">
        <v>18.440000000000001</v>
      </c>
      <c r="H56" s="71">
        <v>373</v>
      </c>
      <c r="I56" s="71">
        <v>1</v>
      </c>
      <c r="J56" s="71" t="s">
        <v>92</v>
      </c>
      <c r="K56" s="52" t="s">
        <v>33</v>
      </c>
      <c r="L56" s="53" t="str">
        <f t="shared" si="0"/>
        <v>1pieces</v>
      </c>
      <c r="M56" s="54">
        <f t="shared" si="1"/>
        <v>373</v>
      </c>
      <c r="N56" s="55" t="str">
        <f t="shared" si="2"/>
        <v>373 pieces</v>
      </c>
      <c r="O56" s="56">
        <f t="shared" si="3"/>
        <v>6878.1200000000008</v>
      </c>
      <c r="P56" s="44">
        <f t="shared" si="4"/>
        <v>18.440000000000001</v>
      </c>
      <c r="Q56" s="44">
        <f t="shared" si="5"/>
        <v>0</v>
      </c>
      <c r="R56" s="12"/>
      <c r="S56" s="32"/>
      <c r="T56" s="32"/>
      <c r="U56" s="32"/>
      <c r="V56" s="32"/>
      <c r="W56" s="32"/>
      <c r="X56" s="32"/>
      <c r="Y56" s="32"/>
      <c r="Z56" s="32"/>
    </row>
    <row r="57" spans="1:26" ht="15" customHeight="1" x14ac:dyDescent="0.3">
      <c r="A57" s="45">
        <v>47</v>
      </c>
      <c r="B57" s="57" t="s">
        <v>121</v>
      </c>
      <c r="C57" s="46"/>
      <c r="D57" s="89"/>
      <c r="E57" s="59" t="s">
        <v>122</v>
      </c>
      <c r="F57" s="45"/>
      <c r="G57" s="79">
        <v>8.2799999999999994</v>
      </c>
      <c r="H57" s="71">
        <v>141</v>
      </c>
      <c r="I57" s="71">
        <v>1</v>
      </c>
      <c r="J57" s="71" t="s">
        <v>92</v>
      </c>
      <c r="K57" s="52" t="s">
        <v>33</v>
      </c>
      <c r="L57" s="53" t="str">
        <f t="shared" si="0"/>
        <v>1pieces</v>
      </c>
      <c r="M57" s="54">
        <f t="shared" si="1"/>
        <v>141</v>
      </c>
      <c r="N57" s="55" t="str">
        <f t="shared" si="2"/>
        <v>141 pieces</v>
      </c>
      <c r="O57" s="56">
        <f t="shared" si="3"/>
        <v>1167.48</v>
      </c>
      <c r="P57" s="44">
        <f t="shared" si="4"/>
        <v>8.2799999999999994</v>
      </c>
      <c r="Q57" s="44">
        <f t="shared" si="5"/>
        <v>0</v>
      </c>
      <c r="R57" s="32"/>
      <c r="S57" s="32"/>
      <c r="T57" s="32"/>
      <c r="U57" s="32"/>
      <c r="V57" s="32"/>
      <c r="W57" s="32"/>
      <c r="X57" s="32"/>
      <c r="Y57" s="32"/>
      <c r="Z57" s="32"/>
    </row>
    <row r="58" spans="1:26" ht="15" customHeight="1" x14ac:dyDescent="0.3">
      <c r="A58" s="45">
        <v>48</v>
      </c>
      <c r="B58" s="57" t="s">
        <v>123</v>
      </c>
      <c r="C58" s="46"/>
      <c r="D58" s="89"/>
      <c r="E58" s="59" t="s">
        <v>124</v>
      </c>
      <c r="F58" s="45"/>
      <c r="G58" s="79">
        <v>10.82</v>
      </c>
      <c r="H58" s="71">
        <v>132</v>
      </c>
      <c r="I58" s="71">
        <v>1</v>
      </c>
      <c r="J58" s="71" t="s">
        <v>92</v>
      </c>
      <c r="K58" s="52" t="s">
        <v>33</v>
      </c>
      <c r="L58" s="53" t="str">
        <f t="shared" si="0"/>
        <v>1pieces</v>
      </c>
      <c r="M58" s="54">
        <f t="shared" si="1"/>
        <v>132</v>
      </c>
      <c r="N58" s="55" t="str">
        <f t="shared" si="2"/>
        <v>132 pieces</v>
      </c>
      <c r="O58" s="56">
        <f t="shared" si="3"/>
        <v>1428.24</v>
      </c>
      <c r="P58" s="44">
        <f t="shared" si="4"/>
        <v>10.82</v>
      </c>
      <c r="Q58" s="62">
        <f t="shared" si="5"/>
        <v>0</v>
      </c>
      <c r="R58" s="12"/>
      <c r="S58" s="32"/>
      <c r="T58" s="32"/>
      <c r="U58" s="32"/>
      <c r="V58" s="32"/>
      <c r="W58" s="32"/>
      <c r="X58" s="32"/>
      <c r="Y58" s="32"/>
      <c r="Z58" s="32"/>
    </row>
    <row r="59" spans="1:26" ht="15" customHeight="1" x14ac:dyDescent="0.3">
      <c r="A59" s="45">
        <v>49</v>
      </c>
      <c r="B59" s="46" t="s">
        <v>125</v>
      </c>
      <c r="C59" s="46"/>
      <c r="D59" s="89"/>
      <c r="E59" s="48" t="s">
        <v>126</v>
      </c>
      <c r="F59" s="45"/>
      <c r="G59" s="79">
        <v>8.92</v>
      </c>
      <c r="H59" s="71">
        <v>231</v>
      </c>
      <c r="I59" s="71">
        <v>1</v>
      </c>
      <c r="J59" s="71" t="s">
        <v>92</v>
      </c>
      <c r="K59" s="52" t="s">
        <v>33</v>
      </c>
      <c r="L59" s="53" t="str">
        <f t="shared" si="0"/>
        <v>1pieces</v>
      </c>
      <c r="M59" s="54">
        <f t="shared" si="1"/>
        <v>231</v>
      </c>
      <c r="N59" s="55" t="str">
        <f t="shared" si="2"/>
        <v>231 pieces</v>
      </c>
      <c r="O59" s="56">
        <f t="shared" si="3"/>
        <v>2060.52</v>
      </c>
      <c r="P59" s="44">
        <f t="shared" si="4"/>
        <v>8.92</v>
      </c>
      <c r="Q59" s="62">
        <f t="shared" si="5"/>
        <v>0</v>
      </c>
      <c r="R59" s="12"/>
      <c r="S59" s="32"/>
      <c r="T59" s="32"/>
      <c r="U59" s="32"/>
      <c r="V59" s="32"/>
      <c r="W59" s="32"/>
      <c r="X59" s="32"/>
      <c r="Y59" s="32"/>
      <c r="Z59" s="32"/>
    </row>
    <row r="60" spans="1:26" ht="15" customHeight="1" x14ac:dyDescent="0.3">
      <c r="A60" s="45">
        <v>50</v>
      </c>
      <c r="B60" s="57" t="s">
        <v>127</v>
      </c>
      <c r="C60" s="46"/>
      <c r="D60" s="89"/>
      <c r="E60" s="59" t="s">
        <v>128</v>
      </c>
      <c r="F60" s="45"/>
      <c r="G60" s="79">
        <v>350</v>
      </c>
      <c r="H60" s="71">
        <v>3</v>
      </c>
      <c r="I60" s="71">
        <v>0.5</v>
      </c>
      <c r="J60" s="71" t="s">
        <v>39</v>
      </c>
      <c r="K60" s="52" t="s">
        <v>33</v>
      </c>
      <c r="L60" s="53" t="str">
        <f t="shared" si="0"/>
        <v>0.5grams</v>
      </c>
      <c r="M60" s="54">
        <f t="shared" si="1"/>
        <v>1.5</v>
      </c>
      <c r="N60" s="55" t="str">
        <f t="shared" si="2"/>
        <v>1.5 grams</v>
      </c>
      <c r="O60" s="56">
        <f t="shared" si="3"/>
        <v>1050</v>
      </c>
      <c r="P60" s="44">
        <f t="shared" si="4"/>
        <v>350</v>
      </c>
      <c r="Q60" s="62">
        <f t="shared" si="5"/>
        <v>0</v>
      </c>
      <c r="R60" s="12"/>
      <c r="S60" s="32"/>
      <c r="T60" s="32"/>
      <c r="U60" s="32"/>
      <c r="V60" s="32"/>
      <c r="W60" s="32"/>
      <c r="X60" s="32"/>
      <c r="Y60" s="32"/>
      <c r="Z60" s="32"/>
    </row>
    <row r="61" spans="1:26" ht="15" customHeight="1" x14ac:dyDescent="0.3">
      <c r="A61" s="45">
        <v>51</v>
      </c>
      <c r="B61" s="57" t="s">
        <v>129</v>
      </c>
      <c r="C61" s="46"/>
      <c r="D61" s="89"/>
      <c r="E61" s="90" t="s">
        <v>130</v>
      </c>
      <c r="F61" s="45"/>
      <c r="G61" s="79">
        <v>8.9700000000000006</v>
      </c>
      <c r="H61" s="71">
        <v>788</v>
      </c>
      <c r="I61" s="71">
        <v>1</v>
      </c>
      <c r="J61" s="71" t="s">
        <v>92</v>
      </c>
      <c r="K61" s="52" t="s">
        <v>33</v>
      </c>
      <c r="L61" s="53" t="str">
        <f t="shared" si="0"/>
        <v>1pieces</v>
      </c>
      <c r="M61" s="54">
        <f t="shared" si="1"/>
        <v>788</v>
      </c>
      <c r="N61" s="55" t="str">
        <f t="shared" si="2"/>
        <v>788 pieces</v>
      </c>
      <c r="O61" s="56">
        <f t="shared" si="3"/>
        <v>7068.3600000000006</v>
      </c>
      <c r="P61" s="44">
        <f t="shared" si="4"/>
        <v>8.9700000000000006</v>
      </c>
      <c r="Q61" s="44">
        <f t="shared" si="5"/>
        <v>0</v>
      </c>
      <c r="R61" s="32"/>
      <c r="S61" s="32"/>
      <c r="T61" s="32"/>
      <c r="U61" s="32"/>
      <c r="V61" s="32"/>
      <c r="W61" s="32"/>
      <c r="X61" s="32"/>
      <c r="Y61" s="32"/>
      <c r="Z61" s="32"/>
    </row>
    <row r="62" spans="1:26" ht="15" customHeight="1" x14ac:dyDescent="0.3">
      <c r="A62" s="45">
        <v>52</v>
      </c>
      <c r="B62" s="46" t="s">
        <v>131</v>
      </c>
      <c r="C62" s="46"/>
      <c r="D62" s="89"/>
      <c r="E62" s="59" t="s">
        <v>132</v>
      </c>
      <c r="F62" s="45"/>
      <c r="G62" s="79">
        <v>2.89</v>
      </c>
      <c r="H62" s="71">
        <v>3576</v>
      </c>
      <c r="I62" s="71">
        <v>1</v>
      </c>
      <c r="J62" s="71" t="s">
        <v>92</v>
      </c>
      <c r="K62" s="91" t="s">
        <v>33</v>
      </c>
      <c r="L62" s="53" t="str">
        <f t="shared" si="0"/>
        <v>1pieces</v>
      </c>
      <c r="M62" s="54">
        <f t="shared" si="1"/>
        <v>3576</v>
      </c>
      <c r="N62" s="55" t="str">
        <f t="shared" si="2"/>
        <v>3576 pieces</v>
      </c>
      <c r="O62" s="56">
        <f t="shared" si="3"/>
        <v>10334.640000000001</v>
      </c>
      <c r="P62" s="92">
        <f t="shared" si="4"/>
        <v>2.89</v>
      </c>
      <c r="Q62" s="93">
        <f t="shared" si="5"/>
        <v>0</v>
      </c>
      <c r="R62" s="94"/>
      <c r="S62" s="95"/>
      <c r="T62" s="95"/>
      <c r="U62" s="95"/>
      <c r="V62" s="95"/>
      <c r="W62" s="95"/>
      <c r="X62" s="95"/>
      <c r="Y62" s="95"/>
      <c r="Z62" s="95"/>
    </row>
    <row r="63" spans="1:26" ht="15" customHeight="1" x14ac:dyDescent="0.3">
      <c r="A63" s="45">
        <v>53</v>
      </c>
      <c r="B63" s="57" t="s">
        <v>133</v>
      </c>
      <c r="C63" s="46"/>
      <c r="D63" s="89"/>
      <c r="E63" s="59" t="s">
        <v>134</v>
      </c>
      <c r="F63" s="45"/>
      <c r="G63" s="79">
        <v>1.93</v>
      </c>
      <c r="H63" s="71">
        <v>1074</v>
      </c>
      <c r="I63" s="71">
        <v>1</v>
      </c>
      <c r="J63" s="71" t="s">
        <v>92</v>
      </c>
      <c r="K63" s="52" t="s">
        <v>33</v>
      </c>
      <c r="L63" s="53" t="str">
        <f t="shared" si="0"/>
        <v>1pieces</v>
      </c>
      <c r="M63" s="54">
        <f t="shared" si="1"/>
        <v>1074</v>
      </c>
      <c r="N63" s="55" t="str">
        <f t="shared" si="2"/>
        <v>1074 pieces</v>
      </c>
      <c r="O63" s="56">
        <f t="shared" si="3"/>
        <v>2072.8199999999997</v>
      </c>
      <c r="P63" s="44">
        <f t="shared" si="4"/>
        <v>1.9299999999999997</v>
      </c>
      <c r="Q63" s="66">
        <f t="shared" si="5"/>
        <v>0</v>
      </c>
      <c r="R63" s="32"/>
      <c r="S63" s="32"/>
      <c r="T63" s="32"/>
      <c r="U63" s="32"/>
      <c r="V63" s="32"/>
      <c r="W63" s="32"/>
      <c r="X63" s="32"/>
      <c r="Y63" s="32"/>
      <c r="Z63" s="32"/>
    </row>
    <row r="64" spans="1:26" ht="15" customHeight="1" x14ac:dyDescent="0.3">
      <c r="A64" s="45">
        <v>54</v>
      </c>
      <c r="B64" s="46" t="s">
        <v>135</v>
      </c>
      <c r="C64" s="46"/>
      <c r="D64" s="89"/>
      <c r="E64" s="80" t="s">
        <v>136</v>
      </c>
      <c r="F64" s="45"/>
      <c r="G64" s="79">
        <v>8.34</v>
      </c>
      <c r="H64" s="71">
        <v>167</v>
      </c>
      <c r="I64" s="71">
        <v>1</v>
      </c>
      <c r="J64" s="71" t="s">
        <v>92</v>
      </c>
      <c r="K64" s="52" t="s">
        <v>33</v>
      </c>
      <c r="L64" s="53" t="str">
        <f t="shared" si="0"/>
        <v>1pieces</v>
      </c>
      <c r="M64" s="54">
        <f t="shared" si="1"/>
        <v>167</v>
      </c>
      <c r="N64" s="55" t="str">
        <f t="shared" si="2"/>
        <v>167 pieces</v>
      </c>
      <c r="O64" s="56">
        <f t="shared" si="3"/>
        <v>1392.78</v>
      </c>
      <c r="P64" s="44">
        <f t="shared" si="4"/>
        <v>8.34</v>
      </c>
      <c r="Q64" s="66">
        <f t="shared" si="5"/>
        <v>0</v>
      </c>
      <c r="R64" s="32"/>
      <c r="S64" s="32"/>
      <c r="T64" s="32"/>
      <c r="U64" s="32"/>
      <c r="V64" s="32"/>
      <c r="W64" s="32"/>
      <c r="X64" s="32"/>
      <c r="Y64" s="32"/>
      <c r="Z64" s="32"/>
    </row>
    <row r="65" spans="1:26" ht="15" customHeight="1" x14ac:dyDescent="0.3">
      <c r="A65" s="45">
        <v>55</v>
      </c>
      <c r="B65" s="46" t="s">
        <v>137</v>
      </c>
      <c r="C65" s="46"/>
      <c r="D65" s="89"/>
      <c r="E65" s="80" t="s">
        <v>138</v>
      </c>
      <c r="F65" s="45"/>
      <c r="G65" s="79">
        <v>8.51</v>
      </c>
      <c r="H65" s="71">
        <v>126</v>
      </c>
      <c r="I65" s="71">
        <v>1</v>
      </c>
      <c r="J65" s="71" t="s">
        <v>92</v>
      </c>
      <c r="K65" s="52" t="s">
        <v>33</v>
      </c>
      <c r="L65" s="53" t="str">
        <f t="shared" si="0"/>
        <v>1pieces</v>
      </c>
      <c r="M65" s="54">
        <f t="shared" si="1"/>
        <v>126</v>
      </c>
      <c r="N65" s="55" t="str">
        <f t="shared" si="2"/>
        <v>126 pieces</v>
      </c>
      <c r="O65" s="56">
        <f t="shared" si="3"/>
        <v>1072.26</v>
      </c>
      <c r="P65" s="44">
        <f t="shared" si="4"/>
        <v>8.51</v>
      </c>
      <c r="Q65" s="62">
        <f t="shared" si="5"/>
        <v>0</v>
      </c>
      <c r="R65" s="12"/>
      <c r="S65" s="32"/>
      <c r="T65" s="32"/>
      <c r="U65" s="32"/>
      <c r="V65" s="32"/>
      <c r="W65" s="32"/>
      <c r="X65" s="32"/>
      <c r="Y65" s="32"/>
      <c r="Z65" s="32"/>
    </row>
    <row r="66" spans="1:26" ht="15" customHeight="1" x14ac:dyDescent="0.3">
      <c r="A66" s="45">
        <v>56</v>
      </c>
      <c r="B66" s="96" t="s">
        <v>139</v>
      </c>
      <c r="C66" s="46"/>
      <c r="D66" s="89"/>
      <c r="E66" s="80" t="s">
        <v>140</v>
      </c>
      <c r="F66" s="45"/>
      <c r="G66" s="79">
        <v>2.04</v>
      </c>
      <c r="H66" s="71">
        <v>1492</v>
      </c>
      <c r="I66" s="71"/>
      <c r="J66" s="71" t="s">
        <v>92</v>
      </c>
      <c r="K66" s="52" t="s">
        <v>33</v>
      </c>
      <c r="L66" s="53" t="str">
        <f t="shared" si="0"/>
        <v>pieces</v>
      </c>
      <c r="M66" s="54">
        <f t="shared" si="1"/>
        <v>0</v>
      </c>
      <c r="N66" s="55" t="str">
        <f t="shared" si="2"/>
        <v>0 pieces</v>
      </c>
      <c r="O66" s="56">
        <f t="shared" si="3"/>
        <v>3043.68</v>
      </c>
      <c r="P66" s="44">
        <f t="shared" si="4"/>
        <v>2.04</v>
      </c>
      <c r="Q66" s="44">
        <f t="shared" si="5"/>
        <v>0</v>
      </c>
      <c r="R66" s="32"/>
      <c r="S66" s="32"/>
      <c r="T66" s="32"/>
      <c r="U66" s="32"/>
      <c r="V66" s="32"/>
      <c r="W66" s="32"/>
      <c r="X66" s="32"/>
      <c r="Y66" s="32"/>
      <c r="Z66" s="32"/>
    </row>
    <row r="67" spans="1:26" ht="15" customHeight="1" x14ac:dyDescent="0.3">
      <c r="A67" s="45">
        <v>57</v>
      </c>
      <c r="B67" s="97" t="s">
        <v>141</v>
      </c>
      <c r="C67" s="46"/>
      <c r="D67" s="89"/>
      <c r="E67" s="80" t="s">
        <v>142</v>
      </c>
      <c r="F67" s="45"/>
      <c r="G67" s="79">
        <v>8.59</v>
      </c>
      <c r="H67" s="71">
        <v>12</v>
      </c>
      <c r="I67" s="71">
        <v>14</v>
      </c>
      <c r="J67" s="71" t="s">
        <v>92</v>
      </c>
      <c r="K67" s="52" t="s">
        <v>33</v>
      </c>
      <c r="L67" s="53" t="str">
        <f t="shared" si="0"/>
        <v>14pieces</v>
      </c>
      <c r="M67" s="54">
        <f t="shared" si="1"/>
        <v>168</v>
      </c>
      <c r="N67" s="55" t="str">
        <f t="shared" si="2"/>
        <v>168 pieces</v>
      </c>
      <c r="O67" s="56">
        <f t="shared" si="3"/>
        <v>103.08</v>
      </c>
      <c r="P67" s="44">
        <f t="shared" si="4"/>
        <v>8.59</v>
      </c>
      <c r="Q67" s="44">
        <f t="shared" si="5"/>
        <v>0</v>
      </c>
      <c r="R67" s="32"/>
      <c r="S67" s="32"/>
      <c r="T67" s="32"/>
      <c r="U67" s="32"/>
      <c r="V67" s="32"/>
      <c r="W67" s="32"/>
      <c r="X67" s="32"/>
      <c r="Y67" s="32"/>
      <c r="Z67" s="32"/>
    </row>
    <row r="68" spans="1:26" ht="15" customHeight="1" x14ac:dyDescent="0.3">
      <c r="A68" s="45">
        <v>58</v>
      </c>
      <c r="B68" s="69" t="s">
        <v>143</v>
      </c>
      <c r="C68" s="46"/>
      <c r="D68" s="89"/>
      <c r="E68" s="78" t="s">
        <v>144</v>
      </c>
      <c r="F68" s="45"/>
      <c r="G68" s="79">
        <v>7</v>
      </c>
      <c r="H68" s="71">
        <v>240</v>
      </c>
      <c r="I68" s="71">
        <v>1</v>
      </c>
      <c r="J68" s="71" t="s">
        <v>92</v>
      </c>
      <c r="K68" s="52" t="s">
        <v>33</v>
      </c>
      <c r="L68" s="53" t="str">
        <f t="shared" si="0"/>
        <v>1pieces</v>
      </c>
      <c r="M68" s="54">
        <f t="shared" si="1"/>
        <v>240</v>
      </c>
      <c r="N68" s="55" t="str">
        <f t="shared" si="2"/>
        <v>240 pieces</v>
      </c>
      <c r="O68" s="56">
        <f t="shared" si="3"/>
        <v>1680</v>
      </c>
      <c r="P68" s="44">
        <f t="shared" si="4"/>
        <v>7</v>
      </c>
      <c r="Q68" s="62">
        <f t="shared" si="5"/>
        <v>0</v>
      </c>
      <c r="R68" s="12"/>
      <c r="S68" s="32"/>
      <c r="T68" s="32"/>
      <c r="U68" s="32"/>
      <c r="V68" s="32"/>
      <c r="W68" s="32"/>
      <c r="X68" s="32"/>
      <c r="Y68" s="32"/>
      <c r="Z68" s="32"/>
    </row>
    <row r="69" spans="1:26" ht="15" customHeight="1" x14ac:dyDescent="0.3">
      <c r="A69" s="45">
        <v>59</v>
      </c>
      <c r="B69" s="96" t="s">
        <v>145</v>
      </c>
      <c r="C69" s="46"/>
      <c r="D69" s="89"/>
      <c r="E69" s="78" t="s">
        <v>146</v>
      </c>
      <c r="F69" s="45"/>
      <c r="G69" s="79">
        <v>7</v>
      </c>
      <c r="H69" s="71">
        <v>351</v>
      </c>
      <c r="I69" s="71">
        <v>1</v>
      </c>
      <c r="J69" s="71" t="s">
        <v>92</v>
      </c>
      <c r="K69" s="52" t="s">
        <v>33</v>
      </c>
      <c r="L69" s="53" t="str">
        <f t="shared" si="0"/>
        <v>1pieces</v>
      </c>
      <c r="M69" s="54">
        <f t="shared" si="1"/>
        <v>351</v>
      </c>
      <c r="N69" s="55" t="str">
        <f t="shared" si="2"/>
        <v>351 pieces</v>
      </c>
      <c r="O69" s="56">
        <f t="shared" si="3"/>
        <v>2457</v>
      </c>
      <c r="P69" s="44">
        <f t="shared" si="4"/>
        <v>7</v>
      </c>
      <c r="Q69" s="62">
        <f t="shared" si="5"/>
        <v>0</v>
      </c>
      <c r="R69" s="67"/>
      <c r="S69" s="32"/>
      <c r="T69" s="32"/>
      <c r="U69" s="32"/>
      <c r="V69" s="32"/>
      <c r="W69" s="32"/>
      <c r="X69" s="32"/>
      <c r="Y69" s="32"/>
      <c r="Z69" s="32"/>
    </row>
    <row r="70" spans="1:26" ht="15" customHeight="1" x14ac:dyDescent="0.3">
      <c r="A70" s="45">
        <v>60</v>
      </c>
      <c r="B70" s="97" t="s">
        <v>147</v>
      </c>
      <c r="C70" s="46"/>
      <c r="D70" s="89"/>
      <c r="E70" s="80" t="s">
        <v>148</v>
      </c>
      <c r="F70" s="45"/>
      <c r="G70" s="79">
        <v>7.77</v>
      </c>
      <c r="H70" s="71">
        <v>116</v>
      </c>
      <c r="I70" s="71">
        <v>1</v>
      </c>
      <c r="J70" s="71" t="s">
        <v>92</v>
      </c>
      <c r="K70" s="52" t="s">
        <v>33</v>
      </c>
      <c r="L70" s="53" t="str">
        <f t="shared" si="0"/>
        <v>1pieces</v>
      </c>
      <c r="M70" s="54">
        <f t="shared" si="1"/>
        <v>116</v>
      </c>
      <c r="N70" s="55" t="str">
        <f t="shared" si="2"/>
        <v>116 pieces</v>
      </c>
      <c r="O70" s="56">
        <f t="shared" si="3"/>
        <v>901.31999999999994</v>
      </c>
      <c r="P70" s="44">
        <f t="shared" si="4"/>
        <v>7.77</v>
      </c>
      <c r="Q70" s="44">
        <f t="shared" si="5"/>
        <v>0</v>
      </c>
      <c r="R70" s="12"/>
      <c r="S70" s="32"/>
      <c r="T70" s="32"/>
      <c r="U70" s="32"/>
      <c r="V70" s="32"/>
      <c r="W70" s="32"/>
      <c r="X70" s="32"/>
      <c r="Y70" s="32"/>
      <c r="Z70" s="32"/>
    </row>
    <row r="71" spans="1:26" ht="15" customHeight="1" x14ac:dyDescent="0.3">
      <c r="A71" s="45">
        <v>61</v>
      </c>
      <c r="B71" s="69" t="s">
        <v>149</v>
      </c>
      <c r="C71" s="46"/>
      <c r="D71" s="89"/>
      <c r="E71" s="78" t="s">
        <v>150</v>
      </c>
      <c r="F71" s="45"/>
      <c r="G71" s="79">
        <v>8.7200000000000006</v>
      </c>
      <c r="H71" s="71">
        <v>624</v>
      </c>
      <c r="I71" s="71">
        <v>1</v>
      </c>
      <c r="J71" s="71" t="s">
        <v>92</v>
      </c>
      <c r="K71" s="52" t="s">
        <v>33</v>
      </c>
      <c r="L71" s="53" t="str">
        <f t="shared" si="0"/>
        <v>1pieces</v>
      </c>
      <c r="M71" s="54">
        <f t="shared" si="1"/>
        <v>624</v>
      </c>
      <c r="N71" s="55" t="str">
        <f t="shared" si="2"/>
        <v>624 pieces</v>
      </c>
      <c r="O71" s="56">
        <f t="shared" si="3"/>
        <v>5441.2800000000007</v>
      </c>
      <c r="P71" s="44">
        <f t="shared" si="4"/>
        <v>8.7200000000000006</v>
      </c>
      <c r="Q71" s="44">
        <f t="shared" si="5"/>
        <v>0</v>
      </c>
      <c r="R71" s="32"/>
      <c r="S71" s="32"/>
      <c r="T71" s="32"/>
      <c r="U71" s="32"/>
      <c r="V71" s="32"/>
      <c r="W71" s="32"/>
      <c r="X71" s="32"/>
      <c r="Y71" s="32"/>
      <c r="Z71" s="32"/>
    </row>
    <row r="72" spans="1:26" ht="15" customHeight="1" x14ac:dyDescent="0.3">
      <c r="A72" s="45">
        <v>62</v>
      </c>
      <c r="B72" s="96" t="s">
        <v>151</v>
      </c>
      <c r="C72" s="46"/>
      <c r="D72" s="98"/>
      <c r="E72" s="80" t="s">
        <v>152</v>
      </c>
      <c r="F72" s="99"/>
      <c r="G72" s="81">
        <v>7.5</v>
      </c>
      <c r="H72" s="100">
        <v>1411</v>
      </c>
      <c r="I72" s="100">
        <v>1</v>
      </c>
      <c r="J72" s="71" t="s">
        <v>92</v>
      </c>
      <c r="K72" s="52" t="s">
        <v>33</v>
      </c>
      <c r="L72" s="53" t="str">
        <f t="shared" si="0"/>
        <v>1pieces</v>
      </c>
      <c r="M72" s="54">
        <f t="shared" si="1"/>
        <v>1411</v>
      </c>
      <c r="N72" s="55" t="str">
        <f t="shared" si="2"/>
        <v>1411 pieces</v>
      </c>
      <c r="O72" s="56">
        <f t="shared" si="3"/>
        <v>10582.5</v>
      </c>
      <c r="P72" s="44">
        <f t="shared" si="4"/>
        <v>7.5</v>
      </c>
      <c r="Q72" s="62">
        <f t="shared" si="5"/>
        <v>0</v>
      </c>
      <c r="R72" s="12"/>
      <c r="S72" s="32"/>
      <c r="T72" s="32"/>
      <c r="U72" s="32"/>
      <c r="V72" s="32"/>
      <c r="W72" s="32"/>
      <c r="X72" s="32"/>
      <c r="Y72" s="32"/>
      <c r="Z72" s="32"/>
    </row>
    <row r="73" spans="1:26" ht="15" customHeight="1" x14ac:dyDescent="0.3">
      <c r="A73" s="45">
        <v>63</v>
      </c>
      <c r="B73" s="97" t="s">
        <v>153</v>
      </c>
      <c r="C73" s="46"/>
      <c r="D73" s="98"/>
      <c r="E73" s="80" t="s">
        <v>154</v>
      </c>
      <c r="F73" s="99"/>
      <c r="G73" s="79">
        <v>8.34</v>
      </c>
      <c r="H73" s="71">
        <v>166</v>
      </c>
      <c r="I73" s="71">
        <v>1</v>
      </c>
      <c r="J73" s="71" t="s">
        <v>92</v>
      </c>
      <c r="K73" s="52" t="s">
        <v>33</v>
      </c>
      <c r="L73" s="53" t="str">
        <f t="shared" si="0"/>
        <v>1pieces</v>
      </c>
      <c r="M73" s="54">
        <f t="shared" si="1"/>
        <v>166</v>
      </c>
      <c r="N73" s="55" t="str">
        <f t="shared" si="2"/>
        <v>166 pieces</v>
      </c>
      <c r="O73" s="56">
        <f t="shared" si="3"/>
        <v>1384.44</v>
      </c>
      <c r="P73" s="44">
        <f t="shared" si="4"/>
        <v>8.34</v>
      </c>
      <c r="Q73" s="66">
        <f t="shared" si="5"/>
        <v>0</v>
      </c>
      <c r="R73" s="32"/>
      <c r="S73" s="32"/>
      <c r="T73" s="32"/>
      <c r="U73" s="32"/>
      <c r="V73" s="32"/>
      <c r="W73" s="32"/>
      <c r="X73" s="32"/>
      <c r="Y73" s="32"/>
      <c r="Z73" s="32"/>
    </row>
    <row r="74" spans="1:26" ht="15" customHeight="1" x14ac:dyDescent="0.3">
      <c r="A74" s="45">
        <v>64</v>
      </c>
      <c r="B74" s="96" t="s">
        <v>155</v>
      </c>
      <c r="C74" s="46"/>
      <c r="D74" s="98"/>
      <c r="E74" s="80" t="s">
        <v>156</v>
      </c>
      <c r="F74" s="99"/>
      <c r="G74" s="79">
        <v>19</v>
      </c>
      <c r="H74" s="71">
        <v>30</v>
      </c>
      <c r="I74" s="71">
        <v>1</v>
      </c>
      <c r="J74" s="71" t="s">
        <v>39</v>
      </c>
      <c r="K74" s="52" t="s">
        <v>33</v>
      </c>
      <c r="L74" s="53" t="str">
        <f t="shared" si="0"/>
        <v>1grams</v>
      </c>
      <c r="M74" s="54">
        <f t="shared" si="1"/>
        <v>30</v>
      </c>
      <c r="N74" s="55" t="str">
        <f t="shared" si="2"/>
        <v>30 grams</v>
      </c>
      <c r="O74" s="56">
        <f t="shared" si="3"/>
        <v>570</v>
      </c>
      <c r="P74" s="44">
        <f t="shared" si="4"/>
        <v>19</v>
      </c>
      <c r="Q74" s="44">
        <f t="shared" si="5"/>
        <v>0</v>
      </c>
      <c r="R74" s="32"/>
      <c r="S74" s="32"/>
      <c r="T74" s="32"/>
      <c r="U74" s="32"/>
      <c r="V74" s="32"/>
      <c r="W74" s="32"/>
      <c r="X74" s="32"/>
      <c r="Y74" s="32"/>
      <c r="Z74" s="32"/>
    </row>
    <row r="75" spans="1:26" ht="15" customHeight="1" x14ac:dyDescent="0.3">
      <c r="A75" s="45">
        <v>65</v>
      </c>
      <c r="B75" s="97" t="s">
        <v>157</v>
      </c>
      <c r="C75" s="46"/>
      <c r="D75" s="98"/>
      <c r="E75" s="80" t="s">
        <v>130</v>
      </c>
      <c r="F75" s="99"/>
      <c r="G75" s="79">
        <v>8.9700000000000006</v>
      </c>
      <c r="H75" s="71">
        <v>275</v>
      </c>
      <c r="I75" s="71">
        <v>1</v>
      </c>
      <c r="J75" s="71" t="s">
        <v>92</v>
      </c>
      <c r="K75" s="52" t="s">
        <v>33</v>
      </c>
      <c r="L75" s="53" t="str">
        <f t="shared" si="0"/>
        <v>1pieces</v>
      </c>
      <c r="M75" s="54">
        <f t="shared" si="1"/>
        <v>275</v>
      </c>
      <c r="N75" s="55" t="str">
        <f t="shared" si="2"/>
        <v>275 pieces</v>
      </c>
      <c r="O75" s="56">
        <f t="shared" si="3"/>
        <v>2466.75</v>
      </c>
      <c r="P75" s="44">
        <f t="shared" si="4"/>
        <v>8.9700000000000006</v>
      </c>
      <c r="Q75" s="44">
        <f t="shared" si="5"/>
        <v>0</v>
      </c>
      <c r="R75" s="32"/>
      <c r="S75" s="32"/>
      <c r="T75" s="32"/>
      <c r="U75" s="32"/>
      <c r="V75" s="32"/>
      <c r="W75" s="32"/>
      <c r="X75" s="32"/>
      <c r="Y75" s="32"/>
      <c r="Z75" s="32"/>
    </row>
    <row r="76" spans="1:26" ht="15" customHeight="1" x14ac:dyDescent="0.3">
      <c r="A76" s="45">
        <v>66</v>
      </c>
      <c r="B76" s="97" t="s">
        <v>158</v>
      </c>
      <c r="C76" s="46"/>
      <c r="D76" s="98"/>
      <c r="E76" s="80" t="s">
        <v>159</v>
      </c>
      <c r="F76" s="99"/>
      <c r="G76" s="79">
        <v>6.69</v>
      </c>
      <c r="H76" s="71">
        <v>354</v>
      </c>
      <c r="I76" s="71">
        <v>1</v>
      </c>
      <c r="J76" s="71" t="s">
        <v>92</v>
      </c>
      <c r="K76" s="52" t="s">
        <v>33</v>
      </c>
      <c r="L76" s="53" t="str">
        <f t="shared" si="0"/>
        <v>1pieces</v>
      </c>
      <c r="M76" s="54">
        <f t="shared" si="1"/>
        <v>354</v>
      </c>
      <c r="N76" s="55" t="str">
        <f t="shared" si="2"/>
        <v>354 pieces</v>
      </c>
      <c r="O76" s="56">
        <f t="shared" si="3"/>
        <v>2368.2600000000002</v>
      </c>
      <c r="P76" s="44">
        <f t="shared" si="4"/>
        <v>6.69</v>
      </c>
      <c r="Q76" s="44">
        <f t="shared" si="5"/>
        <v>0</v>
      </c>
      <c r="R76" s="32"/>
      <c r="S76" s="32"/>
      <c r="T76" s="32"/>
      <c r="U76" s="32"/>
      <c r="V76" s="32"/>
      <c r="W76" s="32"/>
      <c r="X76" s="32"/>
      <c r="Y76" s="32"/>
      <c r="Z76" s="32"/>
    </row>
    <row r="77" spans="1:26" ht="15" customHeight="1" x14ac:dyDescent="0.3">
      <c r="A77" s="45">
        <v>67</v>
      </c>
      <c r="B77" s="69" t="s">
        <v>160</v>
      </c>
      <c r="C77" s="46"/>
      <c r="D77" s="58"/>
      <c r="E77" s="78" t="s">
        <v>161</v>
      </c>
      <c r="F77" s="99"/>
      <c r="G77" s="79">
        <v>8.73</v>
      </c>
      <c r="H77" s="71">
        <v>580</v>
      </c>
      <c r="I77" s="71">
        <v>1</v>
      </c>
      <c r="J77" s="71" t="s">
        <v>92</v>
      </c>
      <c r="K77" s="52" t="s">
        <v>33</v>
      </c>
      <c r="L77" s="53" t="str">
        <f t="shared" si="0"/>
        <v>1pieces</v>
      </c>
      <c r="M77" s="54">
        <f t="shared" si="1"/>
        <v>580</v>
      </c>
      <c r="N77" s="55" t="str">
        <f t="shared" si="2"/>
        <v>580 pieces</v>
      </c>
      <c r="O77" s="56">
        <f t="shared" si="3"/>
        <v>5063.4000000000005</v>
      </c>
      <c r="P77" s="44"/>
      <c r="Q77" s="44">
        <f t="shared" si="5"/>
        <v>8.73</v>
      </c>
      <c r="R77" s="32"/>
      <c r="S77" s="32"/>
      <c r="T77" s="32"/>
      <c r="U77" s="32"/>
      <c r="V77" s="32"/>
      <c r="W77" s="32"/>
      <c r="X77" s="32"/>
      <c r="Y77" s="32"/>
      <c r="Z77" s="32"/>
    </row>
    <row r="78" spans="1:26" ht="15" customHeight="1" x14ac:dyDescent="0.3">
      <c r="A78" s="45">
        <v>68</v>
      </c>
      <c r="B78" s="57" t="s">
        <v>162</v>
      </c>
      <c r="C78" s="46"/>
      <c r="D78" s="63"/>
      <c r="E78" s="59" t="s">
        <v>163</v>
      </c>
      <c r="F78" s="99"/>
      <c r="G78" s="101">
        <v>32.299999999999997</v>
      </c>
      <c r="H78" s="102">
        <v>117</v>
      </c>
      <c r="I78" s="71">
        <v>1</v>
      </c>
      <c r="J78" s="103" t="s">
        <v>92</v>
      </c>
      <c r="K78" s="52" t="s">
        <v>33</v>
      </c>
      <c r="L78" s="53" t="str">
        <f t="shared" si="0"/>
        <v>1pieces</v>
      </c>
      <c r="M78" s="54">
        <f t="shared" si="1"/>
        <v>117</v>
      </c>
      <c r="N78" s="55" t="str">
        <f t="shared" si="2"/>
        <v>117 pieces</v>
      </c>
      <c r="O78" s="56">
        <f t="shared" si="3"/>
        <v>3779.0999999999995</v>
      </c>
      <c r="P78" s="44">
        <f t="shared" ref="P78:P170" si="6">O78/H78</f>
        <v>32.299999999999997</v>
      </c>
      <c r="Q78" s="44">
        <f t="shared" si="5"/>
        <v>0</v>
      </c>
      <c r="R78" s="32"/>
      <c r="S78" s="32"/>
      <c r="T78" s="32"/>
      <c r="U78" s="32"/>
      <c r="V78" s="32"/>
      <c r="W78" s="32"/>
      <c r="X78" s="32"/>
      <c r="Y78" s="32"/>
      <c r="Z78" s="32"/>
    </row>
    <row r="79" spans="1:26" ht="15" customHeight="1" x14ac:dyDescent="0.3">
      <c r="A79" s="45">
        <v>69</v>
      </c>
      <c r="B79" s="57" t="s">
        <v>164</v>
      </c>
      <c r="C79" s="46"/>
      <c r="D79" s="58"/>
      <c r="E79" s="59" t="s">
        <v>165</v>
      </c>
      <c r="F79" s="104"/>
      <c r="G79" s="79">
        <v>29.86</v>
      </c>
      <c r="H79" s="71">
        <v>97.92</v>
      </c>
      <c r="I79" s="71">
        <v>1</v>
      </c>
      <c r="J79" s="50" t="s">
        <v>39</v>
      </c>
      <c r="K79" s="52" t="s">
        <v>33</v>
      </c>
      <c r="L79" s="53" t="str">
        <f t="shared" si="0"/>
        <v>1grams</v>
      </c>
      <c r="M79" s="54">
        <f t="shared" si="1"/>
        <v>97.92</v>
      </c>
      <c r="N79" s="55" t="str">
        <f t="shared" si="2"/>
        <v>97.92 grams</v>
      </c>
      <c r="O79" s="56">
        <f t="shared" si="3"/>
        <v>2923.8912</v>
      </c>
      <c r="P79" s="44">
        <f t="shared" si="6"/>
        <v>29.86</v>
      </c>
      <c r="Q79" s="44">
        <f t="shared" si="5"/>
        <v>0</v>
      </c>
      <c r="R79" s="32"/>
      <c r="S79" s="32"/>
      <c r="T79" s="32"/>
      <c r="U79" s="32"/>
      <c r="V79" s="32"/>
      <c r="W79" s="32"/>
      <c r="X79" s="32"/>
      <c r="Y79" s="32"/>
      <c r="Z79" s="32"/>
    </row>
    <row r="80" spans="1:26" ht="15" customHeight="1" x14ac:dyDescent="0.3">
      <c r="A80" s="45">
        <v>70</v>
      </c>
      <c r="B80" s="57" t="s">
        <v>166</v>
      </c>
      <c r="C80" s="46"/>
      <c r="D80" s="58"/>
      <c r="E80" s="59" t="s">
        <v>167</v>
      </c>
      <c r="F80" s="104"/>
      <c r="G80" s="79">
        <v>31.1</v>
      </c>
      <c r="H80" s="71">
        <v>1</v>
      </c>
      <c r="I80" s="71">
        <v>1</v>
      </c>
      <c r="J80" s="50" t="s">
        <v>39</v>
      </c>
      <c r="K80" s="52" t="s">
        <v>33</v>
      </c>
      <c r="L80" s="53" t="str">
        <f t="shared" si="0"/>
        <v>1grams</v>
      </c>
      <c r="M80" s="54">
        <f t="shared" si="1"/>
        <v>1</v>
      </c>
      <c r="N80" s="55" t="str">
        <f t="shared" si="2"/>
        <v>1 grams</v>
      </c>
      <c r="O80" s="56">
        <f t="shared" si="3"/>
        <v>31.1</v>
      </c>
      <c r="P80" s="44">
        <f t="shared" si="6"/>
        <v>31.1</v>
      </c>
      <c r="Q80" s="62">
        <f t="shared" si="5"/>
        <v>0</v>
      </c>
      <c r="R80" s="12"/>
      <c r="S80" s="32"/>
      <c r="T80" s="32"/>
      <c r="U80" s="32"/>
      <c r="V80" s="32"/>
      <c r="W80" s="32"/>
      <c r="X80" s="32"/>
      <c r="Y80" s="32"/>
      <c r="Z80" s="32"/>
    </row>
    <row r="81" spans="1:26" ht="15" customHeight="1" x14ac:dyDescent="0.3">
      <c r="A81" s="45">
        <v>71</v>
      </c>
      <c r="B81" s="88" t="s">
        <v>168</v>
      </c>
      <c r="C81" s="46"/>
      <c r="D81" s="58"/>
      <c r="E81" s="59" t="s">
        <v>169</v>
      </c>
      <c r="F81" s="104"/>
      <c r="G81" s="79">
        <v>57.61</v>
      </c>
      <c r="H81" s="71">
        <v>23.204999999999998</v>
      </c>
      <c r="I81" s="71"/>
      <c r="J81" s="50" t="s">
        <v>170</v>
      </c>
      <c r="K81" s="52" t="s">
        <v>33</v>
      </c>
      <c r="L81" s="53" t="str">
        <f t="shared" si="0"/>
        <v>Drained Weight grams</v>
      </c>
      <c r="M81" s="54">
        <f t="shared" si="1"/>
        <v>0</v>
      </c>
      <c r="N81" s="55" t="str">
        <f t="shared" si="2"/>
        <v>0 Drained Weight grams</v>
      </c>
      <c r="O81" s="56">
        <f t="shared" si="3"/>
        <v>1336.8400499999998</v>
      </c>
      <c r="P81" s="44">
        <f t="shared" si="6"/>
        <v>57.609999999999992</v>
      </c>
      <c r="Q81" s="62">
        <f t="shared" si="5"/>
        <v>0</v>
      </c>
      <c r="R81" s="12"/>
      <c r="S81" s="32"/>
      <c r="T81" s="32"/>
      <c r="U81" s="32"/>
      <c r="V81" s="32"/>
      <c r="W81" s="32"/>
      <c r="X81" s="32"/>
      <c r="Y81" s="32"/>
      <c r="Z81" s="32"/>
    </row>
    <row r="82" spans="1:26" ht="15" customHeight="1" x14ac:dyDescent="0.3">
      <c r="A82" s="45">
        <v>72</v>
      </c>
      <c r="B82" s="57" t="s">
        <v>171</v>
      </c>
      <c r="C82" s="46"/>
      <c r="D82" s="58"/>
      <c r="E82" s="59" t="s">
        <v>172</v>
      </c>
      <c r="F82" s="104"/>
      <c r="G82" s="49">
        <v>55.05</v>
      </c>
      <c r="H82" s="50">
        <v>8</v>
      </c>
      <c r="I82" s="50">
        <v>1</v>
      </c>
      <c r="J82" s="105" t="s">
        <v>39</v>
      </c>
      <c r="K82" s="52" t="s">
        <v>33</v>
      </c>
      <c r="L82" s="53" t="str">
        <f t="shared" si="0"/>
        <v>1grams</v>
      </c>
      <c r="M82" s="54">
        <f t="shared" si="1"/>
        <v>8</v>
      </c>
      <c r="N82" s="55" t="str">
        <f t="shared" si="2"/>
        <v>8 grams</v>
      </c>
      <c r="O82" s="56">
        <f t="shared" si="3"/>
        <v>440.4</v>
      </c>
      <c r="P82" s="44">
        <f t="shared" si="6"/>
        <v>55.05</v>
      </c>
      <c r="Q82" s="44">
        <f t="shared" si="5"/>
        <v>0</v>
      </c>
      <c r="R82" s="32"/>
      <c r="S82" s="32"/>
      <c r="T82" s="32"/>
      <c r="U82" s="32"/>
      <c r="V82" s="32"/>
      <c r="W82" s="32"/>
      <c r="X82" s="32"/>
      <c r="Y82" s="32"/>
      <c r="Z82" s="32"/>
    </row>
    <row r="83" spans="1:26" ht="15" customHeight="1" x14ac:dyDescent="0.3">
      <c r="A83" s="45">
        <v>73</v>
      </c>
      <c r="B83" s="57" t="s">
        <v>173</v>
      </c>
      <c r="C83" s="46"/>
      <c r="D83" s="58"/>
      <c r="E83" s="59" t="s">
        <v>174</v>
      </c>
      <c r="F83" s="104"/>
      <c r="G83" s="49">
        <v>43</v>
      </c>
      <c r="H83" s="50">
        <v>17</v>
      </c>
      <c r="I83" s="50">
        <v>1</v>
      </c>
      <c r="J83" s="105" t="s">
        <v>39</v>
      </c>
      <c r="K83" s="52" t="s">
        <v>33</v>
      </c>
      <c r="L83" s="53" t="str">
        <f t="shared" si="0"/>
        <v>1grams</v>
      </c>
      <c r="M83" s="54">
        <f t="shared" si="1"/>
        <v>17</v>
      </c>
      <c r="N83" s="55" t="str">
        <f t="shared" si="2"/>
        <v>17 grams</v>
      </c>
      <c r="O83" s="56">
        <f t="shared" si="3"/>
        <v>731</v>
      </c>
      <c r="P83" s="44">
        <f t="shared" si="6"/>
        <v>43</v>
      </c>
      <c r="Q83" s="66">
        <f t="shared" si="5"/>
        <v>0</v>
      </c>
      <c r="R83" s="32"/>
      <c r="S83" s="32"/>
      <c r="T83" s="32"/>
      <c r="U83" s="32"/>
      <c r="V83" s="32"/>
      <c r="W83" s="32"/>
      <c r="X83" s="32"/>
      <c r="Y83" s="32"/>
      <c r="Z83" s="32"/>
    </row>
    <row r="84" spans="1:26" ht="15" customHeight="1" x14ac:dyDescent="0.3">
      <c r="A84" s="45">
        <v>74</v>
      </c>
      <c r="B84" s="57" t="s">
        <v>175</v>
      </c>
      <c r="C84" s="46"/>
      <c r="D84" s="58"/>
      <c r="E84" s="59" t="s">
        <v>176</v>
      </c>
      <c r="F84" s="104"/>
      <c r="G84" s="49">
        <v>253.33</v>
      </c>
      <c r="H84" s="50">
        <v>2</v>
      </c>
      <c r="I84" s="50">
        <v>1</v>
      </c>
      <c r="J84" s="105" t="s">
        <v>39</v>
      </c>
      <c r="K84" s="52" t="s">
        <v>33</v>
      </c>
      <c r="L84" s="53" t="str">
        <f t="shared" si="0"/>
        <v>1grams</v>
      </c>
      <c r="M84" s="54">
        <f t="shared" si="1"/>
        <v>2</v>
      </c>
      <c r="N84" s="55" t="str">
        <f t="shared" si="2"/>
        <v>2 grams</v>
      </c>
      <c r="O84" s="56">
        <f t="shared" si="3"/>
        <v>506.66</v>
      </c>
      <c r="P84" s="44">
        <f t="shared" si="6"/>
        <v>253.33</v>
      </c>
      <c r="Q84" s="62">
        <f t="shared" si="5"/>
        <v>0</v>
      </c>
      <c r="R84" s="12"/>
      <c r="S84" s="32"/>
      <c r="T84" s="32"/>
      <c r="U84" s="32"/>
      <c r="V84" s="32"/>
      <c r="W84" s="32"/>
      <c r="X84" s="32"/>
      <c r="Y84" s="32"/>
      <c r="Z84" s="32"/>
    </row>
    <row r="85" spans="1:26" ht="15" customHeight="1" x14ac:dyDescent="0.3">
      <c r="A85" s="45">
        <v>75</v>
      </c>
      <c r="B85" s="88" t="s">
        <v>177</v>
      </c>
      <c r="C85" s="46"/>
      <c r="D85" s="58"/>
      <c r="E85" s="48" t="s">
        <v>178</v>
      </c>
      <c r="F85" s="104"/>
      <c r="G85" s="49">
        <v>47.2</v>
      </c>
      <c r="H85" s="50">
        <v>1</v>
      </c>
      <c r="I85" s="50">
        <v>1</v>
      </c>
      <c r="J85" s="105" t="s">
        <v>179</v>
      </c>
      <c r="K85" s="52" t="s">
        <v>33</v>
      </c>
      <c r="L85" s="53" t="str">
        <f t="shared" si="0"/>
        <v>1Drained weight grams</v>
      </c>
      <c r="M85" s="54">
        <f t="shared" si="1"/>
        <v>1</v>
      </c>
      <c r="N85" s="55" t="str">
        <f t="shared" si="2"/>
        <v>1 Drained weight grams</v>
      </c>
      <c r="O85" s="56">
        <f t="shared" si="3"/>
        <v>47.2</v>
      </c>
      <c r="P85" s="44">
        <f t="shared" si="6"/>
        <v>47.2</v>
      </c>
      <c r="Q85" s="66">
        <f t="shared" si="5"/>
        <v>0</v>
      </c>
      <c r="R85" s="32"/>
      <c r="S85" s="32"/>
      <c r="T85" s="32"/>
      <c r="U85" s="32"/>
      <c r="V85" s="32"/>
      <c r="W85" s="32"/>
      <c r="X85" s="32"/>
      <c r="Y85" s="32"/>
      <c r="Z85" s="32"/>
    </row>
    <row r="86" spans="1:26" ht="15" customHeight="1" x14ac:dyDescent="0.3">
      <c r="A86" s="45">
        <v>76</v>
      </c>
      <c r="B86" s="106" t="s">
        <v>180</v>
      </c>
      <c r="C86" s="46"/>
      <c r="D86" s="58"/>
      <c r="E86" s="59" t="s">
        <v>181</v>
      </c>
      <c r="F86" s="104"/>
      <c r="G86" s="107">
        <v>166.43</v>
      </c>
      <c r="H86" s="50">
        <v>29</v>
      </c>
      <c r="I86" s="71">
        <v>1</v>
      </c>
      <c r="J86" s="51" t="s">
        <v>39</v>
      </c>
      <c r="K86" s="52" t="s">
        <v>33</v>
      </c>
      <c r="L86" s="53" t="str">
        <f t="shared" si="0"/>
        <v>1grams</v>
      </c>
      <c r="M86" s="54">
        <f t="shared" si="1"/>
        <v>29</v>
      </c>
      <c r="N86" s="55" t="str">
        <f t="shared" si="2"/>
        <v>29 grams</v>
      </c>
      <c r="O86" s="56">
        <f t="shared" si="3"/>
        <v>4826.47</v>
      </c>
      <c r="P86" s="44">
        <f t="shared" si="6"/>
        <v>166.43</v>
      </c>
      <c r="Q86" s="44">
        <f t="shared" si="5"/>
        <v>0</v>
      </c>
      <c r="R86" s="32"/>
      <c r="S86" s="32"/>
      <c r="T86" s="32"/>
      <c r="U86" s="32"/>
      <c r="V86" s="32"/>
      <c r="W86" s="32"/>
      <c r="X86" s="32"/>
      <c r="Y86" s="32"/>
      <c r="Z86" s="32"/>
    </row>
    <row r="87" spans="1:26" ht="15" customHeight="1" x14ac:dyDescent="0.3">
      <c r="A87" s="45">
        <v>77</v>
      </c>
      <c r="B87" s="46" t="s">
        <v>182</v>
      </c>
      <c r="C87" s="46"/>
      <c r="D87" s="108"/>
      <c r="E87" s="48" t="s">
        <v>183</v>
      </c>
      <c r="F87" s="104"/>
      <c r="G87" s="107">
        <v>42</v>
      </c>
      <c r="H87" s="50">
        <v>22.47</v>
      </c>
      <c r="I87" s="71">
        <v>1</v>
      </c>
      <c r="J87" s="51" t="s">
        <v>39</v>
      </c>
      <c r="K87" s="52" t="s">
        <v>33</v>
      </c>
      <c r="L87" s="53" t="str">
        <f t="shared" si="0"/>
        <v>1grams</v>
      </c>
      <c r="M87" s="54">
        <f t="shared" si="1"/>
        <v>22.47</v>
      </c>
      <c r="N87" s="55" t="str">
        <f t="shared" si="2"/>
        <v>22.47 grams</v>
      </c>
      <c r="O87" s="56">
        <f t="shared" si="3"/>
        <v>943.74</v>
      </c>
      <c r="P87" s="44">
        <f t="shared" si="6"/>
        <v>42</v>
      </c>
      <c r="Q87" s="62">
        <f t="shared" si="5"/>
        <v>0</v>
      </c>
      <c r="R87" s="12"/>
      <c r="S87" s="32"/>
      <c r="T87" s="32"/>
      <c r="U87" s="32"/>
      <c r="V87" s="32"/>
      <c r="W87" s="32"/>
      <c r="X87" s="32"/>
      <c r="Y87" s="32"/>
      <c r="Z87" s="32"/>
    </row>
    <row r="88" spans="1:26" ht="15" customHeight="1" x14ac:dyDescent="0.3">
      <c r="A88" s="45">
        <v>78</v>
      </c>
      <c r="B88" s="88" t="s">
        <v>184</v>
      </c>
      <c r="C88" s="46"/>
      <c r="D88" s="108"/>
      <c r="E88" s="59" t="s">
        <v>185</v>
      </c>
      <c r="F88" s="104"/>
      <c r="G88" s="79">
        <v>22.82</v>
      </c>
      <c r="H88" s="71">
        <v>12</v>
      </c>
      <c r="I88" s="71">
        <v>1</v>
      </c>
      <c r="J88" s="51" t="s">
        <v>39</v>
      </c>
      <c r="K88" s="52" t="s">
        <v>33</v>
      </c>
      <c r="L88" s="53" t="str">
        <f t="shared" si="0"/>
        <v>1grams</v>
      </c>
      <c r="M88" s="54">
        <f t="shared" si="1"/>
        <v>12</v>
      </c>
      <c r="N88" s="55" t="str">
        <f t="shared" si="2"/>
        <v>12 grams</v>
      </c>
      <c r="O88" s="56">
        <f t="shared" si="3"/>
        <v>273.84000000000003</v>
      </c>
      <c r="P88" s="44">
        <f t="shared" si="6"/>
        <v>22.820000000000004</v>
      </c>
      <c r="Q88" s="66">
        <f t="shared" si="5"/>
        <v>0</v>
      </c>
      <c r="R88" s="32"/>
      <c r="S88" s="32"/>
      <c r="T88" s="32"/>
      <c r="U88" s="32"/>
      <c r="V88" s="32"/>
      <c r="W88" s="32"/>
      <c r="X88" s="32"/>
      <c r="Y88" s="32"/>
      <c r="Z88" s="32"/>
    </row>
    <row r="89" spans="1:26" ht="15" customHeight="1" x14ac:dyDescent="0.3">
      <c r="A89" s="45">
        <v>79</v>
      </c>
      <c r="B89" s="69" t="s">
        <v>186</v>
      </c>
      <c r="C89" s="46"/>
      <c r="D89" s="108"/>
      <c r="E89" s="78" t="s">
        <v>187</v>
      </c>
      <c r="F89" s="104"/>
      <c r="G89" s="79">
        <v>79</v>
      </c>
      <c r="H89" s="71">
        <v>37.381999999999998</v>
      </c>
      <c r="I89" s="71">
        <v>1</v>
      </c>
      <c r="J89" s="51" t="s">
        <v>39</v>
      </c>
      <c r="K89" s="52" t="s">
        <v>33</v>
      </c>
      <c r="L89" s="53" t="str">
        <f t="shared" si="0"/>
        <v>1grams</v>
      </c>
      <c r="M89" s="54">
        <f t="shared" si="1"/>
        <v>37.381999999999998</v>
      </c>
      <c r="N89" s="55" t="str">
        <f t="shared" si="2"/>
        <v>37.382 grams</v>
      </c>
      <c r="O89" s="56">
        <f t="shared" si="3"/>
        <v>2953.1779999999999</v>
      </c>
      <c r="P89" s="44">
        <f t="shared" si="6"/>
        <v>79</v>
      </c>
      <c r="Q89" s="66">
        <f t="shared" si="5"/>
        <v>0</v>
      </c>
      <c r="R89" s="32"/>
      <c r="S89" s="32"/>
      <c r="T89" s="32"/>
      <c r="U89" s="32"/>
      <c r="V89" s="32"/>
      <c r="W89" s="32"/>
      <c r="X89" s="32"/>
      <c r="Y89" s="32"/>
      <c r="Z89" s="32"/>
    </row>
    <row r="90" spans="1:26" ht="15" customHeight="1" x14ac:dyDescent="0.3">
      <c r="A90" s="45">
        <v>80</v>
      </c>
      <c r="B90" s="69" t="s">
        <v>188</v>
      </c>
      <c r="C90" s="46"/>
      <c r="D90" s="108"/>
      <c r="E90" s="78" t="s">
        <v>189</v>
      </c>
      <c r="F90" s="104"/>
      <c r="G90" s="79">
        <v>71.09</v>
      </c>
      <c r="H90" s="71">
        <v>80</v>
      </c>
      <c r="I90" s="71">
        <v>1</v>
      </c>
      <c r="J90" s="51" t="s">
        <v>39</v>
      </c>
      <c r="K90" s="52" t="s">
        <v>33</v>
      </c>
      <c r="L90" s="53" t="str">
        <f t="shared" si="0"/>
        <v>1grams</v>
      </c>
      <c r="M90" s="54">
        <f t="shared" si="1"/>
        <v>80</v>
      </c>
      <c r="N90" s="55" t="str">
        <f t="shared" si="2"/>
        <v>80 grams</v>
      </c>
      <c r="O90" s="56">
        <f t="shared" si="3"/>
        <v>5687.2000000000007</v>
      </c>
      <c r="P90" s="44">
        <f t="shared" si="6"/>
        <v>71.09</v>
      </c>
      <c r="Q90" s="66">
        <f t="shared" si="5"/>
        <v>0</v>
      </c>
      <c r="R90" s="32"/>
      <c r="S90" s="32"/>
      <c r="T90" s="32"/>
      <c r="U90" s="32"/>
      <c r="V90" s="32"/>
      <c r="W90" s="32"/>
      <c r="X90" s="32"/>
      <c r="Y90" s="32"/>
      <c r="Z90" s="32"/>
    </row>
    <row r="91" spans="1:26" ht="15" customHeight="1" x14ac:dyDescent="0.3">
      <c r="A91" s="45">
        <v>81</v>
      </c>
      <c r="B91" s="69" t="s">
        <v>190</v>
      </c>
      <c r="C91" s="46"/>
      <c r="D91" s="108"/>
      <c r="E91" s="78" t="s">
        <v>191</v>
      </c>
      <c r="F91" s="104"/>
      <c r="G91" s="79">
        <v>27.3</v>
      </c>
      <c r="H91" s="71">
        <v>12</v>
      </c>
      <c r="I91" s="71">
        <v>1</v>
      </c>
      <c r="J91" s="51" t="s">
        <v>39</v>
      </c>
      <c r="K91" s="52" t="s">
        <v>33</v>
      </c>
      <c r="L91" s="53" t="str">
        <f t="shared" si="0"/>
        <v>1grams</v>
      </c>
      <c r="M91" s="54">
        <f t="shared" si="1"/>
        <v>12</v>
      </c>
      <c r="N91" s="55" t="str">
        <f t="shared" si="2"/>
        <v>12 grams</v>
      </c>
      <c r="O91" s="56">
        <f t="shared" si="3"/>
        <v>327.60000000000002</v>
      </c>
      <c r="P91" s="44">
        <f t="shared" si="6"/>
        <v>27.3</v>
      </c>
      <c r="Q91" s="66">
        <f t="shared" si="5"/>
        <v>0</v>
      </c>
      <c r="R91" s="32"/>
      <c r="S91" s="32"/>
      <c r="T91" s="32"/>
      <c r="U91" s="32"/>
      <c r="V91" s="32"/>
      <c r="W91" s="32"/>
      <c r="X91" s="32"/>
      <c r="Y91" s="32"/>
      <c r="Z91" s="32"/>
    </row>
    <row r="92" spans="1:26" ht="15" customHeight="1" x14ac:dyDescent="0.3">
      <c r="A92" s="45">
        <v>82</v>
      </c>
      <c r="B92" s="109" t="s">
        <v>192</v>
      </c>
      <c r="C92" s="46"/>
      <c r="D92" s="108"/>
      <c r="E92" s="78" t="s">
        <v>193</v>
      </c>
      <c r="F92" s="104"/>
      <c r="G92" s="79">
        <v>59.8</v>
      </c>
      <c r="H92" s="71">
        <v>1</v>
      </c>
      <c r="I92" s="71">
        <v>1</v>
      </c>
      <c r="J92" s="51" t="s">
        <v>39</v>
      </c>
      <c r="K92" s="52" t="s">
        <v>33</v>
      </c>
      <c r="L92" s="53" t="str">
        <f t="shared" si="0"/>
        <v>1grams</v>
      </c>
      <c r="M92" s="54">
        <f t="shared" si="1"/>
        <v>1</v>
      </c>
      <c r="N92" s="55" t="str">
        <f t="shared" si="2"/>
        <v>1 grams</v>
      </c>
      <c r="O92" s="56">
        <f t="shared" si="3"/>
        <v>59.8</v>
      </c>
      <c r="P92" s="44">
        <f t="shared" si="6"/>
        <v>59.8</v>
      </c>
      <c r="Q92" s="66">
        <f t="shared" si="5"/>
        <v>0</v>
      </c>
      <c r="R92" s="32"/>
      <c r="S92" s="32"/>
      <c r="T92" s="32"/>
      <c r="U92" s="32"/>
      <c r="V92" s="32"/>
      <c r="W92" s="32"/>
      <c r="X92" s="32"/>
      <c r="Y92" s="32"/>
      <c r="Z92" s="32"/>
    </row>
    <row r="93" spans="1:26" ht="15" customHeight="1" x14ac:dyDescent="0.3">
      <c r="A93" s="45">
        <v>83</v>
      </c>
      <c r="B93" s="97" t="s">
        <v>194</v>
      </c>
      <c r="C93" s="46"/>
      <c r="D93" s="108"/>
      <c r="E93" s="78" t="s">
        <v>195</v>
      </c>
      <c r="F93" s="104"/>
      <c r="G93" s="60">
        <v>58.25</v>
      </c>
      <c r="H93" s="61">
        <v>72</v>
      </c>
      <c r="I93" s="100">
        <v>1</v>
      </c>
      <c r="J93" s="50" t="s">
        <v>39</v>
      </c>
      <c r="K93" s="52" t="s">
        <v>33</v>
      </c>
      <c r="L93" s="53" t="str">
        <f t="shared" si="0"/>
        <v>1grams</v>
      </c>
      <c r="M93" s="54">
        <f t="shared" si="1"/>
        <v>72</v>
      </c>
      <c r="N93" s="55" t="str">
        <f t="shared" si="2"/>
        <v>72 grams</v>
      </c>
      <c r="O93" s="56">
        <f t="shared" si="3"/>
        <v>4194</v>
      </c>
      <c r="P93" s="44">
        <f t="shared" si="6"/>
        <v>58.25</v>
      </c>
      <c r="Q93" s="66">
        <f t="shared" si="5"/>
        <v>0</v>
      </c>
      <c r="R93" s="32"/>
      <c r="S93" s="32"/>
      <c r="T93" s="32"/>
      <c r="U93" s="32"/>
      <c r="V93" s="32"/>
      <c r="W93" s="32"/>
      <c r="X93" s="32"/>
      <c r="Y93" s="32"/>
      <c r="Z93" s="32"/>
    </row>
    <row r="94" spans="1:26" ht="15" customHeight="1" x14ac:dyDescent="0.3">
      <c r="A94" s="45">
        <v>84</v>
      </c>
      <c r="B94" s="109" t="s">
        <v>196</v>
      </c>
      <c r="C94" s="46"/>
      <c r="D94" s="98"/>
      <c r="E94" s="78" t="s">
        <v>197</v>
      </c>
      <c r="F94" s="104"/>
      <c r="G94" s="79">
        <v>49.92</v>
      </c>
      <c r="H94" s="71">
        <v>19</v>
      </c>
      <c r="I94" s="71">
        <v>1</v>
      </c>
      <c r="J94" s="51" t="s">
        <v>170</v>
      </c>
      <c r="K94" s="52" t="s">
        <v>33</v>
      </c>
      <c r="L94" s="53" t="str">
        <f t="shared" si="0"/>
        <v>1Drained Weight grams</v>
      </c>
      <c r="M94" s="54">
        <f t="shared" si="1"/>
        <v>19</v>
      </c>
      <c r="N94" s="55" t="str">
        <f t="shared" si="2"/>
        <v>19 Drained Weight grams</v>
      </c>
      <c r="O94" s="56">
        <f t="shared" si="3"/>
        <v>948.48</v>
      </c>
      <c r="P94" s="44">
        <f t="shared" si="6"/>
        <v>49.92</v>
      </c>
      <c r="Q94" s="66">
        <f t="shared" si="5"/>
        <v>0</v>
      </c>
      <c r="R94" s="32"/>
      <c r="S94" s="32"/>
      <c r="T94" s="32"/>
      <c r="U94" s="32"/>
      <c r="V94" s="32"/>
      <c r="W94" s="32"/>
      <c r="X94" s="32"/>
      <c r="Y94" s="32"/>
      <c r="Z94" s="32"/>
    </row>
    <row r="95" spans="1:26" ht="15" customHeight="1" x14ac:dyDescent="0.3">
      <c r="A95" s="45">
        <v>85</v>
      </c>
      <c r="B95" s="97" t="s">
        <v>198</v>
      </c>
      <c r="C95" s="46"/>
      <c r="D95" s="63"/>
      <c r="E95" s="78" t="s">
        <v>199</v>
      </c>
      <c r="F95" s="104"/>
      <c r="G95" s="79">
        <v>309</v>
      </c>
      <c r="H95" s="71">
        <v>16</v>
      </c>
      <c r="I95" s="71">
        <v>1</v>
      </c>
      <c r="J95" s="51" t="s">
        <v>200</v>
      </c>
      <c r="K95" s="52" t="s">
        <v>33</v>
      </c>
      <c r="L95" s="53" t="str">
        <f t="shared" si="0"/>
        <v>1gal</v>
      </c>
      <c r="M95" s="54">
        <f t="shared" si="1"/>
        <v>16</v>
      </c>
      <c r="N95" s="55" t="str">
        <f t="shared" si="2"/>
        <v>16 gal</v>
      </c>
      <c r="O95" s="56">
        <f t="shared" si="3"/>
        <v>4944</v>
      </c>
      <c r="P95" s="44">
        <f t="shared" si="6"/>
        <v>309</v>
      </c>
      <c r="Q95" s="66">
        <f t="shared" si="5"/>
        <v>0</v>
      </c>
      <c r="R95" s="32"/>
      <c r="S95" s="32"/>
      <c r="T95" s="32"/>
      <c r="U95" s="32"/>
      <c r="V95" s="32"/>
      <c r="W95" s="32"/>
      <c r="X95" s="32"/>
      <c r="Y95" s="32"/>
      <c r="Z95" s="32"/>
    </row>
    <row r="96" spans="1:26" ht="15" customHeight="1" x14ac:dyDescent="0.3">
      <c r="A96" s="45">
        <v>86</v>
      </c>
      <c r="B96" s="69" t="s">
        <v>201</v>
      </c>
      <c r="C96" s="46"/>
      <c r="D96" s="63"/>
      <c r="E96" s="78" t="s">
        <v>202</v>
      </c>
      <c r="F96" s="104"/>
      <c r="G96" s="79">
        <v>49</v>
      </c>
      <c r="H96" s="71">
        <v>20</v>
      </c>
      <c r="I96" s="71">
        <v>1</v>
      </c>
      <c r="J96" s="51" t="s">
        <v>92</v>
      </c>
      <c r="K96" s="52" t="s">
        <v>33</v>
      </c>
      <c r="L96" s="53" t="str">
        <f t="shared" si="0"/>
        <v>1pieces</v>
      </c>
      <c r="M96" s="54">
        <f t="shared" si="1"/>
        <v>20</v>
      </c>
      <c r="N96" s="55" t="str">
        <f t="shared" si="2"/>
        <v>20 pieces</v>
      </c>
      <c r="O96" s="56">
        <f t="shared" si="3"/>
        <v>980</v>
      </c>
      <c r="P96" s="44">
        <f t="shared" si="6"/>
        <v>49</v>
      </c>
      <c r="Q96" s="66">
        <f t="shared" si="5"/>
        <v>0</v>
      </c>
      <c r="R96" s="32"/>
      <c r="S96" s="32"/>
      <c r="T96" s="32"/>
      <c r="U96" s="32"/>
      <c r="V96" s="32"/>
      <c r="W96" s="32"/>
      <c r="X96" s="32"/>
      <c r="Y96" s="32"/>
      <c r="Z96" s="32"/>
    </row>
    <row r="97" spans="1:26" ht="15" customHeight="1" x14ac:dyDescent="0.3">
      <c r="A97" s="45">
        <v>87</v>
      </c>
      <c r="B97" s="69" t="s">
        <v>203</v>
      </c>
      <c r="C97" s="46"/>
      <c r="D97" s="63"/>
      <c r="E97" s="78" t="s">
        <v>204</v>
      </c>
      <c r="F97" s="104"/>
      <c r="G97" s="79">
        <v>77</v>
      </c>
      <c r="H97" s="71">
        <v>6</v>
      </c>
      <c r="I97" s="71">
        <v>1</v>
      </c>
      <c r="J97" s="51" t="s">
        <v>92</v>
      </c>
      <c r="K97" s="52" t="s">
        <v>33</v>
      </c>
      <c r="L97" s="53" t="str">
        <f t="shared" si="0"/>
        <v>1pieces</v>
      </c>
      <c r="M97" s="54">
        <f t="shared" si="1"/>
        <v>6</v>
      </c>
      <c r="N97" s="55" t="str">
        <f t="shared" si="2"/>
        <v>6 pieces</v>
      </c>
      <c r="O97" s="56">
        <f t="shared" si="3"/>
        <v>462</v>
      </c>
      <c r="P97" s="44">
        <f t="shared" si="6"/>
        <v>77</v>
      </c>
      <c r="Q97" s="66">
        <f t="shared" si="5"/>
        <v>0</v>
      </c>
      <c r="R97" s="32"/>
      <c r="S97" s="32"/>
      <c r="T97" s="32"/>
      <c r="U97" s="32"/>
      <c r="V97" s="32"/>
      <c r="W97" s="32"/>
      <c r="X97" s="32"/>
      <c r="Y97" s="32"/>
      <c r="Z97" s="32"/>
    </row>
    <row r="98" spans="1:26" ht="15" customHeight="1" x14ac:dyDescent="0.3">
      <c r="A98" s="45">
        <v>88</v>
      </c>
      <c r="B98" s="96" t="s">
        <v>205</v>
      </c>
      <c r="C98" s="46"/>
      <c r="D98" s="63"/>
      <c r="E98" s="80" t="s">
        <v>206</v>
      </c>
      <c r="F98" s="104"/>
      <c r="G98" s="79">
        <v>34</v>
      </c>
      <c r="H98" s="71">
        <v>3</v>
      </c>
      <c r="I98" s="71">
        <v>1</v>
      </c>
      <c r="J98" s="51" t="s">
        <v>92</v>
      </c>
      <c r="K98" s="52" t="s">
        <v>33</v>
      </c>
      <c r="L98" s="53" t="str">
        <f t="shared" si="0"/>
        <v>1pieces</v>
      </c>
      <c r="M98" s="54">
        <f t="shared" si="1"/>
        <v>3</v>
      </c>
      <c r="N98" s="55" t="str">
        <f t="shared" si="2"/>
        <v>3 pieces</v>
      </c>
      <c r="O98" s="56">
        <f t="shared" si="3"/>
        <v>102</v>
      </c>
      <c r="P98" s="44">
        <f t="shared" si="6"/>
        <v>34</v>
      </c>
      <c r="Q98" s="66">
        <f t="shared" si="5"/>
        <v>0</v>
      </c>
      <c r="R98" s="32"/>
      <c r="S98" s="32"/>
      <c r="T98" s="32"/>
      <c r="U98" s="32"/>
      <c r="V98" s="32"/>
      <c r="W98" s="32"/>
      <c r="X98" s="32"/>
      <c r="Y98" s="32"/>
      <c r="Z98" s="32"/>
    </row>
    <row r="99" spans="1:26" ht="15" customHeight="1" x14ac:dyDescent="0.3">
      <c r="A99" s="45">
        <v>89</v>
      </c>
      <c r="B99" s="88" t="s">
        <v>207</v>
      </c>
      <c r="C99" s="46"/>
      <c r="D99" s="63"/>
      <c r="E99" s="48" t="s">
        <v>206</v>
      </c>
      <c r="F99" s="104"/>
      <c r="G99" s="101">
        <v>34</v>
      </c>
      <c r="H99" s="71">
        <v>4</v>
      </c>
      <c r="I99" s="71">
        <v>1</v>
      </c>
      <c r="J99" s="51" t="s">
        <v>92</v>
      </c>
      <c r="K99" s="52" t="s">
        <v>33</v>
      </c>
      <c r="L99" s="53" t="str">
        <f t="shared" si="0"/>
        <v>1pieces</v>
      </c>
      <c r="M99" s="54">
        <f t="shared" si="1"/>
        <v>4</v>
      </c>
      <c r="N99" s="55" t="str">
        <f t="shared" si="2"/>
        <v>4 pieces</v>
      </c>
      <c r="O99" s="56">
        <f t="shared" si="3"/>
        <v>136</v>
      </c>
      <c r="P99" s="44">
        <f t="shared" si="6"/>
        <v>34</v>
      </c>
      <c r="Q99" s="66">
        <f t="shared" si="5"/>
        <v>0</v>
      </c>
      <c r="R99" s="32"/>
      <c r="S99" s="32"/>
      <c r="T99" s="32"/>
      <c r="U99" s="32"/>
      <c r="V99" s="32"/>
      <c r="W99" s="32"/>
      <c r="X99" s="32"/>
      <c r="Y99" s="32"/>
      <c r="Z99" s="32"/>
    </row>
    <row r="100" spans="1:26" ht="15" customHeight="1" x14ac:dyDescent="0.3">
      <c r="A100" s="45">
        <v>90</v>
      </c>
      <c r="B100" s="88" t="s">
        <v>208</v>
      </c>
      <c r="C100" s="46"/>
      <c r="D100" s="58"/>
      <c r="E100" s="48" t="s">
        <v>209</v>
      </c>
      <c r="F100" s="104"/>
      <c r="G100" s="79">
        <v>65</v>
      </c>
      <c r="H100" s="71">
        <v>30</v>
      </c>
      <c r="I100" s="71">
        <v>1</v>
      </c>
      <c r="J100" s="71" t="s">
        <v>210</v>
      </c>
      <c r="K100" s="52" t="s">
        <v>33</v>
      </c>
      <c r="L100" s="53" t="str">
        <f t="shared" si="0"/>
        <v>1roll</v>
      </c>
      <c r="M100" s="54">
        <f t="shared" si="1"/>
        <v>30</v>
      </c>
      <c r="N100" s="55" t="str">
        <f t="shared" si="2"/>
        <v>30 roll</v>
      </c>
      <c r="O100" s="56">
        <f t="shared" si="3"/>
        <v>1950</v>
      </c>
      <c r="P100" s="44">
        <f t="shared" si="6"/>
        <v>65</v>
      </c>
      <c r="Q100" s="66">
        <f t="shared" si="5"/>
        <v>0</v>
      </c>
      <c r="R100" s="32"/>
      <c r="S100" s="32"/>
      <c r="T100" s="32"/>
      <c r="U100" s="32"/>
      <c r="V100" s="32"/>
      <c r="W100" s="32"/>
      <c r="X100" s="32"/>
      <c r="Y100" s="32"/>
      <c r="Z100" s="32"/>
    </row>
    <row r="101" spans="1:26" ht="15" customHeight="1" x14ac:dyDescent="0.3">
      <c r="A101" s="45">
        <v>91</v>
      </c>
      <c r="B101" s="88" t="s">
        <v>211</v>
      </c>
      <c r="C101" s="46"/>
      <c r="D101" s="58"/>
      <c r="E101" s="48" t="s">
        <v>212</v>
      </c>
      <c r="F101" s="104"/>
      <c r="G101" s="79">
        <v>138</v>
      </c>
      <c r="H101" s="71">
        <v>123</v>
      </c>
      <c r="I101" s="71">
        <v>1</v>
      </c>
      <c r="J101" s="51" t="s">
        <v>213</v>
      </c>
      <c r="K101" s="52" t="s">
        <v>33</v>
      </c>
      <c r="L101" s="53" t="str">
        <f t="shared" si="0"/>
        <v>1kilos</v>
      </c>
      <c r="M101" s="54">
        <f t="shared" si="1"/>
        <v>123</v>
      </c>
      <c r="N101" s="55" t="str">
        <f t="shared" si="2"/>
        <v>123 kilos</v>
      </c>
      <c r="O101" s="56">
        <f t="shared" si="3"/>
        <v>16974</v>
      </c>
      <c r="P101" s="44">
        <f t="shared" si="6"/>
        <v>138</v>
      </c>
      <c r="Q101" s="66">
        <f t="shared" si="5"/>
        <v>0</v>
      </c>
      <c r="R101" s="32"/>
      <c r="S101" s="110"/>
      <c r="T101" s="32"/>
      <c r="U101" s="32"/>
      <c r="V101" s="32"/>
      <c r="W101" s="32"/>
      <c r="X101" s="32"/>
      <c r="Y101" s="32"/>
      <c r="Z101" s="32"/>
    </row>
    <row r="102" spans="1:26" ht="15" customHeight="1" x14ac:dyDescent="0.3">
      <c r="A102" s="45">
        <v>92</v>
      </c>
      <c r="B102" s="88" t="s">
        <v>214</v>
      </c>
      <c r="C102" s="46"/>
      <c r="D102" s="58"/>
      <c r="E102" s="48" t="s">
        <v>212</v>
      </c>
      <c r="F102" s="104"/>
      <c r="G102" s="79">
        <v>169</v>
      </c>
      <c r="H102" s="71">
        <v>58</v>
      </c>
      <c r="I102" s="71">
        <v>1</v>
      </c>
      <c r="J102" s="51" t="s">
        <v>213</v>
      </c>
      <c r="K102" s="52" t="s">
        <v>33</v>
      </c>
      <c r="L102" s="53" t="str">
        <f t="shared" si="0"/>
        <v>1kilos</v>
      </c>
      <c r="M102" s="54">
        <f t="shared" si="1"/>
        <v>58</v>
      </c>
      <c r="N102" s="55" t="str">
        <f t="shared" si="2"/>
        <v>58 kilos</v>
      </c>
      <c r="O102" s="56">
        <f t="shared" si="3"/>
        <v>9802</v>
      </c>
      <c r="P102" s="44">
        <f t="shared" si="6"/>
        <v>169</v>
      </c>
      <c r="Q102" s="66">
        <f t="shared" si="5"/>
        <v>0</v>
      </c>
      <c r="R102" s="32"/>
      <c r="S102" s="32"/>
      <c r="T102" s="32"/>
      <c r="U102" s="32"/>
      <c r="V102" s="32"/>
      <c r="W102" s="32"/>
      <c r="X102" s="32"/>
      <c r="Y102" s="32"/>
      <c r="Z102" s="32"/>
    </row>
    <row r="103" spans="1:26" ht="15" customHeight="1" x14ac:dyDescent="0.3">
      <c r="A103" s="45">
        <v>93</v>
      </c>
      <c r="B103" s="106" t="s">
        <v>215</v>
      </c>
      <c r="C103" s="46"/>
      <c r="D103" s="58"/>
      <c r="E103" s="73" t="s">
        <v>216</v>
      </c>
      <c r="F103" s="104"/>
      <c r="G103" s="79">
        <v>168</v>
      </c>
      <c r="H103" s="71">
        <v>30</v>
      </c>
      <c r="I103" s="75">
        <v>1</v>
      </c>
      <c r="J103" s="71" t="s">
        <v>213</v>
      </c>
      <c r="K103" s="52" t="s">
        <v>33</v>
      </c>
      <c r="L103" s="53" t="str">
        <f t="shared" si="0"/>
        <v>1kilos</v>
      </c>
      <c r="M103" s="54">
        <f t="shared" si="1"/>
        <v>30</v>
      </c>
      <c r="N103" s="55" t="str">
        <f t="shared" si="2"/>
        <v>30 kilos</v>
      </c>
      <c r="O103" s="56">
        <f t="shared" si="3"/>
        <v>5040</v>
      </c>
      <c r="P103" s="44">
        <f t="shared" si="6"/>
        <v>168</v>
      </c>
      <c r="Q103" s="66">
        <f t="shared" si="5"/>
        <v>0</v>
      </c>
      <c r="R103" s="32"/>
      <c r="S103" s="32"/>
      <c r="T103" s="32"/>
      <c r="U103" s="32"/>
      <c r="V103" s="32"/>
      <c r="W103" s="32"/>
      <c r="X103" s="32"/>
      <c r="Y103" s="32"/>
      <c r="Z103" s="32"/>
    </row>
    <row r="104" spans="1:26" ht="15" customHeight="1" x14ac:dyDescent="0.3">
      <c r="A104" s="45">
        <v>94</v>
      </c>
      <c r="B104" s="111" t="s">
        <v>217</v>
      </c>
      <c r="C104" s="46"/>
      <c r="D104" s="58"/>
      <c r="E104" s="48" t="s">
        <v>218</v>
      </c>
      <c r="F104" s="104"/>
      <c r="G104" s="79">
        <v>69</v>
      </c>
      <c r="H104" s="71">
        <v>21</v>
      </c>
      <c r="I104" s="71">
        <v>1</v>
      </c>
      <c r="J104" s="51" t="s">
        <v>39</v>
      </c>
      <c r="K104" s="52" t="s">
        <v>33</v>
      </c>
      <c r="L104" s="53" t="str">
        <f t="shared" si="0"/>
        <v>1grams</v>
      </c>
      <c r="M104" s="54">
        <f t="shared" si="1"/>
        <v>21</v>
      </c>
      <c r="N104" s="55" t="str">
        <f t="shared" si="2"/>
        <v>21 grams</v>
      </c>
      <c r="O104" s="56">
        <f t="shared" si="3"/>
        <v>1449</v>
      </c>
      <c r="P104" s="44">
        <f t="shared" si="6"/>
        <v>69</v>
      </c>
      <c r="Q104" s="66">
        <f t="shared" si="5"/>
        <v>0</v>
      </c>
      <c r="R104" s="32"/>
      <c r="S104" s="32"/>
      <c r="T104" s="32"/>
      <c r="U104" s="32"/>
      <c r="V104" s="32"/>
      <c r="W104" s="32"/>
      <c r="X104" s="32"/>
      <c r="Y104" s="32"/>
      <c r="Z104" s="32"/>
    </row>
    <row r="105" spans="1:26" ht="15" customHeight="1" x14ac:dyDescent="0.3">
      <c r="A105" s="45">
        <v>95</v>
      </c>
      <c r="B105" s="111" t="s">
        <v>219</v>
      </c>
      <c r="C105" s="46"/>
      <c r="D105" s="58"/>
      <c r="E105" s="48" t="s">
        <v>220</v>
      </c>
      <c r="F105" s="104"/>
      <c r="G105" s="79">
        <v>80</v>
      </c>
      <c r="H105" s="71">
        <v>12</v>
      </c>
      <c r="I105" s="71">
        <v>1</v>
      </c>
      <c r="J105" s="51" t="s">
        <v>39</v>
      </c>
      <c r="K105" s="52" t="s">
        <v>33</v>
      </c>
      <c r="L105" s="53" t="str">
        <f t="shared" si="0"/>
        <v>1grams</v>
      </c>
      <c r="M105" s="54">
        <f t="shared" si="1"/>
        <v>12</v>
      </c>
      <c r="N105" s="55" t="str">
        <f t="shared" si="2"/>
        <v>12 grams</v>
      </c>
      <c r="O105" s="56">
        <f t="shared" si="3"/>
        <v>960</v>
      </c>
      <c r="P105" s="44">
        <f t="shared" si="6"/>
        <v>80</v>
      </c>
      <c r="Q105" s="66">
        <f t="shared" si="5"/>
        <v>0</v>
      </c>
      <c r="R105" s="32"/>
      <c r="S105" s="32"/>
      <c r="T105" s="32"/>
      <c r="U105" s="32"/>
      <c r="V105" s="32"/>
      <c r="W105" s="32"/>
      <c r="X105" s="32"/>
      <c r="Y105" s="32"/>
      <c r="Z105" s="32"/>
    </row>
    <row r="106" spans="1:26" ht="15" customHeight="1" x14ac:dyDescent="0.3">
      <c r="A106" s="45">
        <v>96</v>
      </c>
      <c r="B106" s="111" t="s">
        <v>221</v>
      </c>
      <c r="C106" s="46"/>
      <c r="D106" s="58"/>
      <c r="E106" s="48" t="s">
        <v>222</v>
      </c>
      <c r="F106" s="104"/>
      <c r="G106" s="79">
        <v>181</v>
      </c>
      <c r="H106" s="71">
        <v>5.6</v>
      </c>
      <c r="I106" s="71">
        <v>1</v>
      </c>
      <c r="J106" s="51" t="s">
        <v>39</v>
      </c>
      <c r="K106" s="52" t="s">
        <v>33</v>
      </c>
      <c r="L106" s="53" t="str">
        <f t="shared" si="0"/>
        <v>1grams</v>
      </c>
      <c r="M106" s="54">
        <f t="shared" si="1"/>
        <v>5.6</v>
      </c>
      <c r="N106" s="55" t="str">
        <f t="shared" si="2"/>
        <v>5.6 grams</v>
      </c>
      <c r="O106" s="56">
        <f t="shared" si="3"/>
        <v>1013.5999999999999</v>
      </c>
      <c r="P106" s="44">
        <f t="shared" si="6"/>
        <v>181</v>
      </c>
      <c r="Q106" s="66">
        <f t="shared" si="5"/>
        <v>0</v>
      </c>
      <c r="R106" s="32"/>
      <c r="S106" s="32"/>
      <c r="T106" s="32"/>
      <c r="U106" s="32"/>
      <c r="V106" s="32"/>
      <c r="W106" s="32"/>
      <c r="X106" s="32"/>
      <c r="Y106" s="32"/>
      <c r="Z106" s="32"/>
    </row>
    <row r="107" spans="1:26" ht="15" customHeight="1" x14ac:dyDescent="0.3">
      <c r="A107" s="45">
        <v>97</v>
      </c>
      <c r="B107" s="46" t="s">
        <v>223</v>
      </c>
      <c r="C107" s="46"/>
      <c r="D107" s="58"/>
      <c r="E107" s="48" t="s">
        <v>224</v>
      </c>
      <c r="F107" s="104"/>
      <c r="G107" s="101">
        <v>115</v>
      </c>
      <c r="H107" s="71">
        <v>0.5</v>
      </c>
      <c r="I107" s="71">
        <v>1</v>
      </c>
      <c r="J107" s="51" t="s">
        <v>39</v>
      </c>
      <c r="K107" s="52" t="s">
        <v>33</v>
      </c>
      <c r="L107" s="53" t="str">
        <f t="shared" si="0"/>
        <v>1grams</v>
      </c>
      <c r="M107" s="54">
        <f t="shared" si="1"/>
        <v>0.5</v>
      </c>
      <c r="N107" s="55" t="str">
        <f t="shared" si="2"/>
        <v>0.5 grams</v>
      </c>
      <c r="O107" s="56">
        <f t="shared" si="3"/>
        <v>57.5</v>
      </c>
      <c r="P107" s="44">
        <f t="shared" si="6"/>
        <v>115</v>
      </c>
      <c r="Q107" s="66">
        <f t="shared" si="5"/>
        <v>0</v>
      </c>
      <c r="R107" s="32"/>
      <c r="S107" s="32"/>
      <c r="T107" s="32"/>
      <c r="U107" s="32"/>
      <c r="V107" s="32"/>
      <c r="W107" s="32"/>
      <c r="X107" s="32"/>
      <c r="Y107" s="32"/>
      <c r="Z107" s="32"/>
    </row>
    <row r="108" spans="1:26" ht="15" customHeight="1" x14ac:dyDescent="0.3">
      <c r="A108" s="45">
        <v>98</v>
      </c>
      <c r="B108" s="46" t="s">
        <v>225</v>
      </c>
      <c r="C108" s="46"/>
      <c r="D108" s="63"/>
      <c r="E108" s="59" t="s">
        <v>226</v>
      </c>
      <c r="F108" s="104"/>
      <c r="G108" s="79">
        <v>160</v>
      </c>
      <c r="H108" s="71">
        <v>3.6</v>
      </c>
      <c r="I108" s="71">
        <v>1</v>
      </c>
      <c r="J108" s="51" t="s">
        <v>39</v>
      </c>
      <c r="K108" s="52" t="s">
        <v>33</v>
      </c>
      <c r="L108" s="53" t="str">
        <f t="shared" si="0"/>
        <v>1grams</v>
      </c>
      <c r="M108" s="54">
        <f t="shared" si="1"/>
        <v>3.6</v>
      </c>
      <c r="N108" s="55" t="str">
        <f t="shared" si="2"/>
        <v>3.6 grams</v>
      </c>
      <c r="O108" s="56">
        <f t="shared" si="3"/>
        <v>576</v>
      </c>
      <c r="P108" s="44">
        <f t="shared" si="6"/>
        <v>160</v>
      </c>
      <c r="Q108" s="66">
        <f t="shared" si="5"/>
        <v>0</v>
      </c>
      <c r="R108" s="32"/>
      <c r="S108" s="32"/>
      <c r="T108" s="32"/>
      <c r="U108" s="32"/>
      <c r="V108" s="32"/>
      <c r="W108" s="32"/>
      <c r="X108" s="32"/>
      <c r="Y108" s="32"/>
      <c r="Z108" s="32"/>
    </row>
    <row r="109" spans="1:26" ht="15" customHeight="1" x14ac:dyDescent="0.3">
      <c r="A109" s="45">
        <v>99</v>
      </c>
      <c r="B109" s="57" t="s">
        <v>227</v>
      </c>
      <c r="C109" s="46"/>
      <c r="D109" s="63"/>
      <c r="E109" s="48" t="s">
        <v>228</v>
      </c>
      <c r="F109" s="104"/>
      <c r="G109" s="79">
        <v>412.28</v>
      </c>
      <c r="H109" s="71">
        <v>8</v>
      </c>
      <c r="I109" s="71">
        <v>1</v>
      </c>
      <c r="J109" s="51" t="s">
        <v>229</v>
      </c>
      <c r="K109" s="52" t="s">
        <v>33</v>
      </c>
      <c r="L109" s="53" t="str">
        <f t="shared" si="0"/>
        <v>1gallon</v>
      </c>
      <c r="M109" s="54">
        <f t="shared" si="1"/>
        <v>8</v>
      </c>
      <c r="N109" s="55" t="str">
        <f t="shared" si="2"/>
        <v>8 gallon</v>
      </c>
      <c r="O109" s="56">
        <f t="shared" si="3"/>
        <v>3298.24</v>
      </c>
      <c r="P109" s="44">
        <f t="shared" si="6"/>
        <v>412.28</v>
      </c>
      <c r="Q109" s="66">
        <f t="shared" si="5"/>
        <v>0</v>
      </c>
      <c r="R109" s="32"/>
      <c r="S109" s="32"/>
      <c r="T109" s="32"/>
      <c r="U109" s="32"/>
      <c r="V109" s="32"/>
      <c r="W109" s="32"/>
      <c r="X109" s="32"/>
      <c r="Y109" s="32"/>
      <c r="Z109" s="32"/>
    </row>
    <row r="110" spans="1:26" ht="15" customHeight="1" x14ac:dyDescent="0.3">
      <c r="A110" s="45">
        <v>100</v>
      </c>
      <c r="B110" s="46" t="s">
        <v>230</v>
      </c>
      <c r="C110" s="46"/>
      <c r="D110" s="63"/>
      <c r="E110" s="59" t="s">
        <v>51</v>
      </c>
      <c r="F110" s="104"/>
      <c r="G110" s="79">
        <v>650</v>
      </c>
      <c r="H110" s="71">
        <v>0.25</v>
      </c>
      <c r="I110" s="51">
        <v>1</v>
      </c>
      <c r="J110" s="51" t="s">
        <v>39</v>
      </c>
      <c r="K110" s="52" t="s">
        <v>33</v>
      </c>
      <c r="L110" s="53" t="str">
        <f t="shared" si="0"/>
        <v>1grams</v>
      </c>
      <c r="M110" s="54">
        <f t="shared" si="1"/>
        <v>0.25</v>
      </c>
      <c r="N110" s="55" t="str">
        <f t="shared" si="2"/>
        <v>0.25 grams</v>
      </c>
      <c r="O110" s="56">
        <f t="shared" si="3"/>
        <v>162.5</v>
      </c>
      <c r="P110" s="44">
        <f t="shared" si="6"/>
        <v>650</v>
      </c>
      <c r="Q110" s="66">
        <f t="shared" si="5"/>
        <v>0</v>
      </c>
      <c r="R110" s="32"/>
      <c r="S110" s="32"/>
      <c r="T110" s="32"/>
      <c r="U110" s="32"/>
      <c r="V110" s="32"/>
      <c r="W110" s="32"/>
      <c r="X110" s="32"/>
      <c r="Y110" s="32"/>
      <c r="Z110" s="32"/>
    </row>
    <row r="111" spans="1:26" ht="15" customHeight="1" x14ac:dyDescent="0.3">
      <c r="A111" s="45">
        <v>101</v>
      </c>
      <c r="B111" s="69" t="s">
        <v>231</v>
      </c>
      <c r="C111" s="46"/>
      <c r="D111" s="63"/>
      <c r="E111" s="78" t="s">
        <v>232</v>
      </c>
      <c r="F111" s="104"/>
      <c r="G111" s="79">
        <v>255</v>
      </c>
      <c r="H111" s="71">
        <v>1</v>
      </c>
      <c r="I111" s="76">
        <v>1</v>
      </c>
      <c r="J111" s="51" t="s">
        <v>32</v>
      </c>
      <c r="K111" s="52" t="s">
        <v>33</v>
      </c>
      <c r="L111" s="53" t="str">
        <f t="shared" si="0"/>
        <v>1ml</v>
      </c>
      <c r="M111" s="54">
        <f t="shared" si="1"/>
        <v>1</v>
      </c>
      <c r="N111" s="55" t="str">
        <f t="shared" si="2"/>
        <v>1 ml</v>
      </c>
      <c r="O111" s="56">
        <f t="shared" si="3"/>
        <v>255</v>
      </c>
      <c r="P111" s="44">
        <f t="shared" si="6"/>
        <v>255</v>
      </c>
      <c r="Q111" s="66">
        <f t="shared" si="5"/>
        <v>0</v>
      </c>
      <c r="R111" s="32"/>
      <c r="S111" s="32"/>
      <c r="T111" s="32"/>
      <c r="U111" s="32"/>
      <c r="V111" s="32"/>
      <c r="W111" s="32"/>
      <c r="X111" s="32"/>
      <c r="Y111" s="32"/>
      <c r="Z111" s="32"/>
    </row>
    <row r="112" spans="1:26" ht="15" customHeight="1" x14ac:dyDescent="0.3">
      <c r="A112" s="45">
        <v>102</v>
      </c>
      <c r="B112" s="46" t="s">
        <v>233</v>
      </c>
      <c r="C112" s="46"/>
      <c r="D112" s="63"/>
      <c r="E112" s="48" t="s">
        <v>234</v>
      </c>
      <c r="F112" s="104"/>
      <c r="G112" s="101">
        <v>590</v>
      </c>
      <c r="H112" s="71">
        <v>0.5</v>
      </c>
      <c r="I112" s="71">
        <v>1</v>
      </c>
      <c r="J112" s="51" t="s">
        <v>39</v>
      </c>
      <c r="K112" s="52" t="s">
        <v>33</v>
      </c>
      <c r="L112" s="53" t="str">
        <f t="shared" si="0"/>
        <v>1grams</v>
      </c>
      <c r="M112" s="54">
        <f t="shared" si="1"/>
        <v>0.5</v>
      </c>
      <c r="N112" s="55" t="str">
        <f t="shared" si="2"/>
        <v>0.5 grams</v>
      </c>
      <c r="O112" s="56">
        <f t="shared" si="3"/>
        <v>295</v>
      </c>
      <c r="P112" s="44">
        <f t="shared" si="6"/>
        <v>590</v>
      </c>
      <c r="Q112" s="66">
        <f t="shared" si="5"/>
        <v>0</v>
      </c>
      <c r="R112" s="32"/>
      <c r="S112" s="32"/>
      <c r="T112" s="32"/>
      <c r="U112" s="32"/>
      <c r="V112" s="32"/>
      <c r="W112" s="32"/>
      <c r="X112" s="32"/>
      <c r="Y112" s="32"/>
      <c r="Z112" s="32"/>
    </row>
    <row r="113" spans="1:26" ht="15" customHeight="1" x14ac:dyDescent="0.3">
      <c r="A113" s="45">
        <v>103</v>
      </c>
      <c r="B113" s="46" t="s">
        <v>235</v>
      </c>
      <c r="C113" s="46"/>
      <c r="D113" s="63"/>
      <c r="E113" s="48" t="s">
        <v>236</v>
      </c>
      <c r="F113" s="104"/>
      <c r="G113" s="79">
        <v>35.200000000000003</v>
      </c>
      <c r="H113" s="71">
        <v>2</v>
      </c>
      <c r="I113" s="71">
        <v>1</v>
      </c>
      <c r="J113" s="51" t="s">
        <v>39</v>
      </c>
      <c r="K113" s="52" t="s">
        <v>33</v>
      </c>
      <c r="L113" s="53" t="str">
        <f t="shared" si="0"/>
        <v>1grams</v>
      </c>
      <c r="M113" s="54">
        <f t="shared" si="1"/>
        <v>2</v>
      </c>
      <c r="N113" s="55" t="str">
        <f t="shared" si="2"/>
        <v>2 grams</v>
      </c>
      <c r="O113" s="56">
        <f t="shared" si="3"/>
        <v>70.400000000000006</v>
      </c>
      <c r="P113" s="44">
        <f t="shared" si="6"/>
        <v>35.200000000000003</v>
      </c>
      <c r="Q113" s="66">
        <f t="shared" si="5"/>
        <v>0</v>
      </c>
      <c r="R113" s="32"/>
      <c r="S113" s="32"/>
      <c r="T113" s="32"/>
      <c r="U113" s="32"/>
      <c r="V113" s="32"/>
      <c r="W113" s="32"/>
      <c r="X113" s="32"/>
      <c r="Y113" s="32"/>
      <c r="Z113" s="32"/>
    </row>
    <row r="114" spans="1:26" ht="15" customHeight="1" x14ac:dyDescent="0.3">
      <c r="A114" s="45">
        <v>104</v>
      </c>
      <c r="B114" s="46" t="s">
        <v>237</v>
      </c>
      <c r="C114" s="46"/>
      <c r="D114" s="63"/>
      <c r="E114" s="48" t="s">
        <v>236</v>
      </c>
      <c r="F114" s="99"/>
      <c r="G114" s="79">
        <v>35.200000000000003</v>
      </c>
      <c r="H114" s="71">
        <v>3</v>
      </c>
      <c r="I114" s="71">
        <v>1</v>
      </c>
      <c r="J114" s="51" t="s">
        <v>39</v>
      </c>
      <c r="K114" s="52" t="s">
        <v>33</v>
      </c>
      <c r="L114" s="53" t="str">
        <f t="shared" si="0"/>
        <v>1grams</v>
      </c>
      <c r="M114" s="54">
        <f t="shared" si="1"/>
        <v>3</v>
      </c>
      <c r="N114" s="55" t="str">
        <f t="shared" si="2"/>
        <v>3 grams</v>
      </c>
      <c r="O114" s="56">
        <f t="shared" si="3"/>
        <v>105.60000000000001</v>
      </c>
      <c r="P114" s="44">
        <f t="shared" si="6"/>
        <v>35.200000000000003</v>
      </c>
      <c r="Q114" s="66">
        <f t="shared" si="5"/>
        <v>0</v>
      </c>
      <c r="R114" s="32"/>
      <c r="S114" s="32"/>
      <c r="T114" s="32"/>
      <c r="U114" s="32"/>
      <c r="V114" s="32"/>
      <c r="W114" s="32"/>
      <c r="X114" s="32"/>
      <c r="Y114" s="32"/>
      <c r="Z114" s="32"/>
    </row>
    <row r="115" spans="1:26" ht="15" customHeight="1" x14ac:dyDescent="0.3">
      <c r="A115" s="45">
        <v>105</v>
      </c>
      <c r="B115" s="69" t="s">
        <v>238</v>
      </c>
      <c r="C115" s="46"/>
      <c r="D115" s="63"/>
      <c r="E115" s="78" t="s">
        <v>239</v>
      </c>
      <c r="F115" s="99"/>
      <c r="G115" s="112">
        <v>88</v>
      </c>
      <c r="H115" s="71">
        <v>25</v>
      </c>
      <c r="I115" s="71">
        <v>1</v>
      </c>
      <c r="J115" s="71" t="s">
        <v>229</v>
      </c>
      <c r="K115" s="52" t="s">
        <v>33</v>
      </c>
      <c r="L115" s="53" t="str">
        <f t="shared" si="0"/>
        <v>1gallon</v>
      </c>
      <c r="M115" s="54">
        <f t="shared" si="1"/>
        <v>25</v>
      </c>
      <c r="N115" s="55" t="str">
        <f t="shared" si="2"/>
        <v>25 gallon</v>
      </c>
      <c r="O115" s="56">
        <f t="shared" si="3"/>
        <v>2200</v>
      </c>
      <c r="P115" s="44">
        <f t="shared" si="6"/>
        <v>88</v>
      </c>
      <c r="Q115" s="66">
        <f t="shared" si="5"/>
        <v>0</v>
      </c>
      <c r="R115" s="32"/>
      <c r="S115" s="32"/>
      <c r="T115" s="32"/>
      <c r="U115" s="32"/>
      <c r="V115" s="32"/>
      <c r="W115" s="32"/>
      <c r="X115" s="32"/>
      <c r="Y115" s="32"/>
      <c r="Z115" s="32"/>
    </row>
    <row r="116" spans="1:26" ht="15" customHeight="1" x14ac:dyDescent="0.3">
      <c r="A116" s="45">
        <v>106</v>
      </c>
      <c r="B116" s="80" t="s">
        <v>240</v>
      </c>
      <c r="C116" s="46"/>
      <c r="D116" s="63"/>
      <c r="E116" s="80" t="s">
        <v>241</v>
      </c>
      <c r="F116" s="99"/>
      <c r="G116" s="79">
        <v>18.5</v>
      </c>
      <c r="H116" s="71">
        <v>6</v>
      </c>
      <c r="I116" s="71">
        <v>1</v>
      </c>
      <c r="J116" s="71" t="s">
        <v>39</v>
      </c>
      <c r="K116" s="52" t="s">
        <v>33</v>
      </c>
      <c r="L116" s="53" t="str">
        <f t="shared" si="0"/>
        <v>1grams</v>
      </c>
      <c r="M116" s="54">
        <f t="shared" si="1"/>
        <v>6</v>
      </c>
      <c r="N116" s="55" t="str">
        <f t="shared" si="2"/>
        <v>6 grams</v>
      </c>
      <c r="O116" s="56">
        <f t="shared" si="3"/>
        <v>111</v>
      </c>
      <c r="P116" s="44">
        <f t="shared" si="6"/>
        <v>18.5</v>
      </c>
      <c r="Q116" s="66">
        <f t="shared" si="5"/>
        <v>0</v>
      </c>
      <c r="R116" s="32"/>
      <c r="S116" s="32"/>
      <c r="T116" s="32"/>
      <c r="U116" s="32"/>
      <c r="V116" s="32"/>
      <c r="W116" s="32"/>
      <c r="X116" s="32"/>
      <c r="Y116" s="32"/>
      <c r="Z116" s="32"/>
    </row>
    <row r="117" spans="1:26" ht="15" customHeight="1" x14ac:dyDescent="0.3">
      <c r="A117" s="45">
        <v>107</v>
      </c>
      <c r="B117" s="113" t="s">
        <v>242</v>
      </c>
      <c r="C117" s="46"/>
      <c r="D117" s="63"/>
      <c r="E117" s="114" t="s">
        <v>243</v>
      </c>
      <c r="F117" s="99"/>
      <c r="G117" s="101">
        <v>58</v>
      </c>
      <c r="H117" s="71">
        <v>12</v>
      </c>
      <c r="I117" s="51">
        <v>1</v>
      </c>
      <c r="J117" s="51" t="s">
        <v>39</v>
      </c>
      <c r="K117" s="52" t="s">
        <v>33</v>
      </c>
      <c r="L117" s="53" t="str">
        <f t="shared" si="0"/>
        <v>1grams</v>
      </c>
      <c r="M117" s="54">
        <f t="shared" si="1"/>
        <v>12</v>
      </c>
      <c r="N117" s="55" t="str">
        <f t="shared" si="2"/>
        <v>12 grams</v>
      </c>
      <c r="O117" s="56">
        <f t="shared" si="3"/>
        <v>696</v>
      </c>
      <c r="P117" s="44">
        <f t="shared" si="6"/>
        <v>58</v>
      </c>
      <c r="Q117" s="66">
        <f t="shared" si="5"/>
        <v>0</v>
      </c>
      <c r="R117" s="32"/>
      <c r="S117" s="32"/>
      <c r="T117" s="32"/>
      <c r="U117" s="32"/>
      <c r="V117" s="32"/>
      <c r="W117" s="32"/>
      <c r="X117" s="32"/>
      <c r="Y117" s="32"/>
      <c r="Z117" s="32"/>
    </row>
    <row r="118" spans="1:26" ht="15" customHeight="1" x14ac:dyDescent="0.3">
      <c r="A118" s="45">
        <v>108</v>
      </c>
      <c r="B118" s="48" t="s">
        <v>244</v>
      </c>
      <c r="C118" s="46"/>
      <c r="D118" s="63"/>
      <c r="E118" s="48" t="s">
        <v>245</v>
      </c>
      <c r="F118" s="99"/>
      <c r="G118" s="49">
        <v>240</v>
      </c>
      <c r="H118" s="71">
        <v>1</v>
      </c>
      <c r="I118" s="71">
        <v>1</v>
      </c>
      <c r="J118" s="50" t="s">
        <v>39</v>
      </c>
      <c r="K118" s="52" t="s">
        <v>33</v>
      </c>
      <c r="L118" s="53" t="str">
        <f t="shared" si="0"/>
        <v>1grams</v>
      </c>
      <c r="M118" s="54">
        <f t="shared" si="1"/>
        <v>1</v>
      </c>
      <c r="N118" s="55" t="str">
        <f t="shared" si="2"/>
        <v>1 grams</v>
      </c>
      <c r="O118" s="56">
        <f t="shared" si="3"/>
        <v>240</v>
      </c>
      <c r="P118" s="44">
        <f t="shared" si="6"/>
        <v>240</v>
      </c>
      <c r="Q118" s="66">
        <f t="shared" si="5"/>
        <v>0</v>
      </c>
      <c r="R118" s="32"/>
      <c r="S118" s="32"/>
      <c r="T118" s="32"/>
      <c r="U118" s="32"/>
      <c r="V118" s="32"/>
      <c r="W118" s="32"/>
      <c r="X118" s="32"/>
      <c r="Y118" s="32"/>
      <c r="Z118" s="32"/>
    </row>
    <row r="119" spans="1:26" ht="15" customHeight="1" x14ac:dyDescent="0.3">
      <c r="A119" s="45">
        <v>109</v>
      </c>
      <c r="B119" s="48" t="s">
        <v>246</v>
      </c>
      <c r="C119" s="46"/>
      <c r="D119" s="63"/>
      <c r="E119" s="48" t="s">
        <v>247</v>
      </c>
      <c r="F119" s="99"/>
      <c r="G119" s="49">
        <v>105</v>
      </c>
      <c r="H119" s="71">
        <v>112</v>
      </c>
      <c r="I119" s="51">
        <v>1</v>
      </c>
      <c r="J119" s="51" t="s">
        <v>89</v>
      </c>
      <c r="K119" s="52" t="s">
        <v>33</v>
      </c>
      <c r="L119" s="53" t="str">
        <f t="shared" si="0"/>
        <v>1kilo</v>
      </c>
      <c r="M119" s="54">
        <f t="shared" si="1"/>
        <v>112</v>
      </c>
      <c r="N119" s="55" t="str">
        <f t="shared" si="2"/>
        <v>112 kilo</v>
      </c>
      <c r="O119" s="56">
        <f t="shared" si="3"/>
        <v>11760</v>
      </c>
      <c r="P119" s="44">
        <f t="shared" si="6"/>
        <v>105</v>
      </c>
      <c r="Q119" s="66">
        <f t="shared" si="5"/>
        <v>0</v>
      </c>
      <c r="R119" s="32"/>
      <c r="S119" s="32"/>
      <c r="T119" s="32"/>
      <c r="U119" s="32"/>
      <c r="V119" s="32"/>
      <c r="W119" s="32"/>
      <c r="X119" s="32"/>
      <c r="Y119" s="32"/>
      <c r="Z119" s="32"/>
    </row>
    <row r="120" spans="1:26" ht="15" customHeight="1" x14ac:dyDescent="0.3">
      <c r="A120" s="45">
        <v>110</v>
      </c>
      <c r="B120" s="48" t="s">
        <v>248</v>
      </c>
      <c r="C120" s="46"/>
      <c r="D120" s="63"/>
      <c r="E120" s="48" t="s">
        <v>249</v>
      </c>
      <c r="F120" s="99"/>
      <c r="G120" s="49">
        <v>35.9</v>
      </c>
      <c r="H120" s="71">
        <v>15</v>
      </c>
      <c r="I120" s="71">
        <v>1</v>
      </c>
      <c r="J120" s="50" t="s">
        <v>39</v>
      </c>
      <c r="K120" s="52" t="s">
        <v>33</v>
      </c>
      <c r="L120" s="53" t="str">
        <f t="shared" si="0"/>
        <v>1grams</v>
      </c>
      <c r="M120" s="54">
        <f t="shared" si="1"/>
        <v>15</v>
      </c>
      <c r="N120" s="55" t="str">
        <f t="shared" si="2"/>
        <v>15 grams</v>
      </c>
      <c r="O120" s="56">
        <f t="shared" si="3"/>
        <v>538.5</v>
      </c>
      <c r="P120" s="44">
        <f t="shared" si="6"/>
        <v>35.9</v>
      </c>
      <c r="Q120" s="66">
        <f t="shared" si="5"/>
        <v>0</v>
      </c>
      <c r="R120" s="32"/>
      <c r="S120" s="32"/>
      <c r="T120" s="32"/>
      <c r="U120" s="32"/>
      <c r="V120" s="32"/>
      <c r="W120" s="32"/>
      <c r="X120" s="32"/>
      <c r="Y120" s="32"/>
      <c r="Z120" s="32"/>
    </row>
    <row r="121" spans="1:26" ht="15" customHeight="1" x14ac:dyDescent="0.3">
      <c r="A121" s="45">
        <v>111</v>
      </c>
      <c r="B121" s="57" t="s">
        <v>250</v>
      </c>
      <c r="C121" s="46"/>
      <c r="D121" s="98"/>
      <c r="E121" s="59" t="s">
        <v>251</v>
      </c>
      <c r="F121" s="99"/>
      <c r="G121" s="49">
        <v>52.6</v>
      </c>
      <c r="H121" s="71">
        <v>22</v>
      </c>
      <c r="I121" s="71">
        <v>1</v>
      </c>
      <c r="J121" s="50" t="s">
        <v>39</v>
      </c>
      <c r="K121" s="52" t="s">
        <v>33</v>
      </c>
      <c r="L121" s="53" t="str">
        <f t="shared" si="0"/>
        <v>1grams</v>
      </c>
      <c r="M121" s="54">
        <f t="shared" si="1"/>
        <v>22</v>
      </c>
      <c r="N121" s="55" t="str">
        <f t="shared" si="2"/>
        <v>22 grams</v>
      </c>
      <c r="O121" s="56">
        <f t="shared" si="3"/>
        <v>1157.2</v>
      </c>
      <c r="P121" s="44">
        <f t="shared" si="6"/>
        <v>52.6</v>
      </c>
      <c r="Q121" s="66">
        <f t="shared" si="5"/>
        <v>0</v>
      </c>
      <c r="R121" s="32"/>
      <c r="S121" s="32"/>
      <c r="T121" s="32"/>
      <c r="U121" s="32"/>
      <c r="V121" s="32"/>
      <c r="W121" s="32"/>
      <c r="X121" s="32"/>
      <c r="Y121" s="32"/>
      <c r="Z121" s="32"/>
    </row>
    <row r="122" spans="1:26" ht="15" customHeight="1" x14ac:dyDescent="0.3">
      <c r="A122" s="45">
        <v>112</v>
      </c>
      <c r="B122" s="48" t="s">
        <v>252</v>
      </c>
      <c r="C122" s="46"/>
      <c r="D122" s="98"/>
      <c r="E122" s="48" t="s">
        <v>253</v>
      </c>
      <c r="F122" s="99"/>
      <c r="G122" s="49">
        <v>18.25</v>
      </c>
      <c r="H122" s="71">
        <v>2</v>
      </c>
      <c r="I122" s="71">
        <v>1</v>
      </c>
      <c r="J122" s="50" t="s">
        <v>39</v>
      </c>
      <c r="K122" s="52" t="s">
        <v>33</v>
      </c>
      <c r="L122" s="53" t="str">
        <f t="shared" si="0"/>
        <v>1grams</v>
      </c>
      <c r="M122" s="54">
        <f t="shared" si="1"/>
        <v>2</v>
      </c>
      <c r="N122" s="55" t="str">
        <f t="shared" si="2"/>
        <v>2 grams</v>
      </c>
      <c r="O122" s="56">
        <f t="shared" si="3"/>
        <v>36.5</v>
      </c>
      <c r="P122" s="44">
        <f t="shared" si="6"/>
        <v>18.25</v>
      </c>
      <c r="Q122" s="66">
        <f t="shared" si="5"/>
        <v>0</v>
      </c>
      <c r="R122" s="32"/>
      <c r="S122" s="32"/>
      <c r="T122" s="32"/>
      <c r="U122" s="32"/>
      <c r="V122" s="32"/>
      <c r="W122" s="32"/>
      <c r="X122" s="32"/>
      <c r="Y122" s="32"/>
      <c r="Z122" s="32"/>
    </row>
    <row r="123" spans="1:26" ht="15" customHeight="1" x14ac:dyDescent="0.3">
      <c r="A123" s="45">
        <v>113</v>
      </c>
      <c r="B123" s="48" t="s">
        <v>254</v>
      </c>
      <c r="C123" s="46"/>
      <c r="D123" s="63"/>
      <c r="E123" s="48" t="s">
        <v>255</v>
      </c>
      <c r="F123" s="99"/>
      <c r="G123" s="49">
        <v>113</v>
      </c>
      <c r="H123" s="71">
        <v>7</v>
      </c>
      <c r="I123" s="71">
        <v>1</v>
      </c>
      <c r="J123" s="50" t="s">
        <v>39</v>
      </c>
      <c r="K123" s="52" t="s">
        <v>33</v>
      </c>
      <c r="L123" s="53" t="str">
        <f t="shared" si="0"/>
        <v>1grams</v>
      </c>
      <c r="M123" s="54">
        <f t="shared" si="1"/>
        <v>7</v>
      </c>
      <c r="N123" s="55" t="str">
        <f t="shared" si="2"/>
        <v>7 grams</v>
      </c>
      <c r="O123" s="56">
        <f t="shared" si="3"/>
        <v>791</v>
      </c>
      <c r="P123" s="44">
        <f t="shared" si="6"/>
        <v>113</v>
      </c>
      <c r="Q123" s="66">
        <f t="shared" si="5"/>
        <v>0</v>
      </c>
      <c r="R123" s="32"/>
      <c r="S123" s="32"/>
      <c r="T123" s="32"/>
      <c r="U123" s="32"/>
      <c r="V123" s="32"/>
      <c r="W123" s="32"/>
      <c r="X123" s="32"/>
      <c r="Y123" s="32"/>
      <c r="Z123" s="32"/>
    </row>
    <row r="124" spans="1:26" ht="15" customHeight="1" x14ac:dyDescent="0.3">
      <c r="A124" s="45">
        <v>114</v>
      </c>
      <c r="B124" s="48" t="s">
        <v>256</v>
      </c>
      <c r="C124" s="46"/>
      <c r="D124" s="63"/>
      <c r="E124" s="48" t="s">
        <v>239</v>
      </c>
      <c r="F124" s="99"/>
      <c r="G124" s="49">
        <v>73</v>
      </c>
      <c r="H124" s="71">
        <v>12</v>
      </c>
      <c r="I124" s="71">
        <v>1</v>
      </c>
      <c r="J124" s="50" t="s">
        <v>229</v>
      </c>
      <c r="K124" s="52" t="s">
        <v>33</v>
      </c>
      <c r="L124" s="53" t="str">
        <f t="shared" si="0"/>
        <v>1gallon</v>
      </c>
      <c r="M124" s="54">
        <f t="shared" si="1"/>
        <v>12</v>
      </c>
      <c r="N124" s="55" t="str">
        <f t="shared" si="2"/>
        <v>12 gallon</v>
      </c>
      <c r="O124" s="56">
        <f t="shared" si="3"/>
        <v>876</v>
      </c>
      <c r="P124" s="44">
        <f t="shared" si="6"/>
        <v>73</v>
      </c>
      <c r="Q124" s="66">
        <f t="shared" si="5"/>
        <v>0</v>
      </c>
      <c r="R124" s="32"/>
      <c r="S124" s="32"/>
      <c r="T124" s="32"/>
      <c r="U124" s="32"/>
      <c r="V124" s="32"/>
      <c r="W124" s="32"/>
      <c r="X124" s="32"/>
      <c r="Y124" s="32"/>
      <c r="Z124" s="32"/>
    </row>
    <row r="125" spans="1:26" ht="15" customHeight="1" x14ac:dyDescent="0.3">
      <c r="A125" s="45">
        <v>115</v>
      </c>
      <c r="B125" s="69" t="s">
        <v>257</v>
      </c>
      <c r="C125" s="46"/>
      <c r="D125" s="63"/>
      <c r="E125" s="78" t="s">
        <v>258</v>
      </c>
      <c r="F125" s="99"/>
      <c r="G125" s="79">
        <v>20.25</v>
      </c>
      <c r="H125" s="71">
        <v>2</v>
      </c>
      <c r="I125" s="71">
        <v>1</v>
      </c>
      <c r="J125" s="71" t="s">
        <v>39</v>
      </c>
      <c r="K125" s="52" t="s">
        <v>33</v>
      </c>
      <c r="L125" s="53" t="str">
        <f t="shared" si="0"/>
        <v>1grams</v>
      </c>
      <c r="M125" s="54">
        <f t="shared" si="1"/>
        <v>2</v>
      </c>
      <c r="N125" s="55" t="str">
        <f t="shared" si="2"/>
        <v>2 grams</v>
      </c>
      <c r="O125" s="56">
        <f t="shared" si="3"/>
        <v>40.5</v>
      </c>
      <c r="P125" s="44">
        <f t="shared" si="6"/>
        <v>20.25</v>
      </c>
      <c r="Q125" s="66">
        <f t="shared" si="5"/>
        <v>0</v>
      </c>
      <c r="R125" s="32"/>
      <c r="S125" s="32"/>
      <c r="T125" s="32"/>
      <c r="U125" s="32"/>
      <c r="V125" s="32"/>
      <c r="W125" s="32"/>
      <c r="X125" s="32"/>
      <c r="Y125" s="32"/>
      <c r="Z125" s="32"/>
    </row>
    <row r="126" spans="1:26" ht="15" customHeight="1" x14ac:dyDescent="0.3">
      <c r="A126" s="45">
        <v>116</v>
      </c>
      <c r="B126" s="46" t="s">
        <v>259</v>
      </c>
      <c r="C126" s="46"/>
      <c r="D126" s="63"/>
      <c r="E126" s="59" t="s">
        <v>260</v>
      </c>
      <c r="F126" s="99"/>
      <c r="G126" s="49">
        <v>48.7</v>
      </c>
      <c r="H126" s="115">
        <v>20</v>
      </c>
      <c r="I126" s="116">
        <v>1</v>
      </c>
      <c r="J126" s="103" t="s">
        <v>39</v>
      </c>
      <c r="K126" s="52" t="s">
        <v>33</v>
      </c>
      <c r="L126" s="53" t="str">
        <f t="shared" si="0"/>
        <v>1grams</v>
      </c>
      <c r="M126" s="54">
        <f t="shared" si="1"/>
        <v>20</v>
      </c>
      <c r="N126" s="55" t="str">
        <f t="shared" si="2"/>
        <v>20 grams</v>
      </c>
      <c r="O126" s="56">
        <f t="shared" si="3"/>
        <v>974</v>
      </c>
      <c r="P126" s="44">
        <f t="shared" si="6"/>
        <v>48.7</v>
      </c>
      <c r="Q126" s="66">
        <f t="shared" si="5"/>
        <v>0</v>
      </c>
      <c r="R126" s="32"/>
      <c r="S126" s="32"/>
      <c r="T126" s="32"/>
      <c r="U126" s="32"/>
      <c r="V126" s="32"/>
      <c r="W126" s="32"/>
      <c r="X126" s="32"/>
      <c r="Y126" s="32"/>
      <c r="Z126" s="32"/>
    </row>
    <row r="127" spans="1:26" ht="15" customHeight="1" x14ac:dyDescent="0.3">
      <c r="A127" s="45">
        <v>117</v>
      </c>
      <c r="B127" s="57" t="s">
        <v>261</v>
      </c>
      <c r="C127" s="46"/>
      <c r="D127" s="117"/>
      <c r="E127" s="59" t="s">
        <v>262</v>
      </c>
      <c r="F127" s="99"/>
      <c r="G127" s="49">
        <v>301.8</v>
      </c>
      <c r="H127" s="50">
        <v>2</v>
      </c>
      <c r="I127" s="50">
        <v>1</v>
      </c>
      <c r="J127" s="50" t="s">
        <v>32</v>
      </c>
      <c r="K127" s="52" t="s">
        <v>33</v>
      </c>
      <c r="L127" s="53" t="str">
        <f t="shared" si="0"/>
        <v>1ml</v>
      </c>
      <c r="M127" s="54">
        <f t="shared" si="1"/>
        <v>2</v>
      </c>
      <c r="N127" s="55" t="str">
        <f t="shared" si="2"/>
        <v>2 ml</v>
      </c>
      <c r="O127" s="56">
        <f t="shared" si="3"/>
        <v>603.6</v>
      </c>
      <c r="P127" s="44">
        <f t="shared" si="6"/>
        <v>301.8</v>
      </c>
      <c r="Q127" s="66">
        <f t="shared" si="5"/>
        <v>0</v>
      </c>
      <c r="R127" s="32"/>
      <c r="S127" s="32"/>
      <c r="T127" s="32"/>
      <c r="U127" s="32"/>
      <c r="V127" s="32"/>
      <c r="W127" s="32"/>
      <c r="X127" s="32"/>
      <c r="Y127" s="32"/>
      <c r="Z127" s="32"/>
    </row>
    <row r="128" spans="1:26" ht="15" customHeight="1" x14ac:dyDescent="0.3">
      <c r="A128" s="45">
        <v>118</v>
      </c>
      <c r="B128" s="57" t="s">
        <v>263</v>
      </c>
      <c r="C128" s="46"/>
      <c r="D128" s="58"/>
      <c r="E128" s="59" t="s">
        <v>264</v>
      </c>
      <c r="F128" s="99"/>
      <c r="G128" s="49">
        <v>4.82</v>
      </c>
      <c r="H128" s="50">
        <v>2676</v>
      </c>
      <c r="I128" s="50">
        <v>1</v>
      </c>
      <c r="J128" s="50" t="s">
        <v>39</v>
      </c>
      <c r="K128" s="52" t="s">
        <v>33</v>
      </c>
      <c r="L128" s="53" t="str">
        <f t="shared" si="0"/>
        <v>1grams</v>
      </c>
      <c r="M128" s="54">
        <f t="shared" si="1"/>
        <v>2676</v>
      </c>
      <c r="N128" s="55" t="str">
        <f t="shared" si="2"/>
        <v>2676 grams</v>
      </c>
      <c r="O128" s="56">
        <f t="shared" si="3"/>
        <v>12898.320000000002</v>
      </c>
      <c r="P128" s="44">
        <f t="shared" si="6"/>
        <v>4.82</v>
      </c>
      <c r="Q128" s="66">
        <f t="shared" si="5"/>
        <v>0</v>
      </c>
      <c r="R128" s="32"/>
      <c r="S128" s="32"/>
      <c r="T128" s="32"/>
      <c r="U128" s="32"/>
      <c r="V128" s="32"/>
      <c r="W128" s="32"/>
      <c r="X128" s="32"/>
      <c r="Y128" s="32"/>
      <c r="Z128" s="32"/>
    </row>
    <row r="129" spans="1:26" ht="15" customHeight="1" x14ac:dyDescent="0.3">
      <c r="A129" s="45">
        <v>119</v>
      </c>
      <c r="B129" s="57" t="s">
        <v>265</v>
      </c>
      <c r="C129" s="46"/>
      <c r="D129" s="58"/>
      <c r="E129" s="59" t="s">
        <v>266</v>
      </c>
      <c r="F129" s="99"/>
      <c r="G129" s="49">
        <v>87.5</v>
      </c>
      <c r="H129" s="50">
        <v>1.43</v>
      </c>
      <c r="I129" s="50">
        <v>1</v>
      </c>
      <c r="J129" s="50" t="s">
        <v>39</v>
      </c>
      <c r="K129" s="52" t="s">
        <v>33</v>
      </c>
      <c r="L129" s="53" t="str">
        <f t="shared" si="0"/>
        <v>1grams</v>
      </c>
      <c r="M129" s="54">
        <f t="shared" si="1"/>
        <v>1.43</v>
      </c>
      <c r="N129" s="55" t="str">
        <f t="shared" si="2"/>
        <v>1.43 grams</v>
      </c>
      <c r="O129" s="56">
        <f t="shared" si="3"/>
        <v>125.125</v>
      </c>
      <c r="P129" s="44">
        <f t="shared" si="6"/>
        <v>87.5</v>
      </c>
      <c r="Q129" s="66">
        <f t="shared" si="5"/>
        <v>0</v>
      </c>
      <c r="R129" s="32"/>
      <c r="S129" s="32"/>
      <c r="T129" s="32"/>
      <c r="U129" s="32"/>
      <c r="V129" s="32"/>
      <c r="W129" s="32"/>
      <c r="X129" s="32"/>
      <c r="Y129" s="32"/>
      <c r="Z129" s="32"/>
    </row>
    <row r="130" spans="1:26" ht="15" customHeight="1" x14ac:dyDescent="0.3">
      <c r="A130" s="45">
        <v>120</v>
      </c>
      <c r="B130" s="46" t="s">
        <v>267</v>
      </c>
      <c r="C130" s="46"/>
      <c r="D130" s="63"/>
      <c r="E130" s="59" t="s">
        <v>268</v>
      </c>
      <c r="F130" s="99"/>
      <c r="G130" s="49">
        <v>102.5</v>
      </c>
      <c r="H130" s="50">
        <v>1.67</v>
      </c>
      <c r="I130" s="50">
        <v>1</v>
      </c>
      <c r="J130" s="50" t="s">
        <v>39</v>
      </c>
      <c r="K130" s="52" t="s">
        <v>33</v>
      </c>
      <c r="L130" s="53" t="str">
        <f t="shared" si="0"/>
        <v>1grams</v>
      </c>
      <c r="M130" s="54">
        <f t="shared" si="1"/>
        <v>1.67</v>
      </c>
      <c r="N130" s="55" t="str">
        <f t="shared" si="2"/>
        <v>1.67 grams</v>
      </c>
      <c r="O130" s="56">
        <f t="shared" si="3"/>
        <v>171.17499999999998</v>
      </c>
      <c r="P130" s="44">
        <f t="shared" si="6"/>
        <v>102.5</v>
      </c>
      <c r="Q130" s="66">
        <f t="shared" si="5"/>
        <v>0</v>
      </c>
      <c r="R130" s="32"/>
      <c r="S130" s="32"/>
      <c r="T130" s="32"/>
      <c r="U130" s="32"/>
      <c r="V130" s="32"/>
      <c r="W130" s="32"/>
      <c r="X130" s="32"/>
      <c r="Y130" s="32"/>
      <c r="Z130" s="32"/>
    </row>
    <row r="131" spans="1:26" ht="15" customHeight="1" x14ac:dyDescent="0.3">
      <c r="A131" s="45">
        <v>121</v>
      </c>
      <c r="B131" s="96" t="s">
        <v>269</v>
      </c>
      <c r="C131" s="46"/>
      <c r="D131" s="63"/>
      <c r="E131" s="78" t="s">
        <v>270</v>
      </c>
      <c r="F131" s="99"/>
      <c r="G131" s="79">
        <v>110.25</v>
      </c>
      <c r="H131" s="71">
        <v>0.87</v>
      </c>
      <c r="I131" s="50">
        <v>1</v>
      </c>
      <c r="J131" s="50" t="s">
        <v>39</v>
      </c>
      <c r="K131" s="52" t="s">
        <v>33</v>
      </c>
      <c r="L131" s="53" t="str">
        <f t="shared" si="0"/>
        <v>1grams</v>
      </c>
      <c r="M131" s="54">
        <f t="shared" si="1"/>
        <v>0.87</v>
      </c>
      <c r="N131" s="55" t="str">
        <f t="shared" si="2"/>
        <v>0.87 grams</v>
      </c>
      <c r="O131" s="56">
        <f t="shared" si="3"/>
        <v>95.917500000000004</v>
      </c>
      <c r="P131" s="44">
        <f t="shared" si="6"/>
        <v>110.25</v>
      </c>
      <c r="Q131" s="66">
        <f t="shared" si="5"/>
        <v>0</v>
      </c>
      <c r="R131" s="32"/>
      <c r="S131" s="32"/>
      <c r="T131" s="32"/>
      <c r="U131" s="32"/>
      <c r="V131" s="32"/>
      <c r="W131" s="32"/>
      <c r="X131" s="32"/>
      <c r="Y131" s="32"/>
      <c r="Z131" s="32"/>
    </row>
    <row r="132" spans="1:26" ht="15" customHeight="1" x14ac:dyDescent="0.3">
      <c r="A132" s="45">
        <v>122</v>
      </c>
      <c r="B132" s="69" t="s">
        <v>271</v>
      </c>
      <c r="C132" s="46"/>
      <c r="D132" s="63"/>
      <c r="E132" s="78" t="s">
        <v>272</v>
      </c>
      <c r="F132" s="99"/>
      <c r="G132" s="79">
        <v>67.5</v>
      </c>
      <c r="H132" s="71">
        <v>2</v>
      </c>
      <c r="I132" s="50">
        <v>1</v>
      </c>
      <c r="J132" s="50" t="s">
        <v>39</v>
      </c>
      <c r="K132" s="52" t="s">
        <v>33</v>
      </c>
      <c r="L132" s="53" t="str">
        <f t="shared" si="0"/>
        <v>1grams</v>
      </c>
      <c r="M132" s="54">
        <f t="shared" si="1"/>
        <v>2</v>
      </c>
      <c r="N132" s="55" t="str">
        <f t="shared" si="2"/>
        <v>2 grams</v>
      </c>
      <c r="O132" s="56">
        <f t="shared" si="3"/>
        <v>135</v>
      </c>
      <c r="P132" s="44">
        <f t="shared" si="6"/>
        <v>67.5</v>
      </c>
      <c r="Q132" s="66">
        <f t="shared" si="5"/>
        <v>0</v>
      </c>
      <c r="R132" s="32"/>
      <c r="S132" s="32"/>
      <c r="T132" s="32"/>
      <c r="U132" s="32"/>
      <c r="V132" s="32"/>
      <c r="W132" s="32"/>
      <c r="X132" s="32"/>
      <c r="Y132" s="32"/>
      <c r="Z132" s="32"/>
    </row>
    <row r="133" spans="1:26" ht="15" customHeight="1" x14ac:dyDescent="0.3">
      <c r="A133" s="45">
        <v>123</v>
      </c>
      <c r="B133" s="69" t="s">
        <v>273</v>
      </c>
      <c r="C133" s="46"/>
      <c r="D133" s="63"/>
      <c r="E133" s="78" t="s">
        <v>274</v>
      </c>
      <c r="F133" s="99"/>
      <c r="G133" s="79">
        <v>69.5</v>
      </c>
      <c r="H133" s="71">
        <v>2.57</v>
      </c>
      <c r="I133" s="50">
        <v>1</v>
      </c>
      <c r="J133" s="50" t="s">
        <v>39</v>
      </c>
      <c r="K133" s="52" t="s">
        <v>33</v>
      </c>
      <c r="L133" s="53" t="str">
        <f t="shared" si="0"/>
        <v>1grams</v>
      </c>
      <c r="M133" s="54">
        <f t="shared" si="1"/>
        <v>2.57</v>
      </c>
      <c r="N133" s="55" t="str">
        <f t="shared" si="2"/>
        <v>2.57 grams</v>
      </c>
      <c r="O133" s="56">
        <f t="shared" si="3"/>
        <v>178.61499999999998</v>
      </c>
      <c r="P133" s="44">
        <f t="shared" si="6"/>
        <v>69.5</v>
      </c>
      <c r="Q133" s="66">
        <f t="shared" si="5"/>
        <v>0</v>
      </c>
      <c r="R133" s="32"/>
      <c r="S133" s="32"/>
      <c r="T133" s="32"/>
      <c r="U133" s="32"/>
      <c r="V133" s="32"/>
      <c r="W133" s="32"/>
      <c r="X133" s="32"/>
      <c r="Y133" s="32"/>
      <c r="Z133" s="32"/>
    </row>
    <row r="134" spans="1:26" ht="15" customHeight="1" x14ac:dyDescent="0.3">
      <c r="A134" s="45">
        <v>124</v>
      </c>
      <c r="B134" s="69" t="s">
        <v>275</v>
      </c>
      <c r="C134" s="46"/>
      <c r="D134" s="63"/>
      <c r="E134" s="78" t="s">
        <v>276</v>
      </c>
      <c r="F134" s="99"/>
      <c r="G134" s="79">
        <v>99</v>
      </c>
      <c r="H134" s="71">
        <v>0.80600000000000005</v>
      </c>
      <c r="I134" s="50">
        <v>1</v>
      </c>
      <c r="J134" s="50" t="s">
        <v>39</v>
      </c>
      <c r="K134" s="52" t="s">
        <v>33</v>
      </c>
      <c r="L134" s="53" t="str">
        <f t="shared" si="0"/>
        <v>1grams</v>
      </c>
      <c r="M134" s="54">
        <f t="shared" si="1"/>
        <v>0.80600000000000005</v>
      </c>
      <c r="N134" s="55" t="str">
        <f t="shared" si="2"/>
        <v>0.806 grams</v>
      </c>
      <c r="O134" s="56">
        <f t="shared" si="3"/>
        <v>79.794000000000011</v>
      </c>
      <c r="P134" s="44">
        <f t="shared" si="6"/>
        <v>99.000000000000014</v>
      </c>
      <c r="Q134" s="66">
        <f t="shared" si="5"/>
        <v>0</v>
      </c>
      <c r="R134" s="32"/>
      <c r="S134" s="32"/>
      <c r="T134" s="32"/>
      <c r="U134" s="32"/>
      <c r="V134" s="32"/>
      <c r="W134" s="32"/>
      <c r="X134" s="32"/>
      <c r="Y134" s="32"/>
      <c r="Z134" s="32"/>
    </row>
    <row r="135" spans="1:26" ht="15" customHeight="1" x14ac:dyDescent="0.3">
      <c r="A135" s="45">
        <v>125</v>
      </c>
      <c r="B135" s="46" t="s">
        <v>277</v>
      </c>
      <c r="C135" s="46"/>
      <c r="D135" s="58"/>
      <c r="E135" s="59" t="s">
        <v>278</v>
      </c>
      <c r="F135" s="99"/>
      <c r="G135" s="49">
        <v>52.6</v>
      </c>
      <c r="H135" s="50">
        <v>9.3390000000000004</v>
      </c>
      <c r="I135" s="50">
        <v>1</v>
      </c>
      <c r="J135" s="50" t="s">
        <v>39</v>
      </c>
      <c r="K135" s="52" t="s">
        <v>33</v>
      </c>
      <c r="L135" s="53" t="str">
        <f t="shared" si="0"/>
        <v>1grams</v>
      </c>
      <c r="M135" s="54">
        <f t="shared" si="1"/>
        <v>9.3390000000000004</v>
      </c>
      <c r="N135" s="55" t="str">
        <f t="shared" si="2"/>
        <v>9.339 grams</v>
      </c>
      <c r="O135" s="56">
        <f t="shared" si="3"/>
        <v>491.23140000000001</v>
      </c>
      <c r="P135" s="44">
        <f t="shared" si="6"/>
        <v>52.6</v>
      </c>
      <c r="Q135" s="66">
        <f t="shared" si="5"/>
        <v>0</v>
      </c>
      <c r="R135" s="32"/>
      <c r="S135" s="32"/>
      <c r="T135" s="32"/>
      <c r="U135" s="32"/>
      <c r="V135" s="32"/>
      <c r="W135" s="32"/>
      <c r="X135" s="32"/>
      <c r="Y135" s="32"/>
      <c r="Z135" s="32"/>
    </row>
    <row r="136" spans="1:26" ht="15" customHeight="1" x14ac:dyDescent="0.3">
      <c r="A136" s="45">
        <v>126</v>
      </c>
      <c r="B136" s="46" t="s">
        <v>279</v>
      </c>
      <c r="C136" s="46"/>
      <c r="D136" s="58"/>
      <c r="E136" s="59" t="s">
        <v>239</v>
      </c>
      <c r="F136" s="99"/>
      <c r="G136" s="49">
        <v>199</v>
      </c>
      <c r="H136" s="50">
        <v>3</v>
      </c>
      <c r="I136" s="50" t="s">
        <v>280</v>
      </c>
      <c r="J136" s="50" t="s">
        <v>229</v>
      </c>
      <c r="K136" s="52" t="s">
        <v>33</v>
      </c>
      <c r="L136" s="53" t="str">
        <f t="shared" si="0"/>
        <v>1gallon</v>
      </c>
      <c r="M136" s="54">
        <f t="shared" si="1"/>
        <v>3</v>
      </c>
      <c r="N136" s="55" t="str">
        <f t="shared" si="2"/>
        <v>3 gallon</v>
      </c>
      <c r="O136" s="56">
        <f t="shared" si="3"/>
        <v>597</v>
      </c>
      <c r="P136" s="44">
        <f t="shared" si="6"/>
        <v>199</v>
      </c>
      <c r="Q136" s="66">
        <f t="shared" si="5"/>
        <v>0</v>
      </c>
      <c r="R136" s="32"/>
      <c r="S136" s="32"/>
      <c r="T136" s="32"/>
      <c r="U136" s="32"/>
      <c r="V136" s="32"/>
      <c r="W136" s="32"/>
      <c r="X136" s="32"/>
      <c r="Y136" s="32"/>
      <c r="Z136" s="32"/>
    </row>
    <row r="137" spans="1:26" ht="15" customHeight="1" x14ac:dyDescent="0.3">
      <c r="A137" s="45">
        <v>127</v>
      </c>
      <c r="B137" s="46" t="s">
        <v>279</v>
      </c>
      <c r="C137" s="46"/>
      <c r="D137" s="58"/>
      <c r="E137" s="59" t="s">
        <v>281</v>
      </c>
      <c r="F137" s="99"/>
      <c r="G137" s="49">
        <v>103.6</v>
      </c>
      <c r="H137" s="50">
        <v>2</v>
      </c>
      <c r="I137" s="50">
        <v>1</v>
      </c>
      <c r="J137" s="50" t="s">
        <v>39</v>
      </c>
      <c r="K137" s="52" t="s">
        <v>33</v>
      </c>
      <c r="L137" s="53" t="str">
        <f t="shared" si="0"/>
        <v>1grams</v>
      </c>
      <c r="M137" s="54">
        <f t="shared" si="1"/>
        <v>2</v>
      </c>
      <c r="N137" s="55" t="str">
        <f t="shared" si="2"/>
        <v>2 grams</v>
      </c>
      <c r="O137" s="56">
        <f t="shared" si="3"/>
        <v>207.2</v>
      </c>
      <c r="P137" s="44">
        <f t="shared" si="6"/>
        <v>103.6</v>
      </c>
      <c r="Q137" s="66">
        <f t="shared" si="5"/>
        <v>0</v>
      </c>
      <c r="R137" s="32"/>
      <c r="S137" s="32"/>
      <c r="T137" s="32"/>
      <c r="U137" s="32"/>
      <c r="V137" s="32"/>
      <c r="W137" s="32"/>
      <c r="X137" s="32"/>
      <c r="Y137" s="32"/>
      <c r="Z137" s="32"/>
    </row>
    <row r="138" spans="1:26" ht="15" customHeight="1" x14ac:dyDescent="0.3">
      <c r="A138" s="45">
        <v>128</v>
      </c>
      <c r="B138" s="48" t="s">
        <v>282</v>
      </c>
      <c r="C138" s="46"/>
      <c r="D138" s="58"/>
      <c r="E138" s="59" t="s">
        <v>283</v>
      </c>
      <c r="F138" s="99"/>
      <c r="G138" s="49">
        <v>15</v>
      </c>
      <c r="H138" s="50">
        <v>3</v>
      </c>
      <c r="I138" s="50">
        <v>1</v>
      </c>
      <c r="J138" s="50" t="s">
        <v>39</v>
      </c>
      <c r="K138" s="52" t="s">
        <v>33</v>
      </c>
      <c r="L138" s="53" t="str">
        <f t="shared" si="0"/>
        <v>1grams</v>
      </c>
      <c r="M138" s="54">
        <f t="shared" si="1"/>
        <v>3</v>
      </c>
      <c r="N138" s="55" t="str">
        <f t="shared" si="2"/>
        <v>3 grams</v>
      </c>
      <c r="O138" s="56">
        <f t="shared" si="3"/>
        <v>45</v>
      </c>
      <c r="P138" s="44">
        <f t="shared" si="6"/>
        <v>15</v>
      </c>
      <c r="Q138" s="66">
        <f t="shared" si="5"/>
        <v>0</v>
      </c>
      <c r="R138" s="32"/>
      <c r="S138" s="32"/>
      <c r="T138" s="32"/>
      <c r="U138" s="32"/>
      <c r="V138" s="32"/>
      <c r="W138" s="32"/>
      <c r="X138" s="32"/>
      <c r="Y138" s="32"/>
      <c r="Z138" s="32"/>
    </row>
    <row r="139" spans="1:26" ht="15" customHeight="1" x14ac:dyDescent="0.3">
      <c r="A139" s="45">
        <v>129</v>
      </c>
      <c r="B139" s="57" t="s">
        <v>284</v>
      </c>
      <c r="C139" s="46"/>
      <c r="D139" s="58"/>
      <c r="E139" s="78" t="s">
        <v>285</v>
      </c>
      <c r="F139" s="99"/>
      <c r="G139" s="79">
        <v>27.7</v>
      </c>
      <c r="H139" s="71">
        <v>40.045000000000002</v>
      </c>
      <c r="I139" s="50">
        <v>1</v>
      </c>
      <c r="J139" s="71" t="s">
        <v>39</v>
      </c>
      <c r="K139" s="52" t="s">
        <v>33</v>
      </c>
      <c r="L139" s="53" t="str">
        <f t="shared" si="0"/>
        <v>1grams</v>
      </c>
      <c r="M139" s="54">
        <f t="shared" si="1"/>
        <v>40.045000000000002</v>
      </c>
      <c r="N139" s="55" t="str">
        <f t="shared" si="2"/>
        <v>40.045 grams</v>
      </c>
      <c r="O139" s="56">
        <f t="shared" si="3"/>
        <v>1109.2465</v>
      </c>
      <c r="P139" s="44">
        <f t="shared" si="6"/>
        <v>27.7</v>
      </c>
      <c r="Q139" s="66">
        <f t="shared" si="5"/>
        <v>0</v>
      </c>
      <c r="R139" s="32"/>
      <c r="S139" s="32"/>
      <c r="T139" s="32"/>
      <c r="U139" s="32"/>
      <c r="V139" s="32"/>
      <c r="W139" s="32"/>
      <c r="X139" s="32"/>
      <c r="Y139" s="32"/>
      <c r="Z139" s="32"/>
    </row>
    <row r="140" spans="1:26" ht="15" customHeight="1" x14ac:dyDescent="0.3">
      <c r="A140" s="45">
        <v>130</v>
      </c>
      <c r="B140" s="46" t="s">
        <v>286</v>
      </c>
      <c r="C140" s="46"/>
      <c r="D140" s="58"/>
      <c r="E140" s="78" t="s">
        <v>239</v>
      </c>
      <c r="F140" s="99"/>
      <c r="G140" s="79">
        <v>73</v>
      </c>
      <c r="H140" s="71">
        <v>17</v>
      </c>
      <c r="I140" s="50">
        <v>1</v>
      </c>
      <c r="J140" s="71" t="s">
        <v>287</v>
      </c>
      <c r="K140" s="52" t="s">
        <v>33</v>
      </c>
      <c r="L140" s="53" t="str">
        <f t="shared" si="0"/>
        <v>1galloon</v>
      </c>
      <c r="M140" s="54">
        <f t="shared" si="1"/>
        <v>17</v>
      </c>
      <c r="N140" s="55" t="str">
        <f t="shared" si="2"/>
        <v>17 galloon</v>
      </c>
      <c r="O140" s="56">
        <f t="shared" si="3"/>
        <v>1241</v>
      </c>
      <c r="P140" s="44">
        <f t="shared" si="6"/>
        <v>73</v>
      </c>
      <c r="Q140" s="66">
        <f t="shared" si="5"/>
        <v>0</v>
      </c>
      <c r="R140" s="32"/>
      <c r="S140" s="32"/>
      <c r="T140" s="32"/>
      <c r="U140" s="32"/>
      <c r="V140" s="32"/>
      <c r="W140" s="32"/>
      <c r="X140" s="32"/>
      <c r="Y140" s="32"/>
      <c r="Z140" s="32"/>
    </row>
    <row r="141" spans="1:26" ht="15" customHeight="1" x14ac:dyDescent="0.3">
      <c r="A141" s="45">
        <v>131</v>
      </c>
      <c r="B141" s="46" t="s">
        <v>288</v>
      </c>
      <c r="C141" s="46"/>
      <c r="D141" s="58"/>
      <c r="E141" s="80" t="s">
        <v>289</v>
      </c>
      <c r="F141" s="99"/>
      <c r="G141" s="79">
        <v>30.57</v>
      </c>
      <c r="H141" s="100">
        <v>48</v>
      </c>
      <c r="I141" s="50">
        <v>1</v>
      </c>
      <c r="J141" s="100" t="s">
        <v>39</v>
      </c>
      <c r="K141" s="52" t="s">
        <v>33</v>
      </c>
      <c r="L141" s="53" t="str">
        <f t="shared" si="0"/>
        <v>1grams</v>
      </c>
      <c r="M141" s="54">
        <f t="shared" si="1"/>
        <v>48</v>
      </c>
      <c r="N141" s="55" t="str">
        <f t="shared" si="2"/>
        <v>48 grams</v>
      </c>
      <c r="O141" s="56">
        <f t="shared" si="3"/>
        <v>1467.3600000000001</v>
      </c>
      <c r="P141" s="44">
        <f t="shared" si="6"/>
        <v>30.570000000000004</v>
      </c>
      <c r="Q141" s="66">
        <f t="shared" si="5"/>
        <v>0</v>
      </c>
      <c r="R141" s="32"/>
      <c r="S141" s="32"/>
      <c r="T141" s="32"/>
      <c r="U141" s="32"/>
      <c r="V141" s="32"/>
      <c r="W141" s="32"/>
      <c r="X141" s="32"/>
      <c r="Y141" s="32"/>
      <c r="Z141" s="32"/>
    </row>
    <row r="142" spans="1:26" ht="15" customHeight="1" x14ac:dyDescent="0.3">
      <c r="A142" s="45">
        <v>132</v>
      </c>
      <c r="B142" s="57" t="s">
        <v>290</v>
      </c>
      <c r="C142" s="46"/>
      <c r="D142" s="58"/>
      <c r="E142" s="59" t="s">
        <v>239</v>
      </c>
      <c r="F142" s="99"/>
      <c r="G142" s="79">
        <v>135</v>
      </c>
      <c r="H142" s="50">
        <v>7</v>
      </c>
      <c r="I142" s="50">
        <v>1</v>
      </c>
      <c r="J142" s="50" t="s">
        <v>229</v>
      </c>
      <c r="K142" s="52" t="s">
        <v>33</v>
      </c>
      <c r="L142" s="53" t="str">
        <f t="shared" si="0"/>
        <v>1gallon</v>
      </c>
      <c r="M142" s="54">
        <f t="shared" si="1"/>
        <v>7</v>
      </c>
      <c r="N142" s="55" t="str">
        <f t="shared" si="2"/>
        <v>7 gallon</v>
      </c>
      <c r="O142" s="56">
        <f t="shared" si="3"/>
        <v>945</v>
      </c>
      <c r="P142" s="44">
        <f t="shared" si="6"/>
        <v>135</v>
      </c>
      <c r="Q142" s="66">
        <f t="shared" si="5"/>
        <v>0</v>
      </c>
      <c r="R142" s="32"/>
      <c r="S142" s="32"/>
      <c r="T142" s="32"/>
      <c r="U142" s="32"/>
      <c r="V142" s="32"/>
      <c r="W142" s="32"/>
      <c r="X142" s="32"/>
      <c r="Y142" s="32"/>
      <c r="Z142" s="32"/>
    </row>
    <row r="143" spans="1:26" ht="15" customHeight="1" x14ac:dyDescent="0.3">
      <c r="A143" s="45">
        <v>133</v>
      </c>
      <c r="B143" s="57" t="s">
        <v>291</v>
      </c>
      <c r="C143" s="46"/>
      <c r="D143" s="58"/>
      <c r="E143" s="59" t="s">
        <v>239</v>
      </c>
      <c r="F143" s="99"/>
      <c r="G143" s="79">
        <v>70</v>
      </c>
      <c r="H143" s="50">
        <v>30</v>
      </c>
      <c r="I143" s="50">
        <v>1</v>
      </c>
      <c r="J143" s="50" t="s">
        <v>229</v>
      </c>
      <c r="K143" s="52" t="s">
        <v>33</v>
      </c>
      <c r="L143" s="53" t="str">
        <f t="shared" si="0"/>
        <v>1gallon</v>
      </c>
      <c r="M143" s="54">
        <f t="shared" si="1"/>
        <v>30</v>
      </c>
      <c r="N143" s="55" t="str">
        <f t="shared" si="2"/>
        <v>30 gallon</v>
      </c>
      <c r="O143" s="56">
        <f t="shared" si="3"/>
        <v>2100</v>
      </c>
      <c r="P143" s="44">
        <f t="shared" si="6"/>
        <v>70</v>
      </c>
      <c r="Q143" s="66">
        <f t="shared" si="5"/>
        <v>0</v>
      </c>
      <c r="R143" s="32"/>
      <c r="S143" s="32"/>
      <c r="T143" s="32"/>
      <c r="U143" s="32"/>
      <c r="V143" s="32"/>
      <c r="W143" s="32"/>
      <c r="X143" s="32"/>
      <c r="Y143" s="32"/>
      <c r="Z143" s="32"/>
    </row>
    <row r="144" spans="1:26" ht="15" customHeight="1" x14ac:dyDescent="0.3">
      <c r="A144" s="45">
        <v>134</v>
      </c>
      <c r="B144" s="46" t="s">
        <v>292</v>
      </c>
      <c r="C144" s="46"/>
      <c r="D144" s="58"/>
      <c r="E144" s="59"/>
      <c r="F144" s="99"/>
      <c r="G144" s="49">
        <v>320</v>
      </c>
      <c r="H144" s="50">
        <v>4</v>
      </c>
      <c r="I144" s="51">
        <v>1</v>
      </c>
      <c r="J144" s="50" t="s">
        <v>39</v>
      </c>
      <c r="K144" s="52" t="s">
        <v>33</v>
      </c>
      <c r="L144" s="53" t="str">
        <f t="shared" si="0"/>
        <v>1grams</v>
      </c>
      <c r="M144" s="54">
        <f t="shared" si="1"/>
        <v>4</v>
      </c>
      <c r="N144" s="55" t="str">
        <f t="shared" si="2"/>
        <v>4 grams</v>
      </c>
      <c r="O144" s="56">
        <f t="shared" si="3"/>
        <v>1280</v>
      </c>
      <c r="P144" s="44">
        <f t="shared" si="6"/>
        <v>320</v>
      </c>
      <c r="Q144" s="66">
        <f t="shared" si="5"/>
        <v>0</v>
      </c>
      <c r="R144" s="32"/>
      <c r="S144" s="32"/>
      <c r="T144" s="32"/>
      <c r="U144" s="32"/>
      <c r="V144" s="32"/>
      <c r="W144" s="32"/>
      <c r="X144" s="32"/>
      <c r="Y144" s="32"/>
      <c r="Z144" s="32"/>
    </row>
    <row r="145" spans="1:26" ht="15" customHeight="1" x14ac:dyDescent="0.3">
      <c r="A145" s="45">
        <v>135</v>
      </c>
      <c r="B145" s="46" t="s">
        <v>293</v>
      </c>
      <c r="C145" s="46"/>
      <c r="D145" s="58"/>
      <c r="E145" s="59" t="s">
        <v>294</v>
      </c>
      <c r="F145" s="99"/>
      <c r="G145" s="49">
        <v>6.83</v>
      </c>
      <c r="H145" s="50">
        <v>5370</v>
      </c>
      <c r="I145" s="51">
        <v>1</v>
      </c>
      <c r="J145" s="50" t="s">
        <v>92</v>
      </c>
      <c r="K145" s="52" t="s">
        <v>33</v>
      </c>
      <c r="L145" s="53" t="str">
        <f t="shared" si="0"/>
        <v>1pieces</v>
      </c>
      <c r="M145" s="54">
        <f t="shared" si="1"/>
        <v>5370</v>
      </c>
      <c r="N145" s="55" t="str">
        <f t="shared" si="2"/>
        <v>5370 pieces</v>
      </c>
      <c r="O145" s="56">
        <f t="shared" si="3"/>
        <v>36677.1</v>
      </c>
      <c r="P145" s="44">
        <f t="shared" si="6"/>
        <v>6.83</v>
      </c>
      <c r="Q145" s="66">
        <f t="shared" si="5"/>
        <v>0</v>
      </c>
      <c r="R145" s="32"/>
      <c r="S145" s="32"/>
      <c r="T145" s="32"/>
      <c r="U145" s="32"/>
      <c r="V145" s="32"/>
      <c r="W145" s="32"/>
      <c r="X145" s="32"/>
      <c r="Y145" s="32"/>
      <c r="Z145" s="32"/>
    </row>
    <row r="146" spans="1:26" ht="15" customHeight="1" x14ac:dyDescent="0.3">
      <c r="A146" s="45">
        <v>136</v>
      </c>
      <c r="B146" s="46" t="s">
        <v>295</v>
      </c>
      <c r="C146" s="46"/>
      <c r="D146" s="58"/>
      <c r="E146" s="59"/>
      <c r="F146" s="99"/>
      <c r="G146" s="49">
        <v>45</v>
      </c>
      <c r="H146" s="50">
        <v>12</v>
      </c>
      <c r="I146" s="51">
        <v>1</v>
      </c>
      <c r="J146" s="50" t="s">
        <v>39</v>
      </c>
      <c r="K146" s="52" t="s">
        <v>33</v>
      </c>
      <c r="L146" s="53" t="str">
        <f t="shared" si="0"/>
        <v>1grams</v>
      </c>
      <c r="M146" s="54">
        <f t="shared" si="1"/>
        <v>12</v>
      </c>
      <c r="N146" s="55" t="str">
        <f t="shared" si="2"/>
        <v>12 grams</v>
      </c>
      <c r="O146" s="56">
        <f t="shared" si="3"/>
        <v>540</v>
      </c>
      <c r="P146" s="44">
        <f t="shared" si="6"/>
        <v>45</v>
      </c>
      <c r="Q146" s="66">
        <f t="shared" si="5"/>
        <v>0</v>
      </c>
      <c r="R146" s="32"/>
      <c r="S146" s="32"/>
      <c r="T146" s="32"/>
      <c r="U146" s="32"/>
      <c r="V146" s="32"/>
      <c r="W146" s="32"/>
      <c r="X146" s="32"/>
      <c r="Y146" s="32"/>
      <c r="Z146" s="32"/>
    </row>
    <row r="147" spans="1:26" ht="15" customHeight="1" x14ac:dyDescent="0.3">
      <c r="A147" s="45">
        <v>137</v>
      </c>
      <c r="B147" s="46" t="s">
        <v>296</v>
      </c>
      <c r="C147" s="46"/>
      <c r="D147" s="63"/>
      <c r="E147" s="59" t="s">
        <v>297</v>
      </c>
      <c r="F147" s="99"/>
      <c r="G147" s="49">
        <v>670</v>
      </c>
      <c r="H147" s="50">
        <v>9</v>
      </c>
      <c r="I147" s="51">
        <v>1</v>
      </c>
      <c r="J147" s="50" t="s">
        <v>39</v>
      </c>
      <c r="K147" s="52" t="s">
        <v>33</v>
      </c>
      <c r="L147" s="53" t="str">
        <f t="shared" si="0"/>
        <v>1grams</v>
      </c>
      <c r="M147" s="54">
        <f t="shared" si="1"/>
        <v>9</v>
      </c>
      <c r="N147" s="55" t="str">
        <f t="shared" si="2"/>
        <v>9 grams</v>
      </c>
      <c r="O147" s="56">
        <f t="shared" si="3"/>
        <v>6030</v>
      </c>
      <c r="P147" s="44">
        <f t="shared" si="6"/>
        <v>670</v>
      </c>
      <c r="Q147" s="66">
        <f t="shared" si="5"/>
        <v>0</v>
      </c>
      <c r="R147" s="32"/>
      <c r="S147" s="32"/>
      <c r="T147" s="32"/>
      <c r="U147" s="32"/>
      <c r="V147" s="32"/>
      <c r="W147" s="32"/>
      <c r="X147" s="32"/>
      <c r="Y147" s="32"/>
      <c r="Z147" s="32"/>
    </row>
    <row r="148" spans="1:26" ht="15" customHeight="1" x14ac:dyDescent="0.3">
      <c r="A148" s="45">
        <v>138</v>
      </c>
      <c r="B148" s="46" t="s">
        <v>298</v>
      </c>
      <c r="C148" s="46"/>
      <c r="D148" s="63"/>
      <c r="E148" s="59" t="s">
        <v>297</v>
      </c>
      <c r="F148" s="99"/>
      <c r="G148" s="49">
        <v>205</v>
      </c>
      <c r="H148" s="50">
        <v>12</v>
      </c>
      <c r="I148" s="51">
        <v>1</v>
      </c>
      <c r="J148" s="50" t="s">
        <v>39</v>
      </c>
      <c r="K148" s="52" t="s">
        <v>33</v>
      </c>
      <c r="L148" s="53" t="str">
        <f t="shared" si="0"/>
        <v>1grams</v>
      </c>
      <c r="M148" s="54">
        <f t="shared" si="1"/>
        <v>12</v>
      </c>
      <c r="N148" s="55" t="str">
        <f t="shared" si="2"/>
        <v>12 grams</v>
      </c>
      <c r="O148" s="56">
        <f t="shared" si="3"/>
        <v>2460</v>
      </c>
      <c r="P148" s="44">
        <f t="shared" si="6"/>
        <v>205</v>
      </c>
      <c r="Q148" s="66">
        <f t="shared" si="5"/>
        <v>0</v>
      </c>
      <c r="R148" s="32"/>
      <c r="S148" s="32"/>
      <c r="T148" s="32"/>
      <c r="U148" s="32"/>
      <c r="V148" s="32"/>
      <c r="W148" s="32"/>
      <c r="X148" s="32"/>
      <c r="Y148" s="32"/>
      <c r="Z148" s="32"/>
    </row>
    <row r="149" spans="1:26" ht="15" customHeight="1" x14ac:dyDescent="0.3">
      <c r="A149" s="45">
        <v>139</v>
      </c>
      <c r="B149" s="46" t="s">
        <v>299</v>
      </c>
      <c r="C149" s="46"/>
      <c r="D149" s="63"/>
      <c r="E149" s="59" t="s">
        <v>300</v>
      </c>
      <c r="F149" s="99"/>
      <c r="G149" s="49">
        <v>18.940000000000001</v>
      </c>
      <c r="H149" s="50">
        <v>30</v>
      </c>
      <c r="I149" s="51">
        <v>1</v>
      </c>
      <c r="J149" s="50" t="s">
        <v>301</v>
      </c>
      <c r="K149" s="52" t="s">
        <v>33</v>
      </c>
      <c r="L149" s="53" t="str">
        <f t="shared" si="0"/>
        <v>1pack</v>
      </c>
      <c r="M149" s="54">
        <f t="shared" si="1"/>
        <v>30</v>
      </c>
      <c r="N149" s="55" t="str">
        <f t="shared" si="2"/>
        <v>30 pack</v>
      </c>
      <c r="O149" s="56">
        <f t="shared" si="3"/>
        <v>568.20000000000005</v>
      </c>
      <c r="P149" s="44">
        <f t="shared" si="6"/>
        <v>18.940000000000001</v>
      </c>
      <c r="Q149" s="66">
        <f t="shared" si="5"/>
        <v>0</v>
      </c>
      <c r="R149" s="32"/>
      <c r="S149" s="32"/>
      <c r="T149" s="32"/>
      <c r="U149" s="32"/>
      <c r="V149" s="32"/>
      <c r="W149" s="32"/>
      <c r="X149" s="32"/>
      <c r="Y149" s="32"/>
      <c r="Z149" s="32"/>
    </row>
    <row r="150" spans="1:26" ht="15" customHeight="1" x14ac:dyDescent="0.3">
      <c r="A150" s="45">
        <v>140</v>
      </c>
      <c r="B150" s="46" t="s">
        <v>302</v>
      </c>
      <c r="C150" s="46"/>
      <c r="D150" s="63"/>
      <c r="E150" s="114" t="s">
        <v>303</v>
      </c>
      <c r="F150" s="99"/>
      <c r="G150" s="101">
        <v>100</v>
      </c>
      <c r="H150" s="71">
        <v>4</v>
      </c>
      <c r="I150" s="51">
        <v>1</v>
      </c>
      <c r="J150" s="51" t="s">
        <v>304</v>
      </c>
      <c r="K150" s="52" t="s">
        <v>33</v>
      </c>
      <c r="L150" s="53" t="str">
        <f t="shared" si="0"/>
        <v>1packs</v>
      </c>
      <c r="M150" s="54">
        <f t="shared" si="1"/>
        <v>4</v>
      </c>
      <c r="N150" s="55" t="str">
        <f t="shared" si="2"/>
        <v>4 packs</v>
      </c>
      <c r="O150" s="56">
        <f t="shared" si="3"/>
        <v>400</v>
      </c>
      <c r="P150" s="44">
        <f t="shared" si="6"/>
        <v>100</v>
      </c>
      <c r="Q150" s="66">
        <f t="shared" si="5"/>
        <v>0</v>
      </c>
      <c r="R150" s="32"/>
      <c r="S150" s="32"/>
      <c r="T150" s="32"/>
      <c r="U150" s="32"/>
      <c r="V150" s="32"/>
      <c r="W150" s="32"/>
      <c r="X150" s="32"/>
      <c r="Y150" s="32"/>
      <c r="Z150" s="32"/>
    </row>
    <row r="151" spans="1:26" ht="15" customHeight="1" x14ac:dyDescent="0.3">
      <c r="A151" s="45">
        <v>141</v>
      </c>
      <c r="B151" s="46" t="s">
        <v>305</v>
      </c>
      <c r="C151" s="46"/>
      <c r="D151" s="63"/>
      <c r="E151" s="78" t="s">
        <v>306</v>
      </c>
      <c r="F151" s="99"/>
      <c r="G151" s="79">
        <v>227</v>
      </c>
      <c r="H151" s="71">
        <v>1</v>
      </c>
      <c r="I151" s="51">
        <v>1</v>
      </c>
      <c r="J151" s="51" t="s">
        <v>32</v>
      </c>
      <c r="K151" s="52" t="s">
        <v>33</v>
      </c>
      <c r="L151" s="53" t="str">
        <f t="shared" si="0"/>
        <v>1ml</v>
      </c>
      <c r="M151" s="54">
        <f t="shared" si="1"/>
        <v>1</v>
      </c>
      <c r="N151" s="55" t="str">
        <f t="shared" si="2"/>
        <v>1 ml</v>
      </c>
      <c r="O151" s="56">
        <f t="shared" si="3"/>
        <v>227</v>
      </c>
      <c r="P151" s="44">
        <f t="shared" si="6"/>
        <v>227</v>
      </c>
      <c r="Q151" s="66">
        <f t="shared" si="5"/>
        <v>0</v>
      </c>
      <c r="R151" s="32"/>
      <c r="S151" s="32"/>
      <c r="T151" s="32"/>
      <c r="U151" s="32"/>
      <c r="V151" s="32"/>
      <c r="W151" s="32"/>
      <c r="X151" s="32"/>
      <c r="Y151" s="32"/>
      <c r="Z151" s="32"/>
    </row>
    <row r="152" spans="1:26" ht="15" customHeight="1" x14ac:dyDescent="0.3">
      <c r="A152" s="45">
        <v>142</v>
      </c>
      <c r="B152" s="46" t="s">
        <v>307</v>
      </c>
      <c r="C152" s="46"/>
      <c r="D152" s="63"/>
      <c r="E152" s="78" t="s">
        <v>308</v>
      </c>
      <c r="F152" s="99"/>
      <c r="G152" s="79">
        <v>220</v>
      </c>
      <c r="H152" s="71">
        <v>2</v>
      </c>
      <c r="I152" s="51">
        <v>1</v>
      </c>
      <c r="J152" s="51" t="s">
        <v>39</v>
      </c>
      <c r="K152" s="52" t="s">
        <v>33</v>
      </c>
      <c r="L152" s="53" t="str">
        <f t="shared" si="0"/>
        <v>1grams</v>
      </c>
      <c r="M152" s="54">
        <f t="shared" si="1"/>
        <v>2</v>
      </c>
      <c r="N152" s="55" t="str">
        <f t="shared" si="2"/>
        <v>2 grams</v>
      </c>
      <c r="O152" s="56">
        <f t="shared" si="3"/>
        <v>440</v>
      </c>
      <c r="P152" s="44">
        <f t="shared" si="6"/>
        <v>220</v>
      </c>
      <c r="Q152" s="66">
        <f t="shared" si="5"/>
        <v>0</v>
      </c>
      <c r="R152" s="32"/>
      <c r="S152" s="32"/>
      <c r="T152" s="32"/>
      <c r="U152" s="32"/>
      <c r="V152" s="32"/>
      <c r="W152" s="32"/>
      <c r="X152" s="32"/>
      <c r="Y152" s="32"/>
      <c r="Z152" s="32"/>
    </row>
    <row r="153" spans="1:26" ht="15" customHeight="1" x14ac:dyDescent="0.3">
      <c r="A153" s="45">
        <v>143</v>
      </c>
      <c r="B153" s="46" t="s">
        <v>309</v>
      </c>
      <c r="C153" s="46"/>
      <c r="D153" s="63"/>
      <c r="E153" s="78" t="s">
        <v>310</v>
      </c>
      <c r="F153" s="99"/>
      <c r="G153" s="79">
        <v>450</v>
      </c>
      <c r="H153" s="71">
        <v>1</v>
      </c>
      <c r="I153" s="51">
        <v>1</v>
      </c>
      <c r="J153" s="51" t="s">
        <v>39</v>
      </c>
      <c r="K153" s="52" t="s">
        <v>33</v>
      </c>
      <c r="L153" s="53" t="str">
        <f t="shared" si="0"/>
        <v>1grams</v>
      </c>
      <c r="M153" s="54">
        <f t="shared" si="1"/>
        <v>1</v>
      </c>
      <c r="N153" s="55" t="str">
        <f t="shared" si="2"/>
        <v>1 grams</v>
      </c>
      <c r="O153" s="56">
        <f t="shared" si="3"/>
        <v>450</v>
      </c>
      <c r="P153" s="44">
        <f t="shared" si="6"/>
        <v>450</v>
      </c>
      <c r="Q153" s="66">
        <f t="shared" si="5"/>
        <v>0</v>
      </c>
      <c r="R153" s="32"/>
      <c r="S153" s="32"/>
      <c r="T153" s="32"/>
      <c r="U153" s="32"/>
      <c r="V153" s="32"/>
      <c r="W153" s="32"/>
      <c r="X153" s="32"/>
      <c r="Y153" s="32"/>
      <c r="Z153" s="32"/>
    </row>
    <row r="154" spans="1:26" ht="15" customHeight="1" x14ac:dyDescent="0.3">
      <c r="A154" s="45">
        <v>144</v>
      </c>
      <c r="B154" s="46" t="s">
        <v>311</v>
      </c>
      <c r="C154" s="46"/>
      <c r="D154" s="63"/>
      <c r="E154" s="78" t="s">
        <v>312</v>
      </c>
      <c r="F154" s="99"/>
      <c r="G154" s="79">
        <v>390</v>
      </c>
      <c r="H154" s="71">
        <v>0.7</v>
      </c>
      <c r="I154" s="51">
        <v>1</v>
      </c>
      <c r="J154" s="51" t="s">
        <v>32</v>
      </c>
      <c r="K154" s="52" t="s">
        <v>33</v>
      </c>
      <c r="L154" s="53" t="str">
        <f t="shared" si="0"/>
        <v>1ml</v>
      </c>
      <c r="M154" s="54">
        <f t="shared" si="1"/>
        <v>0.7</v>
      </c>
      <c r="N154" s="55" t="str">
        <f t="shared" si="2"/>
        <v>0.7 ml</v>
      </c>
      <c r="O154" s="56">
        <f t="shared" si="3"/>
        <v>273</v>
      </c>
      <c r="P154" s="44">
        <f t="shared" si="6"/>
        <v>390</v>
      </c>
      <c r="Q154" s="66">
        <f t="shared" si="5"/>
        <v>0</v>
      </c>
      <c r="R154" s="32"/>
      <c r="S154" s="32"/>
      <c r="T154" s="32"/>
      <c r="U154" s="32"/>
      <c r="V154" s="32"/>
      <c r="W154" s="32"/>
      <c r="X154" s="32"/>
      <c r="Y154" s="32"/>
      <c r="Z154" s="32"/>
    </row>
    <row r="155" spans="1:26" ht="15" customHeight="1" x14ac:dyDescent="0.3">
      <c r="A155" s="45">
        <v>145</v>
      </c>
      <c r="B155" s="46" t="s">
        <v>313</v>
      </c>
      <c r="C155" s="46"/>
      <c r="D155" s="63"/>
      <c r="E155" s="78" t="s">
        <v>314</v>
      </c>
      <c r="F155" s="99"/>
      <c r="G155" s="79">
        <v>198</v>
      </c>
      <c r="H155" s="71">
        <v>2</v>
      </c>
      <c r="I155" s="51">
        <v>1</v>
      </c>
      <c r="J155" s="51" t="s">
        <v>39</v>
      </c>
      <c r="K155" s="52" t="s">
        <v>33</v>
      </c>
      <c r="L155" s="53" t="str">
        <f t="shared" si="0"/>
        <v>1grams</v>
      </c>
      <c r="M155" s="54">
        <f t="shared" si="1"/>
        <v>2</v>
      </c>
      <c r="N155" s="55" t="str">
        <f t="shared" si="2"/>
        <v>2 grams</v>
      </c>
      <c r="O155" s="56">
        <f t="shared" si="3"/>
        <v>396</v>
      </c>
      <c r="P155" s="44">
        <f t="shared" si="6"/>
        <v>198</v>
      </c>
      <c r="Q155" s="66">
        <f t="shared" si="5"/>
        <v>0</v>
      </c>
      <c r="R155" s="32"/>
      <c r="S155" s="32"/>
      <c r="T155" s="32"/>
      <c r="U155" s="32"/>
      <c r="V155" s="32"/>
      <c r="W155" s="32"/>
      <c r="X155" s="32"/>
      <c r="Y155" s="32"/>
      <c r="Z155" s="32"/>
    </row>
    <row r="156" spans="1:26" ht="15" customHeight="1" x14ac:dyDescent="0.3">
      <c r="A156" s="45">
        <v>146</v>
      </c>
      <c r="B156" s="46" t="s">
        <v>315</v>
      </c>
      <c r="C156" s="46"/>
      <c r="D156" s="63"/>
      <c r="E156" s="78" t="s">
        <v>316</v>
      </c>
      <c r="F156" s="99"/>
      <c r="G156" s="79">
        <v>57</v>
      </c>
      <c r="H156" s="71">
        <v>1</v>
      </c>
      <c r="I156" s="51">
        <v>1</v>
      </c>
      <c r="J156" s="51" t="s">
        <v>32</v>
      </c>
      <c r="K156" s="52" t="s">
        <v>33</v>
      </c>
      <c r="L156" s="53" t="str">
        <f t="shared" si="0"/>
        <v>1ml</v>
      </c>
      <c r="M156" s="54">
        <f t="shared" si="1"/>
        <v>1</v>
      </c>
      <c r="N156" s="55" t="str">
        <f t="shared" si="2"/>
        <v>1 ml</v>
      </c>
      <c r="O156" s="56">
        <f t="shared" si="3"/>
        <v>57</v>
      </c>
      <c r="P156" s="44">
        <f t="shared" si="6"/>
        <v>57</v>
      </c>
      <c r="Q156" s="66">
        <f t="shared" si="5"/>
        <v>0</v>
      </c>
      <c r="R156" s="32"/>
      <c r="S156" s="32"/>
      <c r="T156" s="32"/>
      <c r="U156" s="32"/>
      <c r="V156" s="32"/>
      <c r="W156" s="32"/>
      <c r="X156" s="32"/>
      <c r="Y156" s="32"/>
      <c r="Z156" s="32"/>
    </row>
    <row r="157" spans="1:26" ht="15" customHeight="1" x14ac:dyDescent="0.3">
      <c r="A157" s="45">
        <v>147</v>
      </c>
      <c r="B157" s="46" t="s">
        <v>317</v>
      </c>
      <c r="C157" s="46"/>
      <c r="D157" s="63"/>
      <c r="E157" s="78" t="s">
        <v>39</v>
      </c>
      <c r="F157" s="99"/>
      <c r="G157" s="79">
        <v>188</v>
      </c>
      <c r="H157" s="71">
        <v>2</v>
      </c>
      <c r="I157" s="51">
        <v>1</v>
      </c>
      <c r="J157" s="51" t="s">
        <v>39</v>
      </c>
      <c r="K157" s="52" t="s">
        <v>33</v>
      </c>
      <c r="L157" s="53" t="str">
        <f t="shared" si="0"/>
        <v>1grams</v>
      </c>
      <c r="M157" s="54">
        <f t="shared" si="1"/>
        <v>2</v>
      </c>
      <c r="N157" s="55" t="str">
        <f t="shared" si="2"/>
        <v>2 grams</v>
      </c>
      <c r="O157" s="56">
        <f t="shared" si="3"/>
        <v>376</v>
      </c>
      <c r="P157" s="44">
        <f t="shared" si="6"/>
        <v>188</v>
      </c>
      <c r="Q157" s="66">
        <f t="shared" si="5"/>
        <v>0</v>
      </c>
      <c r="R157" s="32"/>
      <c r="S157" s="32"/>
      <c r="T157" s="32"/>
      <c r="U157" s="32"/>
      <c r="V157" s="32"/>
      <c r="W157" s="32"/>
      <c r="X157" s="32"/>
      <c r="Y157" s="32"/>
      <c r="Z157" s="32"/>
    </row>
    <row r="158" spans="1:26" ht="15" customHeight="1" x14ac:dyDescent="0.3">
      <c r="A158" s="45">
        <v>148</v>
      </c>
      <c r="B158" s="46" t="s">
        <v>318</v>
      </c>
      <c r="C158" s="46"/>
      <c r="D158" s="63"/>
      <c r="E158" s="78" t="s">
        <v>319</v>
      </c>
      <c r="F158" s="99"/>
      <c r="G158" s="79">
        <v>38.700000000000003</v>
      </c>
      <c r="H158" s="71">
        <v>9</v>
      </c>
      <c r="I158" s="51">
        <v>1</v>
      </c>
      <c r="J158" s="51" t="s">
        <v>39</v>
      </c>
      <c r="K158" s="52" t="s">
        <v>33</v>
      </c>
      <c r="L158" s="53" t="str">
        <f t="shared" si="0"/>
        <v>1grams</v>
      </c>
      <c r="M158" s="54">
        <f t="shared" si="1"/>
        <v>9</v>
      </c>
      <c r="N158" s="55" t="str">
        <f t="shared" si="2"/>
        <v>9 grams</v>
      </c>
      <c r="O158" s="56">
        <f t="shared" si="3"/>
        <v>348.3</v>
      </c>
      <c r="P158" s="44">
        <f t="shared" si="6"/>
        <v>38.700000000000003</v>
      </c>
      <c r="Q158" s="66">
        <f t="shared" si="5"/>
        <v>0</v>
      </c>
      <c r="R158" s="32"/>
      <c r="S158" s="32"/>
      <c r="T158" s="32"/>
      <c r="U158" s="32"/>
      <c r="V158" s="32"/>
      <c r="W158" s="32"/>
      <c r="X158" s="32"/>
      <c r="Y158" s="32"/>
      <c r="Z158" s="32"/>
    </row>
    <row r="159" spans="1:26" ht="15" customHeight="1" x14ac:dyDescent="0.3">
      <c r="A159" s="45">
        <v>149</v>
      </c>
      <c r="B159" s="46" t="s">
        <v>320</v>
      </c>
      <c r="C159" s="46"/>
      <c r="D159" s="63"/>
      <c r="E159" s="78" t="s">
        <v>321</v>
      </c>
      <c r="F159" s="99"/>
      <c r="G159" s="79">
        <v>129.88999999999999</v>
      </c>
      <c r="H159" s="71">
        <v>22</v>
      </c>
      <c r="I159" s="51">
        <v>1</v>
      </c>
      <c r="J159" s="51" t="s">
        <v>39</v>
      </c>
      <c r="K159" s="52" t="s">
        <v>33</v>
      </c>
      <c r="L159" s="53" t="str">
        <f t="shared" si="0"/>
        <v>1grams</v>
      </c>
      <c r="M159" s="54">
        <f t="shared" si="1"/>
        <v>22</v>
      </c>
      <c r="N159" s="55" t="str">
        <f t="shared" si="2"/>
        <v>22 grams</v>
      </c>
      <c r="O159" s="56">
        <f t="shared" si="3"/>
        <v>2857.58</v>
      </c>
      <c r="P159" s="44">
        <f t="shared" si="6"/>
        <v>129.88999999999999</v>
      </c>
      <c r="Q159" s="66">
        <f t="shared" si="5"/>
        <v>0</v>
      </c>
      <c r="R159" s="32"/>
      <c r="S159" s="32"/>
      <c r="T159" s="32"/>
      <c r="U159" s="32"/>
      <c r="V159" s="32"/>
      <c r="W159" s="32"/>
      <c r="X159" s="32"/>
      <c r="Y159" s="32"/>
      <c r="Z159" s="32"/>
    </row>
    <row r="160" spans="1:26" ht="15" customHeight="1" x14ac:dyDescent="0.3">
      <c r="A160" s="45">
        <v>150</v>
      </c>
      <c r="B160" s="46" t="s">
        <v>322</v>
      </c>
      <c r="C160" s="46"/>
      <c r="D160" s="63"/>
      <c r="E160" s="78" t="s">
        <v>323</v>
      </c>
      <c r="F160" s="99"/>
      <c r="G160" s="79">
        <v>24.94</v>
      </c>
      <c r="H160" s="71">
        <v>48</v>
      </c>
      <c r="I160" s="51">
        <v>1</v>
      </c>
      <c r="J160" s="51" t="s">
        <v>92</v>
      </c>
      <c r="K160" s="52" t="s">
        <v>33</v>
      </c>
      <c r="L160" s="53" t="str">
        <f t="shared" si="0"/>
        <v>1pieces</v>
      </c>
      <c r="M160" s="54">
        <f t="shared" si="1"/>
        <v>48</v>
      </c>
      <c r="N160" s="55" t="str">
        <f t="shared" si="2"/>
        <v>48 pieces</v>
      </c>
      <c r="O160" s="56">
        <f t="shared" si="3"/>
        <v>1197.1200000000001</v>
      </c>
      <c r="P160" s="44">
        <f t="shared" si="6"/>
        <v>24.94</v>
      </c>
      <c r="Q160" s="66">
        <f t="shared" si="5"/>
        <v>0</v>
      </c>
      <c r="R160" s="32"/>
      <c r="S160" s="32"/>
      <c r="T160" s="32"/>
      <c r="U160" s="32"/>
      <c r="V160" s="32"/>
      <c r="W160" s="32"/>
      <c r="X160" s="32"/>
      <c r="Y160" s="32"/>
      <c r="Z160" s="32"/>
    </row>
    <row r="161" spans="1:26" ht="15" customHeight="1" x14ac:dyDescent="0.3">
      <c r="A161" s="45">
        <v>151</v>
      </c>
      <c r="B161" s="46" t="s">
        <v>324</v>
      </c>
      <c r="C161" s="46"/>
      <c r="D161" s="63"/>
      <c r="E161" s="78" t="s">
        <v>323</v>
      </c>
      <c r="F161" s="99"/>
      <c r="G161" s="79">
        <v>24.77</v>
      </c>
      <c r="H161" s="71">
        <v>48</v>
      </c>
      <c r="I161" s="51">
        <v>1</v>
      </c>
      <c r="J161" s="51" t="s">
        <v>92</v>
      </c>
      <c r="K161" s="52" t="s">
        <v>33</v>
      </c>
      <c r="L161" s="53" t="str">
        <f t="shared" si="0"/>
        <v>1pieces</v>
      </c>
      <c r="M161" s="54">
        <f t="shared" si="1"/>
        <v>48</v>
      </c>
      <c r="N161" s="55" t="str">
        <f t="shared" si="2"/>
        <v>48 pieces</v>
      </c>
      <c r="O161" s="56">
        <f t="shared" si="3"/>
        <v>1188.96</v>
      </c>
      <c r="P161" s="44">
        <f t="shared" si="6"/>
        <v>24.77</v>
      </c>
      <c r="Q161" s="66">
        <f t="shared" si="5"/>
        <v>0</v>
      </c>
      <c r="R161" s="32"/>
      <c r="S161" s="32"/>
      <c r="T161" s="32"/>
      <c r="U161" s="32"/>
      <c r="V161" s="32"/>
      <c r="W161" s="32"/>
      <c r="X161" s="32"/>
      <c r="Y161" s="32"/>
      <c r="Z161" s="32"/>
    </row>
    <row r="162" spans="1:26" ht="15" customHeight="1" x14ac:dyDescent="0.3">
      <c r="A162" s="45">
        <v>152</v>
      </c>
      <c r="B162" s="46" t="s">
        <v>325</v>
      </c>
      <c r="C162" s="46"/>
      <c r="D162" s="63"/>
      <c r="E162" s="78" t="s">
        <v>326</v>
      </c>
      <c r="F162" s="99"/>
      <c r="G162" s="79">
        <v>59.3</v>
      </c>
      <c r="H162" s="71">
        <v>7</v>
      </c>
      <c r="I162" s="51"/>
      <c r="J162" s="51" t="s">
        <v>39</v>
      </c>
      <c r="K162" s="52" t="s">
        <v>33</v>
      </c>
      <c r="L162" s="53" t="str">
        <f t="shared" si="0"/>
        <v>grams</v>
      </c>
      <c r="M162" s="54">
        <f t="shared" si="1"/>
        <v>0</v>
      </c>
      <c r="N162" s="55" t="str">
        <f t="shared" si="2"/>
        <v>0 grams</v>
      </c>
      <c r="O162" s="56">
        <f t="shared" si="3"/>
        <v>415.09999999999997</v>
      </c>
      <c r="P162" s="44">
        <f t="shared" si="6"/>
        <v>59.3</v>
      </c>
      <c r="Q162" s="66">
        <f t="shared" si="5"/>
        <v>0</v>
      </c>
      <c r="R162" s="32"/>
      <c r="S162" s="32"/>
      <c r="T162" s="32"/>
      <c r="U162" s="32"/>
      <c r="V162" s="32"/>
      <c r="W162" s="32"/>
      <c r="X162" s="32"/>
      <c r="Y162" s="32"/>
      <c r="Z162" s="32"/>
    </row>
    <row r="163" spans="1:26" ht="15" customHeight="1" x14ac:dyDescent="0.3">
      <c r="A163" s="45">
        <v>153</v>
      </c>
      <c r="B163" s="46" t="s">
        <v>327</v>
      </c>
      <c r="C163" s="46"/>
      <c r="D163" s="63"/>
      <c r="E163" s="78" t="s">
        <v>328</v>
      </c>
      <c r="F163" s="99"/>
      <c r="G163" s="79">
        <v>236.7</v>
      </c>
      <c r="H163" s="71">
        <v>4</v>
      </c>
      <c r="I163" s="51">
        <v>1</v>
      </c>
      <c r="J163" s="51" t="s">
        <v>39</v>
      </c>
      <c r="K163" s="52" t="s">
        <v>33</v>
      </c>
      <c r="L163" s="53" t="str">
        <f t="shared" si="0"/>
        <v>1grams</v>
      </c>
      <c r="M163" s="54">
        <f t="shared" si="1"/>
        <v>4</v>
      </c>
      <c r="N163" s="55" t="str">
        <f t="shared" si="2"/>
        <v>4 grams</v>
      </c>
      <c r="O163" s="56">
        <f t="shared" si="3"/>
        <v>946.8</v>
      </c>
      <c r="P163" s="44">
        <f t="shared" si="6"/>
        <v>236.7</v>
      </c>
      <c r="Q163" s="66">
        <f t="shared" si="5"/>
        <v>0</v>
      </c>
      <c r="R163" s="32"/>
      <c r="S163" s="32"/>
      <c r="T163" s="32"/>
      <c r="U163" s="32"/>
      <c r="V163" s="32"/>
      <c r="W163" s="32"/>
      <c r="X163" s="32"/>
      <c r="Y163" s="32"/>
      <c r="Z163" s="32"/>
    </row>
    <row r="164" spans="1:26" ht="15" customHeight="1" x14ac:dyDescent="0.3">
      <c r="A164" s="45">
        <v>154</v>
      </c>
      <c r="B164" s="46" t="s">
        <v>329</v>
      </c>
      <c r="C164" s="46"/>
      <c r="D164" s="63"/>
      <c r="E164" s="78" t="s">
        <v>49</v>
      </c>
      <c r="F164" s="99"/>
      <c r="G164" s="79">
        <v>291.60000000000002</v>
      </c>
      <c r="H164" s="71">
        <v>4</v>
      </c>
      <c r="I164" s="51">
        <v>1</v>
      </c>
      <c r="J164" s="51" t="s">
        <v>39</v>
      </c>
      <c r="K164" s="52" t="s">
        <v>33</v>
      </c>
      <c r="L164" s="53" t="str">
        <f t="shared" si="0"/>
        <v>1grams</v>
      </c>
      <c r="M164" s="54">
        <f t="shared" si="1"/>
        <v>4</v>
      </c>
      <c r="N164" s="55" t="str">
        <f t="shared" si="2"/>
        <v>4 grams</v>
      </c>
      <c r="O164" s="56">
        <f t="shared" si="3"/>
        <v>1166.4000000000001</v>
      </c>
      <c r="P164" s="44">
        <f t="shared" si="6"/>
        <v>291.60000000000002</v>
      </c>
      <c r="Q164" s="66">
        <f t="shared" si="5"/>
        <v>0</v>
      </c>
      <c r="R164" s="32"/>
      <c r="S164" s="32"/>
      <c r="T164" s="32"/>
      <c r="U164" s="32"/>
      <c r="V164" s="32"/>
      <c r="W164" s="32"/>
      <c r="X164" s="32"/>
      <c r="Y164" s="32"/>
      <c r="Z164" s="32"/>
    </row>
    <row r="165" spans="1:26" ht="15" customHeight="1" x14ac:dyDescent="0.3">
      <c r="A165" s="45">
        <v>155</v>
      </c>
      <c r="B165" s="46" t="s">
        <v>330</v>
      </c>
      <c r="C165" s="46"/>
      <c r="D165" s="63"/>
      <c r="E165" s="78" t="s">
        <v>326</v>
      </c>
      <c r="F165" s="99"/>
      <c r="G165" s="79">
        <v>65</v>
      </c>
      <c r="H165" s="71">
        <v>3</v>
      </c>
      <c r="I165" s="51">
        <v>1</v>
      </c>
      <c r="J165" s="51" t="s">
        <v>39</v>
      </c>
      <c r="K165" s="52" t="s">
        <v>33</v>
      </c>
      <c r="L165" s="53" t="str">
        <f t="shared" si="0"/>
        <v>1grams</v>
      </c>
      <c r="M165" s="54">
        <f t="shared" si="1"/>
        <v>3</v>
      </c>
      <c r="N165" s="55" t="str">
        <f t="shared" si="2"/>
        <v>3 grams</v>
      </c>
      <c r="O165" s="56">
        <f t="shared" si="3"/>
        <v>195</v>
      </c>
      <c r="P165" s="44">
        <f t="shared" si="6"/>
        <v>65</v>
      </c>
      <c r="Q165" s="66">
        <f t="shared" si="5"/>
        <v>0</v>
      </c>
      <c r="R165" s="32"/>
      <c r="S165" s="32"/>
      <c r="T165" s="32"/>
      <c r="U165" s="32"/>
      <c r="V165" s="32"/>
      <c r="W165" s="32"/>
      <c r="X165" s="32"/>
      <c r="Y165" s="32"/>
      <c r="Z165" s="32"/>
    </row>
    <row r="166" spans="1:26" ht="15" customHeight="1" x14ac:dyDescent="0.3">
      <c r="A166" s="45">
        <v>156</v>
      </c>
      <c r="B166" s="46" t="s">
        <v>331</v>
      </c>
      <c r="C166" s="46"/>
      <c r="D166" s="63"/>
      <c r="E166" s="78" t="s">
        <v>332</v>
      </c>
      <c r="F166" s="99"/>
      <c r="G166" s="79">
        <v>13.3</v>
      </c>
      <c r="H166" s="71">
        <v>20</v>
      </c>
      <c r="I166" s="51">
        <v>1</v>
      </c>
      <c r="J166" s="51" t="s">
        <v>301</v>
      </c>
      <c r="K166" s="52" t="s">
        <v>33</v>
      </c>
      <c r="L166" s="53" t="str">
        <f t="shared" si="0"/>
        <v>1pack</v>
      </c>
      <c r="M166" s="54">
        <f t="shared" si="1"/>
        <v>20</v>
      </c>
      <c r="N166" s="55" t="str">
        <f t="shared" si="2"/>
        <v>20 pack</v>
      </c>
      <c r="O166" s="56">
        <f t="shared" si="3"/>
        <v>266</v>
      </c>
      <c r="P166" s="44">
        <f t="shared" si="6"/>
        <v>13.3</v>
      </c>
      <c r="Q166" s="66">
        <f t="shared" si="5"/>
        <v>0</v>
      </c>
      <c r="R166" s="32"/>
      <c r="S166" s="32"/>
      <c r="T166" s="32"/>
      <c r="U166" s="32"/>
      <c r="V166" s="32"/>
      <c r="W166" s="32"/>
      <c r="X166" s="32"/>
      <c r="Y166" s="32"/>
      <c r="Z166" s="32"/>
    </row>
    <row r="167" spans="1:26" ht="15" customHeight="1" x14ac:dyDescent="0.3">
      <c r="A167" s="45">
        <v>157</v>
      </c>
      <c r="B167" s="46" t="s">
        <v>333</v>
      </c>
      <c r="C167" s="46"/>
      <c r="D167" s="63"/>
      <c r="E167" s="78" t="s">
        <v>334</v>
      </c>
      <c r="F167" s="99"/>
      <c r="G167" s="79">
        <f>7.5*8</f>
        <v>60</v>
      </c>
      <c r="H167" s="71">
        <v>20</v>
      </c>
      <c r="I167" s="51">
        <v>1</v>
      </c>
      <c r="J167" s="51" t="s">
        <v>301</v>
      </c>
      <c r="K167" s="52" t="s">
        <v>33</v>
      </c>
      <c r="L167" s="53" t="str">
        <f t="shared" si="0"/>
        <v>1pack</v>
      </c>
      <c r="M167" s="54">
        <f t="shared" si="1"/>
        <v>20</v>
      </c>
      <c r="N167" s="55" t="str">
        <f t="shared" si="2"/>
        <v>20 pack</v>
      </c>
      <c r="O167" s="56">
        <f t="shared" si="3"/>
        <v>1200</v>
      </c>
      <c r="P167" s="44">
        <f t="shared" si="6"/>
        <v>60</v>
      </c>
      <c r="Q167" s="66">
        <f t="shared" si="5"/>
        <v>0</v>
      </c>
      <c r="R167" s="32"/>
      <c r="S167" s="32"/>
      <c r="T167" s="32"/>
      <c r="U167" s="32"/>
      <c r="V167" s="32"/>
      <c r="W167" s="32"/>
      <c r="X167" s="32"/>
      <c r="Y167" s="32"/>
      <c r="Z167" s="32"/>
    </row>
    <row r="168" spans="1:26" ht="15" customHeight="1" x14ac:dyDescent="0.3">
      <c r="A168" s="45">
        <v>158</v>
      </c>
      <c r="B168" s="46" t="s">
        <v>335</v>
      </c>
      <c r="C168" s="46"/>
      <c r="D168" s="63"/>
      <c r="E168" s="78" t="s">
        <v>336</v>
      </c>
      <c r="F168" s="99"/>
      <c r="G168" s="79">
        <v>15.2</v>
      </c>
      <c r="H168" s="71">
        <v>30</v>
      </c>
      <c r="I168" s="51" t="s">
        <v>337</v>
      </c>
      <c r="J168" s="51" t="s">
        <v>92</v>
      </c>
      <c r="K168" s="52" t="s">
        <v>33</v>
      </c>
      <c r="L168" s="53" t="str">
        <f t="shared" si="0"/>
        <v>1`pieces</v>
      </c>
      <c r="M168" s="54" t="e">
        <f t="shared" si="1"/>
        <v>#VALUE!</v>
      </c>
      <c r="N168" s="55" t="e">
        <f t="shared" si="2"/>
        <v>#VALUE!</v>
      </c>
      <c r="O168" s="56">
        <f t="shared" si="3"/>
        <v>456</v>
      </c>
      <c r="P168" s="44">
        <f t="shared" si="6"/>
        <v>15.2</v>
      </c>
      <c r="Q168" s="66">
        <f t="shared" si="5"/>
        <v>0</v>
      </c>
      <c r="R168" s="32"/>
      <c r="S168" s="32"/>
      <c r="T168" s="32"/>
      <c r="U168" s="32"/>
      <c r="V168" s="32"/>
      <c r="W168" s="32"/>
      <c r="X168" s="32"/>
      <c r="Y168" s="32"/>
      <c r="Z168" s="32"/>
    </row>
    <row r="169" spans="1:26" ht="15" customHeight="1" x14ac:dyDescent="0.3">
      <c r="A169" s="45">
        <v>159</v>
      </c>
      <c r="B169" s="46" t="s">
        <v>338</v>
      </c>
      <c r="C169" s="46"/>
      <c r="D169" s="63"/>
      <c r="E169" s="78" t="s">
        <v>339</v>
      </c>
      <c r="F169" s="99"/>
      <c r="G169" s="79">
        <v>18.5</v>
      </c>
      <c r="H169" s="71">
        <v>198</v>
      </c>
      <c r="I169" s="51">
        <v>1</v>
      </c>
      <c r="J169" s="51" t="s">
        <v>92</v>
      </c>
      <c r="K169" s="52" t="s">
        <v>33</v>
      </c>
      <c r="L169" s="53" t="str">
        <f t="shared" si="0"/>
        <v>1pieces</v>
      </c>
      <c r="M169" s="54">
        <f t="shared" si="1"/>
        <v>198</v>
      </c>
      <c r="N169" s="55" t="str">
        <f t="shared" si="2"/>
        <v>198 pieces</v>
      </c>
      <c r="O169" s="56">
        <f t="shared" si="3"/>
        <v>3663</v>
      </c>
      <c r="P169" s="44">
        <f t="shared" si="6"/>
        <v>18.5</v>
      </c>
      <c r="Q169" s="66">
        <f t="shared" si="5"/>
        <v>0</v>
      </c>
      <c r="R169" s="32"/>
      <c r="S169" s="32"/>
      <c r="T169" s="32"/>
      <c r="U169" s="32"/>
      <c r="V169" s="32"/>
      <c r="W169" s="32"/>
      <c r="X169" s="32"/>
      <c r="Y169" s="32"/>
      <c r="Z169" s="32"/>
    </row>
    <row r="170" spans="1:26" ht="15" customHeight="1" x14ac:dyDescent="0.3">
      <c r="A170" s="45">
        <v>160</v>
      </c>
      <c r="B170" s="46" t="s">
        <v>340</v>
      </c>
      <c r="C170" s="46"/>
      <c r="D170" s="63"/>
      <c r="E170" s="78" t="s">
        <v>341</v>
      </c>
      <c r="F170" s="99"/>
      <c r="G170" s="79">
        <v>57.41</v>
      </c>
      <c r="H170" s="71">
        <v>2</v>
      </c>
      <c r="I170" s="51">
        <v>1</v>
      </c>
      <c r="J170" s="51" t="s">
        <v>92</v>
      </c>
      <c r="K170" s="52" t="s">
        <v>33</v>
      </c>
      <c r="L170" s="53" t="str">
        <f t="shared" si="0"/>
        <v>1pieces</v>
      </c>
      <c r="M170" s="54">
        <f t="shared" si="1"/>
        <v>2</v>
      </c>
      <c r="N170" s="55" t="str">
        <f t="shared" si="2"/>
        <v>2 pieces</v>
      </c>
      <c r="O170" s="56">
        <f t="shared" si="3"/>
        <v>114.82</v>
      </c>
      <c r="P170" s="44">
        <f t="shared" si="6"/>
        <v>57.41</v>
      </c>
      <c r="Q170" s="66">
        <f t="shared" si="5"/>
        <v>0</v>
      </c>
      <c r="R170" s="32"/>
      <c r="S170" s="32"/>
      <c r="T170" s="32"/>
      <c r="U170" s="32"/>
      <c r="V170" s="32"/>
      <c r="W170" s="32"/>
      <c r="X170" s="32"/>
      <c r="Y170" s="32"/>
      <c r="Z170" s="32"/>
    </row>
    <row r="171" spans="1:26" ht="15" customHeight="1" x14ac:dyDescent="0.3">
      <c r="A171" s="45">
        <v>161</v>
      </c>
      <c r="B171" s="46" t="s">
        <v>340</v>
      </c>
      <c r="C171" s="46"/>
      <c r="D171" s="63"/>
      <c r="E171" s="78" t="s">
        <v>342</v>
      </c>
      <c r="F171" s="99"/>
      <c r="G171" s="79">
        <v>7.5</v>
      </c>
      <c r="H171" s="71">
        <v>343</v>
      </c>
      <c r="I171" s="51">
        <v>1</v>
      </c>
      <c r="J171" s="51" t="s">
        <v>92</v>
      </c>
      <c r="K171" s="52"/>
      <c r="L171" s="53"/>
      <c r="M171" s="54"/>
      <c r="N171" s="55" t="str">
        <f t="shared" si="2"/>
        <v>pieces</v>
      </c>
      <c r="O171" s="56">
        <f t="shared" si="3"/>
        <v>2572.5</v>
      </c>
      <c r="P171" s="44"/>
      <c r="Q171" s="66"/>
      <c r="R171" s="32"/>
      <c r="S171" s="32"/>
      <c r="T171" s="32"/>
      <c r="U171" s="32"/>
      <c r="V171" s="32"/>
      <c r="W171" s="32"/>
      <c r="X171" s="32"/>
      <c r="Y171" s="32"/>
      <c r="Z171" s="32"/>
    </row>
    <row r="172" spans="1:26" ht="15" customHeight="1" x14ac:dyDescent="0.3">
      <c r="A172" s="45">
        <v>162</v>
      </c>
      <c r="B172" s="46" t="s">
        <v>343</v>
      </c>
      <c r="C172" s="46"/>
      <c r="D172" s="63"/>
      <c r="E172" s="78"/>
      <c r="F172" s="99"/>
      <c r="G172" s="79">
        <v>47</v>
      </c>
      <c r="H172" s="71">
        <v>4</v>
      </c>
      <c r="I172" s="51">
        <v>1</v>
      </c>
      <c r="J172" s="51" t="s">
        <v>304</v>
      </c>
      <c r="K172" s="52"/>
      <c r="L172" s="53"/>
      <c r="M172" s="54"/>
      <c r="N172" s="55" t="str">
        <f t="shared" si="2"/>
        <v>packs</v>
      </c>
      <c r="O172" s="56">
        <f t="shared" si="3"/>
        <v>188</v>
      </c>
      <c r="P172" s="44"/>
      <c r="Q172" s="66"/>
      <c r="R172" s="32"/>
      <c r="S172" s="32"/>
      <c r="T172" s="32"/>
      <c r="U172" s="32"/>
      <c r="V172" s="32"/>
      <c r="W172" s="32"/>
      <c r="X172" s="32"/>
      <c r="Y172" s="32"/>
      <c r="Z172" s="32"/>
    </row>
    <row r="173" spans="1:26" ht="15" customHeight="1" x14ac:dyDescent="0.3">
      <c r="A173" s="45">
        <v>163</v>
      </c>
      <c r="B173" s="46" t="s">
        <v>344</v>
      </c>
      <c r="C173" s="46"/>
      <c r="D173" s="63"/>
      <c r="E173" s="78"/>
      <c r="F173" s="99"/>
      <c r="G173" s="79">
        <v>45</v>
      </c>
      <c r="H173" s="71">
        <v>3</v>
      </c>
      <c r="I173" s="51">
        <v>1</v>
      </c>
      <c r="J173" s="51" t="s">
        <v>304</v>
      </c>
      <c r="K173" s="52"/>
      <c r="L173" s="53"/>
      <c r="M173" s="54"/>
      <c r="N173" s="55" t="str">
        <f t="shared" si="2"/>
        <v>packs</v>
      </c>
      <c r="O173" s="56">
        <f t="shared" si="3"/>
        <v>135</v>
      </c>
      <c r="P173" s="44"/>
      <c r="Q173" s="66"/>
      <c r="R173" s="32"/>
      <c r="S173" s="32"/>
      <c r="T173" s="32"/>
      <c r="U173" s="32"/>
      <c r="V173" s="32"/>
      <c r="W173" s="32"/>
      <c r="X173" s="32"/>
      <c r="Y173" s="32"/>
      <c r="Z173" s="32"/>
    </row>
    <row r="174" spans="1:26" ht="15" customHeight="1" x14ac:dyDescent="0.3">
      <c r="A174" s="45">
        <v>164</v>
      </c>
      <c r="B174" s="46" t="s">
        <v>345</v>
      </c>
      <c r="C174" s="46"/>
      <c r="D174" s="63"/>
      <c r="E174" s="78" t="s">
        <v>346</v>
      </c>
      <c r="F174" s="99"/>
      <c r="G174" s="79">
        <v>1.25</v>
      </c>
      <c r="H174" s="71">
        <v>300</v>
      </c>
      <c r="I174" s="51">
        <v>1</v>
      </c>
      <c r="J174" s="51" t="s">
        <v>92</v>
      </c>
      <c r="K174" s="52"/>
      <c r="L174" s="53"/>
      <c r="M174" s="54"/>
      <c r="N174" s="55" t="str">
        <f t="shared" si="2"/>
        <v>pieces</v>
      </c>
      <c r="O174" s="56">
        <f t="shared" si="3"/>
        <v>375</v>
      </c>
      <c r="P174" s="44"/>
      <c r="Q174" s="66"/>
      <c r="R174" s="32"/>
      <c r="S174" s="32"/>
      <c r="T174" s="32"/>
      <c r="U174" s="32"/>
      <c r="V174" s="32"/>
      <c r="W174" s="32"/>
      <c r="X174" s="32"/>
      <c r="Y174" s="32"/>
      <c r="Z174" s="32"/>
    </row>
    <row r="175" spans="1:26" ht="15" customHeight="1" x14ac:dyDescent="0.3">
      <c r="A175" s="45">
        <v>165</v>
      </c>
      <c r="B175" s="46" t="s">
        <v>347</v>
      </c>
      <c r="C175" s="46"/>
      <c r="D175" s="63"/>
      <c r="E175" s="78" t="s">
        <v>348</v>
      </c>
      <c r="F175" s="99"/>
      <c r="G175" s="79">
        <v>77</v>
      </c>
      <c r="H175" s="71">
        <v>18</v>
      </c>
      <c r="I175" s="51">
        <v>1</v>
      </c>
      <c r="J175" s="51" t="s">
        <v>92</v>
      </c>
      <c r="K175" s="52"/>
      <c r="L175" s="53"/>
      <c r="M175" s="54"/>
      <c r="N175" s="55" t="str">
        <f t="shared" si="2"/>
        <v>pieces</v>
      </c>
      <c r="O175" s="56">
        <f t="shared" si="3"/>
        <v>1386</v>
      </c>
      <c r="P175" s="44"/>
      <c r="Q175" s="66"/>
      <c r="R175" s="32"/>
      <c r="S175" s="32"/>
      <c r="T175" s="32"/>
      <c r="U175" s="32"/>
      <c r="V175" s="32"/>
      <c r="W175" s="32"/>
      <c r="X175" s="32"/>
      <c r="Y175" s="32"/>
      <c r="Z175" s="32"/>
    </row>
    <row r="176" spans="1:26" ht="15" customHeight="1" x14ac:dyDescent="0.3">
      <c r="A176" s="45">
        <v>166</v>
      </c>
      <c r="B176" s="46" t="s">
        <v>349</v>
      </c>
      <c r="C176" s="46"/>
      <c r="D176" s="63"/>
      <c r="E176" s="78" t="s">
        <v>350</v>
      </c>
      <c r="F176" s="99"/>
      <c r="G176" s="79">
        <v>51.9</v>
      </c>
      <c r="H176" s="71">
        <v>5.19</v>
      </c>
      <c r="I176" s="51">
        <v>1</v>
      </c>
      <c r="J176" s="51" t="s">
        <v>92</v>
      </c>
      <c r="K176" s="52"/>
      <c r="L176" s="53"/>
      <c r="M176" s="54"/>
      <c r="N176" s="55" t="str">
        <f t="shared" si="2"/>
        <v>pieces</v>
      </c>
      <c r="O176" s="56">
        <f t="shared" si="3"/>
        <v>269.36099999999999</v>
      </c>
      <c r="P176" s="44"/>
      <c r="Q176" s="66"/>
      <c r="R176" s="32"/>
      <c r="S176" s="32"/>
      <c r="T176" s="32"/>
      <c r="U176" s="32"/>
      <c r="V176" s="32"/>
      <c r="W176" s="32"/>
      <c r="X176" s="32"/>
      <c r="Y176" s="32"/>
      <c r="Z176" s="32"/>
    </row>
    <row r="177" spans="1:26" ht="15" customHeight="1" x14ac:dyDescent="0.3">
      <c r="A177" s="45">
        <v>167</v>
      </c>
      <c r="B177" s="46" t="s">
        <v>351</v>
      </c>
      <c r="C177" s="46"/>
      <c r="D177" s="63"/>
      <c r="E177" s="78" t="s">
        <v>352</v>
      </c>
      <c r="F177" s="99"/>
      <c r="G177" s="79">
        <v>74</v>
      </c>
      <c r="H177" s="71">
        <v>3</v>
      </c>
      <c r="I177" s="51">
        <v>1</v>
      </c>
      <c r="J177" s="51" t="s">
        <v>304</v>
      </c>
      <c r="K177" s="52"/>
      <c r="L177" s="53"/>
      <c r="M177" s="54"/>
      <c r="N177" s="55" t="str">
        <f t="shared" si="2"/>
        <v>packs</v>
      </c>
      <c r="O177" s="56">
        <f t="shared" si="3"/>
        <v>222</v>
      </c>
      <c r="P177" s="44"/>
      <c r="Q177" s="66"/>
      <c r="R177" s="32"/>
      <c r="S177" s="32"/>
      <c r="T177" s="32"/>
      <c r="U177" s="32"/>
      <c r="V177" s="32"/>
      <c r="W177" s="32"/>
      <c r="X177" s="32"/>
      <c r="Y177" s="32"/>
      <c r="Z177" s="32"/>
    </row>
    <row r="178" spans="1:26" ht="15" customHeight="1" x14ac:dyDescent="0.3">
      <c r="A178" s="45">
        <v>168</v>
      </c>
      <c r="B178" s="46" t="s">
        <v>353</v>
      </c>
      <c r="C178" s="46"/>
      <c r="D178" s="63"/>
      <c r="E178" s="78" t="s">
        <v>354</v>
      </c>
      <c r="F178" s="99"/>
      <c r="G178" s="79">
        <v>52.64</v>
      </c>
      <c r="H178" s="71">
        <v>70</v>
      </c>
      <c r="I178" s="51">
        <v>1</v>
      </c>
      <c r="J178" s="51" t="s">
        <v>92</v>
      </c>
      <c r="K178" s="52"/>
      <c r="L178" s="53"/>
      <c r="M178" s="54"/>
      <c r="N178" s="55" t="str">
        <f t="shared" si="2"/>
        <v>pieces</v>
      </c>
      <c r="O178" s="56">
        <f t="shared" si="3"/>
        <v>3684.8</v>
      </c>
      <c r="P178" s="44"/>
      <c r="Q178" s="66"/>
      <c r="R178" s="32"/>
      <c r="S178" s="32"/>
      <c r="T178" s="32"/>
      <c r="U178" s="32"/>
      <c r="V178" s="32"/>
      <c r="W178" s="32"/>
      <c r="X178" s="32"/>
      <c r="Y178" s="32"/>
      <c r="Z178" s="32"/>
    </row>
    <row r="179" spans="1:26" ht="15" customHeight="1" x14ac:dyDescent="0.3">
      <c r="A179" s="45">
        <v>169</v>
      </c>
      <c r="B179" s="46" t="s">
        <v>355</v>
      </c>
      <c r="C179" s="46"/>
      <c r="D179" s="63"/>
      <c r="E179" s="78" t="s">
        <v>356</v>
      </c>
      <c r="F179" s="99"/>
      <c r="G179" s="79">
        <v>15</v>
      </c>
      <c r="H179" s="71">
        <v>6</v>
      </c>
      <c r="I179" s="51">
        <v>1</v>
      </c>
      <c r="J179" s="51" t="s">
        <v>304</v>
      </c>
      <c r="K179" s="52"/>
      <c r="L179" s="53"/>
      <c r="M179" s="54"/>
      <c r="N179" s="55" t="str">
        <f t="shared" si="2"/>
        <v>packs</v>
      </c>
      <c r="O179" s="56">
        <f t="shared" si="3"/>
        <v>90</v>
      </c>
      <c r="P179" s="44"/>
      <c r="Q179" s="66"/>
      <c r="R179" s="32"/>
      <c r="S179" s="32"/>
      <c r="T179" s="32"/>
      <c r="U179" s="32"/>
      <c r="V179" s="32"/>
      <c r="W179" s="32"/>
      <c r="X179" s="32"/>
      <c r="Y179" s="32"/>
      <c r="Z179" s="32"/>
    </row>
    <row r="180" spans="1:26" ht="15" customHeight="1" x14ac:dyDescent="0.3">
      <c r="A180" s="45">
        <v>170</v>
      </c>
      <c r="B180" s="46" t="s">
        <v>357</v>
      </c>
      <c r="C180" s="46"/>
      <c r="D180" s="63"/>
      <c r="E180" s="78" t="s">
        <v>212</v>
      </c>
      <c r="F180" s="99"/>
      <c r="G180" s="79">
        <v>196</v>
      </c>
      <c r="H180" s="71">
        <v>67</v>
      </c>
      <c r="I180" s="51">
        <v>1</v>
      </c>
      <c r="J180" s="51" t="s">
        <v>213</v>
      </c>
      <c r="K180" s="52"/>
      <c r="L180" s="53"/>
      <c r="M180" s="54"/>
      <c r="N180" s="55" t="str">
        <f t="shared" si="2"/>
        <v>kilos</v>
      </c>
      <c r="O180" s="56">
        <f t="shared" si="3"/>
        <v>13132</v>
      </c>
      <c r="P180" s="44"/>
      <c r="Q180" s="66"/>
      <c r="R180" s="32"/>
      <c r="S180" s="32"/>
      <c r="T180" s="32"/>
      <c r="U180" s="32"/>
      <c r="V180" s="32"/>
      <c r="W180" s="32"/>
      <c r="X180" s="32"/>
      <c r="Y180" s="32"/>
      <c r="Z180" s="32"/>
    </row>
    <row r="181" spans="1:26" ht="15" customHeight="1" x14ac:dyDescent="0.3">
      <c r="A181" s="45">
        <v>171</v>
      </c>
      <c r="B181" s="46" t="s">
        <v>358</v>
      </c>
      <c r="C181" s="46"/>
      <c r="D181" s="63"/>
      <c r="E181" s="78" t="s">
        <v>212</v>
      </c>
      <c r="F181" s="99"/>
      <c r="G181" s="79">
        <v>220</v>
      </c>
      <c r="H181" s="71">
        <v>222</v>
      </c>
      <c r="I181" s="51">
        <v>1</v>
      </c>
      <c r="J181" s="51" t="s">
        <v>213</v>
      </c>
      <c r="K181" s="52"/>
      <c r="L181" s="53"/>
      <c r="M181" s="54"/>
      <c r="N181" s="55" t="str">
        <f t="shared" si="2"/>
        <v>kilos</v>
      </c>
      <c r="O181" s="56">
        <f t="shared" si="3"/>
        <v>48840</v>
      </c>
      <c r="P181" s="44"/>
      <c r="Q181" s="66"/>
      <c r="R181" s="32"/>
      <c r="S181" s="32"/>
      <c r="T181" s="32"/>
      <c r="U181" s="32"/>
      <c r="V181" s="32"/>
      <c r="W181" s="32"/>
      <c r="X181" s="32"/>
      <c r="Y181" s="32"/>
      <c r="Z181" s="32"/>
    </row>
    <row r="182" spans="1:26" ht="15" customHeight="1" x14ac:dyDescent="0.3">
      <c r="A182" s="45">
        <v>172</v>
      </c>
      <c r="B182" s="46" t="s">
        <v>359</v>
      </c>
      <c r="C182" s="46"/>
      <c r="D182" s="63"/>
      <c r="E182" s="78" t="s">
        <v>360</v>
      </c>
      <c r="F182" s="99"/>
      <c r="G182" s="79">
        <v>282</v>
      </c>
      <c r="H182" s="71">
        <v>47</v>
      </c>
      <c r="I182" s="51">
        <v>1</v>
      </c>
      <c r="J182" s="51" t="s">
        <v>213</v>
      </c>
      <c r="K182" s="52"/>
      <c r="L182" s="53"/>
      <c r="M182" s="54"/>
      <c r="N182" s="55" t="str">
        <f t="shared" si="2"/>
        <v>kilos</v>
      </c>
      <c r="O182" s="56">
        <f t="shared" si="3"/>
        <v>13254</v>
      </c>
      <c r="P182" s="44"/>
      <c r="Q182" s="66"/>
      <c r="R182" s="32"/>
      <c r="S182" s="32"/>
      <c r="T182" s="32"/>
      <c r="U182" s="32"/>
      <c r="V182" s="32"/>
      <c r="W182" s="32"/>
      <c r="X182" s="32"/>
      <c r="Y182" s="32"/>
      <c r="Z182" s="32"/>
    </row>
    <row r="183" spans="1:26" ht="15" customHeight="1" x14ac:dyDescent="0.3">
      <c r="A183" s="45">
        <v>173</v>
      </c>
      <c r="B183" s="46" t="s">
        <v>361</v>
      </c>
      <c r="C183" s="46"/>
      <c r="D183" s="63"/>
      <c r="E183" s="78" t="s">
        <v>212</v>
      </c>
      <c r="F183" s="99"/>
      <c r="G183" s="79">
        <v>139</v>
      </c>
      <c r="H183" s="71">
        <v>74</v>
      </c>
      <c r="I183" s="51">
        <v>1</v>
      </c>
      <c r="J183" s="51" t="s">
        <v>213</v>
      </c>
      <c r="K183" s="52"/>
      <c r="L183" s="53"/>
      <c r="M183" s="54"/>
      <c r="N183" s="55" t="str">
        <f t="shared" si="2"/>
        <v>kilos</v>
      </c>
      <c r="O183" s="56">
        <f t="shared" si="3"/>
        <v>10286</v>
      </c>
      <c r="P183" s="44"/>
      <c r="Q183" s="66"/>
      <c r="R183" s="32"/>
      <c r="S183" s="32"/>
      <c r="T183" s="32"/>
      <c r="U183" s="32"/>
      <c r="V183" s="32"/>
      <c r="W183" s="32"/>
      <c r="X183" s="32"/>
      <c r="Y183" s="32"/>
      <c r="Z183" s="32"/>
    </row>
    <row r="184" spans="1:26" ht="15" customHeight="1" x14ac:dyDescent="0.3">
      <c r="A184" s="45">
        <v>174</v>
      </c>
      <c r="B184" s="46" t="s">
        <v>362</v>
      </c>
      <c r="C184" s="46"/>
      <c r="D184" s="63"/>
      <c r="E184" s="78" t="s">
        <v>363</v>
      </c>
      <c r="F184" s="99"/>
      <c r="G184" s="79">
        <v>205</v>
      </c>
      <c r="H184" s="71">
        <v>67</v>
      </c>
      <c r="I184" s="51">
        <v>1</v>
      </c>
      <c r="J184" s="51" t="s">
        <v>213</v>
      </c>
      <c r="K184" s="52"/>
      <c r="L184" s="53"/>
      <c r="M184" s="54"/>
      <c r="N184" s="55" t="str">
        <f t="shared" si="2"/>
        <v>kilos</v>
      </c>
      <c r="O184" s="56">
        <f t="shared" si="3"/>
        <v>13735</v>
      </c>
      <c r="P184" s="44"/>
      <c r="Q184" s="66"/>
      <c r="R184" s="32"/>
      <c r="S184" s="32"/>
      <c r="T184" s="32"/>
      <c r="U184" s="32"/>
      <c r="V184" s="32"/>
      <c r="W184" s="32"/>
      <c r="X184" s="32"/>
      <c r="Y184" s="32"/>
      <c r="Z184" s="32"/>
    </row>
    <row r="185" spans="1:26" ht="15" customHeight="1" x14ac:dyDescent="0.3">
      <c r="A185" s="45">
        <v>175</v>
      </c>
      <c r="B185" s="46" t="s">
        <v>364</v>
      </c>
      <c r="C185" s="46"/>
      <c r="D185" s="63"/>
      <c r="E185" s="78" t="s">
        <v>365</v>
      </c>
      <c r="F185" s="99"/>
      <c r="G185" s="79">
        <v>48.8</v>
      </c>
      <c r="H185" s="71">
        <v>405</v>
      </c>
      <c r="I185" s="51">
        <v>1</v>
      </c>
      <c r="J185" s="51" t="s">
        <v>213</v>
      </c>
      <c r="K185" s="52"/>
      <c r="L185" s="53"/>
      <c r="M185" s="54"/>
      <c r="N185" s="55" t="str">
        <f t="shared" si="2"/>
        <v>kilos</v>
      </c>
      <c r="O185" s="56">
        <f t="shared" si="3"/>
        <v>19764</v>
      </c>
      <c r="P185" s="44"/>
      <c r="Q185" s="66"/>
      <c r="R185" s="32"/>
      <c r="S185" s="32"/>
      <c r="T185" s="32"/>
      <c r="U185" s="32"/>
      <c r="V185" s="32"/>
      <c r="W185" s="32"/>
      <c r="X185" s="32"/>
      <c r="Y185" s="32"/>
      <c r="Z185" s="32"/>
    </row>
    <row r="186" spans="1:26" ht="15" customHeight="1" x14ac:dyDescent="0.3">
      <c r="A186" s="45">
        <v>176</v>
      </c>
      <c r="B186" s="46" t="s">
        <v>366</v>
      </c>
      <c r="C186" s="46"/>
      <c r="D186" s="63"/>
      <c r="E186" s="78" t="s">
        <v>367</v>
      </c>
      <c r="F186" s="99"/>
      <c r="G186" s="79">
        <v>85</v>
      </c>
      <c r="H186" s="71">
        <v>10</v>
      </c>
      <c r="I186" s="51">
        <v>1</v>
      </c>
      <c r="J186" s="51" t="s">
        <v>213</v>
      </c>
      <c r="K186" s="52"/>
      <c r="L186" s="53"/>
      <c r="M186" s="54"/>
      <c r="N186" s="55" t="str">
        <f t="shared" si="2"/>
        <v>kilos</v>
      </c>
      <c r="O186" s="56">
        <f t="shared" si="3"/>
        <v>850</v>
      </c>
      <c r="P186" s="44"/>
      <c r="Q186" s="66"/>
      <c r="R186" s="32"/>
      <c r="S186" s="32"/>
      <c r="T186" s="32"/>
      <c r="U186" s="32"/>
      <c r="V186" s="32"/>
      <c r="W186" s="32"/>
      <c r="X186" s="32"/>
      <c r="Y186" s="32"/>
      <c r="Z186" s="32"/>
    </row>
    <row r="187" spans="1:26" ht="15" customHeight="1" x14ac:dyDescent="0.3">
      <c r="A187" s="45">
        <v>177</v>
      </c>
      <c r="B187" s="46" t="s">
        <v>368</v>
      </c>
      <c r="C187" s="46"/>
      <c r="D187" s="63"/>
      <c r="E187" s="78" t="s">
        <v>369</v>
      </c>
      <c r="F187" s="99"/>
      <c r="G187" s="79">
        <v>5.7</v>
      </c>
      <c r="H187" s="71">
        <v>370</v>
      </c>
      <c r="I187" s="51">
        <v>1</v>
      </c>
      <c r="J187" s="51" t="s">
        <v>92</v>
      </c>
      <c r="K187" s="52"/>
      <c r="L187" s="53"/>
      <c r="M187" s="54"/>
      <c r="N187" s="55" t="str">
        <f t="shared" si="2"/>
        <v>pieces</v>
      </c>
      <c r="O187" s="56">
        <f t="shared" si="3"/>
        <v>2109</v>
      </c>
      <c r="P187" s="44"/>
      <c r="Q187" s="66"/>
      <c r="R187" s="32"/>
      <c r="S187" s="32"/>
      <c r="T187" s="32"/>
      <c r="U187" s="32"/>
      <c r="V187" s="32"/>
      <c r="W187" s="32"/>
      <c r="X187" s="32"/>
      <c r="Y187" s="32"/>
      <c r="Z187" s="32"/>
    </row>
    <row r="188" spans="1:26" ht="15" customHeight="1" x14ac:dyDescent="0.3">
      <c r="A188" s="45">
        <v>178</v>
      </c>
      <c r="B188" s="46" t="s">
        <v>370</v>
      </c>
      <c r="C188" s="46"/>
      <c r="D188" s="63"/>
      <c r="E188" s="78" t="s">
        <v>371</v>
      </c>
      <c r="F188" s="99"/>
      <c r="G188" s="79">
        <v>5.7</v>
      </c>
      <c r="H188" s="71">
        <v>375</v>
      </c>
      <c r="I188" s="51">
        <v>1</v>
      </c>
      <c r="J188" s="51" t="s">
        <v>92</v>
      </c>
      <c r="K188" s="52"/>
      <c r="L188" s="53"/>
      <c r="M188" s="54"/>
      <c r="N188" s="55" t="str">
        <f t="shared" si="2"/>
        <v>pieces</v>
      </c>
      <c r="O188" s="56">
        <f t="shared" si="3"/>
        <v>2137.5</v>
      </c>
      <c r="P188" s="44"/>
      <c r="Q188" s="66"/>
      <c r="R188" s="32"/>
      <c r="S188" s="32"/>
      <c r="T188" s="32"/>
      <c r="U188" s="32"/>
      <c r="V188" s="32"/>
      <c r="W188" s="32"/>
      <c r="X188" s="32"/>
      <c r="Y188" s="32"/>
      <c r="Z188" s="32"/>
    </row>
    <row r="189" spans="1:26" ht="15" customHeight="1" x14ac:dyDescent="0.3">
      <c r="A189" s="45">
        <v>179</v>
      </c>
      <c r="B189" s="46" t="s">
        <v>372</v>
      </c>
      <c r="C189" s="46"/>
      <c r="D189" s="63"/>
      <c r="E189" s="78" t="s">
        <v>373</v>
      </c>
      <c r="F189" s="99"/>
      <c r="G189" s="79">
        <v>21.26</v>
      </c>
      <c r="H189" s="71">
        <v>60</v>
      </c>
      <c r="I189" s="51">
        <v>1</v>
      </c>
      <c r="J189" s="51" t="s">
        <v>92</v>
      </c>
      <c r="K189" s="52"/>
      <c r="L189" s="53"/>
      <c r="M189" s="54"/>
      <c r="N189" s="55" t="str">
        <f t="shared" si="2"/>
        <v>pieces</v>
      </c>
      <c r="O189" s="56">
        <f t="shared" si="3"/>
        <v>1275.6000000000001</v>
      </c>
      <c r="P189" s="44"/>
      <c r="Q189" s="66"/>
      <c r="R189" s="32"/>
      <c r="S189" s="32"/>
      <c r="T189" s="32"/>
      <c r="U189" s="32"/>
      <c r="V189" s="32"/>
      <c r="W189" s="32"/>
      <c r="X189" s="32"/>
      <c r="Y189" s="32"/>
      <c r="Z189" s="32"/>
    </row>
    <row r="190" spans="1:26" ht="15" customHeight="1" x14ac:dyDescent="0.3">
      <c r="A190" s="45">
        <v>180</v>
      </c>
      <c r="B190" s="46" t="s">
        <v>374</v>
      </c>
      <c r="C190" s="46"/>
      <c r="D190" s="63"/>
      <c r="E190" s="78" t="s">
        <v>375</v>
      </c>
      <c r="F190" s="99"/>
      <c r="G190" s="79">
        <v>15.472</v>
      </c>
      <c r="H190" s="71">
        <v>50</v>
      </c>
      <c r="I190" s="51">
        <v>1</v>
      </c>
      <c r="J190" s="51" t="s">
        <v>92</v>
      </c>
      <c r="K190" s="52"/>
      <c r="L190" s="53"/>
      <c r="M190" s="54"/>
      <c r="N190" s="55" t="str">
        <f t="shared" si="2"/>
        <v>pieces</v>
      </c>
      <c r="O190" s="56">
        <f t="shared" si="3"/>
        <v>773.6</v>
      </c>
      <c r="P190" s="44"/>
      <c r="Q190" s="66"/>
      <c r="R190" s="32"/>
      <c r="S190" s="32"/>
      <c r="T190" s="32"/>
      <c r="U190" s="32"/>
      <c r="V190" s="32"/>
      <c r="W190" s="32"/>
      <c r="X190" s="32"/>
      <c r="Y190" s="32"/>
      <c r="Z190" s="32"/>
    </row>
    <row r="191" spans="1:26" ht="15" customHeight="1" x14ac:dyDescent="0.3">
      <c r="A191" s="45">
        <v>181</v>
      </c>
      <c r="B191" s="46" t="s">
        <v>376</v>
      </c>
      <c r="C191" s="46"/>
      <c r="D191" s="63"/>
      <c r="E191" s="78" t="s">
        <v>377</v>
      </c>
      <c r="F191" s="99"/>
      <c r="G191" s="79">
        <v>16.329999999999998</v>
      </c>
      <c r="H191" s="71">
        <v>50</v>
      </c>
      <c r="I191" s="51">
        <v>1</v>
      </c>
      <c r="J191" s="51" t="s">
        <v>92</v>
      </c>
      <c r="K191" s="52"/>
      <c r="L191" s="53"/>
      <c r="M191" s="54"/>
      <c r="N191" s="55" t="str">
        <f t="shared" si="2"/>
        <v>pieces</v>
      </c>
      <c r="O191" s="56">
        <f t="shared" si="3"/>
        <v>816.49999999999989</v>
      </c>
      <c r="P191" s="44"/>
      <c r="Q191" s="66"/>
      <c r="R191" s="32"/>
      <c r="S191" s="32"/>
      <c r="T191" s="32"/>
      <c r="U191" s="32"/>
      <c r="V191" s="32"/>
      <c r="W191" s="32"/>
      <c r="X191" s="32"/>
      <c r="Y191" s="32"/>
      <c r="Z191" s="32"/>
    </row>
    <row r="192" spans="1:26" ht="15" customHeight="1" x14ac:dyDescent="0.3">
      <c r="A192" s="45">
        <v>182</v>
      </c>
      <c r="B192" s="46" t="s">
        <v>378</v>
      </c>
      <c r="C192" s="46"/>
      <c r="D192" s="63"/>
      <c r="E192" s="78" t="s">
        <v>379</v>
      </c>
      <c r="F192" s="99"/>
      <c r="G192" s="79">
        <v>7.78</v>
      </c>
      <c r="H192" s="71">
        <v>144</v>
      </c>
      <c r="I192" s="51">
        <v>1</v>
      </c>
      <c r="J192" s="51" t="s">
        <v>92</v>
      </c>
      <c r="K192" s="52"/>
      <c r="L192" s="53"/>
      <c r="M192" s="54"/>
      <c r="N192" s="55" t="str">
        <f t="shared" si="2"/>
        <v>pieces</v>
      </c>
      <c r="O192" s="56">
        <f t="shared" si="3"/>
        <v>1120.32</v>
      </c>
      <c r="P192" s="44"/>
      <c r="Q192" s="66"/>
      <c r="R192" s="32"/>
      <c r="S192" s="32"/>
      <c r="T192" s="32"/>
      <c r="U192" s="32"/>
      <c r="V192" s="32"/>
      <c r="W192" s="32"/>
      <c r="X192" s="32"/>
      <c r="Y192" s="32"/>
      <c r="Z192" s="32"/>
    </row>
    <row r="193" spans="1:26" ht="15" customHeight="1" x14ac:dyDescent="0.3">
      <c r="A193" s="45">
        <v>183</v>
      </c>
      <c r="B193" s="46" t="s">
        <v>380</v>
      </c>
      <c r="C193" s="46"/>
      <c r="D193" s="63"/>
      <c r="E193" s="78" t="s">
        <v>381</v>
      </c>
      <c r="F193" s="99"/>
      <c r="G193" s="79">
        <v>13.564</v>
      </c>
      <c r="H193" s="71">
        <v>25</v>
      </c>
      <c r="I193" s="51">
        <v>1</v>
      </c>
      <c r="J193" s="51" t="s">
        <v>92</v>
      </c>
      <c r="K193" s="52"/>
      <c r="L193" s="53"/>
      <c r="M193" s="54"/>
      <c r="N193" s="55" t="str">
        <f t="shared" si="2"/>
        <v>pieces</v>
      </c>
      <c r="O193" s="56">
        <f t="shared" si="3"/>
        <v>339.1</v>
      </c>
      <c r="P193" s="44"/>
      <c r="Q193" s="66"/>
      <c r="R193" s="32"/>
      <c r="S193" s="32"/>
      <c r="T193" s="32"/>
      <c r="U193" s="32"/>
      <c r="V193" s="32"/>
      <c r="W193" s="32"/>
      <c r="X193" s="32"/>
      <c r="Y193" s="32"/>
      <c r="Z193" s="32"/>
    </row>
    <row r="194" spans="1:26" ht="15" customHeight="1" x14ac:dyDescent="0.3">
      <c r="A194" s="45">
        <v>184</v>
      </c>
      <c r="B194" s="46" t="s">
        <v>382</v>
      </c>
      <c r="C194" s="46"/>
      <c r="D194" s="63"/>
      <c r="E194" s="78" t="s">
        <v>383</v>
      </c>
      <c r="F194" s="99"/>
      <c r="G194" s="79">
        <v>6.59</v>
      </c>
      <c r="H194" s="71">
        <v>147</v>
      </c>
      <c r="I194" s="51">
        <v>1</v>
      </c>
      <c r="J194" s="51" t="s">
        <v>92</v>
      </c>
      <c r="K194" s="52"/>
      <c r="L194" s="53"/>
      <c r="M194" s="54"/>
      <c r="N194" s="55" t="str">
        <f t="shared" si="2"/>
        <v>pieces</v>
      </c>
      <c r="O194" s="56">
        <f t="shared" si="3"/>
        <v>968.73</v>
      </c>
      <c r="P194" s="44"/>
      <c r="Q194" s="66"/>
      <c r="R194" s="32"/>
      <c r="S194" s="32"/>
      <c r="T194" s="32"/>
      <c r="U194" s="32"/>
      <c r="V194" s="32"/>
      <c r="W194" s="32"/>
      <c r="X194" s="32"/>
      <c r="Y194" s="32"/>
      <c r="Z194" s="32"/>
    </row>
    <row r="195" spans="1:26" ht="15" customHeight="1" x14ac:dyDescent="0.3">
      <c r="A195" s="45">
        <v>185</v>
      </c>
      <c r="B195" s="46" t="s">
        <v>384</v>
      </c>
      <c r="C195" s="46"/>
      <c r="D195" s="63"/>
      <c r="E195" s="78" t="s">
        <v>385</v>
      </c>
      <c r="F195" s="99"/>
      <c r="G195" s="79">
        <v>6</v>
      </c>
      <c r="H195" s="71">
        <v>410</v>
      </c>
      <c r="I195" s="51">
        <v>1</v>
      </c>
      <c r="J195" s="51" t="s">
        <v>92</v>
      </c>
      <c r="K195" s="52"/>
      <c r="L195" s="53"/>
      <c r="M195" s="54"/>
      <c r="N195" s="55" t="str">
        <f t="shared" si="2"/>
        <v>pieces</v>
      </c>
      <c r="O195" s="56">
        <f t="shared" si="3"/>
        <v>2460</v>
      </c>
      <c r="P195" s="44"/>
      <c r="Q195" s="66"/>
      <c r="R195" s="32"/>
      <c r="S195" s="32"/>
      <c r="T195" s="32"/>
      <c r="U195" s="32"/>
      <c r="V195" s="32"/>
      <c r="W195" s="32"/>
      <c r="X195" s="32"/>
      <c r="Y195" s="32"/>
      <c r="Z195" s="32"/>
    </row>
    <row r="196" spans="1:26" ht="15" customHeight="1" x14ac:dyDescent="0.3">
      <c r="A196" s="45">
        <v>186</v>
      </c>
      <c r="B196" s="46" t="s">
        <v>386</v>
      </c>
      <c r="C196" s="46"/>
      <c r="D196" s="63"/>
      <c r="E196" s="78" t="s">
        <v>387</v>
      </c>
      <c r="F196" s="99"/>
      <c r="G196" s="79">
        <v>7.87</v>
      </c>
      <c r="H196" s="71">
        <v>497</v>
      </c>
      <c r="I196" s="51">
        <v>1</v>
      </c>
      <c r="J196" s="51" t="s">
        <v>92</v>
      </c>
      <c r="K196" s="52"/>
      <c r="L196" s="53"/>
      <c r="M196" s="54"/>
      <c r="N196" s="55" t="str">
        <f t="shared" si="2"/>
        <v>pieces</v>
      </c>
      <c r="O196" s="56">
        <f t="shared" si="3"/>
        <v>3911.39</v>
      </c>
      <c r="P196" s="44"/>
      <c r="Q196" s="66"/>
      <c r="R196" s="32"/>
      <c r="S196" s="32"/>
      <c r="T196" s="32"/>
      <c r="U196" s="32"/>
      <c r="V196" s="32"/>
      <c r="W196" s="32"/>
      <c r="X196" s="32"/>
      <c r="Y196" s="32"/>
      <c r="Z196" s="32"/>
    </row>
    <row r="197" spans="1:26" ht="15" customHeight="1" x14ac:dyDescent="0.3">
      <c r="A197" s="45">
        <v>187</v>
      </c>
      <c r="B197" s="46" t="s">
        <v>388</v>
      </c>
      <c r="C197" s="46"/>
      <c r="D197" s="63"/>
      <c r="E197" s="78" t="s">
        <v>389</v>
      </c>
      <c r="F197" s="99"/>
      <c r="G197" s="79">
        <v>7.15</v>
      </c>
      <c r="H197" s="71">
        <v>400</v>
      </c>
      <c r="I197" s="51">
        <v>1</v>
      </c>
      <c r="J197" s="51" t="s">
        <v>92</v>
      </c>
      <c r="K197" s="52"/>
      <c r="L197" s="53"/>
      <c r="M197" s="54"/>
      <c r="N197" s="55" t="str">
        <f t="shared" si="2"/>
        <v>pieces</v>
      </c>
      <c r="O197" s="56">
        <f t="shared" si="3"/>
        <v>2860</v>
      </c>
      <c r="P197" s="44"/>
      <c r="Q197" s="66"/>
      <c r="R197" s="32"/>
      <c r="S197" s="32"/>
      <c r="T197" s="32"/>
      <c r="U197" s="32"/>
      <c r="V197" s="32"/>
      <c r="W197" s="32"/>
      <c r="X197" s="32"/>
      <c r="Y197" s="32"/>
      <c r="Z197" s="32"/>
    </row>
    <row r="198" spans="1:26" ht="15" customHeight="1" x14ac:dyDescent="0.3">
      <c r="A198" s="45">
        <v>188</v>
      </c>
      <c r="B198" s="46" t="s">
        <v>390</v>
      </c>
      <c r="C198" s="46"/>
      <c r="D198" s="63"/>
      <c r="E198" s="78" t="s">
        <v>391</v>
      </c>
      <c r="F198" s="99"/>
      <c r="G198" s="79">
        <v>7.89</v>
      </c>
      <c r="H198" s="71">
        <v>440</v>
      </c>
      <c r="I198" s="51">
        <v>1</v>
      </c>
      <c r="J198" s="51" t="s">
        <v>92</v>
      </c>
      <c r="K198" s="52"/>
      <c r="L198" s="53"/>
      <c r="M198" s="54"/>
      <c r="N198" s="55" t="str">
        <f t="shared" si="2"/>
        <v>pieces</v>
      </c>
      <c r="O198" s="56">
        <f t="shared" si="3"/>
        <v>3471.6</v>
      </c>
      <c r="P198" s="44"/>
      <c r="Q198" s="66"/>
      <c r="R198" s="32"/>
      <c r="S198" s="32"/>
      <c r="T198" s="32"/>
      <c r="U198" s="32"/>
      <c r="V198" s="32"/>
      <c r="W198" s="32"/>
      <c r="X198" s="32"/>
      <c r="Y198" s="32"/>
      <c r="Z198" s="32"/>
    </row>
    <row r="199" spans="1:26" ht="15" customHeight="1" x14ac:dyDescent="0.3">
      <c r="A199" s="45">
        <v>189</v>
      </c>
      <c r="B199" s="46" t="s">
        <v>392</v>
      </c>
      <c r="C199" s="46"/>
      <c r="D199" s="63"/>
      <c r="E199" s="78" t="s">
        <v>393</v>
      </c>
      <c r="F199" s="99"/>
      <c r="G199" s="79">
        <v>20.54</v>
      </c>
      <c r="H199" s="71">
        <v>7</v>
      </c>
      <c r="I199" s="51">
        <v>1</v>
      </c>
      <c r="J199" s="51" t="s">
        <v>92</v>
      </c>
      <c r="K199" s="52"/>
      <c r="L199" s="53"/>
      <c r="M199" s="54"/>
      <c r="N199" s="55" t="str">
        <f t="shared" si="2"/>
        <v>pieces</v>
      </c>
      <c r="O199" s="56">
        <f t="shared" si="3"/>
        <v>143.78</v>
      </c>
      <c r="P199" s="44"/>
      <c r="Q199" s="66"/>
      <c r="R199" s="32"/>
      <c r="S199" s="32"/>
      <c r="T199" s="32"/>
      <c r="U199" s="32"/>
      <c r="V199" s="32"/>
      <c r="W199" s="32"/>
      <c r="X199" s="32"/>
      <c r="Y199" s="32"/>
      <c r="Z199" s="32"/>
    </row>
    <row r="200" spans="1:26" ht="15" customHeight="1" x14ac:dyDescent="0.3">
      <c r="A200" s="45">
        <v>190</v>
      </c>
      <c r="B200" s="46" t="s">
        <v>394</v>
      </c>
      <c r="C200" s="46"/>
      <c r="D200" s="63"/>
      <c r="E200" s="78" t="s">
        <v>395</v>
      </c>
      <c r="F200" s="99"/>
      <c r="G200" s="79">
        <v>5.59</v>
      </c>
      <c r="H200" s="71">
        <v>480</v>
      </c>
      <c r="I200" s="51">
        <v>1</v>
      </c>
      <c r="J200" s="51" t="s">
        <v>92</v>
      </c>
      <c r="K200" s="52"/>
      <c r="L200" s="53"/>
      <c r="M200" s="54"/>
      <c r="N200" s="55" t="str">
        <f t="shared" si="2"/>
        <v>pieces</v>
      </c>
      <c r="O200" s="56">
        <f t="shared" si="3"/>
        <v>2683.2</v>
      </c>
      <c r="P200" s="44"/>
      <c r="Q200" s="66"/>
      <c r="R200" s="32"/>
      <c r="S200" s="32"/>
      <c r="T200" s="32"/>
      <c r="U200" s="32"/>
      <c r="V200" s="32"/>
      <c r="W200" s="32"/>
      <c r="X200" s="32"/>
      <c r="Y200" s="32"/>
      <c r="Z200" s="32"/>
    </row>
    <row r="201" spans="1:26" ht="15" customHeight="1" x14ac:dyDescent="0.3">
      <c r="A201" s="45">
        <v>191</v>
      </c>
      <c r="B201" s="46" t="s">
        <v>396</v>
      </c>
      <c r="C201" s="46"/>
      <c r="D201" s="63"/>
      <c r="E201" s="78" t="s">
        <v>397</v>
      </c>
      <c r="F201" s="99"/>
      <c r="G201" s="79">
        <v>7.51</v>
      </c>
      <c r="H201" s="71">
        <v>320</v>
      </c>
      <c r="I201" s="51">
        <v>1</v>
      </c>
      <c r="J201" s="51" t="s">
        <v>92</v>
      </c>
      <c r="K201" s="52"/>
      <c r="L201" s="53"/>
      <c r="M201" s="54"/>
      <c r="N201" s="55" t="str">
        <f t="shared" si="2"/>
        <v>pieces</v>
      </c>
      <c r="O201" s="56">
        <f t="shared" si="3"/>
        <v>2403.1999999999998</v>
      </c>
      <c r="P201" s="44"/>
      <c r="Q201" s="66"/>
      <c r="R201" s="32"/>
      <c r="S201" s="32"/>
      <c r="T201" s="32"/>
      <c r="U201" s="32"/>
      <c r="V201" s="32"/>
      <c r="W201" s="32"/>
      <c r="X201" s="32"/>
      <c r="Y201" s="32"/>
      <c r="Z201" s="32"/>
    </row>
    <row r="202" spans="1:26" ht="15" customHeight="1" x14ac:dyDescent="0.3">
      <c r="A202" s="45">
        <v>192</v>
      </c>
      <c r="B202" s="46" t="s">
        <v>398</v>
      </c>
      <c r="C202" s="46"/>
      <c r="D202" s="63"/>
      <c r="E202" s="78" t="s">
        <v>399</v>
      </c>
      <c r="F202" s="99"/>
      <c r="G202" s="79">
        <v>65.44</v>
      </c>
      <c r="H202" s="71">
        <v>24</v>
      </c>
      <c r="I202" s="51">
        <v>1</v>
      </c>
      <c r="J202" s="51" t="s">
        <v>92</v>
      </c>
      <c r="K202" s="52"/>
      <c r="L202" s="53"/>
      <c r="M202" s="54"/>
      <c r="N202" s="55" t="str">
        <f t="shared" si="2"/>
        <v>pieces</v>
      </c>
      <c r="O202" s="56">
        <f t="shared" si="3"/>
        <v>1570.56</v>
      </c>
      <c r="P202" s="44"/>
      <c r="Q202" s="66"/>
      <c r="R202" s="32"/>
      <c r="S202" s="32"/>
      <c r="T202" s="32"/>
      <c r="U202" s="32"/>
      <c r="V202" s="32"/>
      <c r="W202" s="32"/>
      <c r="X202" s="32"/>
      <c r="Y202" s="32"/>
      <c r="Z202" s="32"/>
    </row>
    <row r="203" spans="1:26" ht="15" customHeight="1" x14ac:dyDescent="0.3">
      <c r="A203" s="45">
        <v>193</v>
      </c>
      <c r="B203" s="46" t="s">
        <v>400</v>
      </c>
      <c r="C203" s="46"/>
      <c r="D203" s="63"/>
      <c r="E203" s="78" t="s">
        <v>401</v>
      </c>
      <c r="F203" s="99"/>
      <c r="G203" s="79">
        <v>41.9</v>
      </c>
      <c r="H203" s="71">
        <v>15</v>
      </c>
      <c r="I203" s="51">
        <v>1</v>
      </c>
      <c r="J203" s="51" t="s">
        <v>92</v>
      </c>
      <c r="K203" s="52"/>
      <c r="L203" s="53"/>
      <c r="M203" s="54"/>
      <c r="N203" s="55" t="str">
        <f t="shared" si="2"/>
        <v>pieces</v>
      </c>
      <c r="O203" s="56">
        <f t="shared" si="3"/>
        <v>628.5</v>
      </c>
      <c r="P203" s="44"/>
      <c r="Q203" s="66"/>
      <c r="R203" s="32"/>
      <c r="S203" s="32"/>
      <c r="T203" s="32"/>
      <c r="U203" s="32"/>
      <c r="V203" s="32"/>
      <c r="W203" s="32"/>
      <c r="X203" s="32"/>
      <c r="Y203" s="32"/>
      <c r="Z203" s="32"/>
    </row>
    <row r="204" spans="1:26" ht="15" customHeight="1" x14ac:dyDescent="0.3">
      <c r="A204" s="45">
        <v>194</v>
      </c>
      <c r="B204" s="46" t="s">
        <v>402</v>
      </c>
      <c r="C204" s="46"/>
      <c r="D204" s="63"/>
      <c r="E204" s="78" t="s">
        <v>403</v>
      </c>
      <c r="F204" s="99"/>
      <c r="G204" s="79">
        <v>47.3</v>
      </c>
      <c r="H204" s="71">
        <v>5</v>
      </c>
      <c r="I204" s="51">
        <v>1</v>
      </c>
      <c r="J204" s="51" t="s">
        <v>92</v>
      </c>
      <c r="K204" s="52"/>
      <c r="L204" s="53"/>
      <c r="M204" s="54"/>
      <c r="N204" s="55" t="str">
        <f t="shared" si="2"/>
        <v>pieces</v>
      </c>
      <c r="O204" s="56">
        <f t="shared" si="3"/>
        <v>236.5</v>
      </c>
      <c r="P204" s="44"/>
      <c r="Q204" s="66"/>
      <c r="R204" s="32"/>
      <c r="S204" s="32"/>
      <c r="T204" s="32"/>
      <c r="U204" s="32"/>
      <c r="V204" s="32"/>
      <c r="W204" s="32"/>
      <c r="X204" s="32"/>
      <c r="Y204" s="32"/>
      <c r="Z204" s="32"/>
    </row>
    <row r="205" spans="1:26" ht="15" customHeight="1" x14ac:dyDescent="0.3">
      <c r="A205" s="45">
        <v>195</v>
      </c>
      <c r="B205" s="46" t="s">
        <v>404</v>
      </c>
      <c r="C205" s="46"/>
      <c r="D205" s="63"/>
      <c r="E205" s="78" t="s">
        <v>405</v>
      </c>
      <c r="F205" s="99"/>
      <c r="G205" s="79">
        <v>5.8</v>
      </c>
      <c r="H205" s="71">
        <v>600</v>
      </c>
      <c r="I205" s="51">
        <v>1</v>
      </c>
      <c r="J205" s="51" t="s">
        <v>92</v>
      </c>
      <c r="K205" s="52"/>
      <c r="L205" s="53"/>
      <c r="M205" s="54"/>
      <c r="N205" s="55" t="str">
        <f t="shared" si="2"/>
        <v>pieces</v>
      </c>
      <c r="O205" s="56">
        <f t="shared" si="3"/>
        <v>3480</v>
      </c>
      <c r="P205" s="44"/>
      <c r="Q205" s="66"/>
      <c r="R205" s="32"/>
      <c r="S205" s="32"/>
      <c r="T205" s="32"/>
      <c r="U205" s="32"/>
      <c r="V205" s="32"/>
      <c r="W205" s="32"/>
      <c r="X205" s="32"/>
      <c r="Y205" s="32"/>
      <c r="Z205" s="32"/>
    </row>
    <row r="206" spans="1:26" ht="15" customHeight="1" x14ac:dyDescent="0.3">
      <c r="A206" s="45">
        <v>196</v>
      </c>
      <c r="B206" s="46" t="s">
        <v>406</v>
      </c>
      <c r="C206" s="46"/>
      <c r="D206" s="63"/>
      <c r="E206" s="78" t="s">
        <v>407</v>
      </c>
      <c r="F206" s="99"/>
      <c r="G206" s="79">
        <v>5.79</v>
      </c>
      <c r="H206" s="71">
        <v>200</v>
      </c>
      <c r="I206" s="51">
        <v>1</v>
      </c>
      <c r="J206" s="51" t="s">
        <v>92</v>
      </c>
      <c r="K206" s="52"/>
      <c r="L206" s="53"/>
      <c r="M206" s="54"/>
      <c r="N206" s="55" t="str">
        <f t="shared" si="2"/>
        <v>pieces</v>
      </c>
      <c r="O206" s="56">
        <f t="shared" si="3"/>
        <v>1158</v>
      </c>
      <c r="P206" s="44"/>
      <c r="Q206" s="66"/>
      <c r="R206" s="32"/>
      <c r="S206" s="32"/>
      <c r="T206" s="32"/>
      <c r="U206" s="32"/>
      <c r="V206" s="32"/>
      <c r="W206" s="32"/>
      <c r="X206" s="32"/>
      <c r="Y206" s="32"/>
      <c r="Z206" s="32"/>
    </row>
    <row r="207" spans="1:26" ht="15" customHeight="1" x14ac:dyDescent="0.3">
      <c r="A207" s="45">
        <v>197</v>
      </c>
      <c r="B207" s="46" t="s">
        <v>408</v>
      </c>
      <c r="C207" s="46"/>
      <c r="D207" s="63"/>
      <c r="E207" s="78" t="s">
        <v>407</v>
      </c>
      <c r="F207" s="99"/>
      <c r="G207" s="79">
        <v>5.79</v>
      </c>
      <c r="H207" s="71">
        <v>220</v>
      </c>
      <c r="I207" s="51">
        <v>1</v>
      </c>
      <c r="J207" s="51" t="s">
        <v>92</v>
      </c>
      <c r="K207" s="52"/>
      <c r="L207" s="53"/>
      <c r="M207" s="54"/>
      <c r="N207" s="55" t="str">
        <f t="shared" si="2"/>
        <v>pieces</v>
      </c>
      <c r="O207" s="56">
        <f t="shared" si="3"/>
        <v>1273.8</v>
      </c>
      <c r="P207" s="44"/>
      <c r="Q207" s="66"/>
      <c r="R207" s="32"/>
      <c r="S207" s="32"/>
      <c r="T207" s="32"/>
      <c r="U207" s="32"/>
      <c r="V207" s="32"/>
      <c r="W207" s="32"/>
      <c r="X207" s="32"/>
      <c r="Y207" s="32"/>
      <c r="Z207" s="32"/>
    </row>
    <row r="208" spans="1:26" ht="15" customHeight="1" x14ac:dyDescent="0.3">
      <c r="A208" s="45">
        <v>198</v>
      </c>
      <c r="B208" s="46" t="s">
        <v>409</v>
      </c>
      <c r="C208" s="46"/>
      <c r="D208" s="63"/>
      <c r="E208" s="78" t="s">
        <v>410</v>
      </c>
      <c r="F208" s="99"/>
      <c r="G208" s="79">
        <v>6.56</v>
      </c>
      <c r="H208" s="71">
        <v>28</v>
      </c>
      <c r="I208" s="51">
        <v>1</v>
      </c>
      <c r="J208" s="51" t="s">
        <v>92</v>
      </c>
      <c r="K208" s="52"/>
      <c r="L208" s="53"/>
      <c r="M208" s="54"/>
      <c r="N208" s="55" t="str">
        <f t="shared" si="2"/>
        <v>pieces</v>
      </c>
      <c r="O208" s="56">
        <f t="shared" si="3"/>
        <v>183.67999999999998</v>
      </c>
      <c r="P208" s="44"/>
      <c r="Q208" s="66"/>
      <c r="R208" s="32"/>
      <c r="S208" s="32"/>
      <c r="T208" s="32"/>
      <c r="U208" s="32"/>
      <c r="V208" s="32"/>
      <c r="W208" s="32"/>
      <c r="X208" s="32"/>
      <c r="Y208" s="32"/>
      <c r="Z208" s="32"/>
    </row>
    <row r="209" spans="1:26" ht="15" customHeight="1" x14ac:dyDescent="0.3">
      <c r="A209" s="45">
        <v>199</v>
      </c>
      <c r="B209" s="46" t="s">
        <v>411</v>
      </c>
      <c r="C209" s="46"/>
      <c r="D209" s="63"/>
      <c r="E209" s="78" t="s">
        <v>412</v>
      </c>
      <c r="F209" s="99"/>
      <c r="G209" s="79">
        <v>6</v>
      </c>
      <c r="H209" s="71">
        <v>261</v>
      </c>
      <c r="I209" s="51">
        <v>1</v>
      </c>
      <c r="J209" s="51" t="s">
        <v>92</v>
      </c>
      <c r="K209" s="52"/>
      <c r="L209" s="53"/>
      <c r="M209" s="54"/>
      <c r="N209" s="55" t="str">
        <f t="shared" si="2"/>
        <v>pieces</v>
      </c>
      <c r="O209" s="56">
        <f t="shared" si="3"/>
        <v>1566</v>
      </c>
      <c r="P209" s="44"/>
      <c r="Q209" s="66"/>
      <c r="R209" s="32"/>
      <c r="S209" s="32"/>
      <c r="T209" s="32"/>
      <c r="U209" s="32"/>
      <c r="V209" s="32"/>
      <c r="W209" s="32"/>
      <c r="X209" s="32"/>
      <c r="Y209" s="32"/>
      <c r="Z209" s="32"/>
    </row>
    <row r="210" spans="1:26" ht="15" customHeight="1" x14ac:dyDescent="0.3">
      <c r="A210" s="45">
        <v>200</v>
      </c>
      <c r="B210" s="46" t="s">
        <v>413</v>
      </c>
      <c r="C210" s="46"/>
      <c r="D210" s="63"/>
      <c r="E210" s="78" t="s">
        <v>405</v>
      </c>
      <c r="F210" s="99"/>
      <c r="G210" s="79">
        <v>5.8</v>
      </c>
      <c r="H210" s="71">
        <v>200</v>
      </c>
      <c r="I210" s="51">
        <v>1</v>
      </c>
      <c r="J210" s="51" t="s">
        <v>92</v>
      </c>
      <c r="K210" s="52"/>
      <c r="L210" s="53"/>
      <c r="M210" s="54"/>
      <c r="N210" s="55" t="str">
        <f t="shared" si="2"/>
        <v>pieces</v>
      </c>
      <c r="O210" s="56">
        <f t="shared" si="3"/>
        <v>1160</v>
      </c>
      <c r="P210" s="44"/>
      <c r="Q210" s="66"/>
      <c r="R210" s="32"/>
      <c r="S210" s="32"/>
      <c r="T210" s="32"/>
      <c r="U210" s="32"/>
      <c r="V210" s="32"/>
      <c r="W210" s="32"/>
      <c r="X210" s="32"/>
      <c r="Y210" s="32"/>
      <c r="Z210" s="32"/>
    </row>
    <row r="211" spans="1:26" ht="15" customHeight="1" x14ac:dyDescent="0.3">
      <c r="A211" s="45">
        <v>201</v>
      </c>
      <c r="B211" s="46" t="s">
        <v>414</v>
      </c>
      <c r="C211" s="46"/>
      <c r="D211" s="63"/>
      <c r="E211" s="78" t="s">
        <v>415</v>
      </c>
      <c r="F211" s="99"/>
      <c r="G211" s="79">
        <v>8.6999999999999993</v>
      </c>
      <c r="H211" s="71">
        <v>201</v>
      </c>
      <c r="I211" s="51">
        <v>1</v>
      </c>
      <c r="J211" s="51" t="s">
        <v>92</v>
      </c>
      <c r="K211" s="52"/>
      <c r="L211" s="53"/>
      <c r="M211" s="54"/>
      <c r="N211" s="55" t="str">
        <f t="shared" si="2"/>
        <v>pieces</v>
      </c>
      <c r="O211" s="56">
        <f t="shared" si="3"/>
        <v>1748.6999999999998</v>
      </c>
      <c r="P211" s="44"/>
      <c r="Q211" s="66"/>
      <c r="R211" s="32"/>
      <c r="S211" s="32"/>
      <c r="T211" s="32"/>
      <c r="U211" s="32"/>
      <c r="V211" s="32"/>
      <c r="W211" s="32"/>
      <c r="X211" s="32"/>
      <c r="Y211" s="32"/>
      <c r="Z211" s="32"/>
    </row>
    <row r="212" spans="1:26" ht="15" customHeight="1" x14ac:dyDescent="0.3">
      <c r="A212" s="45">
        <v>202</v>
      </c>
      <c r="B212" s="46" t="s">
        <v>416</v>
      </c>
      <c r="C212" s="46"/>
      <c r="D212" s="63"/>
      <c r="E212" s="78" t="s">
        <v>415</v>
      </c>
      <c r="F212" s="99"/>
      <c r="G212" s="79">
        <v>64</v>
      </c>
      <c r="H212" s="71">
        <v>8</v>
      </c>
      <c r="I212" s="51">
        <v>1</v>
      </c>
      <c r="J212" s="51" t="s">
        <v>92</v>
      </c>
      <c r="K212" s="52"/>
      <c r="L212" s="53"/>
      <c r="M212" s="54"/>
      <c r="N212" s="55" t="str">
        <f t="shared" si="2"/>
        <v>pieces</v>
      </c>
      <c r="O212" s="56">
        <f t="shared" si="3"/>
        <v>512</v>
      </c>
      <c r="P212" s="44"/>
      <c r="Q212" s="66"/>
      <c r="R212" s="32"/>
      <c r="S212" s="32"/>
      <c r="T212" s="32"/>
      <c r="U212" s="32"/>
      <c r="V212" s="32"/>
      <c r="W212" s="32"/>
      <c r="X212" s="32"/>
      <c r="Y212" s="32"/>
      <c r="Z212" s="32"/>
    </row>
    <row r="213" spans="1:26" ht="15" customHeight="1" x14ac:dyDescent="0.3">
      <c r="A213" s="45">
        <v>203</v>
      </c>
      <c r="B213" s="46" t="s">
        <v>417</v>
      </c>
      <c r="C213" s="46"/>
      <c r="D213" s="63"/>
      <c r="E213" s="78" t="s">
        <v>418</v>
      </c>
      <c r="F213" s="99"/>
      <c r="G213" s="79">
        <v>5.59</v>
      </c>
      <c r="H213" s="71">
        <v>400</v>
      </c>
      <c r="I213" s="51">
        <v>1</v>
      </c>
      <c r="J213" s="51" t="s">
        <v>92</v>
      </c>
      <c r="K213" s="52"/>
      <c r="L213" s="53"/>
      <c r="M213" s="54"/>
      <c r="N213" s="55" t="str">
        <f t="shared" si="2"/>
        <v>pieces</v>
      </c>
      <c r="O213" s="56">
        <f t="shared" si="3"/>
        <v>2236</v>
      </c>
      <c r="P213" s="44"/>
      <c r="Q213" s="66"/>
      <c r="R213" s="32"/>
      <c r="S213" s="32"/>
      <c r="T213" s="32"/>
      <c r="U213" s="32"/>
      <c r="V213" s="32"/>
      <c r="W213" s="32"/>
      <c r="X213" s="32"/>
      <c r="Y213" s="32"/>
      <c r="Z213" s="32"/>
    </row>
    <row r="214" spans="1:26" ht="15" customHeight="1" x14ac:dyDescent="0.3">
      <c r="A214" s="45">
        <v>204</v>
      </c>
      <c r="B214" s="46" t="s">
        <v>419</v>
      </c>
      <c r="C214" s="46"/>
      <c r="D214" s="63"/>
      <c r="E214" s="78" t="s">
        <v>420</v>
      </c>
      <c r="F214" s="99"/>
      <c r="G214" s="79">
        <v>5.5</v>
      </c>
      <c r="H214" s="71">
        <v>300</v>
      </c>
      <c r="I214" s="51">
        <v>1</v>
      </c>
      <c r="J214" s="51" t="s">
        <v>92</v>
      </c>
      <c r="K214" s="52"/>
      <c r="L214" s="53"/>
      <c r="M214" s="54"/>
      <c r="N214" s="55" t="str">
        <f t="shared" si="2"/>
        <v>pieces</v>
      </c>
      <c r="O214" s="56">
        <f t="shared" si="3"/>
        <v>1650</v>
      </c>
      <c r="P214" s="44"/>
      <c r="Q214" s="66"/>
      <c r="R214" s="32"/>
      <c r="S214" s="32"/>
      <c r="T214" s="32"/>
      <c r="U214" s="32"/>
      <c r="V214" s="32"/>
      <c r="W214" s="32"/>
      <c r="X214" s="32"/>
      <c r="Y214" s="32"/>
      <c r="Z214" s="32"/>
    </row>
    <row r="215" spans="1:26" ht="15" customHeight="1" x14ac:dyDescent="0.3">
      <c r="A215" s="45">
        <v>205</v>
      </c>
      <c r="B215" s="46" t="s">
        <v>421</v>
      </c>
      <c r="C215" s="46"/>
      <c r="D215" s="63"/>
      <c r="E215" s="78" t="s">
        <v>422</v>
      </c>
      <c r="F215" s="99"/>
      <c r="G215" s="79">
        <v>21.69</v>
      </c>
      <c r="H215" s="71">
        <v>40</v>
      </c>
      <c r="I215" s="51">
        <v>1</v>
      </c>
      <c r="J215" s="51" t="s">
        <v>92</v>
      </c>
      <c r="K215" s="52"/>
      <c r="L215" s="53"/>
      <c r="M215" s="54"/>
      <c r="N215" s="55" t="str">
        <f t="shared" si="2"/>
        <v>pieces</v>
      </c>
      <c r="O215" s="56">
        <f t="shared" si="3"/>
        <v>867.6</v>
      </c>
      <c r="P215" s="44"/>
      <c r="Q215" s="66"/>
      <c r="R215" s="32"/>
      <c r="S215" s="32"/>
      <c r="T215" s="32"/>
      <c r="U215" s="32"/>
      <c r="V215" s="32"/>
      <c r="W215" s="32"/>
      <c r="X215" s="32"/>
      <c r="Y215" s="32"/>
      <c r="Z215" s="32"/>
    </row>
    <row r="216" spans="1:26" ht="15" customHeight="1" x14ac:dyDescent="0.3">
      <c r="A216" s="45">
        <v>206</v>
      </c>
      <c r="B216" s="46" t="s">
        <v>423</v>
      </c>
      <c r="C216" s="46"/>
      <c r="D216" s="63"/>
      <c r="E216" s="78" t="s">
        <v>424</v>
      </c>
      <c r="F216" s="99"/>
      <c r="G216" s="79">
        <v>16.329999999999998</v>
      </c>
      <c r="H216" s="71">
        <v>50</v>
      </c>
      <c r="I216" s="51">
        <v>1</v>
      </c>
      <c r="J216" s="51" t="s">
        <v>92</v>
      </c>
      <c r="K216" s="52"/>
      <c r="L216" s="53"/>
      <c r="M216" s="54"/>
      <c r="N216" s="55" t="str">
        <f t="shared" si="2"/>
        <v>pieces</v>
      </c>
      <c r="O216" s="56">
        <f t="shared" si="3"/>
        <v>816.49999999999989</v>
      </c>
      <c r="P216" s="44"/>
      <c r="Q216" s="66"/>
      <c r="R216" s="32"/>
      <c r="S216" s="32"/>
      <c r="T216" s="32"/>
      <c r="U216" s="32"/>
      <c r="V216" s="32"/>
      <c r="W216" s="32"/>
      <c r="X216" s="32"/>
      <c r="Y216" s="32"/>
      <c r="Z216" s="32"/>
    </row>
    <row r="217" spans="1:26" ht="15" customHeight="1" x14ac:dyDescent="0.3">
      <c r="A217" s="45">
        <v>207</v>
      </c>
      <c r="B217" s="46" t="s">
        <v>425</v>
      </c>
      <c r="C217" s="46"/>
      <c r="D217" s="63"/>
      <c r="E217" s="78" t="s">
        <v>426</v>
      </c>
      <c r="F217" s="99"/>
      <c r="G217" s="79">
        <v>15.51</v>
      </c>
      <c r="H217" s="71">
        <v>160</v>
      </c>
      <c r="I217" s="51">
        <v>1</v>
      </c>
      <c r="J217" s="51" t="s">
        <v>92</v>
      </c>
      <c r="K217" s="52"/>
      <c r="L217" s="53"/>
      <c r="M217" s="54"/>
      <c r="N217" s="55" t="str">
        <f t="shared" si="2"/>
        <v>pieces</v>
      </c>
      <c r="O217" s="56">
        <f t="shared" si="3"/>
        <v>2481.6</v>
      </c>
      <c r="P217" s="44"/>
      <c r="Q217" s="66"/>
      <c r="R217" s="32"/>
      <c r="S217" s="32"/>
      <c r="T217" s="32"/>
      <c r="U217" s="32"/>
      <c r="V217" s="32"/>
      <c r="W217" s="32"/>
      <c r="X217" s="32"/>
      <c r="Y217" s="32"/>
      <c r="Z217" s="32"/>
    </row>
    <row r="218" spans="1:26" ht="15" customHeight="1" x14ac:dyDescent="0.3">
      <c r="A218" s="45">
        <v>208</v>
      </c>
      <c r="B218" s="46" t="s">
        <v>427</v>
      </c>
      <c r="C218" s="46"/>
      <c r="D218" s="63"/>
      <c r="E218" s="78" t="s">
        <v>428</v>
      </c>
      <c r="F218" s="99"/>
      <c r="G218" s="79">
        <v>8.51</v>
      </c>
      <c r="H218" s="71">
        <v>250</v>
      </c>
      <c r="I218" s="51">
        <v>1</v>
      </c>
      <c r="J218" s="51" t="s">
        <v>92</v>
      </c>
      <c r="K218" s="52"/>
      <c r="L218" s="53"/>
      <c r="M218" s="54"/>
      <c r="N218" s="55" t="str">
        <f t="shared" si="2"/>
        <v>pieces</v>
      </c>
      <c r="O218" s="56">
        <f t="shared" si="3"/>
        <v>2127.5</v>
      </c>
      <c r="P218" s="44"/>
      <c r="Q218" s="66"/>
      <c r="R218" s="32"/>
      <c r="S218" s="32"/>
      <c r="T218" s="32"/>
      <c r="U218" s="32"/>
      <c r="V218" s="32"/>
      <c r="W218" s="32"/>
      <c r="X218" s="32"/>
      <c r="Y218" s="32"/>
      <c r="Z218" s="32"/>
    </row>
    <row r="219" spans="1:26" ht="15" customHeight="1" x14ac:dyDescent="0.3">
      <c r="A219" s="45">
        <v>209</v>
      </c>
      <c r="B219" s="46" t="s">
        <v>429</v>
      </c>
      <c r="C219" s="46"/>
      <c r="D219" s="63"/>
      <c r="E219" s="78" t="s">
        <v>430</v>
      </c>
      <c r="F219" s="99"/>
      <c r="G219" s="79">
        <v>15.24</v>
      </c>
      <c r="H219" s="71">
        <v>80</v>
      </c>
      <c r="I219" s="51">
        <v>1</v>
      </c>
      <c r="J219" s="51" t="s">
        <v>92</v>
      </c>
      <c r="K219" s="52"/>
      <c r="L219" s="53"/>
      <c r="M219" s="54"/>
      <c r="N219" s="55" t="str">
        <f t="shared" si="2"/>
        <v>pieces</v>
      </c>
      <c r="O219" s="56">
        <f t="shared" si="3"/>
        <v>1219.2</v>
      </c>
      <c r="P219" s="44"/>
      <c r="Q219" s="66"/>
      <c r="R219" s="32"/>
      <c r="S219" s="32"/>
      <c r="T219" s="32"/>
      <c r="U219" s="32"/>
      <c r="V219" s="32"/>
      <c r="W219" s="32"/>
      <c r="X219" s="32"/>
      <c r="Y219" s="32"/>
      <c r="Z219" s="32"/>
    </row>
    <row r="220" spans="1:26" ht="15" customHeight="1" x14ac:dyDescent="0.3">
      <c r="A220" s="45">
        <v>210</v>
      </c>
      <c r="B220" s="46" t="s">
        <v>431</v>
      </c>
      <c r="C220" s="46"/>
      <c r="D220" s="63"/>
      <c r="E220" s="78" t="s">
        <v>432</v>
      </c>
      <c r="F220" s="99"/>
      <c r="G220" s="79">
        <v>28.06</v>
      </c>
      <c r="H220" s="71">
        <v>30</v>
      </c>
      <c r="I220" s="51">
        <v>1</v>
      </c>
      <c r="J220" s="51" t="s">
        <v>92</v>
      </c>
      <c r="K220" s="52"/>
      <c r="L220" s="53"/>
      <c r="M220" s="54"/>
      <c r="N220" s="55" t="str">
        <f t="shared" si="2"/>
        <v>pieces</v>
      </c>
      <c r="O220" s="56">
        <f t="shared" si="3"/>
        <v>841.8</v>
      </c>
      <c r="P220" s="44"/>
      <c r="Q220" s="66"/>
      <c r="R220" s="32"/>
      <c r="S220" s="32"/>
      <c r="T220" s="32"/>
      <c r="U220" s="32"/>
      <c r="V220" s="32"/>
      <c r="W220" s="32"/>
      <c r="X220" s="32"/>
      <c r="Y220" s="32"/>
      <c r="Z220" s="32"/>
    </row>
    <row r="221" spans="1:26" ht="15" customHeight="1" x14ac:dyDescent="0.3">
      <c r="A221" s="45">
        <v>211</v>
      </c>
      <c r="B221" s="46" t="s">
        <v>433</v>
      </c>
      <c r="C221" s="46"/>
      <c r="D221" s="63"/>
      <c r="E221" s="78" t="s">
        <v>381</v>
      </c>
      <c r="F221" s="99"/>
      <c r="G221" s="79">
        <v>13.69</v>
      </c>
      <c r="H221" s="71">
        <v>30</v>
      </c>
      <c r="I221" s="51">
        <v>1</v>
      </c>
      <c r="J221" s="51" t="s">
        <v>92</v>
      </c>
      <c r="K221" s="52"/>
      <c r="L221" s="53"/>
      <c r="M221" s="54"/>
      <c r="N221" s="55" t="str">
        <f t="shared" si="2"/>
        <v>pieces</v>
      </c>
      <c r="O221" s="56">
        <f t="shared" si="3"/>
        <v>410.7</v>
      </c>
      <c r="P221" s="44"/>
      <c r="Q221" s="66"/>
      <c r="R221" s="32"/>
      <c r="S221" s="32"/>
      <c r="T221" s="32"/>
      <c r="U221" s="32"/>
      <c r="V221" s="32"/>
      <c r="W221" s="32"/>
      <c r="X221" s="32"/>
      <c r="Y221" s="32"/>
      <c r="Z221" s="32"/>
    </row>
    <row r="222" spans="1:26" ht="15" customHeight="1" x14ac:dyDescent="0.3">
      <c r="A222" s="45">
        <v>212</v>
      </c>
      <c r="B222" s="46" t="s">
        <v>434</v>
      </c>
      <c r="C222" s="46"/>
      <c r="D222" s="63"/>
      <c r="E222" s="78" t="s">
        <v>435</v>
      </c>
      <c r="F222" s="99"/>
      <c r="G222" s="79">
        <v>5.81</v>
      </c>
      <c r="H222" s="71">
        <v>150</v>
      </c>
      <c r="I222" s="51">
        <v>1</v>
      </c>
      <c r="J222" s="51" t="s">
        <v>92</v>
      </c>
      <c r="K222" s="52"/>
      <c r="L222" s="53"/>
      <c r="M222" s="54"/>
      <c r="N222" s="55" t="str">
        <f t="shared" si="2"/>
        <v>pieces</v>
      </c>
      <c r="O222" s="56">
        <f t="shared" si="3"/>
        <v>871.49999999999989</v>
      </c>
      <c r="P222" s="44"/>
      <c r="Q222" s="66"/>
      <c r="R222" s="32"/>
      <c r="S222" s="32"/>
      <c r="T222" s="32"/>
      <c r="U222" s="32"/>
      <c r="V222" s="32"/>
      <c r="W222" s="32"/>
      <c r="X222" s="32"/>
      <c r="Y222" s="32"/>
      <c r="Z222" s="32"/>
    </row>
    <row r="223" spans="1:26" ht="15" customHeight="1" x14ac:dyDescent="0.3">
      <c r="A223" s="45">
        <v>213</v>
      </c>
      <c r="B223" s="46" t="s">
        <v>436</v>
      </c>
      <c r="C223" s="46"/>
      <c r="D223" s="63"/>
      <c r="E223" s="78" t="s">
        <v>437</v>
      </c>
      <c r="F223" s="99"/>
      <c r="G223" s="79">
        <v>7.99</v>
      </c>
      <c r="H223" s="71">
        <v>595</v>
      </c>
      <c r="I223" s="51">
        <v>1</v>
      </c>
      <c r="J223" s="51" t="s">
        <v>92</v>
      </c>
      <c r="K223" s="52"/>
      <c r="L223" s="53"/>
      <c r="M223" s="54"/>
      <c r="N223" s="55" t="str">
        <f t="shared" si="2"/>
        <v>pieces</v>
      </c>
      <c r="O223" s="56">
        <f t="shared" si="3"/>
        <v>4754.05</v>
      </c>
      <c r="P223" s="44"/>
      <c r="Q223" s="66"/>
      <c r="R223" s="32"/>
      <c r="S223" s="32"/>
      <c r="T223" s="32"/>
      <c r="U223" s="32"/>
      <c r="V223" s="32"/>
      <c r="W223" s="32"/>
      <c r="X223" s="32"/>
      <c r="Y223" s="32"/>
      <c r="Z223" s="32"/>
    </row>
    <row r="224" spans="1:26" ht="15" customHeight="1" x14ac:dyDescent="0.3">
      <c r="A224" s="45">
        <v>214</v>
      </c>
      <c r="B224" s="46" t="s">
        <v>438</v>
      </c>
      <c r="C224" s="46"/>
      <c r="D224" s="63"/>
      <c r="E224" s="78" t="s">
        <v>439</v>
      </c>
      <c r="F224" s="99"/>
      <c r="G224" s="79">
        <v>5.8</v>
      </c>
      <c r="H224" s="71">
        <v>200</v>
      </c>
      <c r="I224" s="51">
        <v>1</v>
      </c>
      <c r="J224" s="51" t="s">
        <v>92</v>
      </c>
      <c r="K224" s="52"/>
      <c r="L224" s="53"/>
      <c r="M224" s="54"/>
      <c r="N224" s="55" t="str">
        <f t="shared" si="2"/>
        <v>pieces</v>
      </c>
      <c r="O224" s="56">
        <f t="shared" si="3"/>
        <v>1160</v>
      </c>
      <c r="P224" s="44"/>
      <c r="Q224" s="66"/>
      <c r="R224" s="32"/>
      <c r="S224" s="32"/>
      <c r="T224" s="32"/>
      <c r="U224" s="32"/>
      <c r="V224" s="32"/>
      <c r="W224" s="32"/>
      <c r="X224" s="32"/>
      <c r="Y224" s="32"/>
      <c r="Z224" s="32"/>
    </row>
    <row r="225" spans="1:26" ht="15" customHeight="1" x14ac:dyDescent="0.3">
      <c r="A225" s="45">
        <v>215</v>
      </c>
      <c r="B225" s="46" t="s">
        <v>440</v>
      </c>
      <c r="C225" s="46"/>
      <c r="D225" s="63"/>
      <c r="E225" s="78" t="s">
        <v>441</v>
      </c>
      <c r="F225" s="99"/>
      <c r="G225" s="79">
        <v>5.73</v>
      </c>
      <c r="H225" s="71">
        <v>600</v>
      </c>
      <c r="I225" s="51">
        <v>1</v>
      </c>
      <c r="J225" s="51" t="s">
        <v>92</v>
      </c>
      <c r="K225" s="52"/>
      <c r="L225" s="53"/>
      <c r="M225" s="54"/>
      <c r="N225" s="55" t="str">
        <f t="shared" si="2"/>
        <v>pieces</v>
      </c>
      <c r="O225" s="56">
        <f t="shared" si="3"/>
        <v>3438.0000000000005</v>
      </c>
      <c r="P225" s="44"/>
      <c r="Q225" s="66"/>
      <c r="R225" s="32"/>
      <c r="S225" s="32"/>
      <c r="T225" s="32"/>
      <c r="U225" s="32"/>
      <c r="V225" s="32"/>
      <c r="W225" s="32"/>
      <c r="X225" s="32"/>
      <c r="Y225" s="32"/>
      <c r="Z225" s="32"/>
    </row>
    <row r="226" spans="1:26" ht="15" customHeight="1" x14ac:dyDescent="0.3">
      <c r="A226" s="45">
        <v>216</v>
      </c>
      <c r="B226" s="46" t="s">
        <v>442</v>
      </c>
      <c r="C226" s="46"/>
      <c r="D226" s="63"/>
      <c r="E226" s="78" t="s">
        <v>443</v>
      </c>
      <c r="F226" s="99"/>
      <c r="G226" s="79">
        <v>7.39</v>
      </c>
      <c r="H226" s="71">
        <v>100</v>
      </c>
      <c r="I226" s="51">
        <v>1</v>
      </c>
      <c r="J226" s="51" t="s">
        <v>92</v>
      </c>
      <c r="K226" s="52"/>
      <c r="L226" s="53"/>
      <c r="M226" s="54"/>
      <c r="N226" s="55" t="str">
        <f t="shared" si="2"/>
        <v>pieces</v>
      </c>
      <c r="O226" s="56">
        <f t="shared" si="3"/>
        <v>739</v>
      </c>
      <c r="P226" s="44"/>
      <c r="Q226" s="66"/>
      <c r="R226" s="32"/>
      <c r="S226" s="32"/>
      <c r="T226" s="32"/>
      <c r="U226" s="32"/>
      <c r="V226" s="32"/>
      <c r="W226" s="32"/>
      <c r="X226" s="32"/>
      <c r="Y226" s="32"/>
      <c r="Z226" s="32"/>
    </row>
    <row r="227" spans="1:26" ht="15" customHeight="1" x14ac:dyDescent="0.3">
      <c r="A227" s="45">
        <v>217</v>
      </c>
      <c r="B227" s="46" t="s">
        <v>444</v>
      </c>
      <c r="C227" s="46"/>
      <c r="D227" s="63"/>
      <c r="E227" s="78" t="s">
        <v>445</v>
      </c>
      <c r="F227" s="99"/>
      <c r="G227" s="79">
        <v>24.37</v>
      </c>
      <c r="H227" s="71">
        <v>50</v>
      </c>
      <c r="I227" s="51">
        <v>1</v>
      </c>
      <c r="J227" s="51" t="s">
        <v>92</v>
      </c>
      <c r="K227" s="52"/>
      <c r="L227" s="53"/>
      <c r="M227" s="54"/>
      <c r="N227" s="55" t="str">
        <f t="shared" si="2"/>
        <v>pieces</v>
      </c>
      <c r="O227" s="56">
        <f t="shared" si="3"/>
        <v>1218.5</v>
      </c>
      <c r="P227" s="44"/>
      <c r="Q227" s="66"/>
      <c r="R227" s="32"/>
      <c r="S227" s="32"/>
      <c r="T227" s="32"/>
      <c r="U227" s="32"/>
      <c r="V227" s="32"/>
      <c r="W227" s="32"/>
      <c r="X227" s="32"/>
      <c r="Y227" s="32"/>
      <c r="Z227" s="32"/>
    </row>
    <row r="228" spans="1:26" ht="15" customHeight="1" x14ac:dyDescent="0.3">
      <c r="A228" s="45">
        <v>218</v>
      </c>
      <c r="B228" s="46" t="s">
        <v>446</v>
      </c>
      <c r="C228" s="46"/>
      <c r="D228" s="63"/>
      <c r="E228" s="78" t="s">
        <v>447</v>
      </c>
      <c r="F228" s="99"/>
      <c r="G228" s="79">
        <v>7.03</v>
      </c>
      <c r="H228" s="71">
        <v>240</v>
      </c>
      <c r="I228" s="51">
        <v>1</v>
      </c>
      <c r="J228" s="51" t="s">
        <v>92</v>
      </c>
      <c r="K228" s="52"/>
      <c r="L228" s="53"/>
      <c r="M228" s="54"/>
      <c r="N228" s="55" t="str">
        <f t="shared" si="2"/>
        <v>pieces</v>
      </c>
      <c r="O228" s="56">
        <f t="shared" si="3"/>
        <v>1687.2</v>
      </c>
      <c r="P228" s="44"/>
      <c r="Q228" s="66"/>
      <c r="R228" s="32"/>
      <c r="S228" s="32"/>
      <c r="T228" s="32"/>
      <c r="U228" s="32"/>
      <c r="V228" s="32"/>
      <c r="W228" s="32"/>
      <c r="X228" s="32"/>
      <c r="Y228" s="32"/>
      <c r="Z228" s="32"/>
    </row>
    <row r="229" spans="1:26" ht="15" customHeight="1" x14ac:dyDescent="0.3">
      <c r="A229" s="45">
        <v>219</v>
      </c>
      <c r="B229" s="46" t="s">
        <v>448</v>
      </c>
      <c r="C229" s="46"/>
      <c r="D229" s="63"/>
      <c r="E229" s="78" t="s">
        <v>449</v>
      </c>
      <c r="F229" s="99"/>
      <c r="G229" s="79">
        <v>8.89</v>
      </c>
      <c r="H229" s="71">
        <v>150</v>
      </c>
      <c r="I229" s="51">
        <v>1</v>
      </c>
      <c r="J229" s="51" t="s">
        <v>92</v>
      </c>
      <c r="K229" s="52"/>
      <c r="L229" s="53"/>
      <c r="M229" s="54"/>
      <c r="N229" s="55" t="str">
        <f t="shared" si="2"/>
        <v>pieces</v>
      </c>
      <c r="O229" s="56">
        <f t="shared" si="3"/>
        <v>1333.5</v>
      </c>
      <c r="P229" s="44"/>
      <c r="Q229" s="66"/>
      <c r="R229" s="32"/>
      <c r="S229" s="32"/>
      <c r="T229" s="32"/>
      <c r="U229" s="32"/>
      <c r="V229" s="32"/>
      <c r="W229" s="32"/>
      <c r="X229" s="32"/>
      <c r="Y229" s="32"/>
      <c r="Z229" s="32"/>
    </row>
    <row r="230" spans="1:26" ht="15" customHeight="1" x14ac:dyDescent="0.3">
      <c r="A230" s="45">
        <v>220</v>
      </c>
      <c r="B230" s="46" t="s">
        <v>450</v>
      </c>
      <c r="C230" s="46"/>
      <c r="D230" s="63"/>
      <c r="E230" s="78" t="s">
        <v>216</v>
      </c>
      <c r="F230" s="99"/>
      <c r="G230" s="79">
        <v>110</v>
      </c>
      <c r="H230" s="71">
        <v>2</v>
      </c>
      <c r="I230" s="51">
        <v>1</v>
      </c>
      <c r="J230" s="51" t="s">
        <v>39</v>
      </c>
      <c r="K230" s="52"/>
      <c r="L230" s="53"/>
      <c r="M230" s="54"/>
      <c r="N230" s="55" t="str">
        <f t="shared" si="2"/>
        <v>grams</v>
      </c>
      <c r="O230" s="56">
        <f t="shared" si="3"/>
        <v>220</v>
      </c>
      <c r="P230" s="44"/>
      <c r="Q230" s="66"/>
      <c r="R230" s="32"/>
      <c r="S230" s="32"/>
      <c r="T230" s="32"/>
      <c r="U230" s="32"/>
      <c r="V230" s="32"/>
      <c r="W230" s="32"/>
      <c r="X230" s="32"/>
      <c r="Y230" s="32"/>
      <c r="Z230" s="32"/>
    </row>
    <row r="231" spans="1:26" ht="15" customHeight="1" x14ac:dyDescent="0.3">
      <c r="A231" s="45">
        <v>221</v>
      </c>
      <c r="B231" s="46" t="s">
        <v>451</v>
      </c>
      <c r="C231" s="46"/>
      <c r="D231" s="63"/>
      <c r="E231" s="78" t="s">
        <v>216</v>
      </c>
      <c r="F231" s="99"/>
      <c r="G231" s="79">
        <v>120</v>
      </c>
      <c r="H231" s="71">
        <v>3</v>
      </c>
      <c r="I231" s="51">
        <v>1</v>
      </c>
      <c r="J231" s="51" t="s">
        <v>39</v>
      </c>
      <c r="K231" s="52"/>
      <c r="L231" s="53"/>
      <c r="M231" s="54"/>
      <c r="N231" s="55" t="str">
        <f t="shared" si="2"/>
        <v>grams</v>
      </c>
      <c r="O231" s="56">
        <f t="shared" si="3"/>
        <v>360</v>
      </c>
      <c r="P231" s="44"/>
      <c r="Q231" s="66"/>
      <c r="R231" s="32"/>
      <c r="S231" s="32"/>
      <c r="T231" s="32"/>
      <c r="U231" s="32"/>
      <c r="V231" s="32"/>
      <c r="W231" s="32"/>
      <c r="X231" s="32"/>
      <c r="Y231" s="32"/>
      <c r="Z231" s="32"/>
    </row>
    <row r="232" spans="1:26" ht="15" customHeight="1" x14ac:dyDescent="0.3">
      <c r="A232" s="45">
        <v>222</v>
      </c>
      <c r="B232" s="46" t="s">
        <v>452</v>
      </c>
      <c r="C232" s="46"/>
      <c r="D232" s="63"/>
      <c r="E232" s="78" t="s">
        <v>216</v>
      </c>
      <c r="F232" s="99"/>
      <c r="G232" s="79">
        <v>143</v>
      </c>
      <c r="H232" s="71">
        <v>2</v>
      </c>
      <c r="I232" s="51">
        <v>1</v>
      </c>
      <c r="J232" s="51" t="s">
        <v>39</v>
      </c>
      <c r="K232" s="52"/>
      <c r="L232" s="53"/>
      <c r="M232" s="54"/>
      <c r="N232" s="55" t="str">
        <f t="shared" si="2"/>
        <v>grams</v>
      </c>
      <c r="O232" s="56">
        <f t="shared" si="3"/>
        <v>286</v>
      </c>
      <c r="P232" s="44"/>
      <c r="Q232" s="66"/>
      <c r="R232" s="32"/>
      <c r="S232" s="32"/>
      <c r="T232" s="32"/>
      <c r="U232" s="32"/>
      <c r="V232" s="32"/>
      <c r="W232" s="32"/>
      <c r="X232" s="32"/>
      <c r="Y232" s="32"/>
      <c r="Z232" s="32"/>
    </row>
    <row r="233" spans="1:26" ht="15" customHeight="1" x14ac:dyDescent="0.3">
      <c r="A233" s="45">
        <v>223</v>
      </c>
      <c r="B233" s="46" t="s">
        <v>453</v>
      </c>
      <c r="C233" s="46"/>
      <c r="D233" s="63"/>
      <c r="E233" s="78" t="s">
        <v>216</v>
      </c>
      <c r="F233" s="99"/>
      <c r="G233" s="79">
        <v>130</v>
      </c>
      <c r="H233" s="71">
        <v>3</v>
      </c>
      <c r="I233" s="51">
        <v>1</v>
      </c>
      <c r="J233" s="51" t="s">
        <v>39</v>
      </c>
      <c r="K233" s="52"/>
      <c r="L233" s="53"/>
      <c r="M233" s="54"/>
      <c r="N233" s="55" t="str">
        <f t="shared" si="2"/>
        <v>grams</v>
      </c>
      <c r="O233" s="56">
        <f t="shared" si="3"/>
        <v>390</v>
      </c>
      <c r="P233" s="44"/>
      <c r="Q233" s="66"/>
      <c r="R233" s="32"/>
      <c r="S233" s="32"/>
      <c r="T233" s="32"/>
      <c r="U233" s="32"/>
      <c r="V233" s="32"/>
      <c r="W233" s="32"/>
      <c r="X233" s="32"/>
      <c r="Y233" s="32"/>
      <c r="Z233" s="32"/>
    </row>
    <row r="234" spans="1:26" ht="15" customHeight="1" x14ac:dyDescent="0.3">
      <c r="A234" s="45">
        <v>224</v>
      </c>
      <c r="B234" s="46" t="s">
        <v>454</v>
      </c>
      <c r="C234" s="46"/>
      <c r="D234" s="63"/>
      <c r="E234" s="78" t="s">
        <v>216</v>
      </c>
      <c r="F234" s="99"/>
      <c r="G234" s="79">
        <v>120</v>
      </c>
      <c r="H234" s="71">
        <v>15</v>
      </c>
      <c r="I234" s="51">
        <v>1</v>
      </c>
      <c r="J234" s="51" t="s">
        <v>39</v>
      </c>
      <c r="K234" s="52"/>
      <c r="L234" s="53"/>
      <c r="M234" s="54"/>
      <c r="N234" s="55" t="str">
        <f t="shared" si="2"/>
        <v>grams</v>
      </c>
      <c r="O234" s="56">
        <f t="shared" si="3"/>
        <v>1800</v>
      </c>
      <c r="P234" s="44"/>
      <c r="Q234" s="66"/>
      <c r="R234" s="32"/>
      <c r="S234" s="32"/>
      <c r="T234" s="32"/>
      <c r="U234" s="32"/>
      <c r="V234" s="32"/>
      <c r="W234" s="32"/>
      <c r="X234" s="32"/>
      <c r="Y234" s="32"/>
      <c r="Z234" s="32"/>
    </row>
    <row r="235" spans="1:26" ht="15" customHeight="1" x14ac:dyDescent="0.3">
      <c r="A235" s="45">
        <v>225</v>
      </c>
      <c r="B235" s="46" t="s">
        <v>455</v>
      </c>
      <c r="C235" s="46"/>
      <c r="D235" s="63"/>
      <c r="E235" s="78" t="s">
        <v>216</v>
      </c>
      <c r="F235" s="99"/>
      <c r="G235" s="79">
        <v>110</v>
      </c>
      <c r="H235" s="71">
        <v>10</v>
      </c>
      <c r="I235" s="51">
        <v>1</v>
      </c>
      <c r="J235" s="51" t="s">
        <v>39</v>
      </c>
      <c r="K235" s="52"/>
      <c r="L235" s="53"/>
      <c r="M235" s="54"/>
      <c r="N235" s="55" t="str">
        <f t="shared" si="2"/>
        <v>grams</v>
      </c>
      <c r="O235" s="56">
        <f t="shared" si="3"/>
        <v>1100</v>
      </c>
      <c r="P235" s="44"/>
      <c r="Q235" s="66"/>
      <c r="R235" s="32"/>
      <c r="S235" s="32"/>
      <c r="T235" s="32"/>
      <c r="U235" s="32"/>
      <c r="V235" s="32"/>
      <c r="W235" s="32"/>
      <c r="X235" s="32"/>
      <c r="Y235" s="32"/>
      <c r="Z235" s="32"/>
    </row>
    <row r="236" spans="1:26" ht="15" customHeight="1" x14ac:dyDescent="0.3">
      <c r="A236" s="45">
        <v>226</v>
      </c>
      <c r="B236" s="46" t="s">
        <v>456</v>
      </c>
      <c r="C236" s="46"/>
      <c r="D236" s="63"/>
      <c r="E236" s="78" t="s">
        <v>216</v>
      </c>
      <c r="F236" s="99"/>
      <c r="G236" s="79">
        <v>143</v>
      </c>
      <c r="H236" s="71">
        <v>2</v>
      </c>
      <c r="I236" s="51">
        <v>1</v>
      </c>
      <c r="J236" s="51" t="s">
        <v>39</v>
      </c>
      <c r="K236" s="52"/>
      <c r="L236" s="53"/>
      <c r="M236" s="54"/>
      <c r="N236" s="55" t="str">
        <f t="shared" si="2"/>
        <v>grams</v>
      </c>
      <c r="O236" s="56">
        <f t="shared" si="3"/>
        <v>286</v>
      </c>
      <c r="P236" s="44"/>
      <c r="Q236" s="66"/>
      <c r="R236" s="32"/>
      <c r="S236" s="32"/>
      <c r="T236" s="32"/>
      <c r="U236" s="32"/>
      <c r="V236" s="32"/>
      <c r="W236" s="32"/>
      <c r="X236" s="32"/>
      <c r="Y236" s="32"/>
      <c r="Z236" s="32"/>
    </row>
    <row r="237" spans="1:26" ht="15" customHeight="1" x14ac:dyDescent="0.3">
      <c r="A237" s="45">
        <v>227</v>
      </c>
      <c r="B237" s="46" t="s">
        <v>457</v>
      </c>
      <c r="C237" s="46"/>
      <c r="D237" s="63"/>
      <c r="E237" s="78" t="s">
        <v>216</v>
      </c>
      <c r="F237" s="99"/>
      <c r="G237" s="79">
        <v>35</v>
      </c>
      <c r="H237" s="71">
        <v>2</v>
      </c>
      <c r="I237" s="51">
        <v>1</v>
      </c>
      <c r="J237" s="51" t="s">
        <v>39</v>
      </c>
      <c r="K237" s="52"/>
      <c r="L237" s="53"/>
      <c r="M237" s="54"/>
      <c r="N237" s="55" t="str">
        <f t="shared" si="2"/>
        <v>grams</v>
      </c>
      <c r="O237" s="56">
        <f t="shared" si="3"/>
        <v>70</v>
      </c>
      <c r="P237" s="44"/>
      <c r="Q237" s="66"/>
      <c r="R237" s="32"/>
      <c r="S237" s="32"/>
      <c r="T237" s="32"/>
      <c r="U237" s="32"/>
      <c r="V237" s="32"/>
      <c r="W237" s="32"/>
      <c r="X237" s="32"/>
      <c r="Y237" s="32"/>
      <c r="Z237" s="32"/>
    </row>
    <row r="238" spans="1:26" ht="15" customHeight="1" x14ac:dyDescent="0.3">
      <c r="A238" s="45">
        <v>228</v>
      </c>
      <c r="B238" s="46" t="s">
        <v>455</v>
      </c>
      <c r="C238" s="46"/>
      <c r="D238" s="63"/>
      <c r="E238" s="78" t="s">
        <v>216</v>
      </c>
      <c r="F238" s="99"/>
      <c r="G238" s="79">
        <v>110</v>
      </c>
      <c r="H238" s="71">
        <v>10</v>
      </c>
      <c r="I238" s="51">
        <v>1</v>
      </c>
      <c r="J238" s="51" t="s">
        <v>39</v>
      </c>
      <c r="K238" s="52"/>
      <c r="L238" s="53"/>
      <c r="M238" s="54"/>
      <c r="N238" s="55" t="str">
        <f t="shared" si="2"/>
        <v>grams</v>
      </c>
      <c r="O238" s="56">
        <f t="shared" si="3"/>
        <v>1100</v>
      </c>
      <c r="P238" s="44"/>
      <c r="Q238" s="66"/>
      <c r="R238" s="32"/>
      <c r="S238" s="32"/>
      <c r="T238" s="32"/>
      <c r="U238" s="32"/>
      <c r="V238" s="32"/>
      <c r="W238" s="32"/>
      <c r="X238" s="32"/>
      <c r="Y238" s="32"/>
      <c r="Z238" s="32"/>
    </row>
    <row r="239" spans="1:26" ht="15" customHeight="1" x14ac:dyDescent="0.3">
      <c r="A239" s="45">
        <v>229</v>
      </c>
      <c r="B239" s="46" t="s">
        <v>456</v>
      </c>
      <c r="C239" s="46"/>
      <c r="D239" s="63"/>
      <c r="E239" s="78" t="s">
        <v>216</v>
      </c>
      <c r="F239" s="99"/>
      <c r="G239" s="79">
        <v>143</v>
      </c>
      <c r="H239" s="71">
        <v>2</v>
      </c>
      <c r="I239" s="51">
        <v>1</v>
      </c>
      <c r="J239" s="51" t="s">
        <v>39</v>
      </c>
      <c r="K239" s="52"/>
      <c r="L239" s="53"/>
      <c r="M239" s="54"/>
      <c r="N239" s="55" t="str">
        <f t="shared" si="2"/>
        <v>grams</v>
      </c>
      <c r="O239" s="56">
        <f t="shared" si="3"/>
        <v>286</v>
      </c>
      <c r="P239" s="44"/>
      <c r="Q239" s="66"/>
      <c r="R239" s="32"/>
      <c r="S239" s="32"/>
      <c r="T239" s="32"/>
      <c r="U239" s="32"/>
      <c r="V239" s="32"/>
      <c r="W239" s="32"/>
      <c r="X239" s="32"/>
      <c r="Y239" s="32"/>
      <c r="Z239" s="32"/>
    </row>
    <row r="240" spans="1:26" ht="15" customHeight="1" x14ac:dyDescent="0.3">
      <c r="A240" s="45">
        <v>230</v>
      </c>
      <c r="B240" s="46"/>
      <c r="C240" s="46"/>
      <c r="D240" s="63"/>
      <c r="E240" s="78"/>
      <c r="F240" s="99"/>
      <c r="G240" s="79"/>
      <c r="H240" s="71"/>
      <c r="I240" s="51"/>
      <c r="J240" s="51"/>
      <c r="K240" s="52"/>
      <c r="L240" s="53"/>
      <c r="M240" s="54"/>
      <c r="N240" s="55" t="str">
        <f t="shared" si="2"/>
        <v/>
      </c>
      <c r="O240" s="56">
        <f t="shared" si="3"/>
        <v>0</v>
      </c>
      <c r="P240" s="44"/>
      <c r="Q240" s="66"/>
      <c r="R240" s="32"/>
      <c r="S240" s="32"/>
      <c r="T240" s="32"/>
      <c r="U240" s="32"/>
      <c r="V240" s="32"/>
      <c r="W240" s="32"/>
      <c r="X240" s="32"/>
      <c r="Y240" s="32"/>
      <c r="Z240" s="32"/>
    </row>
    <row r="241" spans="1:26" ht="15" customHeight="1" x14ac:dyDescent="0.3">
      <c r="A241" s="45">
        <v>231</v>
      </c>
      <c r="B241" s="46"/>
      <c r="C241" s="46"/>
      <c r="D241" s="63"/>
      <c r="E241" s="78"/>
      <c r="F241" s="99"/>
      <c r="G241" s="79"/>
      <c r="H241" s="71"/>
      <c r="I241" s="51"/>
      <c r="J241" s="51"/>
      <c r="K241" s="52"/>
      <c r="L241" s="53"/>
      <c r="M241" s="54"/>
      <c r="N241" s="55" t="str">
        <f t="shared" si="2"/>
        <v/>
      </c>
      <c r="O241" s="56">
        <f t="shared" si="3"/>
        <v>0</v>
      </c>
      <c r="P241" s="44"/>
      <c r="Q241" s="66"/>
      <c r="R241" s="32"/>
      <c r="S241" s="32"/>
      <c r="T241" s="32"/>
      <c r="U241" s="32"/>
      <c r="V241" s="32"/>
      <c r="W241" s="32"/>
      <c r="X241" s="32"/>
      <c r="Y241" s="32"/>
      <c r="Z241" s="32"/>
    </row>
    <row r="242" spans="1:26" ht="15" customHeight="1" x14ac:dyDescent="0.3">
      <c r="A242" s="45">
        <v>232</v>
      </c>
      <c r="B242" s="46"/>
      <c r="C242" s="46"/>
      <c r="D242" s="63"/>
      <c r="E242" s="78"/>
      <c r="F242" s="99"/>
      <c r="G242" s="79"/>
      <c r="H242" s="71"/>
      <c r="I242" s="51"/>
      <c r="J242" s="51"/>
      <c r="K242" s="52"/>
      <c r="L242" s="53"/>
      <c r="M242" s="54"/>
      <c r="N242" s="55" t="str">
        <f t="shared" si="2"/>
        <v/>
      </c>
      <c r="O242" s="56">
        <f t="shared" si="3"/>
        <v>0</v>
      </c>
      <c r="P242" s="44"/>
      <c r="Q242" s="66"/>
      <c r="R242" s="32"/>
      <c r="S242" s="32"/>
      <c r="T242" s="32"/>
      <c r="U242" s="32"/>
      <c r="V242" s="32"/>
      <c r="W242" s="32"/>
      <c r="X242" s="32"/>
      <c r="Y242" s="32"/>
      <c r="Z242" s="32"/>
    </row>
    <row r="243" spans="1:26" ht="15" customHeight="1" x14ac:dyDescent="0.3">
      <c r="A243" s="45">
        <v>233</v>
      </c>
      <c r="B243" s="46"/>
      <c r="C243" s="46"/>
      <c r="D243" s="63"/>
      <c r="E243" s="78"/>
      <c r="F243" s="99"/>
      <c r="G243" s="79"/>
      <c r="H243" s="71"/>
      <c r="I243" s="51"/>
      <c r="J243" s="51"/>
      <c r="K243" s="52"/>
      <c r="L243" s="53"/>
      <c r="M243" s="54"/>
      <c r="N243" s="55" t="str">
        <f t="shared" si="2"/>
        <v/>
      </c>
      <c r="O243" s="56">
        <f t="shared" si="3"/>
        <v>0</v>
      </c>
      <c r="P243" s="44"/>
      <c r="Q243" s="66"/>
      <c r="R243" s="32"/>
      <c r="S243" s="32"/>
      <c r="T243" s="32"/>
      <c r="U243" s="32"/>
      <c r="V243" s="32"/>
      <c r="W243" s="32"/>
      <c r="X243" s="32"/>
      <c r="Y243" s="32"/>
      <c r="Z243" s="32"/>
    </row>
    <row r="244" spans="1:26" ht="15" customHeight="1" x14ac:dyDescent="0.3">
      <c r="A244" s="45">
        <v>234</v>
      </c>
      <c r="B244" s="46"/>
      <c r="C244" s="46"/>
      <c r="D244" s="63"/>
      <c r="E244" s="78"/>
      <c r="F244" s="99"/>
      <c r="G244" s="79"/>
      <c r="H244" s="71"/>
      <c r="I244" s="51"/>
      <c r="J244" s="51"/>
      <c r="K244" s="52"/>
      <c r="L244" s="53"/>
      <c r="M244" s="54"/>
      <c r="N244" s="55" t="str">
        <f t="shared" si="2"/>
        <v/>
      </c>
      <c r="O244" s="56">
        <f t="shared" si="3"/>
        <v>0</v>
      </c>
      <c r="P244" s="44"/>
      <c r="Q244" s="66"/>
      <c r="R244" s="32"/>
      <c r="S244" s="32"/>
      <c r="T244" s="32"/>
      <c r="U244" s="32"/>
      <c r="V244" s="32"/>
      <c r="W244" s="32"/>
      <c r="X244" s="32"/>
      <c r="Y244" s="32"/>
      <c r="Z244" s="32"/>
    </row>
    <row r="245" spans="1:26" ht="15" customHeight="1" x14ac:dyDescent="0.3">
      <c r="A245" s="45">
        <v>235</v>
      </c>
      <c r="B245" s="46"/>
      <c r="C245" s="46"/>
      <c r="D245" s="63"/>
      <c r="E245" s="78"/>
      <c r="F245" s="99"/>
      <c r="G245" s="79"/>
      <c r="H245" s="71"/>
      <c r="I245" s="51"/>
      <c r="J245" s="51"/>
      <c r="K245" s="52"/>
      <c r="L245" s="53"/>
      <c r="M245" s="54"/>
      <c r="N245" s="55" t="str">
        <f t="shared" si="2"/>
        <v/>
      </c>
      <c r="O245" s="56">
        <f t="shared" si="3"/>
        <v>0</v>
      </c>
      <c r="P245" s="44"/>
      <c r="Q245" s="66"/>
      <c r="R245" s="32"/>
      <c r="S245" s="32"/>
      <c r="T245" s="32"/>
      <c r="U245" s="32"/>
      <c r="V245" s="32"/>
      <c r="W245" s="32"/>
      <c r="X245" s="32"/>
      <c r="Y245" s="32"/>
      <c r="Z245" s="32"/>
    </row>
    <row r="246" spans="1:26" ht="15" customHeight="1" x14ac:dyDescent="0.3">
      <c r="A246" s="45">
        <v>236</v>
      </c>
      <c r="B246" s="46"/>
      <c r="C246" s="46"/>
      <c r="D246" s="63"/>
      <c r="E246" s="78"/>
      <c r="F246" s="99"/>
      <c r="G246" s="79"/>
      <c r="H246" s="71"/>
      <c r="I246" s="51"/>
      <c r="J246" s="51"/>
      <c r="K246" s="52"/>
      <c r="L246" s="53"/>
      <c r="M246" s="54"/>
      <c r="N246" s="55" t="str">
        <f t="shared" si="2"/>
        <v/>
      </c>
      <c r="O246" s="56">
        <f t="shared" si="3"/>
        <v>0</v>
      </c>
      <c r="P246" s="44"/>
      <c r="Q246" s="66"/>
      <c r="R246" s="32"/>
      <c r="S246" s="32"/>
      <c r="T246" s="32"/>
      <c r="U246" s="32"/>
      <c r="V246" s="32"/>
      <c r="W246" s="32"/>
      <c r="X246" s="32"/>
      <c r="Y246" s="32"/>
      <c r="Z246" s="32"/>
    </row>
    <row r="247" spans="1:26" ht="15" customHeight="1" x14ac:dyDescent="0.3">
      <c r="A247" s="45">
        <v>237</v>
      </c>
      <c r="B247" s="46"/>
      <c r="C247" s="46"/>
      <c r="D247" s="63"/>
      <c r="E247" s="78"/>
      <c r="F247" s="99"/>
      <c r="G247" s="79"/>
      <c r="H247" s="71"/>
      <c r="I247" s="51"/>
      <c r="J247" s="51"/>
      <c r="K247" s="52"/>
      <c r="L247" s="53"/>
      <c r="M247" s="54"/>
      <c r="N247" s="55" t="str">
        <f t="shared" si="2"/>
        <v/>
      </c>
      <c r="O247" s="56">
        <f t="shared" si="3"/>
        <v>0</v>
      </c>
      <c r="P247" s="44"/>
      <c r="Q247" s="66"/>
      <c r="R247" s="32"/>
      <c r="S247" s="32"/>
      <c r="T247" s="32"/>
      <c r="U247" s="32"/>
      <c r="V247" s="32"/>
      <c r="W247" s="32"/>
      <c r="X247" s="32"/>
      <c r="Y247" s="32"/>
      <c r="Z247" s="32"/>
    </row>
    <row r="248" spans="1:26" ht="15" customHeight="1" x14ac:dyDescent="0.3">
      <c r="A248" s="45">
        <v>238</v>
      </c>
      <c r="B248" s="46"/>
      <c r="C248" s="46"/>
      <c r="D248" s="63"/>
      <c r="E248" s="78"/>
      <c r="F248" s="99"/>
      <c r="G248" s="79"/>
      <c r="H248" s="71"/>
      <c r="I248" s="51"/>
      <c r="J248" s="51"/>
      <c r="K248" s="52"/>
      <c r="L248" s="53"/>
      <c r="M248" s="54"/>
      <c r="N248" s="55" t="str">
        <f t="shared" si="2"/>
        <v/>
      </c>
      <c r="O248" s="56">
        <f t="shared" si="3"/>
        <v>0</v>
      </c>
      <c r="P248" s="44"/>
      <c r="Q248" s="66"/>
      <c r="R248" s="32"/>
      <c r="S248" s="32"/>
      <c r="T248" s="32"/>
      <c r="U248" s="32"/>
      <c r="V248" s="32"/>
      <c r="W248" s="32"/>
      <c r="X248" s="32"/>
      <c r="Y248" s="32"/>
      <c r="Z248" s="32"/>
    </row>
    <row r="249" spans="1:26" ht="15" customHeight="1" x14ac:dyDescent="0.3">
      <c r="A249" s="45">
        <v>239</v>
      </c>
      <c r="B249" s="46"/>
      <c r="C249" s="46"/>
      <c r="D249" s="63"/>
      <c r="E249" s="78"/>
      <c r="F249" s="99"/>
      <c r="G249" s="79"/>
      <c r="H249" s="71"/>
      <c r="I249" s="51"/>
      <c r="J249" s="51"/>
      <c r="K249" s="52"/>
      <c r="L249" s="53"/>
      <c r="M249" s="54"/>
      <c r="N249" s="55" t="str">
        <f t="shared" si="2"/>
        <v/>
      </c>
      <c r="O249" s="56">
        <f t="shared" si="3"/>
        <v>0</v>
      </c>
      <c r="P249" s="44"/>
      <c r="Q249" s="66"/>
      <c r="R249" s="32"/>
      <c r="S249" s="32"/>
      <c r="T249" s="32"/>
      <c r="U249" s="32"/>
      <c r="V249" s="32"/>
      <c r="W249" s="32"/>
      <c r="X249" s="32"/>
      <c r="Y249" s="32"/>
      <c r="Z249" s="32"/>
    </row>
    <row r="250" spans="1:26" ht="15" customHeight="1" x14ac:dyDescent="0.3">
      <c r="A250" s="45">
        <v>240</v>
      </c>
      <c r="B250" s="46"/>
      <c r="C250" s="46"/>
      <c r="D250" s="63"/>
      <c r="E250" s="78"/>
      <c r="F250" s="99"/>
      <c r="G250" s="79"/>
      <c r="H250" s="71"/>
      <c r="I250" s="51"/>
      <c r="J250" s="51"/>
      <c r="K250" s="52"/>
      <c r="L250" s="53"/>
      <c r="M250" s="54"/>
      <c r="N250" s="55" t="str">
        <f t="shared" si="2"/>
        <v/>
      </c>
      <c r="O250" s="56">
        <f t="shared" si="3"/>
        <v>0</v>
      </c>
      <c r="P250" s="44"/>
      <c r="Q250" s="66"/>
      <c r="R250" s="32"/>
      <c r="S250" s="32"/>
      <c r="T250" s="32"/>
      <c r="U250" s="32"/>
      <c r="V250" s="32"/>
      <c r="W250" s="32"/>
      <c r="X250" s="32"/>
      <c r="Y250" s="32"/>
      <c r="Z250" s="32"/>
    </row>
    <row r="251" spans="1:26" ht="15" customHeight="1" x14ac:dyDescent="0.3">
      <c r="A251" s="45">
        <v>241</v>
      </c>
      <c r="B251" s="46"/>
      <c r="C251" s="46"/>
      <c r="D251" s="63"/>
      <c r="E251" s="78"/>
      <c r="F251" s="99"/>
      <c r="G251" s="79"/>
      <c r="H251" s="71"/>
      <c r="I251" s="51"/>
      <c r="J251" s="51"/>
      <c r="K251" s="52"/>
      <c r="L251" s="53"/>
      <c r="M251" s="54"/>
      <c r="N251" s="55" t="str">
        <f t="shared" si="2"/>
        <v/>
      </c>
      <c r="O251" s="56">
        <f t="shared" si="3"/>
        <v>0</v>
      </c>
      <c r="P251" s="44"/>
      <c r="Q251" s="66"/>
      <c r="R251" s="32"/>
      <c r="S251" s="32"/>
      <c r="T251" s="32"/>
      <c r="U251" s="32"/>
      <c r="V251" s="32"/>
      <c r="W251" s="32"/>
      <c r="X251" s="32"/>
      <c r="Y251" s="32"/>
      <c r="Z251" s="32"/>
    </row>
    <row r="252" spans="1:26" ht="15" customHeight="1" x14ac:dyDescent="0.3">
      <c r="A252" s="45">
        <v>242</v>
      </c>
      <c r="B252" s="46"/>
      <c r="C252" s="46"/>
      <c r="D252" s="63"/>
      <c r="E252" s="78"/>
      <c r="F252" s="99"/>
      <c r="G252" s="79"/>
      <c r="H252" s="71"/>
      <c r="I252" s="51"/>
      <c r="J252" s="51"/>
      <c r="K252" s="52"/>
      <c r="L252" s="53"/>
      <c r="M252" s="54"/>
      <c r="N252" s="55" t="str">
        <f t="shared" si="2"/>
        <v/>
      </c>
      <c r="O252" s="56">
        <f t="shared" si="3"/>
        <v>0</v>
      </c>
      <c r="P252" s="44"/>
      <c r="Q252" s="66"/>
      <c r="R252" s="32"/>
      <c r="S252" s="32"/>
      <c r="T252" s="32"/>
      <c r="U252" s="32"/>
      <c r="V252" s="32"/>
      <c r="W252" s="32"/>
      <c r="X252" s="32"/>
      <c r="Y252" s="32"/>
      <c r="Z252" s="32"/>
    </row>
    <row r="253" spans="1:26" ht="15" customHeight="1" x14ac:dyDescent="0.3">
      <c r="A253" s="45">
        <v>243</v>
      </c>
      <c r="B253" s="46"/>
      <c r="C253" s="46"/>
      <c r="D253" s="63"/>
      <c r="E253" s="78"/>
      <c r="F253" s="99"/>
      <c r="G253" s="79"/>
      <c r="H253" s="71"/>
      <c r="I253" s="51"/>
      <c r="J253" s="51"/>
      <c r="K253" s="52"/>
      <c r="L253" s="53"/>
      <c r="M253" s="54"/>
      <c r="N253" s="55" t="str">
        <f t="shared" si="2"/>
        <v/>
      </c>
      <c r="O253" s="56">
        <f t="shared" si="3"/>
        <v>0</v>
      </c>
      <c r="P253" s="44"/>
      <c r="Q253" s="66"/>
      <c r="R253" s="32"/>
      <c r="S253" s="32"/>
      <c r="T253" s="32"/>
      <c r="U253" s="32"/>
      <c r="V253" s="32"/>
      <c r="W253" s="32"/>
      <c r="X253" s="32"/>
      <c r="Y253" s="32"/>
      <c r="Z253" s="32"/>
    </row>
    <row r="254" spans="1:26" ht="15" customHeight="1" x14ac:dyDescent="0.3">
      <c r="A254" s="45">
        <v>244</v>
      </c>
      <c r="B254" s="46"/>
      <c r="C254" s="46"/>
      <c r="D254" s="63"/>
      <c r="E254" s="78"/>
      <c r="F254" s="99"/>
      <c r="G254" s="79"/>
      <c r="H254" s="71"/>
      <c r="I254" s="51"/>
      <c r="J254" s="51"/>
      <c r="K254" s="52"/>
      <c r="L254" s="53"/>
      <c r="M254" s="54"/>
      <c r="N254" s="55" t="str">
        <f t="shared" si="2"/>
        <v/>
      </c>
      <c r="O254" s="56">
        <f t="shared" si="3"/>
        <v>0</v>
      </c>
      <c r="P254" s="44"/>
      <c r="Q254" s="66"/>
      <c r="R254" s="32"/>
      <c r="S254" s="32"/>
      <c r="T254" s="32"/>
      <c r="U254" s="32"/>
      <c r="V254" s="32"/>
      <c r="W254" s="32"/>
      <c r="X254" s="32"/>
      <c r="Y254" s="32"/>
      <c r="Z254" s="32"/>
    </row>
    <row r="255" spans="1:26" ht="15" customHeight="1" x14ac:dyDescent="0.3">
      <c r="A255" s="45">
        <v>245</v>
      </c>
      <c r="B255" s="46"/>
      <c r="C255" s="46"/>
      <c r="D255" s="63"/>
      <c r="E255" s="78"/>
      <c r="F255" s="99"/>
      <c r="G255" s="79"/>
      <c r="H255" s="71"/>
      <c r="I255" s="51"/>
      <c r="J255" s="51"/>
      <c r="K255" s="52"/>
      <c r="L255" s="53"/>
      <c r="M255" s="54"/>
      <c r="N255" s="55" t="str">
        <f t="shared" si="2"/>
        <v/>
      </c>
      <c r="O255" s="56">
        <f t="shared" si="3"/>
        <v>0</v>
      </c>
      <c r="P255" s="44"/>
      <c r="Q255" s="66"/>
      <c r="R255" s="32"/>
      <c r="S255" s="32"/>
      <c r="T255" s="32"/>
      <c r="U255" s="32"/>
      <c r="V255" s="32"/>
      <c r="W255" s="32"/>
      <c r="X255" s="32"/>
      <c r="Y255" s="32"/>
      <c r="Z255" s="32"/>
    </row>
    <row r="256" spans="1:26" ht="15" customHeight="1" x14ac:dyDescent="0.3">
      <c r="A256" s="45">
        <v>246</v>
      </c>
      <c r="B256" s="46"/>
      <c r="C256" s="46"/>
      <c r="D256" s="63"/>
      <c r="E256" s="78"/>
      <c r="F256" s="99"/>
      <c r="G256" s="79"/>
      <c r="H256" s="71"/>
      <c r="I256" s="51"/>
      <c r="J256" s="51"/>
      <c r="K256" s="52"/>
      <c r="L256" s="53"/>
      <c r="M256" s="54"/>
      <c r="N256" s="55" t="str">
        <f t="shared" si="2"/>
        <v/>
      </c>
      <c r="O256" s="56">
        <f t="shared" si="3"/>
        <v>0</v>
      </c>
      <c r="P256" s="44"/>
      <c r="Q256" s="66"/>
      <c r="R256" s="32"/>
      <c r="S256" s="32"/>
      <c r="T256" s="32"/>
      <c r="U256" s="32"/>
      <c r="V256" s="32"/>
      <c r="W256" s="32"/>
      <c r="X256" s="32"/>
      <c r="Y256" s="32"/>
      <c r="Z256" s="32"/>
    </row>
    <row r="257" spans="1:26" ht="15" customHeight="1" x14ac:dyDescent="0.3">
      <c r="A257" s="45">
        <v>247</v>
      </c>
      <c r="B257" s="46"/>
      <c r="C257" s="46"/>
      <c r="D257" s="63"/>
      <c r="E257" s="78"/>
      <c r="F257" s="99"/>
      <c r="G257" s="79"/>
      <c r="H257" s="71"/>
      <c r="I257" s="51"/>
      <c r="J257" s="51"/>
      <c r="K257" s="52"/>
      <c r="L257" s="53"/>
      <c r="M257" s="54"/>
      <c r="N257" s="55" t="str">
        <f t="shared" si="2"/>
        <v/>
      </c>
      <c r="O257" s="56">
        <f t="shared" si="3"/>
        <v>0</v>
      </c>
      <c r="P257" s="44"/>
      <c r="Q257" s="66"/>
      <c r="R257" s="32"/>
      <c r="S257" s="32"/>
      <c r="T257" s="32"/>
      <c r="U257" s="32"/>
      <c r="V257" s="32"/>
      <c r="W257" s="32"/>
      <c r="X257" s="32"/>
      <c r="Y257" s="32"/>
      <c r="Z257" s="32"/>
    </row>
    <row r="258" spans="1:26" ht="15" customHeight="1" x14ac:dyDescent="0.3">
      <c r="A258" s="45">
        <v>248</v>
      </c>
      <c r="B258" s="46"/>
      <c r="C258" s="46"/>
      <c r="D258" s="63"/>
      <c r="E258" s="78"/>
      <c r="F258" s="99"/>
      <c r="G258" s="79"/>
      <c r="H258" s="71"/>
      <c r="I258" s="51"/>
      <c r="J258" s="51"/>
      <c r="K258" s="52"/>
      <c r="L258" s="53"/>
      <c r="M258" s="54"/>
      <c r="N258" s="55" t="str">
        <f t="shared" si="2"/>
        <v/>
      </c>
      <c r="O258" s="56">
        <f t="shared" si="3"/>
        <v>0</v>
      </c>
      <c r="P258" s="44"/>
      <c r="Q258" s="66"/>
      <c r="R258" s="32"/>
      <c r="S258" s="32"/>
      <c r="T258" s="32"/>
      <c r="U258" s="32"/>
      <c r="V258" s="32"/>
      <c r="W258" s="32"/>
      <c r="X258" s="32"/>
      <c r="Y258" s="32"/>
      <c r="Z258" s="32"/>
    </row>
    <row r="259" spans="1:26" ht="15" customHeight="1" x14ac:dyDescent="0.3">
      <c r="A259" s="45">
        <v>249</v>
      </c>
      <c r="B259" s="46"/>
      <c r="C259" s="46"/>
      <c r="D259" s="63"/>
      <c r="E259" s="78"/>
      <c r="F259" s="99"/>
      <c r="G259" s="79"/>
      <c r="H259" s="71"/>
      <c r="I259" s="51"/>
      <c r="J259" s="51"/>
      <c r="K259" s="52"/>
      <c r="L259" s="53"/>
      <c r="M259" s="54"/>
      <c r="N259" s="55" t="str">
        <f t="shared" si="2"/>
        <v/>
      </c>
      <c r="O259" s="56">
        <f t="shared" si="3"/>
        <v>0</v>
      </c>
      <c r="P259" s="44"/>
      <c r="Q259" s="66"/>
      <c r="R259" s="32"/>
      <c r="S259" s="32"/>
      <c r="T259" s="32"/>
      <c r="U259" s="32"/>
      <c r="V259" s="32"/>
      <c r="W259" s="32"/>
      <c r="X259" s="32"/>
      <c r="Y259" s="32"/>
      <c r="Z259" s="32"/>
    </row>
    <row r="260" spans="1:26" ht="15" customHeight="1" x14ac:dyDescent="0.3">
      <c r="A260" s="45">
        <v>250</v>
      </c>
      <c r="B260" s="46"/>
      <c r="C260" s="46"/>
      <c r="D260" s="63"/>
      <c r="E260" s="78"/>
      <c r="F260" s="99"/>
      <c r="G260" s="79"/>
      <c r="H260" s="71"/>
      <c r="I260" s="51"/>
      <c r="J260" s="51"/>
      <c r="K260" s="52"/>
      <c r="L260" s="53"/>
      <c r="M260" s="54"/>
      <c r="N260" s="55" t="str">
        <f t="shared" si="2"/>
        <v/>
      </c>
      <c r="O260" s="56">
        <f t="shared" si="3"/>
        <v>0</v>
      </c>
      <c r="P260" s="44"/>
      <c r="Q260" s="66"/>
      <c r="R260" s="32"/>
      <c r="S260" s="32"/>
      <c r="T260" s="32"/>
      <c r="U260" s="32"/>
      <c r="V260" s="32"/>
      <c r="W260" s="32"/>
      <c r="X260" s="32"/>
      <c r="Y260" s="32"/>
      <c r="Z260" s="32"/>
    </row>
    <row r="261" spans="1:26" ht="15" customHeight="1" x14ac:dyDescent="0.3">
      <c r="A261" s="45">
        <v>251</v>
      </c>
      <c r="B261" s="46"/>
      <c r="C261" s="46"/>
      <c r="D261" s="63"/>
      <c r="E261" s="78"/>
      <c r="F261" s="99"/>
      <c r="G261" s="79"/>
      <c r="H261" s="71"/>
      <c r="I261" s="51"/>
      <c r="J261" s="51"/>
      <c r="K261" s="52"/>
      <c r="L261" s="53"/>
      <c r="M261" s="54"/>
      <c r="N261" s="55" t="str">
        <f t="shared" si="2"/>
        <v/>
      </c>
      <c r="O261" s="56">
        <f t="shared" si="3"/>
        <v>0</v>
      </c>
      <c r="P261" s="44"/>
      <c r="Q261" s="66"/>
      <c r="R261" s="32"/>
      <c r="S261" s="32"/>
      <c r="T261" s="32"/>
      <c r="U261" s="32"/>
      <c r="V261" s="32"/>
      <c r="W261" s="32"/>
      <c r="X261" s="32"/>
      <c r="Y261" s="32"/>
      <c r="Z261" s="32"/>
    </row>
    <row r="262" spans="1:26" ht="15" customHeight="1" x14ac:dyDescent="0.3">
      <c r="A262" s="45">
        <v>252</v>
      </c>
      <c r="B262" s="46"/>
      <c r="C262" s="46"/>
      <c r="D262" s="63"/>
      <c r="E262" s="78"/>
      <c r="F262" s="99"/>
      <c r="G262" s="79"/>
      <c r="H262" s="71"/>
      <c r="I262" s="51"/>
      <c r="J262" s="51"/>
      <c r="K262" s="52"/>
      <c r="L262" s="53"/>
      <c r="M262" s="54"/>
      <c r="N262" s="55" t="str">
        <f t="shared" si="2"/>
        <v/>
      </c>
      <c r="O262" s="56">
        <f t="shared" si="3"/>
        <v>0</v>
      </c>
      <c r="P262" s="44"/>
      <c r="Q262" s="66"/>
      <c r="R262" s="32"/>
      <c r="S262" s="32"/>
      <c r="T262" s="32"/>
      <c r="U262" s="32"/>
      <c r="V262" s="32"/>
      <c r="W262" s="32"/>
      <c r="X262" s="32"/>
      <c r="Y262" s="32"/>
      <c r="Z262" s="32"/>
    </row>
    <row r="263" spans="1:26" ht="15" customHeight="1" x14ac:dyDescent="0.3">
      <c r="A263" s="45">
        <v>253</v>
      </c>
      <c r="B263" s="46"/>
      <c r="C263" s="46"/>
      <c r="D263" s="63"/>
      <c r="E263" s="78"/>
      <c r="F263" s="99"/>
      <c r="G263" s="79"/>
      <c r="H263" s="71"/>
      <c r="I263" s="51"/>
      <c r="J263" s="51"/>
      <c r="K263" s="52"/>
      <c r="L263" s="53"/>
      <c r="M263" s="54"/>
      <c r="N263" s="55" t="str">
        <f t="shared" si="2"/>
        <v/>
      </c>
      <c r="O263" s="56">
        <f t="shared" si="3"/>
        <v>0</v>
      </c>
      <c r="P263" s="44"/>
      <c r="Q263" s="66"/>
      <c r="R263" s="32"/>
      <c r="S263" s="32"/>
      <c r="T263" s="32"/>
      <c r="U263" s="32"/>
      <c r="V263" s="32"/>
      <c r="W263" s="32"/>
      <c r="X263" s="32"/>
      <c r="Y263" s="32"/>
      <c r="Z263" s="32"/>
    </row>
    <row r="264" spans="1:26" ht="15" customHeight="1" x14ac:dyDescent="0.3">
      <c r="A264" s="45">
        <v>254</v>
      </c>
      <c r="B264" s="46"/>
      <c r="C264" s="46"/>
      <c r="D264" s="63"/>
      <c r="E264" s="78"/>
      <c r="F264" s="99"/>
      <c r="G264" s="79"/>
      <c r="H264" s="71"/>
      <c r="I264" s="51"/>
      <c r="J264" s="51"/>
      <c r="K264" s="52"/>
      <c r="L264" s="53"/>
      <c r="M264" s="54"/>
      <c r="N264" s="55" t="str">
        <f t="shared" si="2"/>
        <v/>
      </c>
      <c r="O264" s="56">
        <f t="shared" si="3"/>
        <v>0</v>
      </c>
      <c r="P264" s="44"/>
      <c r="Q264" s="66"/>
      <c r="R264" s="32"/>
      <c r="S264" s="32"/>
      <c r="T264" s="32"/>
      <c r="U264" s="32"/>
      <c r="V264" s="32"/>
      <c r="W264" s="32"/>
      <c r="X264" s="32"/>
      <c r="Y264" s="32"/>
      <c r="Z264" s="32"/>
    </row>
    <row r="265" spans="1:26" ht="15" customHeight="1" x14ac:dyDescent="0.3">
      <c r="A265" s="45">
        <v>255</v>
      </c>
      <c r="B265" s="46"/>
      <c r="C265" s="46"/>
      <c r="D265" s="63"/>
      <c r="E265" s="78"/>
      <c r="F265" s="99"/>
      <c r="G265" s="79"/>
      <c r="H265" s="71"/>
      <c r="I265" s="51"/>
      <c r="J265" s="51"/>
      <c r="K265" s="52"/>
      <c r="L265" s="53"/>
      <c r="M265" s="54"/>
      <c r="N265" s="55" t="str">
        <f t="shared" ref="N265:N510" si="7">CONCATENATE(M265,K265,J265)</f>
        <v/>
      </c>
      <c r="O265" s="56">
        <f t="shared" ref="O265:O510" si="8">G265*H265</f>
        <v>0</v>
      </c>
      <c r="P265" s="44"/>
      <c r="Q265" s="66"/>
      <c r="R265" s="32"/>
      <c r="S265" s="32"/>
      <c r="T265" s="32"/>
      <c r="U265" s="32"/>
      <c r="V265" s="32"/>
      <c r="W265" s="32"/>
      <c r="X265" s="32"/>
      <c r="Y265" s="32"/>
      <c r="Z265" s="32"/>
    </row>
    <row r="266" spans="1:26" ht="15" customHeight="1" x14ac:dyDescent="0.3">
      <c r="A266" s="45">
        <v>256</v>
      </c>
      <c r="B266" s="46"/>
      <c r="C266" s="46"/>
      <c r="D266" s="63"/>
      <c r="E266" s="78"/>
      <c r="F266" s="99"/>
      <c r="G266" s="79"/>
      <c r="H266" s="71"/>
      <c r="I266" s="51"/>
      <c r="J266" s="51"/>
      <c r="K266" s="52"/>
      <c r="L266" s="53"/>
      <c r="M266" s="54"/>
      <c r="N266" s="55" t="str">
        <f t="shared" si="7"/>
        <v/>
      </c>
      <c r="O266" s="56">
        <f t="shared" si="8"/>
        <v>0</v>
      </c>
      <c r="P266" s="44"/>
      <c r="Q266" s="66"/>
      <c r="R266" s="32"/>
      <c r="S266" s="32"/>
      <c r="T266" s="32"/>
      <c r="U266" s="32"/>
      <c r="V266" s="32"/>
      <c r="W266" s="32"/>
      <c r="X266" s="32"/>
      <c r="Y266" s="32"/>
      <c r="Z266" s="32"/>
    </row>
    <row r="267" spans="1:26" ht="15" customHeight="1" x14ac:dyDescent="0.3">
      <c r="A267" s="45">
        <v>257</v>
      </c>
      <c r="B267" s="46"/>
      <c r="C267" s="46"/>
      <c r="D267" s="63"/>
      <c r="E267" s="78"/>
      <c r="F267" s="99"/>
      <c r="G267" s="79"/>
      <c r="H267" s="71"/>
      <c r="I267" s="51"/>
      <c r="J267" s="51"/>
      <c r="K267" s="52"/>
      <c r="L267" s="53"/>
      <c r="M267" s="54"/>
      <c r="N267" s="55" t="str">
        <f t="shared" si="7"/>
        <v/>
      </c>
      <c r="O267" s="56">
        <f t="shared" si="8"/>
        <v>0</v>
      </c>
      <c r="P267" s="44"/>
      <c r="Q267" s="66"/>
      <c r="R267" s="32"/>
      <c r="S267" s="32"/>
      <c r="T267" s="32"/>
      <c r="U267" s="32"/>
      <c r="V267" s="32"/>
      <c r="W267" s="32"/>
      <c r="X267" s="32"/>
      <c r="Y267" s="32"/>
      <c r="Z267" s="32"/>
    </row>
    <row r="268" spans="1:26" ht="15" customHeight="1" x14ac:dyDescent="0.3">
      <c r="A268" s="45">
        <v>258</v>
      </c>
      <c r="B268" s="46"/>
      <c r="C268" s="46"/>
      <c r="D268" s="63"/>
      <c r="E268" s="78"/>
      <c r="F268" s="99"/>
      <c r="G268" s="79"/>
      <c r="H268" s="71"/>
      <c r="I268" s="51"/>
      <c r="J268" s="51"/>
      <c r="K268" s="52"/>
      <c r="L268" s="53"/>
      <c r="M268" s="54"/>
      <c r="N268" s="55" t="str">
        <f t="shared" si="7"/>
        <v/>
      </c>
      <c r="O268" s="56">
        <f t="shared" si="8"/>
        <v>0</v>
      </c>
      <c r="P268" s="44"/>
      <c r="Q268" s="66"/>
      <c r="R268" s="32"/>
      <c r="S268" s="32"/>
      <c r="T268" s="32"/>
      <c r="U268" s="32"/>
      <c r="V268" s="32"/>
      <c r="W268" s="32"/>
      <c r="X268" s="32"/>
      <c r="Y268" s="32"/>
      <c r="Z268" s="32"/>
    </row>
    <row r="269" spans="1:26" ht="15" customHeight="1" x14ac:dyDescent="0.3">
      <c r="A269" s="45">
        <v>259</v>
      </c>
      <c r="B269" s="46"/>
      <c r="C269" s="46"/>
      <c r="D269" s="63"/>
      <c r="E269" s="78"/>
      <c r="F269" s="99"/>
      <c r="G269" s="79"/>
      <c r="H269" s="71"/>
      <c r="I269" s="51"/>
      <c r="J269" s="51"/>
      <c r="K269" s="52"/>
      <c r="L269" s="53"/>
      <c r="M269" s="54"/>
      <c r="N269" s="55" t="str">
        <f t="shared" si="7"/>
        <v/>
      </c>
      <c r="O269" s="56">
        <f t="shared" si="8"/>
        <v>0</v>
      </c>
      <c r="P269" s="44"/>
      <c r="Q269" s="66"/>
      <c r="R269" s="32"/>
      <c r="S269" s="32"/>
      <c r="T269" s="32"/>
      <c r="U269" s="32"/>
      <c r="V269" s="32"/>
      <c r="W269" s="32"/>
      <c r="X269" s="32"/>
      <c r="Y269" s="32"/>
      <c r="Z269" s="32"/>
    </row>
    <row r="270" spans="1:26" ht="15" customHeight="1" x14ac:dyDescent="0.3">
      <c r="A270" s="45">
        <v>260</v>
      </c>
      <c r="B270" s="46"/>
      <c r="C270" s="46"/>
      <c r="D270" s="63"/>
      <c r="E270" s="78"/>
      <c r="F270" s="99"/>
      <c r="G270" s="79"/>
      <c r="H270" s="71"/>
      <c r="I270" s="51"/>
      <c r="J270" s="51"/>
      <c r="K270" s="52"/>
      <c r="L270" s="53"/>
      <c r="M270" s="54"/>
      <c r="N270" s="55" t="str">
        <f t="shared" si="7"/>
        <v/>
      </c>
      <c r="O270" s="56">
        <f t="shared" si="8"/>
        <v>0</v>
      </c>
      <c r="P270" s="44"/>
      <c r="Q270" s="66"/>
      <c r="R270" s="32"/>
      <c r="S270" s="32"/>
      <c r="T270" s="32"/>
      <c r="U270" s="32"/>
      <c r="V270" s="32"/>
      <c r="W270" s="32"/>
      <c r="X270" s="32"/>
      <c r="Y270" s="32"/>
      <c r="Z270" s="32"/>
    </row>
    <row r="271" spans="1:26" ht="15" customHeight="1" x14ac:dyDescent="0.3">
      <c r="A271" s="45">
        <v>261</v>
      </c>
      <c r="B271" s="46"/>
      <c r="C271" s="46"/>
      <c r="D271" s="63"/>
      <c r="E271" s="78"/>
      <c r="F271" s="99"/>
      <c r="G271" s="79"/>
      <c r="H271" s="71"/>
      <c r="I271" s="51"/>
      <c r="J271" s="51"/>
      <c r="K271" s="52"/>
      <c r="L271" s="53"/>
      <c r="M271" s="54"/>
      <c r="N271" s="55" t="str">
        <f t="shared" si="7"/>
        <v/>
      </c>
      <c r="O271" s="56">
        <f t="shared" si="8"/>
        <v>0</v>
      </c>
      <c r="P271" s="44"/>
      <c r="Q271" s="66"/>
      <c r="R271" s="32"/>
      <c r="S271" s="32"/>
      <c r="T271" s="32"/>
      <c r="U271" s="32"/>
      <c r="V271" s="32"/>
      <c r="W271" s="32"/>
      <c r="X271" s="32"/>
      <c r="Y271" s="32"/>
      <c r="Z271" s="32"/>
    </row>
    <row r="272" spans="1:26" ht="15" customHeight="1" x14ac:dyDescent="0.3">
      <c r="A272" s="45">
        <v>262</v>
      </c>
      <c r="B272" s="46"/>
      <c r="C272" s="46"/>
      <c r="D272" s="63"/>
      <c r="E272" s="78"/>
      <c r="F272" s="99"/>
      <c r="G272" s="79"/>
      <c r="H272" s="71"/>
      <c r="I272" s="51"/>
      <c r="J272" s="51"/>
      <c r="K272" s="52"/>
      <c r="L272" s="53"/>
      <c r="M272" s="54"/>
      <c r="N272" s="55" t="str">
        <f t="shared" si="7"/>
        <v/>
      </c>
      <c r="O272" s="56">
        <f t="shared" si="8"/>
        <v>0</v>
      </c>
      <c r="P272" s="44"/>
      <c r="Q272" s="66"/>
      <c r="R272" s="32"/>
      <c r="S272" s="32"/>
      <c r="T272" s="32"/>
      <c r="U272" s="32"/>
      <c r="V272" s="32"/>
      <c r="W272" s="32"/>
      <c r="X272" s="32"/>
      <c r="Y272" s="32"/>
      <c r="Z272" s="32"/>
    </row>
    <row r="273" spans="1:26" ht="15" customHeight="1" x14ac:dyDescent="0.3">
      <c r="A273" s="45">
        <v>263</v>
      </c>
      <c r="B273" s="46"/>
      <c r="C273" s="46"/>
      <c r="D273" s="63"/>
      <c r="E273" s="78"/>
      <c r="F273" s="99"/>
      <c r="G273" s="79"/>
      <c r="H273" s="71"/>
      <c r="I273" s="51"/>
      <c r="J273" s="51"/>
      <c r="K273" s="52"/>
      <c r="L273" s="53"/>
      <c r="M273" s="54"/>
      <c r="N273" s="55" t="str">
        <f t="shared" si="7"/>
        <v/>
      </c>
      <c r="O273" s="56">
        <f t="shared" si="8"/>
        <v>0</v>
      </c>
      <c r="P273" s="44"/>
      <c r="Q273" s="66"/>
      <c r="R273" s="32"/>
      <c r="S273" s="32"/>
      <c r="T273" s="32"/>
      <c r="U273" s="32"/>
      <c r="V273" s="32"/>
      <c r="W273" s="32"/>
      <c r="X273" s="32"/>
      <c r="Y273" s="32"/>
      <c r="Z273" s="32"/>
    </row>
    <row r="274" spans="1:26" ht="15" customHeight="1" x14ac:dyDescent="0.3">
      <c r="A274" s="45">
        <v>264</v>
      </c>
      <c r="B274" s="46"/>
      <c r="C274" s="46"/>
      <c r="D274" s="63"/>
      <c r="E274" s="78"/>
      <c r="F274" s="99"/>
      <c r="G274" s="79"/>
      <c r="H274" s="71"/>
      <c r="I274" s="51"/>
      <c r="J274" s="51"/>
      <c r="K274" s="52"/>
      <c r="L274" s="53"/>
      <c r="M274" s="54"/>
      <c r="N274" s="55" t="str">
        <f t="shared" si="7"/>
        <v/>
      </c>
      <c r="O274" s="56">
        <f t="shared" si="8"/>
        <v>0</v>
      </c>
      <c r="P274" s="44"/>
      <c r="Q274" s="66"/>
      <c r="R274" s="32"/>
      <c r="S274" s="32"/>
      <c r="T274" s="32"/>
      <c r="U274" s="32"/>
      <c r="V274" s="32"/>
      <c r="W274" s="32"/>
      <c r="X274" s="32"/>
      <c r="Y274" s="32"/>
      <c r="Z274" s="32"/>
    </row>
    <row r="275" spans="1:26" ht="15" customHeight="1" x14ac:dyDescent="0.3">
      <c r="A275" s="45">
        <v>265</v>
      </c>
      <c r="B275" s="46"/>
      <c r="C275" s="46"/>
      <c r="D275" s="63"/>
      <c r="E275" s="78"/>
      <c r="F275" s="99"/>
      <c r="G275" s="79"/>
      <c r="H275" s="71"/>
      <c r="I275" s="51"/>
      <c r="J275" s="51"/>
      <c r="K275" s="52"/>
      <c r="L275" s="53"/>
      <c r="M275" s="54"/>
      <c r="N275" s="55" t="str">
        <f t="shared" si="7"/>
        <v/>
      </c>
      <c r="O275" s="56">
        <f t="shared" si="8"/>
        <v>0</v>
      </c>
      <c r="P275" s="44"/>
      <c r="Q275" s="66"/>
      <c r="R275" s="32"/>
      <c r="S275" s="32"/>
      <c r="T275" s="32"/>
      <c r="U275" s="32"/>
      <c r="V275" s="32"/>
      <c r="W275" s="32"/>
      <c r="X275" s="32"/>
      <c r="Y275" s="32"/>
      <c r="Z275" s="32"/>
    </row>
    <row r="276" spans="1:26" ht="15" customHeight="1" x14ac:dyDescent="0.3">
      <c r="A276" s="45">
        <v>266</v>
      </c>
      <c r="B276" s="46"/>
      <c r="C276" s="46"/>
      <c r="D276" s="63"/>
      <c r="E276" s="78"/>
      <c r="F276" s="99"/>
      <c r="G276" s="79"/>
      <c r="H276" s="71"/>
      <c r="I276" s="51"/>
      <c r="J276" s="51"/>
      <c r="K276" s="52"/>
      <c r="L276" s="53"/>
      <c r="M276" s="54"/>
      <c r="N276" s="55" t="str">
        <f t="shared" si="7"/>
        <v/>
      </c>
      <c r="O276" s="56">
        <f t="shared" si="8"/>
        <v>0</v>
      </c>
      <c r="P276" s="44"/>
      <c r="Q276" s="66"/>
      <c r="R276" s="32"/>
      <c r="S276" s="32"/>
      <c r="T276" s="32"/>
      <c r="U276" s="32"/>
      <c r="V276" s="32"/>
      <c r="W276" s="32"/>
      <c r="X276" s="32"/>
      <c r="Y276" s="32"/>
      <c r="Z276" s="32"/>
    </row>
    <row r="277" spans="1:26" ht="15" customHeight="1" x14ac:dyDescent="0.3">
      <c r="A277" s="45">
        <v>267</v>
      </c>
      <c r="B277" s="46"/>
      <c r="C277" s="46"/>
      <c r="D277" s="63"/>
      <c r="E277" s="78"/>
      <c r="F277" s="99"/>
      <c r="G277" s="79"/>
      <c r="H277" s="71"/>
      <c r="I277" s="51"/>
      <c r="J277" s="51"/>
      <c r="K277" s="52"/>
      <c r="L277" s="53"/>
      <c r="M277" s="54"/>
      <c r="N277" s="55" t="str">
        <f t="shared" si="7"/>
        <v/>
      </c>
      <c r="O277" s="56">
        <f t="shared" si="8"/>
        <v>0</v>
      </c>
      <c r="P277" s="44"/>
      <c r="Q277" s="66"/>
      <c r="R277" s="32"/>
      <c r="S277" s="32"/>
      <c r="T277" s="32"/>
      <c r="U277" s="32"/>
      <c r="V277" s="32"/>
      <c r="W277" s="32"/>
      <c r="X277" s="32"/>
      <c r="Y277" s="32"/>
      <c r="Z277" s="32"/>
    </row>
    <row r="278" spans="1:26" ht="15" customHeight="1" x14ac:dyDescent="0.3">
      <c r="A278" s="45">
        <v>268</v>
      </c>
      <c r="B278" s="46"/>
      <c r="C278" s="46"/>
      <c r="D278" s="63"/>
      <c r="E278" s="78"/>
      <c r="F278" s="99"/>
      <c r="G278" s="79"/>
      <c r="H278" s="71"/>
      <c r="I278" s="51"/>
      <c r="J278" s="51"/>
      <c r="K278" s="52"/>
      <c r="L278" s="53"/>
      <c r="M278" s="54"/>
      <c r="N278" s="55" t="str">
        <f t="shared" si="7"/>
        <v/>
      </c>
      <c r="O278" s="56">
        <f t="shared" si="8"/>
        <v>0</v>
      </c>
      <c r="P278" s="44"/>
      <c r="Q278" s="66"/>
      <c r="R278" s="32"/>
      <c r="S278" s="32"/>
      <c r="T278" s="32"/>
      <c r="U278" s="32"/>
      <c r="V278" s="32"/>
      <c r="W278" s="32"/>
      <c r="X278" s="32"/>
      <c r="Y278" s="32"/>
      <c r="Z278" s="32"/>
    </row>
    <row r="279" spans="1:26" ht="15" customHeight="1" x14ac:dyDescent="0.3">
      <c r="A279" s="45">
        <v>269</v>
      </c>
      <c r="B279" s="46"/>
      <c r="C279" s="46"/>
      <c r="D279" s="63"/>
      <c r="E279" s="78"/>
      <c r="F279" s="99"/>
      <c r="G279" s="79"/>
      <c r="H279" s="71"/>
      <c r="I279" s="51"/>
      <c r="J279" s="51"/>
      <c r="K279" s="52"/>
      <c r="L279" s="53"/>
      <c r="M279" s="54"/>
      <c r="N279" s="55" t="str">
        <f t="shared" si="7"/>
        <v/>
      </c>
      <c r="O279" s="56">
        <f t="shared" si="8"/>
        <v>0</v>
      </c>
      <c r="P279" s="44"/>
      <c r="Q279" s="66"/>
      <c r="R279" s="32"/>
      <c r="S279" s="32"/>
      <c r="T279" s="32"/>
      <c r="U279" s="32"/>
      <c r="V279" s="32"/>
      <c r="W279" s="32"/>
      <c r="X279" s="32"/>
      <c r="Y279" s="32"/>
      <c r="Z279" s="32"/>
    </row>
    <row r="280" spans="1:26" ht="15" customHeight="1" x14ac:dyDescent="0.3">
      <c r="A280" s="45">
        <v>270</v>
      </c>
      <c r="B280" s="46"/>
      <c r="C280" s="46"/>
      <c r="D280" s="63"/>
      <c r="E280" s="78"/>
      <c r="F280" s="99"/>
      <c r="G280" s="79"/>
      <c r="H280" s="71"/>
      <c r="I280" s="51"/>
      <c r="J280" s="51"/>
      <c r="K280" s="52"/>
      <c r="L280" s="53"/>
      <c r="M280" s="54"/>
      <c r="N280" s="55" t="str">
        <f t="shared" si="7"/>
        <v/>
      </c>
      <c r="O280" s="56">
        <f t="shared" si="8"/>
        <v>0</v>
      </c>
      <c r="P280" s="44"/>
      <c r="Q280" s="66"/>
      <c r="R280" s="32"/>
      <c r="S280" s="32"/>
      <c r="T280" s="32"/>
      <c r="U280" s="32"/>
      <c r="V280" s="32"/>
      <c r="W280" s="32"/>
      <c r="X280" s="32"/>
      <c r="Y280" s="32"/>
      <c r="Z280" s="32"/>
    </row>
    <row r="281" spans="1:26" ht="15" customHeight="1" x14ac:dyDescent="0.3">
      <c r="A281" s="45">
        <v>271</v>
      </c>
      <c r="B281" s="46"/>
      <c r="C281" s="46"/>
      <c r="D281" s="63"/>
      <c r="E281" s="78"/>
      <c r="F281" s="99"/>
      <c r="G281" s="79"/>
      <c r="H281" s="71"/>
      <c r="I281" s="51"/>
      <c r="J281" s="51"/>
      <c r="K281" s="52"/>
      <c r="L281" s="53"/>
      <c r="M281" s="54"/>
      <c r="N281" s="55" t="str">
        <f t="shared" si="7"/>
        <v/>
      </c>
      <c r="O281" s="56">
        <f t="shared" si="8"/>
        <v>0</v>
      </c>
      <c r="P281" s="44"/>
      <c r="Q281" s="66"/>
      <c r="R281" s="32"/>
      <c r="S281" s="32"/>
      <c r="T281" s="32"/>
      <c r="U281" s="32"/>
      <c r="V281" s="32"/>
      <c r="W281" s="32"/>
      <c r="X281" s="32"/>
      <c r="Y281" s="32"/>
      <c r="Z281" s="32"/>
    </row>
    <row r="282" spans="1:26" ht="15" customHeight="1" x14ac:dyDescent="0.3">
      <c r="A282" s="45">
        <v>272</v>
      </c>
      <c r="B282" s="46"/>
      <c r="C282" s="46"/>
      <c r="D282" s="63"/>
      <c r="E282" s="78"/>
      <c r="F282" s="99"/>
      <c r="G282" s="79"/>
      <c r="H282" s="71"/>
      <c r="I282" s="51"/>
      <c r="J282" s="51"/>
      <c r="K282" s="52"/>
      <c r="L282" s="53"/>
      <c r="M282" s="54"/>
      <c r="N282" s="55" t="str">
        <f t="shared" si="7"/>
        <v/>
      </c>
      <c r="O282" s="56">
        <f t="shared" si="8"/>
        <v>0</v>
      </c>
      <c r="P282" s="44"/>
      <c r="Q282" s="66"/>
      <c r="R282" s="32"/>
      <c r="S282" s="32"/>
      <c r="T282" s="32"/>
      <c r="U282" s="32"/>
      <c r="V282" s="32"/>
      <c r="W282" s="32"/>
      <c r="X282" s="32"/>
      <c r="Y282" s="32"/>
      <c r="Z282" s="32"/>
    </row>
    <row r="283" spans="1:26" ht="15" customHeight="1" x14ac:dyDescent="0.3">
      <c r="A283" s="45">
        <v>273</v>
      </c>
      <c r="B283" s="46"/>
      <c r="C283" s="46"/>
      <c r="D283" s="63"/>
      <c r="E283" s="78"/>
      <c r="F283" s="99"/>
      <c r="G283" s="79"/>
      <c r="H283" s="71"/>
      <c r="I283" s="51"/>
      <c r="J283" s="51"/>
      <c r="K283" s="52"/>
      <c r="L283" s="53"/>
      <c r="M283" s="54"/>
      <c r="N283" s="55" t="str">
        <f t="shared" si="7"/>
        <v/>
      </c>
      <c r="O283" s="56">
        <f t="shared" si="8"/>
        <v>0</v>
      </c>
      <c r="P283" s="44"/>
      <c r="Q283" s="66"/>
      <c r="R283" s="32"/>
      <c r="S283" s="32"/>
      <c r="T283" s="32"/>
      <c r="U283" s="32"/>
      <c r="V283" s="32"/>
      <c r="W283" s="32"/>
      <c r="X283" s="32"/>
      <c r="Y283" s="32"/>
      <c r="Z283" s="32"/>
    </row>
    <row r="284" spans="1:26" ht="15" customHeight="1" x14ac:dyDescent="0.3">
      <c r="A284" s="45">
        <v>274</v>
      </c>
      <c r="B284" s="46"/>
      <c r="C284" s="46"/>
      <c r="D284" s="63"/>
      <c r="E284" s="78"/>
      <c r="F284" s="99"/>
      <c r="G284" s="79"/>
      <c r="H284" s="71"/>
      <c r="I284" s="51"/>
      <c r="J284" s="51"/>
      <c r="K284" s="52"/>
      <c r="L284" s="53"/>
      <c r="M284" s="54"/>
      <c r="N284" s="55" t="str">
        <f t="shared" si="7"/>
        <v/>
      </c>
      <c r="O284" s="56">
        <f t="shared" si="8"/>
        <v>0</v>
      </c>
      <c r="P284" s="44"/>
      <c r="Q284" s="66"/>
      <c r="R284" s="32"/>
      <c r="S284" s="32"/>
      <c r="T284" s="32"/>
      <c r="U284" s="32"/>
      <c r="V284" s="32"/>
      <c r="W284" s="32"/>
      <c r="X284" s="32"/>
      <c r="Y284" s="32"/>
      <c r="Z284" s="32"/>
    </row>
    <row r="285" spans="1:26" ht="15" customHeight="1" x14ac:dyDescent="0.3">
      <c r="A285" s="45">
        <v>275</v>
      </c>
      <c r="B285" s="46"/>
      <c r="C285" s="46"/>
      <c r="D285" s="63"/>
      <c r="E285" s="78"/>
      <c r="F285" s="99"/>
      <c r="G285" s="79"/>
      <c r="H285" s="71"/>
      <c r="I285" s="51"/>
      <c r="J285" s="51"/>
      <c r="K285" s="52"/>
      <c r="L285" s="53"/>
      <c r="M285" s="54"/>
      <c r="N285" s="55" t="str">
        <f t="shared" si="7"/>
        <v/>
      </c>
      <c r="O285" s="56">
        <f t="shared" si="8"/>
        <v>0</v>
      </c>
      <c r="P285" s="44"/>
      <c r="Q285" s="66"/>
      <c r="R285" s="32"/>
      <c r="S285" s="32"/>
      <c r="T285" s="32"/>
      <c r="U285" s="32"/>
      <c r="V285" s="32"/>
      <c r="W285" s="32"/>
      <c r="X285" s="32"/>
      <c r="Y285" s="32"/>
      <c r="Z285" s="32"/>
    </row>
    <row r="286" spans="1:26" ht="15" customHeight="1" x14ac:dyDescent="0.3">
      <c r="A286" s="45">
        <v>276</v>
      </c>
      <c r="B286" s="46"/>
      <c r="C286" s="46"/>
      <c r="D286" s="63"/>
      <c r="E286" s="78"/>
      <c r="F286" s="99"/>
      <c r="G286" s="79"/>
      <c r="H286" s="71"/>
      <c r="I286" s="51"/>
      <c r="J286" s="51"/>
      <c r="K286" s="52"/>
      <c r="L286" s="53"/>
      <c r="M286" s="54"/>
      <c r="N286" s="55" t="str">
        <f t="shared" si="7"/>
        <v/>
      </c>
      <c r="O286" s="56">
        <f t="shared" si="8"/>
        <v>0</v>
      </c>
      <c r="P286" s="44"/>
      <c r="Q286" s="66"/>
      <c r="R286" s="32"/>
      <c r="S286" s="32"/>
      <c r="T286" s="32"/>
      <c r="U286" s="32"/>
      <c r="V286" s="32"/>
      <c r="W286" s="32"/>
      <c r="X286" s="32"/>
      <c r="Y286" s="32"/>
      <c r="Z286" s="32"/>
    </row>
    <row r="287" spans="1:26" ht="15" customHeight="1" x14ac:dyDescent="0.3">
      <c r="A287" s="45">
        <v>277</v>
      </c>
      <c r="B287" s="46"/>
      <c r="C287" s="46"/>
      <c r="D287" s="63"/>
      <c r="E287" s="78"/>
      <c r="F287" s="99"/>
      <c r="G287" s="79"/>
      <c r="H287" s="71"/>
      <c r="I287" s="51"/>
      <c r="J287" s="51"/>
      <c r="K287" s="52"/>
      <c r="L287" s="53"/>
      <c r="M287" s="54"/>
      <c r="N287" s="55" t="str">
        <f t="shared" si="7"/>
        <v/>
      </c>
      <c r="O287" s="56">
        <f t="shared" si="8"/>
        <v>0</v>
      </c>
      <c r="P287" s="44"/>
      <c r="Q287" s="66"/>
      <c r="R287" s="32"/>
      <c r="S287" s="32"/>
      <c r="T287" s="32"/>
      <c r="U287" s="32"/>
      <c r="V287" s="32"/>
      <c r="W287" s="32"/>
      <c r="X287" s="32"/>
      <c r="Y287" s="32"/>
      <c r="Z287" s="32"/>
    </row>
    <row r="288" spans="1:26" ht="15" customHeight="1" x14ac:dyDescent="0.3">
      <c r="A288" s="45">
        <v>278</v>
      </c>
      <c r="B288" s="46"/>
      <c r="C288" s="46"/>
      <c r="D288" s="63"/>
      <c r="E288" s="78"/>
      <c r="F288" s="99"/>
      <c r="G288" s="79"/>
      <c r="H288" s="71"/>
      <c r="I288" s="51"/>
      <c r="J288" s="51"/>
      <c r="K288" s="52"/>
      <c r="L288" s="53"/>
      <c r="M288" s="54"/>
      <c r="N288" s="55" t="str">
        <f t="shared" si="7"/>
        <v/>
      </c>
      <c r="O288" s="56">
        <f t="shared" si="8"/>
        <v>0</v>
      </c>
      <c r="P288" s="44"/>
      <c r="Q288" s="66"/>
      <c r="R288" s="32"/>
      <c r="S288" s="32"/>
      <c r="T288" s="32"/>
      <c r="U288" s="32"/>
      <c r="V288" s="32"/>
      <c r="W288" s="32"/>
      <c r="X288" s="32"/>
      <c r="Y288" s="32"/>
      <c r="Z288" s="32"/>
    </row>
    <row r="289" spans="1:26" ht="15" customHeight="1" x14ac:dyDescent="0.3">
      <c r="A289" s="45">
        <v>279</v>
      </c>
      <c r="B289" s="46"/>
      <c r="C289" s="46"/>
      <c r="D289" s="63"/>
      <c r="E289" s="78"/>
      <c r="F289" s="99"/>
      <c r="G289" s="79"/>
      <c r="H289" s="71"/>
      <c r="I289" s="51"/>
      <c r="J289" s="51"/>
      <c r="K289" s="52"/>
      <c r="L289" s="53"/>
      <c r="M289" s="54"/>
      <c r="N289" s="55" t="str">
        <f t="shared" si="7"/>
        <v/>
      </c>
      <c r="O289" s="56">
        <f t="shared" si="8"/>
        <v>0</v>
      </c>
      <c r="P289" s="44"/>
      <c r="Q289" s="66"/>
      <c r="R289" s="32"/>
      <c r="S289" s="32"/>
      <c r="T289" s="32"/>
      <c r="U289" s="32"/>
      <c r="V289" s="32"/>
      <c r="W289" s="32"/>
      <c r="X289" s="32"/>
      <c r="Y289" s="32"/>
      <c r="Z289" s="32"/>
    </row>
    <row r="290" spans="1:26" ht="15" customHeight="1" x14ac:dyDescent="0.3">
      <c r="A290" s="45">
        <v>280</v>
      </c>
      <c r="B290" s="46"/>
      <c r="C290" s="46"/>
      <c r="D290" s="63"/>
      <c r="E290" s="78"/>
      <c r="F290" s="99"/>
      <c r="G290" s="79"/>
      <c r="H290" s="71"/>
      <c r="I290" s="51"/>
      <c r="J290" s="51"/>
      <c r="K290" s="52"/>
      <c r="L290" s="53"/>
      <c r="M290" s="54"/>
      <c r="N290" s="55" t="str">
        <f t="shared" si="7"/>
        <v/>
      </c>
      <c r="O290" s="56">
        <f t="shared" si="8"/>
        <v>0</v>
      </c>
      <c r="P290" s="44"/>
      <c r="Q290" s="66"/>
      <c r="R290" s="32"/>
      <c r="S290" s="32"/>
      <c r="T290" s="32"/>
      <c r="U290" s="32"/>
      <c r="V290" s="32"/>
      <c r="W290" s="32"/>
      <c r="X290" s="32"/>
      <c r="Y290" s="32"/>
      <c r="Z290" s="32"/>
    </row>
    <row r="291" spans="1:26" ht="15" customHeight="1" x14ac:dyDescent="0.3">
      <c r="A291" s="45">
        <v>281</v>
      </c>
      <c r="B291" s="46"/>
      <c r="C291" s="46"/>
      <c r="D291" s="63"/>
      <c r="E291" s="78"/>
      <c r="F291" s="99"/>
      <c r="G291" s="79"/>
      <c r="H291" s="71"/>
      <c r="I291" s="51"/>
      <c r="J291" s="51"/>
      <c r="K291" s="52"/>
      <c r="L291" s="53"/>
      <c r="M291" s="54"/>
      <c r="N291" s="55" t="str">
        <f t="shared" si="7"/>
        <v/>
      </c>
      <c r="O291" s="56">
        <f t="shared" si="8"/>
        <v>0</v>
      </c>
      <c r="P291" s="44"/>
      <c r="Q291" s="66"/>
      <c r="R291" s="32"/>
      <c r="S291" s="32"/>
      <c r="T291" s="32"/>
      <c r="U291" s="32"/>
      <c r="V291" s="32"/>
      <c r="W291" s="32"/>
      <c r="X291" s="32"/>
      <c r="Y291" s="32"/>
      <c r="Z291" s="32"/>
    </row>
    <row r="292" spans="1:26" ht="15" customHeight="1" x14ac:dyDescent="0.3">
      <c r="A292" s="45">
        <v>282</v>
      </c>
      <c r="B292" s="46"/>
      <c r="C292" s="46"/>
      <c r="D292" s="63"/>
      <c r="E292" s="78"/>
      <c r="F292" s="99"/>
      <c r="G292" s="79"/>
      <c r="H292" s="71"/>
      <c r="I292" s="51"/>
      <c r="J292" s="51"/>
      <c r="K292" s="52"/>
      <c r="L292" s="53"/>
      <c r="M292" s="54"/>
      <c r="N292" s="55" t="str">
        <f t="shared" si="7"/>
        <v/>
      </c>
      <c r="O292" s="56">
        <f t="shared" si="8"/>
        <v>0</v>
      </c>
      <c r="P292" s="44"/>
      <c r="Q292" s="66"/>
      <c r="R292" s="32"/>
      <c r="S292" s="32"/>
      <c r="T292" s="32"/>
      <c r="U292" s="32"/>
      <c r="V292" s="32"/>
      <c r="W292" s="32"/>
      <c r="X292" s="32"/>
      <c r="Y292" s="32"/>
      <c r="Z292" s="32"/>
    </row>
    <row r="293" spans="1:26" ht="15" customHeight="1" x14ac:dyDescent="0.3">
      <c r="A293" s="45">
        <v>283</v>
      </c>
      <c r="B293" s="46"/>
      <c r="C293" s="46"/>
      <c r="D293" s="63"/>
      <c r="E293" s="78"/>
      <c r="F293" s="99"/>
      <c r="G293" s="79"/>
      <c r="H293" s="71"/>
      <c r="I293" s="51"/>
      <c r="J293" s="51"/>
      <c r="K293" s="52"/>
      <c r="L293" s="53"/>
      <c r="M293" s="54"/>
      <c r="N293" s="55" t="str">
        <f t="shared" si="7"/>
        <v/>
      </c>
      <c r="O293" s="56">
        <f t="shared" si="8"/>
        <v>0</v>
      </c>
      <c r="P293" s="44"/>
      <c r="Q293" s="66"/>
      <c r="R293" s="32"/>
      <c r="S293" s="32"/>
      <c r="T293" s="32"/>
      <c r="U293" s="32"/>
      <c r="V293" s="32"/>
      <c r="W293" s="32"/>
      <c r="X293" s="32"/>
      <c r="Y293" s="32"/>
      <c r="Z293" s="32"/>
    </row>
    <row r="294" spans="1:26" ht="15" customHeight="1" x14ac:dyDescent="0.3">
      <c r="A294" s="45">
        <v>284</v>
      </c>
      <c r="B294" s="46"/>
      <c r="C294" s="46"/>
      <c r="D294" s="63"/>
      <c r="E294" s="78"/>
      <c r="F294" s="99"/>
      <c r="G294" s="79"/>
      <c r="H294" s="71"/>
      <c r="I294" s="51"/>
      <c r="J294" s="51"/>
      <c r="K294" s="52"/>
      <c r="L294" s="53"/>
      <c r="M294" s="54"/>
      <c r="N294" s="55" t="str">
        <f t="shared" si="7"/>
        <v/>
      </c>
      <c r="O294" s="56">
        <f t="shared" si="8"/>
        <v>0</v>
      </c>
      <c r="P294" s="44"/>
      <c r="Q294" s="66"/>
      <c r="R294" s="32"/>
      <c r="S294" s="32"/>
      <c r="T294" s="32"/>
      <c r="U294" s="32"/>
      <c r="V294" s="32"/>
      <c r="W294" s="32"/>
      <c r="X294" s="32"/>
      <c r="Y294" s="32"/>
      <c r="Z294" s="32"/>
    </row>
    <row r="295" spans="1:26" ht="15" customHeight="1" x14ac:dyDescent="0.3">
      <c r="A295" s="45">
        <v>285</v>
      </c>
      <c r="B295" s="46"/>
      <c r="C295" s="46"/>
      <c r="D295" s="63"/>
      <c r="E295" s="78"/>
      <c r="F295" s="99"/>
      <c r="G295" s="79"/>
      <c r="H295" s="71"/>
      <c r="I295" s="51"/>
      <c r="J295" s="51"/>
      <c r="K295" s="52"/>
      <c r="L295" s="53"/>
      <c r="M295" s="54"/>
      <c r="N295" s="55" t="str">
        <f t="shared" si="7"/>
        <v/>
      </c>
      <c r="O295" s="56">
        <f t="shared" si="8"/>
        <v>0</v>
      </c>
      <c r="P295" s="44"/>
      <c r="Q295" s="66"/>
      <c r="R295" s="32"/>
      <c r="S295" s="32"/>
      <c r="T295" s="32"/>
      <c r="U295" s="32"/>
      <c r="V295" s="32"/>
      <c r="W295" s="32"/>
      <c r="X295" s="32"/>
      <c r="Y295" s="32"/>
      <c r="Z295" s="32"/>
    </row>
    <row r="296" spans="1:26" ht="15" customHeight="1" x14ac:dyDescent="0.3">
      <c r="A296" s="45">
        <v>286</v>
      </c>
      <c r="B296" s="46"/>
      <c r="C296" s="46"/>
      <c r="D296" s="63"/>
      <c r="E296" s="78"/>
      <c r="F296" s="99"/>
      <c r="G296" s="79"/>
      <c r="H296" s="71"/>
      <c r="I296" s="51"/>
      <c r="J296" s="51"/>
      <c r="K296" s="52"/>
      <c r="L296" s="53"/>
      <c r="M296" s="54"/>
      <c r="N296" s="55" t="str">
        <f t="shared" si="7"/>
        <v/>
      </c>
      <c r="O296" s="56">
        <f t="shared" si="8"/>
        <v>0</v>
      </c>
      <c r="P296" s="44"/>
      <c r="Q296" s="66"/>
      <c r="R296" s="32"/>
      <c r="S296" s="32"/>
      <c r="T296" s="32"/>
      <c r="U296" s="32"/>
      <c r="V296" s="32"/>
      <c r="W296" s="32"/>
      <c r="X296" s="32"/>
      <c r="Y296" s="32"/>
      <c r="Z296" s="32"/>
    </row>
    <row r="297" spans="1:26" ht="15" customHeight="1" x14ac:dyDescent="0.3">
      <c r="A297" s="45">
        <v>287</v>
      </c>
      <c r="B297" s="46"/>
      <c r="C297" s="46"/>
      <c r="D297" s="63"/>
      <c r="E297" s="78"/>
      <c r="F297" s="99"/>
      <c r="G297" s="79"/>
      <c r="H297" s="71"/>
      <c r="I297" s="51"/>
      <c r="J297" s="51"/>
      <c r="K297" s="52"/>
      <c r="L297" s="53"/>
      <c r="M297" s="54"/>
      <c r="N297" s="55" t="str">
        <f t="shared" si="7"/>
        <v/>
      </c>
      <c r="O297" s="56">
        <f t="shared" si="8"/>
        <v>0</v>
      </c>
      <c r="P297" s="44"/>
      <c r="Q297" s="66"/>
      <c r="R297" s="32"/>
      <c r="S297" s="32"/>
      <c r="T297" s="32"/>
      <c r="U297" s="32"/>
      <c r="V297" s="32"/>
      <c r="W297" s="32"/>
      <c r="X297" s="32"/>
      <c r="Y297" s="32"/>
      <c r="Z297" s="32"/>
    </row>
    <row r="298" spans="1:26" ht="15" customHeight="1" x14ac:dyDescent="0.3">
      <c r="A298" s="45">
        <v>288</v>
      </c>
      <c r="B298" s="46"/>
      <c r="C298" s="46"/>
      <c r="D298" s="63"/>
      <c r="E298" s="78"/>
      <c r="F298" s="99"/>
      <c r="G298" s="79"/>
      <c r="H298" s="71"/>
      <c r="I298" s="51"/>
      <c r="J298" s="51"/>
      <c r="K298" s="52"/>
      <c r="L298" s="53"/>
      <c r="M298" s="54"/>
      <c r="N298" s="55" t="str">
        <f t="shared" si="7"/>
        <v/>
      </c>
      <c r="O298" s="56">
        <f t="shared" si="8"/>
        <v>0</v>
      </c>
      <c r="P298" s="44"/>
      <c r="Q298" s="66"/>
      <c r="R298" s="32"/>
      <c r="S298" s="32"/>
      <c r="T298" s="32"/>
      <c r="U298" s="32"/>
      <c r="V298" s="32"/>
      <c r="W298" s="32"/>
      <c r="X298" s="32"/>
      <c r="Y298" s="32"/>
      <c r="Z298" s="32"/>
    </row>
    <row r="299" spans="1:26" ht="15" customHeight="1" x14ac:dyDescent="0.3">
      <c r="A299" s="45">
        <v>289</v>
      </c>
      <c r="B299" s="46"/>
      <c r="C299" s="46"/>
      <c r="D299" s="63"/>
      <c r="E299" s="78"/>
      <c r="F299" s="99"/>
      <c r="G299" s="79"/>
      <c r="H299" s="71"/>
      <c r="I299" s="51"/>
      <c r="J299" s="51"/>
      <c r="K299" s="52"/>
      <c r="L299" s="53"/>
      <c r="M299" s="54"/>
      <c r="N299" s="55" t="str">
        <f t="shared" si="7"/>
        <v/>
      </c>
      <c r="O299" s="56">
        <f t="shared" si="8"/>
        <v>0</v>
      </c>
      <c r="P299" s="44"/>
      <c r="Q299" s="66"/>
      <c r="R299" s="32"/>
      <c r="S299" s="32"/>
      <c r="T299" s="32"/>
      <c r="U299" s="32"/>
      <c r="V299" s="32"/>
      <c r="W299" s="32"/>
      <c r="X299" s="32"/>
      <c r="Y299" s="32"/>
      <c r="Z299" s="32"/>
    </row>
    <row r="300" spans="1:26" ht="15" customHeight="1" x14ac:dyDescent="0.3">
      <c r="A300" s="45">
        <v>290</v>
      </c>
      <c r="B300" s="46"/>
      <c r="C300" s="46"/>
      <c r="D300" s="63"/>
      <c r="E300" s="78"/>
      <c r="F300" s="99"/>
      <c r="G300" s="79"/>
      <c r="H300" s="71"/>
      <c r="I300" s="51"/>
      <c r="J300" s="51"/>
      <c r="K300" s="52"/>
      <c r="L300" s="53"/>
      <c r="M300" s="54"/>
      <c r="N300" s="55" t="str">
        <f t="shared" si="7"/>
        <v/>
      </c>
      <c r="O300" s="56">
        <f t="shared" si="8"/>
        <v>0</v>
      </c>
      <c r="P300" s="44"/>
      <c r="Q300" s="66"/>
      <c r="R300" s="32"/>
      <c r="S300" s="32"/>
      <c r="T300" s="32"/>
      <c r="U300" s="32"/>
      <c r="V300" s="32"/>
      <c r="W300" s="32"/>
      <c r="X300" s="32"/>
      <c r="Y300" s="32"/>
      <c r="Z300" s="32"/>
    </row>
    <row r="301" spans="1:26" ht="15" customHeight="1" x14ac:dyDescent="0.3">
      <c r="A301" s="45">
        <v>291</v>
      </c>
      <c r="B301" s="46"/>
      <c r="C301" s="46"/>
      <c r="D301" s="63"/>
      <c r="E301" s="78"/>
      <c r="F301" s="99"/>
      <c r="G301" s="79"/>
      <c r="H301" s="71"/>
      <c r="I301" s="51"/>
      <c r="J301" s="51"/>
      <c r="K301" s="52"/>
      <c r="L301" s="53"/>
      <c r="M301" s="54"/>
      <c r="N301" s="55" t="str">
        <f t="shared" si="7"/>
        <v/>
      </c>
      <c r="O301" s="56">
        <f t="shared" si="8"/>
        <v>0</v>
      </c>
      <c r="P301" s="44"/>
      <c r="Q301" s="66"/>
      <c r="R301" s="32"/>
      <c r="S301" s="32"/>
      <c r="T301" s="32"/>
      <c r="U301" s="32"/>
      <c r="V301" s="32"/>
      <c r="W301" s="32"/>
      <c r="X301" s="32"/>
      <c r="Y301" s="32"/>
      <c r="Z301" s="32"/>
    </row>
    <row r="302" spans="1:26" ht="15" customHeight="1" x14ac:dyDescent="0.3">
      <c r="A302" s="45">
        <v>292</v>
      </c>
      <c r="B302" s="46"/>
      <c r="C302" s="46"/>
      <c r="D302" s="63"/>
      <c r="E302" s="78"/>
      <c r="F302" s="99"/>
      <c r="G302" s="79"/>
      <c r="H302" s="71"/>
      <c r="I302" s="51"/>
      <c r="J302" s="51"/>
      <c r="K302" s="52"/>
      <c r="L302" s="53"/>
      <c r="M302" s="54"/>
      <c r="N302" s="55" t="str">
        <f t="shared" si="7"/>
        <v/>
      </c>
      <c r="O302" s="56">
        <f t="shared" si="8"/>
        <v>0</v>
      </c>
      <c r="P302" s="44"/>
      <c r="Q302" s="66"/>
      <c r="R302" s="32"/>
      <c r="S302" s="32"/>
      <c r="T302" s="32"/>
      <c r="U302" s="32"/>
      <c r="V302" s="32"/>
      <c r="W302" s="32"/>
      <c r="X302" s="32"/>
      <c r="Y302" s="32"/>
      <c r="Z302" s="32"/>
    </row>
    <row r="303" spans="1:26" ht="15" customHeight="1" x14ac:dyDescent="0.3">
      <c r="A303" s="45">
        <v>293</v>
      </c>
      <c r="B303" s="46"/>
      <c r="C303" s="46"/>
      <c r="D303" s="63"/>
      <c r="E303" s="78"/>
      <c r="F303" s="99"/>
      <c r="G303" s="79"/>
      <c r="H303" s="71"/>
      <c r="I303" s="51"/>
      <c r="J303" s="51"/>
      <c r="K303" s="52"/>
      <c r="L303" s="53"/>
      <c r="M303" s="54"/>
      <c r="N303" s="55" t="str">
        <f t="shared" si="7"/>
        <v/>
      </c>
      <c r="O303" s="56">
        <f t="shared" si="8"/>
        <v>0</v>
      </c>
      <c r="P303" s="44"/>
      <c r="Q303" s="66"/>
      <c r="R303" s="32"/>
      <c r="S303" s="32"/>
      <c r="T303" s="32"/>
      <c r="U303" s="32"/>
      <c r="V303" s="32"/>
      <c r="W303" s="32"/>
      <c r="X303" s="32"/>
      <c r="Y303" s="32"/>
      <c r="Z303" s="32"/>
    </row>
    <row r="304" spans="1:26" ht="15" customHeight="1" x14ac:dyDescent="0.3">
      <c r="A304" s="45">
        <v>294</v>
      </c>
      <c r="B304" s="46"/>
      <c r="C304" s="46"/>
      <c r="D304" s="63"/>
      <c r="E304" s="78"/>
      <c r="F304" s="99"/>
      <c r="G304" s="79"/>
      <c r="H304" s="71"/>
      <c r="I304" s="51"/>
      <c r="J304" s="51"/>
      <c r="K304" s="52"/>
      <c r="L304" s="53"/>
      <c r="M304" s="54"/>
      <c r="N304" s="55" t="str">
        <f t="shared" si="7"/>
        <v/>
      </c>
      <c r="O304" s="56">
        <f t="shared" si="8"/>
        <v>0</v>
      </c>
      <c r="P304" s="44"/>
      <c r="Q304" s="66"/>
      <c r="R304" s="32"/>
      <c r="S304" s="32"/>
      <c r="T304" s="32"/>
      <c r="U304" s="32"/>
      <c r="V304" s="32"/>
      <c r="W304" s="32"/>
      <c r="X304" s="32"/>
      <c r="Y304" s="32"/>
      <c r="Z304" s="32"/>
    </row>
    <row r="305" spans="1:26" ht="15" customHeight="1" x14ac:dyDescent="0.3">
      <c r="A305" s="45">
        <v>295</v>
      </c>
      <c r="B305" s="46"/>
      <c r="C305" s="46"/>
      <c r="D305" s="63"/>
      <c r="E305" s="78"/>
      <c r="F305" s="99"/>
      <c r="G305" s="79"/>
      <c r="H305" s="71"/>
      <c r="I305" s="51"/>
      <c r="J305" s="51"/>
      <c r="K305" s="52"/>
      <c r="L305" s="53"/>
      <c r="M305" s="54"/>
      <c r="N305" s="55" t="str">
        <f t="shared" si="7"/>
        <v/>
      </c>
      <c r="O305" s="56">
        <f t="shared" si="8"/>
        <v>0</v>
      </c>
      <c r="P305" s="44"/>
      <c r="Q305" s="66"/>
      <c r="R305" s="32"/>
      <c r="S305" s="32"/>
      <c r="T305" s="32"/>
      <c r="U305" s="32"/>
      <c r="V305" s="32"/>
      <c r="W305" s="32"/>
      <c r="X305" s="32"/>
      <c r="Y305" s="32"/>
      <c r="Z305" s="32"/>
    </row>
    <row r="306" spans="1:26" ht="15" customHeight="1" x14ac:dyDescent="0.3">
      <c r="A306" s="45">
        <v>296</v>
      </c>
      <c r="B306" s="46"/>
      <c r="C306" s="46"/>
      <c r="D306" s="63"/>
      <c r="E306" s="78"/>
      <c r="F306" s="99"/>
      <c r="G306" s="79"/>
      <c r="H306" s="71"/>
      <c r="I306" s="51"/>
      <c r="J306" s="51"/>
      <c r="K306" s="52"/>
      <c r="L306" s="53"/>
      <c r="M306" s="54"/>
      <c r="N306" s="55" t="str">
        <f t="shared" si="7"/>
        <v/>
      </c>
      <c r="O306" s="56">
        <f t="shared" si="8"/>
        <v>0</v>
      </c>
      <c r="P306" s="44"/>
      <c r="Q306" s="66"/>
      <c r="R306" s="32"/>
      <c r="S306" s="32"/>
      <c r="T306" s="32"/>
      <c r="U306" s="32"/>
      <c r="V306" s="32"/>
      <c r="W306" s="32"/>
      <c r="X306" s="32"/>
      <c r="Y306" s="32"/>
      <c r="Z306" s="32"/>
    </row>
    <row r="307" spans="1:26" ht="15" customHeight="1" x14ac:dyDescent="0.3">
      <c r="A307" s="45">
        <v>297</v>
      </c>
      <c r="B307" s="46"/>
      <c r="C307" s="46"/>
      <c r="D307" s="63"/>
      <c r="E307" s="78"/>
      <c r="F307" s="99"/>
      <c r="G307" s="79"/>
      <c r="H307" s="71"/>
      <c r="I307" s="51"/>
      <c r="J307" s="51"/>
      <c r="K307" s="52"/>
      <c r="L307" s="53"/>
      <c r="M307" s="54"/>
      <c r="N307" s="55" t="str">
        <f t="shared" si="7"/>
        <v/>
      </c>
      <c r="O307" s="56">
        <f t="shared" si="8"/>
        <v>0</v>
      </c>
      <c r="P307" s="44"/>
      <c r="Q307" s="66"/>
      <c r="R307" s="32"/>
      <c r="S307" s="32"/>
      <c r="T307" s="32"/>
      <c r="U307" s="32"/>
      <c r="V307" s="32"/>
      <c r="W307" s="32"/>
      <c r="X307" s="32"/>
      <c r="Y307" s="32"/>
      <c r="Z307" s="32"/>
    </row>
    <row r="308" spans="1:26" ht="15" customHeight="1" x14ac:dyDescent="0.3">
      <c r="A308" s="45">
        <v>298</v>
      </c>
      <c r="B308" s="46"/>
      <c r="C308" s="46"/>
      <c r="D308" s="63"/>
      <c r="E308" s="78"/>
      <c r="F308" s="99"/>
      <c r="G308" s="79"/>
      <c r="H308" s="71"/>
      <c r="I308" s="51"/>
      <c r="J308" s="51"/>
      <c r="K308" s="52"/>
      <c r="L308" s="53"/>
      <c r="M308" s="54"/>
      <c r="N308" s="55" t="str">
        <f t="shared" si="7"/>
        <v/>
      </c>
      <c r="O308" s="56">
        <f t="shared" si="8"/>
        <v>0</v>
      </c>
      <c r="P308" s="44"/>
      <c r="Q308" s="66"/>
      <c r="R308" s="32"/>
      <c r="S308" s="32"/>
      <c r="T308" s="32"/>
      <c r="U308" s="32"/>
      <c r="V308" s="32"/>
      <c r="W308" s="32"/>
      <c r="X308" s="32"/>
      <c r="Y308" s="32"/>
      <c r="Z308" s="32"/>
    </row>
    <row r="309" spans="1:26" ht="15" customHeight="1" x14ac:dyDescent="0.3">
      <c r="A309" s="45">
        <v>299</v>
      </c>
      <c r="B309" s="46"/>
      <c r="C309" s="46"/>
      <c r="D309" s="63"/>
      <c r="E309" s="78"/>
      <c r="F309" s="99"/>
      <c r="G309" s="79"/>
      <c r="H309" s="71"/>
      <c r="I309" s="51"/>
      <c r="J309" s="51"/>
      <c r="K309" s="52"/>
      <c r="L309" s="53"/>
      <c r="M309" s="54"/>
      <c r="N309" s="55" t="str">
        <f t="shared" si="7"/>
        <v/>
      </c>
      <c r="O309" s="56">
        <f t="shared" si="8"/>
        <v>0</v>
      </c>
      <c r="P309" s="44"/>
      <c r="Q309" s="66"/>
      <c r="R309" s="32"/>
      <c r="S309" s="32"/>
      <c r="T309" s="32"/>
      <c r="U309" s="32"/>
      <c r="V309" s="32"/>
      <c r="W309" s="32"/>
      <c r="X309" s="32"/>
      <c r="Y309" s="32"/>
      <c r="Z309" s="32"/>
    </row>
    <row r="310" spans="1:26" ht="15" customHeight="1" x14ac:dyDescent="0.3">
      <c r="A310" s="45">
        <v>300</v>
      </c>
      <c r="B310" s="46"/>
      <c r="C310" s="46"/>
      <c r="D310" s="63"/>
      <c r="E310" s="78"/>
      <c r="F310" s="99"/>
      <c r="G310" s="79"/>
      <c r="H310" s="71"/>
      <c r="I310" s="51"/>
      <c r="J310" s="51"/>
      <c r="K310" s="52"/>
      <c r="L310" s="53"/>
      <c r="M310" s="54"/>
      <c r="N310" s="55" t="str">
        <f t="shared" si="7"/>
        <v/>
      </c>
      <c r="O310" s="56">
        <f t="shared" si="8"/>
        <v>0</v>
      </c>
      <c r="P310" s="44"/>
      <c r="Q310" s="66"/>
      <c r="R310" s="32"/>
      <c r="S310" s="32"/>
      <c r="T310" s="32"/>
      <c r="U310" s="32"/>
      <c r="V310" s="32"/>
      <c r="W310" s="32"/>
      <c r="X310" s="32"/>
      <c r="Y310" s="32"/>
      <c r="Z310" s="32"/>
    </row>
    <row r="311" spans="1:26" ht="15" customHeight="1" x14ac:dyDescent="0.3">
      <c r="A311" s="45">
        <v>301</v>
      </c>
      <c r="B311" s="46"/>
      <c r="C311" s="46"/>
      <c r="D311" s="63"/>
      <c r="E311" s="78"/>
      <c r="F311" s="99"/>
      <c r="G311" s="79"/>
      <c r="H311" s="71"/>
      <c r="I311" s="51"/>
      <c r="J311" s="51"/>
      <c r="K311" s="52"/>
      <c r="L311" s="53"/>
      <c r="M311" s="54"/>
      <c r="N311" s="55" t="str">
        <f t="shared" si="7"/>
        <v/>
      </c>
      <c r="O311" s="56">
        <f t="shared" si="8"/>
        <v>0</v>
      </c>
      <c r="P311" s="44"/>
      <c r="Q311" s="66"/>
      <c r="R311" s="32"/>
      <c r="S311" s="32"/>
      <c r="T311" s="32"/>
      <c r="U311" s="32"/>
      <c r="V311" s="32"/>
      <c r="W311" s="32"/>
      <c r="X311" s="32"/>
      <c r="Y311" s="32"/>
      <c r="Z311" s="32"/>
    </row>
    <row r="312" spans="1:26" ht="15" customHeight="1" x14ac:dyDescent="0.3">
      <c r="A312" s="45">
        <v>302</v>
      </c>
      <c r="B312" s="46"/>
      <c r="C312" s="46"/>
      <c r="D312" s="63"/>
      <c r="E312" s="78"/>
      <c r="F312" s="99"/>
      <c r="G312" s="79"/>
      <c r="H312" s="71"/>
      <c r="I312" s="51"/>
      <c r="J312" s="51"/>
      <c r="K312" s="52"/>
      <c r="L312" s="53"/>
      <c r="M312" s="54"/>
      <c r="N312" s="55" t="str">
        <f t="shared" si="7"/>
        <v/>
      </c>
      <c r="O312" s="56">
        <f t="shared" si="8"/>
        <v>0</v>
      </c>
      <c r="P312" s="44"/>
      <c r="Q312" s="66"/>
      <c r="R312" s="32"/>
      <c r="S312" s="32"/>
      <c r="T312" s="32"/>
      <c r="U312" s="32"/>
      <c r="V312" s="32"/>
      <c r="W312" s="32"/>
      <c r="X312" s="32"/>
      <c r="Y312" s="32"/>
      <c r="Z312" s="32"/>
    </row>
    <row r="313" spans="1:26" ht="15" customHeight="1" x14ac:dyDescent="0.3">
      <c r="A313" s="45">
        <v>303</v>
      </c>
      <c r="B313" s="46"/>
      <c r="C313" s="46"/>
      <c r="D313" s="63"/>
      <c r="E313" s="78"/>
      <c r="F313" s="99"/>
      <c r="G313" s="79"/>
      <c r="H313" s="71"/>
      <c r="I313" s="51"/>
      <c r="J313" s="51"/>
      <c r="K313" s="52"/>
      <c r="L313" s="53"/>
      <c r="M313" s="54"/>
      <c r="N313" s="55" t="str">
        <f t="shared" si="7"/>
        <v/>
      </c>
      <c r="O313" s="56">
        <f t="shared" si="8"/>
        <v>0</v>
      </c>
      <c r="P313" s="44"/>
      <c r="Q313" s="66"/>
      <c r="R313" s="32"/>
      <c r="S313" s="32"/>
      <c r="T313" s="32"/>
      <c r="U313" s="32"/>
      <c r="V313" s="32"/>
      <c r="W313" s="32"/>
      <c r="X313" s="32"/>
      <c r="Y313" s="32"/>
      <c r="Z313" s="32"/>
    </row>
    <row r="314" spans="1:26" ht="15" customHeight="1" x14ac:dyDescent="0.3">
      <c r="A314" s="45">
        <v>304</v>
      </c>
      <c r="B314" s="46"/>
      <c r="C314" s="46"/>
      <c r="D314" s="63"/>
      <c r="E314" s="78"/>
      <c r="F314" s="99"/>
      <c r="G314" s="79"/>
      <c r="H314" s="71"/>
      <c r="I314" s="51"/>
      <c r="J314" s="51"/>
      <c r="K314" s="52"/>
      <c r="L314" s="53"/>
      <c r="M314" s="54"/>
      <c r="N314" s="55" t="str">
        <f t="shared" si="7"/>
        <v/>
      </c>
      <c r="O314" s="56">
        <f t="shared" si="8"/>
        <v>0</v>
      </c>
      <c r="P314" s="44"/>
      <c r="Q314" s="66"/>
      <c r="R314" s="32"/>
      <c r="S314" s="32"/>
      <c r="T314" s="32"/>
      <c r="U314" s="32"/>
      <c r="V314" s="32"/>
      <c r="W314" s="32"/>
      <c r="X314" s="32"/>
      <c r="Y314" s="32"/>
      <c r="Z314" s="32"/>
    </row>
    <row r="315" spans="1:26" ht="15" customHeight="1" x14ac:dyDescent="0.3">
      <c r="A315" s="45">
        <v>305</v>
      </c>
      <c r="B315" s="46"/>
      <c r="C315" s="46"/>
      <c r="D315" s="63"/>
      <c r="E315" s="78"/>
      <c r="F315" s="99"/>
      <c r="G315" s="79"/>
      <c r="H315" s="71"/>
      <c r="I315" s="51"/>
      <c r="J315" s="51"/>
      <c r="K315" s="52"/>
      <c r="L315" s="53"/>
      <c r="M315" s="54"/>
      <c r="N315" s="55" t="str">
        <f t="shared" si="7"/>
        <v/>
      </c>
      <c r="O315" s="56">
        <f t="shared" si="8"/>
        <v>0</v>
      </c>
      <c r="P315" s="44"/>
      <c r="Q315" s="66"/>
      <c r="R315" s="32"/>
      <c r="S315" s="32"/>
      <c r="T315" s="32"/>
      <c r="U315" s="32"/>
      <c r="V315" s="32"/>
      <c r="W315" s="32"/>
      <c r="X315" s="32"/>
      <c r="Y315" s="32"/>
      <c r="Z315" s="32"/>
    </row>
    <row r="316" spans="1:26" ht="15" customHeight="1" x14ac:dyDescent="0.3">
      <c r="A316" s="45">
        <v>306</v>
      </c>
      <c r="B316" s="46"/>
      <c r="C316" s="46"/>
      <c r="D316" s="63"/>
      <c r="E316" s="78"/>
      <c r="F316" s="99"/>
      <c r="G316" s="79"/>
      <c r="H316" s="71"/>
      <c r="I316" s="51"/>
      <c r="J316" s="51"/>
      <c r="K316" s="52"/>
      <c r="L316" s="53"/>
      <c r="M316" s="54"/>
      <c r="N316" s="55" t="str">
        <f t="shared" si="7"/>
        <v/>
      </c>
      <c r="O316" s="56">
        <f t="shared" si="8"/>
        <v>0</v>
      </c>
      <c r="P316" s="44"/>
      <c r="Q316" s="66"/>
      <c r="R316" s="32"/>
      <c r="S316" s="32"/>
      <c r="T316" s="32"/>
      <c r="U316" s="32"/>
      <c r="V316" s="32"/>
      <c r="W316" s="32"/>
      <c r="X316" s="32"/>
      <c r="Y316" s="32"/>
      <c r="Z316" s="32"/>
    </row>
    <row r="317" spans="1:26" ht="15" customHeight="1" x14ac:dyDescent="0.3">
      <c r="A317" s="45">
        <v>307</v>
      </c>
      <c r="B317" s="46"/>
      <c r="C317" s="46"/>
      <c r="D317" s="63"/>
      <c r="E317" s="78"/>
      <c r="F317" s="99"/>
      <c r="G317" s="79"/>
      <c r="H317" s="71"/>
      <c r="I317" s="51"/>
      <c r="J317" s="51"/>
      <c r="K317" s="52"/>
      <c r="L317" s="53"/>
      <c r="M317" s="54"/>
      <c r="N317" s="55" t="str">
        <f t="shared" si="7"/>
        <v/>
      </c>
      <c r="O317" s="56">
        <f t="shared" si="8"/>
        <v>0</v>
      </c>
      <c r="P317" s="44"/>
      <c r="Q317" s="66"/>
      <c r="R317" s="32"/>
      <c r="S317" s="32"/>
      <c r="T317" s="32"/>
      <c r="U317" s="32"/>
      <c r="V317" s="32"/>
      <c r="W317" s="32"/>
      <c r="X317" s="32"/>
      <c r="Y317" s="32"/>
      <c r="Z317" s="32"/>
    </row>
    <row r="318" spans="1:26" ht="15" customHeight="1" x14ac:dyDescent="0.3">
      <c r="A318" s="45">
        <v>308</v>
      </c>
      <c r="B318" s="46"/>
      <c r="C318" s="46"/>
      <c r="D318" s="63"/>
      <c r="E318" s="78"/>
      <c r="F318" s="99"/>
      <c r="G318" s="79"/>
      <c r="H318" s="71"/>
      <c r="I318" s="51"/>
      <c r="J318" s="51"/>
      <c r="K318" s="52"/>
      <c r="L318" s="53"/>
      <c r="M318" s="54"/>
      <c r="N318" s="55" t="str">
        <f t="shared" si="7"/>
        <v/>
      </c>
      <c r="O318" s="56">
        <f t="shared" si="8"/>
        <v>0</v>
      </c>
      <c r="P318" s="44"/>
      <c r="Q318" s="66"/>
      <c r="R318" s="32"/>
      <c r="S318" s="32"/>
      <c r="T318" s="32"/>
      <c r="U318" s="32"/>
      <c r="V318" s="32"/>
      <c r="W318" s="32"/>
      <c r="X318" s="32"/>
      <c r="Y318" s="32"/>
      <c r="Z318" s="32"/>
    </row>
    <row r="319" spans="1:26" ht="15" customHeight="1" x14ac:dyDescent="0.3">
      <c r="A319" s="45">
        <v>309</v>
      </c>
      <c r="B319" s="46"/>
      <c r="C319" s="46"/>
      <c r="D319" s="63"/>
      <c r="E319" s="78"/>
      <c r="F319" s="99"/>
      <c r="G319" s="79"/>
      <c r="H319" s="71"/>
      <c r="I319" s="51"/>
      <c r="J319" s="51"/>
      <c r="K319" s="52"/>
      <c r="L319" s="53"/>
      <c r="M319" s="54"/>
      <c r="N319" s="55" t="str">
        <f t="shared" si="7"/>
        <v/>
      </c>
      <c r="O319" s="56">
        <f t="shared" si="8"/>
        <v>0</v>
      </c>
      <c r="P319" s="44"/>
      <c r="Q319" s="66"/>
      <c r="R319" s="32"/>
      <c r="S319" s="32"/>
      <c r="T319" s="32"/>
      <c r="U319" s="32"/>
      <c r="V319" s="32"/>
      <c r="W319" s="32"/>
      <c r="X319" s="32"/>
      <c r="Y319" s="32"/>
      <c r="Z319" s="32"/>
    </row>
    <row r="320" spans="1:26" ht="15" customHeight="1" x14ac:dyDescent="0.3">
      <c r="A320" s="45">
        <v>310</v>
      </c>
      <c r="B320" s="46"/>
      <c r="C320" s="46"/>
      <c r="D320" s="63"/>
      <c r="E320" s="78"/>
      <c r="F320" s="99"/>
      <c r="G320" s="79"/>
      <c r="H320" s="71"/>
      <c r="I320" s="51"/>
      <c r="J320" s="51"/>
      <c r="K320" s="52"/>
      <c r="L320" s="53"/>
      <c r="M320" s="54"/>
      <c r="N320" s="55" t="str">
        <f t="shared" si="7"/>
        <v/>
      </c>
      <c r="O320" s="56">
        <f t="shared" si="8"/>
        <v>0</v>
      </c>
      <c r="P320" s="44"/>
      <c r="Q320" s="66"/>
      <c r="R320" s="32"/>
      <c r="S320" s="32"/>
      <c r="T320" s="32"/>
      <c r="U320" s="32"/>
      <c r="V320" s="32"/>
      <c r="W320" s="32"/>
      <c r="X320" s="32"/>
      <c r="Y320" s="32"/>
      <c r="Z320" s="32"/>
    </row>
    <row r="321" spans="1:26" ht="15" customHeight="1" x14ac:dyDescent="0.3">
      <c r="A321" s="45">
        <v>311</v>
      </c>
      <c r="B321" s="46"/>
      <c r="C321" s="46"/>
      <c r="D321" s="63"/>
      <c r="E321" s="78"/>
      <c r="F321" s="99"/>
      <c r="G321" s="79"/>
      <c r="H321" s="71"/>
      <c r="I321" s="51"/>
      <c r="J321" s="51"/>
      <c r="K321" s="52"/>
      <c r="L321" s="53"/>
      <c r="M321" s="54"/>
      <c r="N321" s="55" t="str">
        <f t="shared" si="7"/>
        <v/>
      </c>
      <c r="O321" s="56">
        <f t="shared" si="8"/>
        <v>0</v>
      </c>
      <c r="P321" s="44"/>
      <c r="Q321" s="66"/>
      <c r="R321" s="32"/>
      <c r="S321" s="32"/>
      <c r="T321" s="32"/>
      <c r="U321" s="32"/>
      <c r="V321" s="32"/>
      <c r="W321" s="32"/>
      <c r="X321" s="32"/>
      <c r="Y321" s="32"/>
      <c r="Z321" s="32"/>
    </row>
    <row r="322" spans="1:26" ht="15" customHeight="1" x14ac:dyDescent="0.3">
      <c r="A322" s="45">
        <v>312</v>
      </c>
      <c r="B322" s="46"/>
      <c r="C322" s="46"/>
      <c r="D322" s="63"/>
      <c r="E322" s="78"/>
      <c r="F322" s="99"/>
      <c r="G322" s="79"/>
      <c r="H322" s="71"/>
      <c r="I322" s="51"/>
      <c r="J322" s="51"/>
      <c r="K322" s="52"/>
      <c r="L322" s="53"/>
      <c r="M322" s="54"/>
      <c r="N322" s="55" t="str">
        <f t="shared" si="7"/>
        <v/>
      </c>
      <c r="O322" s="56">
        <f t="shared" si="8"/>
        <v>0</v>
      </c>
      <c r="P322" s="44"/>
      <c r="Q322" s="66"/>
      <c r="R322" s="32"/>
      <c r="S322" s="32"/>
      <c r="T322" s="32"/>
      <c r="U322" s="32"/>
      <c r="V322" s="32"/>
      <c r="W322" s="32"/>
      <c r="X322" s="32"/>
      <c r="Y322" s="32"/>
      <c r="Z322" s="32"/>
    </row>
    <row r="323" spans="1:26" ht="15" customHeight="1" x14ac:dyDescent="0.3">
      <c r="A323" s="45">
        <v>313</v>
      </c>
      <c r="B323" s="46"/>
      <c r="C323" s="46"/>
      <c r="D323" s="63"/>
      <c r="E323" s="78"/>
      <c r="F323" s="99"/>
      <c r="G323" s="79"/>
      <c r="H323" s="71"/>
      <c r="I323" s="51"/>
      <c r="J323" s="51"/>
      <c r="K323" s="52"/>
      <c r="L323" s="53"/>
      <c r="M323" s="54"/>
      <c r="N323" s="55" t="str">
        <f t="shared" si="7"/>
        <v/>
      </c>
      <c r="O323" s="56">
        <f t="shared" si="8"/>
        <v>0</v>
      </c>
      <c r="P323" s="44"/>
      <c r="Q323" s="66"/>
      <c r="R323" s="32"/>
      <c r="S323" s="32"/>
      <c r="T323" s="32"/>
      <c r="U323" s="32"/>
      <c r="V323" s="32"/>
      <c r="W323" s="32"/>
      <c r="X323" s="32"/>
      <c r="Y323" s="32"/>
      <c r="Z323" s="32"/>
    </row>
    <row r="324" spans="1:26" ht="15" customHeight="1" x14ac:dyDescent="0.3">
      <c r="A324" s="45">
        <v>314</v>
      </c>
      <c r="B324" s="46"/>
      <c r="C324" s="46"/>
      <c r="D324" s="63"/>
      <c r="E324" s="78"/>
      <c r="F324" s="99"/>
      <c r="G324" s="79"/>
      <c r="H324" s="71"/>
      <c r="I324" s="51"/>
      <c r="J324" s="51"/>
      <c r="K324" s="52"/>
      <c r="L324" s="53"/>
      <c r="M324" s="54"/>
      <c r="N324" s="55" t="str">
        <f t="shared" si="7"/>
        <v/>
      </c>
      <c r="O324" s="56">
        <f t="shared" si="8"/>
        <v>0</v>
      </c>
      <c r="P324" s="44"/>
      <c r="Q324" s="66"/>
      <c r="R324" s="32"/>
      <c r="S324" s="32"/>
      <c r="T324" s="32"/>
      <c r="U324" s="32"/>
      <c r="V324" s="32"/>
      <c r="W324" s="32"/>
      <c r="X324" s="32"/>
      <c r="Y324" s="32"/>
      <c r="Z324" s="32"/>
    </row>
    <row r="325" spans="1:26" ht="15" customHeight="1" x14ac:dyDescent="0.3">
      <c r="A325" s="45">
        <v>315</v>
      </c>
      <c r="B325" s="46"/>
      <c r="C325" s="46"/>
      <c r="D325" s="63"/>
      <c r="E325" s="78"/>
      <c r="F325" s="99"/>
      <c r="G325" s="79"/>
      <c r="H325" s="71"/>
      <c r="I325" s="51"/>
      <c r="J325" s="51"/>
      <c r="K325" s="52"/>
      <c r="L325" s="53"/>
      <c r="M325" s="54"/>
      <c r="N325" s="55" t="str">
        <f t="shared" si="7"/>
        <v/>
      </c>
      <c r="O325" s="56">
        <f t="shared" si="8"/>
        <v>0</v>
      </c>
      <c r="P325" s="44"/>
      <c r="Q325" s="66"/>
      <c r="R325" s="32"/>
      <c r="S325" s="32"/>
      <c r="T325" s="32"/>
      <c r="U325" s="32"/>
      <c r="V325" s="32"/>
      <c r="W325" s="32"/>
      <c r="X325" s="32"/>
      <c r="Y325" s="32"/>
      <c r="Z325" s="32"/>
    </row>
    <row r="326" spans="1:26" ht="15" customHeight="1" x14ac:dyDescent="0.3">
      <c r="A326" s="45">
        <v>316</v>
      </c>
      <c r="B326" s="46"/>
      <c r="C326" s="46"/>
      <c r="D326" s="63"/>
      <c r="E326" s="78"/>
      <c r="F326" s="99"/>
      <c r="G326" s="79"/>
      <c r="H326" s="71"/>
      <c r="I326" s="51"/>
      <c r="J326" s="51"/>
      <c r="K326" s="52"/>
      <c r="L326" s="53"/>
      <c r="M326" s="54"/>
      <c r="N326" s="55" t="str">
        <f t="shared" si="7"/>
        <v/>
      </c>
      <c r="O326" s="56">
        <f t="shared" si="8"/>
        <v>0</v>
      </c>
      <c r="P326" s="44"/>
      <c r="Q326" s="66"/>
      <c r="R326" s="32"/>
      <c r="S326" s="32"/>
      <c r="T326" s="32"/>
      <c r="U326" s="32"/>
      <c r="V326" s="32"/>
      <c r="W326" s="32"/>
      <c r="X326" s="32"/>
      <c r="Y326" s="32"/>
      <c r="Z326" s="32"/>
    </row>
    <row r="327" spans="1:26" ht="15" customHeight="1" x14ac:dyDescent="0.3">
      <c r="A327" s="45">
        <v>317</v>
      </c>
      <c r="B327" s="46"/>
      <c r="C327" s="46"/>
      <c r="D327" s="63"/>
      <c r="E327" s="78"/>
      <c r="F327" s="99"/>
      <c r="G327" s="79"/>
      <c r="H327" s="71"/>
      <c r="I327" s="51"/>
      <c r="J327" s="51"/>
      <c r="K327" s="52"/>
      <c r="L327" s="53"/>
      <c r="M327" s="54"/>
      <c r="N327" s="55" t="str">
        <f t="shared" si="7"/>
        <v/>
      </c>
      <c r="O327" s="56">
        <f t="shared" si="8"/>
        <v>0</v>
      </c>
      <c r="P327" s="44"/>
      <c r="Q327" s="66"/>
      <c r="R327" s="32"/>
      <c r="S327" s="32"/>
      <c r="T327" s="32"/>
      <c r="U327" s="32"/>
      <c r="V327" s="32"/>
      <c r="W327" s="32"/>
      <c r="X327" s="32"/>
      <c r="Y327" s="32"/>
      <c r="Z327" s="32"/>
    </row>
    <row r="328" spans="1:26" ht="15" customHeight="1" x14ac:dyDescent="0.3">
      <c r="A328" s="45">
        <v>318</v>
      </c>
      <c r="B328" s="46"/>
      <c r="C328" s="46"/>
      <c r="D328" s="63"/>
      <c r="E328" s="78"/>
      <c r="F328" s="99"/>
      <c r="G328" s="79"/>
      <c r="H328" s="71"/>
      <c r="I328" s="51"/>
      <c r="J328" s="51"/>
      <c r="K328" s="52"/>
      <c r="L328" s="53"/>
      <c r="M328" s="54"/>
      <c r="N328" s="55" t="str">
        <f t="shared" si="7"/>
        <v/>
      </c>
      <c r="O328" s="56">
        <f t="shared" si="8"/>
        <v>0</v>
      </c>
      <c r="P328" s="44"/>
      <c r="Q328" s="66"/>
      <c r="R328" s="32"/>
      <c r="S328" s="32"/>
      <c r="T328" s="32"/>
      <c r="U328" s="32"/>
      <c r="V328" s="32"/>
      <c r="W328" s="32"/>
      <c r="X328" s="32"/>
      <c r="Y328" s="32"/>
      <c r="Z328" s="32"/>
    </row>
    <row r="329" spans="1:26" ht="15" customHeight="1" x14ac:dyDescent="0.3">
      <c r="A329" s="45">
        <v>319</v>
      </c>
      <c r="B329" s="46"/>
      <c r="C329" s="46"/>
      <c r="D329" s="63"/>
      <c r="E329" s="78"/>
      <c r="F329" s="99"/>
      <c r="G329" s="79"/>
      <c r="H329" s="71"/>
      <c r="I329" s="51"/>
      <c r="J329" s="51"/>
      <c r="K329" s="52"/>
      <c r="L329" s="53"/>
      <c r="M329" s="54"/>
      <c r="N329" s="55" t="str">
        <f t="shared" si="7"/>
        <v/>
      </c>
      <c r="O329" s="56">
        <f t="shared" si="8"/>
        <v>0</v>
      </c>
      <c r="P329" s="44"/>
      <c r="Q329" s="66"/>
      <c r="R329" s="32"/>
      <c r="S329" s="32"/>
      <c r="T329" s="32"/>
      <c r="U329" s="32"/>
      <c r="V329" s="32"/>
      <c r="W329" s="32"/>
      <c r="X329" s="32"/>
      <c r="Y329" s="32"/>
      <c r="Z329" s="32"/>
    </row>
    <row r="330" spans="1:26" ht="15" customHeight="1" x14ac:dyDescent="0.3">
      <c r="A330" s="45">
        <v>320</v>
      </c>
      <c r="B330" s="46"/>
      <c r="C330" s="46"/>
      <c r="D330" s="63"/>
      <c r="E330" s="78"/>
      <c r="F330" s="99"/>
      <c r="G330" s="79"/>
      <c r="H330" s="71"/>
      <c r="I330" s="51"/>
      <c r="J330" s="51"/>
      <c r="K330" s="52"/>
      <c r="L330" s="53"/>
      <c r="M330" s="54"/>
      <c r="N330" s="55" t="str">
        <f t="shared" si="7"/>
        <v/>
      </c>
      <c r="O330" s="56">
        <f t="shared" si="8"/>
        <v>0</v>
      </c>
      <c r="P330" s="44"/>
      <c r="Q330" s="66"/>
      <c r="R330" s="32"/>
      <c r="S330" s="32"/>
      <c r="T330" s="32"/>
      <c r="U330" s="32"/>
      <c r="V330" s="32"/>
      <c r="W330" s="32"/>
      <c r="X330" s="32"/>
      <c r="Y330" s="32"/>
      <c r="Z330" s="32"/>
    </row>
    <row r="331" spans="1:26" ht="15" customHeight="1" x14ac:dyDescent="0.3">
      <c r="A331" s="45">
        <v>321</v>
      </c>
      <c r="B331" s="46"/>
      <c r="C331" s="46"/>
      <c r="D331" s="63"/>
      <c r="E331" s="78"/>
      <c r="F331" s="99"/>
      <c r="G331" s="79"/>
      <c r="H331" s="71"/>
      <c r="I331" s="51"/>
      <c r="J331" s="51"/>
      <c r="K331" s="52"/>
      <c r="L331" s="53"/>
      <c r="M331" s="54"/>
      <c r="N331" s="55" t="str">
        <f t="shared" si="7"/>
        <v/>
      </c>
      <c r="O331" s="56">
        <f t="shared" si="8"/>
        <v>0</v>
      </c>
      <c r="P331" s="44"/>
      <c r="Q331" s="66"/>
      <c r="R331" s="32"/>
      <c r="S331" s="32"/>
      <c r="T331" s="32"/>
      <c r="U331" s="32"/>
      <c r="V331" s="32"/>
      <c r="W331" s="32"/>
      <c r="X331" s="32"/>
      <c r="Y331" s="32"/>
      <c r="Z331" s="32"/>
    </row>
    <row r="332" spans="1:26" ht="15" customHeight="1" x14ac:dyDescent="0.3">
      <c r="A332" s="45">
        <v>322</v>
      </c>
      <c r="B332" s="46"/>
      <c r="C332" s="46"/>
      <c r="D332" s="63"/>
      <c r="E332" s="78"/>
      <c r="F332" s="99"/>
      <c r="G332" s="79"/>
      <c r="H332" s="71"/>
      <c r="I332" s="51"/>
      <c r="J332" s="51"/>
      <c r="K332" s="52"/>
      <c r="L332" s="53"/>
      <c r="M332" s="54"/>
      <c r="N332" s="55" t="str">
        <f t="shared" si="7"/>
        <v/>
      </c>
      <c r="O332" s="56">
        <f t="shared" si="8"/>
        <v>0</v>
      </c>
      <c r="P332" s="44"/>
      <c r="Q332" s="66"/>
      <c r="R332" s="32"/>
      <c r="S332" s="32"/>
      <c r="T332" s="32"/>
      <c r="U332" s="32"/>
      <c r="V332" s="32"/>
      <c r="W332" s="32"/>
      <c r="X332" s="32"/>
      <c r="Y332" s="32"/>
      <c r="Z332" s="32"/>
    </row>
    <row r="333" spans="1:26" ht="15" customHeight="1" x14ac:dyDescent="0.3">
      <c r="A333" s="45">
        <v>323</v>
      </c>
      <c r="B333" s="46"/>
      <c r="C333" s="46"/>
      <c r="D333" s="63"/>
      <c r="E333" s="78"/>
      <c r="F333" s="99"/>
      <c r="G333" s="79"/>
      <c r="H333" s="71"/>
      <c r="I333" s="51"/>
      <c r="J333" s="51"/>
      <c r="K333" s="52"/>
      <c r="L333" s="53"/>
      <c r="M333" s="54"/>
      <c r="N333" s="55" t="str">
        <f t="shared" si="7"/>
        <v/>
      </c>
      <c r="O333" s="56">
        <f t="shared" si="8"/>
        <v>0</v>
      </c>
      <c r="P333" s="44"/>
      <c r="Q333" s="66"/>
      <c r="R333" s="32"/>
      <c r="S333" s="32"/>
      <c r="T333" s="32"/>
      <c r="U333" s="32"/>
      <c r="V333" s="32"/>
      <c r="W333" s="32"/>
      <c r="X333" s="32"/>
      <c r="Y333" s="32"/>
      <c r="Z333" s="32"/>
    </row>
    <row r="334" spans="1:26" ht="15" customHeight="1" x14ac:dyDescent="0.3">
      <c r="A334" s="45">
        <v>324</v>
      </c>
      <c r="B334" s="46"/>
      <c r="C334" s="46"/>
      <c r="D334" s="63"/>
      <c r="E334" s="78"/>
      <c r="F334" s="99"/>
      <c r="G334" s="79"/>
      <c r="H334" s="71"/>
      <c r="I334" s="51"/>
      <c r="J334" s="51"/>
      <c r="K334" s="52"/>
      <c r="L334" s="53"/>
      <c r="M334" s="54"/>
      <c r="N334" s="55" t="str">
        <f t="shared" si="7"/>
        <v/>
      </c>
      <c r="O334" s="56">
        <f t="shared" si="8"/>
        <v>0</v>
      </c>
      <c r="P334" s="44"/>
      <c r="Q334" s="66"/>
      <c r="R334" s="32"/>
      <c r="S334" s="32"/>
      <c r="T334" s="32"/>
      <c r="U334" s="32"/>
      <c r="V334" s="32"/>
      <c r="W334" s="32"/>
      <c r="X334" s="32"/>
      <c r="Y334" s="32"/>
      <c r="Z334" s="32"/>
    </row>
    <row r="335" spans="1:26" ht="15" customHeight="1" x14ac:dyDescent="0.3">
      <c r="A335" s="45">
        <v>325</v>
      </c>
      <c r="B335" s="46"/>
      <c r="C335" s="46"/>
      <c r="D335" s="63"/>
      <c r="E335" s="78"/>
      <c r="F335" s="99"/>
      <c r="G335" s="79"/>
      <c r="H335" s="71"/>
      <c r="I335" s="51"/>
      <c r="J335" s="51"/>
      <c r="K335" s="52"/>
      <c r="L335" s="53"/>
      <c r="M335" s="54"/>
      <c r="N335" s="55" t="str">
        <f t="shared" si="7"/>
        <v/>
      </c>
      <c r="O335" s="56">
        <f t="shared" si="8"/>
        <v>0</v>
      </c>
      <c r="P335" s="44"/>
      <c r="Q335" s="66"/>
      <c r="R335" s="32"/>
      <c r="S335" s="32"/>
      <c r="T335" s="32"/>
      <c r="U335" s="32"/>
      <c r="V335" s="32"/>
      <c r="W335" s="32"/>
      <c r="X335" s="32"/>
      <c r="Y335" s="32"/>
      <c r="Z335" s="32"/>
    </row>
    <row r="336" spans="1:26" ht="15" customHeight="1" x14ac:dyDescent="0.3">
      <c r="A336" s="45">
        <v>326</v>
      </c>
      <c r="B336" s="46"/>
      <c r="C336" s="46"/>
      <c r="D336" s="63"/>
      <c r="E336" s="78"/>
      <c r="F336" s="99"/>
      <c r="G336" s="79"/>
      <c r="H336" s="71"/>
      <c r="I336" s="51"/>
      <c r="J336" s="51"/>
      <c r="K336" s="52"/>
      <c r="L336" s="53"/>
      <c r="M336" s="54"/>
      <c r="N336" s="55" t="str">
        <f t="shared" si="7"/>
        <v/>
      </c>
      <c r="O336" s="56">
        <f t="shared" si="8"/>
        <v>0</v>
      </c>
      <c r="P336" s="44"/>
      <c r="Q336" s="66"/>
      <c r="R336" s="32"/>
      <c r="S336" s="32"/>
      <c r="T336" s="32"/>
      <c r="U336" s="32"/>
      <c r="V336" s="32"/>
      <c r="W336" s="32"/>
      <c r="X336" s="32"/>
      <c r="Y336" s="32"/>
      <c r="Z336" s="32"/>
    </row>
    <row r="337" spans="1:26" ht="15" customHeight="1" x14ac:dyDescent="0.3">
      <c r="A337" s="45">
        <v>327</v>
      </c>
      <c r="B337" s="46"/>
      <c r="C337" s="46"/>
      <c r="D337" s="63"/>
      <c r="E337" s="78"/>
      <c r="F337" s="99"/>
      <c r="G337" s="79"/>
      <c r="H337" s="71"/>
      <c r="I337" s="51"/>
      <c r="J337" s="51"/>
      <c r="K337" s="52"/>
      <c r="L337" s="53"/>
      <c r="M337" s="54"/>
      <c r="N337" s="55" t="str">
        <f t="shared" si="7"/>
        <v/>
      </c>
      <c r="O337" s="56">
        <f t="shared" si="8"/>
        <v>0</v>
      </c>
      <c r="P337" s="44"/>
      <c r="Q337" s="66"/>
      <c r="R337" s="32"/>
      <c r="S337" s="32"/>
      <c r="T337" s="32"/>
      <c r="U337" s="32"/>
      <c r="V337" s="32"/>
      <c r="W337" s="32"/>
      <c r="X337" s="32"/>
      <c r="Y337" s="32"/>
      <c r="Z337" s="32"/>
    </row>
    <row r="338" spans="1:26" ht="15" customHeight="1" x14ac:dyDescent="0.3">
      <c r="A338" s="45">
        <v>328</v>
      </c>
      <c r="B338" s="46"/>
      <c r="C338" s="46"/>
      <c r="D338" s="63"/>
      <c r="E338" s="78"/>
      <c r="F338" s="99"/>
      <c r="G338" s="79"/>
      <c r="H338" s="71"/>
      <c r="I338" s="51"/>
      <c r="J338" s="51"/>
      <c r="K338" s="52"/>
      <c r="L338" s="53"/>
      <c r="M338" s="54"/>
      <c r="N338" s="55" t="str">
        <f t="shared" si="7"/>
        <v/>
      </c>
      <c r="O338" s="56">
        <f t="shared" si="8"/>
        <v>0</v>
      </c>
      <c r="P338" s="44"/>
      <c r="Q338" s="66"/>
      <c r="R338" s="32"/>
      <c r="S338" s="32"/>
      <c r="T338" s="32"/>
      <c r="U338" s="32"/>
      <c r="V338" s="32"/>
      <c r="W338" s="32"/>
      <c r="X338" s="32"/>
      <c r="Y338" s="32"/>
      <c r="Z338" s="32"/>
    </row>
    <row r="339" spans="1:26" ht="15" customHeight="1" x14ac:dyDescent="0.3">
      <c r="A339" s="45">
        <v>329</v>
      </c>
      <c r="B339" s="46"/>
      <c r="C339" s="46"/>
      <c r="D339" s="63"/>
      <c r="E339" s="78"/>
      <c r="F339" s="99"/>
      <c r="G339" s="79"/>
      <c r="H339" s="71"/>
      <c r="I339" s="51"/>
      <c r="J339" s="51"/>
      <c r="K339" s="52"/>
      <c r="L339" s="53"/>
      <c r="M339" s="54"/>
      <c r="N339" s="55" t="str">
        <f t="shared" si="7"/>
        <v/>
      </c>
      <c r="O339" s="56">
        <f t="shared" si="8"/>
        <v>0</v>
      </c>
      <c r="P339" s="44"/>
      <c r="Q339" s="66"/>
      <c r="R339" s="32"/>
      <c r="S339" s="32"/>
      <c r="T339" s="32"/>
      <c r="U339" s="32"/>
      <c r="V339" s="32"/>
      <c r="W339" s="32"/>
      <c r="X339" s="32"/>
      <c r="Y339" s="32"/>
      <c r="Z339" s="32"/>
    </row>
    <row r="340" spans="1:26" ht="15" customHeight="1" x14ac:dyDescent="0.3">
      <c r="A340" s="45">
        <v>330</v>
      </c>
      <c r="B340" s="46"/>
      <c r="C340" s="46"/>
      <c r="D340" s="63"/>
      <c r="E340" s="78"/>
      <c r="F340" s="99"/>
      <c r="G340" s="79"/>
      <c r="H340" s="71"/>
      <c r="I340" s="51"/>
      <c r="J340" s="51"/>
      <c r="K340" s="52"/>
      <c r="L340" s="53"/>
      <c r="M340" s="54"/>
      <c r="N340" s="55" t="str">
        <f t="shared" si="7"/>
        <v/>
      </c>
      <c r="O340" s="56">
        <f t="shared" si="8"/>
        <v>0</v>
      </c>
      <c r="P340" s="44"/>
      <c r="Q340" s="66"/>
      <c r="R340" s="32"/>
      <c r="S340" s="32"/>
      <c r="T340" s="32"/>
      <c r="U340" s="32"/>
      <c r="V340" s="32"/>
      <c r="W340" s="32"/>
      <c r="X340" s="32"/>
      <c r="Y340" s="32"/>
      <c r="Z340" s="32"/>
    </row>
    <row r="341" spans="1:26" ht="15" customHeight="1" x14ac:dyDescent="0.3">
      <c r="A341" s="45">
        <v>331</v>
      </c>
      <c r="B341" s="46"/>
      <c r="C341" s="46"/>
      <c r="D341" s="63"/>
      <c r="E341" s="78"/>
      <c r="F341" s="99"/>
      <c r="G341" s="79"/>
      <c r="H341" s="71"/>
      <c r="I341" s="51"/>
      <c r="J341" s="51"/>
      <c r="K341" s="52"/>
      <c r="L341" s="53"/>
      <c r="M341" s="54"/>
      <c r="N341" s="55" t="str">
        <f t="shared" si="7"/>
        <v/>
      </c>
      <c r="O341" s="56">
        <f t="shared" si="8"/>
        <v>0</v>
      </c>
      <c r="P341" s="44"/>
      <c r="Q341" s="66"/>
      <c r="R341" s="32"/>
      <c r="S341" s="32"/>
      <c r="T341" s="32"/>
      <c r="U341" s="32"/>
      <c r="V341" s="32"/>
      <c r="W341" s="32"/>
      <c r="X341" s="32"/>
      <c r="Y341" s="32"/>
      <c r="Z341" s="32"/>
    </row>
    <row r="342" spans="1:26" ht="15" customHeight="1" x14ac:dyDescent="0.3">
      <c r="A342" s="45">
        <v>332</v>
      </c>
      <c r="B342" s="46"/>
      <c r="C342" s="46"/>
      <c r="D342" s="63"/>
      <c r="E342" s="78"/>
      <c r="F342" s="99"/>
      <c r="G342" s="79"/>
      <c r="H342" s="71"/>
      <c r="I342" s="51"/>
      <c r="J342" s="51"/>
      <c r="K342" s="52"/>
      <c r="L342" s="53"/>
      <c r="M342" s="54"/>
      <c r="N342" s="55" t="str">
        <f t="shared" si="7"/>
        <v/>
      </c>
      <c r="O342" s="56">
        <f t="shared" si="8"/>
        <v>0</v>
      </c>
      <c r="P342" s="44"/>
      <c r="Q342" s="66"/>
      <c r="R342" s="32"/>
      <c r="S342" s="32"/>
      <c r="T342" s="32"/>
      <c r="U342" s="32"/>
      <c r="V342" s="32"/>
      <c r="W342" s="32"/>
      <c r="X342" s="32"/>
      <c r="Y342" s="32"/>
      <c r="Z342" s="32"/>
    </row>
    <row r="343" spans="1:26" ht="15" customHeight="1" x14ac:dyDescent="0.3">
      <c r="A343" s="45">
        <v>333</v>
      </c>
      <c r="B343" s="46"/>
      <c r="C343" s="46"/>
      <c r="D343" s="63"/>
      <c r="E343" s="78"/>
      <c r="F343" s="99"/>
      <c r="G343" s="79"/>
      <c r="H343" s="71"/>
      <c r="I343" s="51"/>
      <c r="J343" s="51"/>
      <c r="K343" s="52"/>
      <c r="L343" s="53"/>
      <c r="M343" s="54"/>
      <c r="N343" s="55" t="str">
        <f t="shared" si="7"/>
        <v/>
      </c>
      <c r="O343" s="56">
        <f t="shared" si="8"/>
        <v>0</v>
      </c>
      <c r="P343" s="44"/>
      <c r="Q343" s="66"/>
      <c r="R343" s="32"/>
      <c r="S343" s="32"/>
      <c r="T343" s="32"/>
      <c r="U343" s="32"/>
      <c r="V343" s="32"/>
      <c r="W343" s="32"/>
      <c r="X343" s="32"/>
      <c r="Y343" s="32"/>
      <c r="Z343" s="32"/>
    </row>
    <row r="344" spans="1:26" ht="15" customHeight="1" x14ac:dyDescent="0.3">
      <c r="A344" s="45">
        <v>334</v>
      </c>
      <c r="B344" s="46"/>
      <c r="C344" s="46"/>
      <c r="D344" s="63"/>
      <c r="E344" s="78"/>
      <c r="F344" s="99"/>
      <c r="G344" s="79"/>
      <c r="H344" s="71"/>
      <c r="I344" s="51"/>
      <c r="J344" s="51"/>
      <c r="K344" s="52"/>
      <c r="L344" s="53"/>
      <c r="M344" s="54"/>
      <c r="N344" s="55" t="str">
        <f t="shared" si="7"/>
        <v/>
      </c>
      <c r="O344" s="56">
        <f t="shared" si="8"/>
        <v>0</v>
      </c>
      <c r="P344" s="44"/>
      <c r="Q344" s="66"/>
      <c r="R344" s="32"/>
      <c r="S344" s="32"/>
      <c r="T344" s="32"/>
      <c r="U344" s="32"/>
      <c r="V344" s="32"/>
      <c r="W344" s="32"/>
      <c r="X344" s="32"/>
      <c r="Y344" s="32"/>
      <c r="Z344" s="32"/>
    </row>
    <row r="345" spans="1:26" ht="15" customHeight="1" x14ac:dyDescent="0.3">
      <c r="A345" s="45">
        <v>335</v>
      </c>
      <c r="B345" s="46"/>
      <c r="C345" s="46"/>
      <c r="D345" s="63"/>
      <c r="E345" s="78"/>
      <c r="F345" s="99"/>
      <c r="G345" s="79"/>
      <c r="H345" s="71"/>
      <c r="I345" s="51"/>
      <c r="J345" s="51"/>
      <c r="K345" s="52"/>
      <c r="L345" s="53"/>
      <c r="M345" s="54"/>
      <c r="N345" s="55" t="str">
        <f t="shared" si="7"/>
        <v/>
      </c>
      <c r="O345" s="56">
        <f t="shared" si="8"/>
        <v>0</v>
      </c>
      <c r="P345" s="44"/>
      <c r="Q345" s="66"/>
      <c r="R345" s="32"/>
      <c r="S345" s="32"/>
      <c r="T345" s="32"/>
      <c r="U345" s="32"/>
      <c r="V345" s="32"/>
      <c r="W345" s="32"/>
      <c r="X345" s="32"/>
      <c r="Y345" s="32"/>
      <c r="Z345" s="32"/>
    </row>
    <row r="346" spans="1:26" ht="15" customHeight="1" x14ac:dyDescent="0.3">
      <c r="A346" s="45">
        <v>336</v>
      </c>
      <c r="B346" s="46"/>
      <c r="C346" s="46"/>
      <c r="D346" s="63"/>
      <c r="E346" s="78"/>
      <c r="F346" s="99"/>
      <c r="G346" s="79"/>
      <c r="H346" s="71"/>
      <c r="I346" s="51"/>
      <c r="J346" s="51"/>
      <c r="K346" s="52"/>
      <c r="L346" s="53"/>
      <c r="M346" s="54"/>
      <c r="N346" s="55" t="str">
        <f t="shared" si="7"/>
        <v/>
      </c>
      <c r="O346" s="56">
        <f t="shared" si="8"/>
        <v>0</v>
      </c>
      <c r="P346" s="44"/>
      <c r="Q346" s="66"/>
      <c r="R346" s="32"/>
      <c r="S346" s="32"/>
      <c r="T346" s="32"/>
      <c r="U346" s="32"/>
      <c r="V346" s="32"/>
      <c r="W346" s="32"/>
      <c r="X346" s="32"/>
      <c r="Y346" s="32"/>
      <c r="Z346" s="32"/>
    </row>
    <row r="347" spans="1:26" ht="15" customHeight="1" x14ac:dyDescent="0.3">
      <c r="A347" s="45">
        <v>337</v>
      </c>
      <c r="B347" s="46"/>
      <c r="C347" s="46"/>
      <c r="D347" s="63"/>
      <c r="E347" s="78"/>
      <c r="F347" s="99"/>
      <c r="G347" s="79"/>
      <c r="H347" s="71"/>
      <c r="I347" s="51"/>
      <c r="J347" s="51"/>
      <c r="K347" s="52"/>
      <c r="L347" s="53"/>
      <c r="M347" s="54"/>
      <c r="N347" s="55" t="str">
        <f t="shared" si="7"/>
        <v/>
      </c>
      <c r="O347" s="56">
        <f t="shared" si="8"/>
        <v>0</v>
      </c>
      <c r="P347" s="44"/>
      <c r="Q347" s="66"/>
      <c r="R347" s="32"/>
      <c r="S347" s="32"/>
      <c r="T347" s="32"/>
      <c r="U347" s="32"/>
      <c r="V347" s="32"/>
      <c r="W347" s="32"/>
      <c r="X347" s="32"/>
      <c r="Y347" s="32"/>
      <c r="Z347" s="32"/>
    </row>
    <row r="348" spans="1:26" ht="15" customHeight="1" x14ac:dyDescent="0.3">
      <c r="A348" s="45">
        <v>338</v>
      </c>
      <c r="B348" s="46"/>
      <c r="C348" s="46"/>
      <c r="D348" s="63"/>
      <c r="E348" s="78"/>
      <c r="F348" s="99"/>
      <c r="G348" s="79"/>
      <c r="H348" s="71"/>
      <c r="I348" s="51"/>
      <c r="J348" s="51"/>
      <c r="K348" s="52"/>
      <c r="L348" s="53"/>
      <c r="M348" s="54"/>
      <c r="N348" s="55" t="str">
        <f t="shared" si="7"/>
        <v/>
      </c>
      <c r="O348" s="56">
        <f t="shared" si="8"/>
        <v>0</v>
      </c>
      <c r="P348" s="44"/>
      <c r="Q348" s="66"/>
      <c r="R348" s="32"/>
      <c r="S348" s="32"/>
      <c r="T348" s="32"/>
      <c r="U348" s="32"/>
      <c r="V348" s="32"/>
      <c r="W348" s="32"/>
      <c r="X348" s="32"/>
      <c r="Y348" s="32"/>
      <c r="Z348" s="32"/>
    </row>
    <row r="349" spans="1:26" ht="15" customHeight="1" x14ac:dyDescent="0.3">
      <c r="A349" s="45">
        <v>339</v>
      </c>
      <c r="B349" s="46"/>
      <c r="C349" s="46"/>
      <c r="D349" s="63"/>
      <c r="E349" s="78"/>
      <c r="F349" s="99"/>
      <c r="G349" s="79"/>
      <c r="H349" s="71"/>
      <c r="I349" s="51"/>
      <c r="J349" s="51"/>
      <c r="K349" s="52"/>
      <c r="L349" s="53"/>
      <c r="M349" s="54"/>
      <c r="N349" s="55" t="str">
        <f t="shared" si="7"/>
        <v/>
      </c>
      <c r="O349" s="56">
        <f t="shared" si="8"/>
        <v>0</v>
      </c>
      <c r="P349" s="44"/>
      <c r="Q349" s="66"/>
      <c r="R349" s="32"/>
      <c r="S349" s="32"/>
      <c r="T349" s="32"/>
      <c r="U349" s="32"/>
      <c r="V349" s="32"/>
      <c r="W349" s="32"/>
      <c r="X349" s="32"/>
      <c r="Y349" s="32"/>
      <c r="Z349" s="32"/>
    </row>
    <row r="350" spans="1:26" ht="15" customHeight="1" x14ac:dyDescent="0.3">
      <c r="A350" s="45">
        <v>340</v>
      </c>
      <c r="B350" s="46"/>
      <c r="C350" s="46"/>
      <c r="D350" s="63"/>
      <c r="E350" s="78"/>
      <c r="F350" s="99"/>
      <c r="G350" s="79"/>
      <c r="H350" s="71"/>
      <c r="I350" s="51"/>
      <c r="J350" s="51"/>
      <c r="K350" s="52"/>
      <c r="L350" s="53"/>
      <c r="M350" s="54"/>
      <c r="N350" s="55" t="str">
        <f t="shared" si="7"/>
        <v/>
      </c>
      <c r="O350" s="56">
        <f t="shared" si="8"/>
        <v>0</v>
      </c>
      <c r="P350" s="44"/>
      <c r="Q350" s="66"/>
      <c r="R350" s="32"/>
      <c r="S350" s="32"/>
      <c r="T350" s="32"/>
      <c r="U350" s="32"/>
      <c r="V350" s="32"/>
      <c r="W350" s="32"/>
      <c r="X350" s="32"/>
      <c r="Y350" s="32"/>
      <c r="Z350" s="32"/>
    </row>
    <row r="351" spans="1:26" ht="15" customHeight="1" x14ac:dyDescent="0.3">
      <c r="A351" s="45">
        <v>341</v>
      </c>
      <c r="B351" s="46"/>
      <c r="C351" s="46"/>
      <c r="D351" s="63"/>
      <c r="E351" s="78"/>
      <c r="F351" s="99"/>
      <c r="G351" s="79"/>
      <c r="H351" s="71"/>
      <c r="I351" s="51"/>
      <c r="J351" s="51"/>
      <c r="K351" s="52"/>
      <c r="L351" s="53"/>
      <c r="M351" s="54"/>
      <c r="N351" s="55" t="str">
        <f t="shared" si="7"/>
        <v/>
      </c>
      <c r="O351" s="56">
        <f t="shared" si="8"/>
        <v>0</v>
      </c>
      <c r="P351" s="44"/>
      <c r="Q351" s="66"/>
      <c r="R351" s="32"/>
      <c r="S351" s="32"/>
      <c r="T351" s="32"/>
      <c r="U351" s="32"/>
      <c r="V351" s="32"/>
      <c r="W351" s="32"/>
      <c r="X351" s="32"/>
      <c r="Y351" s="32"/>
      <c r="Z351" s="32"/>
    </row>
    <row r="352" spans="1:26" ht="15" customHeight="1" x14ac:dyDescent="0.3">
      <c r="A352" s="45">
        <v>342</v>
      </c>
      <c r="B352" s="46"/>
      <c r="C352" s="46"/>
      <c r="D352" s="63"/>
      <c r="E352" s="78"/>
      <c r="F352" s="99"/>
      <c r="G352" s="79"/>
      <c r="H352" s="71"/>
      <c r="I352" s="51"/>
      <c r="J352" s="51"/>
      <c r="K352" s="52"/>
      <c r="L352" s="53"/>
      <c r="M352" s="54"/>
      <c r="N352" s="55" t="str">
        <f t="shared" si="7"/>
        <v/>
      </c>
      <c r="O352" s="56">
        <f t="shared" si="8"/>
        <v>0</v>
      </c>
      <c r="P352" s="44"/>
      <c r="Q352" s="66"/>
      <c r="R352" s="32"/>
      <c r="S352" s="32"/>
      <c r="T352" s="32"/>
      <c r="U352" s="32"/>
      <c r="V352" s="32"/>
      <c r="W352" s="32"/>
      <c r="X352" s="32"/>
      <c r="Y352" s="32"/>
      <c r="Z352" s="32"/>
    </row>
    <row r="353" spans="1:26" ht="15" customHeight="1" x14ac:dyDescent="0.3">
      <c r="A353" s="45">
        <v>343</v>
      </c>
      <c r="B353" s="46"/>
      <c r="C353" s="46"/>
      <c r="D353" s="63"/>
      <c r="E353" s="78"/>
      <c r="F353" s="99"/>
      <c r="G353" s="79"/>
      <c r="H353" s="71"/>
      <c r="I353" s="51"/>
      <c r="J353" s="51"/>
      <c r="K353" s="52"/>
      <c r="L353" s="53"/>
      <c r="M353" s="54"/>
      <c r="N353" s="55" t="str">
        <f t="shared" si="7"/>
        <v/>
      </c>
      <c r="O353" s="56">
        <f t="shared" si="8"/>
        <v>0</v>
      </c>
      <c r="P353" s="44"/>
      <c r="Q353" s="66"/>
      <c r="R353" s="32"/>
      <c r="S353" s="32"/>
      <c r="T353" s="32"/>
      <c r="U353" s="32"/>
      <c r="V353" s="32"/>
      <c r="W353" s="32"/>
      <c r="X353" s="32"/>
      <c r="Y353" s="32"/>
      <c r="Z353" s="32"/>
    </row>
    <row r="354" spans="1:26" ht="15" customHeight="1" x14ac:dyDescent="0.3">
      <c r="A354" s="45">
        <v>344</v>
      </c>
      <c r="B354" s="46"/>
      <c r="C354" s="46"/>
      <c r="D354" s="63"/>
      <c r="E354" s="78"/>
      <c r="F354" s="99"/>
      <c r="G354" s="79"/>
      <c r="H354" s="71"/>
      <c r="I354" s="51"/>
      <c r="J354" s="51"/>
      <c r="K354" s="52"/>
      <c r="L354" s="53"/>
      <c r="M354" s="54"/>
      <c r="N354" s="55" t="str">
        <f t="shared" si="7"/>
        <v/>
      </c>
      <c r="O354" s="56">
        <f t="shared" si="8"/>
        <v>0</v>
      </c>
      <c r="P354" s="44"/>
      <c r="Q354" s="66"/>
      <c r="R354" s="32"/>
      <c r="S354" s="32"/>
      <c r="T354" s="32"/>
      <c r="U354" s="32"/>
      <c r="V354" s="32"/>
      <c r="W354" s="32"/>
      <c r="X354" s="32"/>
      <c r="Y354" s="32"/>
      <c r="Z354" s="32"/>
    </row>
    <row r="355" spans="1:26" ht="15" customHeight="1" x14ac:dyDescent="0.3">
      <c r="A355" s="45">
        <v>345</v>
      </c>
      <c r="B355" s="46"/>
      <c r="C355" s="46"/>
      <c r="D355" s="63"/>
      <c r="E355" s="78"/>
      <c r="F355" s="99"/>
      <c r="G355" s="79"/>
      <c r="H355" s="71"/>
      <c r="I355" s="51"/>
      <c r="J355" s="51"/>
      <c r="K355" s="52"/>
      <c r="L355" s="53"/>
      <c r="M355" s="54"/>
      <c r="N355" s="55" t="str">
        <f t="shared" si="7"/>
        <v/>
      </c>
      <c r="O355" s="56">
        <f t="shared" si="8"/>
        <v>0</v>
      </c>
      <c r="P355" s="44"/>
      <c r="Q355" s="66"/>
      <c r="R355" s="32"/>
      <c r="S355" s="32"/>
      <c r="T355" s="32"/>
      <c r="U355" s="32"/>
      <c r="V355" s="32"/>
      <c r="W355" s="32"/>
      <c r="X355" s="32"/>
      <c r="Y355" s="32"/>
      <c r="Z355" s="32"/>
    </row>
    <row r="356" spans="1:26" ht="15" customHeight="1" x14ac:dyDescent="0.3">
      <c r="A356" s="45">
        <v>346</v>
      </c>
      <c r="B356" s="46"/>
      <c r="C356" s="46"/>
      <c r="D356" s="63"/>
      <c r="E356" s="78"/>
      <c r="F356" s="99"/>
      <c r="G356" s="79"/>
      <c r="H356" s="71"/>
      <c r="I356" s="51"/>
      <c r="J356" s="51"/>
      <c r="K356" s="52"/>
      <c r="L356" s="53"/>
      <c r="M356" s="54"/>
      <c r="N356" s="55" t="str">
        <f t="shared" si="7"/>
        <v/>
      </c>
      <c r="O356" s="56">
        <f t="shared" si="8"/>
        <v>0</v>
      </c>
      <c r="P356" s="44"/>
      <c r="Q356" s="66"/>
      <c r="R356" s="32"/>
      <c r="S356" s="32"/>
      <c r="T356" s="32"/>
      <c r="U356" s="32"/>
      <c r="V356" s="32"/>
      <c r="W356" s="32"/>
      <c r="X356" s="32"/>
      <c r="Y356" s="32"/>
      <c r="Z356" s="32"/>
    </row>
    <row r="357" spans="1:26" ht="15" customHeight="1" x14ac:dyDescent="0.3">
      <c r="A357" s="45">
        <v>347</v>
      </c>
      <c r="B357" s="46"/>
      <c r="C357" s="46"/>
      <c r="D357" s="63"/>
      <c r="E357" s="78"/>
      <c r="F357" s="99"/>
      <c r="G357" s="79"/>
      <c r="H357" s="71"/>
      <c r="I357" s="51"/>
      <c r="J357" s="51"/>
      <c r="K357" s="52"/>
      <c r="L357" s="53"/>
      <c r="M357" s="54"/>
      <c r="N357" s="55" t="str">
        <f t="shared" si="7"/>
        <v/>
      </c>
      <c r="O357" s="56">
        <f t="shared" si="8"/>
        <v>0</v>
      </c>
      <c r="P357" s="44"/>
      <c r="Q357" s="66"/>
      <c r="R357" s="32"/>
      <c r="S357" s="32"/>
      <c r="T357" s="32"/>
      <c r="U357" s="32"/>
      <c r="V357" s="32"/>
      <c r="W357" s="32"/>
      <c r="X357" s="32"/>
      <c r="Y357" s="32"/>
      <c r="Z357" s="32"/>
    </row>
    <row r="358" spans="1:26" ht="15" customHeight="1" x14ac:dyDescent="0.3">
      <c r="A358" s="45">
        <v>348</v>
      </c>
      <c r="B358" s="46"/>
      <c r="C358" s="46"/>
      <c r="D358" s="63"/>
      <c r="E358" s="78"/>
      <c r="F358" s="99"/>
      <c r="G358" s="79"/>
      <c r="H358" s="71"/>
      <c r="I358" s="51"/>
      <c r="J358" s="51"/>
      <c r="K358" s="52"/>
      <c r="L358" s="53"/>
      <c r="M358" s="54"/>
      <c r="N358" s="55" t="str">
        <f t="shared" si="7"/>
        <v/>
      </c>
      <c r="O358" s="56">
        <f t="shared" si="8"/>
        <v>0</v>
      </c>
      <c r="P358" s="44"/>
      <c r="Q358" s="66"/>
      <c r="R358" s="32"/>
      <c r="S358" s="32"/>
      <c r="T358" s="32"/>
      <c r="U358" s="32"/>
      <c r="V358" s="32"/>
      <c r="W358" s="32"/>
      <c r="X358" s="32"/>
      <c r="Y358" s="32"/>
      <c r="Z358" s="32"/>
    </row>
    <row r="359" spans="1:26" ht="15" customHeight="1" x14ac:dyDescent="0.3">
      <c r="A359" s="45">
        <v>349</v>
      </c>
      <c r="B359" s="46"/>
      <c r="C359" s="46"/>
      <c r="D359" s="63"/>
      <c r="E359" s="78"/>
      <c r="F359" s="99"/>
      <c r="G359" s="79"/>
      <c r="H359" s="71"/>
      <c r="I359" s="51"/>
      <c r="J359" s="51"/>
      <c r="K359" s="52"/>
      <c r="L359" s="53"/>
      <c r="M359" s="54"/>
      <c r="N359" s="55" t="str">
        <f t="shared" si="7"/>
        <v/>
      </c>
      <c r="O359" s="56">
        <f t="shared" si="8"/>
        <v>0</v>
      </c>
      <c r="P359" s="44"/>
      <c r="Q359" s="66"/>
      <c r="R359" s="32"/>
      <c r="S359" s="32"/>
      <c r="T359" s="32"/>
      <c r="U359" s="32"/>
      <c r="V359" s="32"/>
      <c r="W359" s="32"/>
      <c r="X359" s="32"/>
      <c r="Y359" s="32"/>
      <c r="Z359" s="32"/>
    </row>
    <row r="360" spans="1:26" ht="15" customHeight="1" x14ac:dyDescent="0.3">
      <c r="A360" s="45">
        <v>350</v>
      </c>
      <c r="B360" s="46"/>
      <c r="C360" s="46"/>
      <c r="D360" s="63"/>
      <c r="E360" s="78"/>
      <c r="F360" s="99"/>
      <c r="G360" s="79"/>
      <c r="H360" s="71"/>
      <c r="I360" s="51"/>
      <c r="J360" s="51"/>
      <c r="K360" s="52"/>
      <c r="L360" s="53"/>
      <c r="M360" s="54"/>
      <c r="N360" s="55" t="str">
        <f t="shared" si="7"/>
        <v/>
      </c>
      <c r="O360" s="56">
        <f t="shared" si="8"/>
        <v>0</v>
      </c>
      <c r="P360" s="44"/>
      <c r="Q360" s="66"/>
      <c r="R360" s="32"/>
      <c r="S360" s="32"/>
      <c r="T360" s="32"/>
      <c r="U360" s="32"/>
      <c r="V360" s="32"/>
      <c r="W360" s="32"/>
      <c r="X360" s="32"/>
      <c r="Y360" s="32"/>
      <c r="Z360" s="32"/>
    </row>
    <row r="361" spans="1:26" ht="15" customHeight="1" x14ac:dyDescent="0.3">
      <c r="A361" s="45">
        <v>351</v>
      </c>
      <c r="B361" s="46"/>
      <c r="C361" s="46"/>
      <c r="D361" s="63"/>
      <c r="E361" s="78"/>
      <c r="F361" s="99"/>
      <c r="G361" s="79"/>
      <c r="H361" s="71"/>
      <c r="I361" s="51"/>
      <c r="J361" s="51"/>
      <c r="K361" s="52"/>
      <c r="L361" s="53"/>
      <c r="M361" s="54"/>
      <c r="N361" s="55" t="str">
        <f t="shared" si="7"/>
        <v/>
      </c>
      <c r="O361" s="56">
        <f t="shared" si="8"/>
        <v>0</v>
      </c>
      <c r="P361" s="44"/>
      <c r="Q361" s="66"/>
      <c r="R361" s="32"/>
      <c r="S361" s="32"/>
      <c r="T361" s="32"/>
      <c r="U361" s="32"/>
      <c r="V361" s="32"/>
      <c r="W361" s="32"/>
      <c r="X361" s="32"/>
      <c r="Y361" s="32"/>
      <c r="Z361" s="32"/>
    </row>
    <row r="362" spans="1:26" ht="15" customHeight="1" x14ac:dyDescent="0.3">
      <c r="A362" s="45">
        <v>352</v>
      </c>
      <c r="B362" s="46"/>
      <c r="C362" s="46"/>
      <c r="D362" s="63"/>
      <c r="E362" s="78"/>
      <c r="F362" s="99"/>
      <c r="G362" s="79"/>
      <c r="H362" s="71"/>
      <c r="I362" s="51"/>
      <c r="J362" s="51"/>
      <c r="K362" s="52"/>
      <c r="L362" s="53"/>
      <c r="M362" s="54"/>
      <c r="N362" s="55" t="str">
        <f t="shared" si="7"/>
        <v/>
      </c>
      <c r="O362" s="56">
        <f t="shared" si="8"/>
        <v>0</v>
      </c>
      <c r="P362" s="44"/>
      <c r="Q362" s="66"/>
      <c r="R362" s="32"/>
      <c r="S362" s="32"/>
      <c r="T362" s="32"/>
      <c r="U362" s="32"/>
      <c r="V362" s="32"/>
      <c r="W362" s="32"/>
      <c r="X362" s="32"/>
      <c r="Y362" s="32"/>
      <c r="Z362" s="32"/>
    </row>
    <row r="363" spans="1:26" ht="15" customHeight="1" x14ac:dyDescent="0.3">
      <c r="A363" s="45">
        <v>353</v>
      </c>
      <c r="B363" s="46"/>
      <c r="C363" s="46"/>
      <c r="D363" s="63"/>
      <c r="E363" s="78"/>
      <c r="F363" s="99"/>
      <c r="G363" s="79"/>
      <c r="H363" s="71"/>
      <c r="I363" s="51"/>
      <c r="J363" s="51"/>
      <c r="K363" s="52"/>
      <c r="L363" s="53"/>
      <c r="M363" s="54"/>
      <c r="N363" s="55" t="str">
        <f t="shared" si="7"/>
        <v/>
      </c>
      <c r="O363" s="56">
        <f t="shared" si="8"/>
        <v>0</v>
      </c>
      <c r="P363" s="44"/>
      <c r="Q363" s="66"/>
      <c r="R363" s="32"/>
      <c r="S363" s="32"/>
      <c r="T363" s="32"/>
      <c r="U363" s="32"/>
      <c r="V363" s="32"/>
      <c r="W363" s="32"/>
      <c r="X363" s="32"/>
      <c r="Y363" s="32"/>
      <c r="Z363" s="32"/>
    </row>
    <row r="364" spans="1:26" ht="15" customHeight="1" x14ac:dyDescent="0.3">
      <c r="A364" s="45">
        <v>354</v>
      </c>
      <c r="B364" s="46"/>
      <c r="C364" s="46"/>
      <c r="D364" s="63"/>
      <c r="E364" s="78"/>
      <c r="F364" s="99"/>
      <c r="G364" s="79"/>
      <c r="H364" s="71"/>
      <c r="I364" s="51"/>
      <c r="J364" s="51"/>
      <c r="K364" s="52"/>
      <c r="L364" s="53"/>
      <c r="M364" s="54"/>
      <c r="N364" s="55" t="str">
        <f t="shared" si="7"/>
        <v/>
      </c>
      <c r="O364" s="56">
        <f t="shared" si="8"/>
        <v>0</v>
      </c>
      <c r="P364" s="44"/>
      <c r="Q364" s="66"/>
      <c r="R364" s="32"/>
      <c r="S364" s="32"/>
      <c r="T364" s="32"/>
      <c r="U364" s="32"/>
      <c r="V364" s="32"/>
      <c r="W364" s="32"/>
      <c r="X364" s="32"/>
      <c r="Y364" s="32"/>
      <c r="Z364" s="32"/>
    </row>
    <row r="365" spans="1:26" ht="15" customHeight="1" x14ac:dyDescent="0.3">
      <c r="A365" s="45">
        <v>355</v>
      </c>
      <c r="B365" s="46"/>
      <c r="C365" s="46"/>
      <c r="D365" s="63"/>
      <c r="E365" s="78"/>
      <c r="F365" s="99"/>
      <c r="G365" s="79"/>
      <c r="H365" s="71"/>
      <c r="I365" s="51"/>
      <c r="J365" s="51"/>
      <c r="K365" s="52"/>
      <c r="L365" s="53"/>
      <c r="M365" s="54"/>
      <c r="N365" s="55" t="str">
        <f t="shared" si="7"/>
        <v/>
      </c>
      <c r="O365" s="56">
        <f t="shared" si="8"/>
        <v>0</v>
      </c>
      <c r="P365" s="44"/>
      <c r="Q365" s="66"/>
      <c r="R365" s="32"/>
      <c r="S365" s="32"/>
      <c r="T365" s="32"/>
      <c r="U365" s="32"/>
      <c r="V365" s="32"/>
      <c r="W365" s="32"/>
      <c r="X365" s="32"/>
      <c r="Y365" s="32"/>
      <c r="Z365" s="32"/>
    </row>
    <row r="366" spans="1:26" ht="15" customHeight="1" x14ac:dyDescent="0.3">
      <c r="A366" s="45">
        <v>356</v>
      </c>
      <c r="B366" s="46"/>
      <c r="C366" s="46"/>
      <c r="D366" s="63"/>
      <c r="E366" s="78"/>
      <c r="F366" s="99"/>
      <c r="G366" s="79"/>
      <c r="H366" s="71"/>
      <c r="I366" s="51"/>
      <c r="J366" s="51"/>
      <c r="K366" s="52"/>
      <c r="L366" s="53"/>
      <c r="M366" s="54"/>
      <c r="N366" s="55" t="str">
        <f t="shared" si="7"/>
        <v/>
      </c>
      <c r="O366" s="56">
        <f t="shared" si="8"/>
        <v>0</v>
      </c>
      <c r="P366" s="44"/>
      <c r="Q366" s="66"/>
      <c r="R366" s="32"/>
      <c r="S366" s="32"/>
      <c r="T366" s="32"/>
      <c r="U366" s="32"/>
      <c r="V366" s="32"/>
      <c r="W366" s="32"/>
      <c r="X366" s="32"/>
      <c r="Y366" s="32"/>
      <c r="Z366" s="32"/>
    </row>
    <row r="367" spans="1:26" ht="15" customHeight="1" x14ac:dyDescent="0.3">
      <c r="A367" s="45">
        <v>357</v>
      </c>
      <c r="B367" s="46"/>
      <c r="C367" s="46"/>
      <c r="D367" s="63"/>
      <c r="E367" s="78"/>
      <c r="F367" s="99"/>
      <c r="G367" s="79"/>
      <c r="H367" s="71"/>
      <c r="I367" s="51"/>
      <c r="J367" s="51"/>
      <c r="K367" s="52"/>
      <c r="L367" s="53"/>
      <c r="M367" s="54"/>
      <c r="N367" s="55" t="str">
        <f t="shared" si="7"/>
        <v/>
      </c>
      <c r="O367" s="56">
        <f t="shared" si="8"/>
        <v>0</v>
      </c>
      <c r="P367" s="44"/>
      <c r="Q367" s="66"/>
      <c r="R367" s="32"/>
      <c r="S367" s="32"/>
      <c r="T367" s="32"/>
      <c r="U367" s="32"/>
      <c r="V367" s="32"/>
      <c r="W367" s="32"/>
      <c r="X367" s="32"/>
      <c r="Y367" s="32"/>
      <c r="Z367" s="32"/>
    </row>
    <row r="368" spans="1:26" ht="15" customHeight="1" x14ac:dyDescent="0.3">
      <c r="A368" s="45">
        <v>358</v>
      </c>
      <c r="B368" s="46"/>
      <c r="C368" s="46"/>
      <c r="D368" s="63"/>
      <c r="E368" s="78"/>
      <c r="F368" s="99"/>
      <c r="G368" s="79"/>
      <c r="H368" s="71"/>
      <c r="I368" s="51"/>
      <c r="J368" s="51"/>
      <c r="K368" s="52"/>
      <c r="L368" s="53"/>
      <c r="M368" s="54"/>
      <c r="N368" s="55" t="str">
        <f t="shared" si="7"/>
        <v/>
      </c>
      <c r="O368" s="56">
        <f t="shared" si="8"/>
        <v>0</v>
      </c>
      <c r="P368" s="44"/>
      <c r="Q368" s="66"/>
      <c r="R368" s="32"/>
      <c r="S368" s="32"/>
      <c r="T368" s="32"/>
      <c r="U368" s="32"/>
      <c r="V368" s="32"/>
      <c r="W368" s="32"/>
      <c r="X368" s="32"/>
      <c r="Y368" s="32"/>
      <c r="Z368" s="32"/>
    </row>
    <row r="369" spans="1:26" ht="15" customHeight="1" x14ac:dyDescent="0.3">
      <c r="A369" s="45">
        <v>359</v>
      </c>
      <c r="B369" s="46"/>
      <c r="C369" s="46"/>
      <c r="D369" s="63"/>
      <c r="E369" s="78"/>
      <c r="F369" s="99"/>
      <c r="G369" s="79"/>
      <c r="H369" s="71"/>
      <c r="I369" s="51"/>
      <c r="J369" s="51"/>
      <c r="K369" s="52"/>
      <c r="L369" s="53"/>
      <c r="M369" s="54"/>
      <c r="N369" s="55" t="str">
        <f t="shared" si="7"/>
        <v/>
      </c>
      <c r="O369" s="56">
        <f t="shared" si="8"/>
        <v>0</v>
      </c>
      <c r="P369" s="44"/>
      <c r="Q369" s="66"/>
      <c r="R369" s="32"/>
      <c r="S369" s="32"/>
      <c r="T369" s="32"/>
      <c r="U369" s="32"/>
      <c r="V369" s="32"/>
      <c r="W369" s="32"/>
      <c r="X369" s="32"/>
      <c r="Y369" s="32"/>
      <c r="Z369" s="32"/>
    </row>
    <row r="370" spans="1:26" ht="15" customHeight="1" x14ac:dyDescent="0.3">
      <c r="A370" s="45">
        <v>360</v>
      </c>
      <c r="B370" s="46"/>
      <c r="C370" s="46"/>
      <c r="D370" s="63"/>
      <c r="E370" s="78"/>
      <c r="F370" s="99"/>
      <c r="G370" s="79"/>
      <c r="H370" s="71"/>
      <c r="I370" s="51"/>
      <c r="J370" s="51"/>
      <c r="K370" s="52"/>
      <c r="L370" s="53"/>
      <c r="M370" s="54"/>
      <c r="N370" s="55" t="str">
        <f t="shared" si="7"/>
        <v/>
      </c>
      <c r="O370" s="56">
        <f t="shared" si="8"/>
        <v>0</v>
      </c>
      <c r="P370" s="44"/>
      <c r="Q370" s="66"/>
      <c r="R370" s="32"/>
      <c r="S370" s="32"/>
      <c r="T370" s="32"/>
      <c r="U370" s="32"/>
      <c r="V370" s="32"/>
      <c r="W370" s="32"/>
      <c r="X370" s="32"/>
      <c r="Y370" s="32"/>
      <c r="Z370" s="32"/>
    </row>
    <row r="371" spans="1:26" ht="15" customHeight="1" x14ac:dyDescent="0.3">
      <c r="A371" s="45">
        <v>361</v>
      </c>
      <c r="B371" s="46"/>
      <c r="C371" s="46"/>
      <c r="D371" s="63"/>
      <c r="E371" s="78"/>
      <c r="F371" s="99"/>
      <c r="G371" s="79"/>
      <c r="H371" s="71"/>
      <c r="I371" s="51"/>
      <c r="J371" s="51"/>
      <c r="K371" s="52"/>
      <c r="L371" s="53"/>
      <c r="M371" s="54"/>
      <c r="N371" s="55" t="str">
        <f t="shared" si="7"/>
        <v/>
      </c>
      <c r="O371" s="56">
        <f t="shared" si="8"/>
        <v>0</v>
      </c>
      <c r="P371" s="44"/>
      <c r="Q371" s="66"/>
      <c r="R371" s="32"/>
      <c r="S371" s="32"/>
      <c r="T371" s="32"/>
      <c r="U371" s="32"/>
      <c r="V371" s="32"/>
      <c r="W371" s="32"/>
      <c r="X371" s="32"/>
      <c r="Y371" s="32"/>
      <c r="Z371" s="32"/>
    </row>
    <row r="372" spans="1:26" ht="15" customHeight="1" x14ac:dyDescent="0.3">
      <c r="A372" s="45">
        <v>362</v>
      </c>
      <c r="B372" s="46"/>
      <c r="C372" s="46"/>
      <c r="D372" s="63"/>
      <c r="E372" s="78"/>
      <c r="F372" s="99"/>
      <c r="G372" s="79"/>
      <c r="H372" s="71"/>
      <c r="I372" s="51"/>
      <c r="J372" s="51"/>
      <c r="K372" s="52"/>
      <c r="L372" s="53"/>
      <c r="M372" s="54"/>
      <c r="N372" s="55" t="str">
        <f t="shared" si="7"/>
        <v/>
      </c>
      <c r="O372" s="56">
        <f t="shared" si="8"/>
        <v>0</v>
      </c>
      <c r="P372" s="44"/>
      <c r="Q372" s="66"/>
      <c r="R372" s="32"/>
      <c r="S372" s="32"/>
      <c r="T372" s="32"/>
      <c r="U372" s="32"/>
      <c r="V372" s="32"/>
      <c r="W372" s="32"/>
      <c r="X372" s="32"/>
      <c r="Y372" s="32"/>
      <c r="Z372" s="32"/>
    </row>
    <row r="373" spans="1:26" ht="15" customHeight="1" x14ac:dyDescent="0.3">
      <c r="A373" s="45">
        <v>363</v>
      </c>
      <c r="B373" s="46"/>
      <c r="C373" s="46"/>
      <c r="D373" s="63"/>
      <c r="E373" s="78"/>
      <c r="F373" s="99"/>
      <c r="G373" s="79"/>
      <c r="H373" s="71"/>
      <c r="I373" s="51"/>
      <c r="J373" s="51"/>
      <c r="K373" s="52"/>
      <c r="L373" s="53"/>
      <c r="M373" s="54"/>
      <c r="N373" s="55" t="str">
        <f t="shared" si="7"/>
        <v/>
      </c>
      <c r="O373" s="56">
        <f t="shared" si="8"/>
        <v>0</v>
      </c>
      <c r="P373" s="44"/>
      <c r="Q373" s="66"/>
      <c r="R373" s="32"/>
      <c r="S373" s="32"/>
      <c r="T373" s="32"/>
      <c r="U373" s="32"/>
      <c r="V373" s="32"/>
      <c r="W373" s="32"/>
      <c r="X373" s="32"/>
      <c r="Y373" s="32"/>
      <c r="Z373" s="32"/>
    </row>
    <row r="374" spans="1:26" ht="15" customHeight="1" x14ac:dyDescent="0.3">
      <c r="A374" s="45">
        <v>364</v>
      </c>
      <c r="B374" s="46"/>
      <c r="C374" s="46"/>
      <c r="D374" s="63"/>
      <c r="E374" s="78"/>
      <c r="F374" s="99"/>
      <c r="G374" s="79"/>
      <c r="H374" s="71"/>
      <c r="I374" s="51"/>
      <c r="J374" s="51"/>
      <c r="K374" s="52"/>
      <c r="L374" s="53"/>
      <c r="M374" s="54"/>
      <c r="N374" s="55" t="str">
        <f t="shared" si="7"/>
        <v/>
      </c>
      <c r="O374" s="56">
        <f t="shared" si="8"/>
        <v>0</v>
      </c>
      <c r="P374" s="44"/>
      <c r="Q374" s="66"/>
      <c r="R374" s="32"/>
      <c r="S374" s="32"/>
      <c r="T374" s="32"/>
      <c r="U374" s="32"/>
      <c r="V374" s="32"/>
      <c r="W374" s="32"/>
      <c r="X374" s="32"/>
      <c r="Y374" s="32"/>
      <c r="Z374" s="32"/>
    </row>
    <row r="375" spans="1:26" ht="15" customHeight="1" x14ac:dyDescent="0.3">
      <c r="A375" s="45">
        <v>365</v>
      </c>
      <c r="B375" s="46"/>
      <c r="C375" s="46"/>
      <c r="D375" s="63"/>
      <c r="E375" s="78"/>
      <c r="F375" s="99"/>
      <c r="G375" s="79"/>
      <c r="H375" s="71"/>
      <c r="I375" s="51"/>
      <c r="J375" s="51"/>
      <c r="K375" s="52"/>
      <c r="L375" s="53"/>
      <c r="M375" s="54"/>
      <c r="N375" s="55" t="str">
        <f t="shared" si="7"/>
        <v/>
      </c>
      <c r="O375" s="56">
        <f t="shared" si="8"/>
        <v>0</v>
      </c>
      <c r="P375" s="44"/>
      <c r="Q375" s="66"/>
      <c r="R375" s="32"/>
      <c r="S375" s="32"/>
      <c r="T375" s="32"/>
      <c r="U375" s="32"/>
      <c r="V375" s="32"/>
      <c r="W375" s="32"/>
      <c r="X375" s="32"/>
      <c r="Y375" s="32"/>
      <c r="Z375" s="32"/>
    </row>
    <row r="376" spans="1:26" ht="15" customHeight="1" x14ac:dyDescent="0.3">
      <c r="A376" s="45">
        <v>366</v>
      </c>
      <c r="B376" s="46"/>
      <c r="C376" s="46"/>
      <c r="D376" s="63"/>
      <c r="E376" s="78"/>
      <c r="F376" s="99"/>
      <c r="G376" s="79"/>
      <c r="H376" s="71"/>
      <c r="I376" s="51"/>
      <c r="J376" s="51"/>
      <c r="K376" s="52"/>
      <c r="L376" s="53"/>
      <c r="M376" s="54"/>
      <c r="N376" s="55" t="str">
        <f t="shared" si="7"/>
        <v/>
      </c>
      <c r="O376" s="56">
        <f t="shared" si="8"/>
        <v>0</v>
      </c>
      <c r="P376" s="44"/>
      <c r="Q376" s="66"/>
      <c r="R376" s="32"/>
      <c r="S376" s="32"/>
      <c r="T376" s="32"/>
      <c r="U376" s="32"/>
      <c r="V376" s="32"/>
      <c r="W376" s="32"/>
      <c r="X376" s="32"/>
      <c r="Y376" s="32"/>
      <c r="Z376" s="32"/>
    </row>
    <row r="377" spans="1:26" ht="15" customHeight="1" x14ac:dyDescent="0.3">
      <c r="A377" s="45">
        <v>367</v>
      </c>
      <c r="B377" s="46"/>
      <c r="C377" s="46"/>
      <c r="D377" s="63"/>
      <c r="E377" s="78"/>
      <c r="F377" s="99"/>
      <c r="G377" s="79"/>
      <c r="H377" s="71"/>
      <c r="I377" s="51"/>
      <c r="J377" s="51"/>
      <c r="K377" s="52"/>
      <c r="L377" s="53"/>
      <c r="M377" s="54"/>
      <c r="N377" s="55" t="str">
        <f t="shared" si="7"/>
        <v/>
      </c>
      <c r="O377" s="56">
        <f t="shared" si="8"/>
        <v>0</v>
      </c>
      <c r="P377" s="44"/>
      <c r="Q377" s="66"/>
      <c r="R377" s="32"/>
      <c r="S377" s="32"/>
      <c r="T377" s="32"/>
      <c r="U377" s="32"/>
      <c r="V377" s="32"/>
      <c r="W377" s="32"/>
      <c r="X377" s="32"/>
      <c r="Y377" s="32"/>
      <c r="Z377" s="32"/>
    </row>
    <row r="378" spans="1:26" ht="15" customHeight="1" x14ac:dyDescent="0.3">
      <c r="A378" s="45">
        <v>368</v>
      </c>
      <c r="B378" s="46"/>
      <c r="C378" s="46"/>
      <c r="D378" s="63"/>
      <c r="E378" s="78"/>
      <c r="F378" s="99"/>
      <c r="G378" s="79"/>
      <c r="H378" s="71"/>
      <c r="I378" s="51"/>
      <c r="J378" s="51"/>
      <c r="K378" s="52"/>
      <c r="L378" s="53"/>
      <c r="M378" s="54"/>
      <c r="N378" s="55" t="str">
        <f t="shared" si="7"/>
        <v/>
      </c>
      <c r="O378" s="56">
        <f t="shared" si="8"/>
        <v>0</v>
      </c>
      <c r="P378" s="44"/>
      <c r="Q378" s="66"/>
      <c r="R378" s="32"/>
      <c r="S378" s="32"/>
      <c r="T378" s="32"/>
      <c r="U378" s="32"/>
      <c r="V378" s="32"/>
      <c r="W378" s="32"/>
      <c r="X378" s="32"/>
      <c r="Y378" s="32"/>
      <c r="Z378" s="32"/>
    </row>
    <row r="379" spans="1:26" ht="15" customHeight="1" x14ac:dyDescent="0.3">
      <c r="A379" s="45">
        <v>369</v>
      </c>
      <c r="B379" s="46"/>
      <c r="C379" s="46"/>
      <c r="D379" s="63"/>
      <c r="E379" s="78"/>
      <c r="F379" s="99"/>
      <c r="G379" s="79"/>
      <c r="H379" s="71"/>
      <c r="I379" s="51"/>
      <c r="J379" s="51"/>
      <c r="K379" s="52"/>
      <c r="L379" s="53"/>
      <c r="M379" s="54"/>
      <c r="N379" s="55" t="str">
        <f t="shared" si="7"/>
        <v/>
      </c>
      <c r="O379" s="56">
        <f t="shared" si="8"/>
        <v>0</v>
      </c>
      <c r="P379" s="44"/>
      <c r="Q379" s="66"/>
      <c r="R379" s="32"/>
      <c r="S379" s="32"/>
      <c r="T379" s="32"/>
      <c r="U379" s="32"/>
      <c r="V379" s="32"/>
      <c r="W379" s="32"/>
      <c r="X379" s="32"/>
      <c r="Y379" s="32"/>
      <c r="Z379" s="32"/>
    </row>
    <row r="380" spans="1:26" ht="15" customHeight="1" x14ac:dyDescent="0.3">
      <c r="A380" s="45">
        <v>370</v>
      </c>
      <c r="B380" s="46"/>
      <c r="C380" s="46"/>
      <c r="D380" s="63"/>
      <c r="E380" s="78"/>
      <c r="F380" s="99"/>
      <c r="G380" s="79"/>
      <c r="H380" s="71"/>
      <c r="I380" s="51"/>
      <c r="J380" s="51"/>
      <c r="K380" s="52"/>
      <c r="L380" s="53"/>
      <c r="M380" s="54"/>
      <c r="N380" s="55" t="str">
        <f t="shared" si="7"/>
        <v/>
      </c>
      <c r="O380" s="56">
        <f t="shared" si="8"/>
        <v>0</v>
      </c>
      <c r="P380" s="44"/>
      <c r="Q380" s="66"/>
      <c r="R380" s="32"/>
      <c r="S380" s="32"/>
      <c r="T380" s="32"/>
      <c r="U380" s="32"/>
      <c r="V380" s="32"/>
      <c r="W380" s="32"/>
      <c r="X380" s="32"/>
      <c r="Y380" s="32"/>
      <c r="Z380" s="32"/>
    </row>
    <row r="381" spans="1:26" ht="15" customHeight="1" x14ac:dyDescent="0.3">
      <c r="A381" s="45">
        <v>371</v>
      </c>
      <c r="B381" s="46"/>
      <c r="C381" s="46"/>
      <c r="D381" s="63"/>
      <c r="E381" s="78"/>
      <c r="F381" s="99"/>
      <c r="G381" s="79"/>
      <c r="H381" s="71"/>
      <c r="I381" s="51"/>
      <c r="J381" s="51"/>
      <c r="K381" s="52"/>
      <c r="L381" s="53"/>
      <c r="M381" s="54"/>
      <c r="N381" s="55" t="str">
        <f t="shared" si="7"/>
        <v/>
      </c>
      <c r="O381" s="56">
        <f t="shared" si="8"/>
        <v>0</v>
      </c>
      <c r="P381" s="44"/>
      <c r="Q381" s="66"/>
      <c r="R381" s="32"/>
      <c r="S381" s="32"/>
      <c r="T381" s="32"/>
      <c r="U381" s="32"/>
      <c r="V381" s="32"/>
      <c r="W381" s="32"/>
      <c r="X381" s="32"/>
      <c r="Y381" s="32"/>
      <c r="Z381" s="32"/>
    </row>
    <row r="382" spans="1:26" ht="15" customHeight="1" x14ac:dyDescent="0.3">
      <c r="A382" s="45">
        <v>372</v>
      </c>
      <c r="B382" s="46"/>
      <c r="C382" s="46"/>
      <c r="D382" s="63"/>
      <c r="E382" s="78"/>
      <c r="F382" s="99"/>
      <c r="G382" s="79"/>
      <c r="H382" s="71"/>
      <c r="I382" s="51"/>
      <c r="J382" s="51"/>
      <c r="K382" s="52"/>
      <c r="L382" s="53"/>
      <c r="M382" s="54"/>
      <c r="N382" s="55" t="str">
        <f t="shared" si="7"/>
        <v/>
      </c>
      <c r="O382" s="56">
        <f t="shared" si="8"/>
        <v>0</v>
      </c>
      <c r="P382" s="44"/>
      <c r="Q382" s="66"/>
      <c r="R382" s="32"/>
      <c r="S382" s="32"/>
      <c r="T382" s="32"/>
      <c r="U382" s="32"/>
      <c r="V382" s="32"/>
      <c r="W382" s="32"/>
      <c r="X382" s="32"/>
      <c r="Y382" s="32"/>
      <c r="Z382" s="32"/>
    </row>
    <row r="383" spans="1:26" ht="15" customHeight="1" x14ac:dyDescent="0.3">
      <c r="A383" s="45">
        <v>373</v>
      </c>
      <c r="B383" s="46"/>
      <c r="C383" s="46"/>
      <c r="D383" s="63"/>
      <c r="E383" s="78"/>
      <c r="F383" s="99"/>
      <c r="G383" s="79"/>
      <c r="H383" s="71"/>
      <c r="I383" s="51"/>
      <c r="J383" s="51"/>
      <c r="K383" s="52"/>
      <c r="L383" s="53"/>
      <c r="M383" s="54"/>
      <c r="N383" s="55" t="str">
        <f t="shared" si="7"/>
        <v/>
      </c>
      <c r="O383" s="56">
        <f t="shared" si="8"/>
        <v>0</v>
      </c>
      <c r="P383" s="44"/>
      <c r="Q383" s="66"/>
      <c r="R383" s="32"/>
      <c r="S383" s="32"/>
      <c r="T383" s="32"/>
      <c r="U383" s="32"/>
      <c r="V383" s="32"/>
      <c r="W383" s="32"/>
      <c r="X383" s="32"/>
      <c r="Y383" s="32"/>
      <c r="Z383" s="32"/>
    </row>
    <row r="384" spans="1:26" ht="15" customHeight="1" x14ac:dyDescent="0.3">
      <c r="A384" s="45">
        <v>374</v>
      </c>
      <c r="B384" s="46"/>
      <c r="C384" s="46"/>
      <c r="D384" s="63"/>
      <c r="E384" s="78"/>
      <c r="F384" s="99"/>
      <c r="G384" s="79"/>
      <c r="H384" s="71"/>
      <c r="I384" s="51"/>
      <c r="J384" s="51"/>
      <c r="K384" s="52"/>
      <c r="L384" s="53"/>
      <c r="M384" s="54"/>
      <c r="N384" s="55" t="str">
        <f t="shared" si="7"/>
        <v/>
      </c>
      <c r="O384" s="56">
        <f t="shared" si="8"/>
        <v>0</v>
      </c>
      <c r="P384" s="44"/>
      <c r="Q384" s="66"/>
      <c r="R384" s="32"/>
      <c r="S384" s="32"/>
      <c r="T384" s="32"/>
      <c r="U384" s="32"/>
      <c r="V384" s="32"/>
      <c r="W384" s="32"/>
      <c r="X384" s="32"/>
      <c r="Y384" s="32"/>
      <c r="Z384" s="32"/>
    </row>
    <row r="385" spans="1:26" ht="15" customHeight="1" x14ac:dyDescent="0.3">
      <c r="A385" s="45">
        <v>375</v>
      </c>
      <c r="B385" s="46"/>
      <c r="C385" s="46"/>
      <c r="D385" s="63"/>
      <c r="E385" s="78"/>
      <c r="F385" s="99"/>
      <c r="G385" s="79"/>
      <c r="H385" s="71"/>
      <c r="I385" s="51"/>
      <c r="J385" s="51"/>
      <c r="K385" s="52"/>
      <c r="L385" s="53"/>
      <c r="M385" s="54"/>
      <c r="N385" s="55" t="str">
        <f t="shared" si="7"/>
        <v/>
      </c>
      <c r="O385" s="56">
        <f t="shared" si="8"/>
        <v>0</v>
      </c>
      <c r="P385" s="44"/>
      <c r="Q385" s="66"/>
      <c r="R385" s="32"/>
      <c r="S385" s="32"/>
      <c r="T385" s="32"/>
      <c r="U385" s="32"/>
      <c r="V385" s="32"/>
      <c r="W385" s="32"/>
      <c r="X385" s="32"/>
      <c r="Y385" s="32"/>
      <c r="Z385" s="32"/>
    </row>
    <row r="386" spans="1:26" ht="15" customHeight="1" x14ac:dyDescent="0.3">
      <c r="A386" s="45">
        <v>376</v>
      </c>
      <c r="B386" s="46"/>
      <c r="C386" s="46"/>
      <c r="D386" s="63"/>
      <c r="E386" s="78"/>
      <c r="F386" s="99"/>
      <c r="G386" s="79"/>
      <c r="H386" s="71"/>
      <c r="I386" s="51"/>
      <c r="J386" s="51"/>
      <c r="K386" s="52"/>
      <c r="L386" s="53"/>
      <c r="M386" s="54"/>
      <c r="N386" s="55" t="str">
        <f t="shared" si="7"/>
        <v/>
      </c>
      <c r="O386" s="56">
        <f t="shared" si="8"/>
        <v>0</v>
      </c>
      <c r="P386" s="44"/>
      <c r="Q386" s="66"/>
      <c r="R386" s="32"/>
      <c r="S386" s="32"/>
      <c r="T386" s="32"/>
      <c r="U386" s="32"/>
      <c r="V386" s="32"/>
      <c r="W386" s="32"/>
      <c r="X386" s="32"/>
      <c r="Y386" s="32"/>
      <c r="Z386" s="32"/>
    </row>
    <row r="387" spans="1:26" ht="15" customHeight="1" x14ac:dyDescent="0.3">
      <c r="A387" s="45">
        <v>377</v>
      </c>
      <c r="B387" s="46"/>
      <c r="C387" s="46"/>
      <c r="D387" s="63"/>
      <c r="E387" s="78"/>
      <c r="F387" s="99"/>
      <c r="G387" s="79"/>
      <c r="H387" s="71"/>
      <c r="I387" s="51"/>
      <c r="J387" s="51"/>
      <c r="K387" s="52"/>
      <c r="L387" s="53"/>
      <c r="M387" s="54"/>
      <c r="N387" s="55" t="str">
        <f t="shared" si="7"/>
        <v/>
      </c>
      <c r="O387" s="56">
        <f t="shared" si="8"/>
        <v>0</v>
      </c>
      <c r="P387" s="44"/>
      <c r="Q387" s="66"/>
      <c r="R387" s="32"/>
      <c r="S387" s="32"/>
      <c r="T387" s="32"/>
      <c r="U387" s="32"/>
      <c r="V387" s="32"/>
      <c r="W387" s="32"/>
      <c r="X387" s="32"/>
      <c r="Y387" s="32"/>
      <c r="Z387" s="32"/>
    </row>
    <row r="388" spans="1:26" ht="15" customHeight="1" x14ac:dyDescent="0.3">
      <c r="A388" s="45">
        <v>378</v>
      </c>
      <c r="B388" s="46"/>
      <c r="C388" s="46"/>
      <c r="D388" s="63"/>
      <c r="E388" s="78"/>
      <c r="F388" s="99"/>
      <c r="G388" s="79"/>
      <c r="H388" s="71"/>
      <c r="I388" s="51"/>
      <c r="J388" s="51"/>
      <c r="K388" s="52"/>
      <c r="L388" s="53"/>
      <c r="M388" s="54"/>
      <c r="N388" s="55" t="str">
        <f t="shared" si="7"/>
        <v/>
      </c>
      <c r="O388" s="56">
        <f t="shared" si="8"/>
        <v>0</v>
      </c>
      <c r="P388" s="44"/>
      <c r="Q388" s="66"/>
      <c r="R388" s="32"/>
      <c r="S388" s="32"/>
      <c r="T388" s="32"/>
      <c r="U388" s="32"/>
      <c r="V388" s="32"/>
      <c r="W388" s="32"/>
      <c r="X388" s="32"/>
      <c r="Y388" s="32"/>
      <c r="Z388" s="32"/>
    </row>
    <row r="389" spans="1:26" ht="15" customHeight="1" x14ac:dyDescent="0.3">
      <c r="A389" s="45">
        <v>379</v>
      </c>
      <c r="B389" s="46"/>
      <c r="C389" s="46"/>
      <c r="D389" s="63"/>
      <c r="E389" s="78"/>
      <c r="F389" s="99"/>
      <c r="G389" s="79"/>
      <c r="H389" s="71"/>
      <c r="I389" s="51"/>
      <c r="J389" s="51"/>
      <c r="K389" s="52"/>
      <c r="L389" s="53"/>
      <c r="M389" s="54"/>
      <c r="N389" s="55" t="str">
        <f t="shared" si="7"/>
        <v/>
      </c>
      <c r="O389" s="56">
        <f t="shared" si="8"/>
        <v>0</v>
      </c>
      <c r="P389" s="44"/>
      <c r="Q389" s="66"/>
      <c r="R389" s="32"/>
      <c r="S389" s="32"/>
      <c r="T389" s="32"/>
      <c r="U389" s="32"/>
      <c r="V389" s="32"/>
      <c r="W389" s="32"/>
      <c r="X389" s="32"/>
      <c r="Y389" s="32"/>
      <c r="Z389" s="32"/>
    </row>
    <row r="390" spans="1:26" ht="15" customHeight="1" x14ac:dyDescent="0.3">
      <c r="A390" s="45">
        <v>380</v>
      </c>
      <c r="B390" s="46"/>
      <c r="C390" s="46"/>
      <c r="D390" s="63"/>
      <c r="E390" s="78"/>
      <c r="F390" s="99"/>
      <c r="G390" s="79"/>
      <c r="H390" s="71"/>
      <c r="I390" s="51"/>
      <c r="J390" s="51"/>
      <c r="K390" s="52"/>
      <c r="L390" s="53"/>
      <c r="M390" s="54"/>
      <c r="N390" s="55" t="str">
        <f t="shared" si="7"/>
        <v/>
      </c>
      <c r="O390" s="56">
        <f t="shared" si="8"/>
        <v>0</v>
      </c>
      <c r="P390" s="44"/>
      <c r="Q390" s="66"/>
      <c r="R390" s="32"/>
      <c r="S390" s="32"/>
      <c r="T390" s="32"/>
      <c r="U390" s="32"/>
      <c r="V390" s="32"/>
      <c r="W390" s="32"/>
      <c r="X390" s="32"/>
      <c r="Y390" s="32"/>
      <c r="Z390" s="32"/>
    </row>
    <row r="391" spans="1:26" ht="15" customHeight="1" x14ac:dyDescent="0.3">
      <c r="A391" s="45">
        <v>381</v>
      </c>
      <c r="B391" s="46"/>
      <c r="C391" s="46"/>
      <c r="D391" s="63"/>
      <c r="E391" s="78"/>
      <c r="F391" s="99"/>
      <c r="G391" s="79"/>
      <c r="H391" s="71"/>
      <c r="I391" s="51"/>
      <c r="J391" s="51"/>
      <c r="K391" s="52"/>
      <c r="L391" s="53"/>
      <c r="M391" s="54"/>
      <c r="N391" s="55" t="str">
        <f t="shared" si="7"/>
        <v/>
      </c>
      <c r="O391" s="56">
        <f t="shared" si="8"/>
        <v>0</v>
      </c>
      <c r="P391" s="44"/>
      <c r="Q391" s="66"/>
      <c r="R391" s="32"/>
      <c r="S391" s="32"/>
      <c r="T391" s="32"/>
      <c r="U391" s="32"/>
      <c r="V391" s="32"/>
      <c r="W391" s="32"/>
      <c r="X391" s="32"/>
      <c r="Y391" s="32"/>
      <c r="Z391" s="32"/>
    </row>
    <row r="392" spans="1:26" ht="15" customHeight="1" x14ac:dyDescent="0.3">
      <c r="A392" s="45">
        <v>382</v>
      </c>
      <c r="B392" s="46"/>
      <c r="C392" s="46"/>
      <c r="D392" s="63"/>
      <c r="E392" s="78"/>
      <c r="F392" s="99"/>
      <c r="G392" s="79"/>
      <c r="H392" s="71"/>
      <c r="I392" s="51"/>
      <c r="J392" s="51"/>
      <c r="K392" s="52"/>
      <c r="L392" s="53"/>
      <c r="M392" s="54"/>
      <c r="N392" s="55" t="str">
        <f t="shared" si="7"/>
        <v/>
      </c>
      <c r="O392" s="56">
        <f t="shared" si="8"/>
        <v>0</v>
      </c>
      <c r="P392" s="44"/>
      <c r="Q392" s="66"/>
      <c r="R392" s="32"/>
      <c r="S392" s="32"/>
      <c r="T392" s="32"/>
      <c r="U392" s="32"/>
      <c r="V392" s="32"/>
      <c r="W392" s="32"/>
      <c r="X392" s="32"/>
      <c r="Y392" s="32"/>
      <c r="Z392" s="32"/>
    </row>
    <row r="393" spans="1:26" ht="15" customHeight="1" x14ac:dyDescent="0.3">
      <c r="A393" s="45">
        <v>383</v>
      </c>
      <c r="B393" s="46"/>
      <c r="C393" s="46"/>
      <c r="D393" s="63"/>
      <c r="E393" s="78"/>
      <c r="F393" s="99"/>
      <c r="G393" s="79"/>
      <c r="H393" s="71"/>
      <c r="I393" s="51"/>
      <c r="J393" s="51"/>
      <c r="K393" s="52"/>
      <c r="L393" s="53"/>
      <c r="M393" s="54"/>
      <c r="N393" s="55" t="str">
        <f t="shared" si="7"/>
        <v/>
      </c>
      <c r="O393" s="56">
        <f t="shared" si="8"/>
        <v>0</v>
      </c>
      <c r="P393" s="44"/>
      <c r="Q393" s="66"/>
      <c r="R393" s="32"/>
      <c r="S393" s="32"/>
      <c r="T393" s="32"/>
      <c r="U393" s="32"/>
      <c r="V393" s="32"/>
      <c r="W393" s="32"/>
      <c r="X393" s="32"/>
      <c r="Y393" s="32"/>
      <c r="Z393" s="32"/>
    </row>
    <row r="394" spans="1:26" ht="15" customHeight="1" x14ac:dyDescent="0.3">
      <c r="A394" s="45">
        <v>384</v>
      </c>
      <c r="B394" s="46"/>
      <c r="C394" s="46"/>
      <c r="D394" s="63"/>
      <c r="E394" s="78"/>
      <c r="F394" s="99"/>
      <c r="G394" s="79"/>
      <c r="H394" s="71"/>
      <c r="I394" s="51"/>
      <c r="J394" s="51"/>
      <c r="K394" s="52"/>
      <c r="L394" s="53"/>
      <c r="M394" s="54"/>
      <c r="N394" s="55" t="str">
        <f t="shared" si="7"/>
        <v/>
      </c>
      <c r="O394" s="56">
        <f t="shared" si="8"/>
        <v>0</v>
      </c>
      <c r="P394" s="44"/>
      <c r="Q394" s="66"/>
      <c r="R394" s="32"/>
      <c r="S394" s="32"/>
      <c r="T394" s="32"/>
      <c r="U394" s="32"/>
      <c r="V394" s="32"/>
      <c r="W394" s="32"/>
      <c r="X394" s="32"/>
      <c r="Y394" s="32"/>
      <c r="Z394" s="32"/>
    </row>
    <row r="395" spans="1:26" ht="15" customHeight="1" x14ac:dyDescent="0.3">
      <c r="A395" s="45">
        <v>385</v>
      </c>
      <c r="B395" s="46"/>
      <c r="C395" s="46"/>
      <c r="D395" s="63"/>
      <c r="E395" s="78"/>
      <c r="F395" s="99"/>
      <c r="G395" s="79"/>
      <c r="H395" s="71"/>
      <c r="I395" s="51"/>
      <c r="J395" s="51"/>
      <c r="K395" s="52"/>
      <c r="L395" s="53"/>
      <c r="M395" s="54"/>
      <c r="N395" s="55" t="str">
        <f t="shared" si="7"/>
        <v/>
      </c>
      <c r="O395" s="56">
        <f t="shared" si="8"/>
        <v>0</v>
      </c>
      <c r="P395" s="44"/>
      <c r="Q395" s="66"/>
      <c r="R395" s="32"/>
      <c r="S395" s="32"/>
      <c r="T395" s="32"/>
      <c r="U395" s="32"/>
      <c r="V395" s="32"/>
      <c r="W395" s="32"/>
      <c r="X395" s="32"/>
      <c r="Y395" s="32"/>
      <c r="Z395" s="32"/>
    </row>
    <row r="396" spans="1:26" ht="15" customHeight="1" x14ac:dyDescent="0.3">
      <c r="A396" s="45">
        <v>386</v>
      </c>
      <c r="B396" s="46"/>
      <c r="C396" s="46"/>
      <c r="D396" s="63"/>
      <c r="E396" s="78"/>
      <c r="F396" s="99"/>
      <c r="G396" s="79"/>
      <c r="H396" s="71"/>
      <c r="I396" s="51"/>
      <c r="J396" s="51"/>
      <c r="K396" s="52"/>
      <c r="L396" s="53"/>
      <c r="M396" s="54"/>
      <c r="N396" s="55" t="str">
        <f t="shared" si="7"/>
        <v/>
      </c>
      <c r="O396" s="56">
        <f t="shared" si="8"/>
        <v>0</v>
      </c>
      <c r="P396" s="44"/>
      <c r="Q396" s="66"/>
      <c r="R396" s="32"/>
      <c r="S396" s="32"/>
      <c r="T396" s="32"/>
      <c r="U396" s="32"/>
      <c r="V396" s="32"/>
      <c r="W396" s="32"/>
      <c r="X396" s="32"/>
      <c r="Y396" s="32"/>
      <c r="Z396" s="32"/>
    </row>
    <row r="397" spans="1:26" ht="15" customHeight="1" x14ac:dyDescent="0.3">
      <c r="A397" s="45">
        <v>387</v>
      </c>
      <c r="B397" s="46"/>
      <c r="C397" s="46"/>
      <c r="D397" s="63"/>
      <c r="E397" s="78"/>
      <c r="F397" s="99"/>
      <c r="G397" s="79"/>
      <c r="H397" s="71"/>
      <c r="I397" s="51"/>
      <c r="J397" s="51"/>
      <c r="K397" s="52"/>
      <c r="L397" s="53"/>
      <c r="M397" s="54"/>
      <c r="N397" s="55" t="str">
        <f t="shared" si="7"/>
        <v/>
      </c>
      <c r="O397" s="56">
        <f t="shared" si="8"/>
        <v>0</v>
      </c>
      <c r="P397" s="44"/>
      <c r="Q397" s="66"/>
      <c r="R397" s="32"/>
      <c r="S397" s="32"/>
      <c r="T397" s="32"/>
      <c r="U397" s="32"/>
      <c r="V397" s="32"/>
      <c r="W397" s="32"/>
      <c r="X397" s="32"/>
      <c r="Y397" s="32"/>
      <c r="Z397" s="32"/>
    </row>
    <row r="398" spans="1:26" ht="15" customHeight="1" x14ac:dyDescent="0.3">
      <c r="A398" s="45">
        <v>388</v>
      </c>
      <c r="B398" s="46"/>
      <c r="C398" s="46"/>
      <c r="D398" s="63"/>
      <c r="E398" s="78"/>
      <c r="F398" s="99"/>
      <c r="G398" s="79"/>
      <c r="H398" s="71"/>
      <c r="I398" s="51"/>
      <c r="J398" s="51"/>
      <c r="K398" s="52"/>
      <c r="L398" s="53"/>
      <c r="M398" s="54"/>
      <c r="N398" s="55" t="str">
        <f t="shared" si="7"/>
        <v/>
      </c>
      <c r="O398" s="56">
        <f t="shared" si="8"/>
        <v>0</v>
      </c>
      <c r="P398" s="44"/>
      <c r="Q398" s="66"/>
      <c r="R398" s="32"/>
      <c r="S398" s="32"/>
      <c r="T398" s="32"/>
      <c r="U398" s="32"/>
      <c r="V398" s="32"/>
      <c r="W398" s="32"/>
      <c r="X398" s="32"/>
      <c r="Y398" s="32"/>
      <c r="Z398" s="32"/>
    </row>
    <row r="399" spans="1:26" ht="15" customHeight="1" x14ac:dyDescent="0.3">
      <c r="A399" s="45">
        <v>389</v>
      </c>
      <c r="B399" s="46"/>
      <c r="C399" s="46"/>
      <c r="D399" s="63"/>
      <c r="E399" s="78"/>
      <c r="F399" s="99"/>
      <c r="G399" s="79"/>
      <c r="H399" s="71"/>
      <c r="I399" s="51"/>
      <c r="J399" s="51"/>
      <c r="K399" s="52"/>
      <c r="L399" s="53"/>
      <c r="M399" s="54"/>
      <c r="N399" s="55" t="str">
        <f t="shared" si="7"/>
        <v/>
      </c>
      <c r="O399" s="56">
        <f t="shared" si="8"/>
        <v>0</v>
      </c>
      <c r="P399" s="44"/>
      <c r="Q399" s="66"/>
      <c r="R399" s="32"/>
      <c r="S399" s="32"/>
      <c r="T399" s="32"/>
      <c r="U399" s="32"/>
      <c r="V399" s="32"/>
      <c r="W399" s="32"/>
      <c r="X399" s="32"/>
      <c r="Y399" s="32"/>
      <c r="Z399" s="32"/>
    </row>
    <row r="400" spans="1:26" ht="15" customHeight="1" x14ac:dyDescent="0.3">
      <c r="A400" s="45">
        <v>390</v>
      </c>
      <c r="B400" s="46"/>
      <c r="C400" s="46"/>
      <c r="D400" s="63"/>
      <c r="E400" s="78"/>
      <c r="F400" s="99"/>
      <c r="G400" s="79"/>
      <c r="H400" s="71"/>
      <c r="I400" s="51"/>
      <c r="J400" s="51"/>
      <c r="K400" s="52"/>
      <c r="L400" s="53"/>
      <c r="M400" s="54"/>
      <c r="N400" s="55" t="str">
        <f t="shared" si="7"/>
        <v/>
      </c>
      <c r="O400" s="56">
        <f t="shared" si="8"/>
        <v>0</v>
      </c>
      <c r="P400" s="44"/>
      <c r="Q400" s="66"/>
      <c r="R400" s="32"/>
      <c r="S400" s="32"/>
      <c r="T400" s="32"/>
      <c r="U400" s="32"/>
      <c r="V400" s="32"/>
      <c r="W400" s="32"/>
      <c r="X400" s="32"/>
      <c r="Y400" s="32"/>
      <c r="Z400" s="32"/>
    </row>
    <row r="401" spans="1:26" ht="15" customHeight="1" x14ac:dyDescent="0.3">
      <c r="A401" s="45">
        <v>391</v>
      </c>
      <c r="B401" s="46"/>
      <c r="C401" s="46"/>
      <c r="D401" s="63"/>
      <c r="E401" s="78"/>
      <c r="F401" s="99"/>
      <c r="G401" s="79"/>
      <c r="H401" s="71"/>
      <c r="I401" s="51"/>
      <c r="J401" s="51"/>
      <c r="K401" s="52"/>
      <c r="L401" s="53"/>
      <c r="M401" s="54"/>
      <c r="N401" s="55" t="str">
        <f t="shared" si="7"/>
        <v/>
      </c>
      <c r="O401" s="56">
        <f t="shared" si="8"/>
        <v>0</v>
      </c>
      <c r="P401" s="44"/>
      <c r="Q401" s="66"/>
      <c r="R401" s="32"/>
      <c r="S401" s="32"/>
      <c r="T401" s="32"/>
      <c r="U401" s="32"/>
      <c r="V401" s="32"/>
      <c r="W401" s="32"/>
      <c r="X401" s="32"/>
      <c r="Y401" s="32"/>
      <c r="Z401" s="32"/>
    </row>
    <row r="402" spans="1:26" ht="15" customHeight="1" x14ac:dyDescent="0.3">
      <c r="A402" s="45">
        <v>392</v>
      </c>
      <c r="B402" s="46"/>
      <c r="C402" s="46"/>
      <c r="D402" s="63"/>
      <c r="E402" s="78"/>
      <c r="F402" s="99"/>
      <c r="G402" s="79"/>
      <c r="H402" s="71"/>
      <c r="I402" s="51"/>
      <c r="J402" s="51"/>
      <c r="K402" s="52"/>
      <c r="L402" s="53"/>
      <c r="M402" s="54"/>
      <c r="N402" s="55" t="str">
        <f t="shared" si="7"/>
        <v/>
      </c>
      <c r="O402" s="56">
        <f t="shared" si="8"/>
        <v>0</v>
      </c>
      <c r="P402" s="44"/>
      <c r="Q402" s="66"/>
      <c r="R402" s="32"/>
      <c r="S402" s="32"/>
      <c r="T402" s="32"/>
      <c r="U402" s="32"/>
      <c r="V402" s="32"/>
      <c r="W402" s="32"/>
      <c r="X402" s="32"/>
      <c r="Y402" s="32"/>
      <c r="Z402" s="32"/>
    </row>
    <row r="403" spans="1:26" ht="15" customHeight="1" x14ac:dyDescent="0.3">
      <c r="A403" s="45">
        <v>393</v>
      </c>
      <c r="B403" s="46"/>
      <c r="C403" s="46"/>
      <c r="D403" s="63"/>
      <c r="E403" s="78"/>
      <c r="F403" s="99"/>
      <c r="G403" s="79"/>
      <c r="H403" s="71"/>
      <c r="I403" s="51"/>
      <c r="J403" s="51"/>
      <c r="K403" s="52"/>
      <c r="L403" s="53"/>
      <c r="M403" s="54"/>
      <c r="N403" s="55" t="str">
        <f t="shared" si="7"/>
        <v/>
      </c>
      <c r="O403" s="56">
        <f t="shared" si="8"/>
        <v>0</v>
      </c>
      <c r="P403" s="44"/>
      <c r="Q403" s="66"/>
      <c r="R403" s="32"/>
      <c r="S403" s="32"/>
      <c r="T403" s="32"/>
      <c r="U403" s="32"/>
      <c r="V403" s="32"/>
      <c r="W403" s="32"/>
      <c r="X403" s="32"/>
      <c r="Y403" s="32"/>
      <c r="Z403" s="32"/>
    </row>
    <row r="404" spans="1:26" ht="15" customHeight="1" x14ac:dyDescent="0.3">
      <c r="A404" s="45">
        <v>394</v>
      </c>
      <c r="B404" s="46"/>
      <c r="C404" s="46"/>
      <c r="D404" s="63"/>
      <c r="E404" s="78"/>
      <c r="F404" s="99"/>
      <c r="G404" s="79"/>
      <c r="H404" s="71"/>
      <c r="I404" s="51"/>
      <c r="J404" s="51"/>
      <c r="K404" s="52"/>
      <c r="L404" s="53"/>
      <c r="M404" s="54"/>
      <c r="N404" s="55" t="str">
        <f t="shared" si="7"/>
        <v/>
      </c>
      <c r="O404" s="56">
        <f t="shared" si="8"/>
        <v>0</v>
      </c>
      <c r="P404" s="44"/>
      <c r="Q404" s="66"/>
      <c r="R404" s="32"/>
      <c r="S404" s="32"/>
      <c r="T404" s="32"/>
      <c r="U404" s="32"/>
      <c r="V404" s="32"/>
      <c r="W404" s="32"/>
      <c r="X404" s="32"/>
      <c r="Y404" s="32"/>
      <c r="Z404" s="32"/>
    </row>
    <row r="405" spans="1:26" ht="15" customHeight="1" x14ac:dyDescent="0.3">
      <c r="A405" s="45">
        <v>395</v>
      </c>
      <c r="B405" s="46"/>
      <c r="C405" s="46"/>
      <c r="D405" s="63"/>
      <c r="E405" s="78"/>
      <c r="F405" s="99"/>
      <c r="G405" s="79"/>
      <c r="H405" s="71"/>
      <c r="I405" s="51"/>
      <c r="J405" s="51"/>
      <c r="K405" s="52"/>
      <c r="L405" s="53"/>
      <c r="M405" s="54"/>
      <c r="N405" s="55" t="str">
        <f t="shared" si="7"/>
        <v/>
      </c>
      <c r="O405" s="56">
        <f t="shared" si="8"/>
        <v>0</v>
      </c>
      <c r="P405" s="44"/>
      <c r="Q405" s="66"/>
      <c r="R405" s="32"/>
      <c r="S405" s="32"/>
      <c r="T405" s="32"/>
      <c r="U405" s="32"/>
      <c r="V405" s="32"/>
      <c r="W405" s="32"/>
      <c r="X405" s="32"/>
      <c r="Y405" s="32"/>
      <c r="Z405" s="32"/>
    </row>
    <row r="406" spans="1:26" ht="15" customHeight="1" x14ac:dyDescent="0.3">
      <c r="A406" s="45">
        <v>396</v>
      </c>
      <c r="B406" s="46"/>
      <c r="C406" s="46"/>
      <c r="D406" s="63"/>
      <c r="E406" s="78"/>
      <c r="F406" s="99"/>
      <c r="G406" s="79"/>
      <c r="H406" s="71"/>
      <c r="I406" s="51"/>
      <c r="J406" s="51"/>
      <c r="K406" s="52"/>
      <c r="L406" s="53"/>
      <c r="M406" s="54"/>
      <c r="N406" s="55" t="str">
        <f t="shared" si="7"/>
        <v/>
      </c>
      <c r="O406" s="56">
        <f t="shared" si="8"/>
        <v>0</v>
      </c>
      <c r="P406" s="44"/>
      <c r="Q406" s="66"/>
      <c r="R406" s="32"/>
      <c r="S406" s="32"/>
      <c r="T406" s="32"/>
      <c r="U406" s="32"/>
      <c r="V406" s="32"/>
      <c r="W406" s="32"/>
      <c r="X406" s="32"/>
      <c r="Y406" s="32"/>
      <c r="Z406" s="32"/>
    </row>
    <row r="407" spans="1:26" ht="15" customHeight="1" x14ac:dyDescent="0.3">
      <c r="A407" s="45">
        <v>397</v>
      </c>
      <c r="B407" s="46"/>
      <c r="C407" s="46"/>
      <c r="D407" s="63"/>
      <c r="E407" s="78"/>
      <c r="F407" s="99"/>
      <c r="G407" s="79"/>
      <c r="H407" s="71"/>
      <c r="I407" s="51"/>
      <c r="J407" s="51"/>
      <c r="K407" s="52"/>
      <c r="L407" s="53"/>
      <c r="M407" s="54"/>
      <c r="N407" s="55" t="str">
        <f t="shared" si="7"/>
        <v/>
      </c>
      <c r="O407" s="56">
        <f t="shared" si="8"/>
        <v>0</v>
      </c>
      <c r="P407" s="44"/>
      <c r="Q407" s="66"/>
      <c r="R407" s="32"/>
      <c r="S407" s="32"/>
      <c r="T407" s="32"/>
      <c r="U407" s="32"/>
      <c r="V407" s="32"/>
      <c r="W407" s="32"/>
      <c r="X407" s="32"/>
      <c r="Y407" s="32"/>
      <c r="Z407" s="32"/>
    </row>
    <row r="408" spans="1:26" ht="15" customHeight="1" x14ac:dyDescent="0.3">
      <c r="A408" s="45">
        <v>398</v>
      </c>
      <c r="B408" s="46"/>
      <c r="C408" s="46"/>
      <c r="D408" s="63"/>
      <c r="E408" s="78"/>
      <c r="F408" s="99"/>
      <c r="G408" s="79"/>
      <c r="H408" s="71"/>
      <c r="I408" s="51"/>
      <c r="J408" s="51"/>
      <c r="K408" s="52"/>
      <c r="L408" s="53"/>
      <c r="M408" s="54"/>
      <c r="N408" s="55" t="str">
        <f t="shared" si="7"/>
        <v/>
      </c>
      <c r="O408" s="56">
        <f t="shared" si="8"/>
        <v>0</v>
      </c>
      <c r="P408" s="44"/>
      <c r="Q408" s="66"/>
      <c r="R408" s="32"/>
      <c r="S408" s="32"/>
      <c r="T408" s="32"/>
      <c r="U408" s="32"/>
      <c r="V408" s="32"/>
      <c r="W408" s="32"/>
      <c r="X408" s="32"/>
      <c r="Y408" s="32"/>
      <c r="Z408" s="32"/>
    </row>
    <row r="409" spans="1:26" ht="15" customHeight="1" x14ac:dyDescent="0.3">
      <c r="A409" s="45">
        <v>399</v>
      </c>
      <c r="B409" s="46"/>
      <c r="C409" s="46"/>
      <c r="D409" s="63"/>
      <c r="E409" s="78"/>
      <c r="F409" s="99"/>
      <c r="G409" s="79"/>
      <c r="H409" s="71"/>
      <c r="I409" s="51"/>
      <c r="J409" s="51"/>
      <c r="K409" s="52"/>
      <c r="L409" s="53"/>
      <c r="M409" s="54"/>
      <c r="N409" s="55" t="str">
        <f t="shared" si="7"/>
        <v/>
      </c>
      <c r="O409" s="56">
        <f t="shared" si="8"/>
        <v>0</v>
      </c>
      <c r="P409" s="44"/>
      <c r="Q409" s="66"/>
      <c r="R409" s="32"/>
      <c r="S409" s="32"/>
      <c r="T409" s="32"/>
      <c r="U409" s="32"/>
      <c r="V409" s="32"/>
      <c r="W409" s="32"/>
      <c r="X409" s="32"/>
      <c r="Y409" s="32"/>
      <c r="Z409" s="32"/>
    </row>
    <row r="410" spans="1:26" ht="15" customHeight="1" x14ac:dyDescent="0.3">
      <c r="A410" s="45">
        <v>400</v>
      </c>
      <c r="B410" s="46"/>
      <c r="C410" s="46"/>
      <c r="D410" s="63"/>
      <c r="E410" s="78"/>
      <c r="F410" s="99"/>
      <c r="G410" s="79"/>
      <c r="H410" s="71"/>
      <c r="I410" s="51"/>
      <c r="J410" s="51"/>
      <c r="K410" s="52"/>
      <c r="L410" s="53"/>
      <c r="M410" s="54"/>
      <c r="N410" s="55" t="str">
        <f t="shared" si="7"/>
        <v/>
      </c>
      <c r="O410" s="56">
        <f t="shared" si="8"/>
        <v>0</v>
      </c>
      <c r="P410" s="44"/>
      <c r="Q410" s="66"/>
      <c r="R410" s="32"/>
      <c r="S410" s="32"/>
      <c r="T410" s="32"/>
      <c r="U410" s="32"/>
      <c r="V410" s="32"/>
      <c r="W410" s="32"/>
      <c r="X410" s="32"/>
      <c r="Y410" s="32"/>
      <c r="Z410" s="32"/>
    </row>
    <row r="411" spans="1:26" ht="15" customHeight="1" x14ac:dyDescent="0.3">
      <c r="A411" s="45">
        <v>401</v>
      </c>
      <c r="B411" s="46"/>
      <c r="C411" s="46"/>
      <c r="D411" s="63"/>
      <c r="E411" s="78"/>
      <c r="F411" s="99"/>
      <c r="G411" s="79"/>
      <c r="H411" s="71"/>
      <c r="I411" s="51"/>
      <c r="J411" s="51"/>
      <c r="K411" s="52"/>
      <c r="L411" s="53"/>
      <c r="M411" s="54"/>
      <c r="N411" s="55" t="str">
        <f t="shared" si="7"/>
        <v/>
      </c>
      <c r="O411" s="56">
        <f t="shared" si="8"/>
        <v>0</v>
      </c>
      <c r="P411" s="44"/>
      <c r="Q411" s="66"/>
      <c r="R411" s="32"/>
      <c r="S411" s="32"/>
      <c r="T411" s="32"/>
      <c r="U411" s="32"/>
      <c r="V411" s="32"/>
      <c r="W411" s="32"/>
      <c r="X411" s="32"/>
      <c r="Y411" s="32"/>
      <c r="Z411" s="32"/>
    </row>
    <row r="412" spans="1:26" ht="15" customHeight="1" x14ac:dyDescent="0.3">
      <c r="A412" s="45">
        <v>402</v>
      </c>
      <c r="B412" s="46"/>
      <c r="C412" s="46"/>
      <c r="D412" s="63"/>
      <c r="E412" s="78"/>
      <c r="F412" s="99"/>
      <c r="G412" s="79"/>
      <c r="H412" s="71"/>
      <c r="I412" s="51"/>
      <c r="J412" s="51"/>
      <c r="K412" s="52"/>
      <c r="L412" s="53"/>
      <c r="M412" s="54"/>
      <c r="N412" s="55" t="str">
        <f t="shared" si="7"/>
        <v/>
      </c>
      <c r="O412" s="56">
        <f t="shared" si="8"/>
        <v>0</v>
      </c>
      <c r="P412" s="44"/>
      <c r="Q412" s="66"/>
      <c r="R412" s="32"/>
      <c r="S412" s="32"/>
      <c r="T412" s="32"/>
      <c r="U412" s="32"/>
      <c r="V412" s="32"/>
      <c r="W412" s="32"/>
      <c r="X412" s="32"/>
      <c r="Y412" s="32"/>
      <c r="Z412" s="32"/>
    </row>
    <row r="413" spans="1:26" ht="15" customHeight="1" x14ac:dyDescent="0.3">
      <c r="A413" s="45">
        <v>403</v>
      </c>
      <c r="B413" s="46"/>
      <c r="C413" s="46"/>
      <c r="D413" s="63"/>
      <c r="E413" s="78"/>
      <c r="F413" s="99"/>
      <c r="G413" s="79"/>
      <c r="H413" s="71"/>
      <c r="I413" s="51"/>
      <c r="J413" s="51"/>
      <c r="K413" s="52"/>
      <c r="L413" s="53"/>
      <c r="M413" s="54"/>
      <c r="N413" s="55" t="str">
        <f t="shared" si="7"/>
        <v/>
      </c>
      <c r="O413" s="56">
        <f t="shared" si="8"/>
        <v>0</v>
      </c>
      <c r="P413" s="44"/>
      <c r="Q413" s="66"/>
      <c r="R413" s="32"/>
      <c r="S413" s="32"/>
      <c r="T413" s="32"/>
      <c r="U413" s="32"/>
      <c r="V413" s="32"/>
      <c r="W413" s="32"/>
      <c r="X413" s="32"/>
      <c r="Y413" s="32"/>
      <c r="Z413" s="32"/>
    </row>
    <row r="414" spans="1:26" ht="15" customHeight="1" x14ac:dyDescent="0.3">
      <c r="A414" s="45">
        <v>404</v>
      </c>
      <c r="B414" s="46"/>
      <c r="C414" s="46"/>
      <c r="D414" s="63"/>
      <c r="E414" s="78"/>
      <c r="F414" s="99"/>
      <c r="G414" s="79"/>
      <c r="H414" s="71"/>
      <c r="I414" s="51"/>
      <c r="J414" s="51"/>
      <c r="K414" s="52"/>
      <c r="L414" s="53"/>
      <c r="M414" s="54"/>
      <c r="N414" s="55" t="str">
        <f t="shared" si="7"/>
        <v/>
      </c>
      <c r="O414" s="56">
        <f t="shared" si="8"/>
        <v>0</v>
      </c>
      <c r="P414" s="44"/>
      <c r="Q414" s="66"/>
      <c r="R414" s="32"/>
      <c r="S414" s="32"/>
      <c r="T414" s="32"/>
      <c r="U414" s="32"/>
      <c r="V414" s="32"/>
      <c r="W414" s="32"/>
      <c r="X414" s="32"/>
      <c r="Y414" s="32"/>
      <c r="Z414" s="32"/>
    </row>
    <row r="415" spans="1:26" ht="15" customHeight="1" x14ac:dyDescent="0.3">
      <c r="A415" s="45">
        <v>405</v>
      </c>
      <c r="B415" s="46"/>
      <c r="C415" s="46"/>
      <c r="D415" s="63"/>
      <c r="E415" s="78"/>
      <c r="F415" s="99"/>
      <c r="G415" s="79"/>
      <c r="H415" s="71"/>
      <c r="I415" s="51"/>
      <c r="J415" s="51"/>
      <c r="K415" s="52"/>
      <c r="L415" s="53"/>
      <c r="M415" s="54"/>
      <c r="N415" s="55" t="str">
        <f t="shared" si="7"/>
        <v/>
      </c>
      <c r="O415" s="56">
        <f t="shared" si="8"/>
        <v>0</v>
      </c>
      <c r="P415" s="44"/>
      <c r="Q415" s="66"/>
      <c r="R415" s="32"/>
      <c r="S415" s="32"/>
      <c r="T415" s="32"/>
      <c r="U415" s="32"/>
      <c r="V415" s="32"/>
      <c r="W415" s="32"/>
      <c r="X415" s="32"/>
      <c r="Y415" s="32"/>
      <c r="Z415" s="32"/>
    </row>
    <row r="416" spans="1:26" ht="15" customHeight="1" x14ac:dyDescent="0.3">
      <c r="A416" s="45">
        <v>406</v>
      </c>
      <c r="B416" s="46"/>
      <c r="C416" s="46"/>
      <c r="D416" s="63"/>
      <c r="E416" s="78"/>
      <c r="F416" s="99"/>
      <c r="G416" s="79"/>
      <c r="H416" s="71"/>
      <c r="I416" s="51"/>
      <c r="J416" s="51"/>
      <c r="K416" s="52"/>
      <c r="L416" s="53"/>
      <c r="M416" s="54"/>
      <c r="N416" s="55" t="str">
        <f t="shared" si="7"/>
        <v/>
      </c>
      <c r="O416" s="56">
        <f t="shared" si="8"/>
        <v>0</v>
      </c>
      <c r="P416" s="44"/>
      <c r="Q416" s="66"/>
      <c r="R416" s="32"/>
      <c r="S416" s="32"/>
      <c r="T416" s="32"/>
      <c r="U416" s="32"/>
      <c r="V416" s="32"/>
      <c r="W416" s="32"/>
      <c r="X416" s="32"/>
      <c r="Y416" s="32"/>
      <c r="Z416" s="32"/>
    </row>
    <row r="417" spans="1:26" ht="15" customHeight="1" x14ac:dyDescent="0.3">
      <c r="A417" s="45">
        <v>407</v>
      </c>
      <c r="B417" s="46"/>
      <c r="C417" s="46"/>
      <c r="D417" s="63"/>
      <c r="E417" s="78"/>
      <c r="F417" s="99"/>
      <c r="G417" s="79"/>
      <c r="H417" s="71"/>
      <c r="I417" s="51"/>
      <c r="J417" s="51"/>
      <c r="K417" s="52"/>
      <c r="L417" s="53"/>
      <c r="M417" s="54"/>
      <c r="N417" s="55" t="str">
        <f t="shared" si="7"/>
        <v/>
      </c>
      <c r="O417" s="56">
        <f t="shared" si="8"/>
        <v>0</v>
      </c>
      <c r="P417" s="44"/>
      <c r="Q417" s="66"/>
      <c r="R417" s="32"/>
      <c r="S417" s="32"/>
      <c r="T417" s="32"/>
      <c r="U417" s="32"/>
      <c r="V417" s="32"/>
      <c r="W417" s="32"/>
      <c r="X417" s="32"/>
      <c r="Y417" s="32"/>
      <c r="Z417" s="32"/>
    </row>
    <row r="418" spans="1:26" ht="15" customHeight="1" x14ac:dyDescent="0.3">
      <c r="A418" s="45">
        <v>408</v>
      </c>
      <c r="B418" s="46"/>
      <c r="C418" s="46"/>
      <c r="D418" s="63"/>
      <c r="E418" s="78"/>
      <c r="F418" s="99"/>
      <c r="G418" s="79"/>
      <c r="H418" s="71"/>
      <c r="I418" s="51"/>
      <c r="J418" s="51"/>
      <c r="K418" s="52"/>
      <c r="L418" s="53"/>
      <c r="M418" s="54"/>
      <c r="N418" s="55" t="str">
        <f t="shared" si="7"/>
        <v/>
      </c>
      <c r="O418" s="56">
        <f t="shared" si="8"/>
        <v>0</v>
      </c>
      <c r="P418" s="44"/>
      <c r="Q418" s="66"/>
      <c r="R418" s="32"/>
      <c r="S418" s="32"/>
      <c r="T418" s="32"/>
      <c r="U418" s="32"/>
      <c r="V418" s="32"/>
      <c r="W418" s="32"/>
      <c r="X418" s="32"/>
      <c r="Y418" s="32"/>
      <c r="Z418" s="32"/>
    </row>
    <row r="419" spans="1:26" ht="15" customHeight="1" x14ac:dyDescent="0.3">
      <c r="A419" s="45">
        <v>409</v>
      </c>
      <c r="B419" s="46"/>
      <c r="C419" s="46"/>
      <c r="D419" s="63"/>
      <c r="E419" s="78"/>
      <c r="F419" s="99"/>
      <c r="G419" s="79"/>
      <c r="H419" s="71"/>
      <c r="I419" s="51"/>
      <c r="J419" s="51"/>
      <c r="K419" s="52"/>
      <c r="L419" s="53"/>
      <c r="M419" s="54"/>
      <c r="N419" s="55" t="str">
        <f t="shared" si="7"/>
        <v/>
      </c>
      <c r="O419" s="56">
        <f t="shared" si="8"/>
        <v>0</v>
      </c>
      <c r="P419" s="44"/>
      <c r="Q419" s="66"/>
      <c r="R419" s="32"/>
      <c r="S419" s="32"/>
      <c r="T419" s="32"/>
      <c r="U419" s="32"/>
      <c r="V419" s="32"/>
      <c r="W419" s="32"/>
      <c r="X419" s="32"/>
      <c r="Y419" s="32"/>
      <c r="Z419" s="32"/>
    </row>
    <row r="420" spans="1:26" ht="15" customHeight="1" x14ac:dyDescent="0.3">
      <c r="A420" s="45">
        <v>410</v>
      </c>
      <c r="B420" s="46"/>
      <c r="C420" s="46"/>
      <c r="D420" s="63"/>
      <c r="E420" s="78"/>
      <c r="F420" s="99"/>
      <c r="G420" s="79"/>
      <c r="H420" s="71"/>
      <c r="I420" s="51"/>
      <c r="J420" s="51"/>
      <c r="K420" s="52"/>
      <c r="L420" s="53"/>
      <c r="M420" s="54"/>
      <c r="N420" s="55" t="str">
        <f t="shared" si="7"/>
        <v/>
      </c>
      <c r="O420" s="56">
        <f t="shared" si="8"/>
        <v>0</v>
      </c>
      <c r="P420" s="44"/>
      <c r="Q420" s="66"/>
      <c r="R420" s="32"/>
      <c r="S420" s="32"/>
      <c r="T420" s="32"/>
      <c r="U420" s="32"/>
      <c r="V420" s="32"/>
      <c r="W420" s="32"/>
      <c r="X420" s="32"/>
      <c r="Y420" s="32"/>
      <c r="Z420" s="32"/>
    </row>
    <row r="421" spans="1:26" ht="15" customHeight="1" x14ac:dyDescent="0.3">
      <c r="A421" s="45">
        <v>411</v>
      </c>
      <c r="B421" s="46"/>
      <c r="C421" s="46"/>
      <c r="D421" s="63"/>
      <c r="E421" s="78"/>
      <c r="F421" s="99"/>
      <c r="G421" s="79"/>
      <c r="H421" s="71"/>
      <c r="I421" s="51"/>
      <c r="J421" s="51"/>
      <c r="K421" s="52"/>
      <c r="L421" s="53"/>
      <c r="M421" s="54"/>
      <c r="N421" s="55" t="str">
        <f t="shared" si="7"/>
        <v/>
      </c>
      <c r="O421" s="56">
        <f t="shared" si="8"/>
        <v>0</v>
      </c>
      <c r="P421" s="44"/>
      <c r="Q421" s="66"/>
      <c r="R421" s="32"/>
      <c r="S421" s="32"/>
      <c r="T421" s="32"/>
      <c r="U421" s="32"/>
      <c r="V421" s="32"/>
      <c r="W421" s="32"/>
      <c r="X421" s="32"/>
      <c r="Y421" s="32"/>
      <c r="Z421" s="32"/>
    </row>
    <row r="422" spans="1:26" ht="15" customHeight="1" x14ac:dyDescent="0.3">
      <c r="A422" s="45">
        <v>412</v>
      </c>
      <c r="B422" s="46"/>
      <c r="C422" s="46"/>
      <c r="D422" s="63"/>
      <c r="E422" s="78"/>
      <c r="F422" s="99"/>
      <c r="G422" s="79"/>
      <c r="H422" s="71"/>
      <c r="I422" s="51"/>
      <c r="J422" s="51"/>
      <c r="K422" s="52"/>
      <c r="L422" s="53"/>
      <c r="M422" s="54"/>
      <c r="N422" s="55" t="str">
        <f t="shared" si="7"/>
        <v/>
      </c>
      <c r="O422" s="56">
        <f t="shared" si="8"/>
        <v>0</v>
      </c>
      <c r="P422" s="44"/>
      <c r="Q422" s="66"/>
      <c r="R422" s="32"/>
      <c r="S422" s="32"/>
      <c r="T422" s="32"/>
      <c r="U422" s="32"/>
      <c r="V422" s="32"/>
      <c r="W422" s="32"/>
      <c r="X422" s="32"/>
      <c r="Y422" s="32"/>
      <c r="Z422" s="32"/>
    </row>
    <row r="423" spans="1:26" ht="15" customHeight="1" x14ac:dyDescent="0.3">
      <c r="A423" s="45">
        <v>413</v>
      </c>
      <c r="B423" s="46"/>
      <c r="C423" s="46"/>
      <c r="D423" s="63"/>
      <c r="E423" s="78"/>
      <c r="F423" s="99"/>
      <c r="G423" s="79"/>
      <c r="H423" s="71"/>
      <c r="I423" s="51"/>
      <c r="J423" s="51"/>
      <c r="K423" s="52"/>
      <c r="L423" s="53"/>
      <c r="M423" s="54"/>
      <c r="N423" s="55" t="str">
        <f t="shared" si="7"/>
        <v/>
      </c>
      <c r="O423" s="56">
        <f t="shared" si="8"/>
        <v>0</v>
      </c>
      <c r="P423" s="44"/>
      <c r="Q423" s="66"/>
      <c r="R423" s="32"/>
      <c r="S423" s="32"/>
      <c r="T423" s="32"/>
      <c r="U423" s="32"/>
      <c r="V423" s="32"/>
      <c r="W423" s="32"/>
      <c r="X423" s="32"/>
      <c r="Y423" s="32"/>
      <c r="Z423" s="32"/>
    </row>
    <row r="424" spans="1:26" ht="15" customHeight="1" x14ac:dyDescent="0.3">
      <c r="A424" s="45">
        <v>414</v>
      </c>
      <c r="B424" s="46"/>
      <c r="C424" s="46"/>
      <c r="D424" s="63"/>
      <c r="E424" s="78"/>
      <c r="F424" s="99"/>
      <c r="G424" s="79"/>
      <c r="H424" s="71"/>
      <c r="I424" s="51"/>
      <c r="J424" s="51"/>
      <c r="K424" s="52"/>
      <c r="L424" s="53"/>
      <c r="M424" s="54"/>
      <c r="N424" s="55" t="str">
        <f t="shared" si="7"/>
        <v/>
      </c>
      <c r="O424" s="56">
        <f t="shared" si="8"/>
        <v>0</v>
      </c>
      <c r="P424" s="44"/>
      <c r="Q424" s="66"/>
      <c r="R424" s="32"/>
      <c r="S424" s="32"/>
      <c r="T424" s="32"/>
      <c r="U424" s="32"/>
      <c r="V424" s="32"/>
      <c r="W424" s="32"/>
      <c r="X424" s="32"/>
      <c r="Y424" s="32"/>
      <c r="Z424" s="32"/>
    </row>
    <row r="425" spans="1:26" ht="15" customHeight="1" x14ac:dyDescent="0.3">
      <c r="A425" s="45">
        <v>415</v>
      </c>
      <c r="B425" s="46"/>
      <c r="C425" s="46"/>
      <c r="D425" s="63"/>
      <c r="E425" s="78"/>
      <c r="F425" s="99"/>
      <c r="G425" s="79"/>
      <c r="H425" s="71"/>
      <c r="I425" s="51"/>
      <c r="J425" s="51"/>
      <c r="K425" s="52"/>
      <c r="L425" s="53"/>
      <c r="M425" s="54"/>
      <c r="N425" s="55" t="str">
        <f t="shared" si="7"/>
        <v/>
      </c>
      <c r="O425" s="56">
        <f t="shared" si="8"/>
        <v>0</v>
      </c>
      <c r="P425" s="44"/>
      <c r="Q425" s="66"/>
      <c r="R425" s="32"/>
      <c r="S425" s="32"/>
      <c r="T425" s="32"/>
      <c r="U425" s="32"/>
      <c r="V425" s="32"/>
      <c r="W425" s="32"/>
      <c r="X425" s="32"/>
      <c r="Y425" s="32"/>
      <c r="Z425" s="32"/>
    </row>
    <row r="426" spans="1:26" ht="15" customHeight="1" x14ac:dyDescent="0.3">
      <c r="A426" s="45">
        <v>416</v>
      </c>
      <c r="B426" s="46"/>
      <c r="C426" s="46"/>
      <c r="D426" s="63"/>
      <c r="E426" s="78"/>
      <c r="F426" s="99"/>
      <c r="G426" s="79"/>
      <c r="H426" s="71"/>
      <c r="I426" s="51"/>
      <c r="J426" s="51"/>
      <c r="K426" s="52"/>
      <c r="L426" s="53"/>
      <c r="M426" s="54"/>
      <c r="N426" s="55" t="str">
        <f t="shared" si="7"/>
        <v/>
      </c>
      <c r="O426" s="56">
        <f t="shared" si="8"/>
        <v>0</v>
      </c>
      <c r="P426" s="44"/>
      <c r="Q426" s="66"/>
      <c r="R426" s="32"/>
      <c r="S426" s="32"/>
      <c r="T426" s="32"/>
      <c r="U426" s="32"/>
      <c r="V426" s="32"/>
      <c r="W426" s="32"/>
      <c r="X426" s="32"/>
      <c r="Y426" s="32"/>
      <c r="Z426" s="32"/>
    </row>
    <row r="427" spans="1:26" ht="15" customHeight="1" x14ac:dyDescent="0.3">
      <c r="A427" s="45">
        <v>417</v>
      </c>
      <c r="B427" s="46"/>
      <c r="C427" s="46"/>
      <c r="D427" s="63"/>
      <c r="E427" s="78"/>
      <c r="F427" s="99"/>
      <c r="G427" s="79"/>
      <c r="H427" s="71"/>
      <c r="I427" s="51"/>
      <c r="J427" s="51"/>
      <c r="K427" s="52"/>
      <c r="L427" s="53"/>
      <c r="M427" s="54"/>
      <c r="N427" s="55" t="str">
        <f t="shared" si="7"/>
        <v/>
      </c>
      <c r="O427" s="56">
        <f t="shared" si="8"/>
        <v>0</v>
      </c>
      <c r="P427" s="44"/>
      <c r="Q427" s="66"/>
      <c r="R427" s="32"/>
      <c r="S427" s="32"/>
      <c r="T427" s="32"/>
      <c r="U427" s="32"/>
      <c r="V427" s="32"/>
      <c r="W427" s="32"/>
      <c r="X427" s="32"/>
      <c r="Y427" s="32"/>
      <c r="Z427" s="32"/>
    </row>
    <row r="428" spans="1:26" ht="15" customHeight="1" x14ac:dyDescent="0.3">
      <c r="A428" s="45">
        <v>418</v>
      </c>
      <c r="B428" s="46"/>
      <c r="C428" s="46"/>
      <c r="D428" s="63"/>
      <c r="E428" s="78"/>
      <c r="F428" s="99"/>
      <c r="G428" s="79"/>
      <c r="H428" s="71"/>
      <c r="I428" s="51"/>
      <c r="J428" s="51"/>
      <c r="K428" s="52"/>
      <c r="L428" s="53"/>
      <c r="M428" s="54"/>
      <c r="N428" s="55" t="str">
        <f t="shared" si="7"/>
        <v/>
      </c>
      <c r="O428" s="56">
        <f t="shared" si="8"/>
        <v>0</v>
      </c>
      <c r="P428" s="44"/>
      <c r="Q428" s="66"/>
      <c r="R428" s="32"/>
      <c r="S428" s="32"/>
      <c r="T428" s="32"/>
      <c r="U428" s="32"/>
      <c r="V428" s="32"/>
      <c r="W428" s="32"/>
      <c r="X428" s="32"/>
      <c r="Y428" s="32"/>
      <c r="Z428" s="32"/>
    </row>
    <row r="429" spans="1:26" ht="15" customHeight="1" x14ac:dyDescent="0.3">
      <c r="A429" s="45">
        <v>419</v>
      </c>
      <c r="B429" s="46"/>
      <c r="C429" s="46"/>
      <c r="D429" s="63"/>
      <c r="E429" s="78"/>
      <c r="F429" s="99"/>
      <c r="G429" s="79"/>
      <c r="H429" s="71"/>
      <c r="I429" s="51"/>
      <c r="J429" s="51"/>
      <c r="K429" s="52"/>
      <c r="L429" s="53"/>
      <c r="M429" s="54"/>
      <c r="N429" s="55" t="str">
        <f t="shared" si="7"/>
        <v/>
      </c>
      <c r="O429" s="56">
        <f t="shared" si="8"/>
        <v>0</v>
      </c>
      <c r="P429" s="44"/>
      <c r="Q429" s="66"/>
      <c r="R429" s="32"/>
      <c r="S429" s="32"/>
      <c r="T429" s="32"/>
      <c r="U429" s="32"/>
      <c r="V429" s="32"/>
      <c r="W429" s="32"/>
      <c r="X429" s="32"/>
      <c r="Y429" s="32"/>
      <c r="Z429" s="32"/>
    </row>
    <row r="430" spans="1:26" ht="15" customHeight="1" x14ac:dyDescent="0.3">
      <c r="A430" s="45">
        <v>420</v>
      </c>
      <c r="B430" s="46"/>
      <c r="C430" s="46"/>
      <c r="D430" s="63"/>
      <c r="E430" s="78"/>
      <c r="F430" s="99"/>
      <c r="G430" s="79"/>
      <c r="H430" s="71"/>
      <c r="I430" s="51"/>
      <c r="J430" s="51"/>
      <c r="K430" s="52"/>
      <c r="L430" s="53"/>
      <c r="M430" s="54"/>
      <c r="N430" s="55" t="str">
        <f t="shared" si="7"/>
        <v/>
      </c>
      <c r="O430" s="56">
        <f t="shared" si="8"/>
        <v>0</v>
      </c>
      <c r="P430" s="44"/>
      <c r="Q430" s="66"/>
      <c r="R430" s="32"/>
      <c r="S430" s="32"/>
      <c r="T430" s="32"/>
      <c r="U430" s="32"/>
      <c r="V430" s="32"/>
      <c r="W430" s="32"/>
      <c r="X430" s="32"/>
      <c r="Y430" s="32"/>
      <c r="Z430" s="32"/>
    </row>
    <row r="431" spans="1:26" ht="15" customHeight="1" x14ac:dyDescent="0.3">
      <c r="A431" s="45">
        <v>421</v>
      </c>
      <c r="B431" s="46"/>
      <c r="C431" s="46"/>
      <c r="D431" s="63"/>
      <c r="E431" s="78"/>
      <c r="F431" s="99"/>
      <c r="G431" s="79"/>
      <c r="H431" s="71"/>
      <c r="I431" s="51"/>
      <c r="J431" s="51"/>
      <c r="K431" s="52"/>
      <c r="L431" s="53"/>
      <c r="M431" s="54"/>
      <c r="N431" s="55" t="str">
        <f t="shared" si="7"/>
        <v/>
      </c>
      <c r="O431" s="56">
        <f t="shared" si="8"/>
        <v>0</v>
      </c>
      <c r="P431" s="44"/>
      <c r="Q431" s="66"/>
      <c r="R431" s="32"/>
      <c r="S431" s="32"/>
      <c r="T431" s="32"/>
      <c r="U431" s="32"/>
      <c r="V431" s="32"/>
      <c r="W431" s="32"/>
      <c r="X431" s="32"/>
      <c r="Y431" s="32"/>
      <c r="Z431" s="32"/>
    </row>
    <row r="432" spans="1:26" ht="15" customHeight="1" x14ac:dyDescent="0.3">
      <c r="A432" s="45">
        <v>422</v>
      </c>
      <c r="B432" s="46"/>
      <c r="C432" s="46"/>
      <c r="D432" s="63"/>
      <c r="E432" s="78"/>
      <c r="F432" s="99"/>
      <c r="G432" s="79"/>
      <c r="H432" s="71"/>
      <c r="I432" s="51"/>
      <c r="J432" s="51"/>
      <c r="K432" s="52"/>
      <c r="L432" s="53"/>
      <c r="M432" s="54"/>
      <c r="N432" s="55" t="str">
        <f t="shared" si="7"/>
        <v/>
      </c>
      <c r="O432" s="56">
        <f t="shared" si="8"/>
        <v>0</v>
      </c>
      <c r="P432" s="44"/>
      <c r="Q432" s="66"/>
      <c r="R432" s="32"/>
      <c r="S432" s="32"/>
      <c r="T432" s="32"/>
      <c r="U432" s="32"/>
      <c r="V432" s="32"/>
      <c r="W432" s="32"/>
      <c r="X432" s="32"/>
      <c r="Y432" s="32"/>
      <c r="Z432" s="32"/>
    </row>
    <row r="433" spans="1:26" ht="15" customHeight="1" x14ac:dyDescent="0.3">
      <c r="A433" s="45">
        <v>423</v>
      </c>
      <c r="B433" s="46"/>
      <c r="C433" s="46"/>
      <c r="D433" s="63"/>
      <c r="E433" s="78"/>
      <c r="F433" s="99"/>
      <c r="G433" s="79"/>
      <c r="H433" s="71"/>
      <c r="I433" s="51"/>
      <c r="J433" s="51"/>
      <c r="K433" s="52"/>
      <c r="L433" s="53"/>
      <c r="M433" s="54"/>
      <c r="N433" s="55" t="str">
        <f t="shared" si="7"/>
        <v/>
      </c>
      <c r="O433" s="56">
        <f t="shared" si="8"/>
        <v>0</v>
      </c>
      <c r="P433" s="44"/>
      <c r="Q433" s="66"/>
      <c r="R433" s="32"/>
      <c r="S433" s="32"/>
      <c r="T433" s="32"/>
      <c r="U433" s="32"/>
      <c r="V433" s="32"/>
      <c r="W433" s="32"/>
      <c r="X433" s="32"/>
      <c r="Y433" s="32"/>
      <c r="Z433" s="32"/>
    </row>
    <row r="434" spans="1:26" ht="15" customHeight="1" x14ac:dyDescent="0.3">
      <c r="A434" s="45">
        <v>424</v>
      </c>
      <c r="B434" s="46"/>
      <c r="C434" s="46"/>
      <c r="D434" s="63"/>
      <c r="E434" s="78"/>
      <c r="F434" s="99"/>
      <c r="G434" s="79"/>
      <c r="H434" s="71"/>
      <c r="I434" s="51"/>
      <c r="J434" s="51"/>
      <c r="K434" s="52"/>
      <c r="L434" s="53"/>
      <c r="M434" s="54"/>
      <c r="N434" s="55" t="str">
        <f t="shared" si="7"/>
        <v/>
      </c>
      <c r="O434" s="56">
        <f t="shared" si="8"/>
        <v>0</v>
      </c>
      <c r="P434" s="44"/>
      <c r="Q434" s="66"/>
      <c r="R434" s="32"/>
      <c r="S434" s="32"/>
      <c r="T434" s="32"/>
      <c r="U434" s="32"/>
      <c r="V434" s="32"/>
      <c r="W434" s="32"/>
      <c r="X434" s="32"/>
      <c r="Y434" s="32"/>
      <c r="Z434" s="32"/>
    </row>
    <row r="435" spans="1:26" ht="15" customHeight="1" x14ac:dyDescent="0.3">
      <c r="A435" s="45">
        <v>425</v>
      </c>
      <c r="B435" s="46"/>
      <c r="C435" s="46"/>
      <c r="D435" s="63"/>
      <c r="E435" s="78"/>
      <c r="F435" s="99"/>
      <c r="G435" s="79"/>
      <c r="H435" s="71"/>
      <c r="I435" s="51"/>
      <c r="J435" s="51"/>
      <c r="K435" s="52"/>
      <c r="L435" s="53"/>
      <c r="M435" s="54"/>
      <c r="N435" s="55" t="str">
        <f t="shared" si="7"/>
        <v/>
      </c>
      <c r="O435" s="56">
        <f t="shared" si="8"/>
        <v>0</v>
      </c>
      <c r="P435" s="44"/>
      <c r="Q435" s="66"/>
      <c r="R435" s="32"/>
      <c r="S435" s="32"/>
      <c r="T435" s="32"/>
      <c r="U435" s="32"/>
      <c r="V435" s="32"/>
      <c r="W435" s="32"/>
      <c r="X435" s="32"/>
      <c r="Y435" s="32"/>
      <c r="Z435" s="32"/>
    </row>
    <row r="436" spans="1:26" ht="15" customHeight="1" x14ac:dyDescent="0.3">
      <c r="A436" s="45">
        <v>426</v>
      </c>
      <c r="B436" s="46"/>
      <c r="C436" s="46"/>
      <c r="D436" s="63"/>
      <c r="E436" s="78"/>
      <c r="F436" s="99"/>
      <c r="G436" s="79"/>
      <c r="H436" s="71"/>
      <c r="I436" s="51"/>
      <c r="J436" s="51"/>
      <c r="K436" s="52"/>
      <c r="L436" s="53"/>
      <c r="M436" s="54"/>
      <c r="N436" s="55" t="str">
        <f t="shared" si="7"/>
        <v/>
      </c>
      <c r="O436" s="56">
        <f t="shared" si="8"/>
        <v>0</v>
      </c>
      <c r="P436" s="44"/>
      <c r="Q436" s="66"/>
      <c r="R436" s="32"/>
      <c r="S436" s="32"/>
      <c r="T436" s="32"/>
      <c r="U436" s="32"/>
      <c r="V436" s="32"/>
      <c r="W436" s="32"/>
      <c r="X436" s="32"/>
      <c r="Y436" s="32"/>
      <c r="Z436" s="32"/>
    </row>
    <row r="437" spans="1:26" ht="15" customHeight="1" x14ac:dyDescent="0.3">
      <c r="A437" s="45">
        <v>427</v>
      </c>
      <c r="B437" s="46"/>
      <c r="C437" s="46"/>
      <c r="D437" s="63"/>
      <c r="E437" s="78"/>
      <c r="F437" s="99"/>
      <c r="G437" s="79"/>
      <c r="H437" s="71"/>
      <c r="I437" s="51"/>
      <c r="J437" s="51"/>
      <c r="K437" s="52"/>
      <c r="L437" s="53"/>
      <c r="M437" s="54"/>
      <c r="N437" s="55" t="str">
        <f t="shared" si="7"/>
        <v/>
      </c>
      <c r="O437" s="56">
        <f t="shared" si="8"/>
        <v>0</v>
      </c>
      <c r="P437" s="44"/>
      <c r="Q437" s="66"/>
      <c r="R437" s="32"/>
      <c r="S437" s="32"/>
      <c r="T437" s="32"/>
      <c r="U437" s="32"/>
      <c r="V437" s="32"/>
      <c r="W437" s="32"/>
      <c r="X437" s="32"/>
      <c r="Y437" s="32"/>
      <c r="Z437" s="32"/>
    </row>
    <row r="438" spans="1:26" ht="15" customHeight="1" x14ac:dyDescent="0.3">
      <c r="A438" s="45">
        <v>428</v>
      </c>
      <c r="B438" s="46"/>
      <c r="C438" s="46"/>
      <c r="D438" s="63"/>
      <c r="E438" s="78"/>
      <c r="F438" s="99"/>
      <c r="G438" s="79"/>
      <c r="H438" s="71"/>
      <c r="I438" s="51"/>
      <c r="J438" s="51"/>
      <c r="K438" s="52"/>
      <c r="L438" s="53"/>
      <c r="M438" s="54"/>
      <c r="N438" s="55" t="str">
        <f t="shared" si="7"/>
        <v/>
      </c>
      <c r="O438" s="56">
        <f t="shared" si="8"/>
        <v>0</v>
      </c>
      <c r="P438" s="44"/>
      <c r="Q438" s="66"/>
      <c r="R438" s="32"/>
      <c r="S438" s="32"/>
      <c r="T438" s="32"/>
      <c r="U438" s="32"/>
      <c r="V438" s="32"/>
      <c r="W438" s="32"/>
      <c r="X438" s="32"/>
      <c r="Y438" s="32"/>
      <c r="Z438" s="32"/>
    </row>
    <row r="439" spans="1:26" ht="15" customHeight="1" x14ac:dyDescent="0.3">
      <c r="A439" s="45">
        <v>429</v>
      </c>
      <c r="B439" s="46"/>
      <c r="C439" s="46"/>
      <c r="D439" s="63"/>
      <c r="E439" s="78"/>
      <c r="F439" s="99"/>
      <c r="G439" s="79"/>
      <c r="H439" s="71"/>
      <c r="I439" s="51"/>
      <c r="J439" s="51"/>
      <c r="K439" s="52"/>
      <c r="L439" s="53"/>
      <c r="M439" s="54"/>
      <c r="N439" s="55" t="str">
        <f t="shared" si="7"/>
        <v/>
      </c>
      <c r="O439" s="56">
        <f t="shared" si="8"/>
        <v>0</v>
      </c>
      <c r="P439" s="44"/>
      <c r="Q439" s="66"/>
      <c r="R439" s="32"/>
      <c r="S439" s="32"/>
      <c r="T439" s="32"/>
      <c r="U439" s="32"/>
      <c r="V439" s="32"/>
      <c r="W439" s="32"/>
      <c r="X439" s="32"/>
      <c r="Y439" s="32"/>
      <c r="Z439" s="32"/>
    </row>
    <row r="440" spans="1:26" ht="15" customHeight="1" x14ac:dyDescent="0.3">
      <c r="A440" s="45">
        <v>430</v>
      </c>
      <c r="B440" s="46"/>
      <c r="C440" s="46"/>
      <c r="D440" s="63"/>
      <c r="E440" s="78"/>
      <c r="F440" s="99"/>
      <c r="G440" s="79"/>
      <c r="H440" s="71"/>
      <c r="I440" s="51"/>
      <c r="J440" s="51"/>
      <c r="K440" s="52"/>
      <c r="L440" s="53"/>
      <c r="M440" s="54"/>
      <c r="N440" s="55" t="str">
        <f t="shared" si="7"/>
        <v/>
      </c>
      <c r="O440" s="56">
        <f t="shared" si="8"/>
        <v>0</v>
      </c>
      <c r="P440" s="44"/>
      <c r="Q440" s="66"/>
      <c r="R440" s="32"/>
      <c r="S440" s="32"/>
      <c r="T440" s="32"/>
      <c r="U440" s="32"/>
      <c r="V440" s="32"/>
      <c r="W440" s="32"/>
      <c r="X440" s="32"/>
      <c r="Y440" s="32"/>
      <c r="Z440" s="32"/>
    </row>
    <row r="441" spans="1:26" ht="15" customHeight="1" x14ac:dyDescent="0.3">
      <c r="A441" s="45">
        <v>431</v>
      </c>
      <c r="B441" s="46"/>
      <c r="C441" s="46"/>
      <c r="D441" s="63"/>
      <c r="E441" s="78"/>
      <c r="F441" s="99"/>
      <c r="G441" s="79"/>
      <c r="H441" s="71"/>
      <c r="I441" s="51"/>
      <c r="J441" s="51"/>
      <c r="K441" s="52"/>
      <c r="L441" s="53"/>
      <c r="M441" s="54"/>
      <c r="N441" s="55" t="str">
        <f t="shared" si="7"/>
        <v/>
      </c>
      <c r="O441" s="56">
        <f t="shared" si="8"/>
        <v>0</v>
      </c>
      <c r="P441" s="44"/>
      <c r="Q441" s="66"/>
      <c r="R441" s="32"/>
      <c r="S441" s="32"/>
      <c r="T441" s="32"/>
      <c r="U441" s="32"/>
      <c r="V441" s="32"/>
      <c r="W441" s="32"/>
      <c r="X441" s="32"/>
      <c r="Y441" s="32"/>
      <c r="Z441" s="32"/>
    </row>
    <row r="442" spans="1:26" ht="15" customHeight="1" x14ac:dyDescent="0.3">
      <c r="A442" s="45">
        <v>432</v>
      </c>
      <c r="B442" s="46"/>
      <c r="C442" s="46"/>
      <c r="D442" s="63"/>
      <c r="E442" s="78"/>
      <c r="F442" s="99"/>
      <c r="G442" s="79"/>
      <c r="H442" s="71"/>
      <c r="I442" s="51"/>
      <c r="J442" s="51"/>
      <c r="K442" s="52"/>
      <c r="L442" s="53"/>
      <c r="M442" s="54"/>
      <c r="N442" s="55" t="str">
        <f t="shared" si="7"/>
        <v/>
      </c>
      <c r="O442" s="56">
        <f t="shared" si="8"/>
        <v>0</v>
      </c>
      <c r="P442" s="44"/>
      <c r="Q442" s="66"/>
      <c r="R442" s="32"/>
      <c r="S442" s="32"/>
      <c r="T442" s="32"/>
      <c r="U442" s="32"/>
      <c r="V442" s="32"/>
      <c r="W442" s="32"/>
      <c r="X442" s="32"/>
      <c r="Y442" s="32"/>
      <c r="Z442" s="32"/>
    </row>
    <row r="443" spans="1:26" ht="15" customHeight="1" x14ac:dyDescent="0.3">
      <c r="A443" s="45">
        <v>433</v>
      </c>
      <c r="B443" s="46"/>
      <c r="C443" s="46"/>
      <c r="D443" s="63"/>
      <c r="E443" s="78"/>
      <c r="F443" s="99"/>
      <c r="G443" s="79"/>
      <c r="H443" s="71"/>
      <c r="I443" s="51"/>
      <c r="J443" s="51"/>
      <c r="K443" s="52"/>
      <c r="L443" s="53"/>
      <c r="M443" s="54"/>
      <c r="N443" s="55" t="str">
        <f t="shared" si="7"/>
        <v/>
      </c>
      <c r="O443" s="56">
        <f t="shared" si="8"/>
        <v>0</v>
      </c>
      <c r="P443" s="44"/>
      <c r="Q443" s="66"/>
      <c r="R443" s="32"/>
      <c r="S443" s="32"/>
      <c r="T443" s="32"/>
      <c r="U443" s="32"/>
      <c r="V443" s="32"/>
      <c r="W443" s="32"/>
      <c r="X443" s="32"/>
      <c r="Y443" s="32"/>
      <c r="Z443" s="32"/>
    </row>
    <row r="444" spans="1:26" ht="15" customHeight="1" x14ac:dyDescent="0.3">
      <c r="A444" s="45">
        <v>434</v>
      </c>
      <c r="B444" s="46"/>
      <c r="C444" s="46"/>
      <c r="D444" s="63"/>
      <c r="E444" s="78"/>
      <c r="F444" s="99"/>
      <c r="G444" s="79"/>
      <c r="H444" s="71"/>
      <c r="I444" s="51"/>
      <c r="J444" s="51"/>
      <c r="K444" s="52"/>
      <c r="L444" s="53"/>
      <c r="M444" s="54"/>
      <c r="N444" s="55" t="str">
        <f t="shared" si="7"/>
        <v/>
      </c>
      <c r="O444" s="56">
        <f t="shared" si="8"/>
        <v>0</v>
      </c>
      <c r="P444" s="44"/>
      <c r="Q444" s="66"/>
      <c r="R444" s="32"/>
      <c r="S444" s="32"/>
      <c r="T444" s="32"/>
      <c r="U444" s="32"/>
      <c r="V444" s="32"/>
      <c r="W444" s="32"/>
      <c r="X444" s="32"/>
      <c r="Y444" s="32"/>
      <c r="Z444" s="32"/>
    </row>
    <row r="445" spans="1:26" ht="15" customHeight="1" x14ac:dyDescent="0.3">
      <c r="A445" s="45">
        <v>435</v>
      </c>
      <c r="B445" s="46"/>
      <c r="C445" s="46"/>
      <c r="D445" s="63"/>
      <c r="E445" s="78"/>
      <c r="F445" s="99"/>
      <c r="G445" s="79"/>
      <c r="H445" s="71"/>
      <c r="I445" s="51"/>
      <c r="J445" s="51"/>
      <c r="K445" s="52"/>
      <c r="L445" s="53"/>
      <c r="M445" s="54"/>
      <c r="N445" s="55" t="str">
        <f t="shared" si="7"/>
        <v/>
      </c>
      <c r="O445" s="56">
        <f t="shared" si="8"/>
        <v>0</v>
      </c>
      <c r="P445" s="44"/>
      <c r="Q445" s="66"/>
      <c r="R445" s="32"/>
      <c r="S445" s="32"/>
      <c r="T445" s="32"/>
      <c r="U445" s="32"/>
      <c r="V445" s="32"/>
      <c r="W445" s="32"/>
      <c r="X445" s="32"/>
      <c r="Y445" s="32"/>
      <c r="Z445" s="32"/>
    </row>
    <row r="446" spans="1:26" ht="15" customHeight="1" x14ac:dyDescent="0.3">
      <c r="A446" s="45">
        <v>436</v>
      </c>
      <c r="B446" s="46"/>
      <c r="C446" s="46"/>
      <c r="D446" s="63"/>
      <c r="E446" s="78"/>
      <c r="F446" s="99"/>
      <c r="G446" s="79"/>
      <c r="H446" s="71"/>
      <c r="I446" s="51"/>
      <c r="J446" s="51"/>
      <c r="K446" s="52"/>
      <c r="L446" s="53"/>
      <c r="M446" s="54"/>
      <c r="N446" s="55" t="str">
        <f t="shared" si="7"/>
        <v/>
      </c>
      <c r="O446" s="56">
        <f t="shared" si="8"/>
        <v>0</v>
      </c>
      <c r="P446" s="44"/>
      <c r="Q446" s="66"/>
      <c r="R446" s="32"/>
      <c r="S446" s="32"/>
      <c r="T446" s="32"/>
      <c r="U446" s="32"/>
      <c r="V446" s="32"/>
      <c r="W446" s="32"/>
      <c r="X446" s="32"/>
      <c r="Y446" s="32"/>
      <c r="Z446" s="32"/>
    </row>
    <row r="447" spans="1:26" ht="15" customHeight="1" x14ac:dyDescent="0.3">
      <c r="A447" s="45">
        <v>437</v>
      </c>
      <c r="B447" s="46"/>
      <c r="C447" s="46"/>
      <c r="D447" s="63"/>
      <c r="E447" s="78"/>
      <c r="F447" s="99"/>
      <c r="G447" s="79"/>
      <c r="H447" s="71"/>
      <c r="I447" s="51"/>
      <c r="J447" s="51"/>
      <c r="K447" s="52"/>
      <c r="L447" s="53"/>
      <c r="M447" s="54"/>
      <c r="N447" s="55" t="str">
        <f t="shared" si="7"/>
        <v/>
      </c>
      <c r="O447" s="56">
        <f t="shared" si="8"/>
        <v>0</v>
      </c>
      <c r="P447" s="44"/>
      <c r="Q447" s="66"/>
      <c r="R447" s="32"/>
      <c r="S447" s="32"/>
      <c r="T447" s="32"/>
      <c r="U447" s="32"/>
      <c r="V447" s="32"/>
      <c r="W447" s="32"/>
      <c r="X447" s="32"/>
      <c r="Y447" s="32"/>
      <c r="Z447" s="32"/>
    </row>
    <row r="448" spans="1:26" ht="15" customHeight="1" x14ac:dyDescent="0.3">
      <c r="A448" s="45">
        <v>438</v>
      </c>
      <c r="B448" s="46"/>
      <c r="C448" s="46"/>
      <c r="D448" s="63"/>
      <c r="E448" s="78"/>
      <c r="F448" s="99"/>
      <c r="G448" s="79"/>
      <c r="H448" s="71"/>
      <c r="I448" s="51"/>
      <c r="J448" s="51"/>
      <c r="K448" s="52"/>
      <c r="L448" s="53"/>
      <c r="M448" s="54"/>
      <c r="N448" s="55" t="str">
        <f t="shared" si="7"/>
        <v/>
      </c>
      <c r="O448" s="56">
        <f t="shared" si="8"/>
        <v>0</v>
      </c>
      <c r="P448" s="44"/>
      <c r="Q448" s="66"/>
      <c r="R448" s="32"/>
      <c r="S448" s="32"/>
      <c r="T448" s="32"/>
      <c r="U448" s="32"/>
      <c r="V448" s="32"/>
      <c r="W448" s="32"/>
      <c r="X448" s="32"/>
      <c r="Y448" s="32"/>
      <c r="Z448" s="32"/>
    </row>
    <row r="449" spans="1:26" ht="15" customHeight="1" x14ac:dyDescent="0.3">
      <c r="A449" s="45">
        <v>439</v>
      </c>
      <c r="B449" s="46"/>
      <c r="C449" s="46"/>
      <c r="D449" s="63"/>
      <c r="E449" s="78"/>
      <c r="F449" s="99"/>
      <c r="G449" s="79"/>
      <c r="H449" s="71"/>
      <c r="I449" s="51"/>
      <c r="J449" s="51"/>
      <c r="K449" s="52"/>
      <c r="L449" s="53"/>
      <c r="M449" s="54"/>
      <c r="N449" s="55" t="str">
        <f t="shared" si="7"/>
        <v/>
      </c>
      <c r="O449" s="56">
        <f t="shared" si="8"/>
        <v>0</v>
      </c>
      <c r="P449" s="44"/>
      <c r="Q449" s="66"/>
      <c r="R449" s="32"/>
      <c r="S449" s="32"/>
      <c r="T449" s="32"/>
      <c r="U449" s="32"/>
      <c r="V449" s="32"/>
      <c r="W449" s="32"/>
      <c r="X449" s="32"/>
      <c r="Y449" s="32"/>
      <c r="Z449" s="32"/>
    </row>
    <row r="450" spans="1:26" ht="15" customHeight="1" x14ac:dyDescent="0.3">
      <c r="A450" s="45">
        <v>440</v>
      </c>
      <c r="B450" s="46"/>
      <c r="C450" s="46"/>
      <c r="D450" s="63"/>
      <c r="E450" s="78"/>
      <c r="F450" s="99"/>
      <c r="G450" s="79"/>
      <c r="H450" s="71"/>
      <c r="I450" s="51"/>
      <c r="J450" s="51"/>
      <c r="K450" s="52"/>
      <c r="L450" s="53"/>
      <c r="M450" s="54"/>
      <c r="N450" s="55" t="str">
        <f t="shared" si="7"/>
        <v/>
      </c>
      <c r="O450" s="56">
        <f t="shared" si="8"/>
        <v>0</v>
      </c>
      <c r="P450" s="44"/>
      <c r="Q450" s="66"/>
      <c r="R450" s="32"/>
      <c r="S450" s="32"/>
      <c r="T450" s="32"/>
      <c r="U450" s="32"/>
      <c r="V450" s="32"/>
      <c r="W450" s="32"/>
      <c r="X450" s="32"/>
      <c r="Y450" s="32"/>
      <c r="Z450" s="32"/>
    </row>
    <row r="451" spans="1:26" ht="15" customHeight="1" x14ac:dyDescent="0.3">
      <c r="A451" s="45">
        <v>441</v>
      </c>
      <c r="B451" s="46"/>
      <c r="C451" s="46"/>
      <c r="D451" s="63"/>
      <c r="E451" s="78"/>
      <c r="F451" s="99"/>
      <c r="G451" s="79"/>
      <c r="H451" s="71"/>
      <c r="I451" s="51"/>
      <c r="J451" s="51"/>
      <c r="K451" s="52"/>
      <c r="L451" s="53"/>
      <c r="M451" s="54"/>
      <c r="N451" s="55" t="str">
        <f t="shared" si="7"/>
        <v/>
      </c>
      <c r="O451" s="56">
        <f t="shared" si="8"/>
        <v>0</v>
      </c>
      <c r="P451" s="44"/>
      <c r="Q451" s="66"/>
      <c r="R451" s="32"/>
      <c r="S451" s="32"/>
      <c r="T451" s="32"/>
      <c r="U451" s="32"/>
      <c r="V451" s="32"/>
      <c r="W451" s="32"/>
      <c r="X451" s="32"/>
      <c r="Y451" s="32"/>
      <c r="Z451" s="32"/>
    </row>
    <row r="452" spans="1:26" ht="15" customHeight="1" x14ac:dyDescent="0.3">
      <c r="A452" s="45">
        <v>442</v>
      </c>
      <c r="B452" s="46"/>
      <c r="C452" s="46"/>
      <c r="D452" s="63"/>
      <c r="E452" s="78"/>
      <c r="F452" s="99"/>
      <c r="G452" s="79"/>
      <c r="H452" s="71"/>
      <c r="I452" s="51"/>
      <c r="J452" s="51"/>
      <c r="K452" s="52"/>
      <c r="L452" s="53"/>
      <c r="M452" s="54"/>
      <c r="N452" s="55" t="str">
        <f t="shared" si="7"/>
        <v/>
      </c>
      <c r="O452" s="56">
        <f t="shared" si="8"/>
        <v>0</v>
      </c>
      <c r="P452" s="44"/>
      <c r="Q452" s="66"/>
      <c r="R452" s="32"/>
      <c r="S452" s="32"/>
      <c r="T452" s="32"/>
      <c r="U452" s="32"/>
      <c r="V452" s="32"/>
      <c r="W452" s="32"/>
      <c r="X452" s="32"/>
      <c r="Y452" s="32"/>
      <c r="Z452" s="32"/>
    </row>
    <row r="453" spans="1:26" ht="15" customHeight="1" x14ac:dyDescent="0.3">
      <c r="A453" s="45">
        <v>443</v>
      </c>
      <c r="B453" s="46"/>
      <c r="C453" s="46"/>
      <c r="D453" s="63"/>
      <c r="E453" s="78"/>
      <c r="F453" s="99"/>
      <c r="G453" s="79"/>
      <c r="H453" s="71"/>
      <c r="I453" s="51"/>
      <c r="J453" s="51"/>
      <c r="K453" s="52"/>
      <c r="L453" s="53"/>
      <c r="M453" s="54"/>
      <c r="N453" s="55" t="str">
        <f t="shared" si="7"/>
        <v/>
      </c>
      <c r="O453" s="56">
        <f t="shared" si="8"/>
        <v>0</v>
      </c>
      <c r="P453" s="44"/>
      <c r="Q453" s="66"/>
      <c r="R453" s="32"/>
      <c r="S453" s="32"/>
      <c r="T453" s="32"/>
      <c r="U453" s="32"/>
      <c r="V453" s="32"/>
      <c r="W453" s="32"/>
      <c r="X453" s="32"/>
      <c r="Y453" s="32"/>
      <c r="Z453" s="32"/>
    </row>
    <row r="454" spans="1:26" ht="15" customHeight="1" x14ac:dyDescent="0.3">
      <c r="A454" s="45">
        <v>444</v>
      </c>
      <c r="B454" s="46"/>
      <c r="C454" s="46"/>
      <c r="D454" s="63"/>
      <c r="E454" s="78"/>
      <c r="F454" s="99"/>
      <c r="G454" s="79"/>
      <c r="H454" s="71"/>
      <c r="I454" s="51"/>
      <c r="J454" s="51"/>
      <c r="K454" s="52"/>
      <c r="L454" s="53"/>
      <c r="M454" s="54"/>
      <c r="N454" s="55" t="str">
        <f t="shared" si="7"/>
        <v/>
      </c>
      <c r="O454" s="56">
        <f t="shared" si="8"/>
        <v>0</v>
      </c>
      <c r="P454" s="44"/>
      <c r="Q454" s="66"/>
      <c r="R454" s="32"/>
      <c r="S454" s="32"/>
      <c r="T454" s="32"/>
      <c r="U454" s="32"/>
      <c r="V454" s="32"/>
      <c r="W454" s="32"/>
      <c r="X454" s="32"/>
      <c r="Y454" s="32"/>
      <c r="Z454" s="32"/>
    </row>
    <row r="455" spans="1:26" ht="15" customHeight="1" x14ac:dyDescent="0.3">
      <c r="A455" s="45">
        <v>445</v>
      </c>
      <c r="B455" s="46"/>
      <c r="C455" s="46"/>
      <c r="D455" s="63"/>
      <c r="E455" s="78"/>
      <c r="F455" s="99"/>
      <c r="G455" s="79"/>
      <c r="H455" s="71"/>
      <c r="I455" s="51"/>
      <c r="J455" s="51"/>
      <c r="K455" s="52"/>
      <c r="L455" s="53"/>
      <c r="M455" s="54"/>
      <c r="N455" s="55" t="str">
        <f t="shared" si="7"/>
        <v/>
      </c>
      <c r="O455" s="56">
        <f t="shared" si="8"/>
        <v>0</v>
      </c>
      <c r="P455" s="44"/>
      <c r="Q455" s="66"/>
      <c r="R455" s="32"/>
      <c r="S455" s="32"/>
      <c r="T455" s="32"/>
      <c r="U455" s="32"/>
      <c r="V455" s="32"/>
      <c r="W455" s="32"/>
      <c r="X455" s="32"/>
      <c r="Y455" s="32"/>
      <c r="Z455" s="32"/>
    </row>
    <row r="456" spans="1:26" ht="15" customHeight="1" x14ac:dyDescent="0.3">
      <c r="A456" s="45">
        <v>446</v>
      </c>
      <c r="B456" s="46"/>
      <c r="C456" s="46"/>
      <c r="D456" s="63"/>
      <c r="E456" s="78"/>
      <c r="F456" s="99"/>
      <c r="G456" s="79"/>
      <c r="H456" s="71"/>
      <c r="I456" s="51"/>
      <c r="J456" s="51"/>
      <c r="K456" s="52"/>
      <c r="L456" s="53"/>
      <c r="M456" s="54"/>
      <c r="N456" s="55" t="str">
        <f t="shared" si="7"/>
        <v/>
      </c>
      <c r="O456" s="56">
        <f t="shared" si="8"/>
        <v>0</v>
      </c>
      <c r="P456" s="44"/>
      <c r="Q456" s="66"/>
      <c r="R456" s="32"/>
      <c r="S456" s="32"/>
      <c r="T456" s="32"/>
      <c r="U456" s="32"/>
      <c r="V456" s="32"/>
      <c r="W456" s="32"/>
      <c r="X456" s="32"/>
      <c r="Y456" s="32"/>
      <c r="Z456" s="32"/>
    </row>
    <row r="457" spans="1:26" ht="15" customHeight="1" x14ac:dyDescent="0.3">
      <c r="A457" s="45">
        <v>447</v>
      </c>
      <c r="B457" s="46"/>
      <c r="C457" s="46"/>
      <c r="D457" s="63"/>
      <c r="E457" s="78"/>
      <c r="F457" s="99"/>
      <c r="G457" s="79"/>
      <c r="H457" s="71"/>
      <c r="I457" s="51"/>
      <c r="J457" s="51"/>
      <c r="K457" s="52"/>
      <c r="L457" s="53"/>
      <c r="M457" s="54"/>
      <c r="N457" s="55" t="str">
        <f t="shared" si="7"/>
        <v/>
      </c>
      <c r="O457" s="56">
        <f t="shared" si="8"/>
        <v>0</v>
      </c>
      <c r="P457" s="44"/>
      <c r="Q457" s="66"/>
      <c r="R457" s="32"/>
      <c r="S457" s="32"/>
      <c r="T457" s="32"/>
      <c r="U457" s="32"/>
      <c r="V457" s="32"/>
      <c r="W457" s="32"/>
      <c r="X457" s="32"/>
      <c r="Y457" s="32"/>
      <c r="Z457" s="32"/>
    </row>
    <row r="458" spans="1:26" ht="15" customHeight="1" x14ac:dyDescent="0.3">
      <c r="A458" s="45">
        <v>448</v>
      </c>
      <c r="B458" s="46"/>
      <c r="C458" s="46"/>
      <c r="D458" s="63"/>
      <c r="E458" s="78"/>
      <c r="F458" s="99"/>
      <c r="G458" s="79"/>
      <c r="H458" s="71"/>
      <c r="I458" s="51"/>
      <c r="J458" s="51"/>
      <c r="K458" s="52"/>
      <c r="L458" s="53"/>
      <c r="M458" s="54"/>
      <c r="N458" s="55" t="str">
        <f t="shared" si="7"/>
        <v/>
      </c>
      <c r="O458" s="56">
        <f t="shared" si="8"/>
        <v>0</v>
      </c>
      <c r="P458" s="44"/>
      <c r="Q458" s="66"/>
      <c r="R458" s="32"/>
      <c r="S458" s="32"/>
      <c r="T458" s="32"/>
      <c r="U458" s="32"/>
      <c r="V458" s="32"/>
      <c r="W458" s="32"/>
      <c r="X458" s="32"/>
      <c r="Y458" s="32"/>
      <c r="Z458" s="32"/>
    </row>
    <row r="459" spans="1:26" ht="15" customHeight="1" x14ac:dyDescent="0.3">
      <c r="A459" s="45">
        <v>449</v>
      </c>
      <c r="B459" s="46"/>
      <c r="C459" s="46"/>
      <c r="D459" s="63"/>
      <c r="E459" s="78"/>
      <c r="F459" s="99"/>
      <c r="G459" s="79"/>
      <c r="H459" s="71"/>
      <c r="I459" s="51"/>
      <c r="J459" s="51"/>
      <c r="K459" s="52"/>
      <c r="L459" s="53"/>
      <c r="M459" s="54"/>
      <c r="N459" s="55" t="str">
        <f t="shared" si="7"/>
        <v/>
      </c>
      <c r="O459" s="56">
        <f t="shared" si="8"/>
        <v>0</v>
      </c>
      <c r="P459" s="44"/>
      <c r="Q459" s="66"/>
      <c r="R459" s="32"/>
      <c r="S459" s="32"/>
      <c r="T459" s="32"/>
      <c r="U459" s="32"/>
      <c r="V459" s="32"/>
      <c r="W459" s="32"/>
      <c r="X459" s="32"/>
      <c r="Y459" s="32"/>
      <c r="Z459" s="32"/>
    </row>
    <row r="460" spans="1:26" ht="15" customHeight="1" x14ac:dyDescent="0.3">
      <c r="A460" s="45">
        <v>450</v>
      </c>
      <c r="B460" s="46"/>
      <c r="C460" s="46"/>
      <c r="D460" s="63"/>
      <c r="E460" s="78"/>
      <c r="F460" s="99"/>
      <c r="G460" s="79"/>
      <c r="H460" s="71"/>
      <c r="I460" s="51"/>
      <c r="J460" s="51"/>
      <c r="K460" s="52"/>
      <c r="L460" s="53"/>
      <c r="M460" s="54"/>
      <c r="N460" s="55" t="str">
        <f t="shared" si="7"/>
        <v/>
      </c>
      <c r="O460" s="56">
        <f t="shared" si="8"/>
        <v>0</v>
      </c>
      <c r="P460" s="44"/>
      <c r="Q460" s="66"/>
      <c r="R460" s="32"/>
      <c r="S460" s="32"/>
      <c r="T460" s="32"/>
      <c r="U460" s="32"/>
      <c r="V460" s="32"/>
      <c r="W460" s="32"/>
      <c r="X460" s="32"/>
      <c r="Y460" s="32"/>
      <c r="Z460" s="32"/>
    </row>
    <row r="461" spans="1:26" ht="15" customHeight="1" x14ac:dyDescent="0.3">
      <c r="A461" s="45">
        <v>451</v>
      </c>
      <c r="B461" s="46"/>
      <c r="C461" s="46"/>
      <c r="D461" s="63"/>
      <c r="E461" s="78"/>
      <c r="F461" s="99"/>
      <c r="G461" s="79"/>
      <c r="H461" s="71"/>
      <c r="I461" s="51"/>
      <c r="J461" s="51"/>
      <c r="K461" s="52"/>
      <c r="L461" s="53"/>
      <c r="M461" s="54"/>
      <c r="N461" s="55" t="str">
        <f t="shared" si="7"/>
        <v/>
      </c>
      <c r="O461" s="56">
        <f t="shared" si="8"/>
        <v>0</v>
      </c>
      <c r="P461" s="44"/>
      <c r="Q461" s="66"/>
      <c r="R461" s="32"/>
      <c r="S461" s="32"/>
      <c r="T461" s="32"/>
      <c r="U461" s="32"/>
      <c r="V461" s="32"/>
      <c r="W461" s="32"/>
      <c r="X461" s="32"/>
      <c r="Y461" s="32"/>
      <c r="Z461" s="32"/>
    </row>
    <row r="462" spans="1:26" ht="15" customHeight="1" x14ac:dyDescent="0.3">
      <c r="A462" s="45">
        <v>452</v>
      </c>
      <c r="B462" s="46"/>
      <c r="C462" s="46"/>
      <c r="D462" s="63"/>
      <c r="E462" s="78"/>
      <c r="F462" s="99"/>
      <c r="G462" s="79"/>
      <c r="H462" s="71"/>
      <c r="I462" s="51"/>
      <c r="J462" s="51"/>
      <c r="K462" s="52"/>
      <c r="L462" s="53"/>
      <c r="M462" s="54"/>
      <c r="N462" s="55" t="str">
        <f t="shared" si="7"/>
        <v/>
      </c>
      <c r="O462" s="56">
        <f t="shared" si="8"/>
        <v>0</v>
      </c>
      <c r="P462" s="44"/>
      <c r="Q462" s="66"/>
      <c r="R462" s="32"/>
      <c r="S462" s="32"/>
      <c r="T462" s="32"/>
      <c r="U462" s="32"/>
      <c r="V462" s="32"/>
      <c r="W462" s="32"/>
      <c r="X462" s="32"/>
      <c r="Y462" s="32"/>
      <c r="Z462" s="32"/>
    </row>
    <row r="463" spans="1:26" ht="15" customHeight="1" x14ac:dyDescent="0.3">
      <c r="A463" s="45">
        <v>453</v>
      </c>
      <c r="B463" s="46"/>
      <c r="C463" s="46"/>
      <c r="D463" s="63"/>
      <c r="E463" s="78"/>
      <c r="F463" s="99"/>
      <c r="G463" s="79"/>
      <c r="H463" s="71"/>
      <c r="I463" s="51"/>
      <c r="J463" s="51"/>
      <c r="K463" s="52"/>
      <c r="L463" s="53"/>
      <c r="M463" s="54"/>
      <c r="N463" s="55" t="str">
        <f t="shared" si="7"/>
        <v/>
      </c>
      <c r="O463" s="56">
        <f t="shared" si="8"/>
        <v>0</v>
      </c>
      <c r="P463" s="44"/>
      <c r="Q463" s="66"/>
      <c r="R463" s="32"/>
      <c r="S463" s="32"/>
      <c r="T463" s="32"/>
      <c r="U463" s="32"/>
      <c r="V463" s="32"/>
      <c r="W463" s="32"/>
      <c r="X463" s="32"/>
      <c r="Y463" s="32"/>
      <c r="Z463" s="32"/>
    </row>
    <row r="464" spans="1:26" ht="15" customHeight="1" x14ac:dyDescent="0.3">
      <c r="A464" s="45">
        <v>454</v>
      </c>
      <c r="B464" s="46"/>
      <c r="C464" s="46"/>
      <c r="D464" s="63"/>
      <c r="E464" s="78"/>
      <c r="F464" s="99"/>
      <c r="G464" s="79"/>
      <c r="H464" s="71"/>
      <c r="I464" s="51"/>
      <c r="J464" s="51"/>
      <c r="K464" s="52"/>
      <c r="L464" s="53"/>
      <c r="M464" s="54"/>
      <c r="N464" s="55" t="str">
        <f t="shared" si="7"/>
        <v/>
      </c>
      <c r="O464" s="56">
        <f t="shared" si="8"/>
        <v>0</v>
      </c>
      <c r="P464" s="44"/>
      <c r="Q464" s="66"/>
      <c r="R464" s="32"/>
      <c r="S464" s="32"/>
      <c r="T464" s="32"/>
      <c r="U464" s="32"/>
      <c r="V464" s="32"/>
      <c r="W464" s="32"/>
      <c r="X464" s="32"/>
      <c r="Y464" s="32"/>
      <c r="Z464" s="32"/>
    </row>
    <row r="465" spans="1:26" ht="15" customHeight="1" x14ac:dyDescent="0.3">
      <c r="A465" s="45">
        <v>455</v>
      </c>
      <c r="B465" s="46"/>
      <c r="C465" s="46"/>
      <c r="D465" s="63"/>
      <c r="E465" s="78"/>
      <c r="F465" s="99"/>
      <c r="G465" s="79"/>
      <c r="H465" s="71"/>
      <c r="I465" s="51"/>
      <c r="J465" s="51"/>
      <c r="K465" s="52"/>
      <c r="L465" s="53"/>
      <c r="M465" s="54"/>
      <c r="N465" s="55" t="str">
        <f t="shared" si="7"/>
        <v/>
      </c>
      <c r="O465" s="56">
        <f t="shared" si="8"/>
        <v>0</v>
      </c>
      <c r="P465" s="44"/>
      <c r="Q465" s="66"/>
      <c r="R465" s="32"/>
      <c r="S465" s="32"/>
      <c r="T465" s="32"/>
      <c r="U465" s="32"/>
      <c r="V465" s="32"/>
      <c r="W465" s="32"/>
      <c r="X465" s="32"/>
      <c r="Y465" s="32"/>
      <c r="Z465" s="32"/>
    </row>
    <row r="466" spans="1:26" ht="15" customHeight="1" x14ac:dyDescent="0.3">
      <c r="A466" s="45">
        <v>456</v>
      </c>
      <c r="B466" s="46"/>
      <c r="C466" s="46"/>
      <c r="D466" s="63"/>
      <c r="E466" s="78"/>
      <c r="F466" s="99"/>
      <c r="G466" s="79"/>
      <c r="H466" s="71"/>
      <c r="I466" s="51"/>
      <c r="J466" s="51"/>
      <c r="K466" s="52"/>
      <c r="L466" s="53"/>
      <c r="M466" s="54"/>
      <c r="N466" s="55" t="str">
        <f t="shared" si="7"/>
        <v/>
      </c>
      <c r="O466" s="56">
        <f t="shared" si="8"/>
        <v>0</v>
      </c>
      <c r="P466" s="44"/>
      <c r="Q466" s="66"/>
      <c r="R466" s="32"/>
      <c r="S466" s="32"/>
      <c r="T466" s="32"/>
      <c r="U466" s="32"/>
      <c r="V466" s="32"/>
      <c r="W466" s="32"/>
      <c r="X466" s="32"/>
      <c r="Y466" s="32"/>
      <c r="Z466" s="32"/>
    </row>
    <row r="467" spans="1:26" ht="15" customHeight="1" x14ac:dyDescent="0.3">
      <c r="A467" s="45">
        <v>457</v>
      </c>
      <c r="B467" s="46"/>
      <c r="C467" s="46"/>
      <c r="D467" s="63"/>
      <c r="E467" s="78"/>
      <c r="F467" s="99"/>
      <c r="G467" s="79"/>
      <c r="H467" s="71"/>
      <c r="I467" s="51"/>
      <c r="J467" s="51"/>
      <c r="K467" s="52"/>
      <c r="L467" s="53"/>
      <c r="M467" s="54"/>
      <c r="N467" s="55" t="str">
        <f t="shared" si="7"/>
        <v/>
      </c>
      <c r="O467" s="56">
        <f t="shared" si="8"/>
        <v>0</v>
      </c>
      <c r="P467" s="44"/>
      <c r="Q467" s="66"/>
      <c r="R467" s="32"/>
      <c r="S467" s="32"/>
      <c r="T467" s="32"/>
      <c r="U467" s="32"/>
      <c r="V467" s="32"/>
      <c r="W467" s="32"/>
      <c r="X467" s="32"/>
      <c r="Y467" s="32"/>
      <c r="Z467" s="32"/>
    </row>
    <row r="468" spans="1:26" ht="15" customHeight="1" x14ac:dyDescent="0.3">
      <c r="A468" s="45">
        <v>458</v>
      </c>
      <c r="B468" s="46"/>
      <c r="C468" s="46"/>
      <c r="D468" s="63"/>
      <c r="E468" s="78"/>
      <c r="F468" s="99"/>
      <c r="G468" s="79"/>
      <c r="H468" s="71"/>
      <c r="I468" s="51"/>
      <c r="J468" s="51"/>
      <c r="K468" s="52"/>
      <c r="L468" s="53"/>
      <c r="M468" s="54"/>
      <c r="N468" s="55" t="str">
        <f t="shared" si="7"/>
        <v/>
      </c>
      <c r="O468" s="56">
        <f t="shared" si="8"/>
        <v>0</v>
      </c>
      <c r="P468" s="44"/>
      <c r="Q468" s="66"/>
      <c r="R468" s="32"/>
      <c r="S468" s="32"/>
      <c r="T468" s="32"/>
      <c r="U468" s="32"/>
      <c r="V468" s="32"/>
      <c r="W468" s="32"/>
      <c r="X468" s="32"/>
      <c r="Y468" s="32"/>
      <c r="Z468" s="32"/>
    </row>
    <row r="469" spans="1:26" ht="15" customHeight="1" x14ac:dyDescent="0.3">
      <c r="A469" s="45">
        <v>459</v>
      </c>
      <c r="B469" s="46"/>
      <c r="C469" s="46"/>
      <c r="D469" s="63"/>
      <c r="E469" s="78"/>
      <c r="F469" s="99"/>
      <c r="G469" s="79"/>
      <c r="H469" s="71"/>
      <c r="I469" s="51"/>
      <c r="J469" s="51"/>
      <c r="K469" s="52"/>
      <c r="L469" s="53"/>
      <c r="M469" s="54"/>
      <c r="N469" s="55" t="str">
        <f t="shared" si="7"/>
        <v/>
      </c>
      <c r="O469" s="56">
        <f t="shared" si="8"/>
        <v>0</v>
      </c>
      <c r="P469" s="44"/>
      <c r="Q469" s="66"/>
      <c r="R469" s="32"/>
      <c r="S469" s="32"/>
      <c r="T469" s="32"/>
      <c r="U469" s="32"/>
      <c r="V469" s="32"/>
      <c r="W469" s="32"/>
      <c r="X469" s="32"/>
      <c r="Y469" s="32"/>
      <c r="Z469" s="32"/>
    </row>
    <row r="470" spans="1:26" ht="15" customHeight="1" x14ac:dyDescent="0.3">
      <c r="A470" s="45">
        <v>460</v>
      </c>
      <c r="B470" s="46"/>
      <c r="C470" s="46"/>
      <c r="D470" s="63"/>
      <c r="E470" s="78"/>
      <c r="F470" s="99"/>
      <c r="G470" s="79"/>
      <c r="H470" s="71"/>
      <c r="I470" s="51"/>
      <c r="J470" s="51"/>
      <c r="K470" s="52"/>
      <c r="L470" s="53"/>
      <c r="M470" s="54"/>
      <c r="N470" s="55" t="str">
        <f t="shared" si="7"/>
        <v/>
      </c>
      <c r="O470" s="56">
        <f t="shared" si="8"/>
        <v>0</v>
      </c>
      <c r="P470" s="44"/>
      <c r="Q470" s="66"/>
      <c r="R470" s="32"/>
      <c r="S470" s="32"/>
      <c r="T470" s="32"/>
      <c r="U470" s="32"/>
      <c r="V470" s="32"/>
      <c r="W470" s="32"/>
      <c r="X470" s="32"/>
      <c r="Y470" s="32"/>
      <c r="Z470" s="32"/>
    </row>
    <row r="471" spans="1:26" ht="15" customHeight="1" x14ac:dyDescent="0.3">
      <c r="A471" s="45">
        <v>461</v>
      </c>
      <c r="B471" s="46"/>
      <c r="C471" s="46"/>
      <c r="D471" s="63"/>
      <c r="E471" s="78"/>
      <c r="F471" s="99"/>
      <c r="G471" s="79"/>
      <c r="H471" s="71"/>
      <c r="I471" s="51"/>
      <c r="J471" s="51"/>
      <c r="K471" s="52"/>
      <c r="L471" s="53"/>
      <c r="M471" s="54"/>
      <c r="N471" s="55" t="str">
        <f t="shared" si="7"/>
        <v/>
      </c>
      <c r="O471" s="56">
        <f t="shared" si="8"/>
        <v>0</v>
      </c>
      <c r="P471" s="44"/>
      <c r="Q471" s="66"/>
      <c r="R471" s="32"/>
      <c r="S471" s="32"/>
      <c r="T471" s="32"/>
      <c r="U471" s="32"/>
      <c r="V471" s="32"/>
      <c r="W471" s="32"/>
      <c r="X471" s="32"/>
      <c r="Y471" s="32"/>
      <c r="Z471" s="32"/>
    </row>
    <row r="472" spans="1:26" ht="15" customHeight="1" x14ac:dyDescent="0.3">
      <c r="A472" s="45">
        <v>462</v>
      </c>
      <c r="B472" s="46"/>
      <c r="C472" s="46"/>
      <c r="D472" s="63"/>
      <c r="E472" s="78"/>
      <c r="F472" s="99"/>
      <c r="G472" s="79"/>
      <c r="H472" s="71"/>
      <c r="I472" s="51"/>
      <c r="J472" s="51"/>
      <c r="K472" s="52"/>
      <c r="L472" s="53"/>
      <c r="M472" s="54"/>
      <c r="N472" s="55" t="str">
        <f t="shared" si="7"/>
        <v/>
      </c>
      <c r="O472" s="56">
        <f t="shared" si="8"/>
        <v>0</v>
      </c>
      <c r="P472" s="44"/>
      <c r="Q472" s="66"/>
      <c r="R472" s="32"/>
      <c r="S472" s="32"/>
      <c r="T472" s="32"/>
      <c r="U472" s="32"/>
      <c r="V472" s="32"/>
      <c r="W472" s="32"/>
      <c r="X472" s="32"/>
      <c r="Y472" s="32"/>
      <c r="Z472" s="32"/>
    </row>
    <row r="473" spans="1:26" ht="15" customHeight="1" x14ac:dyDescent="0.3">
      <c r="A473" s="45">
        <v>463</v>
      </c>
      <c r="B473" s="46"/>
      <c r="C473" s="46"/>
      <c r="D473" s="63"/>
      <c r="E473" s="78"/>
      <c r="F473" s="99"/>
      <c r="G473" s="79"/>
      <c r="H473" s="71"/>
      <c r="I473" s="51"/>
      <c r="J473" s="51"/>
      <c r="K473" s="52"/>
      <c r="L473" s="53"/>
      <c r="M473" s="54"/>
      <c r="N473" s="55" t="str">
        <f t="shared" si="7"/>
        <v/>
      </c>
      <c r="O473" s="56">
        <f t="shared" si="8"/>
        <v>0</v>
      </c>
      <c r="P473" s="44"/>
      <c r="Q473" s="66"/>
      <c r="R473" s="32"/>
      <c r="S473" s="32"/>
      <c r="T473" s="32"/>
      <c r="U473" s="32"/>
      <c r="V473" s="32"/>
      <c r="W473" s="32"/>
      <c r="X473" s="32"/>
      <c r="Y473" s="32"/>
      <c r="Z473" s="32"/>
    </row>
    <row r="474" spans="1:26" ht="15" customHeight="1" x14ac:dyDescent="0.3">
      <c r="A474" s="45">
        <v>464</v>
      </c>
      <c r="B474" s="46"/>
      <c r="C474" s="46"/>
      <c r="D474" s="63"/>
      <c r="E474" s="78"/>
      <c r="F474" s="99"/>
      <c r="G474" s="79"/>
      <c r="H474" s="71"/>
      <c r="I474" s="51"/>
      <c r="J474" s="51"/>
      <c r="K474" s="52"/>
      <c r="L474" s="53"/>
      <c r="M474" s="54"/>
      <c r="N474" s="55" t="str">
        <f t="shared" si="7"/>
        <v/>
      </c>
      <c r="O474" s="56">
        <f t="shared" si="8"/>
        <v>0</v>
      </c>
      <c r="P474" s="44"/>
      <c r="Q474" s="66"/>
      <c r="R474" s="32"/>
      <c r="S474" s="32"/>
      <c r="T474" s="32"/>
      <c r="U474" s="32"/>
      <c r="V474" s="32"/>
      <c r="W474" s="32"/>
      <c r="X474" s="32"/>
      <c r="Y474" s="32"/>
      <c r="Z474" s="32"/>
    </row>
    <row r="475" spans="1:26" ht="15" customHeight="1" x14ac:dyDescent="0.3">
      <c r="A475" s="45">
        <v>465</v>
      </c>
      <c r="B475" s="46"/>
      <c r="C475" s="46"/>
      <c r="D475" s="63"/>
      <c r="E475" s="78"/>
      <c r="F475" s="99"/>
      <c r="G475" s="79"/>
      <c r="H475" s="71"/>
      <c r="I475" s="51"/>
      <c r="J475" s="51"/>
      <c r="K475" s="52"/>
      <c r="L475" s="53"/>
      <c r="M475" s="54"/>
      <c r="N475" s="55" t="str">
        <f t="shared" si="7"/>
        <v/>
      </c>
      <c r="O475" s="56">
        <f t="shared" si="8"/>
        <v>0</v>
      </c>
      <c r="P475" s="44"/>
      <c r="Q475" s="66"/>
      <c r="R475" s="32"/>
      <c r="S475" s="32"/>
      <c r="T475" s="32"/>
      <c r="U475" s="32"/>
      <c r="V475" s="32"/>
      <c r="W475" s="32"/>
      <c r="X475" s="32"/>
      <c r="Y475" s="32"/>
      <c r="Z475" s="32"/>
    </row>
    <row r="476" spans="1:26" ht="15" customHeight="1" x14ac:dyDescent="0.3">
      <c r="A476" s="45">
        <v>466</v>
      </c>
      <c r="B476" s="46"/>
      <c r="C476" s="46"/>
      <c r="D476" s="63"/>
      <c r="E476" s="78"/>
      <c r="F476" s="99"/>
      <c r="G476" s="79"/>
      <c r="H476" s="71"/>
      <c r="I476" s="51"/>
      <c r="J476" s="51"/>
      <c r="K476" s="52"/>
      <c r="L476" s="53"/>
      <c r="M476" s="54"/>
      <c r="N476" s="55" t="str">
        <f t="shared" si="7"/>
        <v/>
      </c>
      <c r="O476" s="56">
        <f t="shared" si="8"/>
        <v>0</v>
      </c>
      <c r="P476" s="44"/>
      <c r="Q476" s="66"/>
      <c r="R476" s="32"/>
      <c r="S476" s="32"/>
      <c r="T476" s="32"/>
      <c r="U476" s="32"/>
      <c r="V476" s="32"/>
      <c r="W476" s="32"/>
      <c r="X476" s="32"/>
      <c r="Y476" s="32"/>
      <c r="Z476" s="32"/>
    </row>
    <row r="477" spans="1:26" ht="15" customHeight="1" x14ac:dyDescent="0.3">
      <c r="A477" s="45">
        <v>467</v>
      </c>
      <c r="B477" s="46"/>
      <c r="C477" s="46"/>
      <c r="D477" s="63"/>
      <c r="E477" s="78"/>
      <c r="F477" s="99"/>
      <c r="G477" s="79"/>
      <c r="H477" s="71"/>
      <c r="I477" s="51"/>
      <c r="J477" s="51"/>
      <c r="K477" s="52"/>
      <c r="L477" s="53"/>
      <c r="M477" s="54"/>
      <c r="N477" s="55" t="str">
        <f t="shared" si="7"/>
        <v/>
      </c>
      <c r="O477" s="56">
        <f t="shared" si="8"/>
        <v>0</v>
      </c>
      <c r="P477" s="44"/>
      <c r="Q477" s="66"/>
      <c r="R477" s="32"/>
      <c r="S477" s="32"/>
      <c r="T477" s="32"/>
      <c r="U477" s="32"/>
      <c r="V477" s="32"/>
      <c r="W477" s="32"/>
      <c r="X477" s="32"/>
      <c r="Y477" s="32"/>
      <c r="Z477" s="32"/>
    </row>
    <row r="478" spans="1:26" ht="15" customHeight="1" x14ac:dyDescent="0.3">
      <c r="A478" s="45">
        <v>468</v>
      </c>
      <c r="B478" s="46"/>
      <c r="C478" s="46"/>
      <c r="D478" s="63"/>
      <c r="E478" s="78"/>
      <c r="F478" s="99"/>
      <c r="G478" s="79"/>
      <c r="H478" s="71"/>
      <c r="I478" s="51"/>
      <c r="J478" s="51"/>
      <c r="K478" s="52"/>
      <c r="L478" s="53"/>
      <c r="M478" s="54"/>
      <c r="N478" s="55" t="str">
        <f t="shared" si="7"/>
        <v/>
      </c>
      <c r="O478" s="56">
        <f t="shared" si="8"/>
        <v>0</v>
      </c>
      <c r="P478" s="44"/>
      <c r="Q478" s="66"/>
      <c r="R478" s="32"/>
      <c r="S478" s="32"/>
      <c r="T478" s="32"/>
      <c r="U478" s="32"/>
      <c r="V478" s="32"/>
      <c r="W478" s="32"/>
      <c r="X478" s="32"/>
      <c r="Y478" s="32"/>
      <c r="Z478" s="32"/>
    </row>
    <row r="479" spans="1:26" ht="15" customHeight="1" x14ac:dyDescent="0.3">
      <c r="A479" s="45">
        <v>469</v>
      </c>
      <c r="B479" s="46"/>
      <c r="C479" s="46"/>
      <c r="D479" s="63"/>
      <c r="E479" s="78"/>
      <c r="F479" s="99"/>
      <c r="G479" s="79"/>
      <c r="H479" s="71"/>
      <c r="I479" s="51"/>
      <c r="J479" s="51"/>
      <c r="K479" s="52"/>
      <c r="L479" s="53"/>
      <c r="M479" s="54"/>
      <c r="N479" s="55" t="str">
        <f t="shared" si="7"/>
        <v/>
      </c>
      <c r="O479" s="56">
        <f t="shared" si="8"/>
        <v>0</v>
      </c>
      <c r="P479" s="44"/>
      <c r="Q479" s="66"/>
      <c r="R479" s="32"/>
      <c r="S479" s="32"/>
      <c r="T479" s="32"/>
      <c r="U479" s="32"/>
      <c r="V479" s="32"/>
      <c r="W479" s="32"/>
      <c r="X479" s="32"/>
      <c r="Y479" s="32"/>
      <c r="Z479" s="32"/>
    </row>
    <row r="480" spans="1:26" ht="15" customHeight="1" x14ac:dyDescent="0.3">
      <c r="A480" s="45">
        <v>470</v>
      </c>
      <c r="B480" s="46"/>
      <c r="C480" s="46"/>
      <c r="D480" s="63"/>
      <c r="E480" s="78"/>
      <c r="F480" s="99"/>
      <c r="G480" s="79"/>
      <c r="H480" s="71"/>
      <c r="I480" s="51"/>
      <c r="J480" s="51"/>
      <c r="K480" s="52"/>
      <c r="L480" s="53"/>
      <c r="M480" s="54"/>
      <c r="N480" s="55" t="str">
        <f t="shared" si="7"/>
        <v/>
      </c>
      <c r="O480" s="56">
        <f t="shared" si="8"/>
        <v>0</v>
      </c>
      <c r="P480" s="44"/>
      <c r="Q480" s="66"/>
      <c r="R480" s="32"/>
      <c r="S480" s="32"/>
      <c r="T480" s="32"/>
      <c r="U480" s="32"/>
      <c r="V480" s="32"/>
      <c r="W480" s="32"/>
      <c r="X480" s="32"/>
      <c r="Y480" s="32"/>
      <c r="Z480" s="32"/>
    </row>
    <row r="481" spans="1:26" ht="15" customHeight="1" x14ac:dyDescent="0.3">
      <c r="A481" s="45">
        <v>471</v>
      </c>
      <c r="B481" s="46"/>
      <c r="C481" s="46"/>
      <c r="D481" s="63"/>
      <c r="E481" s="78"/>
      <c r="F481" s="99"/>
      <c r="G481" s="79"/>
      <c r="H481" s="71"/>
      <c r="I481" s="51"/>
      <c r="J481" s="51"/>
      <c r="K481" s="52"/>
      <c r="L481" s="53"/>
      <c r="M481" s="54"/>
      <c r="N481" s="55" t="str">
        <f t="shared" si="7"/>
        <v/>
      </c>
      <c r="O481" s="56">
        <f t="shared" si="8"/>
        <v>0</v>
      </c>
      <c r="P481" s="44"/>
      <c r="Q481" s="66"/>
      <c r="R481" s="32"/>
      <c r="S481" s="32"/>
      <c r="T481" s="32"/>
      <c r="U481" s="32"/>
      <c r="V481" s="32"/>
      <c r="W481" s="32"/>
      <c r="X481" s="32"/>
      <c r="Y481" s="32"/>
      <c r="Z481" s="32"/>
    </row>
    <row r="482" spans="1:26" ht="15" customHeight="1" x14ac:dyDescent="0.3">
      <c r="A482" s="45">
        <v>472</v>
      </c>
      <c r="B482" s="46"/>
      <c r="C482" s="46"/>
      <c r="D482" s="63"/>
      <c r="E482" s="78"/>
      <c r="F482" s="99"/>
      <c r="G482" s="79"/>
      <c r="H482" s="71"/>
      <c r="I482" s="51"/>
      <c r="J482" s="51"/>
      <c r="K482" s="52"/>
      <c r="L482" s="53"/>
      <c r="M482" s="54"/>
      <c r="N482" s="55" t="str">
        <f t="shared" si="7"/>
        <v/>
      </c>
      <c r="O482" s="56">
        <f t="shared" si="8"/>
        <v>0</v>
      </c>
      <c r="P482" s="44"/>
      <c r="Q482" s="66"/>
      <c r="R482" s="32"/>
      <c r="S482" s="32"/>
      <c r="T482" s="32"/>
      <c r="U482" s="32"/>
      <c r="V482" s="32"/>
      <c r="W482" s="32"/>
      <c r="X482" s="32"/>
      <c r="Y482" s="32"/>
      <c r="Z482" s="32"/>
    </row>
    <row r="483" spans="1:26" ht="15" customHeight="1" x14ac:dyDescent="0.3">
      <c r="A483" s="45">
        <v>473</v>
      </c>
      <c r="B483" s="46"/>
      <c r="C483" s="46"/>
      <c r="D483" s="63"/>
      <c r="E483" s="78"/>
      <c r="F483" s="99"/>
      <c r="G483" s="79"/>
      <c r="H483" s="71"/>
      <c r="I483" s="51"/>
      <c r="J483" s="51"/>
      <c r="K483" s="52"/>
      <c r="L483" s="53"/>
      <c r="M483" s="54"/>
      <c r="N483" s="55" t="str">
        <f t="shared" si="7"/>
        <v/>
      </c>
      <c r="O483" s="56">
        <f t="shared" si="8"/>
        <v>0</v>
      </c>
      <c r="P483" s="44"/>
      <c r="Q483" s="66"/>
      <c r="R483" s="32"/>
      <c r="S483" s="32"/>
      <c r="T483" s="32"/>
      <c r="U483" s="32"/>
      <c r="V483" s="32"/>
      <c r="W483" s="32"/>
      <c r="X483" s="32"/>
      <c r="Y483" s="32"/>
      <c r="Z483" s="32"/>
    </row>
    <row r="484" spans="1:26" ht="15" customHeight="1" x14ac:dyDescent="0.3">
      <c r="A484" s="45">
        <v>474</v>
      </c>
      <c r="B484" s="46"/>
      <c r="C484" s="46"/>
      <c r="D484" s="63"/>
      <c r="E484" s="78"/>
      <c r="F484" s="99"/>
      <c r="G484" s="79"/>
      <c r="H484" s="71"/>
      <c r="I484" s="51"/>
      <c r="J484" s="51"/>
      <c r="K484" s="52"/>
      <c r="L484" s="53"/>
      <c r="M484" s="54"/>
      <c r="N484" s="55" t="str">
        <f t="shared" si="7"/>
        <v/>
      </c>
      <c r="O484" s="56">
        <f t="shared" si="8"/>
        <v>0</v>
      </c>
      <c r="P484" s="44"/>
      <c r="Q484" s="66"/>
      <c r="R484" s="32"/>
      <c r="S484" s="32"/>
      <c r="T484" s="32"/>
      <c r="U484" s="32"/>
      <c r="V484" s="32"/>
      <c r="W484" s="32"/>
      <c r="X484" s="32"/>
      <c r="Y484" s="32"/>
      <c r="Z484" s="32"/>
    </row>
    <row r="485" spans="1:26" ht="15" customHeight="1" x14ac:dyDescent="0.3">
      <c r="A485" s="45">
        <v>475</v>
      </c>
      <c r="B485" s="46"/>
      <c r="C485" s="46"/>
      <c r="D485" s="63"/>
      <c r="E485" s="78"/>
      <c r="F485" s="99"/>
      <c r="G485" s="79"/>
      <c r="H485" s="71"/>
      <c r="I485" s="51"/>
      <c r="J485" s="51"/>
      <c r="K485" s="52"/>
      <c r="L485" s="53"/>
      <c r="M485" s="54"/>
      <c r="N485" s="55" t="str">
        <f t="shared" si="7"/>
        <v/>
      </c>
      <c r="O485" s="56">
        <f t="shared" si="8"/>
        <v>0</v>
      </c>
      <c r="P485" s="44"/>
      <c r="Q485" s="66"/>
      <c r="R485" s="32"/>
      <c r="S485" s="32"/>
      <c r="T485" s="32"/>
      <c r="U485" s="32"/>
      <c r="V485" s="32"/>
      <c r="W485" s="32"/>
      <c r="X485" s="32"/>
      <c r="Y485" s="32"/>
      <c r="Z485" s="32"/>
    </row>
    <row r="486" spans="1:26" ht="15" customHeight="1" x14ac:dyDescent="0.3">
      <c r="A486" s="45">
        <v>476</v>
      </c>
      <c r="B486" s="46"/>
      <c r="C486" s="46"/>
      <c r="D486" s="63"/>
      <c r="E486" s="78"/>
      <c r="F486" s="99"/>
      <c r="G486" s="79"/>
      <c r="H486" s="71"/>
      <c r="I486" s="51"/>
      <c r="J486" s="51"/>
      <c r="K486" s="52"/>
      <c r="L486" s="53"/>
      <c r="M486" s="54"/>
      <c r="N486" s="55" t="str">
        <f t="shared" si="7"/>
        <v/>
      </c>
      <c r="O486" s="56">
        <f t="shared" si="8"/>
        <v>0</v>
      </c>
      <c r="P486" s="44"/>
      <c r="Q486" s="66"/>
      <c r="R486" s="32"/>
      <c r="S486" s="32"/>
      <c r="T486" s="32"/>
      <c r="U486" s="32"/>
      <c r="V486" s="32"/>
      <c r="W486" s="32"/>
      <c r="X486" s="32"/>
      <c r="Y486" s="32"/>
      <c r="Z486" s="32"/>
    </row>
    <row r="487" spans="1:26" ht="15" customHeight="1" x14ac:dyDescent="0.3">
      <c r="A487" s="45">
        <v>477</v>
      </c>
      <c r="B487" s="46"/>
      <c r="C487" s="46"/>
      <c r="D487" s="63"/>
      <c r="E487" s="78"/>
      <c r="F487" s="99"/>
      <c r="G487" s="79"/>
      <c r="H487" s="71"/>
      <c r="I487" s="51"/>
      <c r="J487" s="51"/>
      <c r="K487" s="52"/>
      <c r="L487" s="53"/>
      <c r="M487" s="54"/>
      <c r="N487" s="55" t="str">
        <f t="shared" si="7"/>
        <v/>
      </c>
      <c r="O487" s="56">
        <f t="shared" si="8"/>
        <v>0</v>
      </c>
      <c r="P487" s="44"/>
      <c r="Q487" s="66"/>
      <c r="R487" s="32"/>
      <c r="S487" s="32"/>
      <c r="T487" s="32"/>
      <c r="U487" s="32"/>
      <c r="V487" s="32"/>
      <c r="W487" s="32"/>
      <c r="X487" s="32"/>
      <c r="Y487" s="32"/>
      <c r="Z487" s="32"/>
    </row>
    <row r="488" spans="1:26" ht="15" customHeight="1" x14ac:dyDescent="0.3">
      <c r="A488" s="45">
        <v>478</v>
      </c>
      <c r="B488" s="46"/>
      <c r="C488" s="46"/>
      <c r="D488" s="63"/>
      <c r="E488" s="78"/>
      <c r="F488" s="99"/>
      <c r="G488" s="79"/>
      <c r="H488" s="71"/>
      <c r="I488" s="51"/>
      <c r="J488" s="51"/>
      <c r="K488" s="52"/>
      <c r="L488" s="53"/>
      <c r="M488" s="54"/>
      <c r="N488" s="55" t="str">
        <f t="shared" si="7"/>
        <v/>
      </c>
      <c r="O488" s="56">
        <f t="shared" si="8"/>
        <v>0</v>
      </c>
      <c r="P488" s="44"/>
      <c r="Q488" s="66"/>
      <c r="R488" s="32"/>
      <c r="S488" s="32"/>
      <c r="T488" s="32"/>
      <c r="U488" s="32"/>
      <c r="V488" s="32"/>
      <c r="W488" s="32"/>
      <c r="X488" s="32"/>
      <c r="Y488" s="32"/>
      <c r="Z488" s="32"/>
    </row>
    <row r="489" spans="1:26" ht="15" customHeight="1" x14ac:dyDescent="0.3">
      <c r="A489" s="45">
        <v>479</v>
      </c>
      <c r="B489" s="46"/>
      <c r="C489" s="46"/>
      <c r="D489" s="63"/>
      <c r="E489" s="78"/>
      <c r="F489" s="99"/>
      <c r="G489" s="79"/>
      <c r="H489" s="71"/>
      <c r="I489" s="51"/>
      <c r="J489" s="51"/>
      <c r="K489" s="52"/>
      <c r="L489" s="53"/>
      <c r="M489" s="54"/>
      <c r="N489" s="55" t="str">
        <f t="shared" si="7"/>
        <v/>
      </c>
      <c r="O489" s="56">
        <f t="shared" si="8"/>
        <v>0</v>
      </c>
      <c r="P489" s="44"/>
      <c r="Q489" s="66"/>
      <c r="R489" s="32"/>
      <c r="S489" s="32"/>
      <c r="T489" s="32"/>
      <c r="U489" s="32"/>
      <c r="V489" s="32"/>
      <c r="W489" s="32"/>
      <c r="X489" s="32"/>
      <c r="Y489" s="32"/>
      <c r="Z489" s="32"/>
    </row>
    <row r="490" spans="1:26" ht="15" customHeight="1" x14ac:dyDescent="0.3">
      <c r="A490" s="45">
        <v>480</v>
      </c>
      <c r="B490" s="46"/>
      <c r="C490" s="46"/>
      <c r="D490" s="63"/>
      <c r="E490" s="78"/>
      <c r="F490" s="99"/>
      <c r="G490" s="79"/>
      <c r="H490" s="71"/>
      <c r="I490" s="51"/>
      <c r="J490" s="51"/>
      <c r="K490" s="52"/>
      <c r="L490" s="53"/>
      <c r="M490" s="54"/>
      <c r="N490" s="55" t="str">
        <f t="shared" si="7"/>
        <v/>
      </c>
      <c r="O490" s="56">
        <f t="shared" si="8"/>
        <v>0</v>
      </c>
      <c r="P490" s="44"/>
      <c r="Q490" s="66"/>
      <c r="R490" s="32"/>
      <c r="S490" s="32"/>
      <c r="T490" s="32"/>
      <c r="U490" s="32"/>
      <c r="V490" s="32"/>
      <c r="W490" s="32"/>
      <c r="X490" s="32"/>
      <c r="Y490" s="32"/>
      <c r="Z490" s="32"/>
    </row>
    <row r="491" spans="1:26" ht="15" customHeight="1" x14ac:dyDescent="0.3">
      <c r="A491" s="45">
        <v>481</v>
      </c>
      <c r="B491" s="46"/>
      <c r="C491" s="46"/>
      <c r="D491" s="63"/>
      <c r="E491" s="78"/>
      <c r="F491" s="99"/>
      <c r="G491" s="79"/>
      <c r="H491" s="71"/>
      <c r="I491" s="51"/>
      <c r="J491" s="51"/>
      <c r="K491" s="52"/>
      <c r="L491" s="53"/>
      <c r="M491" s="54"/>
      <c r="N491" s="55" t="str">
        <f t="shared" si="7"/>
        <v/>
      </c>
      <c r="O491" s="56">
        <f t="shared" si="8"/>
        <v>0</v>
      </c>
      <c r="P491" s="44"/>
      <c r="Q491" s="66"/>
      <c r="R491" s="32"/>
      <c r="S491" s="32"/>
      <c r="T491" s="32"/>
      <c r="U491" s="32"/>
      <c r="V491" s="32"/>
      <c r="W491" s="32"/>
      <c r="X491" s="32"/>
      <c r="Y491" s="32"/>
      <c r="Z491" s="32"/>
    </row>
    <row r="492" spans="1:26" ht="15" customHeight="1" x14ac:dyDescent="0.3">
      <c r="A492" s="45">
        <v>482</v>
      </c>
      <c r="B492" s="46"/>
      <c r="C492" s="46"/>
      <c r="D492" s="63"/>
      <c r="E492" s="78"/>
      <c r="F492" s="99"/>
      <c r="G492" s="79"/>
      <c r="H492" s="71"/>
      <c r="I492" s="51"/>
      <c r="J492" s="51"/>
      <c r="K492" s="52"/>
      <c r="L492" s="53"/>
      <c r="M492" s="54"/>
      <c r="N492" s="55" t="str">
        <f t="shared" si="7"/>
        <v/>
      </c>
      <c r="O492" s="56">
        <f t="shared" si="8"/>
        <v>0</v>
      </c>
      <c r="P492" s="44"/>
      <c r="Q492" s="66"/>
      <c r="R492" s="32"/>
      <c r="S492" s="32"/>
      <c r="T492" s="32"/>
      <c r="U492" s="32"/>
      <c r="V492" s="32"/>
      <c r="W492" s="32"/>
      <c r="X492" s="32"/>
      <c r="Y492" s="32"/>
      <c r="Z492" s="32"/>
    </row>
    <row r="493" spans="1:26" ht="15" customHeight="1" x14ac:dyDescent="0.3">
      <c r="A493" s="45">
        <v>483</v>
      </c>
      <c r="B493" s="46"/>
      <c r="C493" s="46"/>
      <c r="D493" s="63"/>
      <c r="E493" s="78"/>
      <c r="F493" s="99"/>
      <c r="G493" s="79"/>
      <c r="H493" s="71"/>
      <c r="I493" s="51"/>
      <c r="J493" s="51"/>
      <c r="K493" s="52"/>
      <c r="L493" s="53"/>
      <c r="M493" s="54"/>
      <c r="N493" s="55" t="str">
        <f t="shared" si="7"/>
        <v/>
      </c>
      <c r="O493" s="56">
        <f t="shared" si="8"/>
        <v>0</v>
      </c>
      <c r="P493" s="44"/>
      <c r="Q493" s="66"/>
      <c r="R493" s="32"/>
      <c r="S493" s="32"/>
      <c r="T493" s="32"/>
      <c r="U493" s="32"/>
      <c r="V493" s="32"/>
      <c r="W493" s="32"/>
      <c r="X493" s="32"/>
      <c r="Y493" s="32"/>
      <c r="Z493" s="32"/>
    </row>
    <row r="494" spans="1:26" ht="15" customHeight="1" x14ac:dyDescent="0.3">
      <c r="A494" s="45">
        <v>484</v>
      </c>
      <c r="B494" s="46"/>
      <c r="C494" s="46"/>
      <c r="D494" s="63"/>
      <c r="E494" s="78"/>
      <c r="F494" s="99"/>
      <c r="G494" s="79"/>
      <c r="H494" s="71"/>
      <c r="I494" s="51"/>
      <c r="J494" s="51"/>
      <c r="K494" s="52"/>
      <c r="L494" s="53"/>
      <c r="M494" s="54"/>
      <c r="N494" s="55" t="str">
        <f t="shared" si="7"/>
        <v/>
      </c>
      <c r="O494" s="56">
        <f t="shared" si="8"/>
        <v>0</v>
      </c>
      <c r="P494" s="44"/>
      <c r="Q494" s="66"/>
      <c r="R494" s="32"/>
      <c r="S494" s="32"/>
      <c r="T494" s="32"/>
      <c r="U494" s="32"/>
      <c r="V494" s="32"/>
      <c r="W494" s="32"/>
      <c r="X494" s="32"/>
      <c r="Y494" s="32"/>
      <c r="Z494" s="32"/>
    </row>
    <row r="495" spans="1:26" ht="15" customHeight="1" x14ac:dyDescent="0.3">
      <c r="A495" s="45">
        <v>485</v>
      </c>
      <c r="B495" s="46"/>
      <c r="C495" s="46"/>
      <c r="D495" s="63"/>
      <c r="E495" s="78"/>
      <c r="F495" s="99"/>
      <c r="G495" s="79"/>
      <c r="H495" s="71"/>
      <c r="I495" s="51"/>
      <c r="J495" s="51"/>
      <c r="K495" s="52"/>
      <c r="L495" s="53"/>
      <c r="M495" s="54"/>
      <c r="N495" s="55" t="str">
        <f t="shared" si="7"/>
        <v/>
      </c>
      <c r="O495" s="56">
        <f t="shared" si="8"/>
        <v>0</v>
      </c>
      <c r="P495" s="44"/>
      <c r="Q495" s="66"/>
      <c r="R495" s="32"/>
      <c r="S495" s="32"/>
      <c r="T495" s="32"/>
      <c r="U495" s="32"/>
      <c r="V495" s="32"/>
      <c r="W495" s="32"/>
      <c r="X495" s="32"/>
      <c r="Y495" s="32"/>
      <c r="Z495" s="32"/>
    </row>
    <row r="496" spans="1:26" ht="15" customHeight="1" x14ac:dyDescent="0.3">
      <c r="A496" s="45">
        <v>486</v>
      </c>
      <c r="B496" s="46"/>
      <c r="C496" s="46"/>
      <c r="D496" s="63"/>
      <c r="E496" s="78"/>
      <c r="F496" s="99"/>
      <c r="G496" s="79"/>
      <c r="H496" s="71"/>
      <c r="I496" s="51"/>
      <c r="J496" s="51"/>
      <c r="K496" s="52"/>
      <c r="L496" s="53"/>
      <c r="M496" s="54"/>
      <c r="N496" s="55" t="str">
        <f t="shared" si="7"/>
        <v/>
      </c>
      <c r="O496" s="56">
        <f t="shared" si="8"/>
        <v>0</v>
      </c>
      <c r="P496" s="44"/>
      <c r="Q496" s="66"/>
      <c r="R496" s="32"/>
      <c r="S496" s="32"/>
      <c r="T496" s="32"/>
      <c r="U496" s="32"/>
      <c r="V496" s="32"/>
      <c r="W496" s="32"/>
      <c r="X496" s="32"/>
      <c r="Y496" s="32"/>
      <c r="Z496" s="32"/>
    </row>
    <row r="497" spans="1:26" ht="15" customHeight="1" x14ac:dyDescent="0.3">
      <c r="A497" s="45">
        <v>487</v>
      </c>
      <c r="B497" s="46"/>
      <c r="C497" s="46"/>
      <c r="D497" s="63"/>
      <c r="E497" s="78"/>
      <c r="F497" s="99"/>
      <c r="G497" s="79"/>
      <c r="H497" s="71"/>
      <c r="I497" s="51"/>
      <c r="J497" s="51"/>
      <c r="K497" s="52"/>
      <c r="L497" s="53"/>
      <c r="M497" s="54"/>
      <c r="N497" s="55" t="str">
        <f t="shared" si="7"/>
        <v/>
      </c>
      <c r="O497" s="56">
        <f t="shared" si="8"/>
        <v>0</v>
      </c>
      <c r="P497" s="44"/>
      <c r="Q497" s="66"/>
      <c r="R497" s="32"/>
      <c r="S497" s="32"/>
      <c r="T497" s="32"/>
      <c r="U497" s="32"/>
      <c r="V497" s="32"/>
      <c r="W497" s="32"/>
      <c r="X497" s="32"/>
      <c r="Y497" s="32"/>
      <c r="Z497" s="32"/>
    </row>
    <row r="498" spans="1:26" ht="15" customHeight="1" x14ac:dyDescent="0.3">
      <c r="A498" s="45">
        <v>488</v>
      </c>
      <c r="B498" s="46"/>
      <c r="C498" s="46"/>
      <c r="D498" s="63"/>
      <c r="E498" s="78"/>
      <c r="F498" s="99"/>
      <c r="G498" s="79"/>
      <c r="H498" s="71"/>
      <c r="I498" s="51"/>
      <c r="J498" s="51"/>
      <c r="K498" s="52"/>
      <c r="L498" s="53"/>
      <c r="M498" s="54"/>
      <c r="N498" s="55" t="str">
        <f t="shared" si="7"/>
        <v/>
      </c>
      <c r="O498" s="56">
        <f t="shared" si="8"/>
        <v>0</v>
      </c>
      <c r="P498" s="44"/>
      <c r="Q498" s="66"/>
      <c r="R498" s="32"/>
      <c r="S498" s="32"/>
      <c r="T498" s="32"/>
      <c r="U498" s="32"/>
      <c r="V498" s="32"/>
      <c r="W498" s="32"/>
      <c r="X498" s="32"/>
      <c r="Y498" s="32"/>
      <c r="Z498" s="32"/>
    </row>
    <row r="499" spans="1:26" ht="15" customHeight="1" x14ac:dyDescent="0.3">
      <c r="A499" s="45">
        <v>489</v>
      </c>
      <c r="B499" s="46"/>
      <c r="C499" s="46"/>
      <c r="D499" s="63"/>
      <c r="E499" s="78"/>
      <c r="F499" s="99"/>
      <c r="G499" s="79"/>
      <c r="H499" s="71"/>
      <c r="I499" s="51"/>
      <c r="J499" s="51"/>
      <c r="K499" s="52"/>
      <c r="L499" s="53"/>
      <c r="M499" s="54"/>
      <c r="N499" s="55" t="str">
        <f t="shared" si="7"/>
        <v/>
      </c>
      <c r="O499" s="56">
        <f t="shared" si="8"/>
        <v>0</v>
      </c>
      <c r="P499" s="44"/>
      <c r="Q499" s="66"/>
      <c r="R499" s="32"/>
      <c r="S499" s="32"/>
      <c r="T499" s="32"/>
      <c r="U499" s="32"/>
      <c r="V499" s="32"/>
      <c r="W499" s="32"/>
      <c r="X499" s="32"/>
      <c r="Y499" s="32"/>
      <c r="Z499" s="32"/>
    </row>
    <row r="500" spans="1:26" ht="15" customHeight="1" x14ac:dyDescent="0.3">
      <c r="A500" s="45">
        <v>490</v>
      </c>
      <c r="B500" s="46"/>
      <c r="C500" s="46"/>
      <c r="D500" s="63"/>
      <c r="E500" s="78"/>
      <c r="F500" s="99"/>
      <c r="G500" s="79"/>
      <c r="H500" s="71"/>
      <c r="I500" s="51"/>
      <c r="J500" s="51"/>
      <c r="K500" s="52"/>
      <c r="L500" s="53"/>
      <c r="M500" s="54"/>
      <c r="N500" s="55" t="str">
        <f t="shared" si="7"/>
        <v/>
      </c>
      <c r="O500" s="56">
        <f t="shared" si="8"/>
        <v>0</v>
      </c>
      <c r="P500" s="44"/>
      <c r="Q500" s="66"/>
      <c r="R500" s="32"/>
      <c r="S500" s="32"/>
      <c r="T500" s="32"/>
      <c r="U500" s="32"/>
      <c r="V500" s="32"/>
      <c r="W500" s="32"/>
      <c r="X500" s="32"/>
      <c r="Y500" s="32"/>
      <c r="Z500" s="32"/>
    </row>
    <row r="501" spans="1:26" ht="15" customHeight="1" x14ac:dyDescent="0.3">
      <c r="A501" s="45">
        <v>491</v>
      </c>
      <c r="B501" s="46"/>
      <c r="C501" s="46"/>
      <c r="D501" s="63"/>
      <c r="E501" s="78"/>
      <c r="F501" s="99"/>
      <c r="G501" s="79"/>
      <c r="H501" s="71"/>
      <c r="I501" s="51"/>
      <c r="J501" s="51"/>
      <c r="K501" s="52"/>
      <c r="L501" s="53"/>
      <c r="M501" s="54"/>
      <c r="N501" s="55" t="str">
        <f t="shared" si="7"/>
        <v/>
      </c>
      <c r="O501" s="56">
        <f t="shared" si="8"/>
        <v>0</v>
      </c>
      <c r="P501" s="44"/>
      <c r="Q501" s="66"/>
      <c r="R501" s="32"/>
      <c r="S501" s="32"/>
      <c r="T501" s="32"/>
      <c r="U501" s="32"/>
      <c r="V501" s="32"/>
      <c r="W501" s="32"/>
      <c r="X501" s="32"/>
      <c r="Y501" s="32"/>
      <c r="Z501" s="32"/>
    </row>
    <row r="502" spans="1:26" ht="15" customHeight="1" x14ac:dyDescent="0.3">
      <c r="A502" s="45">
        <v>492</v>
      </c>
      <c r="B502" s="46"/>
      <c r="C502" s="46"/>
      <c r="D502" s="63"/>
      <c r="E502" s="78"/>
      <c r="F502" s="99"/>
      <c r="G502" s="79"/>
      <c r="H502" s="71"/>
      <c r="I502" s="51"/>
      <c r="J502" s="51"/>
      <c r="K502" s="52"/>
      <c r="L502" s="53"/>
      <c r="M502" s="54"/>
      <c r="N502" s="55" t="str">
        <f t="shared" si="7"/>
        <v/>
      </c>
      <c r="O502" s="56">
        <f t="shared" si="8"/>
        <v>0</v>
      </c>
      <c r="P502" s="44"/>
      <c r="Q502" s="66"/>
      <c r="R502" s="32"/>
      <c r="S502" s="32"/>
      <c r="T502" s="32"/>
      <c r="U502" s="32"/>
      <c r="V502" s="32"/>
      <c r="W502" s="32"/>
      <c r="X502" s="32"/>
      <c r="Y502" s="32"/>
      <c r="Z502" s="32"/>
    </row>
    <row r="503" spans="1:26" ht="15" customHeight="1" x14ac:dyDescent="0.3">
      <c r="A503" s="45">
        <v>493</v>
      </c>
      <c r="B503" s="46"/>
      <c r="C503" s="46"/>
      <c r="D503" s="63"/>
      <c r="E503" s="78"/>
      <c r="F503" s="99"/>
      <c r="G503" s="79"/>
      <c r="H503" s="71"/>
      <c r="I503" s="51"/>
      <c r="J503" s="51"/>
      <c r="K503" s="52"/>
      <c r="L503" s="53"/>
      <c r="M503" s="54"/>
      <c r="N503" s="55" t="str">
        <f t="shared" si="7"/>
        <v/>
      </c>
      <c r="O503" s="56">
        <f t="shared" si="8"/>
        <v>0</v>
      </c>
      <c r="P503" s="44"/>
      <c r="Q503" s="66"/>
      <c r="R503" s="32"/>
      <c r="S503" s="32"/>
      <c r="T503" s="32"/>
      <c r="U503" s="32"/>
      <c r="V503" s="32"/>
      <c r="W503" s="32"/>
      <c r="X503" s="32"/>
      <c r="Y503" s="32"/>
      <c r="Z503" s="32"/>
    </row>
    <row r="504" spans="1:26" ht="15" customHeight="1" x14ac:dyDescent="0.3">
      <c r="A504" s="45">
        <v>494</v>
      </c>
      <c r="B504" s="46"/>
      <c r="C504" s="46"/>
      <c r="D504" s="63"/>
      <c r="E504" s="78"/>
      <c r="F504" s="99"/>
      <c r="G504" s="79"/>
      <c r="H504" s="71"/>
      <c r="I504" s="51"/>
      <c r="J504" s="51"/>
      <c r="K504" s="52"/>
      <c r="L504" s="53"/>
      <c r="M504" s="54"/>
      <c r="N504" s="55" t="str">
        <f t="shared" si="7"/>
        <v/>
      </c>
      <c r="O504" s="56">
        <f t="shared" si="8"/>
        <v>0</v>
      </c>
      <c r="P504" s="44"/>
      <c r="Q504" s="66"/>
      <c r="R504" s="32"/>
      <c r="S504" s="32"/>
      <c r="T504" s="32"/>
      <c r="U504" s="32"/>
      <c r="V504" s="32"/>
      <c r="W504" s="32"/>
      <c r="X504" s="32"/>
      <c r="Y504" s="32"/>
      <c r="Z504" s="32"/>
    </row>
    <row r="505" spans="1:26" ht="15" customHeight="1" x14ac:dyDescent="0.3">
      <c r="A505" s="45">
        <v>495</v>
      </c>
      <c r="B505" s="46"/>
      <c r="C505" s="46"/>
      <c r="D505" s="63"/>
      <c r="E505" s="78"/>
      <c r="F505" s="99"/>
      <c r="G505" s="79"/>
      <c r="H505" s="71"/>
      <c r="I505" s="51"/>
      <c r="J505" s="51"/>
      <c r="K505" s="52"/>
      <c r="L505" s="53"/>
      <c r="M505" s="54"/>
      <c r="N505" s="55" t="str">
        <f t="shared" si="7"/>
        <v/>
      </c>
      <c r="O505" s="56">
        <f t="shared" si="8"/>
        <v>0</v>
      </c>
      <c r="P505" s="44"/>
      <c r="Q505" s="66"/>
      <c r="R505" s="32"/>
      <c r="S505" s="32"/>
      <c r="T505" s="32"/>
      <c r="U505" s="32"/>
      <c r="V505" s="32"/>
      <c r="W505" s="32"/>
      <c r="X505" s="32"/>
      <c r="Y505" s="32"/>
      <c r="Z505" s="32"/>
    </row>
    <row r="506" spans="1:26" ht="15" customHeight="1" x14ac:dyDescent="0.3">
      <c r="A506" s="45">
        <v>496</v>
      </c>
      <c r="B506" s="46"/>
      <c r="C506" s="46"/>
      <c r="D506" s="63"/>
      <c r="E506" s="78"/>
      <c r="F506" s="99"/>
      <c r="G506" s="79"/>
      <c r="H506" s="71"/>
      <c r="I506" s="51"/>
      <c r="J506" s="51"/>
      <c r="K506" s="52"/>
      <c r="L506" s="53"/>
      <c r="M506" s="54"/>
      <c r="N506" s="55" t="str">
        <f t="shared" si="7"/>
        <v/>
      </c>
      <c r="O506" s="56">
        <f t="shared" si="8"/>
        <v>0</v>
      </c>
      <c r="P506" s="44"/>
      <c r="Q506" s="66"/>
      <c r="R506" s="32"/>
      <c r="S506" s="32"/>
      <c r="T506" s="32"/>
      <c r="U506" s="32"/>
      <c r="V506" s="32"/>
      <c r="W506" s="32"/>
      <c r="X506" s="32"/>
      <c r="Y506" s="32"/>
      <c r="Z506" s="32"/>
    </row>
    <row r="507" spans="1:26" ht="15" customHeight="1" x14ac:dyDescent="0.3">
      <c r="A507" s="45">
        <v>497</v>
      </c>
      <c r="B507" s="46"/>
      <c r="C507" s="46"/>
      <c r="D507" s="63"/>
      <c r="E507" s="78"/>
      <c r="F507" s="99"/>
      <c r="G507" s="79"/>
      <c r="H507" s="71"/>
      <c r="I507" s="51"/>
      <c r="J507" s="51"/>
      <c r="K507" s="52"/>
      <c r="L507" s="53"/>
      <c r="M507" s="54"/>
      <c r="N507" s="55" t="str">
        <f t="shared" si="7"/>
        <v/>
      </c>
      <c r="O507" s="56">
        <f t="shared" si="8"/>
        <v>0</v>
      </c>
      <c r="P507" s="44"/>
      <c r="Q507" s="66"/>
      <c r="R507" s="32"/>
      <c r="S507" s="32"/>
      <c r="T507" s="32"/>
      <c r="U507" s="32"/>
      <c r="V507" s="32"/>
      <c r="W507" s="32"/>
      <c r="X507" s="32"/>
      <c r="Y507" s="32"/>
      <c r="Z507" s="32"/>
    </row>
    <row r="508" spans="1:26" ht="15" customHeight="1" x14ac:dyDescent="0.3">
      <c r="A508" s="45">
        <v>498</v>
      </c>
      <c r="B508" s="46"/>
      <c r="C508" s="46"/>
      <c r="D508" s="63"/>
      <c r="E508" s="78"/>
      <c r="F508" s="99"/>
      <c r="G508" s="79"/>
      <c r="H508" s="71"/>
      <c r="I508" s="51"/>
      <c r="J508" s="51"/>
      <c r="K508" s="52" t="s">
        <v>33</v>
      </c>
      <c r="L508" s="53" t="str">
        <f t="shared" ref="L508:L511" si="9">CONCATENATE(I508,J508)</f>
        <v/>
      </c>
      <c r="M508" s="54">
        <f t="shared" ref="M508:M510" si="10">H508*I508</f>
        <v>0</v>
      </c>
      <c r="N508" s="55" t="str">
        <f t="shared" si="7"/>
        <v xml:space="preserve">0 </v>
      </c>
      <c r="O508" s="56">
        <f t="shared" si="8"/>
        <v>0</v>
      </c>
      <c r="P508" s="44" t="e">
        <f t="shared" ref="P508:P511" si="11">O508/H508</f>
        <v>#DIV/0!</v>
      </c>
      <c r="Q508" s="66" t="e">
        <f t="shared" ref="Q508:Q510" si="12">G508-P508</f>
        <v>#DIV/0!</v>
      </c>
      <c r="R508" s="32"/>
      <c r="S508" s="32"/>
      <c r="T508" s="32"/>
      <c r="U508" s="32"/>
      <c r="V508" s="32"/>
      <c r="W508" s="32"/>
      <c r="X508" s="32"/>
      <c r="Y508" s="32"/>
      <c r="Z508" s="32"/>
    </row>
    <row r="509" spans="1:26" ht="15" customHeight="1" x14ac:dyDescent="0.3">
      <c r="A509" s="45">
        <v>499</v>
      </c>
      <c r="B509" s="46"/>
      <c r="C509" s="46"/>
      <c r="D509" s="63"/>
      <c r="E509" s="78"/>
      <c r="F509" s="99"/>
      <c r="G509" s="79"/>
      <c r="H509" s="71"/>
      <c r="I509" s="51"/>
      <c r="J509" s="51"/>
      <c r="K509" s="52" t="s">
        <v>33</v>
      </c>
      <c r="L509" s="53" t="str">
        <f t="shared" si="9"/>
        <v/>
      </c>
      <c r="M509" s="54">
        <f t="shared" si="10"/>
        <v>0</v>
      </c>
      <c r="N509" s="55" t="str">
        <f t="shared" si="7"/>
        <v xml:space="preserve">0 </v>
      </c>
      <c r="O509" s="56">
        <f t="shared" si="8"/>
        <v>0</v>
      </c>
      <c r="P509" s="44" t="e">
        <f t="shared" si="11"/>
        <v>#DIV/0!</v>
      </c>
      <c r="Q509" s="66" t="e">
        <f t="shared" si="12"/>
        <v>#DIV/0!</v>
      </c>
      <c r="R509" s="32"/>
      <c r="S509" s="32"/>
      <c r="T509" s="32"/>
      <c r="U509" s="32"/>
      <c r="V509" s="32"/>
      <c r="W509" s="32"/>
      <c r="X509" s="32"/>
      <c r="Y509" s="32"/>
      <c r="Z509" s="32"/>
    </row>
    <row r="510" spans="1:26" ht="15" customHeight="1" x14ac:dyDescent="0.3">
      <c r="A510" s="45">
        <v>500</v>
      </c>
      <c r="B510" s="46"/>
      <c r="C510" s="46"/>
      <c r="D510" s="63"/>
      <c r="E510" s="78"/>
      <c r="F510" s="99"/>
      <c r="G510" s="79"/>
      <c r="H510" s="71"/>
      <c r="I510" s="51"/>
      <c r="J510" s="51"/>
      <c r="K510" s="52" t="s">
        <v>33</v>
      </c>
      <c r="L510" s="53" t="str">
        <f t="shared" si="9"/>
        <v/>
      </c>
      <c r="M510" s="54">
        <f t="shared" si="10"/>
        <v>0</v>
      </c>
      <c r="N510" s="55" t="str">
        <f t="shared" si="7"/>
        <v xml:space="preserve">0 </v>
      </c>
      <c r="O510" s="56">
        <f t="shared" si="8"/>
        <v>0</v>
      </c>
      <c r="P510" s="44" t="e">
        <f t="shared" si="11"/>
        <v>#DIV/0!</v>
      </c>
      <c r="Q510" s="66" t="e">
        <f t="shared" si="12"/>
        <v>#DIV/0!</v>
      </c>
      <c r="R510" s="32"/>
      <c r="S510" s="32"/>
      <c r="T510" s="32"/>
      <c r="U510" s="32"/>
      <c r="V510" s="32"/>
      <c r="W510" s="32"/>
      <c r="X510" s="32"/>
      <c r="Y510" s="32"/>
      <c r="Z510" s="32"/>
    </row>
    <row r="511" spans="1:26" ht="25.5" customHeight="1" x14ac:dyDescent="0.3">
      <c r="A511" s="118" t="s">
        <v>458</v>
      </c>
      <c r="B511" s="119"/>
      <c r="C511" s="120"/>
      <c r="D511" s="120"/>
      <c r="E511" s="121"/>
      <c r="F511" s="120"/>
      <c r="G511" s="122"/>
      <c r="H511" s="120"/>
      <c r="I511" s="123"/>
      <c r="J511" s="123"/>
      <c r="K511" s="123"/>
      <c r="L511" s="53" t="str">
        <f t="shared" si="9"/>
        <v/>
      </c>
      <c r="M511" s="124"/>
      <c r="N511" s="125"/>
      <c r="O511" s="126">
        <f>SUM(O11:O510)</f>
        <v>556093.60534999985</v>
      </c>
      <c r="P511" s="44" t="e">
        <f t="shared" si="11"/>
        <v>#DIV/0!</v>
      </c>
      <c r="Q511" s="12"/>
      <c r="R511" s="12"/>
      <c r="S511" s="12"/>
      <c r="T511" s="12"/>
      <c r="U511" s="12"/>
      <c r="V511" s="12"/>
      <c r="W511" s="12"/>
      <c r="X511" s="12"/>
      <c r="Y511" s="12"/>
      <c r="Z511" s="12"/>
    </row>
    <row r="512" spans="1:26" ht="13.5" hidden="1" customHeight="1" x14ac:dyDescent="0.3">
      <c r="A512" s="127" t="s">
        <v>459</v>
      </c>
      <c r="B512" s="128"/>
      <c r="C512" s="129" t="s">
        <v>460</v>
      </c>
      <c r="D512" s="129"/>
      <c r="E512" s="129"/>
      <c r="F512" s="129"/>
      <c r="G512" s="129"/>
      <c r="H512" s="129"/>
      <c r="I512" s="129"/>
      <c r="J512" s="129"/>
      <c r="K512" s="129"/>
      <c r="L512" s="129"/>
      <c r="M512" s="129"/>
      <c r="N512" s="62"/>
      <c r="O512" s="62"/>
      <c r="P512" s="44"/>
      <c r="Q512" s="12"/>
      <c r="R512" s="12"/>
      <c r="S512" s="12"/>
      <c r="T512" s="12"/>
      <c r="U512" s="12"/>
      <c r="V512" s="12"/>
      <c r="W512" s="12"/>
      <c r="X512" s="12"/>
      <c r="Y512" s="12"/>
      <c r="Z512" s="12"/>
    </row>
    <row r="513" spans="1:26" ht="14.25" hidden="1" customHeight="1" x14ac:dyDescent="0.3">
      <c r="A513" s="130"/>
      <c r="B513" s="131"/>
      <c r="C513" s="129"/>
      <c r="D513" s="129"/>
      <c r="E513" s="129"/>
      <c r="F513" s="129"/>
      <c r="G513" s="129"/>
      <c r="H513" s="129"/>
      <c r="I513" s="129"/>
      <c r="J513" s="129"/>
      <c r="K513" s="129"/>
      <c r="L513" s="129"/>
      <c r="M513" s="129"/>
      <c r="N513" s="62"/>
      <c r="O513" s="62"/>
      <c r="P513" s="44"/>
      <c r="Q513" s="12"/>
      <c r="R513" s="12"/>
      <c r="S513" s="12"/>
      <c r="T513" s="12"/>
      <c r="U513" s="12"/>
      <c r="V513" s="12"/>
      <c r="W513" s="12"/>
      <c r="X513" s="12"/>
      <c r="Y513" s="12"/>
      <c r="Z513" s="12"/>
    </row>
    <row r="514" spans="1:26" ht="14.25" hidden="1" customHeight="1" x14ac:dyDescent="0.3">
      <c r="A514" s="130"/>
      <c r="B514" s="131"/>
      <c r="C514" s="129"/>
      <c r="D514" s="129"/>
      <c r="E514" s="129"/>
      <c r="F514" s="129"/>
      <c r="G514" s="129"/>
      <c r="H514" s="129"/>
      <c r="I514" s="129"/>
      <c r="J514" s="129"/>
      <c r="K514" s="129"/>
      <c r="L514" s="129"/>
      <c r="M514" s="129"/>
      <c r="N514" s="62"/>
      <c r="O514" s="62"/>
      <c r="P514" s="44"/>
      <c r="Q514" s="12"/>
      <c r="R514" s="12"/>
      <c r="S514" s="12"/>
      <c r="T514" s="12"/>
      <c r="U514" s="12"/>
      <c r="V514" s="12"/>
      <c r="W514" s="12"/>
      <c r="X514" s="12"/>
      <c r="Y514" s="12"/>
      <c r="Z514" s="12"/>
    </row>
    <row r="515" spans="1:26" ht="14.25" hidden="1" customHeight="1" x14ac:dyDescent="0.3">
      <c r="A515" s="130"/>
      <c r="B515" s="131"/>
      <c r="C515" s="129"/>
      <c r="D515" s="129"/>
      <c r="E515" s="129"/>
      <c r="F515" s="129"/>
      <c r="G515" s="129"/>
      <c r="H515" s="129"/>
      <c r="I515" s="129"/>
      <c r="J515" s="129"/>
      <c r="K515" s="129"/>
      <c r="L515" s="129"/>
      <c r="M515" s="129"/>
      <c r="N515" s="62"/>
      <c r="O515" s="62"/>
      <c r="P515" s="44"/>
      <c r="Q515" s="12"/>
      <c r="R515" s="12"/>
      <c r="S515" s="12"/>
      <c r="T515" s="12"/>
      <c r="U515" s="12"/>
      <c r="V515" s="12"/>
      <c r="W515" s="12"/>
      <c r="X515" s="12"/>
      <c r="Y515" s="12"/>
      <c r="Z515" s="12"/>
    </row>
    <row r="516" spans="1:26" ht="14.25" hidden="1" customHeight="1" x14ac:dyDescent="0.3">
      <c r="A516" s="130"/>
      <c r="B516" s="131"/>
      <c r="C516" s="132"/>
      <c r="D516" s="132"/>
      <c r="E516" s="130"/>
      <c r="F516" s="132"/>
      <c r="G516" s="133"/>
      <c r="H516" s="132"/>
      <c r="I516" s="132"/>
      <c r="J516" s="132"/>
      <c r="K516" s="132"/>
      <c r="L516" s="132"/>
      <c r="M516" s="134"/>
      <c r="N516" s="62"/>
      <c r="O516" s="62"/>
      <c r="P516" s="44"/>
      <c r="Q516" s="12"/>
      <c r="R516" s="12"/>
      <c r="S516" s="12"/>
      <c r="T516" s="12"/>
      <c r="U516" s="12"/>
      <c r="V516" s="12"/>
      <c r="W516" s="12"/>
      <c r="X516" s="12"/>
      <c r="Y516" s="12"/>
      <c r="Z516" s="12"/>
    </row>
    <row r="517" spans="1:26" ht="14.25" hidden="1" customHeight="1" x14ac:dyDescent="0.3">
      <c r="A517" s="130"/>
      <c r="B517" s="128"/>
      <c r="C517" s="132" t="s">
        <v>461</v>
      </c>
      <c r="D517" s="132"/>
      <c r="E517" s="130"/>
      <c r="F517" s="132"/>
      <c r="G517" s="133"/>
      <c r="H517" s="132"/>
      <c r="I517" s="132"/>
      <c r="J517" s="132"/>
      <c r="K517" s="132"/>
      <c r="L517" s="132"/>
      <c r="M517" s="134"/>
      <c r="N517" s="62"/>
      <c r="O517" s="62"/>
      <c r="P517" s="44"/>
      <c r="Q517" s="12"/>
      <c r="R517" s="12"/>
      <c r="S517" s="12"/>
      <c r="T517" s="12"/>
      <c r="U517" s="12"/>
      <c r="V517" s="12"/>
      <c r="W517" s="12"/>
      <c r="X517" s="12"/>
      <c r="Y517" s="12"/>
      <c r="Z517" s="12"/>
    </row>
    <row r="518" spans="1:26" ht="14.25" hidden="1" customHeight="1" x14ac:dyDescent="0.35">
      <c r="A518" s="130"/>
      <c r="B518" s="131"/>
      <c r="C518" s="135" t="s">
        <v>462</v>
      </c>
      <c r="D518" s="136" t="s">
        <v>463</v>
      </c>
      <c r="E518" s="136"/>
      <c r="F518" s="132"/>
      <c r="G518" s="136" t="s">
        <v>464</v>
      </c>
      <c r="H518" s="136"/>
      <c r="I518" s="136"/>
      <c r="J518" s="136"/>
      <c r="K518" s="136"/>
      <c r="L518" s="136"/>
      <c r="M518" s="136"/>
      <c r="N518" s="62"/>
      <c r="O518" s="62"/>
      <c r="P518" s="44"/>
      <c r="Q518" s="12"/>
      <c r="R518" s="12"/>
      <c r="S518" s="12"/>
      <c r="T518" s="12"/>
      <c r="U518" s="12"/>
      <c r="V518" s="12"/>
      <c r="W518" s="12"/>
      <c r="X518" s="12"/>
      <c r="Y518" s="12"/>
      <c r="Z518" s="12"/>
    </row>
    <row r="519" spans="1:26" ht="14.25" hidden="1" customHeight="1" x14ac:dyDescent="0.3">
      <c r="A519" s="130"/>
      <c r="B519" s="131"/>
      <c r="C519" s="135"/>
      <c r="D519" s="136"/>
      <c r="E519" s="136"/>
      <c r="F519" s="132"/>
      <c r="G519" s="137"/>
      <c r="H519" s="138"/>
      <c r="I519" s="138"/>
      <c r="J519" s="138"/>
      <c r="K519" s="138"/>
      <c r="L519" s="138"/>
      <c r="M519" s="139"/>
      <c r="N519" s="62"/>
      <c r="O519" s="62"/>
      <c r="P519" s="44"/>
      <c r="Q519" s="12"/>
      <c r="R519" s="12"/>
      <c r="S519" s="12"/>
      <c r="T519" s="12"/>
      <c r="U519" s="12"/>
      <c r="V519" s="12"/>
      <c r="W519" s="12"/>
      <c r="X519" s="12"/>
      <c r="Y519" s="12"/>
      <c r="Z519" s="12"/>
    </row>
    <row r="520" spans="1:26" ht="14.25" hidden="1" customHeight="1" x14ac:dyDescent="0.3">
      <c r="A520" s="130"/>
      <c r="B520" s="131"/>
      <c r="C520" s="135"/>
      <c r="D520" s="132"/>
      <c r="E520" s="130"/>
      <c r="F520" s="132"/>
      <c r="G520" s="133"/>
      <c r="H520" s="132"/>
      <c r="I520" s="132"/>
      <c r="J520" s="132"/>
      <c r="K520" s="132"/>
      <c r="L520" s="132"/>
      <c r="M520" s="134"/>
      <c r="N520" s="62"/>
      <c r="O520" s="62"/>
      <c r="P520" s="44"/>
      <c r="Q520" s="12"/>
      <c r="R520" s="12"/>
      <c r="S520" s="12"/>
      <c r="T520" s="12"/>
      <c r="U520" s="12"/>
      <c r="V520" s="12"/>
      <c r="W520" s="12"/>
      <c r="X520" s="12"/>
      <c r="Y520" s="12"/>
      <c r="Z520" s="12"/>
    </row>
    <row r="521" spans="1:26" ht="14.25" hidden="1" customHeight="1" x14ac:dyDescent="0.3">
      <c r="A521" s="130"/>
      <c r="B521" s="131"/>
      <c r="C521" s="135" t="s">
        <v>465</v>
      </c>
      <c r="D521" s="136" t="s">
        <v>466</v>
      </c>
      <c r="E521" s="136"/>
      <c r="F521" s="132"/>
      <c r="G521" s="136" t="s">
        <v>467</v>
      </c>
      <c r="H521" s="136"/>
      <c r="I521" s="136"/>
      <c r="J521" s="136"/>
      <c r="K521" s="136"/>
      <c r="L521" s="136"/>
      <c r="M521" s="136"/>
      <c r="N521" s="62"/>
      <c r="O521" s="62"/>
      <c r="P521" s="44"/>
      <c r="Q521" s="12"/>
      <c r="R521" s="12"/>
      <c r="S521" s="12"/>
      <c r="T521" s="12"/>
      <c r="U521" s="12"/>
      <c r="V521" s="12"/>
      <c r="W521" s="12"/>
      <c r="X521" s="12"/>
      <c r="Y521" s="12"/>
      <c r="Z521" s="12"/>
    </row>
    <row r="522" spans="1:26" ht="14.25" hidden="1" customHeight="1" x14ac:dyDescent="0.3">
      <c r="A522" s="130"/>
      <c r="B522" s="131"/>
      <c r="C522" s="135"/>
      <c r="D522" s="136"/>
      <c r="E522" s="136"/>
      <c r="F522" s="132"/>
      <c r="G522" s="140"/>
      <c r="H522" s="138"/>
      <c r="I522" s="138"/>
      <c r="J522" s="138"/>
      <c r="K522" s="138"/>
      <c r="L522" s="138"/>
      <c r="M522" s="134"/>
      <c r="N522" s="62"/>
      <c r="O522" s="62"/>
      <c r="P522" s="44"/>
      <c r="Q522" s="12"/>
      <c r="R522" s="12"/>
      <c r="S522" s="12"/>
      <c r="T522" s="12"/>
      <c r="U522" s="12"/>
      <c r="V522" s="12"/>
      <c r="W522" s="12"/>
      <c r="X522" s="12"/>
      <c r="Y522" s="12"/>
      <c r="Z522" s="12"/>
    </row>
    <row r="523" spans="1:26" ht="14.25" hidden="1" customHeight="1" x14ac:dyDescent="0.3">
      <c r="A523" s="130"/>
      <c r="B523" s="131"/>
      <c r="C523" s="135"/>
      <c r="D523" s="132"/>
      <c r="E523" s="130"/>
      <c r="F523" s="132"/>
      <c r="G523" s="133"/>
      <c r="H523" s="132"/>
      <c r="I523" s="132"/>
      <c r="J523" s="132"/>
      <c r="K523" s="132"/>
      <c r="L523" s="132"/>
      <c r="M523" s="134"/>
      <c r="N523" s="62"/>
      <c r="O523" s="62"/>
      <c r="P523" s="44"/>
      <c r="Q523" s="12"/>
      <c r="R523" s="12"/>
      <c r="S523" s="12"/>
      <c r="T523" s="12"/>
      <c r="U523" s="12"/>
      <c r="V523" s="12"/>
      <c r="W523" s="12"/>
      <c r="X523" s="12"/>
      <c r="Y523" s="12"/>
      <c r="Z523" s="12"/>
    </row>
    <row r="524" spans="1:26" ht="14.25" hidden="1" customHeight="1" x14ac:dyDescent="0.3">
      <c r="A524" s="130"/>
      <c r="B524" s="131"/>
      <c r="C524" s="135" t="s">
        <v>468</v>
      </c>
      <c r="D524" s="132" t="s">
        <v>469</v>
      </c>
      <c r="E524" s="130"/>
      <c r="F524" s="132"/>
      <c r="G524" s="133"/>
      <c r="H524" s="132"/>
      <c r="I524" s="132"/>
      <c r="J524" s="132"/>
      <c r="K524" s="132"/>
      <c r="L524" s="132"/>
      <c r="M524" s="134"/>
      <c r="N524" s="62"/>
      <c r="O524" s="62"/>
      <c r="P524" s="44"/>
      <c r="Q524" s="12"/>
      <c r="R524" s="12"/>
      <c r="S524" s="12"/>
      <c r="T524" s="12"/>
      <c r="U524" s="12"/>
      <c r="V524" s="12"/>
      <c r="W524" s="12"/>
      <c r="X524" s="12"/>
      <c r="Y524" s="12"/>
      <c r="Z524" s="12"/>
    </row>
    <row r="525" spans="1:26" ht="14.25" hidden="1" customHeight="1" x14ac:dyDescent="0.3">
      <c r="A525" s="130"/>
      <c r="B525" s="131"/>
      <c r="C525" s="135"/>
      <c r="D525" s="132"/>
      <c r="E525" s="130"/>
      <c r="F525" s="132"/>
      <c r="G525" s="133"/>
      <c r="H525" s="132"/>
      <c r="I525" s="132"/>
      <c r="J525" s="132"/>
      <c r="K525" s="132"/>
      <c r="L525" s="132"/>
      <c r="M525" s="134"/>
      <c r="N525" s="62"/>
      <c r="O525" s="62"/>
      <c r="P525" s="44"/>
      <c r="Q525" s="12"/>
      <c r="R525" s="12"/>
      <c r="S525" s="12"/>
      <c r="T525" s="12"/>
      <c r="U525" s="12"/>
      <c r="V525" s="12"/>
      <c r="W525" s="12"/>
      <c r="X525" s="12"/>
      <c r="Y525" s="12"/>
      <c r="Z525" s="12"/>
    </row>
    <row r="526" spans="1:26" ht="14.25" hidden="1" customHeight="1" x14ac:dyDescent="0.35">
      <c r="A526" s="130"/>
      <c r="B526" s="131"/>
      <c r="C526" s="135" t="s">
        <v>470</v>
      </c>
      <c r="D526" s="136" t="s">
        <v>471</v>
      </c>
      <c r="E526" s="136"/>
      <c r="F526" s="132"/>
      <c r="G526" s="136" t="s">
        <v>472</v>
      </c>
      <c r="H526" s="136"/>
      <c r="I526" s="136"/>
      <c r="J526" s="136"/>
      <c r="K526" s="136"/>
      <c r="L526" s="136"/>
      <c r="M526" s="136"/>
      <c r="N526" s="62"/>
      <c r="O526" s="62"/>
      <c r="P526" s="44"/>
      <c r="Q526" s="12"/>
      <c r="R526" s="12"/>
      <c r="S526" s="12"/>
      <c r="T526" s="12"/>
      <c r="U526" s="12"/>
      <c r="V526" s="12"/>
      <c r="W526" s="12"/>
      <c r="X526" s="12"/>
      <c r="Y526" s="12"/>
      <c r="Z526" s="12"/>
    </row>
    <row r="527" spans="1:26" ht="14.25" hidden="1" customHeight="1" x14ac:dyDescent="0.3">
      <c r="A527" s="130"/>
      <c r="B527" s="131"/>
      <c r="C527" s="132"/>
      <c r="D527" s="136"/>
      <c r="E527" s="136"/>
      <c r="F527" s="132"/>
      <c r="G527" s="133"/>
      <c r="H527" s="132"/>
      <c r="I527" s="132"/>
      <c r="J527" s="132"/>
      <c r="K527" s="132"/>
      <c r="L527" s="132"/>
      <c r="M527" s="134"/>
      <c r="N527" s="62"/>
      <c r="O527" s="62"/>
      <c r="P527" s="44"/>
      <c r="Q527" s="12"/>
      <c r="R527" s="12"/>
      <c r="S527" s="12"/>
      <c r="T527" s="12"/>
      <c r="U527" s="12"/>
      <c r="V527" s="12"/>
      <c r="W527" s="12"/>
      <c r="X527" s="12"/>
      <c r="Y527" s="12"/>
      <c r="Z527" s="12"/>
    </row>
    <row r="528" spans="1:26" ht="14.25" hidden="1" customHeight="1" x14ac:dyDescent="0.3">
      <c r="A528" s="130"/>
      <c r="B528" s="131"/>
      <c r="C528" s="132"/>
      <c r="D528" s="132"/>
      <c r="E528" s="130"/>
      <c r="F528" s="132"/>
      <c r="G528" s="133"/>
      <c r="H528" s="132"/>
      <c r="I528" s="132"/>
      <c r="J528" s="132"/>
      <c r="K528" s="132"/>
      <c r="L528" s="132"/>
      <c r="M528" s="134"/>
      <c r="N528" s="62"/>
      <c r="O528" s="62"/>
      <c r="P528" s="44"/>
      <c r="Q528" s="12"/>
      <c r="R528" s="12"/>
      <c r="S528" s="12"/>
      <c r="T528" s="12"/>
      <c r="U528" s="12"/>
      <c r="V528" s="12"/>
      <c r="W528" s="12"/>
      <c r="X528" s="12"/>
      <c r="Y528" s="12"/>
      <c r="Z528" s="12"/>
    </row>
    <row r="529" spans="1:26" ht="14.25" hidden="1" customHeight="1" x14ac:dyDescent="0.3">
      <c r="A529" s="127" t="s">
        <v>473</v>
      </c>
      <c r="B529" s="131"/>
      <c r="C529" s="129" t="s">
        <v>474</v>
      </c>
      <c r="D529" s="129"/>
      <c r="E529" s="129"/>
      <c r="F529" s="129"/>
      <c r="G529" s="129"/>
      <c r="H529" s="129"/>
      <c r="I529" s="129"/>
      <c r="J529" s="129"/>
      <c r="K529" s="129"/>
      <c r="L529" s="129"/>
      <c r="M529" s="129"/>
      <c r="N529" s="62"/>
      <c r="O529" s="62"/>
      <c r="P529" s="44"/>
      <c r="Q529" s="12"/>
      <c r="R529" s="12"/>
      <c r="S529" s="12"/>
      <c r="T529" s="12"/>
      <c r="U529" s="12"/>
      <c r="V529" s="12"/>
      <c r="W529" s="12"/>
      <c r="X529" s="12"/>
      <c r="Y529" s="12"/>
      <c r="Z529" s="12"/>
    </row>
    <row r="530" spans="1:26" ht="14.25" hidden="1" customHeight="1" x14ac:dyDescent="0.3">
      <c r="A530" s="12"/>
      <c r="B530" s="8"/>
      <c r="C530" s="141"/>
      <c r="D530" s="141"/>
      <c r="E530" s="142"/>
      <c r="F530" s="141"/>
      <c r="G530" s="143"/>
      <c r="H530" s="141"/>
      <c r="I530" s="141"/>
      <c r="J530" s="141"/>
      <c r="K530" s="141"/>
      <c r="L530" s="141"/>
      <c r="M530" s="144"/>
      <c r="N530" s="62"/>
      <c r="O530" s="62"/>
      <c r="P530" s="44"/>
      <c r="Q530" s="12"/>
      <c r="R530" s="12"/>
      <c r="S530" s="12"/>
      <c r="T530" s="12"/>
      <c r="U530" s="12"/>
      <c r="V530" s="12"/>
      <c r="W530" s="12"/>
      <c r="X530" s="12"/>
      <c r="Y530" s="12"/>
      <c r="Z530" s="12"/>
    </row>
    <row r="531" spans="1:26" ht="14.25" hidden="1" customHeight="1" x14ac:dyDescent="0.3">
      <c r="A531" s="12"/>
      <c r="B531" s="145" t="s">
        <v>475</v>
      </c>
      <c r="C531" s="145"/>
      <c r="D531" s="145"/>
      <c r="E531" s="145"/>
      <c r="F531" s="145"/>
      <c r="G531" s="145"/>
      <c r="H531" s="145"/>
      <c r="I531" s="145"/>
      <c r="J531" s="145"/>
      <c r="K531" s="145"/>
      <c r="L531" s="145"/>
      <c r="M531" s="145"/>
      <c r="N531" s="146"/>
      <c r="O531" s="62"/>
      <c r="P531" s="44"/>
      <c r="Q531" s="12"/>
      <c r="R531" s="12"/>
      <c r="S531" s="12"/>
      <c r="T531" s="12"/>
      <c r="U531" s="12"/>
      <c r="V531" s="12"/>
      <c r="W531" s="12"/>
      <c r="X531" s="12"/>
      <c r="Y531" s="12"/>
      <c r="Z531" s="12"/>
    </row>
    <row r="532" spans="1:26" ht="14.25" hidden="1" customHeight="1" x14ac:dyDescent="0.3">
      <c r="A532" s="12"/>
      <c r="B532" s="145"/>
      <c r="C532" s="145"/>
      <c r="D532" s="145"/>
      <c r="E532" s="145"/>
      <c r="F532" s="145"/>
      <c r="G532" s="145"/>
      <c r="H532" s="145"/>
      <c r="I532" s="145"/>
      <c r="J532" s="145"/>
      <c r="K532" s="145"/>
      <c r="L532" s="145"/>
      <c r="M532" s="145"/>
      <c r="N532" s="146"/>
      <c r="O532" s="62"/>
      <c r="P532" s="44"/>
      <c r="Q532" s="12"/>
      <c r="R532" s="12"/>
      <c r="S532" s="12"/>
      <c r="T532" s="12"/>
      <c r="U532" s="12"/>
      <c r="V532" s="12"/>
      <c r="W532" s="12"/>
      <c r="X532" s="12"/>
      <c r="Y532" s="12"/>
      <c r="Z532" s="12"/>
    </row>
    <row r="533" spans="1:26" ht="14.25" hidden="1" customHeight="1" x14ac:dyDescent="0.3">
      <c r="A533" s="12"/>
      <c r="B533" s="145"/>
      <c r="C533" s="145"/>
      <c r="D533" s="145"/>
      <c r="E533" s="145"/>
      <c r="F533" s="145"/>
      <c r="G533" s="145"/>
      <c r="H533" s="145"/>
      <c r="I533" s="145"/>
      <c r="J533" s="145"/>
      <c r="K533" s="145"/>
      <c r="L533" s="145"/>
      <c r="M533" s="145"/>
      <c r="N533" s="146"/>
      <c r="O533" s="62"/>
      <c r="P533" s="44"/>
      <c r="Q533" s="12"/>
      <c r="R533" s="12"/>
      <c r="S533" s="12"/>
      <c r="T533" s="12"/>
      <c r="U533" s="12"/>
      <c r="V533" s="12"/>
      <c r="W533" s="12"/>
      <c r="X533" s="12"/>
      <c r="Y533" s="12"/>
      <c r="Z533" s="12"/>
    </row>
    <row r="534" spans="1:26" ht="14.25" hidden="1" customHeight="1" x14ac:dyDescent="0.3">
      <c r="A534" s="12"/>
      <c r="B534" s="147"/>
      <c r="C534" s="25"/>
      <c r="D534" s="25"/>
      <c r="E534" s="148"/>
      <c r="F534" s="25"/>
      <c r="G534" s="149"/>
      <c r="H534" s="25"/>
      <c r="I534" s="25"/>
      <c r="J534" s="25"/>
      <c r="K534" s="25"/>
      <c r="L534" s="25"/>
      <c r="M534" s="150"/>
      <c r="N534" s="149"/>
      <c r="O534" s="62"/>
      <c r="P534" s="44"/>
      <c r="Q534" s="12"/>
      <c r="R534" s="12"/>
      <c r="S534" s="12"/>
      <c r="T534" s="12"/>
      <c r="U534" s="12"/>
      <c r="V534" s="12"/>
      <c r="W534" s="12"/>
      <c r="X534" s="12"/>
      <c r="Y534" s="12"/>
      <c r="Z534" s="12"/>
    </row>
    <row r="535" spans="1:26" ht="14.25" hidden="1" customHeight="1" x14ac:dyDescent="0.3">
      <c r="A535" s="12"/>
      <c r="B535" s="8"/>
      <c r="C535" s="151"/>
      <c r="D535" s="151"/>
      <c r="E535" s="12"/>
      <c r="F535" s="151"/>
      <c r="G535" s="152" t="s">
        <v>476</v>
      </c>
      <c r="H535" s="152"/>
      <c r="I535" s="152"/>
      <c r="J535" s="152"/>
      <c r="K535" s="153"/>
      <c r="L535" s="151"/>
      <c r="M535" s="144"/>
      <c r="N535" s="62"/>
      <c r="O535" s="62"/>
      <c r="P535" s="44"/>
      <c r="Q535" s="12"/>
      <c r="R535" s="12"/>
      <c r="S535" s="12"/>
      <c r="T535" s="12"/>
      <c r="U535" s="12"/>
      <c r="V535" s="12"/>
      <c r="W535" s="12"/>
      <c r="X535" s="12"/>
      <c r="Y535" s="12"/>
      <c r="Z535" s="12"/>
    </row>
    <row r="536" spans="1:26" ht="14.25" hidden="1" customHeight="1" x14ac:dyDescent="0.3">
      <c r="A536" s="12"/>
      <c r="B536" s="8"/>
      <c r="C536" s="151"/>
      <c r="D536" s="151"/>
      <c r="E536" s="12"/>
      <c r="F536" s="151"/>
      <c r="G536" s="154" t="s">
        <v>477</v>
      </c>
      <c r="H536" s="154"/>
      <c r="I536" s="154"/>
      <c r="J536" s="154"/>
      <c r="K536" s="151"/>
      <c r="L536" s="151"/>
      <c r="M536" s="144"/>
      <c r="N536" s="62"/>
      <c r="O536" s="62"/>
      <c r="P536" s="44"/>
      <c r="Q536" s="12"/>
      <c r="R536" s="12"/>
      <c r="S536" s="12"/>
      <c r="T536" s="12"/>
      <c r="U536" s="12"/>
      <c r="V536" s="12"/>
      <c r="W536" s="12"/>
      <c r="X536" s="12"/>
      <c r="Y536" s="12"/>
      <c r="Z536" s="12"/>
    </row>
    <row r="537" spans="1:26" ht="14.25" hidden="1" customHeight="1" x14ac:dyDescent="0.3">
      <c r="A537" s="12"/>
      <c r="B537" s="8"/>
      <c r="C537" s="151"/>
      <c r="D537" s="151"/>
      <c r="E537" s="12"/>
      <c r="F537" s="151"/>
      <c r="G537" s="12"/>
      <c r="H537" s="12"/>
      <c r="I537" s="12"/>
      <c r="J537" s="12"/>
      <c r="K537" s="151"/>
      <c r="L537" s="151"/>
      <c r="M537" s="144"/>
      <c r="N537" s="62"/>
      <c r="O537" s="62"/>
      <c r="P537" s="44"/>
      <c r="Q537" s="12"/>
      <c r="R537" s="12"/>
      <c r="S537" s="12"/>
      <c r="T537" s="12"/>
      <c r="U537" s="12"/>
      <c r="V537" s="12"/>
      <c r="W537" s="12"/>
      <c r="X537" s="12"/>
      <c r="Y537" s="12"/>
      <c r="Z537" s="12"/>
    </row>
    <row r="538" spans="1:26" ht="14.25" hidden="1" customHeight="1" x14ac:dyDescent="0.3">
      <c r="A538" s="12"/>
      <c r="B538" s="8"/>
      <c r="C538" s="151"/>
      <c r="D538" s="151"/>
      <c r="E538" s="12"/>
      <c r="F538" s="151"/>
      <c r="G538" s="62" t="s">
        <v>478</v>
      </c>
      <c r="H538" s="12" t="s">
        <v>479</v>
      </c>
      <c r="I538" s="12"/>
      <c r="J538" s="12"/>
      <c r="M538" s="144"/>
      <c r="N538" s="62"/>
      <c r="O538" s="62"/>
      <c r="P538" s="44"/>
      <c r="Q538" s="12"/>
      <c r="R538" s="12"/>
      <c r="S538" s="12"/>
      <c r="T538" s="12"/>
      <c r="U538" s="12"/>
      <c r="V538" s="12"/>
      <c r="W538" s="12"/>
      <c r="X538" s="12"/>
      <c r="Y538" s="12"/>
      <c r="Z538" s="12"/>
    </row>
    <row r="539" spans="1:26" ht="14.25" hidden="1" customHeight="1" x14ac:dyDescent="0.3">
      <c r="A539" s="12"/>
      <c r="B539" s="8"/>
      <c r="C539" s="151"/>
      <c r="D539" s="151"/>
      <c r="E539" s="12"/>
      <c r="F539" s="151"/>
      <c r="G539" s="62"/>
      <c r="H539" s="151"/>
      <c r="I539" s="151"/>
      <c r="J539" s="151"/>
      <c r="K539" s="151"/>
      <c r="L539" s="151"/>
      <c r="M539" s="144"/>
      <c r="N539" s="62"/>
      <c r="O539" s="62"/>
      <c r="P539" s="44"/>
      <c r="Q539" s="12"/>
      <c r="R539" s="12"/>
      <c r="S539" s="12"/>
      <c r="T539" s="12"/>
      <c r="U539" s="12"/>
      <c r="V539" s="12"/>
      <c r="W539" s="12"/>
      <c r="X539" s="12"/>
      <c r="Y539" s="12"/>
      <c r="Z539" s="12"/>
    </row>
    <row r="540" spans="1:26" ht="14.25" hidden="1" customHeight="1" x14ac:dyDescent="0.3">
      <c r="A540" s="12"/>
      <c r="B540" s="8"/>
      <c r="C540" s="151"/>
      <c r="D540" s="151"/>
      <c r="E540" s="12"/>
      <c r="F540" s="151"/>
      <c r="G540" s="62"/>
      <c r="H540" s="151"/>
      <c r="I540" s="151"/>
      <c r="J540" s="151"/>
      <c r="K540" s="151"/>
      <c r="L540" s="151"/>
      <c r="M540" s="144"/>
      <c r="N540" s="62"/>
      <c r="O540" s="62"/>
      <c r="P540" s="44"/>
      <c r="Q540" s="12"/>
      <c r="R540" s="12"/>
      <c r="S540" s="12"/>
      <c r="T540" s="12"/>
      <c r="U540" s="12"/>
      <c r="V540" s="12"/>
      <c r="W540" s="12"/>
      <c r="X540" s="12"/>
      <c r="Y540" s="12"/>
      <c r="Z540" s="12"/>
    </row>
    <row r="541" spans="1:26" ht="14.25" hidden="1" customHeight="1" x14ac:dyDescent="0.3">
      <c r="A541" s="3"/>
      <c r="B541" s="8"/>
      <c r="C541" s="3"/>
      <c r="D541" s="3"/>
      <c r="E541" s="8"/>
      <c r="F541" s="3"/>
      <c r="G541" s="9"/>
      <c r="H541" s="3"/>
      <c r="I541" s="5"/>
      <c r="J541" s="5"/>
      <c r="K541" s="5"/>
      <c r="L541" s="3"/>
      <c r="M541" s="6"/>
      <c r="N541" s="9"/>
      <c r="O541" s="9"/>
      <c r="P541" s="44"/>
      <c r="Q541" s="12"/>
      <c r="R541" s="12"/>
      <c r="S541" s="12"/>
      <c r="T541" s="12"/>
      <c r="U541" s="12"/>
      <c r="V541" s="12"/>
      <c r="W541" s="12"/>
      <c r="X541" s="12"/>
      <c r="Y541" s="12"/>
      <c r="Z541" s="12"/>
    </row>
    <row r="542" spans="1:26" ht="14.25" hidden="1" customHeight="1" x14ac:dyDescent="0.3">
      <c r="A542" s="3"/>
      <c r="B542" s="8"/>
      <c r="C542" s="3"/>
      <c r="D542" s="3"/>
      <c r="E542" s="8"/>
      <c r="F542" s="3"/>
      <c r="G542" s="9"/>
      <c r="H542" s="3"/>
      <c r="I542" s="5"/>
      <c r="J542" s="5"/>
      <c r="K542" s="5"/>
      <c r="L542" s="3"/>
      <c r="M542" s="6"/>
      <c r="N542" s="9"/>
      <c r="O542" s="9"/>
      <c r="P542" s="44"/>
      <c r="Q542" s="12"/>
      <c r="R542" s="12"/>
      <c r="S542" s="12"/>
      <c r="T542" s="12"/>
      <c r="U542" s="12"/>
      <c r="V542" s="12"/>
      <c r="W542" s="12"/>
      <c r="X542" s="12"/>
      <c r="Y542" s="12"/>
      <c r="Z542" s="12"/>
    </row>
    <row r="543" spans="1:26" ht="14.25" hidden="1" customHeight="1" x14ac:dyDescent="0.3">
      <c r="A543" s="3"/>
      <c r="B543" s="8"/>
      <c r="C543" s="3"/>
      <c r="D543" s="3"/>
      <c r="E543" s="8"/>
      <c r="F543" s="3"/>
      <c r="G543" s="9"/>
      <c r="H543" s="3"/>
      <c r="I543" s="5"/>
      <c r="J543" s="5"/>
      <c r="K543" s="5"/>
      <c r="L543" s="3"/>
      <c r="M543" s="6"/>
      <c r="N543" s="9"/>
      <c r="O543" s="9"/>
      <c r="P543" s="44"/>
      <c r="Q543" s="12"/>
      <c r="R543" s="12"/>
      <c r="S543" s="12"/>
      <c r="T543" s="12"/>
      <c r="U543" s="12"/>
      <c r="V543" s="12"/>
      <c r="W543" s="12"/>
      <c r="X543" s="12"/>
      <c r="Y543" s="12"/>
      <c r="Z543" s="12"/>
    </row>
    <row r="544" spans="1:26" ht="14.25" hidden="1" customHeight="1" x14ac:dyDescent="0.3">
      <c r="A544" s="3"/>
      <c r="B544" s="8"/>
      <c r="C544" s="3"/>
      <c r="D544" s="3"/>
      <c r="E544" s="8"/>
      <c r="F544" s="3"/>
      <c r="G544" s="9"/>
      <c r="H544" s="3"/>
      <c r="I544" s="5"/>
      <c r="J544" s="5"/>
      <c r="K544" s="5"/>
      <c r="L544" s="3"/>
      <c r="M544" s="6"/>
      <c r="N544" s="9"/>
      <c r="O544" s="9"/>
      <c r="P544" s="44"/>
      <c r="Q544" s="12"/>
      <c r="R544" s="12"/>
      <c r="S544" s="12"/>
      <c r="T544" s="12"/>
      <c r="U544" s="12"/>
      <c r="V544" s="12"/>
      <c r="W544" s="12"/>
      <c r="X544" s="12"/>
      <c r="Y544" s="12"/>
      <c r="Z544" s="12"/>
    </row>
    <row r="545" spans="1:26" ht="14.25" hidden="1" customHeight="1" x14ac:dyDescent="0.3">
      <c r="A545" s="3"/>
      <c r="B545" s="8"/>
      <c r="C545" s="3"/>
      <c r="D545" s="3"/>
      <c r="E545" s="8"/>
      <c r="F545" s="3"/>
      <c r="G545" s="9"/>
      <c r="H545" s="3"/>
      <c r="I545" s="5"/>
      <c r="J545" s="5"/>
      <c r="K545" s="5"/>
      <c r="L545" s="3"/>
      <c r="M545" s="6"/>
      <c r="N545" s="9"/>
      <c r="O545" s="9"/>
      <c r="P545" s="44"/>
      <c r="Q545" s="12"/>
      <c r="R545" s="12"/>
      <c r="S545" s="12"/>
      <c r="T545" s="12"/>
      <c r="U545" s="12"/>
      <c r="V545" s="12"/>
      <c r="W545" s="12"/>
      <c r="X545" s="12"/>
      <c r="Y545" s="12"/>
      <c r="Z545" s="12"/>
    </row>
    <row r="546" spans="1:26" ht="14.25" hidden="1" customHeight="1" x14ac:dyDescent="0.3">
      <c r="A546" s="3"/>
      <c r="B546" s="8"/>
      <c r="C546" s="3"/>
      <c r="D546" s="3"/>
      <c r="E546" s="8"/>
      <c r="F546" s="3"/>
      <c r="G546" s="9"/>
      <c r="H546" s="3"/>
      <c r="I546" s="5"/>
      <c r="J546" s="5"/>
      <c r="K546" s="5"/>
      <c r="L546" s="3"/>
      <c r="M546" s="6"/>
      <c r="N546" s="9"/>
      <c r="O546" s="9"/>
      <c r="P546" s="44"/>
      <c r="Q546" s="12"/>
      <c r="R546" s="12"/>
      <c r="S546" s="12"/>
      <c r="T546" s="12"/>
      <c r="U546" s="12"/>
      <c r="V546" s="12"/>
      <c r="W546" s="12"/>
      <c r="X546" s="12"/>
      <c r="Y546" s="12"/>
      <c r="Z546" s="12"/>
    </row>
    <row r="547" spans="1:26" ht="14.25" hidden="1" customHeight="1" x14ac:dyDescent="0.3">
      <c r="A547" s="3"/>
      <c r="B547" s="8"/>
      <c r="C547" s="3"/>
      <c r="D547" s="3"/>
      <c r="E547" s="8"/>
      <c r="F547" s="3"/>
      <c r="G547" s="9"/>
      <c r="H547" s="3"/>
      <c r="I547" s="5"/>
      <c r="J547" s="5"/>
      <c r="K547" s="5"/>
      <c r="L547" s="3"/>
      <c r="M547" s="6"/>
      <c r="N547" s="9"/>
      <c r="O547" s="9"/>
      <c r="P547" s="44"/>
      <c r="Q547" s="12"/>
      <c r="R547" s="12"/>
      <c r="S547" s="12"/>
      <c r="T547" s="12"/>
      <c r="U547" s="12"/>
      <c r="V547" s="12"/>
      <c r="W547" s="12"/>
      <c r="X547" s="12"/>
      <c r="Y547" s="12"/>
      <c r="Z547" s="12"/>
    </row>
    <row r="548" spans="1:26" ht="14.25" hidden="1" customHeight="1" x14ac:dyDescent="0.3">
      <c r="A548" s="3"/>
      <c r="B548" s="8"/>
      <c r="C548" s="3"/>
      <c r="D548" s="3"/>
      <c r="E548" s="8"/>
      <c r="F548" s="3"/>
      <c r="G548" s="9"/>
      <c r="H548" s="3"/>
      <c r="I548" s="5"/>
      <c r="J548" s="5"/>
      <c r="K548" s="5"/>
      <c r="L548" s="3"/>
      <c r="M548" s="6"/>
      <c r="N548" s="9"/>
      <c r="O548" s="9"/>
      <c r="P548" s="44"/>
      <c r="Q548" s="12"/>
      <c r="R548" s="12"/>
      <c r="S548" s="12"/>
      <c r="T548" s="12"/>
      <c r="U548" s="12"/>
      <c r="V548" s="12"/>
      <c r="W548" s="12"/>
      <c r="X548" s="12"/>
      <c r="Y548" s="12"/>
      <c r="Z548" s="12"/>
    </row>
    <row r="549" spans="1:26" ht="14.25" hidden="1" customHeight="1" x14ac:dyDescent="0.3">
      <c r="A549" s="3"/>
      <c r="B549" s="8"/>
      <c r="C549" s="3"/>
      <c r="D549" s="3"/>
      <c r="E549" s="8"/>
      <c r="F549" s="3"/>
      <c r="G549" s="9"/>
      <c r="H549" s="3"/>
      <c r="I549" s="5"/>
      <c r="J549" s="5"/>
      <c r="K549" s="5"/>
      <c r="L549" s="3"/>
      <c r="M549" s="6"/>
      <c r="N549" s="9"/>
      <c r="O549" s="9"/>
      <c r="P549" s="44"/>
      <c r="Q549" s="12"/>
      <c r="R549" s="12"/>
      <c r="S549" s="12"/>
      <c r="T549" s="12"/>
      <c r="U549" s="12"/>
      <c r="V549" s="12"/>
      <c r="W549" s="12"/>
      <c r="X549" s="12"/>
      <c r="Y549" s="12"/>
      <c r="Z549" s="12"/>
    </row>
    <row r="550" spans="1:26" ht="14.25" hidden="1" customHeight="1" x14ac:dyDescent="0.3">
      <c r="A550" s="3"/>
      <c r="B550" s="8"/>
      <c r="C550" s="3"/>
      <c r="D550" s="3"/>
      <c r="E550" s="8"/>
      <c r="F550" s="3"/>
      <c r="G550" s="9"/>
      <c r="H550" s="3"/>
      <c r="I550" s="5"/>
      <c r="J550" s="5"/>
      <c r="K550" s="5"/>
      <c r="L550" s="3"/>
      <c r="M550" s="6"/>
      <c r="N550" s="9"/>
      <c r="O550" s="9"/>
      <c r="P550" s="44"/>
      <c r="Q550" s="12"/>
      <c r="R550" s="12"/>
      <c r="S550" s="12"/>
      <c r="T550" s="12"/>
      <c r="U550" s="12"/>
      <c r="V550" s="12"/>
      <c r="W550" s="12"/>
      <c r="X550" s="12"/>
      <c r="Y550" s="12"/>
      <c r="Z550" s="12"/>
    </row>
    <row r="551" spans="1:26" ht="14.25" hidden="1" customHeight="1" x14ac:dyDescent="0.3">
      <c r="A551" s="3"/>
      <c r="B551" s="8"/>
      <c r="C551" s="3"/>
      <c r="D551" s="3"/>
      <c r="E551" s="8"/>
      <c r="F551" s="3"/>
      <c r="G551" s="9"/>
      <c r="H551" s="3"/>
      <c r="I551" s="5"/>
      <c r="J551" s="5"/>
      <c r="K551" s="5"/>
      <c r="L551" s="3"/>
      <c r="M551" s="6"/>
      <c r="N551" s="9"/>
      <c r="O551" s="9"/>
      <c r="P551" s="44"/>
      <c r="Q551" s="12"/>
      <c r="R551" s="12"/>
      <c r="S551" s="12"/>
      <c r="T551" s="12"/>
      <c r="U551" s="12"/>
      <c r="V551" s="12"/>
      <c r="W551" s="12"/>
      <c r="X551" s="12"/>
      <c r="Y551" s="12"/>
      <c r="Z551" s="12"/>
    </row>
    <row r="552" spans="1:26" ht="14.25" hidden="1" customHeight="1" x14ac:dyDescent="0.3">
      <c r="A552" s="3"/>
      <c r="B552" s="8"/>
      <c r="C552" s="3"/>
      <c r="D552" s="3"/>
      <c r="E552" s="8"/>
      <c r="F552" s="3"/>
      <c r="G552" s="9"/>
      <c r="H552" s="3"/>
      <c r="I552" s="5"/>
      <c r="J552" s="5"/>
      <c r="K552" s="5"/>
      <c r="L552" s="3"/>
      <c r="M552" s="6"/>
      <c r="N552" s="9"/>
      <c r="O552" s="9"/>
      <c r="P552" s="44"/>
      <c r="Q552" s="12"/>
      <c r="R552" s="12"/>
      <c r="S552" s="12"/>
      <c r="T552" s="12"/>
      <c r="U552" s="12"/>
      <c r="V552" s="12"/>
      <c r="W552" s="12"/>
      <c r="X552" s="12"/>
      <c r="Y552" s="12"/>
      <c r="Z552" s="12"/>
    </row>
    <row r="553" spans="1:26" ht="14.25" hidden="1" customHeight="1" x14ac:dyDescent="0.3">
      <c r="A553" s="3"/>
      <c r="B553" s="8"/>
      <c r="C553" s="3"/>
      <c r="D553" s="3"/>
      <c r="E553" s="8"/>
      <c r="F553" s="3"/>
      <c r="G553" s="9"/>
      <c r="H553" s="3"/>
      <c r="I553" s="5"/>
      <c r="J553" s="5"/>
      <c r="K553" s="5"/>
      <c r="L553" s="3"/>
      <c r="M553" s="6"/>
      <c r="N553" s="9"/>
      <c r="O553" s="9"/>
      <c r="P553" s="44"/>
      <c r="Q553" s="12"/>
      <c r="R553" s="12"/>
      <c r="S553" s="12"/>
      <c r="T553" s="12"/>
      <c r="U553" s="12"/>
      <c r="V553" s="12"/>
      <c r="W553" s="12"/>
      <c r="X553" s="12"/>
      <c r="Y553" s="12"/>
      <c r="Z553" s="12"/>
    </row>
    <row r="554" spans="1:26" ht="14.25" hidden="1" customHeight="1" x14ac:dyDescent="0.3">
      <c r="A554" s="3"/>
      <c r="B554" s="8"/>
      <c r="C554" s="3"/>
      <c r="D554" s="3"/>
      <c r="E554" s="8"/>
      <c r="F554" s="3"/>
      <c r="G554" s="9"/>
      <c r="H554" s="3"/>
      <c r="I554" s="5"/>
      <c r="J554" s="5"/>
      <c r="K554" s="5"/>
      <c r="L554" s="3"/>
      <c r="M554" s="6"/>
      <c r="N554" s="9"/>
      <c r="O554" s="9"/>
      <c r="P554" s="44"/>
      <c r="Q554" s="12"/>
      <c r="R554" s="12"/>
      <c r="S554" s="12"/>
      <c r="T554" s="12"/>
      <c r="U554" s="12"/>
      <c r="V554" s="12"/>
      <c r="W554" s="12"/>
      <c r="X554" s="12"/>
      <c r="Y554" s="12"/>
      <c r="Z554" s="12"/>
    </row>
    <row r="555" spans="1:26" ht="14.25" hidden="1" customHeight="1" x14ac:dyDescent="0.3">
      <c r="A555" s="3"/>
      <c r="B555" s="8"/>
      <c r="C555" s="3"/>
      <c r="D555" s="3"/>
      <c r="E555" s="8"/>
      <c r="F555" s="3"/>
      <c r="G555" s="9"/>
      <c r="H555" s="3"/>
      <c r="I555" s="5"/>
      <c r="J555" s="5"/>
      <c r="K555" s="5"/>
      <c r="L555" s="3"/>
      <c r="M555" s="6"/>
      <c r="N555" s="9"/>
      <c r="O555" s="9"/>
      <c r="P555" s="44"/>
      <c r="Q555" s="12"/>
      <c r="R555" s="12"/>
      <c r="S555" s="12"/>
      <c r="T555" s="12"/>
      <c r="U555" s="12"/>
      <c r="V555" s="12"/>
      <c r="W555" s="12"/>
      <c r="X555" s="12"/>
      <c r="Y555" s="12"/>
      <c r="Z555" s="12"/>
    </row>
    <row r="556" spans="1:26" ht="14.25" hidden="1" customHeight="1" x14ac:dyDescent="0.3">
      <c r="A556" s="3"/>
      <c r="B556" s="8"/>
      <c r="C556" s="3"/>
      <c r="D556" s="3"/>
      <c r="E556" s="8"/>
      <c r="F556" s="3"/>
      <c r="G556" s="9"/>
      <c r="H556" s="3"/>
      <c r="I556" s="5"/>
      <c r="J556" s="5"/>
      <c r="K556" s="5"/>
      <c r="L556" s="3"/>
      <c r="M556" s="6"/>
      <c r="N556" s="9"/>
      <c r="O556" s="9"/>
      <c r="P556" s="44"/>
      <c r="Q556" s="12"/>
      <c r="R556" s="12"/>
      <c r="S556" s="12"/>
      <c r="T556" s="12"/>
      <c r="U556" s="12"/>
      <c r="V556" s="12"/>
      <c r="W556" s="12"/>
      <c r="X556" s="12"/>
      <c r="Y556" s="12"/>
      <c r="Z556" s="12"/>
    </row>
    <row r="557" spans="1:26" ht="14.25" hidden="1" customHeight="1" x14ac:dyDescent="0.3">
      <c r="A557" s="3"/>
      <c r="B557" s="8"/>
      <c r="C557" s="3"/>
      <c r="D557" s="3"/>
      <c r="E557" s="8"/>
      <c r="F557" s="3"/>
      <c r="G557" s="9"/>
      <c r="H557" s="3"/>
      <c r="I557" s="5"/>
      <c r="J557" s="5"/>
      <c r="K557" s="5"/>
      <c r="L557" s="3"/>
      <c r="M557" s="6"/>
      <c r="N557" s="9"/>
      <c r="O557" s="9"/>
      <c r="P557" s="44"/>
      <c r="Q557" s="12"/>
      <c r="R557" s="12"/>
      <c r="S557" s="12"/>
      <c r="T557" s="12"/>
      <c r="U557" s="12"/>
      <c r="V557" s="12"/>
      <c r="W557" s="12"/>
      <c r="X557" s="12"/>
      <c r="Y557" s="12"/>
      <c r="Z557" s="12"/>
    </row>
    <row r="558" spans="1:26" ht="14.25" hidden="1" customHeight="1" x14ac:dyDescent="0.3">
      <c r="A558" s="3"/>
      <c r="B558" s="8"/>
      <c r="C558" s="3"/>
      <c r="D558" s="3"/>
      <c r="E558" s="8"/>
      <c r="F558" s="3"/>
      <c r="G558" s="9"/>
      <c r="H558" s="3"/>
      <c r="I558" s="5"/>
      <c r="J558" s="5"/>
      <c r="K558" s="5"/>
      <c r="L558" s="3"/>
      <c r="M558" s="6"/>
      <c r="N558" s="9"/>
      <c r="O558" s="9"/>
      <c r="P558" s="44"/>
      <c r="Q558" s="12"/>
      <c r="R558" s="12"/>
      <c r="S558" s="12"/>
      <c r="T558" s="12"/>
      <c r="U558" s="12"/>
      <c r="V558" s="12"/>
      <c r="W558" s="12"/>
      <c r="X558" s="12"/>
      <c r="Y558" s="12"/>
      <c r="Z558" s="12"/>
    </row>
    <row r="559" spans="1:26" ht="14.25" hidden="1" customHeight="1" x14ac:dyDescent="0.3">
      <c r="A559" s="3"/>
      <c r="B559" s="8"/>
      <c r="C559" s="3"/>
      <c r="D559" s="3"/>
      <c r="E559" s="8"/>
      <c r="F559" s="3"/>
      <c r="G559" s="9"/>
      <c r="H559" s="3"/>
      <c r="I559" s="5"/>
      <c r="J559" s="5"/>
      <c r="K559" s="5"/>
      <c r="L559" s="3"/>
      <c r="M559" s="6"/>
      <c r="N559" s="9"/>
      <c r="O559" s="9"/>
      <c r="P559" s="44"/>
      <c r="Q559" s="12"/>
      <c r="R559" s="12"/>
      <c r="S559" s="12"/>
      <c r="T559" s="12"/>
      <c r="U559" s="12"/>
      <c r="V559" s="12"/>
      <c r="W559" s="12"/>
      <c r="X559" s="12"/>
      <c r="Y559" s="12"/>
      <c r="Z559" s="12"/>
    </row>
    <row r="560" spans="1:26" ht="14.25" hidden="1" customHeight="1" x14ac:dyDescent="0.3">
      <c r="A560" s="3"/>
      <c r="B560" s="8"/>
      <c r="C560" s="3"/>
      <c r="D560" s="3"/>
      <c r="E560" s="8"/>
      <c r="F560" s="3"/>
      <c r="G560" s="9"/>
      <c r="H560" s="3"/>
      <c r="I560" s="5"/>
      <c r="J560" s="5"/>
      <c r="K560" s="5"/>
      <c r="L560" s="3"/>
      <c r="M560" s="6"/>
      <c r="N560" s="9"/>
      <c r="O560" s="9"/>
      <c r="P560" s="44"/>
      <c r="Q560" s="12"/>
      <c r="R560" s="12"/>
      <c r="S560" s="12"/>
      <c r="T560" s="12"/>
      <c r="U560" s="12"/>
      <c r="V560" s="12"/>
      <c r="W560" s="12"/>
      <c r="X560" s="12"/>
      <c r="Y560" s="12"/>
      <c r="Z560" s="12"/>
    </row>
    <row r="561" spans="1:26" ht="14.25" hidden="1" customHeight="1" x14ac:dyDescent="0.3">
      <c r="A561" s="3"/>
      <c r="B561" s="8"/>
      <c r="C561" s="3"/>
      <c r="D561" s="3"/>
      <c r="E561" s="8"/>
      <c r="F561" s="3"/>
      <c r="G561" s="9"/>
      <c r="H561" s="3"/>
      <c r="I561" s="5"/>
      <c r="J561" s="5"/>
      <c r="K561" s="5"/>
      <c r="L561" s="3"/>
      <c r="M561" s="6"/>
      <c r="N561" s="9"/>
      <c r="O561" s="9"/>
      <c r="P561" s="44"/>
      <c r="Q561" s="12"/>
      <c r="R561" s="12"/>
      <c r="S561" s="12"/>
      <c r="T561" s="12"/>
      <c r="U561" s="12"/>
      <c r="V561" s="12"/>
      <c r="W561" s="12"/>
      <c r="X561" s="12"/>
      <c r="Y561" s="12"/>
      <c r="Z561" s="12"/>
    </row>
    <row r="562" spans="1:26" ht="14.25" hidden="1" customHeight="1" x14ac:dyDescent="0.3">
      <c r="A562" s="3"/>
      <c r="B562" s="8"/>
      <c r="C562" s="3"/>
      <c r="D562" s="3"/>
      <c r="E562" s="8"/>
      <c r="F562" s="3"/>
      <c r="G562" s="9"/>
      <c r="H562" s="3"/>
      <c r="I562" s="5"/>
      <c r="J562" s="5"/>
      <c r="K562" s="5"/>
      <c r="L562" s="3"/>
      <c r="M562" s="6"/>
      <c r="N562" s="9"/>
      <c r="O562" s="9"/>
      <c r="P562" s="44"/>
      <c r="Q562" s="12"/>
      <c r="R562" s="12"/>
      <c r="S562" s="12"/>
      <c r="T562" s="12"/>
      <c r="U562" s="12"/>
      <c r="V562" s="12"/>
      <c r="W562" s="12"/>
      <c r="X562" s="12"/>
      <c r="Y562" s="12"/>
      <c r="Z562" s="12"/>
    </row>
    <row r="563" spans="1:26" ht="14.25" hidden="1" customHeight="1" x14ac:dyDescent="0.3">
      <c r="A563" s="3"/>
      <c r="B563" s="8"/>
      <c r="C563" s="3"/>
      <c r="D563" s="3"/>
      <c r="E563" s="8"/>
      <c r="F563" s="3"/>
      <c r="G563" s="9"/>
      <c r="H563" s="3"/>
      <c r="I563" s="5"/>
      <c r="J563" s="5"/>
      <c r="K563" s="5"/>
      <c r="L563" s="3"/>
      <c r="M563" s="6"/>
      <c r="N563" s="9"/>
      <c r="O563" s="9"/>
      <c r="P563" s="44"/>
      <c r="Q563" s="12"/>
      <c r="R563" s="12"/>
      <c r="S563" s="12"/>
      <c r="T563" s="12"/>
      <c r="U563" s="12"/>
      <c r="V563" s="12"/>
      <c r="W563" s="12"/>
      <c r="X563" s="12"/>
      <c r="Y563" s="12"/>
      <c r="Z563" s="12"/>
    </row>
    <row r="564" spans="1:26" ht="14.25" hidden="1" customHeight="1" x14ac:dyDescent="0.3">
      <c r="A564" s="3"/>
      <c r="B564" s="8"/>
      <c r="C564" s="3"/>
      <c r="D564" s="3"/>
      <c r="E564" s="8"/>
      <c r="F564" s="3"/>
      <c r="G564" s="9"/>
      <c r="H564" s="3"/>
      <c r="I564" s="5"/>
      <c r="J564" s="5"/>
      <c r="K564" s="5"/>
      <c r="L564" s="3"/>
      <c r="M564" s="6"/>
      <c r="N564" s="9"/>
      <c r="O564" s="9"/>
      <c r="P564" s="44"/>
      <c r="Q564" s="12"/>
      <c r="R564" s="12"/>
      <c r="S564" s="12"/>
      <c r="T564" s="12"/>
      <c r="U564" s="12"/>
      <c r="V564" s="12"/>
      <c r="W564" s="12"/>
      <c r="X564" s="12"/>
      <c r="Y564" s="12"/>
      <c r="Z564" s="12"/>
    </row>
    <row r="565" spans="1:26" ht="14.25" hidden="1" customHeight="1" x14ac:dyDescent="0.3">
      <c r="A565" s="3"/>
      <c r="B565" s="8"/>
      <c r="C565" s="3"/>
      <c r="D565" s="3"/>
      <c r="E565" s="8"/>
      <c r="F565" s="3"/>
      <c r="G565" s="9"/>
      <c r="H565" s="3"/>
      <c r="I565" s="5"/>
      <c r="J565" s="5"/>
      <c r="K565" s="5"/>
      <c r="L565" s="3"/>
      <c r="M565" s="6"/>
      <c r="N565" s="9"/>
      <c r="O565" s="9"/>
      <c r="P565" s="44"/>
      <c r="Q565" s="12"/>
      <c r="R565" s="12"/>
      <c r="S565" s="12"/>
      <c r="T565" s="12"/>
      <c r="U565" s="12"/>
      <c r="V565" s="12"/>
      <c r="W565" s="12"/>
      <c r="X565" s="12"/>
      <c r="Y565" s="12"/>
      <c r="Z565" s="12"/>
    </row>
    <row r="566" spans="1:26" ht="14.25" hidden="1" customHeight="1" x14ac:dyDescent="0.3">
      <c r="A566" s="3"/>
      <c r="B566" s="8"/>
      <c r="C566" s="3"/>
      <c r="D566" s="3"/>
      <c r="E566" s="8"/>
      <c r="F566" s="3"/>
      <c r="G566" s="9"/>
      <c r="H566" s="3"/>
      <c r="I566" s="5"/>
      <c r="J566" s="5"/>
      <c r="K566" s="5"/>
      <c r="L566" s="3"/>
      <c r="M566" s="6"/>
      <c r="N566" s="9"/>
      <c r="O566" s="9"/>
      <c r="P566" s="44"/>
      <c r="Q566" s="12"/>
      <c r="R566" s="12"/>
      <c r="S566" s="12"/>
      <c r="T566" s="12"/>
      <c r="U566" s="12"/>
      <c r="V566" s="12"/>
      <c r="W566" s="12"/>
      <c r="X566" s="12"/>
      <c r="Y566" s="12"/>
      <c r="Z566" s="12"/>
    </row>
    <row r="567" spans="1:26" ht="14.25" hidden="1" customHeight="1" x14ac:dyDescent="0.3">
      <c r="A567" s="3"/>
      <c r="B567" s="8"/>
      <c r="C567" s="3"/>
      <c r="D567" s="3"/>
      <c r="E567" s="8"/>
      <c r="F567" s="3"/>
      <c r="G567" s="9"/>
      <c r="H567" s="3"/>
      <c r="I567" s="5"/>
      <c r="J567" s="5"/>
      <c r="K567" s="5"/>
      <c r="L567" s="3"/>
      <c r="M567" s="6"/>
      <c r="N567" s="9"/>
      <c r="O567" s="9"/>
      <c r="P567" s="44"/>
      <c r="Q567" s="12"/>
      <c r="R567" s="12"/>
      <c r="S567" s="12"/>
      <c r="T567" s="12"/>
      <c r="U567" s="12"/>
      <c r="V567" s="12"/>
      <c r="W567" s="12"/>
      <c r="X567" s="12"/>
      <c r="Y567" s="12"/>
      <c r="Z567" s="12"/>
    </row>
    <row r="568" spans="1:26" ht="14.25" hidden="1" customHeight="1" x14ac:dyDescent="0.3">
      <c r="A568" s="3"/>
      <c r="B568" s="8"/>
      <c r="C568" s="3"/>
      <c r="D568" s="3"/>
      <c r="E568" s="8"/>
      <c r="F568" s="3"/>
      <c r="G568" s="9"/>
      <c r="H568" s="3"/>
      <c r="I568" s="5"/>
      <c r="J568" s="5"/>
      <c r="K568" s="5"/>
      <c r="L568" s="3"/>
      <c r="M568" s="6"/>
      <c r="N568" s="9"/>
      <c r="O568" s="9"/>
      <c r="P568" s="44"/>
      <c r="Q568" s="12"/>
      <c r="R568" s="12"/>
      <c r="S568" s="12"/>
      <c r="T568" s="12"/>
      <c r="U568" s="12"/>
      <c r="V568" s="12"/>
      <c r="W568" s="12"/>
      <c r="X568" s="12"/>
      <c r="Y568" s="12"/>
      <c r="Z568" s="12"/>
    </row>
    <row r="569" spans="1:26" ht="14.25" hidden="1" customHeight="1" x14ac:dyDescent="0.3">
      <c r="A569" s="3"/>
      <c r="B569" s="8"/>
      <c r="C569" s="3"/>
      <c r="D569" s="3"/>
      <c r="E569" s="8"/>
      <c r="F569" s="3"/>
      <c r="G569" s="9"/>
      <c r="H569" s="3"/>
      <c r="I569" s="5"/>
      <c r="J569" s="5"/>
      <c r="K569" s="5"/>
      <c r="L569" s="3"/>
      <c r="M569" s="6"/>
      <c r="N569" s="9"/>
      <c r="O569" s="9"/>
      <c r="P569" s="44"/>
      <c r="Q569" s="12"/>
      <c r="R569" s="12"/>
      <c r="S569" s="12"/>
      <c r="T569" s="12"/>
      <c r="U569" s="12"/>
      <c r="V569" s="12"/>
      <c r="W569" s="12"/>
      <c r="X569" s="12"/>
      <c r="Y569" s="12"/>
      <c r="Z569" s="12"/>
    </row>
    <row r="570" spans="1:26" ht="14.25" hidden="1" customHeight="1" x14ac:dyDescent="0.3">
      <c r="A570" s="3"/>
      <c r="B570" s="8"/>
      <c r="C570" s="3"/>
      <c r="D570" s="3"/>
      <c r="E570" s="8"/>
      <c r="F570" s="3"/>
      <c r="G570" s="9"/>
      <c r="H570" s="3"/>
      <c r="I570" s="5"/>
      <c r="J570" s="5"/>
      <c r="K570" s="5"/>
      <c r="L570" s="3"/>
      <c r="M570" s="6"/>
      <c r="N570" s="9"/>
      <c r="O570" s="9"/>
      <c r="P570" s="44"/>
      <c r="Q570" s="12"/>
      <c r="R570" s="12"/>
      <c r="S570" s="12"/>
      <c r="T570" s="12"/>
      <c r="U570" s="12"/>
      <c r="V570" s="12"/>
      <c r="W570" s="12"/>
      <c r="X570" s="12"/>
      <c r="Y570" s="12"/>
      <c r="Z570" s="12"/>
    </row>
    <row r="571" spans="1:26" ht="14.25" hidden="1" customHeight="1" x14ac:dyDescent="0.3">
      <c r="A571" s="3"/>
      <c r="B571" s="8"/>
      <c r="C571" s="3"/>
      <c r="D571" s="3"/>
      <c r="E571" s="8"/>
      <c r="F571" s="3"/>
      <c r="G571" s="9"/>
      <c r="H571" s="3"/>
      <c r="I571" s="5"/>
      <c r="J571" s="5"/>
      <c r="K571" s="5"/>
      <c r="L571" s="3"/>
      <c r="M571" s="6"/>
      <c r="N571" s="9"/>
      <c r="O571" s="9"/>
      <c r="P571" s="44"/>
      <c r="Q571" s="12"/>
      <c r="R571" s="12"/>
      <c r="S571" s="12"/>
      <c r="T571" s="12"/>
      <c r="U571" s="12"/>
      <c r="V571" s="12"/>
      <c r="W571" s="12"/>
      <c r="X571" s="12"/>
      <c r="Y571" s="12"/>
      <c r="Z571" s="12"/>
    </row>
    <row r="572" spans="1:26" ht="14.25" hidden="1" customHeight="1" x14ac:dyDescent="0.3">
      <c r="A572" s="3"/>
      <c r="B572" s="8"/>
      <c r="C572" s="3"/>
      <c r="D572" s="3"/>
      <c r="E572" s="8"/>
      <c r="F572" s="3"/>
      <c r="G572" s="9"/>
      <c r="H572" s="3"/>
      <c r="I572" s="5"/>
      <c r="J572" s="5"/>
      <c r="K572" s="5"/>
      <c r="L572" s="3"/>
      <c r="M572" s="6"/>
      <c r="N572" s="9"/>
      <c r="O572" s="9"/>
      <c r="P572" s="44"/>
      <c r="Q572" s="12"/>
      <c r="R572" s="12"/>
      <c r="S572" s="12"/>
      <c r="T572" s="12"/>
      <c r="U572" s="12"/>
      <c r="V572" s="12"/>
      <c r="W572" s="12"/>
      <c r="X572" s="12"/>
      <c r="Y572" s="12"/>
      <c r="Z572" s="12"/>
    </row>
    <row r="573" spans="1:26" ht="14.25" hidden="1" customHeight="1" x14ac:dyDescent="0.3">
      <c r="A573" s="3"/>
      <c r="B573" s="8"/>
      <c r="C573" s="3"/>
      <c r="D573" s="3"/>
      <c r="E573" s="8"/>
      <c r="F573" s="3"/>
      <c r="G573" s="9"/>
      <c r="H573" s="3"/>
      <c r="I573" s="5"/>
      <c r="J573" s="5"/>
      <c r="K573" s="5"/>
      <c r="L573" s="3"/>
      <c r="M573" s="6"/>
      <c r="N573" s="9"/>
      <c r="O573" s="9"/>
      <c r="P573" s="44"/>
      <c r="Q573" s="12"/>
      <c r="R573" s="12"/>
      <c r="S573" s="12"/>
      <c r="T573" s="12"/>
      <c r="U573" s="12"/>
      <c r="V573" s="12"/>
      <c r="W573" s="12"/>
      <c r="X573" s="12"/>
      <c r="Y573" s="12"/>
      <c r="Z573" s="12"/>
    </row>
    <row r="574" spans="1:26" ht="14.25" hidden="1" customHeight="1" x14ac:dyDescent="0.3">
      <c r="A574" s="3"/>
      <c r="B574" s="8"/>
      <c r="C574" s="3"/>
      <c r="D574" s="3"/>
      <c r="E574" s="8"/>
      <c r="F574" s="3"/>
      <c r="G574" s="9"/>
      <c r="H574" s="3"/>
      <c r="I574" s="5"/>
      <c r="J574" s="5"/>
      <c r="K574" s="5"/>
      <c r="L574" s="3"/>
      <c r="M574" s="6"/>
      <c r="N574" s="9"/>
      <c r="O574" s="9"/>
      <c r="P574" s="44"/>
      <c r="Q574" s="12"/>
      <c r="R574" s="12"/>
      <c r="S574" s="12"/>
      <c r="T574" s="12"/>
      <c r="U574" s="12"/>
      <c r="V574" s="12"/>
      <c r="W574" s="12"/>
      <c r="X574" s="12"/>
      <c r="Y574" s="12"/>
      <c r="Z574" s="12"/>
    </row>
    <row r="575" spans="1:26" ht="14.25" hidden="1" customHeight="1" x14ac:dyDescent="0.3">
      <c r="A575" s="3"/>
      <c r="B575" s="8"/>
      <c r="C575" s="3"/>
      <c r="D575" s="3"/>
      <c r="E575" s="8"/>
      <c r="F575" s="3"/>
      <c r="G575" s="9"/>
      <c r="H575" s="3"/>
      <c r="I575" s="5"/>
      <c r="J575" s="5"/>
      <c r="K575" s="5"/>
      <c r="L575" s="3"/>
      <c r="M575" s="6"/>
      <c r="N575" s="9"/>
      <c r="O575" s="9"/>
      <c r="P575" s="44"/>
      <c r="Q575" s="12"/>
      <c r="R575" s="12"/>
      <c r="S575" s="12"/>
      <c r="T575" s="12"/>
      <c r="U575" s="12"/>
      <c r="V575" s="12"/>
      <c r="W575" s="12"/>
      <c r="X575" s="12"/>
      <c r="Y575" s="12"/>
      <c r="Z575" s="12"/>
    </row>
    <row r="576" spans="1:26" ht="14.25" hidden="1" customHeight="1" x14ac:dyDescent="0.3">
      <c r="A576" s="3"/>
      <c r="B576" s="8"/>
      <c r="C576" s="3"/>
      <c r="D576" s="3"/>
      <c r="E576" s="8"/>
      <c r="F576" s="3"/>
      <c r="G576" s="9"/>
      <c r="H576" s="3"/>
      <c r="I576" s="5"/>
      <c r="J576" s="5"/>
      <c r="K576" s="5"/>
      <c r="L576" s="3"/>
      <c r="M576" s="6"/>
      <c r="N576" s="9"/>
      <c r="O576" s="9"/>
      <c r="P576" s="44"/>
      <c r="Q576" s="12"/>
      <c r="R576" s="12"/>
      <c r="S576" s="12"/>
      <c r="T576" s="12"/>
      <c r="U576" s="12"/>
      <c r="V576" s="12"/>
      <c r="W576" s="12"/>
      <c r="X576" s="12"/>
      <c r="Y576" s="12"/>
      <c r="Z576" s="12"/>
    </row>
    <row r="577" spans="1:26" ht="14.25" hidden="1" customHeight="1" x14ac:dyDescent="0.3">
      <c r="A577" s="3"/>
      <c r="B577" s="8"/>
      <c r="C577" s="3"/>
      <c r="D577" s="3"/>
      <c r="E577" s="8"/>
      <c r="F577" s="3"/>
      <c r="G577" s="9"/>
      <c r="H577" s="3"/>
      <c r="I577" s="5"/>
      <c r="J577" s="5"/>
      <c r="K577" s="5"/>
      <c r="L577" s="3"/>
      <c r="M577" s="6"/>
      <c r="N577" s="9"/>
      <c r="O577" s="9"/>
      <c r="P577" s="44"/>
      <c r="Q577" s="12"/>
      <c r="R577" s="12"/>
      <c r="S577" s="12"/>
      <c r="T577" s="12"/>
      <c r="U577" s="12"/>
      <c r="V577" s="12"/>
      <c r="W577" s="12"/>
      <c r="X577" s="12"/>
      <c r="Y577" s="12"/>
      <c r="Z577" s="12"/>
    </row>
    <row r="578" spans="1:26" ht="14.25" hidden="1" customHeight="1" x14ac:dyDescent="0.3">
      <c r="A578" s="3"/>
      <c r="B578" s="8"/>
      <c r="C578" s="3"/>
      <c r="D578" s="3"/>
      <c r="E578" s="8"/>
      <c r="F578" s="3"/>
      <c r="G578" s="9"/>
      <c r="H578" s="3"/>
      <c r="I578" s="5"/>
      <c r="J578" s="5"/>
      <c r="K578" s="5"/>
      <c r="L578" s="3"/>
      <c r="M578" s="6"/>
      <c r="N578" s="9"/>
      <c r="O578" s="9"/>
      <c r="P578" s="44"/>
      <c r="Q578" s="12"/>
      <c r="R578" s="12"/>
      <c r="S578" s="12"/>
      <c r="T578" s="12"/>
      <c r="U578" s="12"/>
      <c r="V578" s="12"/>
      <c r="W578" s="12"/>
      <c r="X578" s="12"/>
      <c r="Y578" s="12"/>
      <c r="Z578" s="12"/>
    </row>
    <row r="579" spans="1:26" ht="14.25" hidden="1" customHeight="1" x14ac:dyDescent="0.3">
      <c r="A579" s="3"/>
      <c r="B579" s="8"/>
      <c r="C579" s="3"/>
      <c r="D579" s="3"/>
      <c r="E579" s="8"/>
      <c r="F579" s="3"/>
      <c r="G579" s="9"/>
      <c r="H579" s="3"/>
      <c r="I579" s="5"/>
      <c r="J579" s="5"/>
      <c r="K579" s="5"/>
      <c r="L579" s="3"/>
      <c r="M579" s="6"/>
      <c r="N579" s="9"/>
      <c r="O579" s="9"/>
      <c r="P579" s="44"/>
      <c r="Q579" s="12"/>
      <c r="R579" s="12"/>
      <c r="S579" s="12"/>
      <c r="T579" s="12"/>
      <c r="U579" s="12"/>
      <c r="V579" s="12"/>
      <c r="W579" s="12"/>
      <c r="X579" s="12"/>
      <c r="Y579" s="12"/>
      <c r="Z579" s="12"/>
    </row>
    <row r="580" spans="1:26" ht="14.25" hidden="1" customHeight="1" x14ac:dyDescent="0.3">
      <c r="A580" s="3"/>
      <c r="B580" s="8"/>
      <c r="C580" s="3"/>
      <c r="D580" s="3"/>
      <c r="E580" s="8"/>
      <c r="F580" s="3"/>
      <c r="G580" s="9"/>
      <c r="H580" s="3"/>
      <c r="I580" s="5"/>
      <c r="J580" s="5"/>
      <c r="K580" s="5"/>
      <c r="L580" s="3"/>
      <c r="M580" s="6"/>
      <c r="N580" s="9"/>
      <c r="O580" s="9"/>
      <c r="P580" s="44"/>
      <c r="Q580" s="12"/>
      <c r="R580" s="12"/>
      <c r="S580" s="12"/>
      <c r="T580" s="12"/>
      <c r="U580" s="12"/>
      <c r="V580" s="12"/>
      <c r="W580" s="12"/>
      <c r="X580" s="12"/>
      <c r="Y580" s="12"/>
      <c r="Z580" s="12"/>
    </row>
    <row r="581" spans="1:26" ht="14.25" hidden="1" customHeight="1" x14ac:dyDescent="0.3">
      <c r="A581" s="3"/>
      <c r="B581" s="8"/>
      <c r="C581" s="3"/>
      <c r="D581" s="3"/>
      <c r="E581" s="8"/>
      <c r="F581" s="3"/>
      <c r="G581" s="9"/>
      <c r="H581" s="3"/>
      <c r="I581" s="5"/>
      <c r="J581" s="5"/>
      <c r="K581" s="5"/>
      <c r="L581" s="3"/>
      <c r="M581" s="6"/>
      <c r="N581" s="9"/>
      <c r="O581" s="9"/>
      <c r="P581" s="44"/>
      <c r="Q581" s="12"/>
      <c r="R581" s="12"/>
      <c r="S581" s="12"/>
      <c r="T581" s="12"/>
      <c r="U581" s="12"/>
      <c r="V581" s="12"/>
      <c r="W581" s="12"/>
      <c r="X581" s="12"/>
      <c r="Y581" s="12"/>
      <c r="Z581" s="12"/>
    </row>
    <row r="582" spans="1:26" ht="14.25" hidden="1" customHeight="1" x14ac:dyDescent="0.3">
      <c r="A582" s="3"/>
      <c r="B582" s="8"/>
      <c r="C582" s="3"/>
      <c r="D582" s="3"/>
      <c r="E582" s="8"/>
      <c r="F582" s="3"/>
      <c r="G582" s="9"/>
      <c r="H582" s="3"/>
      <c r="I582" s="5"/>
      <c r="J582" s="5"/>
      <c r="K582" s="5"/>
      <c r="L582" s="3"/>
      <c r="M582" s="6"/>
      <c r="N582" s="9"/>
      <c r="O582" s="9"/>
      <c r="P582" s="44"/>
      <c r="Q582" s="12"/>
      <c r="R582" s="12"/>
      <c r="S582" s="12"/>
      <c r="T582" s="12"/>
      <c r="U582" s="12"/>
      <c r="V582" s="12"/>
      <c r="W582" s="12"/>
      <c r="X582" s="12"/>
      <c r="Y582" s="12"/>
      <c r="Z582" s="12"/>
    </row>
    <row r="583" spans="1:26" ht="14.25" hidden="1" customHeight="1" x14ac:dyDescent="0.3">
      <c r="A583" s="3"/>
      <c r="B583" s="8"/>
      <c r="C583" s="3"/>
      <c r="D583" s="3"/>
      <c r="E583" s="8"/>
      <c r="F583" s="3"/>
      <c r="G583" s="9"/>
      <c r="H583" s="3"/>
      <c r="I583" s="5"/>
      <c r="J583" s="5"/>
      <c r="K583" s="5"/>
      <c r="L583" s="3"/>
      <c r="M583" s="6"/>
      <c r="N583" s="9"/>
      <c r="O583" s="9"/>
      <c r="P583" s="44"/>
      <c r="Q583" s="12"/>
      <c r="R583" s="12"/>
      <c r="S583" s="12"/>
      <c r="T583" s="12"/>
      <c r="U583" s="12"/>
      <c r="V583" s="12"/>
      <c r="W583" s="12"/>
      <c r="X583" s="12"/>
      <c r="Y583" s="12"/>
      <c r="Z583" s="12"/>
    </row>
    <row r="584" spans="1:26" ht="14.25" hidden="1" customHeight="1" x14ac:dyDescent="0.3">
      <c r="A584" s="3"/>
      <c r="B584" s="8"/>
      <c r="C584" s="3"/>
      <c r="D584" s="3"/>
      <c r="E584" s="8"/>
      <c r="F584" s="3"/>
      <c r="G584" s="9"/>
      <c r="H584" s="3"/>
      <c r="I584" s="5"/>
      <c r="J584" s="5"/>
      <c r="K584" s="5"/>
      <c r="L584" s="3"/>
      <c r="M584" s="6"/>
      <c r="N584" s="9"/>
      <c r="O584" s="9"/>
      <c r="P584" s="44"/>
      <c r="Q584" s="12"/>
      <c r="R584" s="12"/>
      <c r="S584" s="12"/>
      <c r="T584" s="12"/>
      <c r="U584" s="12"/>
      <c r="V584" s="12"/>
      <c r="W584" s="12"/>
      <c r="X584" s="12"/>
      <c r="Y584" s="12"/>
      <c r="Z584" s="12"/>
    </row>
    <row r="585" spans="1:26" ht="14.25" hidden="1" customHeight="1" x14ac:dyDescent="0.3">
      <c r="A585" s="3"/>
      <c r="B585" s="8"/>
      <c r="C585" s="3"/>
      <c r="D585" s="3"/>
      <c r="E585" s="8"/>
      <c r="F585" s="3"/>
      <c r="G585" s="9"/>
      <c r="H585" s="3"/>
      <c r="I585" s="5"/>
      <c r="J585" s="5"/>
      <c r="K585" s="5"/>
      <c r="L585" s="3"/>
      <c r="M585" s="6"/>
      <c r="N585" s="9"/>
      <c r="O585" s="9"/>
      <c r="P585" s="44"/>
      <c r="Q585" s="12"/>
      <c r="R585" s="12"/>
      <c r="S585" s="12"/>
      <c r="T585" s="12"/>
      <c r="U585" s="12"/>
      <c r="V585" s="12"/>
      <c r="W585" s="12"/>
      <c r="X585" s="12"/>
      <c r="Y585" s="12"/>
      <c r="Z585" s="12"/>
    </row>
    <row r="586" spans="1:26" ht="14.25" hidden="1" customHeight="1" x14ac:dyDescent="0.3">
      <c r="A586" s="3"/>
      <c r="B586" s="8"/>
      <c r="C586" s="3"/>
      <c r="D586" s="3"/>
      <c r="E586" s="8"/>
      <c r="F586" s="3"/>
      <c r="G586" s="9"/>
      <c r="H586" s="3"/>
      <c r="I586" s="5"/>
      <c r="J586" s="5"/>
      <c r="K586" s="5"/>
      <c r="L586" s="3"/>
      <c r="M586" s="6"/>
      <c r="N586" s="9"/>
      <c r="O586" s="9"/>
      <c r="P586" s="44"/>
      <c r="Q586" s="12"/>
      <c r="R586" s="12"/>
      <c r="S586" s="12"/>
      <c r="T586" s="12"/>
      <c r="U586" s="12"/>
      <c r="V586" s="12"/>
      <c r="W586" s="12"/>
      <c r="X586" s="12"/>
      <c r="Y586" s="12"/>
      <c r="Z586" s="12"/>
    </row>
    <row r="587" spans="1:26" ht="14.25" hidden="1" customHeight="1" x14ac:dyDescent="0.3">
      <c r="A587" s="3"/>
      <c r="B587" s="8"/>
      <c r="C587" s="3"/>
      <c r="D587" s="3"/>
      <c r="E587" s="8"/>
      <c r="F587" s="3"/>
      <c r="G587" s="9"/>
      <c r="H587" s="3"/>
      <c r="I587" s="5"/>
      <c r="J587" s="5"/>
      <c r="K587" s="5"/>
      <c r="L587" s="3"/>
      <c r="M587" s="6"/>
      <c r="N587" s="9"/>
      <c r="O587" s="9"/>
      <c r="P587" s="44"/>
      <c r="Q587" s="12"/>
      <c r="R587" s="12"/>
      <c r="S587" s="12"/>
      <c r="T587" s="12"/>
      <c r="U587" s="12"/>
      <c r="V587" s="12"/>
      <c r="W587" s="12"/>
      <c r="X587" s="12"/>
      <c r="Y587" s="12"/>
      <c r="Z587" s="12"/>
    </row>
    <row r="588" spans="1:26" ht="14.25" hidden="1" customHeight="1" x14ac:dyDescent="0.3">
      <c r="A588" s="3"/>
      <c r="B588" s="8"/>
      <c r="C588" s="3"/>
      <c r="D588" s="3"/>
      <c r="E588" s="8"/>
      <c r="F588" s="3"/>
      <c r="G588" s="9"/>
      <c r="H588" s="3"/>
      <c r="I588" s="5"/>
      <c r="J588" s="5"/>
      <c r="K588" s="5"/>
      <c r="L588" s="3"/>
      <c r="M588" s="6"/>
      <c r="N588" s="9"/>
      <c r="O588" s="9"/>
      <c r="P588" s="44"/>
      <c r="Q588" s="12"/>
      <c r="R588" s="12"/>
      <c r="S588" s="12"/>
      <c r="T588" s="12"/>
      <c r="U588" s="12"/>
      <c r="V588" s="12"/>
      <c r="W588" s="12"/>
      <c r="X588" s="12"/>
      <c r="Y588" s="12"/>
      <c r="Z588" s="12"/>
    </row>
    <row r="589" spans="1:26" ht="14.25" hidden="1" customHeight="1" x14ac:dyDescent="0.3">
      <c r="A589" s="3"/>
      <c r="B589" s="8"/>
      <c r="C589" s="3"/>
      <c r="D589" s="3"/>
      <c r="E589" s="8"/>
      <c r="F589" s="3"/>
      <c r="G589" s="9"/>
      <c r="H589" s="3"/>
      <c r="I589" s="5"/>
      <c r="J589" s="5"/>
      <c r="K589" s="5"/>
      <c r="L589" s="3"/>
      <c r="M589" s="6"/>
      <c r="N589" s="9"/>
      <c r="O589" s="9"/>
      <c r="P589" s="44"/>
      <c r="Q589" s="12"/>
      <c r="R589" s="12"/>
      <c r="S589" s="12"/>
      <c r="T589" s="12"/>
      <c r="U589" s="12"/>
      <c r="V589" s="12"/>
      <c r="W589" s="12"/>
      <c r="X589" s="12"/>
      <c r="Y589" s="12"/>
      <c r="Z589" s="12"/>
    </row>
    <row r="590" spans="1:26" ht="14.25" hidden="1" customHeight="1" x14ac:dyDescent="0.3">
      <c r="A590" s="3"/>
      <c r="B590" s="8"/>
      <c r="C590" s="3"/>
      <c r="D590" s="3"/>
      <c r="E590" s="8"/>
      <c r="F590" s="3"/>
      <c r="G590" s="9"/>
      <c r="H590" s="3"/>
      <c r="I590" s="5"/>
      <c r="J590" s="5"/>
      <c r="K590" s="5"/>
      <c r="L590" s="3"/>
      <c r="M590" s="6"/>
      <c r="N590" s="9"/>
      <c r="O590" s="9"/>
      <c r="P590" s="44"/>
      <c r="Q590" s="12"/>
      <c r="R590" s="12"/>
      <c r="S590" s="12"/>
      <c r="T590" s="12"/>
      <c r="U590" s="12"/>
      <c r="V590" s="12"/>
      <c r="W590" s="12"/>
      <c r="X590" s="12"/>
      <c r="Y590" s="12"/>
      <c r="Z590" s="12"/>
    </row>
    <row r="591" spans="1:26" ht="14.25" hidden="1" customHeight="1" x14ac:dyDescent="0.3">
      <c r="A591" s="3"/>
      <c r="B591" s="8"/>
      <c r="C591" s="3"/>
      <c r="D591" s="3"/>
      <c r="E591" s="8"/>
      <c r="F591" s="3"/>
      <c r="G591" s="9"/>
      <c r="H591" s="3"/>
      <c r="I591" s="5"/>
      <c r="J591" s="5"/>
      <c r="K591" s="5"/>
      <c r="L591" s="3"/>
      <c r="M591" s="6"/>
      <c r="N591" s="9"/>
      <c r="O591" s="9"/>
      <c r="P591" s="44"/>
      <c r="Q591" s="12"/>
      <c r="R591" s="12"/>
      <c r="S591" s="12"/>
      <c r="T591" s="12"/>
      <c r="U591" s="12"/>
      <c r="V591" s="12"/>
      <c r="W591" s="12"/>
      <c r="X591" s="12"/>
      <c r="Y591" s="12"/>
      <c r="Z591" s="12"/>
    </row>
    <row r="592" spans="1:26" ht="14.25" hidden="1" customHeight="1" x14ac:dyDescent="0.3">
      <c r="A592" s="3"/>
      <c r="B592" s="8"/>
      <c r="C592" s="3"/>
      <c r="D592" s="3"/>
      <c r="E592" s="8"/>
      <c r="F592" s="3"/>
      <c r="G592" s="9"/>
      <c r="H592" s="3"/>
      <c r="I592" s="5"/>
      <c r="J592" s="5"/>
      <c r="K592" s="5"/>
      <c r="L592" s="3"/>
      <c r="M592" s="6"/>
      <c r="N592" s="9"/>
      <c r="O592" s="9"/>
      <c r="P592" s="44"/>
      <c r="Q592" s="12"/>
      <c r="R592" s="12"/>
      <c r="S592" s="12"/>
      <c r="T592" s="12"/>
      <c r="U592" s="12"/>
      <c r="V592" s="12"/>
      <c r="W592" s="12"/>
      <c r="X592" s="12"/>
      <c r="Y592" s="12"/>
      <c r="Z592" s="12"/>
    </row>
    <row r="593" spans="1:26" ht="14.25" hidden="1" customHeight="1" x14ac:dyDescent="0.3">
      <c r="A593" s="3"/>
      <c r="B593" s="8"/>
      <c r="C593" s="3"/>
      <c r="D593" s="3"/>
      <c r="E593" s="8"/>
      <c r="F593" s="3"/>
      <c r="G593" s="9"/>
      <c r="H593" s="3"/>
      <c r="I593" s="5"/>
      <c r="J593" s="5"/>
      <c r="K593" s="5"/>
      <c r="L593" s="3"/>
      <c r="M593" s="6"/>
      <c r="N593" s="9"/>
      <c r="O593" s="9"/>
      <c r="P593" s="44"/>
      <c r="Q593" s="12"/>
      <c r="R593" s="12"/>
      <c r="S593" s="12"/>
      <c r="T593" s="12"/>
      <c r="U593" s="12"/>
      <c r="V593" s="12"/>
      <c r="W593" s="12"/>
      <c r="X593" s="12"/>
      <c r="Y593" s="12"/>
      <c r="Z593" s="12"/>
    </row>
    <row r="594" spans="1:26" ht="14.25" hidden="1" customHeight="1" x14ac:dyDescent="0.3">
      <c r="A594" s="3"/>
      <c r="B594" s="8"/>
      <c r="C594" s="3"/>
      <c r="D594" s="3"/>
      <c r="E594" s="8"/>
      <c r="F594" s="3"/>
      <c r="G594" s="9"/>
      <c r="H594" s="3"/>
      <c r="I594" s="5"/>
      <c r="J594" s="5"/>
      <c r="K594" s="5"/>
      <c r="L594" s="3"/>
      <c r="M594" s="6"/>
      <c r="N594" s="9"/>
      <c r="O594" s="9"/>
      <c r="P594" s="44"/>
      <c r="Q594" s="12"/>
      <c r="R594" s="12"/>
      <c r="S594" s="12"/>
      <c r="T594" s="12"/>
      <c r="U594" s="12"/>
      <c r="V594" s="12"/>
      <c r="W594" s="12"/>
      <c r="X594" s="12"/>
      <c r="Y594" s="12"/>
      <c r="Z594" s="12"/>
    </row>
    <row r="595" spans="1:26" ht="14.25" hidden="1" customHeight="1" x14ac:dyDescent="0.3">
      <c r="A595" s="3"/>
      <c r="B595" s="8"/>
      <c r="C595" s="3"/>
      <c r="D595" s="3"/>
      <c r="E595" s="8"/>
      <c r="F595" s="3"/>
      <c r="G595" s="9"/>
      <c r="H595" s="3"/>
      <c r="I595" s="5"/>
      <c r="J595" s="5"/>
      <c r="K595" s="5"/>
      <c r="L595" s="3"/>
      <c r="M595" s="6"/>
      <c r="N595" s="9"/>
      <c r="O595" s="9"/>
      <c r="P595" s="44"/>
      <c r="Q595" s="12"/>
      <c r="R595" s="12"/>
      <c r="S595" s="12"/>
      <c r="T595" s="12"/>
      <c r="U595" s="12"/>
      <c r="V595" s="12"/>
      <c r="W595" s="12"/>
      <c r="X595" s="12"/>
      <c r="Y595" s="12"/>
      <c r="Z595" s="12"/>
    </row>
    <row r="596" spans="1:26" ht="14.25" hidden="1" customHeight="1" x14ac:dyDescent="0.3">
      <c r="A596" s="3"/>
      <c r="B596" s="8"/>
      <c r="C596" s="3"/>
      <c r="D596" s="3"/>
      <c r="E596" s="8"/>
      <c r="F596" s="3"/>
      <c r="G596" s="9"/>
      <c r="H596" s="3"/>
      <c r="I596" s="5"/>
      <c r="J596" s="5"/>
      <c r="K596" s="5"/>
      <c r="L596" s="3"/>
      <c r="M596" s="6"/>
      <c r="N596" s="9"/>
      <c r="O596" s="9"/>
      <c r="P596" s="44"/>
      <c r="Q596" s="12"/>
      <c r="R596" s="12"/>
      <c r="S596" s="12"/>
      <c r="T596" s="12"/>
      <c r="U596" s="12"/>
      <c r="V596" s="12"/>
      <c r="W596" s="12"/>
      <c r="X596" s="12"/>
      <c r="Y596" s="12"/>
      <c r="Z596" s="12"/>
    </row>
    <row r="597" spans="1:26" ht="14.25" hidden="1" customHeight="1" x14ac:dyDescent="0.3">
      <c r="A597" s="3"/>
      <c r="B597" s="8"/>
      <c r="C597" s="3"/>
      <c r="D597" s="3"/>
      <c r="E597" s="8"/>
      <c r="F597" s="3"/>
      <c r="G597" s="9"/>
      <c r="H597" s="3"/>
      <c r="I597" s="5"/>
      <c r="J597" s="5"/>
      <c r="K597" s="5"/>
      <c r="L597" s="3"/>
      <c r="M597" s="6"/>
      <c r="N597" s="9"/>
      <c r="O597" s="9"/>
      <c r="P597" s="44"/>
      <c r="Q597" s="12"/>
      <c r="R597" s="12"/>
      <c r="S597" s="12"/>
      <c r="T597" s="12"/>
      <c r="U597" s="12"/>
      <c r="V597" s="12"/>
      <c r="W597" s="12"/>
      <c r="X597" s="12"/>
      <c r="Y597" s="12"/>
      <c r="Z597" s="12"/>
    </row>
    <row r="598" spans="1:26" ht="14.25" hidden="1" customHeight="1" x14ac:dyDescent="0.3">
      <c r="A598" s="3"/>
      <c r="B598" s="8"/>
      <c r="C598" s="3"/>
      <c r="D598" s="3"/>
      <c r="E598" s="8"/>
      <c r="F598" s="3"/>
      <c r="G598" s="9"/>
      <c r="H598" s="3"/>
      <c r="I598" s="5"/>
      <c r="J598" s="5"/>
      <c r="K598" s="5"/>
      <c r="L598" s="3"/>
      <c r="M598" s="6"/>
      <c r="N598" s="9"/>
      <c r="O598" s="9"/>
      <c r="P598" s="44"/>
      <c r="Q598" s="12"/>
      <c r="R598" s="12"/>
      <c r="S598" s="12"/>
      <c r="T598" s="12"/>
      <c r="U598" s="12"/>
      <c r="V598" s="12"/>
      <c r="W598" s="12"/>
      <c r="X598" s="12"/>
      <c r="Y598" s="12"/>
      <c r="Z598" s="12"/>
    </row>
    <row r="599" spans="1:26" ht="14.25" hidden="1" customHeight="1" x14ac:dyDescent="0.3">
      <c r="A599" s="3"/>
      <c r="B599" s="8"/>
      <c r="C599" s="3"/>
      <c r="D599" s="3"/>
      <c r="E599" s="8"/>
      <c r="F599" s="3"/>
      <c r="G599" s="9"/>
      <c r="H599" s="3"/>
      <c r="I599" s="5"/>
      <c r="J599" s="5"/>
      <c r="K599" s="5"/>
      <c r="L599" s="3"/>
      <c r="M599" s="6"/>
      <c r="N599" s="9"/>
      <c r="O599" s="9"/>
      <c r="P599" s="44"/>
      <c r="Q599" s="12"/>
      <c r="R599" s="12"/>
      <c r="S599" s="12"/>
      <c r="T599" s="12"/>
      <c r="U599" s="12"/>
      <c r="V599" s="12"/>
      <c r="W599" s="12"/>
      <c r="X599" s="12"/>
      <c r="Y599" s="12"/>
      <c r="Z599" s="12"/>
    </row>
    <row r="600" spans="1:26" ht="14.25" hidden="1" customHeight="1" x14ac:dyDescent="0.3">
      <c r="A600" s="3"/>
      <c r="B600" s="8"/>
      <c r="C600" s="3"/>
      <c r="D600" s="3"/>
      <c r="E600" s="8"/>
      <c r="F600" s="3"/>
      <c r="G600" s="9"/>
      <c r="H600" s="3"/>
      <c r="I600" s="5"/>
      <c r="J600" s="5"/>
      <c r="K600" s="5"/>
      <c r="L600" s="3"/>
      <c r="M600" s="6"/>
      <c r="N600" s="9"/>
      <c r="O600" s="9"/>
      <c r="P600" s="44"/>
      <c r="Q600" s="12"/>
      <c r="R600" s="12"/>
      <c r="S600" s="12"/>
      <c r="T600" s="12"/>
      <c r="U600" s="12"/>
      <c r="V600" s="12"/>
      <c r="W600" s="12"/>
      <c r="X600" s="12"/>
      <c r="Y600" s="12"/>
      <c r="Z600" s="12"/>
    </row>
    <row r="601" spans="1:26" ht="14.25" hidden="1" customHeight="1" x14ac:dyDescent="0.3">
      <c r="A601" s="3"/>
      <c r="B601" s="8"/>
      <c r="C601" s="3"/>
      <c r="D601" s="3"/>
      <c r="E601" s="8"/>
      <c r="F601" s="3"/>
      <c r="G601" s="9"/>
      <c r="H601" s="3"/>
      <c r="I601" s="5"/>
      <c r="J601" s="5"/>
      <c r="K601" s="5"/>
      <c r="L601" s="3"/>
      <c r="M601" s="6"/>
      <c r="N601" s="9"/>
      <c r="O601" s="9"/>
      <c r="P601" s="44"/>
      <c r="Q601" s="12"/>
      <c r="R601" s="12"/>
      <c r="S601" s="12"/>
      <c r="T601" s="12"/>
      <c r="U601" s="12"/>
      <c r="V601" s="12"/>
      <c r="W601" s="12"/>
      <c r="X601" s="12"/>
      <c r="Y601" s="12"/>
      <c r="Z601" s="12"/>
    </row>
    <row r="602" spans="1:26" ht="14.25" hidden="1" customHeight="1" x14ac:dyDescent="0.3">
      <c r="A602" s="3"/>
      <c r="B602" s="8"/>
      <c r="C602" s="3"/>
      <c r="D602" s="3"/>
      <c r="E602" s="8"/>
      <c r="F602" s="3"/>
      <c r="G602" s="9"/>
      <c r="H602" s="3"/>
      <c r="I602" s="5"/>
      <c r="J602" s="5"/>
      <c r="K602" s="5"/>
      <c r="L602" s="3"/>
      <c r="M602" s="6"/>
      <c r="N602" s="9"/>
      <c r="O602" s="9"/>
      <c r="P602" s="44"/>
      <c r="Q602" s="12"/>
      <c r="R602" s="12"/>
      <c r="S602" s="12"/>
      <c r="T602" s="12"/>
      <c r="U602" s="12"/>
      <c r="V602" s="12"/>
      <c r="W602" s="12"/>
      <c r="X602" s="12"/>
      <c r="Y602" s="12"/>
      <c r="Z602" s="12"/>
    </row>
    <row r="603" spans="1:26" ht="14.25" hidden="1" customHeight="1" x14ac:dyDescent="0.3">
      <c r="A603" s="3"/>
      <c r="B603" s="8"/>
      <c r="C603" s="3"/>
      <c r="D603" s="3"/>
      <c r="E603" s="8"/>
      <c r="F603" s="3"/>
      <c r="G603" s="9"/>
      <c r="H603" s="3"/>
      <c r="I603" s="5"/>
      <c r="J603" s="5"/>
      <c r="K603" s="5"/>
      <c r="L603" s="3"/>
      <c r="M603" s="6"/>
      <c r="N603" s="9"/>
      <c r="O603" s="9"/>
      <c r="P603" s="44"/>
      <c r="Q603" s="12"/>
      <c r="R603" s="12"/>
      <c r="S603" s="12"/>
      <c r="T603" s="12"/>
      <c r="U603" s="12"/>
      <c r="V603" s="12"/>
      <c r="W603" s="12"/>
      <c r="X603" s="12"/>
      <c r="Y603" s="12"/>
      <c r="Z603" s="12"/>
    </row>
    <row r="604" spans="1:26" ht="14.25" hidden="1" customHeight="1" x14ac:dyDescent="0.3">
      <c r="A604" s="3"/>
      <c r="B604" s="8"/>
      <c r="C604" s="3"/>
      <c r="D604" s="3"/>
      <c r="E604" s="8"/>
      <c r="F604" s="3"/>
      <c r="G604" s="9"/>
      <c r="H604" s="3"/>
      <c r="I604" s="5"/>
      <c r="J604" s="5"/>
      <c r="K604" s="5"/>
      <c r="L604" s="3"/>
      <c r="M604" s="6"/>
      <c r="N604" s="9"/>
      <c r="O604" s="9"/>
      <c r="P604" s="44"/>
      <c r="Q604" s="12"/>
      <c r="R604" s="12"/>
      <c r="S604" s="12"/>
      <c r="T604" s="12"/>
      <c r="U604" s="12"/>
      <c r="V604" s="12"/>
      <c r="W604" s="12"/>
      <c r="X604" s="12"/>
      <c r="Y604" s="12"/>
      <c r="Z604" s="12"/>
    </row>
    <row r="605" spans="1:26" ht="14.25" hidden="1" customHeight="1" x14ac:dyDescent="0.3">
      <c r="A605" s="3"/>
      <c r="B605" s="8"/>
      <c r="C605" s="3"/>
      <c r="D605" s="3"/>
      <c r="E605" s="8"/>
      <c r="F605" s="3"/>
      <c r="G605" s="9"/>
      <c r="H605" s="3"/>
      <c r="I605" s="5"/>
      <c r="J605" s="5"/>
      <c r="K605" s="5"/>
      <c r="L605" s="3"/>
      <c r="M605" s="6"/>
      <c r="N605" s="9"/>
      <c r="O605" s="9"/>
      <c r="P605" s="44"/>
      <c r="Q605" s="12"/>
      <c r="R605" s="12"/>
      <c r="S605" s="12"/>
      <c r="T605" s="12"/>
      <c r="U605" s="12"/>
      <c r="V605" s="12"/>
      <c r="W605" s="12"/>
      <c r="X605" s="12"/>
      <c r="Y605" s="12"/>
      <c r="Z605" s="12"/>
    </row>
    <row r="606" spans="1:26" ht="14.25" hidden="1" customHeight="1" x14ac:dyDescent="0.3">
      <c r="A606" s="3"/>
      <c r="B606" s="8"/>
      <c r="C606" s="3"/>
      <c r="D606" s="3"/>
      <c r="E606" s="8"/>
      <c r="F606" s="3"/>
      <c r="G606" s="9"/>
      <c r="H606" s="3"/>
      <c r="I606" s="5"/>
      <c r="J606" s="5"/>
      <c r="K606" s="5"/>
      <c r="L606" s="3"/>
      <c r="M606" s="6"/>
      <c r="N606" s="9"/>
      <c r="O606" s="9"/>
      <c r="P606" s="44"/>
      <c r="Q606" s="12"/>
      <c r="R606" s="12"/>
      <c r="S606" s="12"/>
      <c r="T606" s="12"/>
      <c r="U606" s="12"/>
      <c r="V606" s="12"/>
      <c r="W606" s="12"/>
      <c r="X606" s="12"/>
      <c r="Y606" s="12"/>
      <c r="Z606" s="12"/>
    </row>
    <row r="607" spans="1:26" ht="14.25" hidden="1" customHeight="1" x14ac:dyDescent="0.3">
      <c r="A607" s="3"/>
      <c r="B607" s="8"/>
      <c r="C607" s="3"/>
      <c r="D607" s="3"/>
      <c r="E607" s="8"/>
      <c r="F607" s="3"/>
      <c r="G607" s="9"/>
      <c r="H607" s="3"/>
      <c r="I607" s="5"/>
      <c r="J607" s="5"/>
      <c r="K607" s="5"/>
      <c r="L607" s="3"/>
      <c r="M607" s="6"/>
      <c r="N607" s="9"/>
      <c r="O607" s="9"/>
      <c r="P607" s="44"/>
      <c r="Q607" s="12"/>
      <c r="R607" s="12"/>
      <c r="S607" s="12"/>
      <c r="T607" s="12"/>
      <c r="U607" s="12"/>
      <c r="V607" s="12"/>
      <c r="W607" s="12"/>
      <c r="X607" s="12"/>
      <c r="Y607" s="12"/>
      <c r="Z607" s="12"/>
    </row>
    <row r="608" spans="1:26" ht="14.25" hidden="1" customHeight="1" x14ac:dyDescent="0.3">
      <c r="A608" s="3"/>
      <c r="B608" s="8"/>
      <c r="C608" s="3"/>
      <c r="D608" s="3"/>
      <c r="E608" s="8"/>
      <c r="F608" s="3"/>
      <c r="G608" s="9"/>
      <c r="H608" s="3"/>
      <c r="I608" s="5"/>
      <c r="J608" s="5"/>
      <c r="K608" s="5"/>
      <c r="L608" s="3"/>
      <c r="M608" s="6"/>
      <c r="N608" s="9"/>
      <c r="O608" s="9"/>
      <c r="P608" s="44"/>
      <c r="Q608" s="12"/>
      <c r="R608" s="12"/>
      <c r="S608" s="12"/>
      <c r="T608" s="12"/>
      <c r="U608" s="12"/>
      <c r="V608" s="12"/>
      <c r="W608" s="12"/>
      <c r="X608" s="12"/>
      <c r="Y608" s="12"/>
      <c r="Z608" s="12"/>
    </row>
    <row r="609" spans="1:26" ht="14.25" hidden="1" customHeight="1" x14ac:dyDescent="0.3">
      <c r="A609" s="3"/>
      <c r="B609" s="8"/>
      <c r="C609" s="3"/>
      <c r="D609" s="3"/>
      <c r="E609" s="8"/>
      <c r="F609" s="3"/>
      <c r="G609" s="9"/>
      <c r="H609" s="3"/>
      <c r="I609" s="5"/>
      <c r="J609" s="5"/>
      <c r="K609" s="5"/>
      <c r="L609" s="3"/>
      <c r="M609" s="6"/>
      <c r="N609" s="9"/>
      <c r="O609" s="9"/>
      <c r="P609" s="44"/>
      <c r="Q609" s="12"/>
      <c r="R609" s="12"/>
      <c r="S609" s="12"/>
      <c r="T609" s="12"/>
      <c r="U609" s="12"/>
      <c r="V609" s="12"/>
      <c r="W609" s="12"/>
      <c r="X609" s="12"/>
      <c r="Y609" s="12"/>
      <c r="Z609" s="12"/>
    </row>
    <row r="610" spans="1:26" ht="14.25" hidden="1" customHeight="1" x14ac:dyDescent="0.3">
      <c r="A610" s="3"/>
      <c r="B610" s="8"/>
      <c r="C610" s="3"/>
      <c r="D610" s="3"/>
      <c r="E610" s="8"/>
      <c r="F610" s="3"/>
      <c r="G610" s="9"/>
      <c r="H610" s="3"/>
      <c r="I610" s="5"/>
      <c r="J610" s="5"/>
      <c r="K610" s="5"/>
      <c r="L610" s="3"/>
      <c r="M610" s="6"/>
      <c r="N610" s="9"/>
      <c r="O610" s="9"/>
      <c r="P610" s="44"/>
      <c r="Q610" s="12"/>
      <c r="R610" s="12"/>
      <c r="S610" s="12"/>
      <c r="T610" s="12"/>
      <c r="U610" s="12"/>
      <c r="V610" s="12"/>
      <c r="W610" s="12"/>
      <c r="X610" s="12"/>
      <c r="Y610" s="12"/>
      <c r="Z610" s="12"/>
    </row>
    <row r="611" spans="1:26" ht="14.25" hidden="1" customHeight="1" x14ac:dyDescent="0.3">
      <c r="A611" s="3"/>
      <c r="B611" s="8"/>
      <c r="C611" s="3"/>
      <c r="D611" s="3"/>
      <c r="E611" s="8"/>
      <c r="F611" s="3"/>
      <c r="G611" s="9"/>
      <c r="H611" s="3"/>
      <c r="I611" s="5"/>
      <c r="J611" s="5"/>
      <c r="K611" s="5"/>
      <c r="L611" s="3"/>
      <c r="M611" s="6"/>
      <c r="N611" s="9"/>
      <c r="O611" s="9"/>
      <c r="P611" s="44"/>
      <c r="Q611" s="12"/>
      <c r="R611" s="12"/>
      <c r="S611" s="12"/>
      <c r="T611" s="12"/>
      <c r="U611" s="12"/>
      <c r="V611" s="12"/>
      <c r="W611" s="12"/>
      <c r="X611" s="12"/>
      <c r="Y611" s="12"/>
      <c r="Z611" s="12"/>
    </row>
    <row r="612" spans="1:26" ht="14.25" hidden="1" customHeight="1" x14ac:dyDescent="0.3">
      <c r="A612" s="3"/>
      <c r="B612" s="8"/>
      <c r="C612" s="3"/>
      <c r="D612" s="3"/>
      <c r="E612" s="8"/>
      <c r="F612" s="3"/>
      <c r="G612" s="9"/>
      <c r="H612" s="3"/>
      <c r="I612" s="5"/>
      <c r="J612" s="5"/>
      <c r="K612" s="5"/>
      <c r="L612" s="3"/>
      <c r="M612" s="6"/>
      <c r="N612" s="9"/>
      <c r="O612" s="9"/>
      <c r="P612" s="44"/>
      <c r="Q612" s="12"/>
      <c r="R612" s="12"/>
      <c r="S612" s="12"/>
      <c r="T612" s="12"/>
      <c r="U612" s="12"/>
      <c r="V612" s="12"/>
      <c r="W612" s="12"/>
      <c r="X612" s="12"/>
      <c r="Y612" s="12"/>
      <c r="Z612" s="12"/>
    </row>
    <row r="613" spans="1:26" ht="14.25" hidden="1" customHeight="1" x14ac:dyDescent="0.3">
      <c r="A613" s="3"/>
      <c r="B613" s="8"/>
      <c r="C613" s="3"/>
      <c r="D613" s="3"/>
      <c r="E613" s="8"/>
      <c r="F613" s="3"/>
      <c r="G613" s="9"/>
      <c r="H613" s="3"/>
      <c r="I613" s="5"/>
      <c r="J613" s="5"/>
      <c r="K613" s="5"/>
      <c r="L613" s="3"/>
      <c r="M613" s="6"/>
      <c r="N613" s="9"/>
      <c r="O613" s="9"/>
      <c r="P613" s="44"/>
      <c r="Q613" s="12"/>
      <c r="R613" s="12"/>
      <c r="S613" s="12"/>
      <c r="T613" s="12"/>
      <c r="U613" s="12"/>
      <c r="V613" s="12"/>
      <c r="W613" s="12"/>
      <c r="X613" s="12"/>
      <c r="Y613" s="12"/>
      <c r="Z613" s="12"/>
    </row>
    <row r="614" spans="1:26" ht="14.25" hidden="1" customHeight="1" x14ac:dyDescent="0.3">
      <c r="A614" s="3"/>
      <c r="B614" s="8"/>
      <c r="C614" s="3"/>
      <c r="D614" s="3"/>
      <c r="E614" s="8"/>
      <c r="F614" s="3"/>
      <c r="G614" s="9"/>
      <c r="H614" s="3"/>
      <c r="I614" s="5"/>
      <c r="J614" s="5"/>
      <c r="K614" s="5"/>
      <c r="L614" s="3"/>
      <c r="M614" s="6"/>
      <c r="N614" s="9"/>
      <c r="O614" s="9"/>
      <c r="P614" s="44"/>
      <c r="Q614" s="12"/>
      <c r="R614" s="12"/>
      <c r="S614" s="12"/>
      <c r="T614" s="12"/>
      <c r="U614" s="12"/>
      <c r="V614" s="12"/>
      <c r="W614" s="12"/>
      <c r="X614" s="12"/>
      <c r="Y614" s="12"/>
      <c r="Z614" s="12"/>
    </row>
    <row r="615" spans="1:26" ht="14.25" hidden="1" customHeight="1" x14ac:dyDescent="0.3">
      <c r="A615" s="3"/>
      <c r="B615" s="8"/>
      <c r="C615" s="3"/>
      <c r="D615" s="3"/>
      <c r="E615" s="8"/>
      <c r="F615" s="3"/>
      <c r="G615" s="9"/>
      <c r="H615" s="3"/>
      <c r="I615" s="5"/>
      <c r="J615" s="5"/>
      <c r="K615" s="5"/>
      <c r="L615" s="3"/>
      <c r="M615" s="6"/>
      <c r="N615" s="9"/>
      <c r="O615" s="9"/>
      <c r="P615" s="44"/>
      <c r="Q615" s="12"/>
      <c r="R615" s="12"/>
      <c r="S615" s="12"/>
      <c r="T615" s="12"/>
      <c r="U615" s="12"/>
      <c r="V615" s="12"/>
      <c r="W615" s="12"/>
      <c r="X615" s="12"/>
      <c r="Y615" s="12"/>
      <c r="Z615" s="12"/>
    </row>
    <row r="616" spans="1:26" ht="14.25" hidden="1" customHeight="1" x14ac:dyDescent="0.3">
      <c r="A616" s="3"/>
      <c r="B616" s="8"/>
      <c r="C616" s="3"/>
      <c r="D616" s="3"/>
      <c r="E616" s="8"/>
      <c r="F616" s="3"/>
      <c r="G616" s="9"/>
      <c r="H616" s="3"/>
      <c r="I616" s="5"/>
      <c r="J616" s="5"/>
      <c r="K616" s="5"/>
      <c r="L616" s="3"/>
      <c r="M616" s="6"/>
      <c r="N616" s="9"/>
      <c r="O616" s="9"/>
      <c r="P616" s="44"/>
      <c r="Q616" s="12"/>
      <c r="R616" s="12"/>
      <c r="S616" s="12"/>
      <c r="T616" s="12"/>
      <c r="U616" s="12"/>
      <c r="V616" s="12"/>
      <c r="W616" s="12"/>
      <c r="X616" s="12"/>
      <c r="Y616" s="12"/>
      <c r="Z616" s="12"/>
    </row>
    <row r="617" spans="1:26" ht="14.25" hidden="1" customHeight="1" x14ac:dyDescent="0.3">
      <c r="A617" s="3"/>
      <c r="B617" s="8"/>
      <c r="C617" s="3"/>
      <c r="D617" s="3"/>
      <c r="E617" s="8"/>
      <c r="F617" s="3"/>
      <c r="G617" s="9"/>
      <c r="H617" s="3"/>
      <c r="I617" s="5"/>
      <c r="J617" s="5"/>
      <c r="K617" s="5"/>
      <c r="L617" s="3"/>
      <c r="M617" s="6"/>
      <c r="N617" s="9"/>
      <c r="O617" s="9"/>
      <c r="P617" s="44"/>
      <c r="Q617" s="12"/>
      <c r="R617" s="12"/>
      <c r="S617" s="12"/>
      <c r="T617" s="12"/>
      <c r="U617" s="12"/>
      <c r="V617" s="12"/>
      <c r="W617" s="12"/>
      <c r="X617" s="12"/>
      <c r="Y617" s="12"/>
      <c r="Z617" s="12"/>
    </row>
    <row r="618" spans="1:26" ht="14.25" hidden="1" customHeight="1" x14ac:dyDescent="0.3">
      <c r="A618" s="3"/>
      <c r="B618" s="8"/>
      <c r="C618" s="3"/>
      <c r="D618" s="3"/>
      <c r="E618" s="8"/>
      <c r="F618" s="3"/>
      <c r="G618" s="9"/>
      <c r="H618" s="3"/>
      <c r="I618" s="5"/>
      <c r="J618" s="5"/>
      <c r="K618" s="5"/>
      <c r="L618" s="3"/>
      <c r="M618" s="6"/>
      <c r="N618" s="9"/>
      <c r="O618" s="9"/>
      <c r="P618" s="44"/>
      <c r="Q618" s="12"/>
      <c r="R618" s="12"/>
      <c r="S618" s="12"/>
      <c r="T618" s="12"/>
      <c r="U618" s="12"/>
      <c r="V618" s="12"/>
      <c r="W618" s="12"/>
      <c r="X618" s="12"/>
      <c r="Y618" s="12"/>
      <c r="Z618" s="12"/>
    </row>
    <row r="619" spans="1:26" ht="14.25" hidden="1" customHeight="1" x14ac:dyDescent="0.3">
      <c r="A619" s="3"/>
      <c r="B619" s="8"/>
      <c r="C619" s="3"/>
      <c r="D619" s="3"/>
      <c r="E619" s="8"/>
      <c r="F619" s="3"/>
      <c r="G619" s="9"/>
      <c r="H619" s="3"/>
      <c r="I619" s="5"/>
      <c r="J619" s="5"/>
      <c r="K619" s="5"/>
      <c r="L619" s="3"/>
      <c r="M619" s="6"/>
      <c r="N619" s="9"/>
      <c r="O619" s="9"/>
      <c r="P619" s="44"/>
      <c r="Q619" s="12"/>
      <c r="R619" s="12"/>
      <c r="S619" s="12"/>
      <c r="T619" s="12"/>
      <c r="U619" s="12"/>
      <c r="V619" s="12"/>
      <c r="W619" s="12"/>
      <c r="X619" s="12"/>
      <c r="Y619" s="12"/>
      <c r="Z619" s="12"/>
    </row>
    <row r="620" spans="1:26" ht="14.25" hidden="1" customHeight="1" x14ac:dyDescent="0.3">
      <c r="A620" s="3"/>
      <c r="B620" s="8"/>
      <c r="C620" s="3"/>
      <c r="D620" s="3"/>
      <c r="E620" s="8"/>
      <c r="F620" s="3"/>
      <c r="G620" s="9"/>
      <c r="H620" s="3"/>
      <c r="I620" s="5"/>
      <c r="J620" s="5"/>
      <c r="K620" s="5"/>
      <c r="L620" s="3"/>
      <c r="M620" s="6"/>
      <c r="N620" s="9"/>
      <c r="O620" s="9"/>
      <c r="P620" s="44"/>
      <c r="Q620" s="12"/>
      <c r="R620" s="12"/>
      <c r="S620" s="12"/>
      <c r="T620" s="12"/>
      <c r="U620" s="12"/>
      <c r="V620" s="12"/>
      <c r="W620" s="12"/>
      <c r="X620" s="12"/>
      <c r="Y620" s="12"/>
      <c r="Z620" s="12"/>
    </row>
    <row r="621" spans="1:26" ht="14.25" hidden="1" customHeight="1" x14ac:dyDescent="0.3">
      <c r="A621" s="3"/>
      <c r="B621" s="8"/>
      <c r="C621" s="3"/>
      <c r="D621" s="3"/>
      <c r="E621" s="8"/>
      <c r="F621" s="3"/>
      <c r="G621" s="9"/>
      <c r="H621" s="3"/>
      <c r="I621" s="5"/>
      <c r="J621" s="5"/>
      <c r="K621" s="5"/>
      <c r="L621" s="3"/>
      <c r="M621" s="6"/>
      <c r="N621" s="9"/>
      <c r="O621" s="9"/>
      <c r="P621" s="44"/>
      <c r="Q621" s="12"/>
      <c r="R621" s="12"/>
      <c r="S621" s="12"/>
      <c r="T621" s="12"/>
      <c r="U621" s="12"/>
      <c r="V621" s="12"/>
      <c r="W621" s="12"/>
      <c r="X621" s="12"/>
      <c r="Y621" s="12"/>
      <c r="Z621" s="12"/>
    </row>
    <row r="622" spans="1:26" ht="14.25" hidden="1" customHeight="1" x14ac:dyDescent="0.3">
      <c r="A622" s="3"/>
      <c r="B622" s="8"/>
      <c r="C622" s="3"/>
      <c r="D622" s="3"/>
      <c r="E622" s="8"/>
      <c r="F622" s="3"/>
      <c r="G622" s="9"/>
      <c r="H622" s="3"/>
      <c r="I622" s="5"/>
      <c r="J622" s="5"/>
      <c r="K622" s="5"/>
      <c r="L622" s="3"/>
      <c r="M622" s="6"/>
      <c r="N622" s="9"/>
      <c r="O622" s="9"/>
      <c r="P622" s="44"/>
      <c r="Q622" s="12"/>
      <c r="R622" s="12"/>
      <c r="S622" s="12"/>
      <c r="T622" s="12"/>
      <c r="U622" s="12"/>
      <c r="V622" s="12"/>
      <c r="W622" s="12"/>
      <c r="X622" s="12"/>
      <c r="Y622" s="12"/>
      <c r="Z622" s="12"/>
    </row>
    <row r="623" spans="1:26" ht="14.25" hidden="1" customHeight="1" x14ac:dyDescent="0.3">
      <c r="A623" s="3"/>
      <c r="B623" s="8"/>
      <c r="C623" s="3"/>
      <c r="D623" s="3"/>
      <c r="E623" s="8"/>
      <c r="F623" s="3"/>
      <c r="G623" s="9"/>
      <c r="H623" s="3"/>
      <c r="I623" s="5"/>
      <c r="J623" s="5"/>
      <c r="K623" s="5"/>
      <c r="L623" s="3"/>
      <c r="M623" s="6"/>
      <c r="N623" s="9"/>
      <c r="O623" s="9"/>
      <c r="P623" s="44"/>
      <c r="Q623" s="12"/>
      <c r="R623" s="12"/>
      <c r="S623" s="12"/>
      <c r="T623" s="12"/>
      <c r="U623" s="12"/>
      <c r="V623" s="12"/>
      <c r="W623" s="12"/>
      <c r="X623" s="12"/>
      <c r="Y623" s="12"/>
      <c r="Z623" s="12"/>
    </row>
    <row r="624" spans="1:26" ht="14.25" hidden="1" customHeight="1" x14ac:dyDescent="0.3">
      <c r="A624" s="3"/>
      <c r="B624" s="8"/>
      <c r="C624" s="3"/>
      <c r="D624" s="3"/>
      <c r="E624" s="8"/>
      <c r="F624" s="3"/>
      <c r="G624" s="9"/>
      <c r="H624" s="3"/>
      <c r="I624" s="5"/>
      <c r="J624" s="5"/>
      <c r="K624" s="5"/>
      <c r="L624" s="3"/>
      <c r="M624" s="6"/>
      <c r="N624" s="9"/>
      <c r="O624" s="9"/>
      <c r="P624" s="44"/>
      <c r="Q624" s="12"/>
      <c r="R624" s="12"/>
      <c r="S624" s="12"/>
      <c r="T624" s="12"/>
      <c r="U624" s="12"/>
      <c r="V624" s="12"/>
      <c r="W624" s="12"/>
      <c r="X624" s="12"/>
      <c r="Y624" s="12"/>
      <c r="Z624" s="12"/>
    </row>
    <row r="625" spans="1:26" ht="14.25" hidden="1" customHeight="1" x14ac:dyDescent="0.3">
      <c r="A625" s="3"/>
      <c r="B625" s="8"/>
      <c r="C625" s="3"/>
      <c r="D625" s="3"/>
      <c r="E625" s="8"/>
      <c r="F625" s="3"/>
      <c r="G625" s="9"/>
      <c r="H625" s="3"/>
      <c r="I625" s="5"/>
      <c r="J625" s="5"/>
      <c r="K625" s="5"/>
      <c r="L625" s="3"/>
      <c r="M625" s="6"/>
      <c r="N625" s="9"/>
      <c r="O625" s="9"/>
      <c r="P625" s="44"/>
      <c r="Q625" s="12"/>
      <c r="R625" s="12"/>
      <c r="S625" s="12"/>
      <c r="T625" s="12"/>
      <c r="U625" s="12"/>
      <c r="V625" s="12"/>
      <c r="W625" s="12"/>
      <c r="X625" s="12"/>
      <c r="Y625" s="12"/>
      <c r="Z625" s="12"/>
    </row>
    <row r="626" spans="1:26" ht="14.25" hidden="1" customHeight="1" x14ac:dyDescent="0.3">
      <c r="A626" s="3"/>
      <c r="B626" s="8"/>
      <c r="C626" s="3"/>
      <c r="D626" s="3"/>
      <c r="E626" s="8"/>
      <c r="F626" s="3"/>
      <c r="G626" s="9"/>
      <c r="H626" s="3"/>
      <c r="I626" s="5"/>
      <c r="J626" s="5"/>
      <c r="K626" s="5"/>
      <c r="L626" s="3"/>
      <c r="M626" s="6"/>
      <c r="N626" s="9"/>
      <c r="O626" s="9"/>
      <c r="P626" s="44"/>
      <c r="Q626" s="12"/>
      <c r="R626" s="12"/>
      <c r="S626" s="12"/>
      <c r="T626" s="12"/>
      <c r="U626" s="12"/>
      <c r="V626" s="12"/>
      <c r="W626" s="12"/>
      <c r="X626" s="12"/>
      <c r="Y626" s="12"/>
      <c r="Z626" s="12"/>
    </row>
    <row r="627" spans="1:26" ht="14.25" hidden="1" customHeight="1" x14ac:dyDescent="0.3">
      <c r="A627" s="3"/>
      <c r="B627" s="8"/>
      <c r="C627" s="3"/>
      <c r="D627" s="3"/>
      <c r="E627" s="8"/>
      <c r="F627" s="3"/>
      <c r="G627" s="9"/>
      <c r="H627" s="3"/>
      <c r="I627" s="5"/>
      <c r="J627" s="5"/>
      <c r="K627" s="5"/>
      <c r="L627" s="3"/>
      <c r="M627" s="6"/>
      <c r="N627" s="9"/>
      <c r="O627" s="9"/>
      <c r="P627" s="44"/>
      <c r="Q627" s="12"/>
      <c r="R627" s="12"/>
      <c r="S627" s="12"/>
      <c r="T627" s="12"/>
      <c r="U627" s="12"/>
      <c r="V627" s="12"/>
      <c r="W627" s="12"/>
      <c r="X627" s="12"/>
      <c r="Y627" s="12"/>
      <c r="Z627" s="12"/>
    </row>
    <row r="628" spans="1:26" ht="14.25" hidden="1" customHeight="1" x14ac:dyDescent="0.3">
      <c r="A628" s="3"/>
      <c r="B628" s="8"/>
      <c r="C628" s="3"/>
      <c r="D628" s="3"/>
      <c r="E628" s="8"/>
      <c r="F628" s="3"/>
      <c r="G628" s="9"/>
      <c r="H628" s="3"/>
      <c r="I628" s="5"/>
      <c r="J628" s="5"/>
      <c r="K628" s="5"/>
      <c r="L628" s="3"/>
      <c r="M628" s="6"/>
      <c r="N628" s="9"/>
      <c r="O628" s="9"/>
      <c r="P628" s="44"/>
      <c r="Q628" s="12"/>
      <c r="R628" s="12"/>
      <c r="S628" s="12"/>
      <c r="T628" s="12"/>
      <c r="U628" s="12"/>
      <c r="V628" s="12"/>
      <c r="W628" s="12"/>
      <c r="X628" s="12"/>
      <c r="Y628" s="12"/>
      <c r="Z628" s="12"/>
    </row>
    <row r="629" spans="1:26" ht="14.25" hidden="1" customHeight="1" x14ac:dyDescent="0.3">
      <c r="A629" s="3"/>
      <c r="B629" s="8"/>
      <c r="C629" s="3"/>
      <c r="D629" s="3"/>
      <c r="E629" s="8"/>
      <c r="F629" s="3"/>
      <c r="G629" s="9"/>
      <c r="H629" s="3"/>
      <c r="I629" s="5"/>
      <c r="J629" s="5"/>
      <c r="K629" s="5"/>
      <c r="L629" s="3"/>
      <c r="M629" s="6"/>
      <c r="N629" s="9"/>
      <c r="O629" s="9"/>
      <c r="P629" s="44"/>
      <c r="Q629" s="12"/>
      <c r="R629" s="12"/>
      <c r="S629" s="12"/>
      <c r="T629" s="12"/>
      <c r="U629" s="12"/>
      <c r="V629" s="12"/>
      <c r="W629" s="12"/>
      <c r="X629" s="12"/>
      <c r="Y629" s="12"/>
      <c r="Z629" s="12"/>
    </row>
    <row r="630" spans="1:26" ht="14.25" hidden="1" customHeight="1" x14ac:dyDescent="0.3">
      <c r="A630" s="3"/>
      <c r="B630" s="8"/>
      <c r="C630" s="3"/>
      <c r="D630" s="3"/>
      <c r="E630" s="8"/>
      <c r="F630" s="3"/>
      <c r="G630" s="9"/>
      <c r="H630" s="3"/>
      <c r="I630" s="5"/>
      <c r="J630" s="5"/>
      <c r="K630" s="5"/>
      <c r="L630" s="3"/>
      <c r="M630" s="6"/>
      <c r="N630" s="9"/>
      <c r="O630" s="9"/>
      <c r="P630" s="44"/>
      <c r="Q630" s="12"/>
      <c r="R630" s="12"/>
      <c r="S630" s="12"/>
      <c r="T630" s="12"/>
      <c r="U630" s="12"/>
      <c r="V630" s="12"/>
      <c r="W630" s="12"/>
      <c r="X630" s="12"/>
      <c r="Y630" s="12"/>
      <c r="Z630" s="12"/>
    </row>
    <row r="631" spans="1:26" ht="14.25" hidden="1" customHeight="1" x14ac:dyDescent="0.3">
      <c r="A631" s="3"/>
      <c r="B631" s="8"/>
      <c r="C631" s="3"/>
      <c r="D631" s="3"/>
      <c r="E631" s="8"/>
      <c r="F631" s="3"/>
      <c r="G631" s="9"/>
      <c r="H631" s="3"/>
      <c r="I631" s="5"/>
      <c r="J631" s="5"/>
      <c r="K631" s="5"/>
      <c r="L631" s="3"/>
      <c r="M631" s="6"/>
      <c r="N631" s="9"/>
      <c r="O631" s="9"/>
      <c r="P631" s="44"/>
      <c r="Q631" s="12"/>
      <c r="R631" s="12"/>
      <c r="S631" s="12"/>
      <c r="T631" s="12"/>
      <c r="U631" s="12"/>
      <c r="V631" s="12"/>
      <c r="W631" s="12"/>
      <c r="X631" s="12"/>
      <c r="Y631" s="12"/>
      <c r="Z631" s="12"/>
    </row>
    <row r="632" spans="1:26" ht="14.25" hidden="1" customHeight="1" x14ac:dyDescent="0.3">
      <c r="A632" s="3"/>
      <c r="B632" s="8"/>
      <c r="C632" s="3"/>
      <c r="D632" s="3"/>
      <c r="E632" s="8"/>
      <c r="F632" s="3"/>
      <c r="G632" s="9"/>
      <c r="H632" s="3"/>
      <c r="I632" s="5"/>
      <c r="J632" s="5"/>
      <c r="K632" s="5"/>
      <c r="L632" s="3"/>
      <c r="M632" s="6"/>
      <c r="N632" s="9"/>
      <c r="O632" s="9"/>
      <c r="P632" s="44"/>
      <c r="Q632" s="12"/>
      <c r="R632" s="12"/>
      <c r="S632" s="12"/>
      <c r="T632" s="12"/>
      <c r="U632" s="12"/>
      <c r="V632" s="12"/>
      <c r="W632" s="12"/>
      <c r="X632" s="12"/>
      <c r="Y632" s="12"/>
      <c r="Z632" s="12"/>
    </row>
    <row r="633" spans="1:26" ht="14.25" hidden="1" customHeight="1" x14ac:dyDescent="0.3">
      <c r="A633" s="3"/>
      <c r="B633" s="8"/>
      <c r="C633" s="3"/>
      <c r="D633" s="3"/>
      <c r="E633" s="8"/>
      <c r="F633" s="3"/>
      <c r="G633" s="9"/>
      <c r="H633" s="3"/>
      <c r="I633" s="5"/>
      <c r="J633" s="5"/>
      <c r="K633" s="5"/>
      <c r="L633" s="3"/>
      <c r="M633" s="6"/>
      <c r="N633" s="9"/>
      <c r="O633" s="9"/>
      <c r="P633" s="44"/>
      <c r="Q633" s="12"/>
      <c r="R633" s="12"/>
      <c r="S633" s="12"/>
      <c r="T633" s="12"/>
      <c r="U633" s="12"/>
      <c r="V633" s="12"/>
      <c r="W633" s="12"/>
      <c r="X633" s="12"/>
      <c r="Y633" s="12"/>
      <c r="Z633" s="12"/>
    </row>
    <row r="634" spans="1:26" ht="14.25" hidden="1" customHeight="1" x14ac:dyDescent="0.3">
      <c r="A634" s="3"/>
      <c r="B634" s="8"/>
      <c r="C634" s="3"/>
      <c r="D634" s="3"/>
      <c r="E634" s="8"/>
      <c r="F634" s="3"/>
      <c r="G634" s="9"/>
      <c r="H634" s="3"/>
      <c r="I634" s="5"/>
      <c r="J634" s="5"/>
      <c r="K634" s="5"/>
      <c r="L634" s="3"/>
      <c r="M634" s="6"/>
      <c r="N634" s="9"/>
      <c r="O634" s="9"/>
      <c r="P634" s="44"/>
      <c r="Q634" s="12"/>
      <c r="R634" s="12"/>
      <c r="S634" s="12"/>
      <c r="T634" s="12"/>
      <c r="U634" s="12"/>
      <c r="V634" s="12"/>
      <c r="W634" s="12"/>
      <c r="X634" s="12"/>
      <c r="Y634" s="12"/>
      <c r="Z634" s="12"/>
    </row>
    <row r="635" spans="1:26" ht="14.25" hidden="1" customHeight="1" x14ac:dyDescent="0.3">
      <c r="A635" s="3"/>
      <c r="B635" s="8"/>
      <c r="C635" s="3"/>
      <c r="D635" s="3"/>
      <c r="E635" s="8"/>
      <c r="F635" s="3"/>
      <c r="G635" s="9"/>
      <c r="H635" s="3"/>
      <c r="I635" s="5"/>
      <c r="J635" s="5"/>
      <c r="K635" s="5"/>
      <c r="L635" s="3"/>
      <c r="M635" s="6"/>
      <c r="N635" s="9"/>
      <c r="O635" s="9"/>
      <c r="P635" s="44"/>
      <c r="Q635" s="12"/>
      <c r="R635" s="12"/>
      <c r="S635" s="12"/>
      <c r="T635" s="12"/>
      <c r="U635" s="12"/>
      <c r="V635" s="12"/>
      <c r="W635" s="12"/>
      <c r="X635" s="12"/>
      <c r="Y635" s="12"/>
      <c r="Z635" s="12"/>
    </row>
    <row r="636" spans="1:26" ht="14.25" hidden="1" customHeight="1" x14ac:dyDescent="0.3">
      <c r="A636" s="3"/>
      <c r="B636" s="8"/>
      <c r="C636" s="3"/>
      <c r="D636" s="3"/>
      <c r="E636" s="8"/>
      <c r="F636" s="3"/>
      <c r="G636" s="9"/>
      <c r="H636" s="3"/>
      <c r="I636" s="5"/>
      <c r="J636" s="5"/>
      <c r="K636" s="5"/>
      <c r="L636" s="3"/>
      <c r="M636" s="6"/>
      <c r="N636" s="9"/>
      <c r="O636" s="9"/>
      <c r="P636" s="44"/>
      <c r="Q636" s="12"/>
      <c r="R636" s="12"/>
      <c r="S636" s="12"/>
      <c r="T636" s="12"/>
      <c r="U636" s="12"/>
      <c r="V636" s="12"/>
      <c r="W636" s="12"/>
      <c r="X636" s="12"/>
      <c r="Y636" s="12"/>
      <c r="Z636" s="12"/>
    </row>
    <row r="637" spans="1:26" ht="14.25" hidden="1" customHeight="1" x14ac:dyDescent="0.3">
      <c r="A637" s="3"/>
      <c r="B637" s="8"/>
      <c r="C637" s="3"/>
      <c r="D637" s="3"/>
      <c r="E637" s="8"/>
      <c r="F637" s="3"/>
      <c r="G637" s="9"/>
      <c r="H637" s="3"/>
      <c r="I637" s="5"/>
      <c r="J637" s="5"/>
      <c r="K637" s="5"/>
      <c r="L637" s="3"/>
      <c r="M637" s="6"/>
      <c r="N637" s="9"/>
      <c r="O637" s="9"/>
      <c r="P637" s="44"/>
      <c r="Q637" s="12"/>
      <c r="R637" s="12"/>
      <c r="S637" s="12"/>
      <c r="T637" s="12"/>
      <c r="U637" s="12"/>
      <c r="V637" s="12"/>
      <c r="W637" s="12"/>
      <c r="X637" s="12"/>
      <c r="Y637" s="12"/>
      <c r="Z637" s="12"/>
    </row>
    <row r="638" spans="1:26" ht="14.25" hidden="1" customHeight="1" x14ac:dyDescent="0.3">
      <c r="A638" s="3"/>
      <c r="B638" s="8"/>
      <c r="C638" s="3"/>
      <c r="D638" s="3"/>
      <c r="E638" s="8"/>
      <c r="F638" s="3"/>
      <c r="G638" s="9"/>
      <c r="H638" s="3"/>
      <c r="I638" s="5"/>
      <c r="J638" s="5"/>
      <c r="K638" s="5"/>
      <c r="L638" s="3"/>
      <c r="M638" s="6"/>
      <c r="N638" s="9"/>
      <c r="O638" s="9"/>
      <c r="P638" s="44"/>
      <c r="Q638" s="12"/>
      <c r="R638" s="12"/>
      <c r="S638" s="12"/>
      <c r="T638" s="12"/>
      <c r="U638" s="12"/>
      <c r="V638" s="12"/>
      <c r="W638" s="12"/>
      <c r="X638" s="12"/>
      <c r="Y638" s="12"/>
      <c r="Z638" s="12"/>
    </row>
    <row r="639" spans="1:26" ht="14.25" hidden="1" customHeight="1" x14ac:dyDescent="0.3">
      <c r="A639" s="3"/>
      <c r="B639" s="8"/>
      <c r="C639" s="3"/>
      <c r="D639" s="3"/>
      <c r="E639" s="8"/>
      <c r="F639" s="3"/>
      <c r="G639" s="9"/>
      <c r="H639" s="3"/>
      <c r="I639" s="5"/>
      <c r="J639" s="5"/>
      <c r="K639" s="5"/>
      <c r="L639" s="3"/>
      <c r="M639" s="6"/>
      <c r="N639" s="9"/>
      <c r="O639" s="9"/>
      <c r="P639" s="44"/>
      <c r="Q639" s="12"/>
      <c r="R639" s="12"/>
      <c r="S639" s="12"/>
      <c r="T639" s="12"/>
      <c r="U639" s="12"/>
      <c r="V639" s="12"/>
      <c r="W639" s="12"/>
      <c r="X639" s="12"/>
      <c r="Y639" s="12"/>
      <c r="Z639" s="12"/>
    </row>
    <row r="640" spans="1:26" ht="14.25" hidden="1" customHeight="1" x14ac:dyDescent="0.3">
      <c r="A640" s="3"/>
      <c r="B640" s="8"/>
      <c r="C640" s="3"/>
      <c r="D640" s="3"/>
      <c r="E640" s="8"/>
      <c r="F640" s="3"/>
      <c r="G640" s="9"/>
      <c r="H640" s="3"/>
      <c r="I640" s="5"/>
      <c r="J640" s="5"/>
      <c r="K640" s="5"/>
      <c r="L640" s="3"/>
      <c r="M640" s="6"/>
      <c r="N640" s="9"/>
      <c r="O640" s="9"/>
      <c r="P640" s="44"/>
      <c r="Q640" s="12"/>
      <c r="R640" s="12"/>
      <c r="S640" s="12"/>
      <c r="T640" s="12"/>
      <c r="U640" s="12"/>
      <c r="V640" s="12"/>
      <c r="W640" s="12"/>
      <c r="X640" s="12"/>
      <c r="Y640" s="12"/>
      <c r="Z640" s="12"/>
    </row>
    <row r="641" spans="1:26" ht="14.25" hidden="1" customHeight="1" x14ac:dyDescent="0.3">
      <c r="A641" s="3"/>
      <c r="B641" s="8"/>
      <c r="C641" s="3"/>
      <c r="D641" s="3"/>
      <c r="E641" s="8"/>
      <c r="F641" s="3"/>
      <c r="G641" s="9"/>
      <c r="H641" s="3"/>
      <c r="I641" s="5"/>
      <c r="J641" s="5"/>
      <c r="K641" s="5"/>
      <c r="L641" s="3"/>
      <c r="M641" s="6"/>
      <c r="N641" s="9"/>
      <c r="O641" s="9"/>
      <c r="P641" s="44"/>
      <c r="Q641" s="12"/>
      <c r="R641" s="12"/>
      <c r="S641" s="12"/>
      <c r="T641" s="12"/>
      <c r="U641" s="12"/>
      <c r="V641" s="12"/>
      <c r="W641" s="12"/>
      <c r="X641" s="12"/>
      <c r="Y641" s="12"/>
      <c r="Z641" s="12"/>
    </row>
    <row r="642" spans="1:26" ht="14.25" hidden="1" customHeight="1" x14ac:dyDescent="0.3">
      <c r="A642" s="3"/>
      <c r="B642" s="8"/>
      <c r="C642" s="3"/>
      <c r="D642" s="3"/>
      <c r="E642" s="8"/>
      <c r="F642" s="3"/>
      <c r="G642" s="9"/>
      <c r="H642" s="3"/>
      <c r="I642" s="5"/>
      <c r="J642" s="5"/>
      <c r="K642" s="5"/>
      <c r="L642" s="3"/>
      <c r="M642" s="6"/>
      <c r="N642" s="9"/>
      <c r="O642" s="9"/>
      <c r="P642" s="44"/>
      <c r="Q642" s="12"/>
      <c r="R642" s="12"/>
      <c r="S642" s="12"/>
      <c r="T642" s="12"/>
      <c r="U642" s="12"/>
      <c r="V642" s="12"/>
      <c r="W642" s="12"/>
      <c r="X642" s="12"/>
      <c r="Y642" s="12"/>
      <c r="Z642" s="12"/>
    </row>
    <row r="643" spans="1:26" ht="14.25" hidden="1" customHeight="1" x14ac:dyDescent="0.3">
      <c r="A643" s="3"/>
      <c r="B643" s="8"/>
      <c r="C643" s="3"/>
      <c r="D643" s="3"/>
      <c r="E643" s="8"/>
      <c r="F643" s="3"/>
      <c r="G643" s="9"/>
      <c r="H643" s="3"/>
      <c r="I643" s="5"/>
      <c r="J643" s="5"/>
      <c r="K643" s="5"/>
      <c r="L643" s="3"/>
      <c r="M643" s="6"/>
      <c r="N643" s="9"/>
      <c r="O643" s="9"/>
      <c r="P643" s="44"/>
      <c r="Q643" s="12"/>
      <c r="R643" s="12"/>
      <c r="S643" s="12"/>
      <c r="T643" s="12"/>
      <c r="U643" s="12"/>
      <c r="V643" s="12"/>
      <c r="W643" s="12"/>
      <c r="X643" s="12"/>
      <c r="Y643" s="12"/>
      <c r="Z643" s="12"/>
    </row>
    <row r="644" spans="1:26" ht="14.25" hidden="1" customHeight="1" x14ac:dyDescent="0.3">
      <c r="A644" s="3"/>
      <c r="B644" s="8"/>
      <c r="C644" s="3"/>
      <c r="D644" s="3"/>
      <c r="E644" s="8"/>
      <c r="F644" s="3"/>
      <c r="G644" s="9"/>
      <c r="H644" s="3"/>
      <c r="I644" s="5"/>
      <c r="J644" s="5"/>
      <c r="K644" s="5"/>
      <c r="L644" s="3"/>
      <c r="M644" s="6"/>
      <c r="N644" s="9"/>
      <c r="O644" s="9"/>
      <c r="P644" s="44"/>
      <c r="Q644" s="12"/>
      <c r="R644" s="12"/>
      <c r="S644" s="12"/>
      <c r="T644" s="12"/>
      <c r="U644" s="12"/>
      <c r="V644" s="12"/>
      <c r="W644" s="12"/>
      <c r="X644" s="12"/>
      <c r="Y644" s="12"/>
      <c r="Z644" s="12"/>
    </row>
    <row r="645" spans="1:26" ht="14.25" hidden="1" customHeight="1" x14ac:dyDescent="0.3">
      <c r="A645" s="3"/>
      <c r="B645" s="8"/>
      <c r="C645" s="3"/>
      <c r="D645" s="3"/>
      <c r="E645" s="8"/>
      <c r="F645" s="3"/>
      <c r="G645" s="9"/>
      <c r="H645" s="3"/>
      <c r="I645" s="5"/>
      <c r="J645" s="5"/>
      <c r="K645" s="5"/>
      <c r="L645" s="3"/>
      <c r="M645" s="6"/>
      <c r="N645" s="9"/>
      <c r="O645" s="9"/>
      <c r="P645" s="44"/>
      <c r="Q645" s="12"/>
      <c r="R645" s="12"/>
      <c r="S645" s="12"/>
      <c r="T645" s="12"/>
      <c r="U645" s="12"/>
      <c r="V645" s="12"/>
      <c r="W645" s="12"/>
      <c r="X645" s="12"/>
      <c r="Y645" s="12"/>
      <c r="Z645" s="12"/>
    </row>
    <row r="646" spans="1:26" ht="14.25" hidden="1" customHeight="1" x14ac:dyDescent="0.3">
      <c r="A646" s="3"/>
      <c r="B646" s="8"/>
      <c r="C646" s="3"/>
      <c r="D646" s="3"/>
      <c r="E646" s="8"/>
      <c r="F646" s="3"/>
      <c r="G646" s="9"/>
      <c r="H646" s="3"/>
      <c r="I646" s="5"/>
      <c r="J646" s="5"/>
      <c r="K646" s="5"/>
      <c r="L646" s="3"/>
      <c r="M646" s="6"/>
      <c r="N646" s="9"/>
      <c r="O646" s="9"/>
      <c r="P646" s="44"/>
      <c r="Q646" s="12"/>
      <c r="R646" s="12"/>
      <c r="S646" s="12"/>
      <c r="T646" s="12"/>
      <c r="U646" s="12"/>
      <c r="V646" s="12"/>
      <c r="W646" s="12"/>
      <c r="X646" s="12"/>
      <c r="Y646" s="12"/>
      <c r="Z646" s="12"/>
    </row>
    <row r="647" spans="1:26" ht="14.25" hidden="1" customHeight="1" x14ac:dyDescent="0.3">
      <c r="A647" s="3"/>
      <c r="B647" s="8"/>
      <c r="C647" s="3"/>
      <c r="D647" s="3"/>
      <c r="E647" s="8"/>
      <c r="F647" s="3"/>
      <c r="G647" s="9"/>
      <c r="H647" s="3"/>
      <c r="I647" s="5"/>
      <c r="J647" s="5"/>
      <c r="K647" s="5"/>
      <c r="L647" s="3"/>
      <c r="M647" s="6"/>
      <c r="N647" s="9"/>
      <c r="O647" s="9"/>
      <c r="P647" s="44"/>
      <c r="Q647" s="12"/>
      <c r="R647" s="12"/>
      <c r="S647" s="12"/>
      <c r="T647" s="12"/>
      <c r="U647" s="12"/>
      <c r="V647" s="12"/>
      <c r="W647" s="12"/>
      <c r="X647" s="12"/>
      <c r="Y647" s="12"/>
      <c r="Z647" s="12"/>
    </row>
    <row r="648" spans="1:26" ht="14.25" hidden="1" customHeight="1" x14ac:dyDescent="0.3">
      <c r="A648" s="3"/>
      <c r="B648" s="8"/>
      <c r="C648" s="3"/>
      <c r="D648" s="3"/>
      <c r="E648" s="8"/>
      <c r="F648" s="3"/>
      <c r="G648" s="9"/>
      <c r="H648" s="3"/>
      <c r="I648" s="5"/>
      <c r="J648" s="5"/>
      <c r="K648" s="5"/>
      <c r="L648" s="3"/>
      <c r="M648" s="6"/>
      <c r="N648" s="9"/>
      <c r="O648" s="9"/>
      <c r="P648" s="44"/>
      <c r="Q648" s="12"/>
      <c r="R648" s="12"/>
      <c r="S648" s="12"/>
      <c r="T648" s="12"/>
      <c r="U648" s="12"/>
      <c r="V648" s="12"/>
      <c r="W648" s="12"/>
      <c r="X648" s="12"/>
      <c r="Y648" s="12"/>
      <c r="Z648" s="12"/>
    </row>
    <row r="649" spans="1:26" ht="14.25" hidden="1" customHeight="1" x14ac:dyDescent="0.3">
      <c r="A649" s="3"/>
      <c r="B649" s="8"/>
      <c r="C649" s="3"/>
      <c r="D649" s="3"/>
      <c r="E649" s="8"/>
      <c r="F649" s="3"/>
      <c r="G649" s="9"/>
      <c r="H649" s="3"/>
      <c r="I649" s="5"/>
      <c r="J649" s="5"/>
      <c r="K649" s="5"/>
      <c r="L649" s="3"/>
      <c r="M649" s="6"/>
      <c r="N649" s="9"/>
      <c r="O649" s="9"/>
      <c r="P649" s="44"/>
      <c r="Q649" s="12"/>
      <c r="R649" s="12"/>
      <c r="S649" s="12"/>
      <c r="T649" s="12"/>
      <c r="U649" s="12"/>
      <c r="V649" s="12"/>
      <c r="W649" s="12"/>
      <c r="X649" s="12"/>
      <c r="Y649" s="12"/>
      <c r="Z649" s="12"/>
    </row>
    <row r="650" spans="1:26" ht="14.25" hidden="1" customHeight="1" x14ac:dyDescent="0.3">
      <c r="A650" s="3"/>
      <c r="B650" s="8"/>
      <c r="C650" s="3"/>
      <c r="D650" s="3"/>
      <c r="E650" s="8"/>
      <c r="F650" s="3"/>
      <c r="G650" s="9"/>
      <c r="H650" s="3"/>
      <c r="I650" s="5"/>
      <c r="J650" s="5"/>
      <c r="K650" s="5"/>
      <c r="L650" s="3"/>
      <c r="M650" s="6"/>
      <c r="N650" s="9"/>
      <c r="O650" s="9"/>
      <c r="P650" s="44"/>
      <c r="Q650" s="12"/>
      <c r="R650" s="12"/>
      <c r="S650" s="12"/>
      <c r="T650" s="12"/>
      <c r="U650" s="12"/>
      <c r="V650" s="12"/>
      <c r="W650" s="12"/>
      <c r="X650" s="12"/>
      <c r="Y650" s="12"/>
      <c r="Z650" s="12"/>
    </row>
    <row r="651" spans="1:26" ht="14.25" hidden="1" customHeight="1" x14ac:dyDescent="0.3">
      <c r="A651" s="3"/>
      <c r="B651" s="8"/>
      <c r="C651" s="3"/>
      <c r="D651" s="3"/>
      <c r="E651" s="8"/>
      <c r="F651" s="3"/>
      <c r="G651" s="9"/>
      <c r="H651" s="3"/>
      <c r="I651" s="5"/>
      <c r="J651" s="5"/>
      <c r="K651" s="5"/>
      <c r="L651" s="3"/>
      <c r="M651" s="6"/>
      <c r="N651" s="9"/>
      <c r="O651" s="9"/>
      <c r="P651" s="44"/>
      <c r="Q651" s="12"/>
      <c r="R651" s="12"/>
      <c r="S651" s="12"/>
      <c r="T651" s="12"/>
      <c r="U651" s="12"/>
      <c r="V651" s="12"/>
      <c r="W651" s="12"/>
      <c r="X651" s="12"/>
      <c r="Y651" s="12"/>
      <c r="Z651" s="12"/>
    </row>
    <row r="652" spans="1:26" ht="14.25" hidden="1" customHeight="1" x14ac:dyDescent="0.3">
      <c r="A652" s="3"/>
      <c r="B652" s="8"/>
      <c r="C652" s="3"/>
      <c r="D652" s="3"/>
      <c r="E652" s="8"/>
      <c r="F652" s="3"/>
      <c r="G652" s="9"/>
      <c r="H652" s="3"/>
      <c r="I652" s="5"/>
      <c r="J652" s="5"/>
      <c r="K652" s="5"/>
      <c r="L652" s="3"/>
      <c r="M652" s="6"/>
      <c r="N652" s="9"/>
      <c r="O652" s="9"/>
      <c r="P652" s="44"/>
      <c r="Q652" s="12"/>
      <c r="R652" s="12"/>
      <c r="S652" s="12"/>
      <c r="T652" s="12"/>
      <c r="U652" s="12"/>
      <c r="V652" s="12"/>
      <c r="W652" s="12"/>
      <c r="X652" s="12"/>
      <c r="Y652" s="12"/>
      <c r="Z652" s="12"/>
    </row>
    <row r="653" spans="1:26" ht="14.25" hidden="1" customHeight="1" x14ac:dyDescent="0.3">
      <c r="A653" s="3"/>
      <c r="B653" s="8"/>
      <c r="C653" s="3"/>
      <c r="D653" s="3"/>
      <c r="E653" s="8"/>
      <c r="F653" s="3"/>
      <c r="G653" s="9"/>
      <c r="H653" s="3"/>
      <c r="I653" s="5"/>
      <c r="J653" s="5"/>
      <c r="K653" s="5"/>
      <c r="L653" s="3"/>
      <c r="M653" s="6"/>
      <c r="N653" s="9"/>
      <c r="O653" s="9"/>
      <c r="P653" s="44"/>
      <c r="Q653" s="12"/>
      <c r="R653" s="12"/>
      <c r="S653" s="12"/>
      <c r="T653" s="12"/>
      <c r="U653" s="12"/>
      <c r="V653" s="12"/>
      <c r="W653" s="12"/>
      <c r="X653" s="12"/>
      <c r="Y653" s="12"/>
      <c r="Z653" s="12"/>
    </row>
    <row r="654" spans="1:26" ht="14.25" hidden="1" customHeight="1" x14ac:dyDescent="0.3">
      <c r="A654" s="3"/>
      <c r="B654" s="8"/>
      <c r="C654" s="3"/>
      <c r="D654" s="3"/>
      <c r="E654" s="8"/>
      <c r="F654" s="3"/>
      <c r="G654" s="9"/>
      <c r="H654" s="3"/>
      <c r="I654" s="5"/>
      <c r="J654" s="5"/>
      <c r="K654" s="5"/>
      <c r="L654" s="3"/>
      <c r="M654" s="6"/>
      <c r="N654" s="9"/>
      <c r="O654" s="9"/>
      <c r="P654" s="44"/>
      <c r="Q654" s="12"/>
      <c r="R654" s="12"/>
      <c r="S654" s="12"/>
      <c r="T654" s="12"/>
      <c r="U654" s="12"/>
      <c r="V654" s="12"/>
      <c r="W654" s="12"/>
      <c r="X654" s="12"/>
      <c r="Y654" s="12"/>
      <c r="Z654" s="12"/>
    </row>
    <row r="655" spans="1:26" ht="14.25" hidden="1" customHeight="1" x14ac:dyDescent="0.3">
      <c r="A655" s="3"/>
      <c r="B655" s="8"/>
      <c r="C655" s="3"/>
      <c r="D655" s="3"/>
      <c r="E655" s="8"/>
      <c r="F655" s="3"/>
      <c r="G655" s="9"/>
      <c r="H655" s="3"/>
      <c r="I655" s="5"/>
      <c r="J655" s="5"/>
      <c r="K655" s="5"/>
      <c r="L655" s="3"/>
      <c r="M655" s="6"/>
      <c r="N655" s="9"/>
      <c r="O655" s="9"/>
      <c r="P655" s="44"/>
      <c r="Q655" s="12"/>
      <c r="R655" s="12"/>
      <c r="S655" s="12"/>
      <c r="T655" s="12"/>
      <c r="U655" s="12"/>
      <c r="V655" s="12"/>
      <c r="W655" s="12"/>
      <c r="X655" s="12"/>
      <c r="Y655" s="12"/>
      <c r="Z655" s="12"/>
    </row>
    <row r="656" spans="1:26" ht="14.25" hidden="1" customHeight="1" x14ac:dyDescent="0.3">
      <c r="A656" s="3"/>
      <c r="B656" s="8"/>
      <c r="C656" s="3"/>
      <c r="D656" s="3"/>
      <c r="E656" s="8"/>
      <c r="F656" s="3"/>
      <c r="G656" s="9"/>
      <c r="H656" s="3"/>
      <c r="I656" s="5"/>
      <c r="J656" s="5"/>
      <c r="K656" s="5"/>
      <c r="L656" s="3"/>
      <c r="M656" s="6"/>
      <c r="N656" s="9"/>
      <c r="O656" s="9"/>
      <c r="P656" s="44"/>
      <c r="Q656" s="12"/>
      <c r="R656" s="12"/>
      <c r="S656" s="12"/>
      <c r="T656" s="12"/>
      <c r="U656" s="12"/>
      <c r="V656" s="12"/>
      <c r="W656" s="12"/>
      <c r="X656" s="12"/>
      <c r="Y656" s="12"/>
      <c r="Z656" s="12"/>
    </row>
    <row r="657" spans="1:26" ht="14.25" hidden="1" customHeight="1" x14ac:dyDescent="0.3">
      <c r="A657" s="3"/>
      <c r="B657" s="8"/>
      <c r="C657" s="3"/>
      <c r="D657" s="3"/>
      <c r="E657" s="8"/>
      <c r="F657" s="3"/>
      <c r="G657" s="9"/>
      <c r="H657" s="3"/>
      <c r="I657" s="5"/>
      <c r="J657" s="5"/>
      <c r="K657" s="5"/>
      <c r="L657" s="3"/>
      <c r="M657" s="6"/>
      <c r="N657" s="9"/>
      <c r="O657" s="9"/>
      <c r="P657" s="44"/>
      <c r="Q657" s="12"/>
      <c r="R657" s="12"/>
      <c r="S657" s="12"/>
      <c r="T657" s="12"/>
      <c r="U657" s="12"/>
      <c r="V657" s="12"/>
      <c r="W657" s="12"/>
      <c r="X657" s="12"/>
      <c r="Y657" s="12"/>
      <c r="Z657" s="12"/>
    </row>
    <row r="658" spans="1:26" ht="14.25" hidden="1" customHeight="1" x14ac:dyDescent="0.3">
      <c r="A658" s="3"/>
      <c r="B658" s="8"/>
      <c r="C658" s="3"/>
      <c r="D658" s="3"/>
      <c r="E658" s="8"/>
      <c r="F658" s="3"/>
      <c r="G658" s="9"/>
      <c r="H658" s="3"/>
      <c r="I658" s="5"/>
      <c r="J658" s="5"/>
      <c r="K658" s="5"/>
      <c r="L658" s="3"/>
      <c r="M658" s="6"/>
      <c r="N658" s="9"/>
      <c r="O658" s="9"/>
      <c r="P658" s="44"/>
      <c r="Q658" s="12"/>
      <c r="R658" s="12"/>
      <c r="S658" s="12"/>
      <c r="T658" s="12"/>
      <c r="U658" s="12"/>
      <c r="V658" s="12"/>
      <c r="W658" s="12"/>
      <c r="X658" s="12"/>
      <c r="Y658" s="12"/>
      <c r="Z658" s="12"/>
    </row>
    <row r="659" spans="1:26" ht="14.25" hidden="1" customHeight="1" x14ac:dyDescent="0.3">
      <c r="A659" s="3"/>
      <c r="B659" s="8"/>
      <c r="C659" s="3"/>
      <c r="D659" s="3"/>
      <c r="E659" s="8"/>
      <c r="F659" s="3"/>
      <c r="G659" s="9"/>
      <c r="H659" s="3"/>
      <c r="I659" s="5"/>
      <c r="J659" s="5"/>
      <c r="K659" s="5"/>
      <c r="L659" s="3"/>
      <c r="M659" s="6"/>
      <c r="N659" s="9"/>
      <c r="O659" s="9"/>
      <c r="P659" s="44"/>
      <c r="Q659" s="12"/>
      <c r="R659" s="12"/>
      <c r="S659" s="12"/>
      <c r="T659" s="12"/>
      <c r="U659" s="12"/>
      <c r="V659" s="12"/>
      <c r="W659" s="12"/>
      <c r="X659" s="12"/>
      <c r="Y659" s="12"/>
      <c r="Z659" s="12"/>
    </row>
    <row r="660" spans="1:26" ht="14.25" hidden="1" customHeight="1" x14ac:dyDescent="0.3">
      <c r="A660" s="3"/>
      <c r="B660" s="8"/>
      <c r="C660" s="3"/>
      <c r="D660" s="3"/>
      <c r="E660" s="8"/>
      <c r="F660" s="3"/>
      <c r="G660" s="9"/>
      <c r="H660" s="3"/>
      <c r="I660" s="5"/>
      <c r="J660" s="5"/>
      <c r="K660" s="5"/>
      <c r="L660" s="3"/>
      <c r="M660" s="6"/>
      <c r="N660" s="9"/>
      <c r="O660" s="9"/>
      <c r="P660" s="44"/>
      <c r="Q660" s="12"/>
      <c r="R660" s="12"/>
      <c r="S660" s="12"/>
      <c r="T660" s="12"/>
      <c r="U660" s="12"/>
      <c r="V660" s="12"/>
      <c r="W660" s="12"/>
      <c r="X660" s="12"/>
      <c r="Y660" s="12"/>
      <c r="Z660" s="12"/>
    </row>
    <row r="661" spans="1:26" ht="14.25" hidden="1" customHeight="1" x14ac:dyDescent="0.3">
      <c r="A661" s="3"/>
      <c r="B661" s="8"/>
      <c r="C661" s="3"/>
      <c r="D661" s="3"/>
      <c r="E661" s="8"/>
      <c r="F661" s="3"/>
      <c r="G661" s="9"/>
      <c r="H661" s="3"/>
      <c r="I661" s="5"/>
      <c r="J661" s="5"/>
      <c r="K661" s="5"/>
      <c r="L661" s="3"/>
      <c r="M661" s="6"/>
      <c r="N661" s="9"/>
      <c r="O661" s="9"/>
      <c r="P661" s="44"/>
      <c r="Q661" s="12"/>
      <c r="R661" s="12"/>
      <c r="S661" s="12"/>
      <c r="T661" s="12"/>
      <c r="U661" s="12"/>
      <c r="V661" s="12"/>
      <c r="W661" s="12"/>
      <c r="X661" s="12"/>
      <c r="Y661" s="12"/>
      <c r="Z661" s="12"/>
    </row>
    <row r="662" spans="1:26" ht="14.25" hidden="1" customHeight="1" x14ac:dyDescent="0.3">
      <c r="A662" s="3"/>
      <c r="B662" s="8"/>
      <c r="C662" s="3"/>
      <c r="D662" s="3"/>
      <c r="E662" s="8"/>
      <c r="F662" s="3"/>
      <c r="G662" s="9"/>
      <c r="H662" s="3"/>
      <c r="I662" s="5"/>
      <c r="J662" s="5"/>
      <c r="K662" s="5"/>
      <c r="L662" s="3"/>
      <c r="M662" s="6"/>
      <c r="N662" s="9"/>
      <c r="O662" s="9"/>
      <c r="P662" s="44"/>
      <c r="Q662" s="12"/>
      <c r="R662" s="12"/>
      <c r="S662" s="12"/>
      <c r="T662" s="12"/>
      <c r="U662" s="12"/>
      <c r="V662" s="12"/>
      <c r="W662" s="12"/>
      <c r="X662" s="12"/>
      <c r="Y662" s="12"/>
      <c r="Z662" s="12"/>
    </row>
    <row r="663" spans="1:26" ht="14.25" hidden="1" customHeight="1" x14ac:dyDescent="0.3">
      <c r="A663" s="3"/>
      <c r="B663" s="8"/>
      <c r="C663" s="3"/>
      <c r="D663" s="3"/>
      <c r="E663" s="8"/>
      <c r="F663" s="3"/>
      <c r="G663" s="9"/>
      <c r="H663" s="3"/>
      <c r="I663" s="5"/>
      <c r="J663" s="5"/>
      <c r="K663" s="5"/>
      <c r="L663" s="3"/>
      <c r="M663" s="6"/>
      <c r="N663" s="9"/>
      <c r="O663" s="9"/>
      <c r="P663" s="44"/>
      <c r="Q663" s="12"/>
      <c r="R663" s="12"/>
      <c r="S663" s="12"/>
      <c r="T663" s="12"/>
      <c r="U663" s="12"/>
      <c r="V663" s="12"/>
      <c r="W663" s="12"/>
      <c r="X663" s="12"/>
      <c r="Y663" s="12"/>
      <c r="Z663" s="12"/>
    </row>
    <row r="664" spans="1:26" ht="14.25" hidden="1" customHeight="1" x14ac:dyDescent="0.3">
      <c r="A664" s="3"/>
      <c r="B664" s="8"/>
      <c r="C664" s="3"/>
      <c r="D664" s="3"/>
      <c r="E664" s="8"/>
      <c r="F664" s="3"/>
      <c r="G664" s="9"/>
      <c r="H664" s="3"/>
      <c r="I664" s="5"/>
      <c r="J664" s="5"/>
      <c r="K664" s="5"/>
      <c r="L664" s="3"/>
      <c r="M664" s="6"/>
      <c r="N664" s="9"/>
      <c r="O664" s="9"/>
      <c r="P664" s="44"/>
      <c r="Q664" s="12"/>
      <c r="R664" s="12"/>
      <c r="S664" s="12"/>
      <c r="T664" s="12"/>
      <c r="U664" s="12"/>
      <c r="V664" s="12"/>
      <c r="W664" s="12"/>
      <c r="X664" s="12"/>
      <c r="Y664" s="12"/>
      <c r="Z664" s="12"/>
    </row>
    <row r="665" spans="1:26" ht="14.25" hidden="1" customHeight="1" x14ac:dyDescent="0.3">
      <c r="A665" s="3"/>
      <c r="B665" s="8"/>
      <c r="C665" s="3"/>
      <c r="D665" s="3"/>
      <c r="E665" s="8"/>
      <c r="F665" s="3"/>
      <c r="G665" s="9"/>
      <c r="H665" s="3"/>
      <c r="I665" s="5"/>
      <c r="J665" s="5"/>
      <c r="K665" s="5"/>
      <c r="L665" s="3"/>
      <c r="M665" s="6"/>
      <c r="N665" s="9"/>
      <c r="O665" s="9"/>
      <c r="P665" s="44"/>
      <c r="Q665" s="12"/>
      <c r="R665" s="12"/>
      <c r="S665" s="12"/>
      <c r="T665" s="12"/>
      <c r="U665" s="12"/>
      <c r="V665" s="12"/>
      <c r="W665" s="12"/>
      <c r="X665" s="12"/>
      <c r="Y665" s="12"/>
      <c r="Z665" s="12"/>
    </row>
    <row r="666" spans="1:26" ht="14.25" hidden="1" customHeight="1" x14ac:dyDescent="0.3">
      <c r="A666" s="3"/>
      <c r="B666" s="8"/>
      <c r="C666" s="3"/>
      <c r="D666" s="3"/>
      <c r="E666" s="8"/>
      <c r="F666" s="3"/>
      <c r="G666" s="9"/>
      <c r="H666" s="3"/>
      <c r="I666" s="5"/>
      <c r="J666" s="5"/>
      <c r="K666" s="5"/>
      <c r="L666" s="3"/>
      <c r="M666" s="6"/>
      <c r="N666" s="9"/>
      <c r="O666" s="9"/>
      <c r="P666" s="44"/>
      <c r="Q666" s="12"/>
      <c r="R666" s="12"/>
      <c r="S666" s="12"/>
      <c r="T666" s="12"/>
      <c r="U666" s="12"/>
      <c r="V666" s="12"/>
      <c r="W666" s="12"/>
      <c r="X666" s="12"/>
      <c r="Y666" s="12"/>
      <c r="Z666" s="12"/>
    </row>
    <row r="667" spans="1:26" ht="14.25" hidden="1" customHeight="1" x14ac:dyDescent="0.3">
      <c r="A667" s="3"/>
      <c r="B667" s="8"/>
      <c r="C667" s="3"/>
      <c r="D667" s="3"/>
      <c r="E667" s="8"/>
      <c r="F667" s="3"/>
      <c r="G667" s="9"/>
      <c r="H667" s="3"/>
      <c r="I667" s="5"/>
      <c r="J667" s="5"/>
      <c r="K667" s="5"/>
      <c r="L667" s="3"/>
      <c r="M667" s="6"/>
      <c r="N667" s="9"/>
      <c r="O667" s="9"/>
      <c r="P667" s="44"/>
      <c r="Q667" s="12"/>
      <c r="R667" s="12"/>
      <c r="S667" s="12"/>
      <c r="T667" s="12"/>
      <c r="U667" s="12"/>
      <c r="V667" s="12"/>
      <c r="W667" s="12"/>
      <c r="X667" s="12"/>
      <c r="Y667" s="12"/>
      <c r="Z667" s="12"/>
    </row>
    <row r="668" spans="1:26" ht="14.25" hidden="1" customHeight="1" x14ac:dyDescent="0.3">
      <c r="A668" s="3"/>
      <c r="B668" s="8"/>
      <c r="C668" s="3"/>
      <c r="D668" s="3"/>
      <c r="E668" s="8"/>
      <c r="F668" s="3"/>
      <c r="G668" s="9"/>
      <c r="H668" s="3"/>
      <c r="I668" s="5"/>
      <c r="J668" s="5"/>
      <c r="K668" s="5"/>
      <c r="L668" s="3"/>
      <c r="M668" s="6"/>
      <c r="N668" s="9"/>
      <c r="O668" s="9"/>
      <c r="P668" s="44"/>
      <c r="Q668" s="12"/>
      <c r="R668" s="12"/>
      <c r="S668" s="12"/>
      <c r="T668" s="12"/>
      <c r="U668" s="12"/>
      <c r="V668" s="12"/>
      <c r="W668" s="12"/>
      <c r="X668" s="12"/>
      <c r="Y668" s="12"/>
      <c r="Z668" s="12"/>
    </row>
    <row r="669" spans="1:26" ht="14.25" hidden="1" customHeight="1" x14ac:dyDescent="0.3">
      <c r="A669" s="3"/>
      <c r="B669" s="8"/>
      <c r="C669" s="3"/>
      <c r="D669" s="3"/>
      <c r="E669" s="8"/>
      <c r="F669" s="3"/>
      <c r="G669" s="9"/>
      <c r="H669" s="3"/>
      <c r="I669" s="5"/>
      <c r="J669" s="5"/>
      <c r="K669" s="5"/>
      <c r="L669" s="3"/>
      <c r="M669" s="6"/>
      <c r="N669" s="9"/>
      <c r="O669" s="9"/>
      <c r="P669" s="44"/>
      <c r="Q669" s="12"/>
      <c r="R669" s="12"/>
      <c r="S669" s="12"/>
      <c r="T669" s="12"/>
      <c r="U669" s="12"/>
      <c r="V669" s="12"/>
      <c r="W669" s="12"/>
      <c r="X669" s="12"/>
      <c r="Y669" s="12"/>
      <c r="Z669" s="12"/>
    </row>
    <row r="670" spans="1:26" ht="14.25" hidden="1" customHeight="1" x14ac:dyDescent="0.3">
      <c r="A670" s="3"/>
      <c r="B670" s="8"/>
      <c r="C670" s="3"/>
      <c r="D670" s="3"/>
      <c r="E670" s="8"/>
      <c r="F670" s="3"/>
      <c r="G670" s="9"/>
      <c r="H670" s="3"/>
      <c r="I670" s="5"/>
      <c r="J670" s="5"/>
      <c r="K670" s="5"/>
      <c r="L670" s="3"/>
      <c r="M670" s="6"/>
      <c r="N670" s="9"/>
      <c r="O670" s="9"/>
      <c r="P670" s="44"/>
      <c r="Q670" s="12"/>
      <c r="R670" s="12"/>
      <c r="S670" s="12"/>
      <c r="T670" s="12"/>
      <c r="U670" s="12"/>
      <c r="V670" s="12"/>
      <c r="W670" s="12"/>
      <c r="X670" s="12"/>
      <c r="Y670" s="12"/>
      <c r="Z670" s="12"/>
    </row>
    <row r="671" spans="1:26" ht="14.25" hidden="1" customHeight="1" x14ac:dyDescent="0.3">
      <c r="A671" s="3"/>
      <c r="B671" s="8"/>
      <c r="C671" s="3"/>
      <c r="D671" s="3"/>
      <c r="E671" s="8"/>
      <c r="F671" s="3"/>
      <c r="G671" s="9"/>
      <c r="H671" s="3"/>
      <c r="I671" s="5"/>
      <c r="J671" s="5"/>
      <c r="K671" s="5"/>
      <c r="L671" s="3"/>
      <c r="M671" s="6"/>
      <c r="N671" s="9"/>
      <c r="O671" s="9"/>
      <c r="P671" s="44"/>
      <c r="Q671" s="12"/>
      <c r="R671" s="12"/>
      <c r="S671" s="12"/>
      <c r="T671" s="12"/>
      <c r="U671" s="12"/>
      <c r="V671" s="12"/>
      <c r="W671" s="12"/>
      <c r="X671" s="12"/>
      <c r="Y671" s="12"/>
      <c r="Z671" s="12"/>
    </row>
    <row r="672" spans="1:26" ht="14.25" hidden="1" customHeight="1" x14ac:dyDescent="0.3">
      <c r="A672" s="3"/>
      <c r="B672" s="8"/>
      <c r="C672" s="3"/>
      <c r="D672" s="3"/>
      <c r="E672" s="8"/>
      <c r="F672" s="3"/>
      <c r="G672" s="9"/>
      <c r="H672" s="3"/>
      <c r="I672" s="5"/>
      <c r="J672" s="5"/>
      <c r="K672" s="5"/>
      <c r="L672" s="3"/>
      <c r="M672" s="6"/>
      <c r="N672" s="9"/>
      <c r="O672" s="9"/>
      <c r="P672" s="44"/>
      <c r="Q672" s="12"/>
      <c r="R672" s="12"/>
      <c r="S672" s="12"/>
      <c r="T672" s="12"/>
      <c r="U672" s="12"/>
      <c r="V672" s="12"/>
      <c r="W672" s="12"/>
      <c r="X672" s="12"/>
      <c r="Y672" s="12"/>
      <c r="Z672" s="12"/>
    </row>
    <row r="673" spans="1:26" ht="14.25" hidden="1" customHeight="1" x14ac:dyDescent="0.3">
      <c r="A673" s="3"/>
      <c r="B673" s="8"/>
      <c r="C673" s="3"/>
      <c r="D673" s="3"/>
      <c r="E673" s="8"/>
      <c r="F673" s="3"/>
      <c r="G673" s="9"/>
      <c r="H673" s="3"/>
      <c r="I673" s="5"/>
      <c r="J673" s="5"/>
      <c r="K673" s="5"/>
      <c r="L673" s="3"/>
      <c r="M673" s="6"/>
      <c r="N673" s="9"/>
      <c r="O673" s="9"/>
      <c r="P673" s="44"/>
      <c r="Q673" s="12"/>
      <c r="R673" s="12"/>
      <c r="S673" s="12"/>
      <c r="T673" s="12"/>
      <c r="U673" s="12"/>
      <c r="V673" s="12"/>
      <c r="W673" s="12"/>
      <c r="X673" s="12"/>
      <c r="Y673" s="12"/>
      <c r="Z673" s="12"/>
    </row>
    <row r="674" spans="1:26" ht="14.25" hidden="1" customHeight="1" x14ac:dyDescent="0.3">
      <c r="A674" s="3"/>
      <c r="B674" s="8"/>
      <c r="C674" s="3"/>
      <c r="D674" s="3"/>
      <c r="E674" s="8"/>
      <c r="F674" s="3"/>
      <c r="G674" s="9"/>
      <c r="H674" s="3"/>
      <c r="I674" s="5"/>
      <c r="J674" s="5"/>
      <c r="K674" s="5"/>
      <c r="L674" s="3"/>
      <c r="M674" s="6"/>
      <c r="N674" s="9"/>
      <c r="O674" s="9"/>
      <c r="P674" s="44"/>
      <c r="Q674" s="12"/>
      <c r="R674" s="12"/>
      <c r="S674" s="12"/>
      <c r="T674" s="12"/>
      <c r="U674" s="12"/>
      <c r="V674" s="12"/>
      <c r="W674" s="12"/>
      <c r="X674" s="12"/>
      <c r="Y674" s="12"/>
      <c r="Z674" s="12"/>
    </row>
    <row r="675" spans="1:26" ht="14.25" hidden="1" customHeight="1" x14ac:dyDescent="0.3">
      <c r="A675" s="3"/>
      <c r="B675" s="8"/>
      <c r="C675" s="3"/>
      <c r="D675" s="3"/>
      <c r="E675" s="8"/>
      <c r="F675" s="3"/>
      <c r="G675" s="9"/>
      <c r="H675" s="3"/>
      <c r="I675" s="5"/>
      <c r="J675" s="5"/>
      <c r="K675" s="5"/>
      <c r="L675" s="3"/>
      <c r="M675" s="6"/>
      <c r="N675" s="9"/>
      <c r="O675" s="9"/>
      <c r="P675" s="44"/>
      <c r="Q675" s="12"/>
      <c r="R675" s="12"/>
      <c r="S675" s="12"/>
      <c r="T675" s="12"/>
      <c r="U675" s="12"/>
      <c r="V675" s="12"/>
      <c r="W675" s="12"/>
      <c r="X675" s="12"/>
      <c r="Y675" s="12"/>
      <c r="Z675" s="12"/>
    </row>
    <row r="676" spans="1:26" ht="14.25" hidden="1" customHeight="1" x14ac:dyDescent="0.3">
      <c r="A676" s="3"/>
      <c r="B676" s="8"/>
      <c r="C676" s="3"/>
      <c r="D676" s="3"/>
      <c r="E676" s="8"/>
      <c r="F676" s="3"/>
      <c r="G676" s="9"/>
      <c r="H676" s="3"/>
      <c r="I676" s="5"/>
      <c r="J676" s="5"/>
      <c r="K676" s="5"/>
      <c r="L676" s="3"/>
      <c r="M676" s="6"/>
      <c r="N676" s="9"/>
      <c r="O676" s="9"/>
      <c r="P676" s="44"/>
      <c r="Q676" s="12"/>
      <c r="R676" s="12"/>
      <c r="S676" s="12"/>
      <c r="T676" s="12"/>
      <c r="U676" s="12"/>
      <c r="V676" s="12"/>
      <c r="W676" s="12"/>
      <c r="X676" s="12"/>
      <c r="Y676" s="12"/>
      <c r="Z676" s="12"/>
    </row>
    <row r="677" spans="1:26" ht="14.25" hidden="1" customHeight="1" x14ac:dyDescent="0.3">
      <c r="A677" s="3"/>
      <c r="B677" s="8"/>
      <c r="C677" s="3"/>
      <c r="D677" s="3"/>
      <c r="E677" s="8"/>
      <c r="F677" s="3"/>
      <c r="G677" s="9"/>
      <c r="H677" s="3"/>
      <c r="I677" s="5"/>
      <c r="J677" s="5"/>
      <c r="K677" s="5"/>
      <c r="L677" s="3"/>
      <c r="M677" s="6"/>
      <c r="N677" s="9"/>
      <c r="O677" s="9"/>
      <c r="P677" s="44"/>
      <c r="Q677" s="12"/>
      <c r="R677" s="12"/>
      <c r="S677" s="12"/>
      <c r="T677" s="12"/>
      <c r="U677" s="12"/>
      <c r="V677" s="12"/>
      <c r="W677" s="12"/>
      <c r="X677" s="12"/>
      <c r="Y677" s="12"/>
      <c r="Z677" s="12"/>
    </row>
    <row r="678" spans="1:26" ht="14.25" hidden="1" customHeight="1" x14ac:dyDescent="0.3">
      <c r="A678" s="3"/>
      <c r="B678" s="8"/>
      <c r="C678" s="3"/>
      <c r="D678" s="3"/>
      <c r="E678" s="8"/>
      <c r="F678" s="3"/>
      <c r="G678" s="9"/>
      <c r="H678" s="3"/>
      <c r="I678" s="5"/>
      <c r="J678" s="5"/>
      <c r="K678" s="5"/>
      <c r="L678" s="3"/>
      <c r="M678" s="6"/>
      <c r="N678" s="9"/>
      <c r="O678" s="9"/>
      <c r="P678" s="44"/>
      <c r="Q678" s="12"/>
      <c r="R678" s="12"/>
      <c r="S678" s="12"/>
      <c r="T678" s="12"/>
      <c r="U678" s="12"/>
      <c r="V678" s="12"/>
      <c r="W678" s="12"/>
      <c r="X678" s="12"/>
      <c r="Y678" s="12"/>
      <c r="Z678" s="12"/>
    </row>
    <row r="679" spans="1:26" ht="14.25" hidden="1" customHeight="1" x14ac:dyDescent="0.3">
      <c r="A679" s="3"/>
      <c r="B679" s="8"/>
      <c r="C679" s="3"/>
      <c r="D679" s="3"/>
      <c r="E679" s="8"/>
      <c r="F679" s="3"/>
      <c r="G679" s="9"/>
      <c r="H679" s="3"/>
      <c r="I679" s="5"/>
      <c r="J679" s="5"/>
      <c r="K679" s="5"/>
      <c r="L679" s="3"/>
      <c r="M679" s="6"/>
      <c r="N679" s="9"/>
      <c r="O679" s="9"/>
      <c r="P679" s="44"/>
      <c r="Q679" s="12"/>
      <c r="R679" s="12"/>
      <c r="S679" s="12"/>
      <c r="T679" s="12"/>
      <c r="U679" s="12"/>
      <c r="V679" s="12"/>
      <c r="W679" s="12"/>
      <c r="X679" s="12"/>
      <c r="Y679" s="12"/>
      <c r="Z679" s="12"/>
    </row>
    <row r="680" spans="1:26" ht="14.25" hidden="1" customHeight="1" x14ac:dyDescent="0.3">
      <c r="A680" s="3"/>
      <c r="B680" s="8"/>
      <c r="C680" s="3"/>
      <c r="D680" s="3"/>
      <c r="E680" s="8"/>
      <c r="F680" s="3"/>
      <c r="G680" s="9"/>
      <c r="H680" s="3"/>
      <c r="I680" s="5"/>
      <c r="J680" s="5"/>
      <c r="K680" s="5"/>
      <c r="L680" s="3"/>
      <c r="M680" s="6"/>
      <c r="N680" s="9"/>
      <c r="O680" s="9"/>
      <c r="P680" s="44"/>
      <c r="Q680" s="12"/>
      <c r="R680" s="12"/>
      <c r="S680" s="12"/>
      <c r="T680" s="12"/>
      <c r="U680" s="12"/>
      <c r="V680" s="12"/>
      <c r="W680" s="12"/>
      <c r="X680" s="12"/>
      <c r="Y680" s="12"/>
      <c r="Z680" s="12"/>
    </row>
    <row r="681" spans="1:26" ht="14.25" hidden="1" customHeight="1" x14ac:dyDescent="0.3">
      <c r="A681" s="3"/>
      <c r="B681" s="8"/>
      <c r="C681" s="3"/>
      <c r="D681" s="3"/>
      <c r="E681" s="8"/>
      <c r="F681" s="3"/>
      <c r="G681" s="9"/>
      <c r="H681" s="3"/>
      <c r="I681" s="5"/>
      <c r="J681" s="5"/>
      <c r="K681" s="5"/>
      <c r="L681" s="3"/>
      <c r="M681" s="6"/>
      <c r="N681" s="9"/>
      <c r="O681" s="9"/>
      <c r="P681" s="44"/>
      <c r="Q681" s="12"/>
      <c r="R681" s="12"/>
      <c r="S681" s="12"/>
      <c r="T681" s="12"/>
      <c r="U681" s="12"/>
      <c r="V681" s="12"/>
      <c r="W681" s="12"/>
      <c r="X681" s="12"/>
      <c r="Y681" s="12"/>
      <c r="Z681" s="12"/>
    </row>
    <row r="682" spans="1:26" ht="14.25" hidden="1" customHeight="1" x14ac:dyDescent="0.3">
      <c r="A682" s="3"/>
      <c r="B682" s="8"/>
      <c r="C682" s="3"/>
      <c r="D682" s="3"/>
      <c r="E682" s="8"/>
      <c r="F682" s="3"/>
      <c r="G682" s="9"/>
      <c r="H682" s="3"/>
      <c r="I682" s="5"/>
      <c r="J682" s="5"/>
      <c r="K682" s="5"/>
      <c r="L682" s="3"/>
      <c r="M682" s="6"/>
      <c r="N682" s="9"/>
      <c r="O682" s="9"/>
      <c r="P682" s="44"/>
      <c r="Q682" s="12"/>
      <c r="R682" s="12"/>
      <c r="S682" s="12"/>
      <c r="T682" s="12"/>
      <c r="U682" s="12"/>
      <c r="V682" s="12"/>
      <c r="W682" s="12"/>
      <c r="X682" s="12"/>
      <c r="Y682" s="12"/>
      <c r="Z682" s="12"/>
    </row>
    <row r="683" spans="1:26" ht="14.25" hidden="1" customHeight="1" x14ac:dyDescent="0.3">
      <c r="A683" s="3"/>
      <c r="B683" s="8"/>
      <c r="C683" s="3"/>
      <c r="D683" s="3"/>
      <c r="E683" s="8"/>
      <c r="F683" s="3"/>
      <c r="G683" s="9"/>
      <c r="H683" s="3"/>
      <c r="I683" s="5"/>
      <c r="J683" s="5"/>
      <c r="K683" s="5"/>
      <c r="L683" s="3"/>
      <c r="M683" s="6"/>
      <c r="N683" s="9"/>
      <c r="O683" s="9"/>
      <c r="P683" s="44"/>
      <c r="Q683" s="12"/>
      <c r="R683" s="12"/>
      <c r="S683" s="12"/>
      <c r="T683" s="12"/>
      <c r="U683" s="12"/>
      <c r="V683" s="12"/>
      <c r="W683" s="12"/>
      <c r="X683" s="12"/>
      <c r="Y683" s="12"/>
      <c r="Z683" s="12"/>
    </row>
    <row r="684" spans="1:26" ht="14.25" hidden="1" customHeight="1" x14ac:dyDescent="0.3">
      <c r="A684" s="3"/>
      <c r="B684" s="8"/>
      <c r="C684" s="3"/>
      <c r="D684" s="3"/>
      <c r="E684" s="8"/>
      <c r="F684" s="3"/>
      <c r="G684" s="9"/>
      <c r="H684" s="3"/>
      <c r="I684" s="5"/>
      <c r="J684" s="5"/>
      <c r="K684" s="5"/>
      <c r="L684" s="3"/>
      <c r="M684" s="6"/>
      <c r="N684" s="9"/>
      <c r="O684" s="9"/>
      <c r="P684" s="44"/>
      <c r="Q684" s="12"/>
      <c r="R684" s="12"/>
      <c r="S684" s="12"/>
      <c r="T684" s="12"/>
      <c r="U684" s="12"/>
      <c r="V684" s="12"/>
      <c r="W684" s="12"/>
      <c r="X684" s="12"/>
      <c r="Y684" s="12"/>
      <c r="Z684" s="12"/>
    </row>
    <row r="685" spans="1:26" ht="14.25" hidden="1" customHeight="1" x14ac:dyDescent="0.3">
      <c r="A685" s="3"/>
      <c r="B685" s="8"/>
      <c r="C685" s="3"/>
      <c r="D685" s="3"/>
      <c r="E685" s="8"/>
      <c r="F685" s="3"/>
      <c r="G685" s="9"/>
      <c r="H685" s="3"/>
      <c r="I685" s="5"/>
      <c r="J685" s="5"/>
      <c r="K685" s="5"/>
      <c r="L685" s="3"/>
      <c r="M685" s="6"/>
      <c r="N685" s="9"/>
      <c r="O685" s="9"/>
      <c r="P685" s="44"/>
      <c r="Q685" s="12"/>
      <c r="R685" s="12"/>
      <c r="S685" s="12"/>
      <c r="T685" s="12"/>
      <c r="U685" s="12"/>
      <c r="V685" s="12"/>
      <c r="W685" s="12"/>
      <c r="X685" s="12"/>
      <c r="Y685" s="12"/>
      <c r="Z685" s="12"/>
    </row>
    <row r="686" spans="1:26" ht="14.25" hidden="1" customHeight="1" x14ac:dyDescent="0.3">
      <c r="A686" s="3"/>
      <c r="B686" s="8"/>
      <c r="C686" s="3"/>
      <c r="D686" s="3"/>
      <c r="E686" s="8"/>
      <c r="F686" s="3"/>
      <c r="G686" s="9"/>
      <c r="H686" s="3"/>
      <c r="I686" s="5"/>
      <c r="J686" s="5"/>
      <c r="K686" s="5"/>
      <c r="L686" s="3"/>
      <c r="M686" s="6"/>
      <c r="N686" s="9"/>
      <c r="O686" s="9"/>
      <c r="P686" s="44"/>
      <c r="Q686" s="12"/>
      <c r="R686" s="12"/>
      <c r="S686" s="12"/>
      <c r="T686" s="12"/>
      <c r="U686" s="12"/>
      <c r="V686" s="12"/>
      <c r="W686" s="12"/>
      <c r="X686" s="12"/>
      <c r="Y686" s="12"/>
      <c r="Z686" s="12"/>
    </row>
    <row r="687" spans="1:26" ht="14.25" hidden="1" customHeight="1" x14ac:dyDescent="0.3">
      <c r="A687" s="3"/>
      <c r="B687" s="8"/>
      <c r="C687" s="3"/>
      <c r="D687" s="3"/>
      <c r="E687" s="8"/>
      <c r="F687" s="3"/>
      <c r="G687" s="9"/>
      <c r="H687" s="3"/>
      <c r="I687" s="5"/>
      <c r="J687" s="5"/>
      <c r="K687" s="5"/>
      <c r="L687" s="3"/>
      <c r="M687" s="6"/>
      <c r="N687" s="9"/>
      <c r="O687" s="9"/>
      <c r="P687" s="44"/>
      <c r="Q687" s="12"/>
      <c r="R687" s="12"/>
      <c r="S687" s="12"/>
      <c r="T687" s="12"/>
      <c r="U687" s="12"/>
      <c r="V687" s="12"/>
      <c r="W687" s="12"/>
      <c r="X687" s="12"/>
      <c r="Y687" s="12"/>
      <c r="Z687" s="12"/>
    </row>
    <row r="688" spans="1:26" ht="14.25" hidden="1" customHeight="1" x14ac:dyDescent="0.3">
      <c r="A688" s="3"/>
      <c r="B688" s="8"/>
      <c r="C688" s="3"/>
      <c r="D688" s="3"/>
      <c r="E688" s="8"/>
      <c r="F688" s="3"/>
      <c r="G688" s="9"/>
      <c r="H688" s="3"/>
      <c r="I688" s="5"/>
      <c r="J688" s="5"/>
      <c r="K688" s="5"/>
      <c r="L688" s="3"/>
      <c r="M688" s="6"/>
      <c r="N688" s="9"/>
      <c r="O688" s="9"/>
      <c r="P688" s="44"/>
      <c r="Q688" s="12"/>
      <c r="R688" s="12"/>
      <c r="S688" s="12"/>
      <c r="T688" s="12"/>
      <c r="U688" s="12"/>
      <c r="V688" s="12"/>
      <c r="W688" s="12"/>
      <c r="X688" s="12"/>
      <c r="Y688" s="12"/>
      <c r="Z688" s="12"/>
    </row>
    <row r="689" spans="1:26" ht="14.25" hidden="1" customHeight="1" x14ac:dyDescent="0.3">
      <c r="A689" s="3"/>
      <c r="B689" s="8"/>
      <c r="C689" s="3"/>
      <c r="D689" s="3"/>
      <c r="E689" s="8"/>
      <c r="F689" s="3"/>
      <c r="G689" s="9"/>
      <c r="H689" s="3"/>
      <c r="I689" s="5"/>
      <c r="J689" s="5"/>
      <c r="K689" s="5"/>
      <c r="L689" s="3"/>
      <c r="M689" s="6"/>
      <c r="N689" s="9"/>
      <c r="O689" s="9"/>
      <c r="P689" s="44"/>
      <c r="Q689" s="12"/>
      <c r="R689" s="12"/>
      <c r="S689" s="12"/>
      <c r="T689" s="12"/>
      <c r="U689" s="12"/>
      <c r="V689" s="12"/>
      <c r="W689" s="12"/>
      <c r="X689" s="12"/>
      <c r="Y689" s="12"/>
      <c r="Z689" s="12"/>
    </row>
    <row r="690" spans="1:26" ht="14.25" hidden="1" customHeight="1" x14ac:dyDescent="0.3">
      <c r="A690" s="3"/>
      <c r="B690" s="8"/>
      <c r="C690" s="3"/>
      <c r="D690" s="3"/>
      <c r="E690" s="8"/>
      <c r="F690" s="3"/>
      <c r="G690" s="9"/>
      <c r="H690" s="3"/>
      <c r="I690" s="5"/>
      <c r="J690" s="5"/>
      <c r="K690" s="5"/>
      <c r="L690" s="3"/>
      <c r="M690" s="6"/>
      <c r="N690" s="9"/>
      <c r="O690" s="9"/>
      <c r="P690" s="44"/>
      <c r="Q690" s="12"/>
      <c r="R690" s="12"/>
      <c r="S690" s="12"/>
      <c r="T690" s="12"/>
      <c r="U690" s="12"/>
      <c r="V690" s="12"/>
      <c r="W690" s="12"/>
      <c r="X690" s="12"/>
      <c r="Y690" s="12"/>
      <c r="Z690" s="12"/>
    </row>
    <row r="691" spans="1:26" ht="14.25" hidden="1" customHeight="1" x14ac:dyDescent="0.3">
      <c r="A691" s="3"/>
      <c r="B691" s="8"/>
      <c r="C691" s="3"/>
      <c r="D691" s="3"/>
      <c r="E691" s="8"/>
      <c r="F691" s="3"/>
      <c r="G691" s="9"/>
      <c r="H691" s="3"/>
      <c r="I691" s="5"/>
      <c r="J691" s="5"/>
      <c r="K691" s="5"/>
      <c r="L691" s="3"/>
      <c r="M691" s="6"/>
      <c r="N691" s="9"/>
      <c r="O691" s="9"/>
      <c r="P691" s="44"/>
      <c r="Q691" s="12"/>
      <c r="R691" s="12"/>
      <c r="S691" s="12"/>
      <c r="T691" s="12"/>
      <c r="U691" s="12"/>
      <c r="V691" s="12"/>
      <c r="W691" s="12"/>
      <c r="X691" s="12"/>
      <c r="Y691" s="12"/>
      <c r="Z691" s="12"/>
    </row>
    <row r="692" spans="1:26" ht="14.25" hidden="1" customHeight="1" x14ac:dyDescent="0.3">
      <c r="A692" s="3"/>
      <c r="B692" s="8"/>
      <c r="C692" s="3"/>
      <c r="D692" s="3"/>
      <c r="E692" s="8"/>
      <c r="F692" s="3"/>
      <c r="G692" s="9"/>
      <c r="H692" s="3"/>
      <c r="I692" s="5"/>
      <c r="J692" s="5"/>
      <c r="K692" s="5"/>
      <c r="L692" s="3"/>
      <c r="M692" s="6"/>
      <c r="N692" s="9"/>
      <c r="O692" s="9"/>
      <c r="P692" s="44"/>
      <c r="Q692" s="12"/>
      <c r="R692" s="12"/>
      <c r="S692" s="12"/>
      <c r="T692" s="12"/>
      <c r="U692" s="12"/>
      <c r="V692" s="12"/>
      <c r="W692" s="12"/>
      <c r="X692" s="12"/>
      <c r="Y692" s="12"/>
      <c r="Z692" s="12"/>
    </row>
    <row r="693" spans="1:26" ht="14.25" hidden="1" customHeight="1" x14ac:dyDescent="0.3">
      <c r="A693" s="3"/>
      <c r="B693" s="8"/>
      <c r="C693" s="3"/>
      <c r="D693" s="3"/>
      <c r="E693" s="8"/>
      <c r="F693" s="3"/>
      <c r="G693" s="9"/>
      <c r="H693" s="3"/>
      <c r="I693" s="5"/>
      <c r="J693" s="5"/>
      <c r="K693" s="5"/>
      <c r="L693" s="3"/>
      <c r="M693" s="6"/>
      <c r="N693" s="9"/>
      <c r="O693" s="9"/>
      <c r="P693" s="44"/>
      <c r="Q693" s="12"/>
      <c r="R693" s="12"/>
      <c r="S693" s="12"/>
      <c r="T693" s="12"/>
      <c r="U693" s="12"/>
      <c r="V693" s="12"/>
      <c r="W693" s="12"/>
      <c r="X693" s="12"/>
      <c r="Y693" s="12"/>
      <c r="Z693" s="12"/>
    </row>
    <row r="694" spans="1:26" ht="14.25" hidden="1" customHeight="1" x14ac:dyDescent="0.3">
      <c r="A694" s="3"/>
      <c r="B694" s="8"/>
      <c r="C694" s="3"/>
      <c r="D694" s="3"/>
      <c r="E694" s="8"/>
      <c r="F694" s="3"/>
      <c r="G694" s="9"/>
      <c r="H694" s="3"/>
      <c r="I694" s="5"/>
      <c r="J694" s="5"/>
      <c r="K694" s="5"/>
      <c r="L694" s="3"/>
      <c r="M694" s="6"/>
      <c r="N694" s="9"/>
      <c r="O694" s="9"/>
      <c r="P694" s="44"/>
      <c r="Q694" s="12"/>
      <c r="R694" s="12"/>
      <c r="S694" s="12"/>
      <c r="T694" s="12"/>
      <c r="U694" s="12"/>
      <c r="V694" s="12"/>
      <c r="W694" s="12"/>
      <c r="X694" s="12"/>
      <c r="Y694" s="12"/>
      <c r="Z694" s="12"/>
    </row>
    <row r="695" spans="1:26" ht="14.25" hidden="1" customHeight="1" x14ac:dyDescent="0.3">
      <c r="A695" s="3"/>
      <c r="B695" s="8"/>
      <c r="C695" s="3"/>
      <c r="D695" s="3"/>
      <c r="E695" s="8"/>
      <c r="F695" s="3"/>
      <c r="G695" s="9"/>
      <c r="H695" s="3"/>
      <c r="I695" s="5"/>
      <c r="J695" s="5"/>
      <c r="K695" s="5"/>
      <c r="L695" s="3"/>
      <c r="M695" s="6"/>
      <c r="N695" s="9"/>
      <c r="O695" s="9"/>
      <c r="P695" s="44"/>
      <c r="Q695" s="12"/>
      <c r="R695" s="12"/>
      <c r="S695" s="12"/>
      <c r="T695" s="12"/>
      <c r="U695" s="12"/>
      <c r="V695" s="12"/>
      <c r="W695" s="12"/>
      <c r="X695" s="12"/>
      <c r="Y695" s="12"/>
      <c r="Z695" s="12"/>
    </row>
    <row r="696" spans="1:26" ht="14.25" hidden="1" customHeight="1" x14ac:dyDescent="0.3">
      <c r="A696" s="3"/>
      <c r="B696" s="8"/>
      <c r="C696" s="3"/>
      <c r="D696" s="3"/>
      <c r="E696" s="8"/>
      <c r="F696" s="3"/>
      <c r="G696" s="9"/>
      <c r="H696" s="3"/>
      <c r="I696" s="5"/>
      <c r="J696" s="5"/>
      <c r="K696" s="5"/>
      <c r="L696" s="3"/>
      <c r="M696" s="6"/>
      <c r="N696" s="9"/>
      <c r="O696" s="9"/>
      <c r="P696" s="44"/>
      <c r="Q696" s="12"/>
      <c r="R696" s="12"/>
      <c r="S696" s="12"/>
      <c r="T696" s="12"/>
      <c r="U696" s="12"/>
      <c r="V696" s="12"/>
      <c r="W696" s="12"/>
      <c r="X696" s="12"/>
      <c r="Y696" s="12"/>
      <c r="Z696" s="12"/>
    </row>
    <row r="697" spans="1:26" ht="14.25" hidden="1" customHeight="1" x14ac:dyDescent="0.3">
      <c r="A697" s="3"/>
      <c r="B697" s="8"/>
      <c r="C697" s="3"/>
      <c r="D697" s="3"/>
      <c r="E697" s="8"/>
      <c r="F697" s="3"/>
      <c r="G697" s="9"/>
      <c r="H697" s="3"/>
      <c r="I697" s="5"/>
      <c r="J697" s="5"/>
      <c r="K697" s="5"/>
      <c r="L697" s="3"/>
      <c r="M697" s="6"/>
      <c r="N697" s="9"/>
      <c r="O697" s="9"/>
      <c r="P697" s="44"/>
      <c r="Q697" s="12"/>
      <c r="R697" s="12"/>
      <c r="S697" s="12"/>
      <c r="T697" s="12"/>
      <c r="U697" s="12"/>
      <c r="V697" s="12"/>
      <c r="W697" s="12"/>
      <c r="X697" s="12"/>
      <c r="Y697" s="12"/>
      <c r="Z697" s="12"/>
    </row>
    <row r="698" spans="1:26" ht="14.25" hidden="1" customHeight="1" x14ac:dyDescent="0.3">
      <c r="A698" s="3"/>
      <c r="B698" s="8"/>
      <c r="C698" s="3"/>
      <c r="D698" s="3"/>
      <c r="E698" s="8"/>
      <c r="F698" s="3"/>
      <c r="G698" s="9"/>
      <c r="H698" s="3"/>
      <c r="I698" s="5"/>
      <c r="J698" s="5"/>
      <c r="K698" s="5"/>
      <c r="L698" s="3"/>
      <c r="M698" s="6"/>
      <c r="N698" s="9"/>
      <c r="O698" s="9"/>
      <c r="P698" s="44"/>
      <c r="Q698" s="12"/>
      <c r="R698" s="12"/>
      <c r="S698" s="12"/>
      <c r="T698" s="12"/>
      <c r="U698" s="12"/>
      <c r="V698" s="12"/>
      <c r="W698" s="12"/>
      <c r="X698" s="12"/>
      <c r="Y698" s="12"/>
      <c r="Z698" s="12"/>
    </row>
    <row r="699" spans="1:26" ht="14.25" hidden="1" customHeight="1" x14ac:dyDescent="0.3">
      <c r="A699" s="3"/>
      <c r="B699" s="8"/>
      <c r="C699" s="3"/>
      <c r="D699" s="3"/>
      <c r="E699" s="8"/>
      <c r="F699" s="3"/>
      <c r="G699" s="9"/>
      <c r="H699" s="3"/>
      <c r="I699" s="5"/>
      <c r="J699" s="5"/>
      <c r="K699" s="5"/>
      <c r="L699" s="3"/>
      <c r="M699" s="6"/>
      <c r="N699" s="9"/>
      <c r="O699" s="9"/>
      <c r="P699" s="44"/>
      <c r="Q699" s="12"/>
      <c r="R699" s="12"/>
      <c r="S699" s="12"/>
      <c r="T699" s="12"/>
      <c r="U699" s="12"/>
      <c r="V699" s="12"/>
      <c r="W699" s="12"/>
      <c r="X699" s="12"/>
      <c r="Y699" s="12"/>
      <c r="Z699" s="12"/>
    </row>
    <row r="700" spans="1:26" ht="14.25" hidden="1" customHeight="1" x14ac:dyDescent="0.3">
      <c r="A700" s="3"/>
      <c r="B700" s="8"/>
      <c r="C700" s="3"/>
      <c r="D700" s="3"/>
      <c r="E700" s="8"/>
      <c r="F700" s="3"/>
      <c r="G700" s="9"/>
      <c r="H700" s="3"/>
      <c r="I700" s="5"/>
      <c r="J700" s="5"/>
      <c r="K700" s="5"/>
      <c r="L700" s="3"/>
      <c r="M700" s="6"/>
      <c r="N700" s="9"/>
      <c r="O700" s="9"/>
      <c r="P700" s="44"/>
      <c r="Q700" s="12"/>
      <c r="R700" s="12"/>
      <c r="S700" s="12"/>
      <c r="T700" s="12"/>
      <c r="U700" s="12"/>
      <c r="V700" s="12"/>
      <c r="W700" s="12"/>
      <c r="X700" s="12"/>
      <c r="Y700" s="12"/>
      <c r="Z700" s="12"/>
    </row>
    <row r="701" spans="1:26" ht="14.25" hidden="1" customHeight="1" x14ac:dyDescent="0.3">
      <c r="A701" s="3"/>
      <c r="B701" s="8"/>
      <c r="C701" s="3"/>
      <c r="D701" s="3"/>
      <c r="E701" s="8"/>
      <c r="F701" s="3"/>
      <c r="G701" s="9"/>
      <c r="H701" s="3"/>
      <c r="I701" s="5"/>
      <c r="J701" s="5"/>
      <c r="K701" s="5"/>
      <c r="L701" s="3"/>
      <c r="M701" s="6"/>
      <c r="N701" s="9"/>
      <c r="O701" s="9"/>
      <c r="P701" s="44"/>
      <c r="Q701" s="12"/>
      <c r="R701" s="12"/>
      <c r="S701" s="12"/>
      <c r="T701" s="12"/>
      <c r="U701" s="12"/>
      <c r="V701" s="12"/>
      <c r="W701" s="12"/>
      <c r="X701" s="12"/>
      <c r="Y701" s="12"/>
      <c r="Z701" s="12"/>
    </row>
    <row r="702" spans="1:26" ht="14.25" hidden="1" customHeight="1" x14ac:dyDescent="0.3">
      <c r="A702" s="3"/>
      <c r="B702" s="8"/>
      <c r="C702" s="3"/>
      <c r="D702" s="3"/>
      <c r="E702" s="8"/>
      <c r="F702" s="3"/>
      <c r="G702" s="9"/>
      <c r="H702" s="3"/>
      <c r="I702" s="5"/>
      <c r="J702" s="5"/>
      <c r="K702" s="5"/>
      <c r="L702" s="3"/>
      <c r="M702" s="6"/>
      <c r="N702" s="9"/>
      <c r="O702" s="9"/>
      <c r="P702" s="44"/>
      <c r="Q702" s="12"/>
      <c r="R702" s="12"/>
      <c r="S702" s="12"/>
      <c r="T702" s="12"/>
      <c r="U702" s="12"/>
      <c r="V702" s="12"/>
      <c r="W702" s="12"/>
      <c r="X702" s="12"/>
      <c r="Y702" s="12"/>
      <c r="Z702" s="12"/>
    </row>
    <row r="703" spans="1:26" ht="14.25" hidden="1" customHeight="1" x14ac:dyDescent="0.3">
      <c r="A703" s="3"/>
      <c r="B703" s="8"/>
      <c r="C703" s="3"/>
      <c r="D703" s="3"/>
      <c r="E703" s="8"/>
      <c r="F703" s="3"/>
      <c r="G703" s="9"/>
      <c r="H703" s="3"/>
      <c r="I703" s="5"/>
      <c r="J703" s="5"/>
      <c r="K703" s="5"/>
      <c r="L703" s="3"/>
      <c r="M703" s="6"/>
      <c r="N703" s="9"/>
      <c r="O703" s="9"/>
      <c r="P703" s="44"/>
      <c r="Q703" s="12"/>
      <c r="R703" s="12"/>
      <c r="S703" s="12"/>
      <c r="T703" s="12"/>
      <c r="U703" s="12"/>
      <c r="V703" s="12"/>
      <c r="W703" s="12"/>
      <c r="X703" s="12"/>
      <c r="Y703" s="12"/>
      <c r="Z703" s="12"/>
    </row>
    <row r="704" spans="1:26" ht="14.25" hidden="1" customHeight="1" x14ac:dyDescent="0.3">
      <c r="A704" s="3"/>
      <c r="B704" s="8"/>
      <c r="C704" s="3"/>
      <c r="D704" s="3"/>
      <c r="E704" s="8"/>
      <c r="F704" s="3"/>
      <c r="G704" s="9"/>
      <c r="H704" s="3"/>
      <c r="I704" s="5"/>
      <c r="J704" s="5"/>
      <c r="K704" s="5"/>
      <c r="L704" s="3"/>
      <c r="M704" s="6"/>
      <c r="N704" s="9"/>
      <c r="O704" s="9"/>
      <c r="P704" s="44"/>
      <c r="Q704" s="12"/>
      <c r="R704" s="12"/>
      <c r="S704" s="12"/>
      <c r="T704" s="12"/>
      <c r="U704" s="12"/>
      <c r="V704" s="12"/>
      <c r="W704" s="12"/>
      <c r="X704" s="12"/>
      <c r="Y704" s="12"/>
      <c r="Z704" s="12"/>
    </row>
    <row r="705" spans="1:26" ht="14.25" hidden="1" customHeight="1" x14ac:dyDescent="0.3">
      <c r="A705" s="3"/>
      <c r="B705" s="8"/>
      <c r="C705" s="3"/>
      <c r="D705" s="3"/>
      <c r="E705" s="8"/>
      <c r="F705" s="3"/>
      <c r="G705" s="9"/>
      <c r="H705" s="3"/>
      <c r="I705" s="5"/>
      <c r="J705" s="5"/>
      <c r="K705" s="5"/>
      <c r="L705" s="3"/>
      <c r="M705" s="6"/>
      <c r="N705" s="9"/>
      <c r="O705" s="9"/>
      <c r="P705" s="44"/>
      <c r="Q705" s="12"/>
      <c r="R705" s="12"/>
      <c r="S705" s="12"/>
      <c r="T705" s="12"/>
      <c r="U705" s="12"/>
      <c r="V705" s="12"/>
      <c r="W705" s="12"/>
      <c r="X705" s="12"/>
      <c r="Y705" s="12"/>
      <c r="Z705" s="12"/>
    </row>
    <row r="706" spans="1:26" ht="14.25" hidden="1" customHeight="1" x14ac:dyDescent="0.3">
      <c r="A706" s="3"/>
      <c r="B706" s="8"/>
      <c r="C706" s="3"/>
      <c r="D706" s="3"/>
      <c r="E706" s="8"/>
      <c r="F706" s="3"/>
      <c r="G706" s="9"/>
      <c r="H706" s="3"/>
      <c r="I706" s="5"/>
      <c r="J706" s="5"/>
      <c r="K706" s="5"/>
      <c r="L706" s="3"/>
      <c r="M706" s="6"/>
      <c r="N706" s="9"/>
      <c r="O706" s="9"/>
      <c r="P706" s="44"/>
      <c r="Q706" s="12"/>
      <c r="R706" s="12"/>
      <c r="S706" s="12"/>
      <c r="T706" s="12"/>
      <c r="U706" s="12"/>
      <c r="V706" s="12"/>
      <c r="W706" s="12"/>
      <c r="X706" s="12"/>
      <c r="Y706" s="12"/>
      <c r="Z706" s="12"/>
    </row>
    <row r="707" spans="1:26" ht="14.25" hidden="1" customHeight="1" x14ac:dyDescent="0.3">
      <c r="A707" s="3"/>
      <c r="B707" s="8"/>
      <c r="C707" s="3"/>
      <c r="D707" s="3"/>
      <c r="E707" s="8"/>
      <c r="F707" s="3"/>
      <c r="G707" s="9"/>
      <c r="H707" s="3"/>
      <c r="I707" s="5"/>
      <c r="J707" s="5"/>
      <c r="K707" s="5"/>
      <c r="L707" s="3"/>
      <c r="M707" s="6"/>
      <c r="N707" s="9"/>
      <c r="O707" s="9"/>
      <c r="P707" s="44"/>
      <c r="Q707" s="12"/>
      <c r="R707" s="12"/>
      <c r="S707" s="12"/>
      <c r="T707" s="12"/>
      <c r="U707" s="12"/>
      <c r="V707" s="12"/>
      <c r="W707" s="12"/>
      <c r="X707" s="12"/>
      <c r="Y707" s="12"/>
      <c r="Z707" s="12"/>
    </row>
    <row r="708" spans="1:26" ht="14.25" hidden="1" customHeight="1" x14ac:dyDescent="0.3">
      <c r="A708" s="3"/>
      <c r="B708" s="8"/>
      <c r="C708" s="3"/>
      <c r="D708" s="3"/>
      <c r="E708" s="8"/>
      <c r="F708" s="3"/>
      <c r="G708" s="9"/>
      <c r="H708" s="3"/>
      <c r="I708" s="5"/>
      <c r="J708" s="5"/>
      <c r="K708" s="5"/>
      <c r="L708" s="3"/>
      <c r="M708" s="6"/>
      <c r="N708" s="9"/>
      <c r="O708" s="9"/>
      <c r="P708" s="44"/>
      <c r="Q708" s="12"/>
      <c r="R708" s="12"/>
      <c r="S708" s="12"/>
      <c r="T708" s="12"/>
      <c r="U708" s="12"/>
      <c r="V708" s="12"/>
      <c r="W708" s="12"/>
      <c r="X708" s="12"/>
      <c r="Y708" s="12"/>
      <c r="Z708" s="12"/>
    </row>
    <row r="709" spans="1:26" ht="14.25" hidden="1" customHeight="1" x14ac:dyDescent="0.3">
      <c r="A709" s="3"/>
      <c r="B709" s="8"/>
      <c r="C709" s="3"/>
      <c r="D709" s="3"/>
      <c r="E709" s="8"/>
      <c r="F709" s="3"/>
      <c r="G709" s="9"/>
      <c r="H709" s="3"/>
      <c r="I709" s="5"/>
      <c r="J709" s="5"/>
      <c r="K709" s="5"/>
      <c r="L709" s="3"/>
      <c r="M709" s="6"/>
      <c r="N709" s="9"/>
      <c r="O709" s="9"/>
      <c r="P709" s="44"/>
      <c r="Q709" s="12"/>
      <c r="R709" s="12"/>
      <c r="S709" s="12"/>
      <c r="T709" s="12"/>
      <c r="U709" s="12"/>
      <c r="V709" s="12"/>
      <c r="W709" s="12"/>
      <c r="X709" s="12"/>
      <c r="Y709" s="12"/>
      <c r="Z709" s="12"/>
    </row>
    <row r="710" spans="1:26" ht="14.25" hidden="1" customHeight="1" x14ac:dyDescent="0.3">
      <c r="A710" s="3"/>
      <c r="B710" s="8"/>
      <c r="C710" s="3"/>
      <c r="D710" s="3"/>
      <c r="E710" s="8"/>
      <c r="F710" s="3"/>
      <c r="G710" s="9"/>
      <c r="H710" s="3"/>
      <c r="I710" s="5"/>
      <c r="J710" s="5"/>
      <c r="K710" s="5"/>
      <c r="L710" s="3"/>
      <c r="M710" s="6"/>
      <c r="N710" s="9"/>
      <c r="O710" s="9"/>
      <c r="P710" s="44"/>
      <c r="Q710" s="12"/>
      <c r="R710" s="12"/>
      <c r="S710" s="12"/>
      <c r="T710" s="12"/>
      <c r="U710" s="12"/>
      <c r="V710" s="12"/>
      <c r="W710" s="12"/>
      <c r="X710" s="12"/>
      <c r="Y710" s="12"/>
      <c r="Z710" s="12"/>
    </row>
    <row r="711" spans="1:26" ht="14.25" hidden="1" customHeight="1" x14ac:dyDescent="0.3">
      <c r="A711" s="3"/>
      <c r="B711" s="8"/>
      <c r="C711" s="3"/>
      <c r="D711" s="3"/>
      <c r="E711" s="8"/>
      <c r="F711" s="3"/>
      <c r="G711" s="9"/>
      <c r="H711" s="3"/>
      <c r="I711" s="5"/>
      <c r="J711" s="5"/>
      <c r="K711" s="5"/>
      <c r="L711" s="3"/>
      <c r="M711" s="6"/>
      <c r="N711" s="9"/>
      <c r="O711" s="9"/>
      <c r="P711" s="44"/>
      <c r="Q711" s="12"/>
      <c r="R711" s="12"/>
      <c r="S711" s="12"/>
      <c r="T711" s="12"/>
      <c r="U711" s="12"/>
      <c r="V711" s="12"/>
      <c r="W711" s="12"/>
      <c r="X711" s="12"/>
      <c r="Y711" s="12"/>
      <c r="Z711" s="12"/>
    </row>
    <row r="712" spans="1:26" ht="14.25" hidden="1" customHeight="1" x14ac:dyDescent="0.3">
      <c r="A712" s="3"/>
      <c r="B712" s="8"/>
      <c r="C712" s="3"/>
      <c r="D712" s="3"/>
      <c r="E712" s="8"/>
      <c r="F712" s="3"/>
      <c r="G712" s="9"/>
      <c r="H712" s="3"/>
      <c r="I712" s="5"/>
      <c r="J712" s="5"/>
      <c r="K712" s="5"/>
      <c r="L712" s="3"/>
      <c r="M712" s="6"/>
      <c r="N712" s="9"/>
      <c r="O712" s="9"/>
      <c r="P712" s="44"/>
      <c r="Q712" s="12"/>
      <c r="R712" s="12"/>
      <c r="S712" s="12"/>
      <c r="T712" s="12"/>
      <c r="U712" s="12"/>
      <c r="V712" s="12"/>
      <c r="W712" s="12"/>
      <c r="X712" s="12"/>
      <c r="Y712" s="12"/>
      <c r="Z712" s="12"/>
    </row>
    <row r="713" spans="1:26" ht="14.25" hidden="1" customHeight="1" x14ac:dyDescent="0.3">
      <c r="A713" s="3"/>
      <c r="B713" s="8"/>
      <c r="C713" s="3"/>
      <c r="D713" s="3"/>
      <c r="E713" s="8"/>
      <c r="F713" s="3"/>
      <c r="G713" s="9"/>
      <c r="H713" s="3"/>
      <c r="I713" s="5"/>
      <c r="J713" s="5"/>
      <c r="K713" s="5"/>
      <c r="L713" s="3"/>
      <c r="M713" s="6"/>
      <c r="N713" s="9"/>
      <c r="O713" s="9"/>
      <c r="P713" s="44"/>
      <c r="Q713" s="12"/>
      <c r="R713" s="12"/>
      <c r="S713" s="12"/>
      <c r="T713" s="12"/>
      <c r="U713" s="12"/>
      <c r="V713" s="12"/>
      <c r="W713" s="12"/>
      <c r="X713" s="12"/>
      <c r="Y713" s="12"/>
      <c r="Z713" s="12"/>
    </row>
    <row r="714" spans="1:26" ht="14.25" hidden="1" customHeight="1" x14ac:dyDescent="0.3">
      <c r="A714" s="3"/>
      <c r="B714" s="8"/>
      <c r="C714" s="3"/>
      <c r="D714" s="3"/>
      <c r="E714" s="8"/>
      <c r="F714" s="3"/>
      <c r="G714" s="9"/>
      <c r="H714" s="3"/>
      <c r="I714" s="5"/>
      <c r="J714" s="5"/>
      <c r="K714" s="5"/>
      <c r="L714" s="3"/>
      <c r="M714" s="6"/>
      <c r="N714" s="9"/>
      <c r="O714" s="9"/>
      <c r="P714" s="44"/>
      <c r="Q714" s="12"/>
      <c r="R714" s="12"/>
      <c r="S714" s="12"/>
      <c r="T714" s="12"/>
      <c r="U714" s="12"/>
      <c r="V714" s="12"/>
      <c r="W714" s="12"/>
      <c r="X714" s="12"/>
      <c r="Y714" s="12"/>
      <c r="Z714" s="12"/>
    </row>
    <row r="715" spans="1:26" ht="14.25" hidden="1" customHeight="1" x14ac:dyDescent="0.3">
      <c r="A715" s="3"/>
      <c r="B715" s="8"/>
      <c r="C715" s="3"/>
      <c r="D715" s="3"/>
      <c r="E715" s="8"/>
      <c r="F715" s="3"/>
      <c r="G715" s="9"/>
      <c r="H715" s="3"/>
      <c r="I715" s="5"/>
      <c r="J715" s="5"/>
      <c r="K715" s="5"/>
      <c r="L715" s="3"/>
      <c r="M715" s="6"/>
      <c r="N715" s="9"/>
      <c r="O715" s="9"/>
      <c r="P715" s="44"/>
      <c r="Q715" s="12"/>
      <c r="R715" s="12"/>
      <c r="S715" s="12"/>
      <c r="T715" s="12"/>
      <c r="U715" s="12"/>
      <c r="V715" s="12"/>
      <c r="W715" s="12"/>
      <c r="X715" s="12"/>
      <c r="Y715" s="12"/>
      <c r="Z715" s="12"/>
    </row>
    <row r="716" spans="1:26" ht="14.25" hidden="1" customHeight="1" x14ac:dyDescent="0.3">
      <c r="A716" s="3"/>
      <c r="B716" s="8"/>
      <c r="C716" s="3"/>
      <c r="D716" s="3"/>
      <c r="E716" s="8"/>
      <c r="F716" s="3"/>
      <c r="G716" s="9"/>
      <c r="H716" s="3"/>
      <c r="I716" s="5"/>
      <c r="J716" s="5"/>
      <c r="K716" s="5"/>
      <c r="L716" s="3"/>
      <c r="M716" s="6"/>
      <c r="N716" s="9"/>
      <c r="O716" s="9"/>
      <c r="P716" s="44"/>
      <c r="Q716" s="12"/>
      <c r="R716" s="12"/>
      <c r="S716" s="12"/>
      <c r="T716" s="12"/>
      <c r="U716" s="12"/>
      <c r="V716" s="12"/>
      <c r="W716" s="12"/>
      <c r="X716" s="12"/>
      <c r="Y716" s="12"/>
      <c r="Z716" s="12"/>
    </row>
    <row r="717" spans="1:26" ht="14.25" hidden="1" customHeight="1" x14ac:dyDescent="0.3">
      <c r="A717" s="3"/>
      <c r="B717" s="8"/>
      <c r="C717" s="3"/>
      <c r="D717" s="3"/>
      <c r="E717" s="8"/>
      <c r="F717" s="3"/>
      <c r="G717" s="9"/>
      <c r="H717" s="3"/>
      <c r="I717" s="5"/>
      <c r="J717" s="5"/>
      <c r="K717" s="5"/>
      <c r="L717" s="3"/>
      <c r="M717" s="6"/>
      <c r="N717" s="9"/>
      <c r="O717" s="9"/>
      <c r="P717" s="44"/>
      <c r="Q717" s="12"/>
      <c r="R717" s="12"/>
      <c r="S717" s="12"/>
      <c r="T717" s="12"/>
      <c r="U717" s="12"/>
      <c r="V717" s="12"/>
      <c r="W717" s="12"/>
      <c r="X717" s="12"/>
      <c r="Y717" s="12"/>
      <c r="Z717" s="12"/>
    </row>
    <row r="718" spans="1:26" ht="14.25" hidden="1" customHeight="1" x14ac:dyDescent="0.3">
      <c r="A718" s="3"/>
      <c r="B718" s="8"/>
      <c r="C718" s="3"/>
      <c r="D718" s="3"/>
      <c r="E718" s="8"/>
      <c r="F718" s="3"/>
      <c r="G718" s="9"/>
      <c r="H718" s="3"/>
      <c r="I718" s="5"/>
      <c r="J718" s="5"/>
      <c r="K718" s="5"/>
      <c r="L718" s="3"/>
      <c r="M718" s="6"/>
      <c r="N718" s="9"/>
      <c r="O718" s="9"/>
      <c r="P718" s="44"/>
      <c r="Q718" s="12"/>
      <c r="R718" s="12"/>
      <c r="S718" s="12"/>
      <c r="T718" s="12"/>
      <c r="U718" s="12"/>
      <c r="V718" s="12"/>
      <c r="W718" s="12"/>
      <c r="X718" s="12"/>
      <c r="Y718" s="12"/>
      <c r="Z718" s="12"/>
    </row>
    <row r="719" spans="1:26" ht="14.25" hidden="1" customHeight="1" x14ac:dyDescent="0.3">
      <c r="A719" s="3"/>
      <c r="B719" s="8"/>
      <c r="C719" s="3"/>
      <c r="D719" s="3"/>
      <c r="E719" s="8"/>
      <c r="F719" s="3"/>
      <c r="G719" s="9"/>
      <c r="H719" s="3"/>
      <c r="I719" s="5"/>
      <c r="J719" s="5"/>
      <c r="K719" s="5"/>
      <c r="L719" s="3"/>
      <c r="M719" s="6"/>
      <c r="N719" s="9"/>
      <c r="O719" s="9"/>
      <c r="P719" s="44"/>
      <c r="Q719" s="12"/>
      <c r="R719" s="12"/>
      <c r="S719" s="12"/>
      <c r="T719" s="12"/>
      <c r="U719" s="12"/>
      <c r="V719" s="12"/>
      <c r="W719" s="12"/>
      <c r="X719" s="12"/>
      <c r="Y719" s="12"/>
      <c r="Z719" s="12"/>
    </row>
    <row r="720" spans="1:26" ht="14.25" hidden="1" customHeight="1" x14ac:dyDescent="0.3">
      <c r="A720" s="3"/>
      <c r="B720" s="8"/>
      <c r="C720" s="3"/>
      <c r="D720" s="3"/>
      <c r="E720" s="8"/>
      <c r="F720" s="3"/>
      <c r="G720" s="9"/>
      <c r="H720" s="3"/>
      <c r="I720" s="5"/>
      <c r="J720" s="5"/>
      <c r="K720" s="5"/>
      <c r="L720" s="3"/>
      <c r="M720" s="6"/>
      <c r="N720" s="9"/>
      <c r="O720" s="9"/>
      <c r="P720" s="44"/>
      <c r="Q720" s="12"/>
      <c r="R720" s="12"/>
      <c r="S720" s="12"/>
      <c r="T720" s="12"/>
      <c r="U720" s="12"/>
      <c r="V720" s="12"/>
      <c r="W720" s="12"/>
      <c r="X720" s="12"/>
      <c r="Y720" s="12"/>
      <c r="Z720" s="12"/>
    </row>
    <row r="721" spans="1:26" ht="14.25" hidden="1" customHeight="1" x14ac:dyDescent="0.3">
      <c r="A721" s="3"/>
      <c r="B721" s="8"/>
      <c r="C721" s="3"/>
      <c r="D721" s="3"/>
      <c r="E721" s="8"/>
      <c r="F721" s="3"/>
      <c r="G721" s="9"/>
      <c r="H721" s="3"/>
      <c r="I721" s="5"/>
      <c r="J721" s="5"/>
      <c r="K721" s="5"/>
      <c r="L721" s="3"/>
      <c r="M721" s="6"/>
      <c r="N721" s="9"/>
      <c r="O721" s="9"/>
      <c r="P721" s="44"/>
      <c r="Q721" s="12"/>
      <c r="R721" s="12"/>
      <c r="S721" s="12"/>
      <c r="T721" s="12"/>
      <c r="U721" s="12"/>
      <c r="V721" s="12"/>
      <c r="W721" s="12"/>
      <c r="X721" s="12"/>
      <c r="Y721" s="12"/>
      <c r="Z721" s="12"/>
    </row>
    <row r="722" spans="1:26" ht="14.25" hidden="1" customHeight="1" x14ac:dyDescent="0.3">
      <c r="A722" s="3"/>
      <c r="B722" s="8"/>
      <c r="C722" s="3"/>
      <c r="D722" s="3"/>
      <c r="E722" s="8"/>
      <c r="F722" s="3"/>
      <c r="G722" s="9"/>
      <c r="H722" s="3"/>
      <c r="I722" s="5"/>
      <c r="J722" s="5"/>
      <c r="K722" s="5"/>
      <c r="L722" s="3"/>
      <c r="M722" s="6"/>
      <c r="N722" s="9"/>
      <c r="O722" s="9"/>
      <c r="P722" s="44"/>
      <c r="Q722" s="12"/>
      <c r="R722" s="12"/>
      <c r="S722" s="12"/>
      <c r="T722" s="12"/>
      <c r="U722" s="12"/>
      <c r="V722" s="12"/>
      <c r="W722" s="12"/>
      <c r="X722" s="12"/>
      <c r="Y722" s="12"/>
      <c r="Z722" s="12"/>
    </row>
    <row r="723" spans="1:26" ht="14.25" hidden="1" customHeight="1" x14ac:dyDescent="0.3">
      <c r="A723" s="3"/>
      <c r="B723" s="8"/>
      <c r="C723" s="3"/>
      <c r="D723" s="3"/>
      <c r="E723" s="8"/>
      <c r="F723" s="3"/>
      <c r="G723" s="9"/>
      <c r="H723" s="3"/>
      <c r="I723" s="5"/>
      <c r="J723" s="5"/>
      <c r="K723" s="5"/>
      <c r="L723" s="3"/>
      <c r="M723" s="6"/>
      <c r="N723" s="9"/>
      <c r="O723" s="9"/>
      <c r="P723" s="44"/>
      <c r="Q723" s="12"/>
      <c r="R723" s="12"/>
      <c r="S723" s="12"/>
      <c r="T723" s="12"/>
      <c r="U723" s="12"/>
      <c r="V723" s="12"/>
      <c r="W723" s="12"/>
      <c r="X723" s="12"/>
      <c r="Y723" s="12"/>
      <c r="Z723" s="12"/>
    </row>
    <row r="724" spans="1:26" ht="14.25" hidden="1" customHeight="1" x14ac:dyDescent="0.3">
      <c r="A724" s="3"/>
      <c r="B724" s="8"/>
      <c r="C724" s="3"/>
      <c r="D724" s="3"/>
      <c r="E724" s="8"/>
      <c r="F724" s="3"/>
      <c r="G724" s="9"/>
      <c r="H724" s="3"/>
      <c r="I724" s="5"/>
      <c r="J724" s="5"/>
      <c r="K724" s="5"/>
      <c r="L724" s="3"/>
      <c r="M724" s="6"/>
      <c r="N724" s="9"/>
      <c r="O724" s="9"/>
      <c r="P724" s="44"/>
      <c r="Q724" s="12"/>
      <c r="R724" s="12"/>
      <c r="S724" s="12"/>
      <c r="T724" s="12"/>
      <c r="U724" s="12"/>
      <c r="V724" s="12"/>
      <c r="W724" s="12"/>
      <c r="X724" s="12"/>
      <c r="Y724" s="12"/>
      <c r="Z724" s="12"/>
    </row>
    <row r="725" spans="1:26" ht="14.25" hidden="1" customHeight="1" x14ac:dyDescent="0.3">
      <c r="A725" s="3"/>
      <c r="B725" s="8"/>
      <c r="C725" s="3"/>
      <c r="D725" s="3"/>
      <c r="E725" s="8"/>
      <c r="F725" s="3"/>
      <c r="G725" s="9"/>
      <c r="H725" s="3"/>
      <c r="I725" s="5"/>
      <c r="J725" s="5"/>
      <c r="K725" s="5"/>
      <c r="L725" s="3"/>
      <c r="M725" s="6"/>
      <c r="N725" s="9"/>
      <c r="O725" s="9"/>
      <c r="P725" s="44"/>
      <c r="Q725" s="12"/>
      <c r="R725" s="12"/>
      <c r="S725" s="12"/>
      <c r="T725" s="12"/>
      <c r="U725" s="12"/>
      <c r="V725" s="12"/>
      <c r="W725" s="12"/>
      <c r="X725" s="12"/>
      <c r="Y725" s="12"/>
      <c r="Z725" s="12"/>
    </row>
    <row r="726" spans="1:26" ht="14.25" hidden="1" customHeight="1" x14ac:dyDescent="0.3">
      <c r="A726" s="3"/>
      <c r="B726" s="8"/>
      <c r="C726" s="3"/>
      <c r="D726" s="3"/>
      <c r="E726" s="8"/>
      <c r="F726" s="3"/>
      <c r="G726" s="9"/>
      <c r="H726" s="3"/>
      <c r="I726" s="5"/>
      <c r="J726" s="5"/>
      <c r="K726" s="5"/>
      <c r="L726" s="3"/>
      <c r="M726" s="6"/>
      <c r="N726" s="9"/>
      <c r="O726" s="9"/>
      <c r="P726" s="44"/>
      <c r="Q726" s="12"/>
      <c r="R726" s="12"/>
      <c r="S726" s="12"/>
      <c r="T726" s="12"/>
      <c r="U726" s="12"/>
      <c r="V726" s="12"/>
      <c r="W726" s="12"/>
      <c r="X726" s="12"/>
      <c r="Y726" s="12"/>
      <c r="Z726" s="12"/>
    </row>
    <row r="727" spans="1:26" ht="14.25" hidden="1" customHeight="1" x14ac:dyDescent="0.3">
      <c r="A727" s="3"/>
      <c r="B727" s="8"/>
      <c r="C727" s="3"/>
      <c r="D727" s="3"/>
      <c r="E727" s="8"/>
      <c r="F727" s="3"/>
      <c r="G727" s="9"/>
      <c r="H727" s="3"/>
      <c r="I727" s="5"/>
      <c r="J727" s="5"/>
      <c r="K727" s="5"/>
      <c r="L727" s="3"/>
      <c r="M727" s="6"/>
      <c r="N727" s="9"/>
      <c r="O727" s="9"/>
      <c r="P727" s="44"/>
      <c r="Q727" s="12"/>
      <c r="R727" s="12"/>
      <c r="S727" s="12"/>
      <c r="T727" s="12"/>
      <c r="U727" s="12"/>
      <c r="V727" s="12"/>
      <c r="W727" s="12"/>
      <c r="X727" s="12"/>
      <c r="Y727" s="12"/>
      <c r="Z727" s="12"/>
    </row>
    <row r="728" spans="1:26" ht="14.25" hidden="1" customHeight="1" x14ac:dyDescent="0.3">
      <c r="A728" s="3"/>
      <c r="B728" s="8"/>
      <c r="C728" s="3"/>
      <c r="D728" s="3"/>
      <c r="E728" s="8"/>
      <c r="F728" s="3"/>
      <c r="G728" s="9"/>
      <c r="H728" s="3"/>
      <c r="I728" s="5"/>
      <c r="J728" s="5"/>
      <c r="K728" s="5"/>
      <c r="L728" s="3"/>
      <c r="M728" s="6"/>
      <c r="N728" s="9"/>
      <c r="O728" s="9"/>
      <c r="P728" s="44"/>
      <c r="Q728" s="12"/>
      <c r="R728" s="12"/>
      <c r="S728" s="12"/>
      <c r="T728" s="12"/>
      <c r="U728" s="12"/>
      <c r="V728" s="12"/>
      <c r="W728" s="12"/>
      <c r="X728" s="12"/>
      <c r="Y728" s="12"/>
      <c r="Z728" s="12"/>
    </row>
    <row r="729" spans="1:26" ht="14.25" hidden="1" customHeight="1" x14ac:dyDescent="0.3">
      <c r="A729" s="3"/>
      <c r="B729" s="8"/>
      <c r="C729" s="3"/>
      <c r="D729" s="3"/>
      <c r="E729" s="8"/>
      <c r="F729" s="3"/>
      <c r="G729" s="9"/>
      <c r="H729" s="3"/>
      <c r="I729" s="5"/>
      <c r="J729" s="5"/>
      <c r="K729" s="5"/>
      <c r="L729" s="3"/>
      <c r="M729" s="6"/>
      <c r="N729" s="9"/>
      <c r="O729" s="9"/>
      <c r="P729" s="44"/>
      <c r="Q729" s="12"/>
      <c r="R729" s="12"/>
      <c r="S729" s="12"/>
      <c r="T729" s="12"/>
      <c r="U729" s="12"/>
      <c r="V729" s="12"/>
      <c r="W729" s="12"/>
      <c r="X729" s="12"/>
      <c r="Y729" s="12"/>
      <c r="Z729" s="12"/>
    </row>
    <row r="730" spans="1:26" ht="14.25" hidden="1" customHeight="1" x14ac:dyDescent="0.3">
      <c r="A730" s="3"/>
      <c r="B730" s="8"/>
      <c r="C730" s="3"/>
      <c r="D730" s="3"/>
      <c r="E730" s="8"/>
      <c r="F730" s="3"/>
      <c r="G730" s="9"/>
      <c r="H730" s="3"/>
      <c r="I730" s="5"/>
      <c r="J730" s="5"/>
      <c r="K730" s="5"/>
      <c r="L730" s="3"/>
      <c r="M730" s="6"/>
      <c r="N730" s="9"/>
      <c r="O730" s="9"/>
      <c r="P730" s="44"/>
      <c r="Q730" s="12"/>
      <c r="R730" s="12"/>
      <c r="S730" s="12"/>
      <c r="T730" s="12"/>
      <c r="U730" s="12"/>
      <c r="V730" s="12"/>
      <c r="W730" s="12"/>
      <c r="X730" s="12"/>
      <c r="Y730" s="12"/>
      <c r="Z730" s="12"/>
    </row>
    <row r="731" spans="1:26" ht="14.25" hidden="1" customHeight="1" x14ac:dyDescent="0.3">
      <c r="A731" s="3"/>
      <c r="B731" s="8"/>
      <c r="C731" s="3"/>
      <c r="D731" s="3"/>
      <c r="E731" s="8"/>
      <c r="F731" s="3"/>
      <c r="G731" s="9"/>
      <c r="H731" s="3"/>
      <c r="I731" s="5"/>
      <c r="J731" s="5"/>
      <c r="K731" s="5"/>
      <c r="L731" s="3"/>
      <c r="M731" s="6"/>
      <c r="N731" s="9"/>
      <c r="O731" s="9"/>
      <c r="P731" s="44"/>
      <c r="Q731" s="12"/>
      <c r="R731" s="12"/>
      <c r="S731" s="12"/>
      <c r="T731" s="12"/>
      <c r="U731" s="12"/>
      <c r="V731" s="12"/>
      <c r="W731" s="12"/>
      <c r="X731" s="12"/>
      <c r="Y731" s="12"/>
      <c r="Z731" s="12"/>
    </row>
    <row r="732" spans="1:26" ht="14.25" hidden="1" customHeight="1" x14ac:dyDescent="0.3">
      <c r="A732" s="3"/>
      <c r="B732" s="8"/>
      <c r="C732" s="3"/>
      <c r="D732" s="3"/>
      <c r="E732" s="8"/>
      <c r="F732" s="3"/>
      <c r="G732" s="9"/>
      <c r="H732" s="3"/>
      <c r="I732" s="5"/>
      <c r="J732" s="5"/>
      <c r="K732" s="5"/>
      <c r="L732" s="3"/>
      <c r="M732" s="6"/>
      <c r="N732" s="9"/>
      <c r="O732" s="9"/>
      <c r="P732" s="44"/>
      <c r="Q732" s="12"/>
      <c r="R732" s="12"/>
      <c r="S732" s="12"/>
      <c r="T732" s="12"/>
      <c r="U732" s="12"/>
      <c r="V732" s="12"/>
      <c r="W732" s="12"/>
      <c r="X732" s="12"/>
      <c r="Y732" s="12"/>
      <c r="Z732" s="12"/>
    </row>
    <row r="733" spans="1:26" ht="14.25" hidden="1" customHeight="1" x14ac:dyDescent="0.3">
      <c r="A733" s="3"/>
      <c r="B733" s="8"/>
      <c r="C733" s="3"/>
      <c r="D733" s="3"/>
      <c r="E733" s="8"/>
      <c r="F733" s="3"/>
      <c r="G733" s="9"/>
      <c r="H733" s="3"/>
      <c r="I733" s="5"/>
      <c r="J733" s="5"/>
      <c r="K733" s="5"/>
      <c r="L733" s="3"/>
      <c r="M733" s="6"/>
      <c r="N733" s="9"/>
      <c r="O733" s="9"/>
      <c r="P733" s="44"/>
      <c r="Q733" s="12"/>
      <c r="R733" s="12"/>
      <c r="S733" s="12"/>
      <c r="T733" s="12"/>
      <c r="U733" s="12"/>
      <c r="V733" s="12"/>
      <c r="W733" s="12"/>
      <c r="X733" s="12"/>
      <c r="Y733" s="12"/>
      <c r="Z733" s="12"/>
    </row>
    <row r="734" spans="1:26" ht="14.25" hidden="1" customHeight="1" x14ac:dyDescent="0.3">
      <c r="A734" s="3"/>
      <c r="B734" s="8"/>
      <c r="C734" s="3"/>
      <c r="D734" s="3"/>
      <c r="E734" s="8"/>
      <c r="F734" s="3"/>
      <c r="G734" s="9"/>
      <c r="H734" s="3"/>
      <c r="I734" s="5"/>
      <c r="J734" s="5"/>
      <c r="K734" s="5"/>
      <c r="L734" s="3"/>
      <c r="M734" s="6"/>
      <c r="N734" s="9"/>
      <c r="O734" s="9"/>
      <c r="P734" s="44"/>
      <c r="Q734" s="12"/>
      <c r="R734" s="12"/>
      <c r="S734" s="12"/>
      <c r="T734" s="12"/>
      <c r="U734" s="12"/>
      <c r="V734" s="12"/>
      <c r="W734" s="12"/>
      <c r="X734" s="12"/>
      <c r="Y734" s="12"/>
      <c r="Z734" s="12"/>
    </row>
    <row r="735" spans="1:26" ht="14.25" hidden="1" customHeight="1" x14ac:dyDescent="0.3">
      <c r="A735" s="3"/>
      <c r="B735" s="8"/>
      <c r="C735" s="3"/>
      <c r="D735" s="3"/>
      <c r="E735" s="8"/>
      <c r="F735" s="3"/>
      <c r="G735" s="9"/>
      <c r="H735" s="3"/>
      <c r="I735" s="5"/>
      <c r="J735" s="5"/>
      <c r="K735" s="5"/>
      <c r="L735" s="3"/>
      <c r="M735" s="6"/>
      <c r="N735" s="9"/>
      <c r="O735" s="9"/>
      <c r="P735" s="44"/>
      <c r="Q735" s="12"/>
      <c r="R735" s="12"/>
      <c r="S735" s="12"/>
      <c r="T735" s="12"/>
      <c r="U735" s="12"/>
      <c r="V735" s="12"/>
      <c r="W735" s="12"/>
      <c r="X735" s="12"/>
      <c r="Y735" s="12"/>
      <c r="Z735" s="12"/>
    </row>
    <row r="736" spans="1:26" ht="14.25" hidden="1" customHeight="1" x14ac:dyDescent="0.3">
      <c r="A736" s="3"/>
      <c r="B736" s="8"/>
      <c r="C736" s="3"/>
      <c r="D736" s="3"/>
      <c r="E736" s="8"/>
      <c r="F736" s="3"/>
      <c r="G736" s="9"/>
      <c r="H736" s="3"/>
      <c r="I736" s="5"/>
      <c r="J736" s="5"/>
      <c r="K736" s="5"/>
      <c r="L736" s="3"/>
      <c r="M736" s="6"/>
      <c r="N736" s="9"/>
      <c r="O736" s="9"/>
      <c r="P736" s="44"/>
      <c r="Q736" s="12"/>
      <c r="R736" s="12"/>
      <c r="S736" s="12"/>
      <c r="T736" s="12"/>
      <c r="U736" s="12"/>
      <c r="V736" s="12"/>
      <c r="W736" s="12"/>
      <c r="X736" s="12"/>
      <c r="Y736" s="12"/>
      <c r="Z736" s="12"/>
    </row>
    <row r="737" spans="1:26" ht="14.25" hidden="1" customHeight="1" x14ac:dyDescent="0.3">
      <c r="A737" s="3"/>
      <c r="B737" s="8"/>
      <c r="C737" s="3"/>
      <c r="D737" s="3"/>
      <c r="E737" s="8"/>
      <c r="F737" s="3"/>
      <c r="G737" s="9"/>
      <c r="H737" s="3"/>
      <c r="I737" s="5"/>
      <c r="J737" s="5"/>
      <c r="K737" s="5"/>
      <c r="L737" s="3"/>
      <c r="M737" s="6"/>
      <c r="N737" s="9"/>
      <c r="O737" s="9"/>
      <c r="P737" s="44"/>
      <c r="Q737" s="12"/>
      <c r="R737" s="12"/>
      <c r="S737" s="12"/>
      <c r="T737" s="12"/>
      <c r="U737" s="12"/>
      <c r="V737" s="12"/>
      <c r="W737" s="12"/>
      <c r="X737" s="12"/>
      <c r="Y737" s="12"/>
      <c r="Z737" s="12"/>
    </row>
    <row r="738" spans="1:26" ht="14.25" hidden="1" customHeight="1" x14ac:dyDescent="0.3">
      <c r="A738" s="3"/>
      <c r="B738" s="8"/>
      <c r="C738" s="3"/>
      <c r="D738" s="3"/>
      <c r="E738" s="8"/>
      <c r="F738" s="3"/>
      <c r="G738" s="9"/>
      <c r="H738" s="3"/>
      <c r="I738" s="5"/>
      <c r="J738" s="5"/>
      <c r="K738" s="5"/>
      <c r="L738" s="3"/>
      <c r="M738" s="6"/>
      <c r="N738" s="9"/>
      <c r="O738" s="9"/>
      <c r="P738" s="44"/>
      <c r="Q738" s="12"/>
      <c r="R738" s="12"/>
      <c r="S738" s="12"/>
      <c r="T738" s="12"/>
      <c r="U738" s="12"/>
      <c r="V738" s="12"/>
      <c r="W738" s="12"/>
      <c r="X738" s="12"/>
      <c r="Y738" s="12"/>
      <c r="Z738" s="12"/>
    </row>
    <row r="739" spans="1:26" ht="14.25" customHeight="1" x14ac:dyDescent="0.3">
      <c r="A739" s="3"/>
      <c r="B739" s="8"/>
      <c r="C739" s="3"/>
      <c r="D739" s="3"/>
      <c r="E739" s="8"/>
      <c r="F739" s="3"/>
      <c r="G739" s="9"/>
      <c r="H739" s="3"/>
      <c r="I739" s="5"/>
      <c r="J739" s="5"/>
      <c r="K739" s="5"/>
      <c r="L739" s="3"/>
      <c r="M739" s="6"/>
      <c r="N739" s="9"/>
      <c r="O739" s="9"/>
      <c r="P739" s="12"/>
      <c r="Q739" s="12"/>
      <c r="R739" s="12"/>
      <c r="S739" s="12"/>
      <c r="T739" s="12"/>
      <c r="U739" s="12"/>
      <c r="V739" s="12"/>
      <c r="W739" s="12"/>
      <c r="X739" s="12"/>
      <c r="Y739" s="12"/>
      <c r="Z739" s="12"/>
    </row>
    <row r="740" spans="1:26" ht="14.25" customHeight="1" x14ac:dyDescent="0.3">
      <c r="A740" s="3"/>
      <c r="B740" s="8"/>
      <c r="C740" s="3"/>
      <c r="D740" s="3"/>
      <c r="E740" s="8"/>
      <c r="F740" s="3"/>
      <c r="G740" s="9"/>
      <c r="H740" s="3"/>
      <c r="I740" s="5"/>
      <c r="J740" s="5"/>
      <c r="K740" s="5"/>
      <c r="L740" s="3"/>
      <c r="M740" s="6"/>
      <c r="N740" s="9"/>
      <c r="O740" s="9"/>
      <c r="P740" s="12"/>
      <c r="Q740" s="12"/>
      <c r="R740" s="12"/>
      <c r="S740" s="12"/>
      <c r="T740" s="12"/>
      <c r="U740" s="12"/>
      <c r="V740" s="12"/>
      <c r="W740" s="12"/>
      <c r="X740" s="12"/>
      <c r="Y740" s="12"/>
      <c r="Z740" s="12"/>
    </row>
    <row r="741" spans="1:26" ht="14.25" customHeight="1" x14ac:dyDescent="0.3">
      <c r="A741" s="3"/>
      <c r="B741" s="8"/>
      <c r="C741" s="3"/>
      <c r="D741" s="3"/>
      <c r="E741" s="8"/>
      <c r="F741" s="3"/>
      <c r="G741" s="9"/>
      <c r="H741" s="3"/>
      <c r="I741" s="5"/>
      <c r="J741" s="5"/>
      <c r="K741" s="5"/>
      <c r="L741" s="3"/>
      <c r="M741" s="6"/>
      <c r="N741" s="9"/>
      <c r="O741" s="9"/>
      <c r="P741" s="12"/>
      <c r="Q741" s="12"/>
      <c r="R741" s="12"/>
      <c r="S741" s="12"/>
      <c r="T741" s="12"/>
      <c r="U741" s="12"/>
      <c r="V741" s="12"/>
      <c r="W741" s="12"/>
      <c r="X741" s="12"/>
      <c r="Y741" s="12"/>
      <c r="Z741" s="12"/>
    </row>
    <row r="742" spans="1:26" ht="14.25" customHeight="1" x14ac:dyDescent="0.3">
      <c r="A742" s="3"/>
      <c r="B742" s="8"/>
      <c r="C742" s="3"/>
      <c r="D742" s="3"/>
      <c r="E742" s="8"/>
      <c r="F742" s="3"/>
      <c r="G742" s="9"/>
      <c r="H742" s="3"/>
      <c r="I742" s="5"/>
      <c r="J742" s="5"/>
      <c r="K742" s="5"/>
      <c r="L742" s="3"/>
      <c r="M742" s="6"/>
      <c r="N742" s="9"/>
      <c r="O742" s="9"/>
      <c r="P742" s="12"/>
      <c r="Q742" s="12"/>
      <c r="R742" s="12"/>
      <c r="S742" s="12"/>
      <c r="T742" s="12"/>
      <c r="U742" s="12"/>
      <c r="V742" s="12"/>
      <c r="W742" s="12"/>
      <c r="X742" s="12"/>
      <c r="Y742" s="12"/>
      <c r="Z742" s="12"/>
    </row>
    <row r="743" spans="1:26" ht="14.25" customHeight="1" x14ac:dyDescent="0.3">
      <c r="A743" s="3"/>
      <c r="B743" s="8"/>
      <c r="C743" s="3"/>
      <c r="D743" s="3"/>
      <c r="E743" s="8"/>
      <c r="F743" s="3"/>
      <c r="G743" s="9"/>
      <c r="H743" s="3"/>
      <c r="I743" s="5"/>
      <c r="J743" s="5"/>
      <c r="K743" s="5"/>
      <c r="L743" s="3"/>
      <c r="M743" s="6"/>
      <c r="N743" s="9"/>
      <c r="O743" s="9"/>
      <c r="P743" s="12"/>
      <c r="Q743" s="12"/>
      <c r="R743" s="12"/>
      <c r="S743" s="12"/>
      <c r="T743" s="12"/>
      <c r="U743" s="12"/>
      <c r="V743" s="12"/>
      <c r="W743" s="12"/>
      <c r="X743" s="12"/>
      <c r="Y743" s="12"/>
      <c r="Z743" s="12"/>
    </row>
    <row r="744" spans="1:26" ht="14.25" customHeight="1" x14ac:dyDescent="0.3">
      <c r="A744" s="3"/>
      <c r="B744" s="8"/>
      <c r="C744" s="3"/>
      <c r="D744" s="3"/>
      <c r="E744" s="8"/>
      <c r="F744" s="3"/>
      <c r="G744" s="9"/>
      <c r="H744" s="3"/>
      <c r="I744" s="5"/>
      <c r="J744" s="5"/>
      <c r="K744" s="5"/>
      <c r="L744" s="3"/>
      <c r="M744" s="6"/>
      <c r="N744" s="9"/>
      <c r="O744" s="9"/>
      <c r="P744" s="12"/>
      <c r="Q744" s="12"/>
      <c r="R744" s="12"/>
      <c r="S744" s="12"/>
      <c r="T744" s="12"/>
      <c r="U744" s="12"/>
      <c r="V744" s="12"/>
      <c r="W744" s="12"/>
      <c r="X744" s="12"/>
      <c r="Y744" s="12"/>
      <c r="Z744" s="12"/>
    </row>
    <row r="745" spans="1:26" ht="14.25" customHeight="1" x14ac:dyDescent="0.3">
      <c r="A745" s="3"/>
      <c r="B745" s="8"/>
      <c r="C745" s="3"/>
      <c r="D745" s="3"/>
      <c r="E745" s="8"/>
      <c r="F745" s="3"/>
      <c r="G745" s="9"/>
      <c r="H745" s="3"/>
      <c r="I745" s="5"/>
      <c r="J745" s="5"/>
      <c r="K745" s="5"/>
      <c r="L745" s="3"/>
      <c r="M745" s="6"/>
      <c r="N745" s="9"/>
      <c r="O745" s="9"/>
      <c r="P745" s="12"/>
      <c r="Q745" s="12"/>
      <c r="R745" s="12"/>
      <c r="S745" s="12"/>
      <c r="T745" s="12"/>
      <c r="U745" s="12"/>
      <c r="V745" s="12"/>
      <c r="W745" s="12"/>
      <c r="X745" s="12"/>
      <c r="Y745" s="12"/>
      <c r="Z745" s="12"/>
    </row>
    <row r="746" spans="1:26" ht="14.25" customHeight="1" x14ac:dyDescent="0.3">
      <c r="A746" s="3"/>
      <c r="B746" s="8"/>
      <c r="C746" s="3"/>
      <c r="D746" s="3"/>
      <c r="E746" s="8"/>
      <c r="F746" s="3"/>
      <c r="G746" s="9"/>
      <c r="H746" s="3"/>
      <c r="I746" s="5"/>
      <c r="J746" s="5"/>
      <c r="K746" s="5"/>
      <c r="L746" s="3"/>
      <c r="M746" s="6"/>
      <c r="N746" s="9"/>
      <c r="O746" s="9"/>
      <c r="P746" s="12"/>
      <c r="Q746" s="12"/>
      <c r="R746" s="12"/>
      <c r="S746" s="12"/>
      <c r="T746" s="12"/>
      <c r="U746" s="12"/>
      <c r="V746" s="12"/>
      <c r="W746" s="12"/>
      <c r="X746" s="12"/>
      <c r="Y746" s="12"/>
      <c r="Z746" s="12"/>
    </row>
    <row r="747" spans="1:26" ht="14.25" customHeight="1" x14ac:dyDescent="0.3">
      <c r="A747" s="3"/>
      <c r="B747" s="8"/>
      <c r="C747" s="3"/>
      <c r="D747" s="3"/>
      <c r="E747" s="8"/>
      <c r="F747" s="3"/>
      <c r="G747" s="9"/>
      <c r="H747" s="3"/>
      <c r="I747" s="5"/>
      <c r="J747" s="5"/>
      <c r="K747" s="5"/>
      <c r="L747" s="3"/>
      <c r="M747" s="6"/>
      <c r="N747" s="9"/>
      <c r="O747" s="9"/>
      <c r="P747" s="12"/>
      <c r="Q747" s="12"/>
      <c r="R747" s="12"/>
      <c r="S747" s="12"/>
      <c r="T747" s="12"/>
      <c r="U747" s="12"/>
      <c r="V747" s="12"/>
      <c r="W747" s="12"/>
      <c r="X747" s="12"/>
      <c r="Y747" s="12"/>
      <c r="Z747" s="12"/>
    </row>
    <row r="748" spans="1:26" ht="14.25" customHeight="1" x14ac:dyDescent="0.3">
      <c r="A748" s="3"/>
      <c r="B748" s="8"/>
      <c r="C748" s="3"/>
      <c r="D748" s="3"/>
      <c r="E748" s="8"/>
      <c r="F748" s="3"/>
      <c r="G748" s="9"/>
      <c r="H748" s="3"/>
      <c r="I748" s="5"/>
      <c r="J748" s="5"/>
      <c r="K748" s="5"/>
      <c r="L748" s="3"/>
      <c r="M748" s="6"/>
      <c r="N748" s="9"/>
      <c r="O748" s="9"/>
      <c r="P748" s="12"/>
      <c r="Q748" s="12"/>
      <c r="R748" s="12"/>
      <c r="S748" s="12"/>
      <c r="T748" s="12"/>
      <c r="U748" s="12"/>
      <c r="V748" s="12"/>
      <c r="W748" s="12"/>
      <c r="X748" s="12"/>
      <c r="Y748" s="12"/>
      <c r="Z748" s="12"/>
    </row>
    <row r="749" spans="1:26" ht="14.25" customHeight="1" x14ac:dyDescent="0.3">
      <c r="A749" s="3"/>
      <c r="B749" s="8"/>
      <c r="C749" s="3"/>
      <c r="D749" s="3"/>
      <c r="E749" s="8"/>
      <c r="F749" s="3"/>
      <c r="G749" s="9"/>
      <c r="H749" s="3"/>
      <c r="I749" s="5"/>
      <c r="J749" s="5"/>
      <c r="K749" s="5"/>
      <c r="L749" s="3"/>
      <c r="M749" s="6"/>
      <c r="N749" s="9"/>
      <c r="O749" s="9"/>
      <c r="P749" s="12"/>
      <c r="Q749" s="12"/>
      <c r="R749" s="12"/>
      <c r="S749" s="12"/>
      <c r="T749" s="12"/>
      <c r="U749" s="12"/>
      <c r="V749" s="12"/>
      <c r="W749" s="12"/>
      <c r="X749" s="12"/>
      <c r="Y749" s="12"/>
      <c r="Z749" s="12"/>
    </row>
    <row r="750" spans="1:26" ht="14.25" customHeight="1" x14ac:dyDescent="0.3">
      <c r="A750" s="3"/>
      <c r="B750" s="8"/>
      <c r="C750" s="3"/>
      <c r="D750" s="3"/>
      <c r="E750" s="8"/>
      <c r="F750" s="3"/>
      <c r="G750" s="9"/>
      <c r="H750" s="3"/>
      <c r="I750" s="5"/>
      <c r="J750" s="5"/>
      <c r="K750" s="5"/>
      <c r="L750" s="3"/>
      <c r="M750" s="6"/>
      <c r="N750" s="9"/>
      <c r="O750" s="9"/>
      <c r="P750" s="12"/>
      <c r="Q750" s="12"/>
      <c r="R750" s="12"/>
      <c r="S750" s="12"/>
      <c r="T750" s="12"/>
      <c r="U750" s="12"/>
      <c r="V750" s="12"/>
      <c r="W750" s="12"/>
      <c r="X750" s="12"/>
      <c r="Y750" s="12"/>
      <c r="Z750" s="12"/>
    </row>
    <row r="751" spans="1:26" ht="14.25" customHeight="1" x14ac:dyDescent="0.3">
      <c r="A751" s="3"/>
      <c r="B751" s="8"/>
      <c r="C751" s="3"/>
      <c r="D751" s="3"/>
      <c r="E751" s="8"/>
      <c r="F751" s="3"/>
      <c r="G751" s="9"/>
      <c r="H751" s="3"/>
      <c r="I751" s="5"/>
      <c r="J751" s="5"/>
      <c r="K751" s="5"/>
      <c r="L751" s="3"/>
      <c r="M751" s="6"/>
      <c r="N751" s="9"/>
      <c r="O751" s="9"/>
      <c r="P751" s="12"/>
      <c r="Q751" s="12"/>
      <c r="R751" s="12"/>
      <c r="S751" s="12"/>
      <c r="T751" s="12"/>
      <c r="U751" s="12"/>
      <c r="V751" s="12"/>
      <c r="W751" s="12"/>
      <c r="X751" s="12"/>
      <c r="Y751" s="12"/>
      <c r="Z751" s="12"/>
    </row>
    <row r="752" spans="1:26" ht="14.25" customHeight="1" x14ac:dyDescent="0.3">
      <c r="A752" s="3"/>
      <c r="B752" s="8"/>
      <c r="C752" s="3"/>
      <c r="D752" s="3"/>
      <c r="E752" s="8"/>
      <c r="F752" s="3"/>
      <c r="G752" s="9"/>
      <c r="H752" s="3"/>
      <c r="I752" s="5"/>
      <c r="J752" s="5"/>
      <c r="K752" s="5"/>
      <c r="L752" s="3"/>
      <c r="M752" s="6"/>
      <c r="N752" s="9"/>
      <c r="O752" s="9"/>
      <c r="P752" s="12"/>
      <c r="Q752" s="12"/>
      <c r="R752" s="12"/>
      <c r="S752" s="12"/>
      <c r="T752" s="12"/>
      <c r="U752" s="12"/>
      <c r="V752" s="12"/>
      <c r="W752" s="12"/>
      <c r="X752" s="12"/>
      <c r="Y752" s="12"/>
      <c r="Z752" s="12"/>
    </row>
    <row r="753" spans="1:26" ht="14.25" customHeight="1" x14ac:dyDescent="0.3">
      <c r="A753" s="3"/>
      <c r="B753" s="8"/>
      <c r="C753" s="3"/>
      <c r="D753" s="3"/>
      <c r="E753" s="8"/>
      <c r="F753" s="3"/>
      <c r="G753" s="9"/>
      <c r="H753" s="3"/>
      <c r="I753" s="5"/>
      <c r="J753" s="5"/>
      <c r="K753" s="5"/>
      <c r="L753" s="3"/>
      <c r="M753" s="6"/>
      <c r="N753" s="9"/>
      <c r="O753" s="9"/>
      <c r="P753" s="12"/>
      <c r="Q753" s="12"/>
      <c r="R753" s="12"/>
      <c r="S753" s="12"/>
      <c r="T753" s="12"/>
      <c r="U753" s="12"/>
      <c r="V753" s="12"/>
      <c r="W753" s="12"/>
      <c r="X753" s="12"/>
      <c r="Y753" s="12"/>
      <c r="Z753" s="12"/>
    </row>
    <row r="754" spans="1:26" ht="14.25" customHeight="1" x14ac:dyDescent="0.3">
      <c r="A754" s="3"/>
      <c r="B754" s="8"/>
      <c r="C754" s="3"/>
      <c r="D754" s="3"/>
      <c r="E754" s="8"/>
      <c r="F754" s="3"/>
      <c r="G754" s="9"/>
      <c r="H754" s="3"/>
      <c r="I754" s="5"/>
      <c r="J754" s="5"/>
      <c r="K754" s="5"/>
      <c r="L754" s="3"/>
      <c r="M754" s="6"/>
      <c r="N754" s="9"/>
      <c r="O754" s="9"/>
      <c r="P754" s="12"/>
      <c r="Q754" s="12"/>
      <c r="R754" s="12"/>
      <c r="S754" s="12"/>
      <c r="T754" s="12"/>
      <c r="U754" s="12"/>
      <c r="V754" s="12"/>
      <c r="W754" s="12"/>
      <c r="X754" s="12"/>
      <c r="Y754" s="12"/>
      <c r="Z754" s="12"/>
    </row>
    <row r="755" spans="1:26" ht="14.25" customHeight="1" x14ac:dyDescent="0.3">
      <c r="A755" s="3"/>
      <c r="B755" s="8"/>
      <c r="C755" s="3"/>
      <c r="D755" s="3"/>
      <c r="E755" s="8"/>
      <c r="F755" s="3"/>
      <c r="G755" s="9"/>
      <c r="H755" s="3"/>
      <c r="I755" s="5"/>
      <c r="J755" s="5"/>
      <c r="K755" s="5"/>
      <c r="L755" s="3"/>
      <c r="M755" s="6"/>
      <c r="N755" s="9"/>
      <c r="O755" s="9"/>
      <c r="P755" s="12"/>
      <c r="Q755" s="12"/>
      <c r="R755" s="12"/>
      <c r="S755" s="12"/>
      <c r="T755" s="12"/>
      <c r="U755" s="12"/>
      <c r="V755" s="12"/>
      <c r="W755" s="12"/>
      <c r="X755" s="12"/>
      <c r="Y755" s="12"/>
      <c r="Z755" s="12"/>
    </row>
    <row r="756" spans="1:26" ht="14.25" customHeight="1" x14ac:dyDescent="0.3">
      <c r="A756" s="3"/>
      <c r="B756" s="8"/>
      <c r="C756" s="3"/>
      <c r="D756" s="3"/>
      <c r="E756" s="8"/>
      <c r="F756" s="3"/>
      <c r="G756" s="9"/>
      <c r="H756" s="3"/>
      <c r="I756" s="5"/>
      <c r="J756" s="5"/>
      <c r="K756" s="5"/>
      <c r="L756" s="3"/>
      <c r="M756" s="6"/>
      <c r="N756" s="9"/>
      <c r="O756" s="9"/>
      <c r="P756" s="12"/>
      <c r="Q756" s="12"/>
      <c r="R756" s="12"/>
      <c r="S756" s="12"/>
      <c r="T756" s="12"/>
      <c r="U756" s="12"/>
      <c r="V756" s="12"/>
      <c r="W756" s="12"/>
      <c r="X756" s="12"/>
      <c r="Y756" s="12"/>
      <c r="Z756" s="12"/>
    </row>
    <row r="757" spans="1:26" ht="14.25" customHeight="1" x14ac:dyDescent="0.3">
      <c r="A757" s="3"/>
      <c r="B757" s="8"/>
      <c r="C757" s="3"/>
      <c r="D757" s="3"/>
      <c r="E757" s="8"/>
      <c r="F757" s="3"/>
      <c r="G757" s="9"/>
      <c r="H757" s="3"/>
      <c r="I757" s="5"/>
      <c r="J757" s="5"/>
      <c r="K757" s="5"/>
      <c r="L757" s="3"/>
      <c r="M757" s="6"/>
      <c r="N757" s="9"/>
      <c r="O757" s="9"/>
      <c r="P757" s="12"/>
      <c r="Q757" s="12"/>
      <c r="R757" s="12"/>
      <c r="S757" s="12"/>
      <c r="T757" s="12"/>
      <c r="U757" s="12"/>
      <c r="V757" s="12"/>
      <c r="W757" s="12"/>
      <c r="X757" s="12"/>
      <c r="Y757" s="12"/>
      <c r="Z757" s="12"/>
    </row>
    <row r="758" spans="1:26" ht="14.25" customHeight="1" x14ac:dyDescent="0.3">
      <c r="A758" s="3"/>
      <c r="B758" s="8"/>
      <c r="C758" s="3"/>
      <c r="D758" s="3"/>
      <c r="E758" s="8"/>
      <c r="F758" s="3"/>
      <c r="G758" s="9"/>
      <c r="H758" s="3"/>
      <c r="I758" s="5"/>
      <c r="J758" s="5"/>
      <c r="K758" s="5"/>
      <c r="L758" s="3"/>
      <c r="M758" s="6"/>
      <c r="N758" s="9"/>
      <c r="O758" s="9"/>
      <c r="P758" s="12"/>
      <c r="Q758" s="12"/>
      <c r="R758" s="12"/>
      <c r="S758" s="12"/>
      <c r="T758" s="12"/>
      <c r="U758" s="12"/>
      <c r="V758" s="12"/>
      <c r="W758" s="12"/>
      <c r="X758" s="12"/>
      <c r="Y758" s="12"/>
      <c r="Z758" s="12"/>
    </row>
    <row r="759" spans="1:26" ht="14.25" customHeight="1" x14ac:dyDescent="0.3">
      <c r="A759" s="3"/>
      <c r="B759" s="8"/>
      <c r="C759" s="3"/>
      <c r="D759" s="3"/>
      <c r="E759" s="8"/>
      <c r="F759" s="3"/>
      <c r="G759" s="9"/>
      <c r="H759" s="3"/>
      <c r="I759" s="5"/>
      <c r="J759" s="5"/>
      <c r="K759" s="5"/>
      <c r="L759" s="3"/>
      <c r="M759" s="6"/>
      <c r="N759" s="9"/>
      <c r="O759" s="9"/>
      <c r="P759" s="12"/>
      <c r="Q759" s="12"/>
      <c r="R759" s="12"/>
      <c r="S759" s="12"/>
      <c r="T759" s="12"/>
      <c r="U759" s="12"/>
      <c r="V759" s="12"/>
      <c r="W759" s="12"/>
      <c r="X759" s="12"/>
      <c r="Y759" s="12"/>
      <c r="Z759" s="12"/>
    </row>
    <row r="760" spans="1:26" ht="14.25" customHeight="1" x14ac:dyDescent="0.3">
      <c r="A760" s="3"/>
      <c r="B760" s="8"/>
      <c r="C760" s="3"/>
      <c r="D760" s="3"/>
      <c r="E760" s="8"/>
      <c r="F760" s="3"/>
      <c r="G760" s="9"/>
      <c r="H760" s="3"/>
      <c r="I760" s="5"/>
      <c r="J760" s="5"/>
      <c r="K760" s="5"/>
      <c r="L760" s="3"/>
      <c r="M760" s="6"/>
      <c r="N760" s="9"/>
      <c r="O760" s="9"/>
      <c r="P760" s="12"/>
      <c r="Q760" s="12"/>
      <c r="R760" s="12"/>
      <c r="S760" s="12"/>
      <c r="T760" s="12"/>
      <c r="U760" s="12"/>
      <c r="V760" s="12"/>
      <c r="W760" s="12"/>
      <c r="X760" s="12"/>
      <c r="Y760" s="12"/>
      <c r="Z760" s="12"/>
    </row>
    <row r="761" spans="1:26" ht="14.25" customHeight="1" x14ac:dyDescent="0.3">
      <c r="A761" s="3"/>
      <c r="B761" s="8"/>
      <c r="C761" s="3"/>
      <c r="D761" s="3"/>
      <c r="E761" s="8"/>
      <c r="F761" s="3"/>
      <c r="G761" s="9"/>
      <c r="H761" s="3"/>
      <c r="I761" s="5"/>
      <c r="J761" s="5"/>
      <c r="K761" s="5"/>
      <c r="L761" s="3"/>
      <c r="M761" s="6"/>
      <c r="N761" s="9"/>
      <c r="O761" s="9"/>
      <c r="P761" s="12"/>
      <c r="Q761" s="12"/>
      <c r="R761" s="12"/>
      <c r="S761" s="12"/>
      <c r="T761" s="12"/>
      <c r="U761" s="12"/>
      <c r="V761" s="12"/>
      <c r="W761" s="12"/>
      <c r="X761" s="12"/>
      <c r="Y761" s="12"/>
      <c r="Z761" s="12"/>
    </row>
    <row r="762" spans="1:26" ht="14.25" customHeight="1" x14ac:dyDescent="0.3">
      <c r="A762" s="3"/>
      <c r="B762" s="8"/>
      <c r="C762" s="3"/>
      <c r="D762" s="3"/>
      <c r="E762" s="8"/>
      <c r="F762" s="3"/>
      <c r="G762" s="9"/>
      <c r="H762" s="3"/>
      <c r="I762" s="5"/>
      <c r="J762" s="5"/>
      <c r="K762" s="5"/>
      <c r="L762" s="3"/>
      <c r="M762" s="6"/>
      <c r="N762" s="9"/>
      <c r="O762" s="9"/>
      <c r="P762" s="12"/>
      <c r="Q762" s="12"/>
      <c r="R762" s="12"/>
      <c r="S762" s="12"/>
      <c r="T762" s="12"/>
      <c r="U762" s="12"/>
      <c r="V762" s="12"/>
      <c r="W762" s="12"/>
      <c r="X762" s="12"/>
      <c r="Y762" s="12"/>
      <c r="Z762" s="12"/>
    </row>
    <row r="763" spans="1:26" ht="14.25" customHeight="1" x14ac:dyDescent="0.3">
      <c r="A763" s="3"/>
      <c r="B763" s="8"/>
      <c r="C763" s="3"/>
      <c r="D763" s="3"/>
      <c r="E763" s="8"/>
      <c r="F763" s="3"/>
      <c r="G763" s="9"/>
      <c r="H763" s="3"/>
      <c r="I763" s="5"/>
      <c r="J763" s="5"/>
      <c r="K763" s="5"/>
      <c r="L763" s="3"/>
      <c r="M763" s="6"/>
      <c r="N763" s="9"/>
      <c r="O763" s="9"/>
      <c r="P763" s="12"/>
      <c r="Q763" s="12"/>
      <c r="R763" s="12"/>
      <c r="S763" s="12"/>
      <c r="T763" s="12"/>
      <c r="U763" s="12"/>
      <c r="V763" s="12"/>
      <c r="W763" s="12"/>
      <c r="X763" s="12"/>
      <c r="Y763" s="12"/>
      <c r="Z763" s="12"/>
    </row>
    <row r="764" spans="1:26" ht="14.25" customHeight="1" x14ac:dyDescent="0.3">
      <c r="A764" s="3"/>
      <c r="B764" s="8"/>
      <c r="C764" s="3"/>
      <c r="D764" s="3"/>
      <c r="E764" s="8"/>
      <c r="F764" s="3"/>
      <c r="G764" s="9"/>
      <c r="H764" s="3"/>
      <c r="I764" s="5"/>
      <c r="J764" s="5"/>
      <c r="K764" s="5"/>
      <c r="L764" s="3"/>
      <c r="M764" s="6"/>
      <c r="N764" s="9"/>
      <c r="O764" s="9"/>
      <c r="P764" s="12"/>
      <c r="Q764" s="12"/>
      <c r="R764" s="12"/>
      <c r="S764" s="12"/>
      <c r="T764" s="12"/>
      <c r="U764" s="12"/>
      <c r="V764" s="12"/>
      <c r="W764" s="12"/>
      <c r="X764" s="12"/>
      <c r="Y764" s="12"/>
      <c r="Z764" s="12"/>
    </row>
    <row r="765" spans="1:26" ht="14.25" customHeight="1" x14ac:dyDescent="0.3">
      <c r="A765" s="3"/>
      <c r="B765" s="8"/>
      <c r="C765" s="3"/>
      <c r="D765" s="3"/>
      <c r="E765" s="8"/>
      <c r="F765" s="3"/>
      <c r="G765" s="9"/>
      <c r="H765" s="3"/>
      <c r="I765" s="5"/>
      <c r="J765" s="5"/>
      <c r="K765" s="5"/>
      <c r="L765" s="3"/>
      <c r="M765" s="6"/>
      <c r="N765" s="9"/>
      <c r="O765" s="9"/>
      <c r="P765" s="12"/>
      <c r="Q765" s="12"/>
      <c r="R765" s="12"/>
      <c r="S765" s="12"/>
      <c r="T765" s="12"/>
      <c r="U765" s="12"/>
      <c r="V765" s="12"/>
      <c r="W765" s="12"/>
      <c r="X765" s="12"/>
      <c r="Y765" s="12"/>
      <c r="Z765" s="12"/>
    </row>
    <row r="766" spans="1:26" ht="14.25" customHeight="1" x14ac:dyDescent="0.3">
      <c r="A766" s="3"/>
      <c r="B766" s="8"/>
      <c r="C766" s="3"/>
      <c r="D766" s="3"/>
      <c r="E766" s="8"/>
      <c r="F766" s="3"/>
      <c r="G766" s="9"/>
      <c r="H766" s="3"/>
      <c r="I766" s="5"/>
      <c r="J766" s="5"/>
      <c r="K766" s="5"/>
      <c r="L766" s="3"/>
      <c r="M766" s="6"/>
      <c r="N766" s="9"/>
      <c r="O766" s="9"/>
      <c r="P766" s="12"/>
      <c r="Q766" s="12"/>
      <c r="R766" s="12"/>
      <c r="S766" s="12"/>
      <c r="T766" s="12"/>
      <c r="U766" s="12"/>
      <c r="V766" s="12"/>
      <c r="W766" s="12"/>
      <c r="X766" s="12"/>
      <c r="Y766" s="12"/>
      <c r="Z766" s="12"/>
    </row>
    <row r="767" spans="1:26" ht="14.25" customHeight="1" x14ac:dyDescent="0.3">
      <c r="A767" s="3"/>
      <c r="B767" s="8"/>
      <c r="C767" s="3"/>
      <c r="D767" s="3"/>
      <c r="E767" s="8"/>
      <c r="F767" s="3"/>
      <c r="G767" s="9"/>
      <c r="H767" s="3"/>
      <c r="I767" s="5"/>
      <c r="J767" s="5"/>
      <c r="K767" s="5"/>
      <c r="L767" s="3"/>
      <c r="M767" s="6"/>
      <c r="N767" s="9"/>
      <c r="O767" s="9"/>
      <c r="P767" s="12"/>
      <c r="Q767" s="12"/>
      <c r="R767" s="12"/>
      <c r="S767" s="12"/>
      <c r="T767" s="12"/>
      <c r="U767" s="12"/>
      <c r="V767" s="12"/>
      <c r="W767" s="12"/>
      <c r="X767" s="12"/>
      <c r="Y767" s="12"/>
      <c r="Z767" s="12"/>
    </row>
    <row r="768" spans="1:26" ht="14.25" customHeight="1" x14ac:dyDescent="0.3">
      <c r="A768" s="3"/>
      <c r="B768" s="8"/>
      <c r="C768" s="3"/>
      <c r="D768" s="3"/>
      <c r="E768" s="8"/>
      <c r="F768" s="3"/>
      <c r="G768" s="9"/>
      <c r="H768" s="3"/>
      <c r="I768" s="5"/>
      <c r="J768" s="5"/>
      <c r="K768" s="5"/>
      <c r="L768" s="3"/>
      <c r="M768" s="6"/>
      <c r="N768" s="9"/>
      <c r="O768" s="9"/>
      <c r="P768" s="12"/>
      <c r="Q768" s="12"/>
      <c r="R768" s="12"/>
      <c r="S768" s="12"/>
      <c r="T768" s="12"/>
      <c r="U768" s="12"/>
      <c r="V768" s="12"/>
      <c r="W768" s="12"/>
      <c r="X768" s="12"/>
      <c r="Y768" s="12"/>
      <c r="Z768" s="12"/>
    </row>
    <row r="769" spans="1:26" ht="14.25" customHeight="1" x14ac:dyDescent="0.3">
      <c r="A769" s="3"/>
      <c r="B769" s="8"/>
      <c r="C769" s="3"/>
      <c r="D769" s="3"/>
      <c r="E769" s="8"/>
      <c r="F769" s="3"/>
      <c r="G769" s="9"/>
      <c r="H769" s="3"/>
      <c r="I769" s="5"/>
      <c r="J769" s="5"/>
      <c r="K769" s="5"/>
      <c r="L769" s="3"/>
      <c r="M769" s="6"/>
      <c r="N769" s="9"/>
      <c r="O769" s="9"/>
      <c r="P769" s="12"/>
      <c r="Q769" s="12"/>
      <c r="R769" s="12"/>
      <c r="S769" s="12"/>
      <c r="T769" s="12"/>
      <c r="U769" s="12"/>
      <c r="V769" s="12"/>
      <c r="W769" s="12"/>
      <c r="X769" s="12"/>
      <c r="Y769" s="12"/>
      <c r="Z769" s="12"/>
    </row>
    <row r="770" spans="1:26" ht="14.25" customHeight="1" x14ac:dyDescent="0.3">
      <c r="A770" s="3"/>
      <c r="B770" s="8"/>
      <c r="C770" s="3"/>
      <c r="D770" s="3"/>
      <c r="E770" s="8"/>
      <c r="F770" s="3"/>
      <c r="G770" s="9"/>
      <c r="H770" s="3"/>
      <c r="I770" s="5"/>
      <c r="J770" s="5"/>
      <c r="K770" s="5"/>
      <c r="L770" s="3"/>
      <c r="M770" s="6"/>
      <c r="N770" s="9"/>
      <c r="O770" s="9"/>
      <c r="P770" s="12"/>
      <c r="Q770" s="12"/>
      <c r="R770" s="12"/>
      <c r="S770" s="12"/>
      <c r="T770" s="12"/>
      <c r="U770" s="12"/>
      <c r="V770" s="12"/>
      <c r="W770" s="12"/>
      <c r="X770" s="12"/>
      <c r="Y770" s="12"/>
      <c r="Z770" s="12"/>
    </row>
    <row r="771" spans="1:26" ht="14.25" customHeight="1" x14ac:dyDescent="0.3">
      <c r="A771" s="3"/>
      <c r="B771" s="8"/>
      <c r="C771" s="3"/>
      <c r="D771" s="3"/>
      <c r="E771" s="8"/>
      <c r="F771" s="3"/>
      <c r="G771" s="9"/>
      <c r="H771" s="3"/>
      <c r="I771" s="5"/>
      <c r="J771" s="5"/>
      <c r="K771" s="5"/>
      <c r="L771" s="3"/>
      <c r="M771" s="6"/>
      <c r="N771" s="9"/>
      <c r="O771" s="9"/>
      <c r="P771" s="12"/>
      <c r="Q771" s="12"/>
      <c r="R771" s="12"/>
      <c r="S771" s="12"/>
      <c r="T771" s="12"/>
      <c r="U771" s="12"/>
      <c r="V771" s="12"/>
      <c r="W771" s="12"/>
      <c r="X771" s="12"/>
      <c r="Y771" s="12"/>
      <c r="Z771" s="12"/>
    </row>
    <row r="772" spans="1:26" ht="14.25" customHeight="1" x14ac:dyDescent="0.3">
      <c r="A772" s="3"/>
      <c r="B772" s="8"/>
      <c r="C772" s="3"/>
      <c r="D772" s="3"/>
      <c r="E772" s="8"/>
      <c r="F772" s="3"/>
      <c r="G772" s="9"/>
      <c r="H772" s="3"/>
      <c r="I772" s="5"/>
      <c r="J772" s="5"/>
      <c r="K772" s="5"/>
      <c r="L772" s="3"/>
      <c r="M772" s="6"/>
      <c r="N772" s="9"/>
      <c r="O772" s="9"/>
      <c r="P772" s="12"/>
      <c r="Q772" s="12"/>
      <c r="R772" s="12"/>
      <c r="S772" s="12"/>
      <c r="T772" s="12"/>
      <c r="U772" s="12"/>
      <c r="V772" s="12"/>
      <c r="W772" s="12"/>
      <c r="X772" s="12"/>
      <c r="Y772" s="12"/>
      <c r="Z772" s="12"/>
    </row>
    <row r="773" spans="1:26" ht="14.25" customHeight="1" x14ac:dyDescent="0.3">
      <c r="A773" s="3"/>
      <c r="B773" s="8"/>
      <c r="C773" s="3"/>
      <c r="D773" s="3"/>
      <c r="E773" s="8"/>
      <c r="F773" s="3"/>
      <c r="G773" s="9"/>
      <c r="H773" s="3"/>
      <c r="I773" s="5"/>
      <c r="J773" s="5"/>
      <c r="K773" s="5"/>
      <c r="L773" s="3"/>
      <c r="M773" s="6"/>
      <c r="N773" s="9"/>
      <c r="O773" s="9"/>
      <c r="P773" s="12"/>
      <c r="Q773" s="12"/>
      <c r="R773" s="12"/>
      <c r="S773" s="12"/>
      <c r="T773" s="12"/>
      <c r="U773" s="12"/>
      <c r="V773" s="12"/>
      <c r="W773" s="12"/>
      <c r="X773" s="12"/>
      <c r="Y773" s="12"/>
      <c r="Z773" s="12"/>
    </row>
    <row r="774" spans="1:26" ht="14.25" customHeight="1" x14ac:dyDescent="0.3">
      <c r="A774" s="3"/>
      <c r="B774" s="8"/>
      <c r="C774" s="3"/>
      <c r="D774" s="3"/>
      <c r="E774" s="8"/>
      <c r="F774" s="3"/>
      <c r="G774" s="9"/>
      <c r="H774" s="3"/>
      <c r="I774" s="5"/>
      <c r="J774" s="5"/>
      <c r="K774" s="5"/>
      <c r="L774" s="3"/>
      <c r="M774" s="6"/>
      <c r="N774" s="9"/>
      <c r="O774" s="9"/>
      <c r="P774" s="12"/>
      <c r="Q774" s="12"/>
      <c r="R774" s="12"/>
      <c r="S774" s="12"/>
      <c r="T774" s="12"/>
      <c r="U774" s="12"/>
      <c r="V774" s="12"/>
      <c r="W774" s="12"/>
      <c r="X774" s="12"/>
      <c r="Y774" s="12"/>
      <c r="Z774" s="12"/>
    </row>
    <row r="775" spans="1:26" ht="14.25" customHeight="1" x14ac:dyDescent="0.3">
      <c r="A775" s="3"/>
      <c r="B775" s="8"/>
      <c r="C775" s="3"/>
      <c r="D775" s="3"/>
      <c r="E775" s="8"/>
      <c r="F775" s="3"/>
      <c r="G775" s="9"/>
      <c r="H775" s="3"/>
      <c r="I775" s="5"/>
      <c r="J775" s="5"/>
      <c r="K775" s="5"/>
      <c r="L775" s="3"/>
      <c r="M775" s="6"/>
      <c r="N775" s="9"/>
      <c r="O775" s="9"/>
      <c r="P775" s="12"/>
      <c r="Q775" s="12"/>
      <c r="R775" s="12"/>
      <c r="S775" s="12"/>
      <c r="T775" s="12"/>
      <c r="U775" s="12"/>
      <c r="V775" s="12"/>
      <c r="W775" s="12"/>
      <c r="X775" s="12"/>
      <c r="Y775" s="12"/>
      <c r="Z775" s="12"/>
    </row>
    <row r="776" spans="1:26" ht="14.25" customHeight="1" x14ac:dyDescent="0.3">
      <c r="A776" s="3"/>
      <c r="B776" s="8"/>
      <c r="C776" s="3"/>
      <c r="D776" s="3"/>
      <c r="E776" s="8"/>
      <c r="F776" s="3"/>
      <c r="G776" s="9"/>
      <c r="H776" s="3"/>
      <c r="I776" s="5"/>
      <c r="J776" s="5"/>
      <c r="K776" s="5"/>
      <c r="L776" s="3"/>
      <c r="M776" s="6"/>
      <c r="N776" s="9"/>
      <c r="O776" s="9"/>
      <c r="P776" s="12"/>
      <c r="Q776" s="12"/>
      <c r="R776" s="12"/>
      <c r="S776" s="12"/>
      <c r="T776" s="12"/>
      <c r="U776" s="12"/>
      <c r="V776" s="12"/>
      <c r="W776" s="12"/>
      <c r="X776" s="12"/>
      <c r="Y776" s="12"/>
      <c r="Z776" s="12"/>
    </row>
    <row r="777" spans="1:26" ht="14.25" customHeight="1" x14ac:dyDescent="0.3">
      <c r="A777" s="3"/>
      <c r="B777" s="8"/>
      <c r="C777" s="3"/>
      <c r="D777" s="3"/>
      <c r="E777" s="8"/>
      <c r="F777" s="3"/>
      <c r="G777" s="9"/>
      <c r="H777" s="3"/>
      <c r="I777" s="5"/>
      <c r="J777" s="5"/>
      <c r="K777" s="5"/>
      <c r="L777" s="3"/>
      <c r="M777" s="6"/>
      <c r="N777" s="9"/>
      <c r="O777" s="9"/>
      <c r="P777" s="12"/>
      <c r="Q777" s="12"/>
      <c r="R777" s="12"/>
      <c r="S777" s="12"/>
      <c r="T777" s="12"/>
      <c r="U777" s="12"/>
      <c r="V777" s="12"/>
      <c r="W777" s="12"/>
      <c r="X777" s="12"/>
      <c r="Y777" s="12"/>
      <c r="Z777" s="12"/>
    </row>
    <row r="778" spans="1:26" ht="14.25" customHeight="1" x14ac:dyDescent="0.3">
      <c r="A778" s="3"/>
      <c r="B778" s="8"/>
      <c r="C778" s="3"/>
      <c r="D778" s="3"/>
      <c r="E778" s="8"/>
      <c r="F778" s="3"/>
      <c r="G778" s="9"/>
      <c r="H778" s="3"/>
      <c r="I778" s="5"/>
      <c r="J778" s="5"/>
      <c r="K778" s="5"/>
      <c r="L778" s="3"/>
      <c r="M778" s="6"/>
      <c r="N778" s="9"/>
      <c r="O778" s="9"/>
      <c r="P778" s="12"/>
      <c r="Q778" s="12"/>
      <c r="R778" s="12"/>
      <c r="S778" s="12"/>
      <c r="T778" s="12"/>
      <c r="U778" s="12"/>
      <c r="V778" s="12"/>
      <c r="W778" s="12"/>
      <c r="X778" s="12"/>
      <c r="Y778" s="12"/>
      <c r="Z778" s="12"/>
    </row>
    <row r="779" spans="1:26" ht="14.25" customHeight="1" x14ac:dyDescent="0.3">
      <c r="A779" s="3"/>
      <c r="B779" s="8"/>
      <c r="C779" s="3"/>
      <c r="D779" s="3"/>
      <c r="E779" s="8"/>
      <c r="F779" s="3"/>
      <c r="G779" s="9"/>
      <c r="H779" s="3"/>
      <c r="I779" s="5"/>
      <c r="J779" s="5"/>
      <c r="K779" s="5"/>
      <c r="L779" s="3"/>
      <c r="M779" s="6"/>
      <c r="N779" s="9"/>
      <c r="O779" s="9"/>
      <c r="P779" s="12"/>
      <c r="Q779" s="12"/>
      <c r="R779" s="12"/>
      <c r="S779" s="12"/>
      <c r="T779" s="12"/>
      <c r="U779" s="12"/>
      <c r="V779" s="12"/>
      <c r="W779" s="12"/>
      <c r="X779" s="12"/>
      <c r="Y779" s="12"/>
      <c r="Z779" s="12"/>
    </row>
    <row r="780" spans="1:26" ht="14.25" customHeight="1" x14ac:dyDescent="0.3">
      <c r="A780" s="3"/>
      <c r="B780" s="8"/>
      <c r="C780" s="3"/>
      <c r="D780" s="3"/>
      <c r="E780" s="8"/>
      <c r="F780" s="3"/>
      <c r="G780" s="9"/>
      <c r="H780" s="3"/>
      <c r="I780" s="5"/>
      <c r="J780" s="5"/>
      <c r="K780" s="5"/>
      <c r="L780" s="3"/>
      <c r="M780" s="6"/>
      <c r="N780" s="9"/>
      <c r="O780" s="9"/>
      <c r="P780" s="12"/>
      <c r="Q780" s="12"/>
      <c r="R780" s="12"/>
      <c r="S780" s="12"/>
      <c r="T780" s="12"/>
      <c r="U780" s="12"/>
      <c r="V780" s="12"/>
      <c r="W780" s="12"/>
      <c r="X780" s="12"/>
      <c r="Y780" s="12"/>
      <c r="Z780" s="12"/>
    </row>
    <row r="781" spans="1:26" ht="14.25" customHeight="1" x14ac:dyDescent="0.3">
      <c r="A781" s="3"/>
      <c r="B781" s="8"/>
      <c r="C781" s="3"/>
      <c r="D781" s="3"/>
      <c r="E781" s="8"/>
      <c r="F781" s="3"/>
      <c r="G781" s="9"/>
      <c r="H781" s="3"/>
      <c r="I781" s="5"/>
      <c r="J781" s="5"/>
      <c r="K781" s="5"/>
      <c r="L781" s="3"/>
      <c r="M781" s="6"/>
      <c r="N781" s="9"/>
      <c r="O781" s="9"/>
      <c r="P781" s="12"/>
      <c r="Q781" s="12"/>
      <c r="R781" s="12"/>
      <c r="S781" s="12"/>
      <c r="T781" s="12"/>
      <c r="U781" s="12"/>
      <c r="V781" s="12"/>
      <c r="W781" s="12"/>
      <c r="X781" s="12"/>
      <c r="Y781" s="12"/>
      <c r="Z781" s="12"/>
    </row>
    <row r="782" spans="1:26" ht="14.25" customHeight="1" x14ac:dyDescent="0.3">
      <c r="A782" s="3"/>
      <c r="B782" s="8"/>
      <c r="C782" s="3"/>
      <c r="D782" s="3"/>
      <c r="E782" s="8"/>
      <c r="F782" s="3"/>
      <c r="G782" s="9"/>
      <c r="H782" s="3"/>
      <c r="I782" s="5"/>
      <c r="J782" s="5"/>
      <c r="K782" s="5"/>
      <c r="L782" s="3"/>
      <c r="M782" s="6"/>
      <c r="N782" s="9"/>
      <c r="O782" s="9"/>
      <c r="P782" s="12"/>
      <c r="Q782" s="12"/>
      <c r="R782" s="12"/>
      <c r="S782" s="12"/>
      <c r="T782" s="12"/>
      <c r="U782" s="12"/>
      <c r="V782" s="12"/>
      <c r="W782" s="12"/>
      <c r="X782" s="12"/>
      <c r="Y782" s="12"/>
      <c r="Z782" s="12"/>
    </row>
    <row r="783" spans="1:26" ht="14.25" customHeight="1" x14ac:dyDescent="0.3">
      <c r="A783" s="3"/>
      <c r="B783" s="8"/>
      <c r="C783" s="3"/>
      <c r="D783" s="3"/>
      <c r="E783" s="8"/>
      <c r="F783" s="3"/>
      <c r="G783" s="9"/>
      <c r="H783" s="3"/>
      <c r="I783" s="5"/>
      <c r="J783" s="5"/>
      <c r="K783" s="5"/>
      <c r="L783" s="3"/>
      <c r="M783" s="6"/>
      <c r="N783" s="9"/>
      <c r="O783" s="9"/>
      <c r="P783" s="12"/>
      <c r="Q783" s="12"/>
      <c r="R783" s="12"/>
      <c r="S783" s="12"/>
      <c r="T783" s="12"/>
      <c r="U783" s="12"/>
      <c r="V783" s="12"/>
      <c r="W783" s="12"/>
      <c r="X783" s="12"/>
      <c r="Y783" s="12"/>
      <c r="Z783" s="12"/>
    </row>
    <row r="784" spans="1:26" ht="14.25" customHeight="1" x14ac:dyDescent="0.3">
      <c r="A784" s="3"/>
      <c r="B784" s="8"/>
      <c r="C784" s="3"/>
      <c r="D784" s="3"/>
      <c r="E784" s="8"/>
      <c r="F784" s="3"/>
      <c r="G784" s="9"/>
      <c r="H784" s="3"/>
      <c r="I784" s="5"/>
      <c r="J784" s="5"/>
      <c r="K784" s="5"/>
      <c r="L784" s="3"/>
      <c r="M784" s="6"/>
      <c r="N784" s="9"/>
      <c r="O784" s="9"/>
      <c r="P784" s="12"/>
      <c r="Q784" s="12"/>
      <c r="R784" s="12"/>
      <c r="S784" s="12"/>
      <c r="T784" s="12"/>
      <c r="U784" s="12"/>
      <c r="V784" s="12"/>
      <c r="W784" s="12"/>
      <c r="X784" s="12"/>
      <c r="Y784" s="12"/>
      <c r="Z784" s="12"/>
    </row>
    <row r="785" spans="1:26" ht="14.25" customHeight="1" x14ac:dyDescent="0.3">
      <c r="A785" s="3"/>
      <c r="B785" s="8"/>
      <c r="C785" s="3"/>
      <c r="D785" s="3"/>
      <c r="E785" s="8"/>
      <c r="F785" s="3"/>
      <c r="G785" s="9"/>
      <c r="H785" s="3"/>
      <c r="I785" s="5"/>
      <c r="J785" s="5"/>
      <c r="K785" s="5"/>
      <c r="L785" s="3"/>
      <c r="M785" s="6"/>
      <c r="N785" s="9"/>
      <c r="O785" s="9"/>
      <c r="P785" s="12"/>
      <c r="Q785" s="12"/>
      <c r="R785" s="12"/>
      <c r="S785" s="12"/>
      <c r="T785" s="12"/>
      <c r="U785" s="12"/>
      <c r="V785" s="12"/>
      <c r="W785" s="12"/>
      <c r="X785" s="12"/>
      <c r="Y785" s="12"/>
      <c r="Z785" s="12"/>
    </row>
    <row r="786" spans="1:26" ht="14.25" customHeight="1" x14ac:dyDescent="0.3">
      <c r="A786" s="3"/>
      <c r="B786" s="8"/>
      <c r="C786" s="3"/>
      <c r="D786" s="3"/>
      <c r="E786" s="8"/>
      <c r="F786" s="3"/>
      <c r="G786" s="9"/>
      <c r="H786" s="3"/>
      <c r="I786" s="5"/>
      <c r="J786" s="5"/>
      <c r="K786" s="5"/>
      <c r="L786" s="3"/>
      <c r="M786" s="6"/>
      <c r="N786" s="9"/>
      <c r="O786" s="9"/>
      <c r="P786" s="12"/>
      <c r="Q786" s="12"/>
      <c r="R786" s="12"/>
      <c r="S786" s="12"/>
      <c r="T786" s="12"/>
      <c r="U786" s="12"/>
      <c r="V786" s="12"/>
      <c r="W786" s="12"/>
      <c r="X786" s="12"/>
      <c r="Y786" s="12"/>
      <c r="Z786" s="12"/>
    </row>
    <row r="787" spans="1:26" ht="14.25" customHeight="1" x14ac:dyDescent="0.3">
      <c r="A787" s="3"/>
      <c r="B787" s="8"/>
      <c r="C787" s="3"/>
      <c r="D787" s="3"/>
      <c r="E787" s="8"/>
      <c r="F787" s="3"/>
      <c r="G787" s="9"/>
      <c r="H787" s="3"/>
      <c r="I787" s="5"/>
      <c r="J787" s="5"/>
      <c r="K787" s="5"/>
      <c r="L787" s="3"/>
      <c r="M787" s="6"/>
      <c r="N787" s="9"/>
      <c r="O787" s="9"/>
      <c r="P787" s="12"/>
      <c r="Q787" s="12"/>
      <c r="R787" s="12"/>
      <c r="S787" s="12"/>
      <c r="T787" s="12"/>
      <c r="U787" s="12"/>
      <c r="V787" s="12"/>
      <c r="W787" s="12"/>
      <c r="X787" s="12"/>
      <c r="Y787" s="12"/>
      <c r="Z787" s="12"/>
    </row>
    <row r="788" spans="1:26" ht="14.25" customHeight="1" x14ac:dyDescent="0.3">
      <c r="A788" s="3"/>
      <c r="B788" s="8"/>
      <c r="C788" s="3"/>
      <c r="D788" s="3"/>
      <c r="E788" s="8"/>
      <c r="F788" s="3"/>
      <c r="G788" s="9"/>
      <c r="H788" s="3"/>
      <c r="I788" s="5"/>
      <c r="J788" s="5"/>
      <c r="K788" s="5"/>
      <c r="L788" s="3"/>
      <c r="M788" s="6"/>
      <c r="N788" s="9"/>
      <c r="O788" s="9"/>
      <c r="P788" s="12"/>
      <c r="Q788" s="12"/>
      <c r="R788" s="12"/>
      <c r="S788" s="12"/>
      <c r="T788" s="12"/>
      <c r="U788" s="12"/>
      <c r="V788" s="12"/>
      <c r="W788" s="12"/>
      <c r="X788" s="12"/>
      <c r="Y788" s="12"/>
      <c r="Z788" s="12"/>
    </row>
    <row r="789" spans="1:26" ht="14.25" customHeight="1" x14ac:dyDescent="0.3">
      <c r="A789" s="3"/>
      <c r="B789" s="8"/>
      <c r="C789" s="3"/>
      <c r="D789" s="3"/>
      <c r="E789" s="8"/>
      <c r="F789" s="3"/>
      <c r="G789" s="9"/>
      <c r="H789" s="3"/>
      <c r="I789" s="5"/>
      <c r="J789" s="5"/>
      <c r="K789" s="5"/>
      <c r="L789" s="3"/>
      <c r="M789" s="6"/>
      <c r="N789" s="9"/>
      <c r="O789" s="9"/>
      <c r="P789" s="12"/>
      <c r="Q789" s="12"/>
      <c r="R789" s="12"/>
      <c r="S789" s="12"/>
      <c r="T789" s="12"/>
      <c r="U789" s="12"/>
      <c r="V789" s="12"/>
      <c r="W789" s="12"/>
      <c r="X789" s="12"/>
      <c r="Y789" s="12"/>
      <c r="Z789" s="12"/>
    </row>
    <row r="790" spans="1:26" ht="14.25" customHeight="1" x14ac:dyDescent="0.3">
      <c r="A790" s="3"/>
      <c r="B790" s="8"/>
      <c r="C790" s="3"/>
      <c r="D790" s="3"/>
      <c r="E790" s="8"/>
      <c r="F790" s="3"/>
      <c r="G790" s="9"/>
      <c r="H790" s="3"/>
      <c r="I790" s="5"/>
      <c r="J790" s="5"/>
      <c r="K790" s="5"/>
      <c r="L790" s="3"/>
      <c r="M790" s="6"/>
      <c r="N790" s="9"/>
      <c r="O790" s="9"/>
      <c r="P790" s="12"/>
      <c r="Q790" s="12"/>
      <c r="R790" s="12"/>
      <c r="S790" s="12"/>
      <c r="T790" s="12"/>
      <c r="U790" s="12"/>
      <c r="V790" s="12"/>
      <c r="W790" s="12"/>
      <c r="X790" s="12"/>
      <c r="Y790" s="12"/>
      <c r="Z790" s="12"/>
    </row>
    <row r="791" spans="1:26" ht="14.25" customHeight="1" x14ac:dyDescent="0.3">
      <c r="A791" s="3"/>
      <c r="B791" s="8"/>
      <c r="C791" s="3"/>
      <c r="D791" s="3"/>
      <c r="E791" s="8"/>
      <c r="F791" s="3"/>
      <c r="G791" s="9"/>
      <c r="H791" s="3"/>
      <c r="I791" s="5"/>
      <c r="J791" s="5"/>
      <c r="K791" s="5"/>
      <c r="L791" s="3"/>
      <c r="M791" s="6"/>
      <c r="N791" s="9"/>
      <c r="O791" s="9"/>
      <c r="P791" s="12"/>
      <c r="Q791" s="12"/>
      <c r="R791" s="12"/>
      <c r="S791" s="12"/>
      <c r="T791" s="12"/>
      <c r="U791" s="12"/>
      <c r="V791" s="12"/>
      <c r="W791" s="12"/>
      <c r="X791" s="12"/>
      <c r="Y791" s="12"/>
      <c r="Z791" s="12"/>
    </row>
    <row r="792" spans="1:26" ht="14.25" customHeight="1" x14ac:dyDescent="0.3">
      <c r="A792" s="3"/>
      <c r="B792" s="8"/>
      <c r="C792" s="3"/>
      <c r="D792" s="3"/>
      <c r="E792" s="8"/>
      <c r="F792" s="3"/>
      <c r="G792" s="9"/>
      <c r="H792" s="3"/>
      <c r="I792" s="5"/>
      <c r="J792" s="5"/>
      <c r="K792" s="5"/>
      <c r="L792" s="3"/>
      <c r="M792" s="6"/>
      <c r="N792" s="9"/>
      <c r="O792" s="9"/>
      <c r="P792" s="12"/>
      <c r="Q792" s="12"/>
      <c r="R792" s="12"/>
      <c r="S792" s="12"/>
      <c r="T792" s="12"/>
      <c r="U792" s="12"/>
      <c r="V792" s="12"/>
      <c r="W792" s="12"/>
      <c r="X792" s="12"/>
      <c r="Y792" s="12"/>
      <c r="Z792" s="12"/>
    </row>
    <row r="793" spans="1:26" ht="14.25" customHeight="1" x14ac:dyDescent="0.3">
      <c r="A793" s="3"/>
      <c r="B793" s="8"/>
      <c r="C793" s="3"/>
      <c r="D793" s="3"/>
      <c r="E793" s="8"/>
      <c r="F793" s="3"/>
      <c r="G793" s="9"/>
      <c r="H793" s="3"/>
      <c r="I793" s="5"/>
      <c r="J793" s="5"/>
      <c r="K793" s="5"/>
      <c r="L793" s="3"/>
      <c r="M793" s="6"/>
      <c r="N793" s="9"/>
      <c r="O793" s="9"/>
      <c r="P793" s="12"/>
      <c r="Q793" s="12"/>
      <c r="R793" s="12"/>
      <c r="S793" s="12"/>
      <c r="T793" s="12"/>
      <c r="U793" s="12"/>
      <c r="V793" s="12"/>
      <c r="W793" s="12"/>
      <c r="X793" s="12"/>
      <c r="Y793" s="12"/>
      <c r="Z793" s="12"/>
    </row>
    <row r="794" spans="1:26" ht="14.25" customHeight="1" x14ac:dyDescent="0.3">
      <c r="A794" s="3"/>
      <c r="B794" s="8"/>
      <c r="C794" s="3"/>
      <c r="D794" s="3"/>
      <c r="E794" s="8"/>
      <c r="F794" s="3"/>
      <c r="G794" s="9"/>
      <c r="H794" s="3"/>
      <c r="I794" s="5"/>
      <c r="J794" s="5"/>
      <c r="K794" s="5"/>
      <c r="L794" s="3"/>
      <c r="M794" s="6"/>
      <c r="N794" s="9"/>
      <c r="O794" s="9"/>
      <c r="P794" s="12"/>
      <c r="Q794" s="12"/>
      <c r="R794" s="12"/>
      <c r="S794" s="12"/>
      <c r="T794" s="12"/>
      <c r="U794" s="12"/>
      <c r="V794" s="12"/>
      <c r="W794" s="12"/>
      <c r="X794" s="12"/>
      <c r="Y794" s="12"/>
      <c r="Z794" s="12"/>
    </row>
    <row r="795" spans="1:26" ht="14.25" customHeight="1" x14ac:dyDescent="0.3">
      <c r="A795" s="3"/>
      <c r="B795" s="8"/>
      <c r="C795" s="3"/>
      <c r="D795" s="3"/>
      <c r="E795" s="8"/>
      <c r="F795" s="3"/>
      <c r="G795" s="9"/>
      <c r="H795" s="3"/>
      <c r="I795" s="5"/>
      <c r="J795" s="5"/>
      <c r="K795" s="5"/>
      <c r="L795" s="3"/>
      <c r="M795" s="6"/>
      <c r="N795" s="9"/>
      <c r="O795" s="9"/>
      <c r="P795" s="12"/>
      <c r="Q795" s="12"/>
      <c r="R795" s="12"/>
      <c r="S795" s="12"/>
      <c r="T795" s="12"/>
      <c r="U795" s="12"/>
      <c r="V795" s="12"/>
      <c r="W795" s="12"/>
      <c r="X795" s="12"/>
      <c r="Y795" s="12"/>
      <c r="Z795" s="12"/>
    </row>
    <row r="796" spans="1:26" ht="14.25" customHeight="1" x14ac:dyDescent="0.3">
      <c r="A796" s="3"/>
      <c r="B796" s="8"/>
      <c r="C796" s="3"/>
      <c r="D796" s="3"/>
      <c r="E796" s="8"/>
      <c r="F796" s="3"/>
      <c r="G796" s="9"/>
      <c r="H796" s="3"/>
      <c r="I796" s="5"/>
      <c r="J796" s="5"/>
      <c r="K796" s="5"/>
      <c r="L796" s="3"/>
      <c r="M796" s="6"/>
      <c r="N796" s="9"/>
      <c r="O796" s="9"/>
      <c r="P796" s="12"/>
      <c r="Q796" s="12"/>
      <c r="R796" s="12"/>
      <c r="S796" s="12"/>
      <c r="T796" s="12"/>
      <c r="U796" s="12"/>
      <c r="V796" s="12"/>
      <c r="W796" s="12"/>
      <c r="X796" s="12"/>
      <c r="Y796" s="12"/>
      <c r="Z796" s="12"/>
    </row>
    <row r="797" spans="1:26" ht="14.25" customHeight="1" x14ac:dyDescent="0.3">
      <c r="A797" s="3"/>
      <c r="B797" s="8"/>
      <c r="C797" s="3"/>
      <c r="D797" s="3"/>
      <c r="E797" s="8"/>
      <c r="F797" s="3"/>
      <c r="G797" s="9"/>
      <c r="H797" s="3"/>
      <c r="I797" s="5"/>
      <c r="J797" s="5"/>
      <c r="K797" s="5"/>
      <c r="L797" s="3"/>
      <c r="M797" s="6"/>
      <c r="N797" s="9"/>
      <c r="O797" s="9"/>
      <c r="P797" s="12"/>
      <c r="Q797" s="12"/>
      <c r="R797" s="12"/>
      <c r="S797" s="12"/>
      <c r="T797" s="12"/>
      <c r="U797" s="12"/>
      <c r="V797" s="12"/>
      <c r="W797" s="12"/>
      <c r="X797" s="12"/>
      <c r="Y797" s="12"/>
      <c r="Z797" s="12"/>
    </row>
    <row r="798" spans="1:26" ht="14.25" customHeight="1" x14ac:dyDescent="0.3">
      <c r="A798" s="3"/>
      <c r="B798" s="8"/>
      <c r="C798" s="3"/>
      <c r="D798" s="3"/>
      <c r="E798" s="8"/>
      <c r="F798" s="3"/>
      <c r="G798" s="9"/>
      <c r="H798" s="3"/>
      <c r="I798" s="5"/>
      <c r="J798" s="5"/>
      <c r="K798" s="5"/>
      <c r="L798" s="3"/>
      <c r="M798" s="6"/>
      <c r="N798" s="9"/>
      <c r="O798" s="9"/>
      <c r="P798" s="12"/>
      <c r="Q798" s="12"/>
      <c r="R798" s="12"/>
      <c r="S798" s="12"/>
      <c r="T798" s="12"/>
      <c r="U798" s="12"/>
      <c r="V798" s="12"/>
      <c r="W798" s="12"/>
      <c r="X798" s="12"/>
      <c r="Y798" s="12"/>
      <c r="Z798" s="12"/>
    </row>
    <row r="799" spans="1:26" ht="14.25" customHeight="1" x14ac:dyDescent="0.3">
      <c r="A799" s="3"/>
      <c r="B799" s="8"/>
      <c r="C799" s="3"/>
      <c r="D799" s="3"/>
      <c r="E799" s="8"/>
      <c r="F799" s="3"/>
      <c r="G799" s="9"/>
      <c r="H799" s="3"/>
      <c r="I799" s="5"/>
      <c r="J799" s="5"/>
      <c r="K799" s="5"/>
      <c r="L799" s="3"/>
      <c r="M799" s="6"/>
      <c r="N799" s="9"/>
      <c r="O799" s="9"/>
      <c r="P799" s="12"/>
      <c r="Q799" s="12"/>
      <c r="R799" s="12"/>
      <c r="S799" s="12"/>
      <c r="T799" s="12"/>
      <c r="U799" s="12"/>
      <c r="V799" s="12"/>
      <c r="W799" s="12"/>
      <c r="X799" s="12"/>
      <c r="Y799" s="12"/>
      <c r="Z799" s="12"/>
    </row>
    <row r="800" spans="1:26" ht="14.25" customHeight="1" x14ac:dyDescent="0.3">
      <c r="A800" s="3"/>
      <c r="B800" s="8"/>
      <c r="C800" s="3"/>
      <c r="D800" s="3"/>
      <c r="E800" s="8"/>
      <c r="F800" s="3"/>
      <c r="G800" s="9"/>
      <c r="H800" s="3"/>
      <c r="I800" s="5"/>
      <c r="J800" s="5"/>
      <c r="K800" s="5"/>
      <c r="L800" s="3"/>
      <c r="M800" s="6"/>
      <c r="N800" s="9"/>
      <c r="O800" s="9"/>
      <c r="P800" s="12"/>
      <c r="Q800" s="12"/>
      <c r="R800" s="12"/>
      <c r="S800" s="12"/>
      <c r="T800" s="12"/>
      <c r="U800" s="12"/>
      <c r="V800" s="12"/>
      <c r="W800" s="12"/>
      <c r="X800" s="12"/>
      <c r="Y800" s="12"/>
      <c r="Z800" s="12"/>
    </row>
    <row r="801" spans="1:26" ht="14.25" customHeight="1" x14ac:dyDescent="0.3">
      <c r="A801" s="3"/>
      <c r="B801" s="8"/>
      <c r="C801" s="3"/>
      <c r="D801" s="3"/>
      <c r="E801" s="8"/>
      <c r="F801" s="3"/>
      <c r="G801" s="9"/>
      <c r="H801" s="3"/>
      <c r="I801" s="5"/>
      <c r="J801" s="5"/>
      <c r="K801" s="5"/>
      <c r="L801" s="3"/>
      <c r="M801" s="6"/>
      <c r="N801" s="9"/>
      <c r="O801" s="9"/>
      <c r="P801" s="12"/>
      <c r="Q801" s="12"/>
      <c r="R801" s="12"/>
      <c r="S801" s="12"/>
      <c r="T801" s="12"/>
      <c r="U801" s="12"/>
      <c r="V801" s="12"/>
      <c r="W801" s="12"/>
      <c r="X801" s="12"/>
      <c r="Y801" s="12"/>
      <c r="Z801" s="12"/>
    </row>
    <row r="802" spans="1:26" ht="14.25" customHeight="1" x14ac:dyDescent="0.3">
      <c r="A802" s="3"/>
      <c r="B802" s="8"/>
      <c r="C802" s="3"/>
      <c r="D802" s="3"/>
      <c r="E802" s="8"/>
      <c r="F802" s="3"/>
      <c r="G802" s="9"/>
      <c r="H802" s="3"/>
      <c r="I802" s="5"/>
      <c r="J802" s="5"/>
      <c r="K802" s="5"/>
      <c r="L802" s="3"/>
      <c r="M802" s="6"/>
      <c r="N802" s="9"/>
      <c r="O802" s="9"/>
      <c r="P802" s="12"/>
      <c r="Q802" s="12"/>
      <c r="R802" s="12"/>
      <c r="S802" s="12"/>
      <c r="T802" s="12"/>
      <c r="U802" s="12"/>
      <c r="V802" s="12"/>
      <c r="W802" s="12"/>
      <c r="X802" s="12"/>
      <c r="Y802" s="12"/>
      <c r="Z802" s="12"/>
    </row>
    <row r="803" spans="1:26" ht="14.25" customHeight="1" x14ac:dyDescent="0.3">
      <c r="A803" s="3"/>
      <c r="B803" s="8"/>
      <c r="C803" s="3"/>
      <c r="D803" s="3"/>
      <c r="E803" s="8"/>
      <c r="F803" s="3"/>
      <c r="G803" s="9"/>
      <c r="H803" s="3"/>
      <c r="I803" s="5"/>
      <c r="J803" s="5"/>
      <c r="K803" s="5"/>
      <c r="L803" s="3"/>
      <c r="M803" s="6"/>
      <c r="N803" s="9"/>
      <c r="O803" s="9"/>
      <c r="P803" s="12"/>
      <c r="Q803" s="12"/>
      <c r="R803" s="12"/>
      <c r="S803" s="12"/>
      <c r="T803" s="12"/>
      <c r="U803" s="12"/>
      <c r="V803" s="12"/>
      <c r="W803" s="12"/>
      <c r="X803" s="12"/>
      <c r="Y803" s="12"/>
      <c r="Z803" s="12"/>
    </row>
    <row r="804" spans="1:26" ht="14.25" customHeight="1" x14ac:dyDescent="0.3">
      <c r="A804" s="3"/>
      <c r="B804" s="8"/>
      <c r="C804" s="3"/>
      <c r="D804" s="3"/>
      <c r="E804" s="8"/>
      <c r="F804" s="3"/>
      <c r="G804" s="9"/>
      <c r="H804" s="3"/>
      <c r="I804" s="5"/>
      <c r="J804" s="5"/>
      <c r="K804" s="5"/>
      <c r="L804" s="3"/>
      <c r="M804" s="6"/>
      <c r="N804" s="9"/>
      <c r="O804" s="9"/>
      <c r="P804" s="12"/>
      <c r="Q804" s="12"/>
      <c r="R804" s="12"/>
      <c r="S804" s="12"/>
      <c r="T804" s="12"/>
      <c r="U804" s="12"/>
      <c r="V804" s="12"/>
      <c r="W804" s="12"/>
      <c r="X804" s="12"/>
      <c r="Y804" s="12"/>
      <c r="Z804" s="12"/>
    </row>
    <row r="805" spans="1:26" ht="14.25" customHeight="1" x14ac:dyDescent="0.3">
      <c r="A805" s="3"/>
      <c r="B805" s="8"/>
      <c r="C805" s="3"/>
      <c r="D805" s="3"/>
      <c r="E805" s="8"/>
      <c r="F805" s="3"/>
      <c r="G805" s="9"/>
      <c r="H805" s="3"/>
      <c r="I805" s="5"/>
      <c r="J805" s="5"/>
      <c r="K805" s="5"/>
      <c r="L805" s="3"/>
      <c r="M805" s="6"/>
      <c r="N805" s="9"/>
      <c r="O805" s="9"/>
      <c r="P805" s="12"/>
      <c r="Q805" s="12"/>
      <c r="R805" s="12"/>
      <c r="S805" s="12"/>
      <c r="T805" s="12"/>
      <c r="U805" s="12"/>
      <c r="V805" s="12"/>
      <c r="W805" s="12"/>
      <c r="X805" s="12"/>
      <c r="Y805" s="12"/>
      <c r="Z805" s="12"/>
    </row>
    <row r="806" spans="1:26" ht="14.25" customHeight="1" x14ac:dyDescent="0.3">
      <c r="A806" s="3"/>
      <c r="B806" s="8"/>
      <c r="C806" s="3"/>
      <c r="D806" s="3"/>
      <c r="E806" s="8"/>
      <c r="F806" s="3"/>
      <c r="G806" s="9"/>
      <c r="H806" s="3"/>
      <c r="I806" s="5"/>
      <c r="J806" s="5"/>
      <c r="K806" s="5"/>
      <c r="L806" s="3"/>
      <c r="M806" s="6"/>
      <c r="N806" s="9"/>
      <c r="O806" s="9"/>
      <c r="P806" s="12"/>
      <c r="Q806" s="12"/>
      <c r="R806" s="12"/>
      <c r="S806" s="12"/>
      <c r="T806" s="12"/>
      <c r="U806" s="12"/>
      <c r="V806" s="12"/>
      <c r="W806" s="12"/>
      <c r="X806" s="12"/>
      <c r="Y806" s="12"/>
      <c r="Z806" s="12"/>
    </row>
    <row r="807" spans="1:26" ht="14.25" customHeight="1" x14ac:dyDescent="0.3">
      <c r="A807" s="3"/>
      <c r="B807" s="8"/>
      <c r="C807" s="3"/>
      <c r="D807" s="3"/>
      <c r="E807" s="8"/>
      <c r="F807" s="3"/>
      <c r="G807" s="9"/>
      <c r="H807" s="3"/>
      <c r="I807" s="5"/>
      <c r="J807" s="5"/>
      <c r="K807" s="5"/>
      <c r="L807" s="3"/>
      <c r="M807" s="6"/>
      <c r="N807" s="9"/>
      <c r="O807" s="9"/>
      <c r="P807" s="12"/>
      <c r="Q807" s="12"/>
      <c r="R807" s="12"/>
      <c r="S807" s="12"/>
      <c r="T807" s="12"/>
      <c r="U807" s="12"/>
      <c r="V807" s="12"/>
      <c r="W807" s="12"/>
      <c r="X807" s="12"/>
      <c r="Y807" s="12"/>
      <c r="Z807" s="12"/>
    </row>
    <row r="808" spans="1:26" ht="14.25" customHeight="1" x14ac:dyDescent="0.3">
      <c r="A808" s="3"/>
      <c r="B808" s="8"/>
      <c r="C808" s="3"/>
      <c r="D808" s="3"/>
      <c r="E808" s="8"/>
      <c r="F808" s="3"/>
      <c r="G808" s="9"/>
      <c r="H808" s="3"/>
      <c r="I808" s="5"/>
      <c r="J808" s="5"/>
      <c r="K808" s="5"/>
      <c r="L808" s="3"/>
      <c r="M808" s="6"/>
      <c r="N808" s="9"/>
      <c r="O808" s="9"/>
      <c r="P808" s="12"/>
      <c r="Q808" s="12"/>
      <c r="R808" s="12"/>
      <c r="S808" s="12"/>
      <c r="T808" s="12"/>
      <c r="U808" s="12"/>
      <c r="V808" s="12"/>
      <c r="W808" s="12"/>
      <c r="X808" s="12"/>
      <c r="Y808" s="12"/>
      <c r="Z808" s="12"/>
    </row>
    <row r="809" spans="1:26" ht="14.25" customHeight="1" x14ac:dyDescent="0.3">
      <c r="A809" s="3"/>
      <c r="B809" s="8"/>
      <c r="C809" s="3"/>
      <c r="D809" s="3"/>
      <c r="E809" s="8"/>
      <c r="F809" s="3"/>
      <c r="G809" s="9"/>
      <c r="H809" s="3"/>
      <c r="I809" s="5"/>
      <c r="J809" s="5"/>
      <c r="K809" s="5"/>
      <c r="L809" s="3"/>
      <c r="M809" s="6"/>
      <c r="N809" s="9"/>
      <c r="O809" s="9"/>
      <c r="P809" s="12"/>
      <c r="Q809" s="12"/>
      <c r="R809" s="12"/>
      <c r="S809" s="12"/>
      <c r="T809" s="12"/>
      <c r="U809" s="12"/>
      <c r="V809" s="12"/>
      <c r="W809" s="12"/>
      <c r="X809" s="12"/>
      <c r="Y809" s="12"/>
      <c r="Z809" s="12"/>
    </row>
    <row r="810" spans="1:26" ht="14.25" customHeight="1" x14ac:dyDescent="0.3">
      <c r="A810" s="3"/>
      <c r="B810" s="8"/>
      <c r="C810" s="3"/>
      <c r="D810" s="3"/>
      <c r="E810" s="8"/>
      <c r="F810" s="3"/>
      <c r="G810" s="9"/>
      <c r="H810" s="3"/>
      <c r="I810" s="5"/>
      <c r="J810" s="5"/>
      <c r="K810" s="5"/>
      <c r="L810" s="3"/>
      <c r="M810" s="6"/>
      <c r="N810" s="9"/>
      <c r="O810" s="9"/>
      <c r="P810" s="12"/>
      <c r="Q810" s="12"/>
      <c r="R810" s="12"/>
      <c r="S810" s="12"/>
      <c r="T810" s="12"/>
      <c r="U810" s="12"/>
      <c r="V810" s="12"/>
      <c r="W810" s="12"/>
      <c r="X810" s="12"/>
      <c r="Y810" s="12"/>
      <c r="Z810" s="12"/>
    </row>
    <row r="811" spans="1:26" ht="14.25" customHeight="1" x14ac:dyDescent="0.3">
      <c r="A811" s="3"/>
      <c r="B811" s="8"/>
      <c r="C811" s="3"/>
      <c r="D811" s="3"/>
      <c r="E811" s="8"/>
      <c r="F811" s="3"/>
      <c r="G811" s="9"/>
      <c r="H811" s="3"/>
      <c r="I811" s="5"/>
      <c r="J811" s="5"/>
      <c r="K811" s="5"/>
      <c r="L811" s="3"/>
      <c r="M811" s="6"/>
      <c r="N811" s="9"/>
      <c r="O811" s="9"/>
      <c r="P811" s="12"/>
      <c r="Q811" s="12"/>
      <c r="R811" s="12"/>
      <c r="S811" s="12"/>
      <c r="T811" s="12"/>
      <c r="U811" s="12"/>
      <c r="V811" s="12"/>
      <c r="W811" s="12"/>
      <c r="X811" s="12"/>
      <c r="Y811" s="12"/>
      <c r="Z811" s="12"/>
    </row>
    <row r="812" spans="1:26" ht="14.25" customHeight="1" x14ac:dyDescent="0.3">
      <c r="A812" s="3"/>
      <c r="B812" s="8"/>
      <c r="C812" s="3"/>
      <c r="D812" s="3"/>
      <c r="E812" s="8"/>
      <c r="F812" s="3"/>
      <c r="G812" s="9"/>
      <c r="H812" s="3"/>
      <c r="I812" s="5"/>
      <c r="J812" s="5"/>
      <c r="K812" s="5"/>
      <c r="L812" s="3"/>
      <c r="M812" s="6"/>
      <c r="N812" s="9"/>
      <c r="O812" s="9"/>
      <c r="P812" s="12"/>
      <c r="Q812" s="12"/>
      <c r="R812" s="12"/>
      <c r="S812" s="12"/>
      <c r="T812" s="12"/>
      <c r="U812" s="12"/>
      <c r="V812" s="12"/>
      <c r="W812" s="12"/>
      <c r="X812" s="12"/>
      <c r="Y812" s="12"/>
      <c r="Z812" s="12"/>
    </row>
    <row r="813" spans="1:26" ht="14.25" customHeight="1" x14ac:dyDescent="0.3">
      <c r="A813" s="3"/>
      <c r="B813" s="8"/>
      <c r="C813" s="3"/>
      <c r="D813" s="3"/>
      <c r="E813" s="8"/>
      <c r="F813" s="3"/>
      <c r="G813" s="9"/>
      <c r="H813" s="3"/>
      <c r="I813" s="5"/>
      <c r="J813" s="5"/>
      <c r="K813" s="5"/>
      <c r="L813" s="3"/>
      <c r="M813" s="6"/>
      <c r="N813" s="9"/>
      <c r="O813" s="9"/>
      <c r="P813" s="12"/>
      <c r="Q813" s="12"/>
      <c r="R813" s="12"/>
      <c r="S813" s="12"/>
      <c r="T813" s="12"/>
      <c r="U813" s="12"/>
      <c r="V813" s="12"/>
      <c r="W813" s="12"/>
      <c r="X813" s="12"/>
      <c r="Y813" s="12"/>
      <c r="Z813" s="12"/>
    </row>
    <row r="814" spans="1:26" ht="14.25" customHeight="1" x14ac:dyDescent="0.3">
      <c r="A814" s="3"/>
      <c r="B814" s="8"/>
      <c r="C814" s="3"/>
      <c r="D814" s="3"/>
      <c r="E814" s="8"/>
      <c r="F814" s="3"/>
      <c r="G814" s="9"/>
      <c r="H814" s="3"/>
      <c r="I814" s="5"/>
      <c r="J814" s="5"/>
      <c r="K814" s="5"/>
      <c r="L814" s="3"/>
      <c r="M814" s="6"/>
      <c r="N814" s="9"/>
      <c r="O814" s="9"/>
      <c r="P814" s="12"/>
      <c r="Q814" s="12"/>
      <c r="R814" s="12"/>
      <c r="S814" s="12"/>
      <c r="T814" s="12"/>
      <c r="U814" s="12"/>
      <c r="V814" s="12"/>
      <c r="W814" s="12"/>
      <c r="X814" s="12"/>
      <c r="Y814" s="12"/>
      <c r="Z814" s="12"/>
    </row>
    <row r="815" spans="1:26" ht="14.25" customHeight="1" x14ac:dyDescent="0.3">
      <c r="A815" s="3"/>
      <c r="B815" s="8"/>
      <c r="C815" s="3"/>
      <c r="D815" s="3"/>
      <c r="E815" s="8"/>
      <c r="F815" s="3"/>
      <c r="G815" s="9"/>
      <c r="H815" s="3"/>
      <c r="I815" s="5"/>
      <c r="J815" s="5"/>
      <c r="K815" s="5"/>
      <c r="L815" s="3"/>
      <c r="M815" s="6"/>
      <c r="N815" s="9"/>
      <c r="O815" s="9"/>
      <c r="P815" s="12"/>
      <c r="Q815" s="12"/>
      <c r="R815" s="12"/>
      <c r="S815" s="12"/>
      <c r="T815" s="12"/>
      <c r="U815" s="12"/>
      <c r="V815" s="12"/>
      <c r="W815" s="12"/>
      <c r="X815" s="12"/>
      <c r="Y815" s="12"/>
      <c r="Z815" s="12"/>
    </row>
    <row r="816" spans="1:26" ht="14.25" customHeight="1" x14ac:dyDescent="0.3">
      <c r="A816" s="3"/>
      <c r="B816" s="8"/>
      <c r="C816" s="3"/>
      <c r="D816" s="3"/>
      <c r="E816" s="8"/>
      <c r="F816" s="3"/>
      <c r="G816" s="9"/>
      <c r="H816" s="3"/>
      <c r="I816" s="5"/>
      <c r="J816" s="5"/>
      <c r="K816" s="5"/>
      <c r="L816" s="3"/>
      <c r="M816" s="6"/>
      <c r="N816" s="9"/>
      <c r="O816" s="9"/>
      <c r="P816" s="12"/>
      <c r="Q816" s="12"/>
      <c r="R816" s="12"/>
      <c r="S816" s="12"/>
      <c r="T816" s="12"/>
      <c r="U816" s="12"/>
      <c r="V816" s="12"/>
      <c r="W816" s="12"/>
      <c r="X816" s="12"/>
      <c r="Y816" s="12"/>
      <c r="Z816" s="12"/>
    </row>
    <row r="817" spans="1:26" ht="14.25" customHeight="1" x14ac:dyDescent="0.3">
      <c r="A817" s="3"/>
      <c r="B817" s="8"/>
      <c r="C817" s="3"/>
      <c r="D817" s="3"/>
      <c r="E817" s="8"/>
      <c r="F817" s="3"/>
      <c r="G817" s="9"/>
      <c r="H817" s="3"/>
      <c r="I817" s="5"/>
      <c r="J817" s="5"/>
      <c r="K817" s="5"/>
      <c r="L817" s="3"/>
      <c r="M817" s="6"/>
      <c r="N817" s="9"/>
      <c r="O817" s="9"/>
      <c r="P817" s="12"/>
      <c r="Q817" s="12"/>
      <c r="R817" s="12"/>
      <c r="S817" s="12"/>
      <c r="T817" s="12"/>
      <c r="U817" s="12"/>
      <c r="V817" s="12"/>
      <c r="W817" s="12"/>
      <c r="X817" s="12"/>
      <c r="Y817" s="12"/>
      <c r="Z817" s="12"/>
    </row>
    <row r="818" spans="1:26" ht="14.25" customHeight="1" x14ac:dyDescent="0.3">
      <c r="A818" s="3"/>
      <c r="B818" s="8"/>
      <c r="C818" s="3"/>
      <c r="D818" s="3"/>
      <c r="E818" s="8"/>
      <c r="F818" s="3"/>
      <c r="G818" s="9"/>
      <c r="H818" s="3"/>
      <c r="I818" s="5"/>
      <c r="J818" s="5"/>
      <c r="K818" s="5"/>
      <c r="L818" s="3"/>
      <c r="M818" s="6"/>
      <c r="N818" s="9"/>
      <c r="O818" s="9"/>
      <c r="P818" s="12"/>
      <c r="Q818" s="12"/>
      <c r="R818" s="12"/>
      <c r="S818" s="12"/>
      <c r="T818" s="12"/>
      <c r="U818" s="12"/>
      <c r="V818" s="12"/>
      <c r="W818" s="12"/>
      <c r="X818" s="12"/>
      <c r="Y818" s="12"/>
      <c r="Z818" s="12"/>
    </row>
    <row r="819" spans="1:26" ht="14.25" customHeight="1" x14ac:dyDescent="0.3">
      <c r="A819" s="3"/>
      <c r="B819" s="8"/>
      <c r="C819" s="3"/>
      <c r="D819" s="3"/>
      <c r="E819" s="8"/>
      <c r="F819" s="3"/>
      <c r="G819" s="9"/>
      <c r="H819" s="3"/>
      <c r="I819" s="5"/>
      <c r="J819" s="5"/>
      <c r="K819" s="5"/>
      <c r="L819" s="3"/>
      <c r="M819" s="6"/>
      <c r="N819" s="9"/>
      <c r="O819" s="9"/>
      <c r="P819" s="12"/>
      <c r="Q819" s="12"/>
      <c r="R819" s="12"/>
      <c r="S819" s="12"/>
      <c r="T819" s="12"/>
      <c r="U819" s="12"/>
      <c r="V819" s="12"/>
      <c r="W819" s="12"/>
      <c r="X819" s="12"/>
      <c r="Y819" s="12"/>
      <c r="Z819" s="12"/>
    </row>
    <row r="820" spans="1:26" ht="14.25" customHeight="1" x14ac:dyDescent="0.3">
      <c r="A820" s="3"/>
      <c r="B820" s="8"/>
      <c r="C820" s="3"/>
      <c r="D820" s="3"/>
      <c r="E820" s="8"/>
      <c r="F820" s="3"/>
      <c r="G820" s="9"/>
      <c r="H820" s="3"/>
      <c r="I820" s="5"/>
      <c r="J820" s="5"/>
      <c r="K820" s="5"/>
      <c r="L820" s="3"/>
      <c r="M820" s="6"/>
      <c r="N820" s="9"/>
      <c r="O820" s="9"/>
      <c r="P820" s="12"/>
      <c r="Q820" s="12"/>
      <c r="R820" s="12"/>
      <c r="S820" s="12"/>
      <c r="T820" s="12"/>
      <c r="U820" s="12"/>
      <c r="V820" s="12"/>
      <c r="W820" s="12"/>
      <c r="X820" s="12"/>
      <c r="Y820" s="12"/>
      <c r="Z820" s="12"/>
    </row>
    <row r="821" spans="1:26" ht="14.25" customHeight="1" x14ac:dyDescent="0.3">
      <c r="A821" s="3"/>
      <c r="B821" s="8"/>
      <c r="C821" s="3"/>
      <c r="D821" s="3"/>
      <c r="E821" s="8"/>
      <c r="F821" s="3"/>
      <c r="G821" s="9"/>
      <c r="H821" s="3"/>
      <c r="I821" s="5"/>
      <c r="J821" s="5"/>
      <c r="K821" s="5"/>
      <c r="L821" s="3"/>
      <c r="M821" s="6"/>
      <c r="N821" s="9"/>
      <c r="O821" s="9"/>
      <c r="P821" s="12"/>
      <c r="Q821" s="12"/>
      <c r="R821" s="12"/>
      <c r="S821" s="12"/>
      <c r="T821" s="12"/>
      <c r="U821" s="12"/>
      <c r="V821" s="12"/>
      <c r="W821" s="12"/>
      <c r="X821" s="12"/>
      <c r="Y821" s="12"/>
      <c r="Z821" s="12"/>
    </row>
    <row r="822" spans="1:26" ht="14.25" customHeight="1" x14ac:dyDescent="0.3">
      <c r="A822" s="3"/>
      <c r="B822" s="8"/>
      <c r="C822" s="3"/>
      <c r="D822" s="3"/>
      <c r="E822" s="8"/>
      <c r="F822" s="3"/>
      <c r="G822" s="9"/>
      <c r="H822" s="3"/>
      <c r="I822" s="5"/>
      <c r="J822" s="5"/>
      <c r="K822" s="5"/>
      <c r="L822" s="3"/>
      <c r="M822" s="6"/>
      <c r="N822" s="9"/>
      <c r="O822" s="9"/>
      <c r="P822" s="12"/>
      <c r="Q822" s="12"/>
      <c r="R822" s="12"/>
      <c r="S822" s="12"/>
      <c r="T822" s="12"/>
      <c r="U822" s="12"/>
      <c r="V822" s="12"/>
      <c r="W822" s="12"/>
      <c r="X822" s="12"/>
      <c r="Y822" s="12"/>
      <c r="Z822" s="12"/>
    </row>
    <row r="823" spans="1:26" ht="14.25" customHeight="1" x14ac:dyDescent="0.3">
      <c r="A823" s="3"/>
      <c r="B823" s="8"/>
      <c r="C823" s="3"/>
      <c r="D823" s="3"/>
      <c r="E823" s="8"/>
      <c r="F823" s="3"/>
      <c r="G823" s="9"/>
      <c r="H823" s="3"/>
      <c r="I823" s="5"/>
      <c r="J823" s="5"/>
      <c r="K823" s="5"/>
      <c r="L823" s="3"/>
      <c r="M823" s="6"/>
      <c r="N823" s="9"/>
      <c r="O823" s="9"/>
      <c r="P823" s="12"/>
      <c r="Q823" s="12"/>
      <c r="R823" s="12"/>
      <c r="S823" s="12"/>
      <c r="T823" s="12"/>
      <c r="U823" s="12"/>
      <c r="V823" s="12"/>
      <c r="W823" s="12"/>
      <c r="X823" s="12"/>
      <c r="Y823" s="12"/>
      <c r="Z823" s="12"/>
    </row>
    <row r="824" spans="1:26" ht="14.25" customHeight="1" x14ac:dyDescent="0.3">
      <c r="A824" s="3"/>
      <c r="B824" s="8"/>
      <c r="C824" s="3"/>
      <c r="D824" s="3"/>
      <c r="E824" s="8"/>
      <c r="F824" s="3"/>
      <c r="G824" s="9"/>
      <c r="H824" s="3"/>
      <c r="I824" s="5"/>
      <c r="J824" s="5"/>
      <c r="K824" s="5"/>
      <c r="L824" s="3"/>
      <c r="M824" s="6"/>
      <c r="N824" s="9"/>
      <c r="O824" s="9"/>
      <c r="P824" s="12"/>
      <c r="Q824" s="12"/>
      <c r="R824" s="12"/>
      <c r="S824" s="12"/>
      <c r="T824" s="12"/>
      <c r="U824" s="12"/>
      <c r="V824" s="12"/>
      <c r="W824" s="12"/>
      <c r="X824" s="12"/>
      <c r="Y824" s="12"/>
      <c r="Z824" s="12"/>
    </row>
    <row r="825" spans="1:26" ht="14.25" customHeight="1" x14ac:dyDescent="0.3">
      <c r="A825" s="3"/>
      <c r="B825" s="8"/>
      <c r="C825" s="3"/>
      <c r="D825" s="3"/>
      <c r="E825" s="8"/>
      <c r="F825" s="3"/>
      <c r="G825" s="9"/>
      <c r="H825" s="3"/>
      <c r="I825" s="5"/>
      <c r="J825" s="5"/>
      <c r="K825" s="5"/>
      <c r="L825" s="3"/>
      <c r="M825" s="6"/>
      <c r="N825" s="9"/>
      <c r="O825" s="9"/>
      <c r="P825" s="12"/>
      <c r="Q825" s="12"/>
      <c r="R825" s="12"/>
      <c r="S825" s="12"/>
      <c r="T825" s="12"/>
      <c r="U825" s="12"/>
      <c r="V825" s="12"/>
      <c r="W825" s="12"/>
      <c r="X825" s="12"/>
      <c r="Y825" s="12"/>
      <c r="Z825" s="12"/>
    </row>
    <row r="826" spans="1:26" ht="14.25" customHeight="1" x14ac:dyDescent="0.3">
      <c r="A826" s="3"/>
      <c r="B826" s="8"/>
      <c r="C826" s="3"/>
      <c r="D826" s="3"/>
      <c r="E826" s="8"/>
      <c r="F826" s="3"/>
      <c r="G826" s="9"/>
      <c r="H826" s="3"/>
      <c r="I826" s="5"/>
      <c r="J826" s="5"/>
      <c r="K826" s="5"/>
      <c r="L826" s="3"/>
      <c r="M826" s="6"/>
      <c r="N826" s="9"/>
      <c r="O826" s="9"/>
      <c r="P826" s="12"/>
      <c r="Q826" s="12"/>
      <c r="R826" s="12"/>
      <c r="S826" s="12"/>
      <c r="T826" s="12"/>
      <c r="U826" s="12"/>
      <c r="V826" s="12"/>
      <c r="W826" s="12"/>
      <c r="X826" s="12"/>
      <c r="Y826" s="12"/>
      <c r="Z826" s="12"/>
    </row>
    <row r="827" spans="1:26" ht="14.25" customHeight="1" x14ac:dyDescent="0.3">
      <c r="A827" s="3"/>
      <c r="B827" s="8"/>
      <c r="C827" s="3"/>
      <c r="D827" s="3"/>
      <c r="E827" s="8"/>
      <c r="F827" s="3"/>
      <c r="G827" s="9"/>
      <c r="H827" s="3"/>
      <c r="I827" s="5"/>
      <c r="J827" s="5"/>
      <c r="K827" s="5"/>
      <c r="L827" s="3"/>
      <c r="M827" s="6"/>
      <c r="N827" s="9"/>
      <c r="O827" s="9"/>
      <c r="P827" s="12"/>
      <c r="Q827" s="12"/>
      <c r="R827" s="12"/>
      <c r="S827" s="12"/>
      <c r="T827" s="12"/>
      <c r="U827" s="12"/>
      <c r="V827" s="12"/>
      <c r="W827" s="12"/>
      <c r="X827" s="12"/>
      <c r="Y827" s="12"/>
      <c r="Z827" s="12"/>
    </row>
    <row r="828" spans="1:26" ht="14.25" customHeight="1" x14ac:dyDescent="0.3">
      <c r="A828" s="3"/>
      <c r="B828" s="8"/>
      <c r="C828" s="3"/>
      <c r="D828" s="3"/>
      <c r="E828" s="8"/>
      <c r="F828" s="3"/>
      <c r="G828" s="9"/>
      <c r="H828" s="3"/>
      <c r="I828" s="5"/>
      <c r="J828" s="5"/>
      <c r="K828" s="5"/>
      <c r="L828" s="3"/>
      <c r="M828" s="6"/>
      <c r="N828" s="9"/>
      <c r="O828" s="9"/>
      <c r="P828" s="12"/>
      <c r="Q828" s="12"/>
      <c r="R828" s="12"/>
      <c r="S828" s="12"/>
      <c r="T828" s="12"/>
      <c r="U828" s="12"/>
      <c r="V828" s="12"/>
      <c r="W828" s="12"/>
      <c r="X828" s="12"/>
      <c r="Y828" s="12"/>
      <c r="Z828" s="12"/>
    </row>
    <row r="829" spans="1:26" ht="14.25" customHeight="1" x14ac:dyDescent="0.3">
      <c r="A829" s="3"/>
      <c r="B829" s="8"/>
      <c r="C829" s="3"/>
      <c r="D829" s="3"/>
      <c r="E829" s="8"/>
      <c r="F829" s="3"/>
      <c r="G829" s="9"/>
      <c r="H829" s="3"/>
      <c r="I829" s="5"/>
      <c r="J829" s="5"/>
      <c r="K829" s="5"/>
      <c r="L829" s="3"/>
      <c r="M829" s="6"/>
      <c r="N829" s="9"/>
      <c r="O829" s="9"/>
      <c r="P829" s="12"/>
      <c r="Q829" s="12"/>
      <c r="R829" s="12"/>
      <c r="S829" s="12"/>
      <c r="T829" s="12"/>
      <c r="U829" s="12"/>
      <c r="V829" s="12"/>
      <c r="W829" s="12"/>
      <c r="X829" s="12"/>
      <c r="Y829" s="12"/>
      <c r="Z829" s="12"/>
    </row>
    <row r="830" spans="1:26" ht="14.25" customHeight="1" x14ac:dyDescent="0.3">
      <c r="A830" s="3"/>
      <c r="B830" s="8"/>
      <c r="C830" s="3"/>
      <c r="D830" s="3"/>
      <c r="E830" s="8"/>
      <c r="F830" s="3"/>
      <c r="G830" s="9"/>
      <c r="H830" s="3"/>
      <c r="I830" s="5"/>
      <c r="J830" s="5"/>
      <c r="K830" s="5"/>
      <c r="L830" s="3"/>
      <c r="M830" s="6"/>
      <c r="N830" s="9"/>
      <c r="O830" s="9"/>
      <c r="P830" s="12"/>
      <c r="Q830" s="12"/>
      <c r="R830" s="12"/>
      <c r="S830" s="12"/>
      <c r="T830" s="12"/>
      <c r="U830" s="12"/>
      <c r="V830" s="12"/>
      <c r="W830" s="12"/>
      <c r="X830" s="12"/>
      <c r="Y830" s="12"/>
      <c r="Z830" s="12"/>
    </row>
    <row r="831" spans="1:26" ht="14.25" customHeight="1" x14ac:dyDescent="0.3">
      <c r="A831" s="3"/>
      <c r="B831" s="8"/>
      <c r="C831" s="3"/>
      <c r="D831" s="3"/>
      <c r="E831" s="8"/>
      <c r="F831" s="3"/>
      <c r="G831" s="9"/>
      <c r="H831" s="3"/>
      <c r="I831" s="5"/>
      <c r="J831" s="5"/>
      <c r="K831" s="5"/>
      <c r="L831" s="3"/>
      <c r="M831" s="6"/>
      <c r="N831" s="9"/>
      <c r="O831" s="9"/>
      <c r="P831" s="12"/>
      <c r="Q831" s="12"/>
      <c r="R831" s="12"/>
      <c r="S831" s="12"/>
      <c r="T831" s="12"/>
      <c r="U831" s="12"/>
      <c r="V831" s="12"/>
      <c r="W831" s="12"/>
      <c r="X831" s="12"/>
      <c r="Y831" s="12"/>
      <c r="Z831" s="12"/>
    </row>
    <row r="832" spans="1:26" ht="14.25" customHeight="1" x14ac:dyDescent="0.3">
      <c r="A832" s="3"/>
      <c r="B832" s="8"/>
      <c r="C832" s="3"/>
      <c r="D832" s="3"/>
      <c r="E832" s="8"/>
      <c r="F832" s="3"/>
      <c r="G832" s="9"/>
      <c r="H832" s="3"/>
      <c r="I832" s="5"/>
      <c r="J832" s="5"/>
      <c r="K832" s="5"/>
      <c r="L832" s="3"/>
      <c r="M832" s="6"/>
      <c r="N832" s="9"/>
      <c r="O832" s="9"/>
      <c r="P832" s="12"/>
      <c r="Q832" s="12"/>
      <c r="R832" s="12"/>
      <c r="S832" s="12"/>
      <c r="T832" s="12"/>
      <c r="U832" s="12"/>
      <c r="V832" s="12"/>
      <c r="W832" s="12"/>
      <c r="X832" s="12"/>
      <c r="Y832" s="12"/>
      <c r="Z832" s="12"/>
    </row>
    <row r="833" spans="1:26" ht="14.25" customHeight="1" x14ac:dyDescent="0.3">
      <c r="A833" s="3"/>
      <c r="B833" s="8"/>
      <c r="C833" s="3"/>
      <c r="D833" s="3"/>
      <c r="E833" s="8"/>
      <c r="F833" s="3"/>
      <c r="G833" s="9"/>
      <c r="H833" s="3"/>
      <c r="I833" s="5"/>
      <c r="J833" s="5"/>
      <c r="K833" s="5"/>
      <c r="L833" s="3"/>
      <c r="M833" s="6"/>
      <c r="N833" s="9"/>
      <c r="O833" s="9"/>
      <c r="P833" s="12"/>
      <c r="Q833" s="12"/>
      <c r="R833" s="12"/>
      <c r="S833" s="12"/>
      <c r="T833" s="12"/>
      <c r="U833" s="12"/>
      <c r="V833" s="12"/>
      <c r="W833" s="12"/>
      <c r="X833" s="12"/>
      <c r="Y833" s="12"/>
      <c r="Z833" s="12"/>
    </row>
    <row r="834" spans="1:26" ht="14.25" customHeight="1" x14ac:dyDescent="0.3">
      <c r="A834" s="3"/>
      <c r="B834" s="8"/>
      <c r="C834" s="3"/>
      <c r="D834" s="3"/>
      <c r="E834" s="8"/>
      <c r="F834" s="3"/>
      <c r="G834" s="9"/>
      <c r="H834" s="3"/>
      <c r="I834" s="5"/>
      <c r="J834" s="5"/>
      <c r="K834" s="5"/>
      <c r="L834" s="3"/>
      <c r="M834" s="6"/>
      <c r="N834" s="9"/>
      <c r="O834" s="9"/>
      <c r="P834" s="12"/>
      <c r="Q834" s="12"/>
      <c r="R834" s="12"/>
      <c r="S834" s="12"/>
      <c r="T834" s="12"/>
      <c r="U834" s="12"/>
      <c r="V834" s="12"/>
      <c r="W834" s="12"/>
      <c r="X834" s="12"/>
      <c r="Y834" s="12"/>
      <c r="Z834" s="12"/>
    </row>
    <row r="835" spans="1:26" ht="14.25" customHeight="1" x14ac:dyDescent="0.3">
      <c r="A835" s="3"/>
      <c r="B835" s="8"/>
      <c r="C835" s="3"/>
      <c r="D835" s="3"/>
      <c r="E835" s="8"/>
      <c r="F835" s="3"/>
      <c r="G835" s="9"/>
      <c r="H835" s="3"/>
      <c r="I835" s="5"/>
      <c r="J835" s="5"/>
      <c r="K835" s="5"/>
      <c r="L835" s="3"/>
      <c r="M835" s="6"/>
      <c r="N835" s="9"/>
      <c r="O835" s="9"/>
      <c r="P835" s="12"/>
      <c r="Q835" s="12"/>
      <c r="R835" s="12"/>
      <c r="S835" s="12"/>
      <c r="T835" s="12"/>
      <c r="U835" s="12"/>
      <c r="V835" s="12"/>
      <c r="W835" s="12"/>
      <c r="X835" s="12"/>
      <c r="Y835" s="12"/>
      <c r="Z835" s="12"/>
    </row>
    <row r="836" spans="1:26" ht="14.25" customHeight="1" x14ac:dyDescent="0.3">
      <c r="A836" s="3"/>
      <c r="B836" s="8"/>
      <c r="C836" s="3"/>
      <c r="D836" s="3"/>
      <c r="E836" s="8"/>
      <c r="F836" s="3"/>
      <c r="G836" s="9"/>
      <c r="H836" s="3"/>
      <c r="I836" s="5"/>
      <c r="J836" s="5"/>
      <c r="K836" s="5"/>
      <c r="L836" s="3"/>
      <c r="M836" s="6"/>
      <c r="N836" s="9"/>
      <c r="O836" s="9"/>
      <c r="P836" s="12"/>
      <c r="Q836" s="12"/>
      <c r="R836" s="12"/>
      <c r="S836" s="12"/>
      <c r="T836" s="12"/>
      <c r="U836" s="12"/>
      <c r="V836" s="12"/>
      <c r="W836" s="12"/>
      <c r="X836" s="12"/>
      <c r="Y836" s="12"/>
      <c r="Z836" s="12"/>
    </row>
    <row r="837" spans="1:26" ht="14.25" customHeight="1" x14ac:dyDescent="0.3">
      <c r="A837" s="3"/>
      <c r="B837" s="8"/>
      <c r="C837" s="3"/>
      <c r="D837" s="3"/>
      <c r="E837" s="8"/>
      <c r="F837" s="3"/>
      <c r="G837" s="9"/>
      <c r="H837" s="3"/>
      <c r="I837" s="5"/>
      <c r="J837" s="5"/>
      <c r="K837" s="5"/>
      <c r="L837" s="3"/>
      <c r="M837" s="6"/>
      <c r="N837" s="9"/>
      <c r="O837" s="9"/>
      <c r="P837" s="12"/>
      <c r="Q837" s="12"/>
      <c r="R837" s="12"/>
      <c r="S837" s="12"/>
      <c r="T837" s="12"/>
      <c r="U837" s="12"/>
      <c r="V837" s="12"/>
      <c r="W837" s="12"/>
      <c r="X837" s="12"/>
      <c r="Y837" s="12"/>
      <c r="Z837" s="12"/>
    </row>
    <row r="838" spans="1:26" ht="14.25" customHeight="1" x14ac:dyDescent="0.3">
      <c r="A838" s="3"/>
      <c r="B838" s="8"/>
      <c r="C838" s="3"/>
      <c r="D838" s="3"/>
      <c r="E838" s="8"/>
      <c r="F838" s="3"/>
      <c r="G838" s="9"/>
      <c r="H838" s="3"/>
      <c r="I838" s="5"/>
      <c r="J838" s="5"/>
      <c r="K838" s="5"/>
      <c r="L838" s="3"/>
      <c r="M838" s="6"/>
      <c r="N838" s="9"/>
      <c r="O838" s="9"/>
      <c r="P838" s="12"/>
      <c r="Q838" s="12"/>
      <c r="R838" s="12"/>
      <c r="S838" s="12"/>
      <c r="T838" s="12"/>
      <c r="U838" s="12"/>
      <c r="V838" s="12"/>
      <c r="W838" s="12"/>
      <c r="X838" s="12"/>
      <c r="Y838" s="12"/>
      <c r="Z838" s="12"/>
    </row>
    <row r="839" spans="1:26" ht="14.25" customHeight="1" x14ac:dyDescent="0.3">
      <c r="A839" s="3"/>
      <c r="B839" s="8"/>
      <c r="C839" s="3"/>
      <c r="D839" s="3"/>
      <c r="E839" s="8"/>
      <c r="F839" s="3"/>
      <c r="G839" s="9"/>
      <c r="H839" s="3"/>
      <c r="I839" s="5"/>
      <c r="J839" s="5"/>
      <c r="K839" s="5"/>
      <c r="L839" s="3"/>
      <c r="M839" s="6"/>
      <c r="N839" s="9"/>
      <c r="O839" s="9"/>
      <c r="P839" s="12"/>
      <c r="Q839" s="12"/>
      <c r="R839" s="12"/>
      <c r="S839" s="12"/>
      <c r="T839" s="12"/>
      <c r="U839" s="12"/>
      <c r="V839" s="12"/>
      <c r="W839" s="12"/>
      <c r="X839" s="12"/>
      <c r="Y839" s="12"/>
      <c r="Z839" s="12"/>
    </row>
    <row r="840" spans="1:26" ht="14.25" customHeight="1" x14ac:dyDescent="0.3">
      <c r="A840" s="3"/>
      <c r="B840" s="8"/>
      <c r="C840" s="3"/>
      <c r="D840" s="3"/>
      <c r="E840" s="8"/>
      <c r="F840" s="3"/>
      <c r="G840" s="9"/>
      <c r="H840" s="3"/>
      <c r="I840" s="5"/>
      <c r="J840" s="5"/>
      <c r="K840" s="5"/>
      <c r="L840" s="3"/>
      <c r="M840" s="6"/>
      <c r="N840" s="9"/>
      <c r="O840" s="9"/>
      <c r="P840" s="12"/>
      <c r="Q840" s="12"/>
      <c r="R840" s="12"/>
      <c r="S840" s="12"/>
      <c r="T840" s="12"/>
      <c r="U840" s="12"/>
      <c r="V840" s="12"/>
      <c r="W840" s="12"/>
      <c r="X840" s="12"/>
      <c r="Y840" s="12"/>
      <c r="Z840" s="12"/>
    </row>
    <row r="841" spans="1:26" ht="14.25" customHeight="1" x14ac:dyDescent="0.3">
      <c r="A841" s="3"/>
      <c r="B841" s="8"/>
      <c r="C841" s="3"/>
      <c r="D841" s="3"/>
      <c r="E841" s="8"/>
      <c r="F841" s="3"/>
      <c r="G841" s="9"/>
      <c r="H841" s="3"/>
      <c r="I841" s="5"/>
      <c r="J841" s="5"/>
      <c r="K841" s="5"/>
      <c r="L841" s="3"/>
      <c r="M841" s="6"/>
      <c r="N841" s="9"/>
      <c r="O841" s="9"/>
      <c r="P841" s="12"/>
      <c r="Q841" s="12"/>
      <c r="R841" s="12"/>
      <c r="S841" s="12"/>
      <c r="T841" s="12"/>
      <c r="U841" s="12"/>
      <c r="V841" s="12"/>
      <c r="W841" s="12"/>
      <c r="X841" s="12"/>
      <c r="Y841" s="12"/>
      <c r="Z841" s="12"/>
    </row>
    <row r="842" spans="1:26" ht="14.25" customHeight="1" x14ac:dyDescent="0.3">
      <c r="A842" s="3"/>
      <c r="B842" s="8"/>
      <c r="C842" s="3"/>
      <c r="D842" s="3"/>
      <c r="E842" s="8"/>
      <c r="F842" s="3"/>
      <c r="G842" s="9"/>
      <c r="H842" s="3"/>
      <c r="I842" s="5"/>
      <c r="J842" s="5"/>
      <c r="K842" s="5"/>
      <c r="L842" s="3"/>
      <c r="M842" s="6"/>
      <c r="N842" s="9"/>
      <c r="O842" s="9"/>
      <c r="P842" s="12"/>
      <c r="Q842" s="12"/>
      <c r="R842" s="12"/>
      <c r="S842" s="12"/>
      <c r="T842" s="12"/>
      <c r="U842" s="12"/>
      <c r="V842" s="12"/>
      <c r="W842" s="12"/>
      <c r="X842" s="12"/>
      <c r="Y842" s="12"/>
      <c r="Z842" s="12"/>
    </row>
    <row r="843" spans="1:26" ht="14.25" customHeight="1" x14ac:dyDescent="0.3">
      <c r="A843" s="3"/>
      <c r="B843" s="8"/>
      <c r="C843" s="3"/>
      <c r="D843" s="3"/>
      <c r="E843" s="8"/>
      <c r="F843" s="3"/>
      <c r="G843" s="9"/>
      <c r="H843" s="3"/>
      <c r="I843" s="5"/>
      <c r="J843" s="5"/>
      <c r="K843" s="5"/>
      <c r="L843" s="3"/>
      <c r="M843" s="6"/>
      <c r="N843" s="9"/>
      <c r="O843" s="9"/>
      <c r="P843" s="12"/>
      <c r="Q843" s="12"/>
      <c r="R843" s="12"/>
      <c r="S843" s="12"/>
      <c r="T843" s="12"/>
      <c r="U843" s="12"/>
      <c r="V843" s="12"/>
      <c r="W843" s="12"/>
      <c r="X843" s="12"/>
      <c r="Y843" s="12"/>
      <c r="Z843" s="12"/>
    </row>
    <row r="844" spans="1:26" ht="14.25" customHeight="1" x14ac:dyDescent="0.3">
      <c r="A844" s="3"/>
      <c r="B844" s="8"/>
      <c r="C844" s="3"/>
      <c r="D844" s="3"/>
      <c r="E844" s="8"/>
      <c r="F844" s="3"/>
      <c r="G844" s="9"/>
      <c r="H844" s="3"/>
      <c r="I844" s="5"/>
      <c r="J844" s="5"/>
      <c r="K844" s="5"/>
      <c r="L844" s="3"/>
      <c r="M844" s="6"/>
      <c r="N844" s="9"/>
      <c r="O844" s="9"/>
      <c r="P844" s="12"/>
      <c r="Q844" s="12"/>
      <c r="R844" s="12"/>
      <c r="S844" s="12"/>
      <c r="T844" s="12"/>
      <c r="U844" s="12"/>
      <c r="V844" s="12"/>
      <c r="W844" s="12"/>
      <c r="X844" s="12"/>
      <c r="Y844" s="12"/>
      <c r="Z844" s="12"/>
    </row>
    <row r="845" spans="1:26" ht="14.25" customHeight="1" x14ac:dyDescent="0.3">
      <c r="A845" s="3"/>
      <c r="B845" s="8"/>
      <c r="C845" s="3"/>
      <c r="D845" s="3"/>
      <c r="E845" s="8"/>
      <c r="F845" s="3"/>
      <c r="G845" s="9"/>
      <c r="H845" s="3"/>
      <c r="I845" s="5"/>
      <c r="J845" s="5"/>
      <c r="K845" s="5"/>
      <c r="L845" s="3"/>
      <c r="M845" s="6"/>
      <c r="N845" s="9"/>
      <c r="O845" s="9"/>
      <c r="P845" s="12"/>
      <c r="Q845" s="12"/>
      <c r="R845" s="12"/>
      <c r="S845" s="12"/>
      <c r="T845" s="12"/>
      <c r="U845" s="12"/>
      <c r="V845" s="12"/>
      <c r="W845" s="12"/>
      <c r="X845" s="12"/>
      <c r="Y845" s="12"/>
      <c r="Z845" s="12"/>
    </row>
    <row r="846" spans="1:26" ht="14.25" customHeight="1" x14ac:dyDescent="0.3">
      <c r="A846" s="3"/>
      <c r="B846" s="8"/>
      <c r="C846" s="3"/>
      <c r="D846" s="3"/>
      <c r="E846" s="8"/>
      <c r="F846" s="3"/>
      <c r="G846" s="9"/>
      <c r="H846" s="3"/>
      <c r="I846" s="5"/>
      <c r="J846" s="5"/>
      <c r="K846" s="5"/>
      <c r="L846" s="3"/>
      <c r="M846" s="6"/>
      <c r="N846" s="9"/>
      <c r="O846" s="9"/>
      <c r="P846" s="12"/>
      <c r="Q846" s="12"/>
      <c r="R846" s="12"/>
      <c r="S846" s="12"/>
      <c r="T846" s="12"/>
      <c r="U846" s="12"/>
      <c r="V846" s="12"/>
      <c r="W846" s="12"/>
      <c r="X846" s="12"/>
      <c r="Y846" s="12"/>
      <c r="Z846" s="12"/>
    </row>
    <row r="847" spans="1:26" ht="14.25" customHeight="1" x14ac:dyDescent="0.3">
      <c r="A847" s="3"/>
      <c r="B847" s="8"/>
      <c r="C847" s="3"/>
      <c r="D847" s="3"/>
      <c r="E847" s="8"/>
      <c r="F847" s="3"/>
      <c r="G847" s="9"/>
      <c r="H847" s="3"/>
      <c r="I847" s="5"/>
      <c r="J847" s="5"/>
      <c r="K847" s="5"/>
      <c r="L847" s="3"/>
      <c r="M847" s="6"/>
      <c r="N847" s="9"/>
      <c r="O847" s="9"/>
      <c r="P847" s="12"/>
      <c r="Q847" s="12"/>
      <c r="R847" s="12"/>
      <c r="S847" s="12"/>
      <c r="T847" s="12"/>
      <c r="U847" s="12"/>
      <c r="V847" s="12"/>
      <c r="W847" s="12"/>
      <c r="X847" s="12"/>
      <c r="Y847" s="12"/>
      <c r="Z847" s="12"/>
    </row>
    <row r="848" spans="1:26" ht="14.25" customHeight="1" x14ac:dyDescent="0.3">
      <c r="A848" s="3"/>
      <c r="B848" s="8"/>
      <c r="C848" s="3"/>
      <c r="D848" s="3"/>
      <c r="E848" s="8"/>
      <c r="F848" s="3"/>
      <c r="G848" s="9"/>
      <c r="H848" s="3"/>
      <c r="I848" s="5"/>
      <c r="J848" s="5"/>
      <c r="K848" s="5"/>
      <c r="L848" s="3"/>
      <c r="M848" s="6"/>
      <c r="N848" s="9"/>
      <c r="O848" s="9"/>
      <c r="P848" s="12"/>
      <c r="Q848" s="12"/>
      <c r="R848" s="12"/>
      <c r="S848" s="12"/>
      <c r="T848" s="12"/>
      <c r="U848" s="12"/>
      <c r="V848" s="12"/>
      <c r="W848" s="12"/>
      <c r="X848" s="12"/>
      <c r="Y848" s="12"/>
      <c r="Z848" s="12"/>
    </row>
    <row r="849" spans="1:26" ht="14.25" customHeight="1" x14ac:dyDescent="0.3">
      <c r="A849" s="3"/>
      <c r="B849" s="8"/>
      <c r="C849" s="3"/>
      <c r="D849" s="3"/>
      <c r="E849" s="8"/>
      <c r="F849" s="3"/>
      <c r="G849" s="9"/>
      <c r="H849" s="3"/>
      <c r="I849" s="5"/>
      <c r="J849" s="5"/>
      <c r="K849" s="5"/>
      <c r="L849" s="3"/>
      <c r="M849" s="6"/>
      <c r="N849" s="9"/>
      <c r="O849" s="9"/>
      <c r="P849" s="12"/>
      <c r="Q849" s="12"/>
      <c r="R849" s="12"/>
      <c r="S849" s="12"/>
      <c r="T849" s="12"/>
      <c r="U849" s="12"/>
      <c r="V849" s="12"/>
      <c r="W849" s="12"/>
      <c r="X849" s="12"/>
      <c r="Y849" s="12"/>
      <c r="Z849" s="12"/>
    </row>
    <row r="850" spans="1:26" ht="14.25" customHeight="1" x14ac:dyDescent="0.3">
      <c r="A850" s="3"/>
      <c r="B850" s="8"/>
      <c r="C850" s="3"/>
      <c r="D850" s="3"/>
      <c r="E850" s="8"/>
      <c r="F850" s="3"/>
      <c r="G850" s="9"/>
      <c r="H850" s="3"/>
      <c r="I850" s="5"/>
      <c r="J850" s="5"/>
      <c r="K850" s="5"/>
      <c r="L850" s="3"/>
      <c r="M850" s="6"/>
      <c r="N850" s="9"/>
      <c r="O850" s="9"/>
      <c r="P850" s="12"/>
      <c r="Q850" s="12"/>
      <c r="R850" s="12"/>
      <c r="S850" s="12"/>
      <c r="T850" s="12"/>
      <c r="U850" s="12"/>
      <c r="V850" s="12"/>
      <c r="W850" s="12"/>
      <c r="X850" s="12"/>
      <c r="Y850" s="12"/>
      <c r="Z850" s="12"/>
    </row>
    <row r="851" spans="1:26" ht="14.25" customHeight="1" x14ac:dyDescent="0.3">
      <c r="A851" s="3"/>
      <c r="B851" s="8"/>
      <c r="C851" s="3"/>
      <c r="D851" s="3"/>
      <c r="E851" s="8"/>
      <c r="F851" s="3"/>
      <c r="G851" s="9"/>
      <c r="H851" s="3"/>
      <c r="I851" s="5"/>
      <c r="J851" s="5"/>
      <c r="K851" s="5"/>
      <c r="L851" s="3"/>
      <c r="M851" s="6"/>
      <c r="N851" s="9"/>
      <c r="O851" s="9"/>
      <c r="P851" s="12"/>
      <c r="Q851" s="12"/>
      <c r="R851" s="12"/>
      <c r="S851" s="12"/>
      <c r="T851" s="12"/>
      <c r="U851" s="12"/>
      <c r="V851" s="12"/>
      <c r="W851" s="12"/>
      <c r="X851" s="12"/>
      <c r="Y851" s="12"/>
      <c r="Z851" s="12"/>
    </row>
    <row r="852" spans="1:26" ht="14.25" customHeight="1" x14ac:dyDescent="0.3">
      <c r="A852" s="3"/>
      <c r="B852" s="8"/>
      <c r="C852" s="3"/>
      <c r="D852" s="3"/>
      <c r="E852" s="8"/>
      <c r="F852" s="3"/>
      <c r="G852" s="9"/>
      <c r="H852" s="3"/>
      <c r="I852" s="5"/>
      <c r="J852" s="5"/>
      <c r="K852" s="5"/>
      <c r="L852" s="3"/>
      <c r="M852" s="6"/>
      <c r="N852" s="9"/>
      <c r="O852" s="9"/>
      <c r="P852" s="12"/>
      <c r="Q852" s="12"/>
      <c r="R852" s="12"/>
      <c r="S852" s="12"/>
      <c r="T852" s="12"/>
      <c r="U852" s="12"/>
      <c r="V852" s="12"/>
      <c r="W852" s="12"/>
      <c r="X852" s="12"/>
      <c r="Y852" s="12"/>
      <c r="Z852" s="12"/>
    </row>
    <row r="853" spans="1:26" ht="14.25" customHeight="1" x14ac:dyDescent="0.3">
      <c r="A853" s="3"/>
      <c r="B853" s="8"/>
      <c r="C853" s="3"/>
      <c r="D853" s="3"/>
      <c r="E853" s="8"/>
      <c r="F853" s="3"/>
      <c r="G853" s="9"/>
      <c r="H853" s="3"/>
      <c r="I853" s="5"/>
      <c r="J853" s="5"/>
      <c r="K853" s="5"/>
      <c r="L853" s="3"/>
      <c r="M853" s="6"/>
      <c r="N853" s="9"/>
      <c r="O853" s="9"/>
      <c r="P853" s="12"/>
      <c r="Q853" s="12"/>
      <c r="R853" s="12"/>
      <c r="S853" s="12"/>
      <c r="T853" s="12"/>
      <c r="U853" s="12"/>
      <c r="V853" s="12"/>
      <c r="W853" s="12"/>
      <c r="X853" s="12"/>
      <c r="Y853" s="12"/>
      <c r="Z853" s="12"/>
    </row>
    <row r="854" spans="1:26" ht="14.25" customHeight="1" x14ac:dyDescent="0.3">
      <c r="A854" s="3"/>
      <c r="B854" s="8"/>
      <c r="C854" s="3"/>
      <c r="D854" s="3"/>
      <c r="E854" s="8"/>
      <c r="F854" s="3"/>
      <c r="G854" s="9"/>
      <c r="H854" s="3"/>
      <c r="I854" s="5"/>
      <c r="J854" s="5"/>
      <c r="K854" s="5"/>
      <c r="L854" s="3"/>
      <c r="M854" s="6"/>
      <c r="N854" s="9"/>
      <c r="O854" s="9"/>
      <c r="P854" s="12"/>
      <c r="Q854" s="12"/>
      <c r="R854" s="12"/>
      <c r="S854" s="12"/>
      <c r="T854" s="12"/>
      <c r="U854" s="12"/>
      <c r="V854" s="12"/>
      <c r="W854" s="12"/>
      <c r="X854" s="12"/>
      <c r="Y854" s="12"/>
      <c r="Z854" s="12"/>
    </row>
    <row r="855" spans="1:26" ht="14.25" customHeight="1" x14ac:dyDescent="0.3">
      <c r="A855" s="3"/>
      <c r="B855" s="8"/>
      <c r="C855" s="3"/>
      <c r="D855" s="3"/>
      <c r="E855" s="8"/>
      <c r="F855" s="3"/>
      <c r="G855" s="9"/>
      <c r="H855" s="3"/>
      <c r="I855" s="5"/>
      <c r="J855" s="5"/>
      <c r="K855" s="5"/>
      <c r="L855" s="3"/>
      <c r="M855" s="6"/>
      <c r="N855" s="9"/>
      <c r="O855" s="9"/>
      <c r="P855" s="12"/>
      <c r="Q855" s="12"/>
      <c r="R855" s="12"/>
      <c r="S855" s="12"/>
      <c r="T855" s="12"/>
      <c r="U855" s="12"/>
      <c r="V855" s="12"/>
      <c r="W855" s="12"/>
      <c r="X855" s="12"/>
      <c r="Y855" s="12"/>
      <c r="Z855" s="12"/>
    </row>
    <row r="856" spans="1:26" ht="14.25" customHeight="1" x14ac:dyDescent="0.3">
      <c r="A856" s="3"/>
      <c r="B856" s="8"/>
      <c r="C856" s="3"/>
      <c r="D856" s="3"/>
      <c r="E856" s="8"/>
      <c r="F856" s="3"/>
      <c r="G856" s="9"/>
      <c r="H856" s="3"/>
      <c r="I856" s="5"/>
      <c r="J856" s="5"/>
      <c r="K856" s="5"/>
      <c r="L856" s="3"/>
      <c r="M856" s="6"/>
      <c r="N856" s="9"/>
      <c r="O856" s="9"/>
      <c r="P856" s="12"/>
      <c r="Q856" s="12"/>
      <c r="R856" s="12"/>
      <c r="S856" s="12"/>
      <c r="T856" s="12"/>
      <c r="U856" s="12"/>
      <c r="V856" s="12"/>
      <c r="W856" s="12"/>
      <c r="X856" s="12"/>
      <c r="Y856" s="12"/>
      <c r="Z856" s="12"/>
    </row>
    <row r="857" spans="1:26" ht="14.25" customHeight="1" x14ac:dyDescent="0.3">
      <c r="A857" s="3"/>
      <c r="B857" s="8"/>
      <c r="C857" s="3"/>
      <c r="D857" s="3"/>
      <c r="E857" s="8"/>
      <c r="F857" s="3"/>
      <c r="G857" s="9"/>
      <c r="H857" s="3"/>
      <c r="I857" s="5"/>
      <c r="J857" s="5"/>
      <c r="K857" s="5"/>
      <c r="L857" s="3"/>
      <c r="M857" s="6"/>
      <c r="N857" s="9"/>
      <c r="O857" s="9"/>
      <c r="P857" s="12"/>
      <c r="Q857" s="12"/>
      <c r="R857" s="12"/>
      <c r="S857" s="12"/>
      <c r="T857" s="12"/>
      <c r="U857" s="12"/>
      <c r="V857" s="12"/>
      <c r="W857" s="12"/>
      <c r="X857" s="12"/>
      <c r="Y857" s="12"/>
      <c r="Z857" s="12"/>
    </row>
    <row r="858" spans="1:26" ht="14.25" customHeight="1" x14ac:dyDescent="0.3">
      <c r="A858" s="3"/>
      <c r="B858" s="8"/>
      <c r="C858" s="3"/>
      <c r="D858" s="3"/>
      <c r="E858" s="8"/>
      <c r="F858" s="3"/>
      <c r="G858" s="9"/>
      <c r="H858" s="3"/>
      <c r="I858" s="5"/>
      <c r="J858" s="5"/>
      <c r="K858" s="5"/>
      <c r="L858" s="3"/>
      <c r="M858" s="6"/>
      <c r="N858" s="9"/>
      <c r="O858" s="9"/>
      <c r="P858" s="12"/>
      <c r="Q858" s="12"/>
      <c r="R858" s="12"/>
      <c r="S858" s="12"/>
      <c r="T858" s="12"/>
      <c r="U858" s="12"/>
      <c r="V858" s="12"/>
      <c r="W858" s="12"/>
      <c r="X858" s="12"/>
      <c r="Y858" s="12"/>
      <c r="Z858" s="12"/>
    </row>
    <row r="859" spans="1:26" ht="14.25" customHeight="1" x14ac:dyDescent="0.3">
      <c r="A859" s="3"/>
      <c r="B859" s="8"/>
      <c r="C859" s="3"/>
      <c r="D859" s="3"/>
      <c r="E859" s="8"/>
      <c r="F859" s="3"/>
      <c r="G859" s="9"/>
      <c r="H859" s="3"/>
      <c r="I859" s="5"/>
      <c r="J859" s="5"/>
      <c r="K859" s="5"/>
      <c r="L859" s="3"/>
      <c r="M859" s="6"/>
      <c r="N859" s="9"/>
      <c r="O859" s="9"/>
      <c r="P859" s="12"/>
      <c r="Q859" s="12"/>
      <c r="R859" s="12"/>
      <c r="S859" s="12"/>
      <c r="T859" s="12"/>
      <c r="U859" s="12"/>
      <c r="V859" s="12"/>
      <c r="W859" s="12"/>
      <c r="X859" s="12"/>
      <c r="Y859" s="12"/>
      <c r="Z859" s="12"/>
    </row>
    <row r="860" spans="1:26" ht="14.25" customHeight="1" x14ac:dyDescent="0.3">
      <c r="A860" s="3"/>
      <c r="B860" s="8"/>
      <c r="C860" s="3"/>
      <c r="D860" s="3"/>
      <c r="E860" s="8"/>
      <c r="F860" s="3"/>
      <c r="G860" s="9"/>
      <c r="H860" s="3"/>
      <c r="I860" s="5"/>
      <c r="J860" s="5"/>
      <c r="K860" s="5"/>
      <c r="L860" s="3"/>
      <c r="M860" s="6"/>
      <c r="N860" s="9"/>
      <c r="O860" s="9"/>
      <c r="P860" s="12"/>
      <c r="Q860" s="12"/>
      <c r="R860" s="12"/>
      <c r="S860" s="12"/>
      <c r="T860" s="12"/>
      <c r="U860" s="12"/>
      <c r="V860" s="12"/>
      <c r="W860" s="12"/>
      <c r="X860" s="12"/>
      <c r="Y860" s="12"/>
      <c r="Z860" s="12"/>
    </row>
    <row r="861" spans="1:26" ht="14.25" customHeight="1" x14ac:dyDescent="0.3">
      <c r="A861" s="3"/>
      <c r="B861" s="8"/>
      <c r="C861" s="3"/>
      <c r="D861" s="3"/>
      <c r="E861" s="8"/>
      <c r="F861" s="3"/>
      <c r="G861" s="9"/>
      <c r="H861" s="3"/>
      <c r="I861" s="5"/>
      <c r="J861" s="5"/>
      <c r="K861" s="5"/>
      <c r="L861" s="3"/>
      <c r="M861" s="6"/>
      <c r="N861" s="9"/>
      <c r="O861" s="9"/>
      <c r="P861" s="12"/>
      <c r="Q861" s="12"/>
      <c r="R861" s="12"/>
      <c r="S861" s="12"/>
      <c r="T861" s="12"/>
      <c r="U861" s="12"/>
      <c r="V861" s="12"/>
      <c r="W861" s="12"/>
      <c r="X861" s="12"/>
      <c r="Y861" s="12"/>
      <c r="Z861" s="12"/>
    </row>
    <row r="862" spans="1:26" ht="14.25" customHeight="1" x14ac:dyDescent="0.3">
      <c r="A862" s="3"/>
      <c r="B862" s="8"/>
      <c r="C862" s="3"/>
      <c r="D862" s="3"/>
      <c r="E862" s="8"/>
      <c r="F862" s="3"/>
      <c r="G862" s="9"/>
      <c r="H862" s="3"/>
      <c r="I862" s="5"/>
      <c r="J862" s="5"/>
      <c r="K862" s="5"/>
      <c r="L862" s="3"/>
      <c r="M862" s="6"/>
      <c r="N862" s="9"/>
      <c r="O862" s="9"/>
      <c r="P862" s="12"/>
      <c r="Q862" s="12"/>
      <c r="R862" s="12"/>
      <c r="S862" s="12"/>
      <c r="T862" s="12"/>
      <c r="U862" s="12"/>
      <c r="V862" s="12"/>
      <c r="W862" s="12"/>
      <c r="X862" s="12"/>
      <c r="Y862" s="12"/>
      <c r="Z862" s="12"/>
    </row>
    <row r="863" spans="1:26" ht="14.25" customHeight="1" x14ac:dyDescent="0.3">
      <c r="A863" s="3"/>
      <c r="B863" s="8"/>
      <c r="C863" s="3"/>
      <c r="D863" s="3"/>
      <c r="E863" s="8"/>
      <c r="F863" s="3"/>
      <c r="G863" s="9"/>
      <c r="H863" s="3"/>
      <c r="I863" s="5"/>
      <c r="J863" s="5"/>
      <c r="K863" s="5"/>
      <c r="L863" s="3"/>
      <c r="M863" s="6"/>
      <c r="N863" s="9"/>
      <c r="O863" s="9"/>
      <c r="P863" s="12"/>
      <c r="Q863" s="12"/>
      <c r="R863" s="12"/>
      <c r="S863" s="12"/>
      <c r="T863" s="12"/>
      <c r="U863" s="12"/>
      <c r="V863" s="12"/>
      <c r="W863" s="12"/>
      <c r="X863" s="12"/>
      <c r="Y863" s="12"/>
      <c r="Z863" s="12"/>
    </row>
    <row r="864" spans="1:26" ht="14.25" customHeight="1" x14ac:dyDescent="0.3">
      <c r="A864" s="3"/>
      <c r="B864" s="8"/>
      <c r="C864" s="3"/>
      <c r="D864" s="3"/>
      <c r="E864" s="8"/>
      <c r="F864" s="3"/>
      <c r="G864" s="9"/>
      <c r="H864" s="3"/>
      <c r="I864" s="5"/>
      <c r="J864" s="5"/>
      <c r="K864" s="5"/>
      <c r="L864" s="3"/>
      <c r="M864" s="6"/>
      <c r="N864" s="9"/>
      <c r="O864" s="9"/>
      <c r="P864" s="12"/>
      <c r="Q864" s="12"/>
      <c r="R864" s="12"/>
      <c r="S864" s="12"/>
      <c r="T864" s="12"/>
      <c r="U864" s="12"/>
      <c r="V864" s="12"/>
      <c r="W864" s="12"/>
      <c r="X864" s="12"/>
      <c r="Y864" s="12"/>
      <c r="Z864" s="12"/>
    </row>
    <row r="865" spans="1:26" ht="14.25" customHeight="1" x14ac:dyDescent="0.3">
      <c r="A865" s="3"/>
      <c r="B865" s="8"/>
      <c r="C865" s="3"/>
      <c r="D865" s="3"/>
      <c r="E865" s="8"/>
      <c r="F865" s="3"/>
      <c r="G865" s="9"/>
      <c r="H865" s="3"/>
      <c r="I865" s="5"/>
      <c r="J865" s="5"/>
      <c r="K865" s="5"/>
      <c r="L865" s="3"/>
      <c r="M865" s="6"/>
      <c r="N865" s="9"/>
      <c r="O865" s="9"/>
      <c r="P865" s="12"/>
      <c r="Q865" s="12"/>
      <c r="R865" s="12"/>
      <c r="S865" s="12"/>
      <c r="T865" s="12"/>
      <c r="U865" s="12"/>
      <c r="V865" s="12"/>
      <c r="W865" s="12"/>
      <c r="X865" s="12"/>
      <c r="Y865" s="12"/>
      <c r="Z865" s="12"/>
    </row>
    <row r="866" spans="1:26" ht="14.25" customHeight="1" x14ac:dyDescent="0.3">
      <c r="A866" s="3"/>
      <c r="B866" s="8"/>
      <c r="C866" s="3"/>
      <c r="D866" s="3"/>
      <c r="E866" s="8"/>
      <c r="F866" s="3"/>
      <c r="G866" s="9"/>
      <c r="H866" s="3"/>
      <c r="I866" s="5"/>
      <c r="J866" s="5"/>
      <c r="K866" s="5"/>
      <c r="L866" s="3"/>
      <c r="M866" s="6"/>
      <c r="N866" s="9"/>
      <c r="O866" s="9"/>
      <c r="P866" s="12"/>
      <c r="Q866" s="12"/>
      <c r="R866" s="12"/>
      <c r="S866" s="12"/>
      <c r="T866" s="12"/>
      <c r="U866" s="12"/>
      <c r="V866" s="12"/>
      <c r="W866" s="12"/>
      <c r="X866" s="12"/>
      <c r="Y866" s="12"/>
      <c r="Z866" s="12"/>
    </row>
    <row r="867" spans="1:26" ht="14.25" customHeight="1" x14ac:dyDescent="0.3">
      <c r="A867" s="3"/>
      <c r="B867" s="8"/>
      <c r="C867" s="3"/>
      <c r="D867" s="3"/>
      <c r="E867" s="8"/>
      <c r="F867" s="3"/>
      <c r="G867" s="9"/>
      <c r="H867" s="3"/>
      <c r="I867" s="5"/>
      <c r="J867" s="5"/>
      <c r="K867" s="5"/>
      <c r="L867" s="3"/>
      <c r="M867" s="6"/>
      <c r="N867" s="9"/>
      <c r="O867" s="9"/>
      <c r="P867" s="12"/>
      <c r="Q867" s="12"/>
      <c r="R867" s="12"/>
      <c r="S867" s="12"/>
      <c r="T867" s="12"/>
      <c r="U867" s="12"/>
      <c r="V867" s="12"/>
      <c r="W867" s="12"/>
      <c r="X867" s="12"/>
      <c r="Y867" s="12"/>
      <c r="Z867" s="12"/>
    </row>
    <row r="868" spans="1:26" ht="14.25" customHeight="1" x14ac:dyDescent="0.3">
      <c r="A868" s="3"/>
      <c r="B868" s="8"/>
      <c r="C868" s="3"/>
      <c r="D868" s="3"/>
      <c r="E868" s="8"/>
      <c r="F868" s="3"/>
      <c r="G868" s="9"/>
      <c r="H868" s="3"/>
      <c r="I868" s="5"/>
      <c r="J868" s="5"/>
      <c r="K868" s="5"/>
      <c r="L868" s="3"/>
      <c r="M868" s="6"/>
      <c r="N868" s="9"/>
      <c r="O868" s="9"/>
      <c r="P868" s="12"/>
      <c r="Q868" s="12"/>
      <c r="R868" s="12"/>
      <c r="S868" s="12"/>
      <c r="T868" s="12"/>
      <c r="U868" s="12"/>
      <c r="V868" s="12"/>
      <c r="W868" s="12"/>
      <c r="X868" s="12"/>
      <c r="Y868" s="12"/>
      <c r="Z868" s="12"/>
    </row>
    <row r="869" spans="1:26" ht="14.25" customHeight="1" x14ac:dyDescent="0.3">
      <c r="A869" s="3"/>
      <c r="B869" s="8"/>
      <c r="C869" s="3"/>
      <c r="D869" s="3"/>
      <c r="E869" s="8"/>
      <c r="F869" s="3"/>
      <c r="G869" s="9"/>
      <c r="H869" s="3"/>
      <c r="I869" s="5"/>
      <c r="J869" s="5"/>
      <c r="K869" s="5"/>
      <c r="L869" s="3"/>
      <c r="M869" s="6"/>
      <c r="N869" s="9"/>
      <c r="O869" s="9"/>
      <c r="P869" s="12"/>
      <c r="Q869" s="12"/>
      <c r="R869" s="12"/>
      <c r="S869" s="12"/>
      <c r="T869" s="12"/>
      <c r="U869" s="12"/>
      <c r="V869" s="12"/>
      <c r="W869" s="12"/>
      <c r="X869" s="12"/>
      <c r="Y869" s="12"/>
      <c r="Z869" s="12"/>
    </row>
    <row r="870" spans="1:26" ht="14.25" customHeight="1" x14ac:dyDescent="0.3">
      <c r="A870" s="3"/>
      <c r="B870" s="8"/>
      <c r="C870" s="3"/>
      <c r="D870" s="3"/>
      <c r="E870" s="8"/>
      <c r="F870" s="3"/>
      <c r="G870" s="9"/>
      <c r="H870" s="3"/>
      <c r="I870" s="5"/>
      <c r="J870" s="5"/>
      <c r="K870" s="5"/>
      <c r="L870" s="3"/>
      <c r="M870" s="6"/>
      <c r="N870" s="9"/>
      <c r="O870" s="9"/>
      <c r="P870" s="12"/>
      <c r="Q870" s="12"/>
      <c r="R870" s="12"/>
      <c r="S870" s="12"/>
      <c r="T870" s="12"/>
      <c r="U870" s="12"/>
      <c r="V870" s="12"/>
      <c r="W870" s="12"/>
      <c r="X870" s="12"/>
      <c r="Y870" s="12"/>
      <c r="Z870" s="12"/>
    </row>
    <row r="871" spans="1:26" ht="14.25" customHeight="1" x14ac:dyDescent="0.3">
      <c r="A871" s="3"/>
      <c r="B871" s="8"/>
      <c r="C871" s="3"/>
      <c r="D871" s="3"/>
      <c r="E871" s="8"/>
      <c r="F871" s="3"/>
      <c r="G871" s="9"/>
      <c r="H871" s="3"/>
      <c r="I871" s="5"/>
      <c r="J871" s="5"/>
      <c r="K871" s="5"/>
      <c r="L871" s="3"/>
      <c r="M871" s="6"/>
      <c r="N871" s="9"/>
      <c r="O871" s="9"/>
      <c r="P871" s="12"/>
      <c r="Q871" s="12"/>
      <c r="R871" s="12"/>
      <c r="S871" s="12"/>
      <c r="T871" s="12"/>
      <c r="U871" s="12"/>
      <c r="V871" s="12"/>
      <c r="W871" s="12"/>
      <c r="X871" s="12"/>
      <c r="Y871" s="12"/>
      <c r="Z871" s="12"/>
    </row>
    <row r="872" spans="1:26" ht="14.25" customHeight="1" x14ac:dyDescent="0.3">
      <c r="A872" s="3"/>
      <c r="B872" s="8"/>
      <c r="C872" s="3"/>
      <c r="D872" s="3"/>
      <c r="E872" s="8"/>
      <c r="F872" s="3"/>
      <c r="G872" s="9"/>
      <c r="H872" s="3"/>
      <c r="I872" s="5"/>
      <c r="J872" s="5"/>
      <c r="K872" s="5"/>
      <c r="L872" s="3"/>
      <c r="M872" s="6"/>
      <c r="N872" s="9"/>
      <c r="O872" s="9"/>
      <c r="P872" s="12"/>
      <c r="Q872" s="12"/>
      <c r="R872" s="12"/>
      <c r="S872" s="12"/>
      <c r="T872" s="12"/>
      <c r="U872" s="12"/>
      <c r="V872" s="12"/>
      <c r="W872" s="12"/>
      <c r="X872" s="12"/>
      <c r="Y872" s="12"/>
      <c r="Z872" s="12"/>
    </row>
    <row r="873" spans="1:26" ht="14.25" customHeight="1" x14ac:dyDescent="0.3">
      <c r="A873" s="3"/>
      <c r="B873" s="8"/>
      <c r="C873" s="3"/>
      <c r="D873" s="3"/>
      <c r="E873" s="8"/>
      <c r="F873" s="3"/>
      <c r="G873" s="9"/>
      <c r="H873" s="3"/>
      <c r="I873" s="5"/>
      <c r="J873" s="5"/>
      <c r="K873" s="5"/>
      <c r="L873" s="3"/>
      <c r="M873" s="6"/>
      <c r="N873" s="9"/>
      <c r="O873" s="9"/>
      <c r="P873" s="12"/>
      <c r="Q873" s="12"/>
      <c r="R873" s="12"/>
      <c r="S873" s="12"/>
      <c r="T873" s="12"/>
      <c r="U873" s="12"/>
      <c r="V873" s="12"/>
      <c r="W873" s="12"/>
      <c r="X873" s="12"/>
      <c r="Y873" s="12"/>
      <c r="Z873" s="12"/>
    </row>
    <row r="874" spans="1:26" ht="14.25" customHeight="1" x14ac:dyDescent="0.3">
      <c r="A874" s="3"/>
      <c r="B874" s="8"/>
      <c r="C874" s="3"/>
      <c r="D874" s="3"/>
      <c r="E874" s="8"/>
      <c r="F874" s="3"/>
      <c r="G874" s="9"/>
      <c r="H874" s="3"/>
      <c r="I874" s="5"/>
      <c r="J874" s="5"/>
      <c r="K874" s="5"/>
      <c r="L874" s="3"/>
      <c r="M874" s="6"/>
      <c r="N874" s="9"/>
      <c r="O874" s="9"/>
      <c r="P874" s="12"/>
      <c r="Q874" s="12"/>
      <c r="R874" s="12"/>
      <c r="S874" s="12"/>
      <c r="T874" s="12"/>
      <c r="U874" s="12"/>
      <c r="V874" s="12"/>
      <c r="W874" s="12"/>
      <c r="X874" s="12"/>
      <c r="Y874" s="12"/>
      <c r="Z874" s="12"/>
    </row>
    <row r="875" spans="1:26" ht="14.25" customHeight="1" x14ac:dyDescent="0.3">
      <c r="A875" s="3"/>
      <c r="B875" s="8"/>
      <c r="C875" s="3"/>
      <c r="D875" s="3"/>
      <c r="E875" s="8"/>
      <c r="F875" s="3"/>
      <c r="G875" s="9"/>
      <c r="H875" s="3"/>
      <c r="I875" s="5"/>
      <c r="J875" s="5"/>
      <c r="K875" s="5"/>
      <c r="L875" s="3"/>
      <c r="M875" s="6"/>
      <c r="N875" s="9"/>
      <c r="O875" s="9"/>
      <c r="P875" s="12"/>
      <c r="Q875" s="12"/>
      <c r="R875" s="12"/>
      <c r="S875" s="12"/>
      <c r="T875" s="12"/>
      <c r="U875" s="12"/>
      <c r="V875" s="12"/>
      <c r="W875" s="12"/>
      <c r="X875" s="12"/>
      <c r="Y875" s="12"/>
      <c r="Z875" s="12"/>
    </row>
    <row r="876" spans="1:26" ht="14.25" customHeight="1" x14ac:dyDescent="0.3">
      <c r="A876" s="3"/>
      <c r="B876" s="8"/>
      <c r="C876" s="3"/>
      <c r="D876" s="3"/>
      <c r="E876" s="8"/>
      <c r="F876" s="3"/>
      <c r="G876" s="9"/>
      <c r="H876" s="3"/>
      <c r="I876" s="5"/>
      <c r="J876" s="5"/>
      <c r="K876" s="5"/>
      <c r="L876" s="3"/>
      <c r="M876" s="6"/>
      <c r="N876" s="9"/>
      <c r="O876" s="9"/>
      <c r="P876" s="12"/>
      <c r="Q876" s="12"/>
      <c r="R876" s="12"/>
      <c r="S876" s="12"/>
      <c r="T876" s="12"/>
      <c r="U876" s="12"/>
      <c r="V876" s="12"/>
      <c r="W876" s="12"/>
      <c r="X876" s="12"/>
      <c r="Y876" s="12"/>
      <c r="Z876" s="12"/>
    </row>
    <row r="877" spans="1:26" ht="14.25" customHeight="1" x14ac:dyDescent="0.3">
      <c r="A877" s="3"/>
      <c r="B877" s="8"/>
      <c r="C877" s="3"/>
      <c r="D877" s="3"/>
      <c r="E877" s="8"/>
      <c r="F877" s="3"/>
      <c r="G877" s="9"/>
      <c r="H877" s="3"/>
      <c r="I877" s="5"/>
      <c r="J877" s="5"/>
      <c r="K877" s="5"/>
      <c r="L877" s="3"/>
      <c r="M877" s="6"/>
      <c r="N877" s="9"/>
      <c r="O877" s="9"/>
      <c r="P877" s="12"/>
      <c r="Q877" s="12"/>
      <c r="R877" s="12"/>
      <c r="S877" s="12"/>
      <c r="T877" s="12"/>
      <c r="U877" s="12"/>
      <c r="V877" s="12"/>
      <c r="W877" s="12"/>
      <c r="X877" s="12"/>
      <c r="Y877" s="12"/>
      <c r="Z877" s="12"/>
    </row>
    <row r="878" spans="1:26" ht="14.25" customHeight="1" x14ac:dyDescent="0.3">
      <c r="A878" s="3"/>
      <c r="B878" s="8"/>
      <c r="C878" s="3"/>
      <c r="D878" s="3"/>
      <c r="E878" s="8"/>
      <c r="F878" s="3"/>
      <c r="G878" s="9"/>
      <c r="H878" s="3"/>
      <c r="I878" s="5"/>
      <c r="J878" s="5"/>
      <c r="K878" s="5"/>
      <c r="L878" s="3"/>
      <c r="M878" s="6"/>
      <c r="N878" s="9"/>
      <c r="O878" s="9"/>
      <c r="P878" s="12"/>
      <c r="Q878" s="12"/>
      <c r="R878" s="12"/>
      <c r="S878" s="12"/>
      <c r="T878" s="12"/>
      <c r="U878" s="12"/>
      <c r="V878" s="12"/>
      <c r="W878" s="12"/>
      <c r="X878" s="12"/>
      <c r="Y878" s="12"/>
      <c r="Z878" s="12"/>
    </row>
    <row r="879" spans="1:26" ht="14.25" customHeight="1" x14ac:dyDescent="0.3">
      <c r="A879" s="3"/>
      <c r="B879" s="8"/>
      <c r="C879" s="3"/>
      <c r="D879" s="3"/>
      <c r="E879" s="8"/>
      <c r="F879" s="3"/>
      <c r="G879" s="9"/>
      <c r="H879" s="3"/>
      <c r="I879" s="5"/>
      <c r="J879" s="5"/>
      <c r="K879" s="5"/>
      <c r="L879" s="3"/>
      <c r="M879" s="6"/>
      <c r="N879" s="9"/>
      <c r="O879" s="9"/>
      <c r="P879" s="12"/>
      <c r="Q879" s="12"/>
      <c r="R879" s="12"/>
      <c r="S879" s="12"/>
      <c r="T879" s="12"/>
      <c r="U879" s="12"/>
      <c r="V879" s="12"/>
      <c r="W879" s="12"/>
      <c r="X879" s="12"/>
      <c r="Y879" s="12"/>
      <c r="Z879" s="12"/>
    </row>
    <row r="880" spans="1:26" ht="14.25" customHeight="1" x14ac:dyDescent="0.3">
      <c r="A880" s="3"/>
      <c r="B880" s="8"/>
      <c r="C880" s="3"/>
      <c r="D880" s="3"/>
      <c r="E880" s="8"/>
      <c r="F880" s="3"/>
      <c r="G880" s="9"/>
      <c r="H880" s="3"/>
      <c r="I880" s="5"/>
      <c r="J880" s="5"/>
      <c r="K880" s="5"/>
      <c r="L880" s="3"/>
      <c r="M880" s="6"/>
      <c r="N880" s="9"/>
      <c r="O880" s="9"/>
      <c r="P880" s="12"/>
      <c r="Q880" s="12"/>
      <c r="R880" s="12"/>
      <c r="S880" s="12"/>
      <c r="T880" s="12"/>
      <c r="U880" s="12"/>
      <c r="V880" s="12"/>
      <c r="W880" s="12"/>
      <c r="X880" s="12"/>
      <c r="Y880" s="12"/>
      <c r="Z880" s="12"/>
    </row>
    <row r="881" spans="1:26" ht="14.25" customHeight="1" x14ac:dyDescent="0.3">
      <c r="A881" s="3"/>
      <c r="B881" s="8"/>
      <c r="C881" s="3"/>
      <c r="D881" s="3"/>
      <c r="E881" s="8"/>
      <c r="F881" s="3"/>
      <c r="G881" s="9"/>
      <c r="H881" s="3"/>
      <c r="I881" s="5"/>
      <c r="J881" s="5"/>
      <c r="K881" s="5"/>
      <c r="L881" s="3"/>
      <c r="M881" s="6"/>
      <c r="N881" s="9"/>
      <c r="O881" s="9"/>
      <c r="P881" s="12"/>
      <c r="Q881" s="12"/>
      <c r="R881" s="12"/>
      <c r="S881" s="12"/>
      <c r="T881" s="12"/>
      <c r="U881" s="12"/>
      <c r="V881" s="12"/>
      <c r="W881" s="12"/>
      <c r="X881" s="12"/>
      <c r="Y881" s="12"/>
      <c r="Z881" s="12"/>
    </row>
    <row r="882" spans="1:26" ht="14.25" customHeight="1" x14ac:dyDescent="0.3">
      <c r="A882" s="3"/>
      <c r="B882" s="8"/>
      <c r="C882" s="3"/>
      <c r="D882" s="3"/>
      <c r="E882" s="8"/>
      <c r="F882" s="3"/>
      <c r="G882" s="9"/>
      <c r="H882" s="3"/>
      <c r="I882" s="5"/>
      <c r="J882" s="5"/>
      <c r="K882" s="5"/>
      <c r="L882" s="3"/>
      <c r="M882" s="6"/>
      <c r="N882" s="9"/>
      <c r="O882" s="9"/>
      <c r="P882" s="12"/>
      <c r="Q882" s="12"/>
      <c r="R882" s="12"/>
      <c r="S882" s="12"/>
      <c r="T882" s="12"/>
      <c r="U882" s="12"/>
      <c r="V882" s="12"/>
      <c r="W882" s="12"/>
      <c r="X882" s="12"/>
      <c r="Y882" s="12"/>
      <c r="Z882" s="12"/>
    </row>
    <row r="883" spans="1:26" ht="14.25" customHeight="1" x14ac:dyDescent="0.3">
      <c r="A883" s="3"/>
      <c r="B883" s="8"/>
      <c r="C883" s="3"/>
      <c r="D883" s="3"/>
      <c r="E883" s="8"/>
      <c r="F883" s="3"/>
      <c r="G883" s="9"/>
      <c r="H883" s="3"/>
      <c r="I883" s="5"/>
      <c r="J883" s="5"/>
      <c r="K883" s="5"/>
      <c r="L883" s="3"/>
      <c r="M883" s="6"/>
      <c r="N883" s="9"/>
      <c r="O883" s="9"/>
      <c r="P883" s="12"/>
      <c r="Q883" s="12"/>
      <c r="R883" s="12"/>
      <c r="S883" s="12"/>
      <c r="T883" s="12"/>
      <c r="U883" s="12"/>
      <c r="V883" s="12"/>
      <c r="W883" s="12"/>
      <c r="X883" s="12"/>
      <c r="Y883" s="12"/>
      <c r="Z883" s="12"/>
    </row>
    <row r="884" spans="1:26" ht="14.25" customHeight="1" x14ac:dyDescent="0.3">
      <c r="A884" s="3"/>
      <c r="B884" s="8"/>
      <c r="C884" s="3"/>
      <c r="D884" s="3"/>
      <c r="E884" s="8"/>
      <c r="F884" s="3"/>
      <c r="G884" s="9"/>
      <c r="H884" s="3"/>
      <c r="I884" s="5"/>
      <c r="J884" s="5"/>
      <c r="K884" s="5"/>
      <c r="L884" s="3"/>
      <c r="M884" s="6"/>
      <c r="N884" s="9"/>
      <c r="O884" s="9"/>
      <c r="P884" s="12"/>
      <c r="Q884" s="12"/>
      <c r="R884" s="12"/>
      <c r="S884" s="12"/>
      <c r="T884" s="12"/>
      <c r="U884" s="12"/>
      <c r="V884" s="12"/>
      <c r="W884" s="12"/>
      <c r="X884" s="12"/>
      <c r="Y884" s="12"/>
      <c r="Z884" s="12"/>
    </row>
    <row r="885" spans="1:26" ht="14.25" customHeight="1" x14ac:dyDescent="0.3">
      <c r="A885" s="3"/>
      <c r="B885" s="8"/>
      <c r="C885" s="3"/>
      <c r="D885" s="3"/>
      <c r="E885" s="8"/>
      <c r="F885" s="3"/>
      <c r="G885" s="9"/>
      <c r="H885" s="3"/>
      <c r="I885" s="5"/>
      <c r="J885" s="5"/>
      <c r="K885" s="5"/>
      <c r="L885" s="3"/>
      <c r="M885" s="6"/>
      <c r="N885" s="9"/>
      <c r="O885" s="9"/>
      <c r="P885" s="12"/>
      <c r="Q885" s="12"/>
      <c r="R885" s="12"/>
      <c r="S885" s="12"/>
      <c r="T885" s="12"/>
      <c r="U885" s="12"/>
      <c r="V885" s="12"/>
      <c r="W885" s="12"/>
      <c r="X885" s="12"/>
      <c r="Y885" s="12"/>
      <c r="Z885" s="12"/>
    </row>
    <row r="886" spans="1:26" ht="14.25" customHeight="1" x14ac:dyDescent="0.3">
      <c r="A886" s="3"/>
      <c r="B886" s="8"/>
      <c r="C886" s="3"/>
      <c r="D886" s="3"/>
      <c r="E886" s="8"/>
      <c r="F886" s="3"/>
      <c r="G886" s="9"/>
      <c r="H886" s="3"/>
      <c r="I886" s="5"/>
      <c r="J886" s="5"/>
      <c r="K886" s="5"/>
      <c r="L886" s="3"/>
      <c r="M886" s="6"/>
      <c r="N886" s="9"/>
      <c r="O886" s="9"/>
      <c r="P886" s="12"/>
      <c r="Q886" s="12"/>
      <c r="R886" s="12"/>
      <c r="S886" s="12"/>
      <c r="T886" s="12"/>
      <c r="U886" s="12"/>
      <c r="V886" s="12"/>
      <c r="W886" s="12"/>
      <c r="X886" s="12"/>
      <c r="Y886" s="12"/>
      <c r="Z886" s="12"/>
    </row>
    <row r="887" spans="1:26" ht="14.25" customHeight="1" x14ac:dyDescent="0.3">
      <c r="A887" s="3"/>
      <c r="B887" s="8"/>
      <c r="C887" s="3"/>
      <c r="D887" s="3"/>
      <c r="E887" s="8"/>
      <c r="F887" s="3"/>
      <c r="G887" s="9"/>
      <c r="H887" s="3"/>
      <c r="I887" s="5"/>
      <c r="J887" s="5"/>
      <c r="K887" s="5"/>
      <c r="L887" s="3"/>
      <c r="M887" s="6"/>
      <c r="N887" s="9"/>
      <c r="O887" s="9"/>
      <c r="P887" s="12"/>
      <c r="Q887" s="12"/>
      <c r="R887" s="12"/>
      <c r="S887" s="12"/>
      <c r="T887" s="12"/>
      <c r="U887" s="12"/>
      <c r="V887" s="12"/>
      <c r="W887" s="12"/>
      <c r="X887" s="12"/>
      <c r="Y887" s="12"/>
      <c r="Z887" s="12"/>
    </row>
    <row r="888" spans="1:26" ht="14.25" customHeight="1" x14ac:dyDescent="0.3">
      <c r="A888" s="3"/>
      <c r="B888" s="8"/>
      <c r="C888" s="3"/>
      <c r="D888" s="3"/>
      <c r="E888" s="8"/>
      <c r="F888" s="3"/>
      <c r="G888" s="9"/>
      <c r="H888" s="3"/>
      <c r="I888" s="5"/>
      <c r="J888" s="5"/>
      <c r="K888" s="5"/>
      <c r="L888" s="3"/>
      <c r="M888" s="6"/>
      <c r="N888" s="9"/>
      <c r="O888" s="9"/>
      <c r="P888" s="12"/>
      <c r="Q888" s="12"/>
      <c r="R888" s="12"/>
      <c r="S888" s="12"/>
      <c r="T888" s="12"/>
      <c r="U888" s="12"/>
      <c r="V888" s="12"/>
      <c r="W888" s="12"/>
      <c r="X888" s="12"/>
      <c r="Y888" s="12"/>
      <c r="Z888" s="12"/>
    </row>
    <row r="889" spans="1:26" ht="14.25" customHeight="1" x14ac:dyDescent="0.3">
      <c r="A889" s="3"/>
      <c r="B889" s="8"/>
      <c r="C889" s="3"/>
      <c r="D889" s="3"/>
      <c r="E889" s="8"/>
      <c r="F889" s="3"/>
      <c r="G889" s="9"/>
      <c r="H889" s="3"/>
      <c r="I889" s="5"/>
      <c r="J889" s="5"/>
      <c r="K889" s="5"/>
      <c r="L889" s="3"/>
      <c r="M889" s="6"/>
      <c r="N889" s="9"/>
      <c r="O889" s="9"/>
      <c r="P889" s="12"/>
      <c r="Q889" s="12"/>
      <c r="R889" s="12"/>
      <c r="S889" s="12"/>
      <c r="T889" s="12"/>
      <c r="U889" s="12"/>
      <c r="V889" s="12"/>
      <c r="W889" s="12"/>
      <c r="X889" s="12"/>
      <c r="Y889" s="12"/>
      <c r="Z889" s="12"/>
    </row>
    <row r="890" spans="1:26" ht="14.25" customHeight="1" x14ac:dyDescent="0.3">
      <c r="A890" s="3"/>
      <c r="B890" s="8"/>
      <c r="C890" s="3"/>
      <c r="D890" s="3"/>
      <c r="E890" s="8"/>
      <c r="F890" s="3"/>
      <c r="G890" s="9"/>
      <c r="H890" s="3"/>
      <c r="I890" s="5"/>
      <c r="J890" s="5"/>
      <c r="K890" s="5"/>
      <c r="L890" s="3"/>
      <c r="M890" s="6"/>
      <c r="N890" s="9"/>
      <c r="O890" s="9"/>
      <c r="P890" s="12"/>
      <c r="Q890" s="12"/>
      <c r="R890" s="12"/>
      <c r="S890" s="12"/>
      <c r="T890" s="12"/>
      <c r="U890" s="12"/>
      <c r="V890" s="12"/>
      <c r="W890" s="12"/>
      <c r="X890" s="12"/>
      <c r="Y890" s="12"/>
      <c r="Z890" s="12"/>
    </row>
    <row r="891" spans="1:26" ht="14.25" customHeight="1" x14ac:dyDescent="0.3">
      <c r="A891" s="3"/>
      <c r="B891" s="8"/>
      <c r="C891" s="3"/>
      <c r="D891" s="3"/>
      <c r="E891" s="8"/>
      <c r="F891" s="3"/>
      <c r="G891" s="9"/>
      <c r="H891" s="3"/>
      <c r="I891" s="5"/>
      <c r="J891" s="5"/>
      <c r="K891" s="5"/>
      <c r="L891" s="3"/>
      <c r="M891" s="6"/>
      <c r="N891" s="9"/>
      <c r="O891" s="9"/>
      <c r="P891" s="12"/>
      <c r="Q891" s="12"/>
      <c r="R891" s="12"/>
      <c r="S891" s="12"/>
      <c r="T891" s="12"/>
      <c r="U891" s="12"/>
      <c r="V891" s="12"/>
      <c r="W891" s="12"/>
      <c r="X891" s="12"/>
      <c r="Y891" s="12"/>
      <c r="Z891" s="12"/>
    </row>
    <row r="892" spans="1:26" ht="14.25" customHeight="1" x14ac:dyDescent="0.3">
      <c r="A892" s="3"/>
      <c r="B892" s="8"/>
      <c r="C892" s="3"/>
      <c r="D892" s="3"/>
      <c r="E892" s="8"/>
      <c r="F892" s="3"/>
      <c r="G892" s="9"/>
      <c r="H892" s="3"/>
      <c r="I892" s="5"/>
      <c r="J892" s="5"/>
      <c r="K892" s="5"/>
      <c r="L892" s="3"/>
      <c r="M892" s="6"/>
      <c r="N892" s="9"/>
      <c r="O892" s="9"/>
      <c r="P892" s="12"/>
      <c r="Q892" s="12"/>
      <c r="R892" s="12"/>
      <c r="S892" s="12"/>
      <c r="T892" s="12"/>
      <c r="U892" s="12"/>
      <c r="V892" s="12"/>
      <c r="W892" s="12"/>
      <c r="X892" s="12"/>
      <c r="Y892" s="12"/>
      <c r="Z892" s="12"/>
    </row>
    <row r="893" spans="1:26" ht="14.25" customHeight="1" x14ac:dyDescent="0.3">
      <c r="A893" s="3"/>
      <c r="B893" s="8"/>
      <c r="C893" s="3"/>
      <c r="D893" s="3"/>
      <c r="E893" s="8"/>
      <c r="F893" s="3"/>
      <c r="G893" s="9"/>
      <c r="H893" s="3"/>
      <c r="I893" s="5"/>
      <c r="J893" s="5"/>
      <c r="K893" s="5"/>
      <c r="L893" s="3"/>
      <c r="M893" s="6"/>
      <c r="N893" s="9"/>
      <c r="O893" s="9"/>
      <c r="P893" s="12"/>
      <c r="Q893" s="12"/>
      <c r="R893" s="12"/>
      <c r="S893" s="12"/>
      <c r="T893" s="12"/>
      <c r="U893" s="12"/>
      <c r="V893" s="12"/>
      <c r="W893" s="12"/>
      <c r="X893" s="12"/>
      <c r="Y893" s="12"/>
      <c r="Z893" s="12"/>
    </row>
    <row r="894" spans="1:26" ht="14.25" customHeight="1" x14ac:dyDescent="0.3">
      <c r="A894" s="3"/>
      <c r="B894" s="8"/>
      <c r="C894" s="3"/>
      <c r="D894" s="3"/>
      <c r="E894" s="8"/>
      <c r="F894" s="3"/>
      <c r="G894" s="9"/>
      <c r="H894" s="3"/>
      <c r="I894" s="5"/>
      <c r="J894" s="5"/>
      <c r="K894" s="5"/>
      <c r="L894" s="3"/>
      <c r="M894" s="6"/>
      <c r="N894" s="9"/>
      <c r="O894" s="9"/>
      <c r="P894" s="12"/>
      <c r="Q894" s="12"/>
      <c r="R894" s="12"/>
      <c r="S894" s="12"/>
      <c r="T894" s="12"/>
      <c r="U894" s="12"/>
      <c r="V894" s="12"/>
      <c r="W894" s="12"/>
      <c r="X894" s="12"/>
      <c r="Y894" s="12"/>
      <c r="Z894" s="12"/>
    </row>
    <row r="895" spans="1:26" ht="14.25" customHeight="1" x14ac:dyDescent="0.3">
      <c r="A895" s="3"/>
      <c r="B895" s="8"/>
      <c r="C895" s="3"/>
      <c r="D895" s="3"/>
      <c r="E895" s="8"/>
      <c r="F895" s="3"/>
      <c r="G895" s="9"/>
      <c r="H895" s="3"/>
      <c r="I895" s="5"/>
      <c r="J895" s="5"/>
      <c r="K895" s="5"/>
      <c r="L895" s="3"/>
      <c r="M895" s="6"/>
      <c r="N895" s="9"/>
      <c r="O895" s="9"/>
      <c r="P895" s="12"/>
      <c r="Q895" s="12"/>
      <c r="R895" s="12"/>
      <c r="S895" s="12"/>
      <c r="T895" s="12"/>
      <c r="U895" s="12"/>
      <c r="V895" s="12"/>
      <c r="W895" s="12"/>
      <c r="X895" s="12"/>
      <c r="Y895" s="12"/>
      <c r="Z895" s="12"/>
    </row>
    <row r="896" spans="1:26" ht="14.25" customHeight="1" x14ac:dyDescent="0.3">
      <c r="A896" s="3"/>
      <c r="B896" s="8"/>
      <c r="C896" s="3"/>
      <c r="D896" s="3"/>
      <c r="E896" s="8"/>
      <c r="F896" s="3"/>
      <c r="G896" s="9"/>
      <c r="H896" s="3"/>
      <c r="I896" s="5"/>
      <c r="J896" s="5"/>
      <c r="K896" s="5"/>
      <c r="L896" s="3"/>
      <c r="M896" s="6"/>
      <c r="N896" s="9"/>
      <c r="O896" s="9"/>
      <c r="P896" s="12"/>
      <c r="Q896" s="12"/>
      <c r="R896" s="12"/>
      <c r="S896" s="12"/>
      <c r="T896" s="12"/>
      <c r="U896" s="12"/>
      <c r="V896" s="12"/>
      <c r="W896" s="12"/>
      <c r="X896" s="12"/>
      <c r="Y896" s="12"/>
      <c r="Z896" s="12"/>
    </row>
    <row r="897" spans="1:26" ht="14.25" customHeight="1" x14ac:dyDescent="0.3">
      <c r="A897" s="3"/>
      <c r="B897" s="8"/>
      <c r="C897" s="3"/>
      <c r="D897" s="3"/>
      <c r="E897" s="8"/>
      <c r="F897" s="3"/>
      <c r="G897" s="9"/>
      <c r="H897" s="3"/>
      <c r="I897" s="5"/>
      <c r="J897" s="5"/>
      <c r="K897" s="5"/>
      <c r="L897" s="3"/>
      <c r="M897" s="6"/>
      <c r="N897" s="9"/>
      <c r="O897" s="9"/>
      <c r="P897" s="12"/>
      <c r="Q897" s="12"/>
      <c r="R897" s="12"/>
      <c r="S897" s="12"/>
      <c r="T897" s="12"/>
      <c r="U897" s="12"/>
      <c r="V897" s="12"/>
      <c r="W897" s="12"/>
      <c r="X897" s="12"/>
      <c r="Y897" s="12"/>
      <c r="Z897" s="12"/>
    </row>
    <row r="898" spans="1:26" ht="14.25" customHeight="1" x14ac:dyDescent="0.3">
      <c r="A898" s="3"/>
      <c r="B898" s="8"/>
      <c r="C898" s="3"/>
      <c r="D898" s="3"/>
      <c r="E898" s="8"/>
      <c r="F898" s="3"/>
      <c r="G898" s="9"/>
      <c r="H898" s="3"/>
      <c r="I898" s="5"/>
      <c r="J898" s="5"/>
      <c r="K898" s="5"/>
      <c r="L898" s="3"/>
      <c r="M898" s="6"/>
      <c r="N898" s="9"/>
      <c r="O898" s="9"/>
      <c r="P898" s="12"/>
      <c r="Q898" s="12"/>
      <c r="R898" s="12"/>
      <c r="S898" s="12"/>
      <c r="T898" s="12"/>
      <c r="U898" s="12"/>
      <c r="V898" s="12"/>
      <c r="W898" s="12"/>
      <c r="X898" s="12"/>
      <c r="Y898" s="12"/>
      <c r="Z898" s="12"/>
    </row>
    <row r="899" spans="1:26" ht="14.25" customHeight="1" x14ac:dyDescent="0.3">
      <c r="A899" s="3"/>
      <c r="B899" s="8"/>
      <c r="C899" s="3"/>
      <c r="D899" s="3"/>
      <c r="E899" s="8"/>
      <c r="F899" s="3"/>
      <c r="G899" s="9"/>
      <c r="H899" s="3"/>
      <c r="I899" s="5"/>
      <c r="J899" s="5"/>
      <c r="K899" s="5"/>
      <c r="L899" s="3"/>
      <c r="M899" s="6"/>
      <c r="N899" s="9"/>
      <c r="O899" s="9"/>
      <c r="P899" s="12"/>
      <c r="Q899" s="12"/>
      <c r="R899" s="12"/>
      <c r="S899" s="12"/>
      <c r="T899" s="12"/>
      <c r="U899" s="12"/>
      <c r="V899" s="12"/>
      <c r="W899" s="12"/>
      <c r="X899" s="12"/>
      <c r="Y899" s="12"/>
      <c r="Z899" s="12"/>
    </row>
    <row r="900" spans="1:26" ht="14.25" customHeight="1" x14ac:dyDescent="0.3">
      <c r="A900" s="3"/>
      <c r="B900" s="8"/>
      <c r="C900" s="3"/>
      <c r="D900" s="3"/>
      <c r="E900" s="8"/>
      <c r="F900" s="3"/>
      <c r="G900" s="9"/>
      <c r="H900" s="3"/>
      <c r="I900" s="5"/>
      <c r="J900" s="5"/>
      <c r="K900" s="5"/>
      <c r="L900" s="3"/>
      <c r="M900" s="6"/>
      <c r="N900" s="9"/>
      <c r="O900" s="9"/>
      <c r="P900" s="12"/>
      <c r="Q900" s="12"/>
      <c r="R900" s="12"/>
      <c r="S900" s="12"/>
      <c r="T900" s="12"/>
      <c r="U900" s="12"/>
      <c r="V900" s="12"/>
      <c r="W900" s="12"/>
      <c r="X900" s="12"/>
      <c r="Y900" s="12"/>
      <c r="Z900" s="12"/>
    </row>
    <row r="901" spans="1:26" ht="14.25" customHeight="1" x14ac:dyDescent="0.3">
      <c r="A901" s="3"/>
      <c r="B901" s="8"/>
      <c r="C901" s="3"/>
      <c r="D901" s="3"/>
      <c r="E901" s="8"/>
      <c r="F901" s="3"/>
      <c r="G901" s="9"/>
      <c r="H901" s="3"/>
      <c r="I901" s="5"/>
      <c r="J901" s="5"/>
      <c r="K901" s="5"/>
      <c r="L901" s="3"/>
      <c r="M901" s="6"/>
      <c r="N901" s="9"/>
      <c r="O901" s="9"/>
      <c r="P901" s="12"/>
      <c r="Q901" s="12"/>
      <c r="R901" s="12"/>
      <c r="S901" s="12"/>
      <c r="T901" s="12"/>
      <c r="U901" s="12"/>
      <c r="V901" s="12"/>
      <c r="W901" s="12"/>
      <c r="X901" s="12"/>
      <c r="Y901" s="12"/>
      <c r="Z901" s="12"/>
    </row>
    <row r="902" spans="1:26" ht="14.25" customHeight="1" x14ac:dyDescent="0.3">
      <c r="A902" s="3"/>
      <c r="B902" s="8"/>
      <c r="C902" s="3"/>
      <c r="D902" s="3"/>
      <c r="E902" s="8"/>
      <c r="F902" s="3"/>
      <c r="G902" s="9"/>
      <c r="H902" s="3"/>
      <c r="I902" s="5"/>
      <c r="J902" s="5"/>
      <c r="K902" s="5"/>
      <c r="L902" s="3"/>
      <c r="M902" s="6"/>
      <c r="N902" s="9"/>
      <c r="O902" s="9"/>
      <c r="P902" s="12"/>
      <c r="Q902" s="12"/>
      <c r="R902" s="12"/>
      <c r="S902" s="12"/>
      <c r="T902" s="12"/>
      <c r="U902" s="12"/>
      <c r="V902" s="12"/>
      <c r="W902" s="12"/>
      <c r="X902" s="12"/>
      <c r="Y902" s="12"/>
      <c r="Z902" s="12"/>
    </row>
    <row r="903" spans="1:26" ht="14.25" customHeight="1" x14ac:dyDescent="0.3">
      <c r="A903" s="3"/>
      <c r="B903" s="8"/>
      <c r="C903" s="3"/>
      <c r="D903" s="3"/>
      <c r="E903" s="8"/>
      <c r="F903" s="3"/>
      <c r="G903" s="9"/>
      <c r="H903" s="3"/>
      <c r="I903" s="5"/>
      <c r="J903" s="5"/>
      <c r="K903" s="5"/>
      <c r="L903" s="3"/>
      <c r="M903" s="6"/>
      <c r="N903" s="9"/>
      <c r="O903" s="9"/>
      <c r="P903" s="12"/>
      <c r="Q903" s="12"/>
      <c r="R903" s="12"/>
      <c r="S903" s="12"/>
      <c r="T903" s="12"/>
      <c r="U903" s="12"/>
      <c r="V903" s="12"/>
      <c r="W903" s="12"/>
      <c r="X903" s="12"/>
      <c r="Y903" s="12"/>
      <c r="Z903" s="12"/>
    </row>
    <row r="904" spans="1:26" ht="14.25" customHeight="1" x14ac:dyDescent="0.3">
      <c r="A904" s="3"/>
      <c r="B904" s="8"/>
      <c r="C904" s="3"/>
      <c r="D904" s="3"/>
      <c r="E904" s="8"/>
      <c r="F904" s="3"/>
      <c r="G904" s="9"/>
      <c r="H904" s="3"/>
      <c r="I904" s="5"/>
      <c r="J904" s="5"/>
      <c r="K904" s="5"/>
      <c r="L904" s="3"/>
      <c r="M904" s="6"/>
      <c r="N904" s="9"/>
      <c r="O904" s="9"/>
      <c r="P904" s="12"/>
      <c r="Q904" s="12"/>
      <c r="R904" s="12"/>
      <c r="S904" s="12"/>
      <c r="T904" s="12"/>
      <c r="U904" s="12"/>
      <c r="V904" s="12"/>
      <c r="W904" s="12"/>
      <c r="X904" s="12"/>
      <c r="Y904" s="12"/>
      <c r="Z904" s="12"/>
    </row>
    <row r="905" spans="1:26" ht="14.25" customHeight="1" x14ac:dyDescent="0.3">
      <c r="A905" s="3"/>
      <c r="B905" s="8"/>
      <c r="C905" s="3"/>
      <c r="D905" s="3"/>
      <c r="E905" s="8"/>
      <c r="F905" s="3"/>
      <c r="G905" s="9"/>
      <c r="H905" s="3"/>
      <c r="I905" s="5"/>
      <c r="J905" s="5"/>
      <c r="K905" s="5"/>
      <c r="L905" s="3"/>
      <c r="M905" s="6"/>
      <c r="N905" s="9"/>
      <c r="O905" s="9"/>
      <c r="P905" s="12"/>
      <c r="Q905" s="12"/>
      <c r="R905" s="12"/>
      <c r="S905" s="12"/>
      <c r="T905" s="12"/>
      <c r="U905" s="12"/>
      <c r="V905" s="12"/>
      <c r="W905" s="12"/>
      <c r="X905" s="12"/>
      <c r="Y905" s="12"/>
      <c r="Z905" s="12"/>
    </row>
    <row r="906" spans="1:26" ht="14.25" customHeight="1" x14ac:dyDescent="0.3">
      <c r="A906" s="3"/>
      <c r="B906" s="8"/>
      <c r="C906" s="3"/>
      <c r="D906" s="3"/>
      <c r="E906" s="8"/>
      <c r="F906" s="3"/>
      <c r="G906" s="9"/>
      <c r="H906" s="3"/>
      <c r="I906" s="5"/>
      <c r="J906" s="5"/>
      <c r="K906" s="5"/>
      <c r="L906" s="3"/>
      <c r="M906" s="6"/>
      <c r="N906" s="9"/>
      <c r="O906" s="9"/>
      <c r="P906" s="12"/>
      <c r="Q906" s="12"/>
      <c r="R906" s="12"/>
      <c r="S906" s="12"/>
      <c r="T906" s="12"/>
      <c r="U906" s="12"/>
      <c r="V906" s="12"/>
      <c r="W906" s="12"/>
      <c r="X906" s="12"/>
      <c r="Y906" s="12"/>
      <c r="Z906" s="12"/>
    </row>
    <row r="907" spans="1:26" ht="14.25" customHeight="1" x14ac:dyDescent="0.3">
      <c r="A907" s="3"/>
      <c r="B907" s="8"/>
      <c r="C907" s="3"/>
      <c r="D907" s="3"/>
      <c r="E907" s="8"/>
      <c r="F907" s="3"/>
      <c r="G907" s="9"/>
      <c r="H907" s="3"/>
      <c r="I907" s="5"/>
      <c r="J907" s="5"/>
      <c r="K907" s="5"/>
      <c r="L907" s="3"/>
      <c r="M907" s="6"/>
      <c r="N907" s="9"/>
      <c r="O907" s="9"/>
      <c r="P907" s="12"/>
      <c r="Q907" s="12"/>
      <c r="R907" s="12"/>
      <c r="S907" s="12"/>
      <c r="T907" s="12"/>
      <c r="U907" s="12"/>
      <c r="V907" s="12"/>
      <c r="W907" s="12"/>
      <c r="X907" s="12"/>
      <c r="Y907" s="12"/>
      <c r="Z907" s="12"/>
    </row>
    <row r="908" spans="1:26" ht="14.25" customHeight="1" x14ac:dyDescent="0.3">
      <c r="A908" s="3"/>
      <c r="B908" s="8"/>
      <c r="C908" s="3"/>
      <c r="D908" s="3"/>
      <c r="E908" s="8"/>
      <c r="F908" s="3"/>
      <c r="G908" s="9"/>
      <c r="H908" s="3"/>
      <c r="I908" s="5"/>
      <c r="J908" s="5"/>
      <c r="K908" s="5"/>
      <c r="L908" s="3"/>
      <c r="M908" s="6"/>
      <c r="N908" s="9"/>
      <c r="O908" s="9"/>
      <c r="P908" s="12"/>
      <c r="Q908" s="12"/>
      <c r="R908" s="12"/>
      <c r="S908" s="12"/>
      <c r="T908" s="12"/>
      <c r="U908" s="12"/>
      <c r="V908" s="12"/>
      <c r="W908" s="12"/>
      <c r="X908" s="12"/>
      <c r="Y908" s="12"/>
      <c r="Z908" s="12"/>
    </row>
    <row r="909" spans="1:26" ht="14.25" customHeight="1" x14ac:dyDescent="0.3">
      <c r="A909" s="3"/>
      <c r="B909" s="8"/>
      <c r="C909" s="3"/>
      <c r="D909" s="3"/>
      <c r="E909" s="8"/>
      <c r="F909" s="3"/>
      <c r="G909" s="9"/>
      <c r="H909" s="3"/>
      <c r="I909" s="5"/>
      <c r="J909" s="5"/>
      <c r="K909" s="5"/>
      <c r="L909" s="3"/>
      <c r="M909" s="6"/>
      <c r="N909" s="9"/>
      <c r="O909" s="9"/>
      <c r="P909" s="12"/>
      <c r="Q909" s="12"/>
      <c r="R909" s="12"/>
      <c r="S909" s="12"/>
      <c r="T909" s="12"/>
      <c r="U909" s="12"/>
      <c r="V909" s="12"/>
      <c r="W909" s="12"/>
      <c r="X909" s="12"/>
      <c r="Y909" s="12"/>
      <c r="Z909" s="12"/>
    </row>
    <row r="910" spans="1:26" ht="14.25" customHeight="1" x14ac:dyDescent="0.3">
      <c r="A910" s="3"/>
      <c r="B910" s="8"/>
      <c r="C910" s="3"/>
      <c r="D910" s="3"/>
      <c r="E910" s="8"/>
      <c r="F910" s="3"/>
      <c r="G910" s="9"/>
      <c r="H910" s="3"/>
      <c r="I910" s="5"/>
      <c r="J910" s="5"/>
      <c r="K910" s="5"/>
      <c r="L910" s="3"/>
      <c r="M910" s="6"/>
      <c r="N910" s="9"/>
      <c r="O910" s="9"/>
      <c r="P910" s="12"/>
      <c r="Q910" s="12"/>
      <c r="R910" s="12"/>
      <c r="S910" s="12"/>
      <c r="T910" s="12"/>
      <c r="U910" s="12"/>
      <c r="V910" s="12"/>
      <c r="W910" s="12"/>
      <c r="X910" s="12"/>
      <c r="Y910" s="12"/>
      <c r="Z910" s="12"/>
    </row>
    <row r="911" spans="1:26" ht="14.25" customHeight="1" x14ac:dyDescent="0.3">
      <c r="A911" s="3"/>
      <c r="B911" s="8"/>
      <c r="C911" s="3"/>
      <c r="D911" s="3"/>
      <c r="E911" s="8"/>
      <c r="F911" s="3"/>
      <c r="G911" s="9"/>
      <c r="H911" s="3"/>
      <c r="I911" s="5"/>
      <c r="J911" s="5"/>
      <c r="K911" s="5"/>
      <c r="L911" s="3"/>
      <c r="M911" s="6"/>
      <c r="N911" s="9"/>
      <c r="O911" s="9"/>
      <c r="P911" s="12"/>
      <c r="Q911" s="12"/>
      <c r="R911" s="12"/>
      <c r="S911" s="12"/>
      <c r="T911" s="12"/>
      <c r="U911" s="12"/>
      <c r="V911" s="12"/>
      <c r="W911" s="12"/>
      <c r="X911" s="12"/>
      <c r="Y911" s="12"/>
      <c r="Z911" s="12"/>
    </row>
    <row r="912" spans="1:26" ht="14.25" customHeight="1" x14ac:dyDescent="0.3">
      <c r="A912" s="3"/>
      <c r="B912" s="8"/>
      <c r="C912" s="3"/>
      <c r="D912" s="3"/>
      <c r="E912" s="8"/>
      <c r="F912" s="3"/>
      <c r="G912" s="9"/>
      <c r="H912" s="3"/>
      <c r="I912" s="5"/>
      <c r="J912" s="5"/>
      <c r="K912" s="5"/>
      <c r="L912" s="3"/>
      <c r="M912" s="6"/>
      <c r="N912" s="9"/>
      <c r="O912" s="9"/>
      <c r="P912" s="12"/>
      <c r="Q912" s="12"/>
      <c r="R912" s="12"/>
      <c r="S912" s="12"/>
      <c r="T912" s="12"/>
      <c r="U912" s="12"/>
      <c r="V912" s="12"/>
      <c r="W912" s="12"/>
      <c r="X912" s="12"/>
      <c r="Y912" s="12"/>
      <c r="Z912" s="12"/>
    </row>
    <row r="913" spans="1:26" ht="14.25" customHeight="1" x14ac:dyDescent="0.3">
      <c r="A913" s="3"/>
      <c r="B913" s="8"/>
      <c r="C913" s="3"/>
      <c r="D913" s="3"/>
      <c r="E913" s="8"/>
      <c r="F913" s="3"/>
      <c r="G913" s="9"/>
      <c r="H913" s="3"/>
      <c r="I913" s="5"/>
      <c r="J913" s="5"/>
      <c r="K913" s="5"/>
      <c r="L913" s="3"/>
      <c r="M913" s="6"/>
      <c r="N913" s="9"/>
      <c r="O913" s="9"/>
      <c r="P913" s="12"/>
      <c r="Q913" s="12"/>
      <c r="R913" s="12"/>
      <c r="S913" s="12"/>
      <c r="T913" s="12"/>
      <c r="U913" s="12"/>
      <c r="V913" s="12"/>
      <c r="W913" s="12"/>
      <c r="X913" s="12"/>
      <c r="Y913" s="12"/>
      <c r="Z913" s="12"/>
    </row>
    <row r="914" spans="1:26" ht="14.25" customHeight="1" x14ac:dyDescent="0.3">
      <c r="A914" s="3"/>
      <c r="B914" s="8"/>
      <c r="C914" s="3"/>
      <c r="D914" s="3"/>
      <c r="E914" s="8"/>
      <c r="F914" s="3"/>
      <c r="G914" s="9"/>
      <c r="H914" s="3"/>
      <c r="I914" s="5"/>
      <c r="J914" s="5"/>
      <c r="K914" s="5"/>
      <c r="L914" s="3"/>
      <c r="M914" s="6"/>
      <c r="N914" s="9"/>
      <c r="O914" s="9"/>
      <c r="P914" s="12"/>
      <c r="Q914" s="12"/>
      <c r="R914" s="12"/>
      <c r="S914" s="12"/>
      <c r="T914" s="12"/>
      <c r="U914" s="12"/>
      <c r="V914" s="12"/>
      <c r="W914" s="12"/>
      <c r="X914" s="12"/>
      <c r="Y914" s="12"/>
      <c r="Z914" s="12"/>
    </row>
    <row r="915" spans="1:26" ht="14.25" customHeight="1" x14ac:dyDescent="0.3">
      <c r="A915" s="3"/>
      <c r="B915" s="8"/>
      <c r="C915" s="3"/>
      <c r="D915" s="3"/>
      <c r="E915" s="8"/>
      <c r="F915" s="3"/>
      <c r="G915" s="9"/>
      <c r="H915" s="3"/>
      <c r="I915" s="5"/>
      <c r="J915" s="5"/>
      <c r="K915" s="5"/>
      <c r="L915" s="3"/>
      <c r="M915" s="6"/>
      <c r="N915" s="9"/>
      <c r="O915" s="9"/>
      <c r="P915" s="12"/>
      <c r="Q915" s="12"/>
      <c r="R915" s="12"/>
      <c r="S915" s="12"/>
      <c r="T915" s="12"/>
      <c r="U915" s="12"/>
      <c r="V915" s="12"/>
      <c r="W915" s="12"/>
      <c r="X915" s="12"/>
      <c r="Y915" s="12"/>
      <c r="Z915" s="12"/>
    </row>
    <row r="916" spans="1:26" ht="14.25" customHeight="1" x14ac:dyDescent="0.3">
      <c r="A916" s="3"/>
      <c r="B916" s="8"/>
      <c r="C916" s="3"/>
      <c r="D916" s="3"/>
      <c r="E916" s="8"/>
      <c r="F916" s="3"/>
      <c r="G916" s="9"/>
      <c r="H916" s="3"/>
      <c r="I916" s="5"/>
      <c r="J916" s="5"/>
      <c r="K916" s="5"/>
      <c r="L916" s="3"/>
      <c r="M916" s="6"/>
      <c r="N916" s="9"/>
      <c r="O916" s="9"/>
      <c r="P916" s="12"/>
      <c r="Q916" s="12"/>
      <c r="R916" s="12"/>
      <c r="S916" s="12"/>
      <c r="T916" s="12"/>
      <c r="U916" s="12"/>
      <c r="V916" s="12"/>
      <c r="W916" s="12"/>
      <c r="X916" s="12"/>
      <c r="Y916" s="12"/>
      <c r="Z916" s="12"/>
    </row>
    <row r="917" spans="1:26" ht="14.25" customHeight="1" x14ac:dyDescent="0.3">
      <c r="A917" s="3"/>
      <c r="B917" s="8"/>
      <c r="C917" s="3"/>
      <c r="D917" s="3"/>
      <c r="E917" s="8"/>
      <c r="F917" s="3"/>
      <c r="G917" s="9"/>
      <c r="H917" s="3"/>
      <c r="I917" s="5"/>
      <c r="J917" s="5"/>
      <c r="K917" s="5"/>
      <c r="L917" s="3"/>
      <c r="M917" s="6"/>
      <c r="N917" s="9"/>
      <c r="O917" s="9"/>
      <c r="P917" s="12"/>
      <c r="Q917" s="12"/>
      <c r="R917" s="12"/>
      <c r="S917" s="12"/>
      <c r="T917" s="12"/>
      <c r="U917" s="12"/>
      <c r="V917" s="12"/>
      <c r="W917" s="12"/>
      <c r="X917" s="12"/>
      <c r="Y917" s="12"/>
      <c r="Z917" s="12"/>
    </row>
    <row r="918" spans="1:26" ht="14.25" customHeight="1" x14ac:dyDescent="0.3">
      <c r="A918" s="3"/>
      <c r="B918" s="8"/>
      <c r="C918" s="3"/>
      <c r="D918" s="3"/>
      <c r="E918" s="8"/>
      <c r="F918" s="3"/>
      <c r="G918" s="9"/>
      <c r="H918" s="3"/>
      <c r="I918" s="5"/>
      <c r="J918" s="5"/>
      <c r="K918" s="5"/>
      <c r="L918" s="3"/>
      <c r="M918" s="6"/>
      <c r="N918" s="9"/>
      <c r="O918" s="9"/>
      <c r="P918" s="12"/>
      <c r="Q918" s="12"/>
      <c r="R918" s="12"/>
      <c r="S918" s="12"/>
      <c r="T918" s="12"/>
      <c r="U918" s="12"/>
      <c r="V918" s="12"/>
      <c r="W918" s="12"/>
      <c r="X918" s="12"/>
      <c r="Y918" s="12"/>
      <c r="Z918" s="12"/>
    </row>
    <row r="919" spans="1:26" ht="14.25" customHeight="1" x14ac:dyDescent="0.3">
      <c r="A919" s="3"/>
      <c r="B919" s="8"/>
      <c r="C919" s="3"/>
      <c r="D919" s="3"/>
      <c r="E919" s="8"/>
      <c r="F919" s="3"/>
      <c r="G919" s="9"/>
      <c r="H919" s="3"/>
      <c r="I919" s="5"/>
      <c r="J919" s="5"/>
      <c r="K919" s="5"/>
      <c r="L919" s="3"/>
      <c r="M919" s="6"/>
      <c r="N919" s="9"/>
      <c r="O919" s="9"/>
      <c r="P919" s="12"/>
      <c r="Q919" s="12"/>
      <c r="R919" s="12"/>
      <c r="S919" s="12"/>
      <c r="T919" s="12"/>
      <c r="U919" s="12"/>
      <c r="V919" s="12"/>
      <c r="W919" s="12"/>
      <c r="X919" s="12"/>
      <c r="Y919" s="12"/>
      <c r="Z919" s="12"/>
    </row>
    <row r="920" spans="1:26" ht="14.25" customHeight="1" x14ac:dyDescent="0.3">
      <c r="A920" s="3"/>
      <c r="B920" s="8"/>
      <c r="C920" s="3"/>
      <c r="D920" s="3"/>
      <c r="E920" s="8"/>
      <c r="F920" s="3"/>
      <c r="G920" s="9"/>
      <c r="H920" s="3"/>
      <c r="I920" s="5"/>
      <c r="J920" s="5"/>
      <c r="K920" s="5"/>
      <c r="L920" s="3"/>
      <c r="M920" s="6"/>
      <c r="N920" s="9"/>
      <c r="O920" s="9"/>
      <c r="P920" s="12"/>
      <c r="Q920" s="12"/>
      <c r="R920" s="12"/>
      <c r="S920" s="12"/>
      <c r="T920" s="12"/>
      <c r="U920" s="12"/>
      <c r="V920" s="12"/>
      <c r="W920" s="12"/>
      <c r="X920" s="12"/>
      <c r="Y920" s="12"/>
      <c r="Z920" s="12"/>
    </row>
    <row r="921" spans="1:26" ht="14.25" customHeight="1" x14ac:dyDescent="0.3">
      <c r="A921" s="3"/>
      <c r="B921" s="8"/>
      <c r="C921" s="3"/>
      <c r="D921" s="3"/>
      <c r="E921" s="8"/>
      <c r="F921" s="3"/>
      <c r="G921" s="9"/>
      <c r="H921" s="3"/>
      <c r="I921" s="5"/>
      <c r="J921" s="5"/>
      <c r="K921" s="5"/>
      <c r="L921" s="3"/>
      <c r="M921" s="6"/>
      <c r="N921" s="9"/>
      <c r="O921" s="9"/>
      <c r="P921" s="12"/>
      <c r="Q921" s="12"/>
      <c r="R921" s="12"/>
      <c r="S921" s="12"/>
      <c r="T921" s="12"/>
      <c r="U921" s="12"/>
      <c r="V921" s="12"/>
      <c r="W921" s="12"/>
      <c r="X921" s="12"/>
      <c r="Y921" s="12"/>
      <c r="Z921" s="12"/>
    </row>
    <row r="922" spans="1:26" ht="14.25" customHeight="1" x14ac:dyDescent="0.3">
      <c r="A922" s="3"/>
      <c r="B922" s="8"/>
      <c r="C922" s="3"/>
      <c r="D922" s="3"/>
      <c r="E922" s="8"/>
      <c r="F922" s="3"/>
      <c r="G922" s="9"/>
      <c r="H922" s="3"/>
      <c r="I922" s="5"/>
      <c r="J922" s="5"/>
      <c r="K922" s="5"/>
      <c r="L922" s="3"/>
      <c r="M922" s="6"/>
      <c r="N922" s="9"/>
      <c r="O922" s="9"/>
      <c r="P922" s="12"/>
      <c r="Q922" s="12"/>
      <c r="R922" s="12"/>
      <c r="S922" s="12"/>
      <c r="T922" s="12"/>
      <c r="U922" s="12"/>
      <c r="V922" s="12"/>
      <c r="W922" s="12"/>
      <c r="X922" s="12"/>
      <c r="Y922" s="12"/>
      <c r="Z922" s="12"/>
    </row>
    <row r="923" spans="1:26" ht="14.25" customHeight="1" x14ac:dyDescent="0.3">
      <c r="A923" s="3"/>
      <c r="B923" s="8"/>
      <c r="C923" s="3"/>
      <c r="D923" s="3"/>
      <c r="E923" s="8"/>
      <c r="F923" s="3"/>
      <c r="G923" s="9"/>
      <c r="H923" s="3"/>
      <c r="I923" s="5"/>
      <c r="J923" s="5"/>
      <c r="K923" s="5"/>
      <c r="L923" s="3"/>
      <c r="M923" s="6"/>
      <c r="N923" s="9"/>
      <c r="O923" s="9"/>
      <c r="P923" s="12"/>
      <c r="Q923" s="12"/>
      <c r="R923" s="12"/>
      <c r="S923" s="12"/>
      <c r="T923" s="12"/>
      <c r="U923" s="12"/>
      <c r="V923" s="12"/>
      <c r="W923" s="12"/>
      <c r="X923" s="12"/>
      <c r="Y923" s="12"/>
      <c r="Z923" s="12"/>
    </row>
    <row r="924" spans="1:26" ht="14.25" customHeight="1" x14ac:dyDescent="0.3">
      <c r="A924" s="3"/>
      <c r="B924" s="8"/>
      <c r="C924" s="3"/>
      <c r="D924" s="3"/>
      <c r="E924" s="8"/>
      <c r="F924" s="3"/>
      <c r="G924" s="9"/>
      <c r="H924" s="3"/>
      <c r="I924" s="5"/>
      <c r="J924" s="5"/>
      <c r="K924" s="5"/>
      <c r="L924" s="3"/>
      <c r="M924" s="6"/>
      <c r="N924" s="9"/>
      <c r="O924" s="9"/>
      <c r="P924" s="12"/>
      <c r="Q924" s="12"/>
      <c r="R924" s="12"/>
      <c r="S924" s="12"/>
      <c r="T924" s="12"/>
      <c r="U924" s="12"/>
      <c r="V924" s="12"/>
      <c r="W924" s="12"/>
      <c r="X924" s="12"/>
      <c r="Y924" s="12"/>
      <c r="Z924" s="12"/>
    </row>
    <row r="925" spans="1:26" ht="14.25" customHeight="1" x14ac:dyDescent="0.3">
      <c r="A925" s="3"/>
      <c r="B925" s="8"/>
      <c r="C925" s="3"/>
      <c r="D925" s="3"/>
      <c r="E925" s="8"/>
      <c r="F925" s="3"/>
      <c r="G925" s="9"/>
      <c r="H925" s="3"/>
      <c r="I925" s="5"/>
      <c r="J925" s="5"/>
      <c r="K925" s="5"/>
      <c r="L925" s="3"/>
      <c r="M925" s="6"/>
      <c r="N925" s="9"/>
      <c r="O925" s="9"/>
      <c r="P925" s="12"/>
      <c r="Q925" s="12"/>
      <c r="R925" s="12"/>
      <c r="S925" s="12"/>
      <c r="T925" s="12"/>
      <c r="U925" s="12"/>
      <c r="V925" s="12"/>
      <c r="W925" s="12"/>
      <c r="X925" s="12"/>
      <c r="Y925" s="12"/>
      <c r="Z925" s="12"/>
    </row>
    <row r="926" spans="1:26" ht="14.25" customHeight="1" x14ac:dyDescent="0.3">
      <c r="A926" s="3"/>
      <c r="B926" s="8"/>
      <c r="C926" s="3"/>
      <c r="D926" s="3"/>
      <c r="E926" s="8"/>
      <c r="F926" s="3"/>
      <c r="G926" s="9"/>
      <c r="H926" s="3"/>
      <c r="I926" s="5"/>
      <c r="J926" s="5"/>
      <c r="K926" s="5"/>
      <c r="L926" s="3"/>
      <c r="M926" s="6"/>
      <c r="N926" s="9"/>
      <c r="O926" s="9"/>
      <c r="P926" s="12"/>
      <c r="Q926" s="12"/>
      <c r="R926" s="12"/>
      <c r="S926" s="12"/>
      <c r="T926" s="12"/>
      <c r="U926" s="12"/>
      <c r="V926" s="12"/>
      <c r="W926" s="12"/>
      <c r="X926" s="12"/>
      <c r="Y926" s="12"/>
      <c r="Z926" s="12"/>
    </row>
    <row r="927" spans="1:26" ht="14.25" customHeight="1" x14ac:dyDescent="0.3">
      <c r="A927" s="3"/>
      <c r="B927" s="8"/>
      <c r="C927" s="3"/>
      <c r="D927" s="3"/>
      <c r="E927" s="8"/>
      <c r="F927" s="3"/>
      <c r="G927" s="9"/>
      <c r="H927" s="3"/>
      <c r="I927" s="5"/>
      <c r="J927" s="5"/>
      <c r="K927" s="5"/>
      <c r="L927" s="3"/>
      <c r="M927" s="6"/>
      <c r="N927" s="9"/>
      <c r="O927" s="9"/>
      <c r="P927" s="12"/>
      <c r="Q927" s="12"/>
      <c r="R927" s="12"/>
      <c r="S927" s="12"/>
      <c r="T927" s="12"/>
      <c r="U927" s="12"/>
      <c r="V927" s="12"/>
      <c r="W927" s="12"/>
      <c r="X927" s="12"/>
      <c r="Y927" s="12"/>
      <c r="Z927" s="12"/>
    </row>
    <row r="928" spans="1:26" ht="14.25" customHeight="1" x14ac:dyDescent="0.3">
      <c r="A928" s="3"/>
      <c r="B928" s="8"/>
      <c r="C928" s="3"/>
      <c r="D928" s="3"/>
      <c r="E928" s="8"/>
      <c r="F928" s="3"/>
      <c r="G928" s="9"/>
      <c r="H928" s="3"/>
      <c r="I928" s="5"/>
      <c r="J928" s="5"/>
      <c r="K928" s="5"/>
      <c r="L928" s="3"/>
      <c r="M928" s="6"/>
      <c r="N928" s="9"/>
      <c r="O928" s="9"/>
      <c r="P928" s="12"/>
      <c r="Q928" s="12"/>
      <c r="R928" s="12"/>
      <c r="S928" s="12"/>
      <c r="T928" s="12"/>
      <c r="U928" s="12"/>
      <c r="V928" s="12"/>
      <c r="W928" s="12"/>
      <c r="X928" s="12"/>
      <c r="Y928" s="12"/>
      <c r="Z928" s="12"/>
    </row>
    <row r="929" spans="1:26" ht="14.25" customHeight="1" x14ac:dyDescent="0.3">
      <c r="A929" s="3"/>
      <c r="B929" s="8"/>
      <c r="C929" s="3"/>
      <c r="D929" s="3"/>
      <c r="E929" s="8"/>
      <c r="F929" s="3"/>
      <c r="G929" s="9"/>
      <c r="H929" s="3"/>
      <c r="I929" s="5"/>
      <c r="J929" s="5"/>
      <c r="K929" s="5"/>
      <c r="L929" s="3"/>
      <c r="M929" s="6"/>
      <c r="N929" s="9"/>
      <c r="O929" s="9"/>
      <c r="P929" s="12"/>
      <c r="Q929" s="12"/>
      <c r="R929" s="12"/>
      <c r="S929" s="12"/>
      <c r="T929" s="12"/>
      <c r="U929" s="12"/>
      <c r="V929" s="12"/>
      <c r="W929" s="12"/>
      <c r="X929" s="12"/>
      <c r="Y929" s="12"/>
      <c r="Z929" s="12"/>
    </row>
    <row r="930" spans="1:26" ht="14.25" customHeight="1" x14ac:dyDescent="0.3">
      <c r="A930" s="3"/>
      <c r="B930" s="8"/>
      <c r="C930" s="3"/>
      <c r="D930" s="3"/>
      <c r="E930" s="8"/>
      <c r="F930" s="3"/>
      <c r="G930" s="9"/>
      <c r="H930" s="3"/>
      <c r="I930" s="5"/>
      <c r="J930" s="5"/>
      <c r="K930" s="5"/>
      <c r="L930" s="3"/>
      <c r="M930" s="6"/>
      <c r="N930" s="9"/>
      <c r="O930" s="9"/>
      <c r="P930" s="12"/>
      <c r="Q930" s="12"/>
      <c r="R930" s="12"/>
      <c r="S930" s="12"/>
      <c r="T930" s="12"/>
      <c r="U930" s="12"/>
      <c r="V930" s="12"/>
      <c r="W930" s="12"/>
      <c r="X930" s="12"/>
      <c r="Y930" s="12"/>
      <c r="Z930" s="12"/>
    </row>
    <row r="931" spans="1:26" ht="14.25" customHeight="1" x14ac:dyDescent="0.3">
      <c r="A931" s="3"/>
      <c r="B931" s="8"/>
      <c r="C931" s="3"/>
      <c r="D931" s="3"/>
      <c r="E931" s="8"/>
      <c r="F931" s="3"/>
      <c r="G931" s="9"/>
      <c r="H931" s="3"/>
      <c r="I931" s="5"/>
      <c r="J931" s="5"/>
      <c r="K931" s="5"/>
      <c r="L931" s="3"/>
      <c r="M931" s="6"/>
      <c r="N931" s="9"/>
      <c r="O931" s="9"/>
      <c r="P931" s="12"/>
      <c r="Q931" s="12"/>
      <c r="R931" s="12"/>
      <c r="S931" s="12"/>
      <c r="T931" s="12"/>
      <c r="U931" s="12"/>
      <c r="V931" s="12"/>
      <c r="W931" s="12"/>
      <c r="X931" s="12"/>
      <c r="Y931" s="12"/>
      <c r="Z931" s="12"/>
    </row>
    <row r="932" spans="1:26" ht="14.25" customHeight="1" x14ac:dyDescent="0.3">
      <c r="A932" s="3"/>
      <c r="B932" s="8"/>
      <c r="C932" s="3"/>
      <c r="D932" s="3"/>
      <c r="E932" s="8"/>
      <c r="F932" s="3"/>
      <c r="G932" s="9"/>
      <c r="H932" s="3"/>
      <c r="I932" s="5"/>
      <c r="J932" s="5"/>
      <c r="K932" s="5"/>
      <c r="L932" s="3"/>
      <c r="M932" s="6"/>
      <c r="N932" s="9"/>
      <c r="O932" s="9"/>
      <c r="P932" s="12"/>
      <c r="Q932" s="12"/>
      <c r="R932" s="12"/>
      <c r="S932" s="12"/>
      <c r="T932" s="12"/>
      <c r="U932" s="12"/>
      <c r="V932" s="12"/>
      <c r="W932" s="12"/>
      <c r="X932" s="12"/>
      <c r="Y932" s="12"/>
      <c r="Z932" s="12"/>
    </row>
    <row r="933" spans="1:26" ht="14.25" customHeight="1" x14ac:dyDescent="0.3">
      <c r="A933" s="3"/>
      <c r="B933" s="8"/>
      <c r="C933" s="3"/>
      <c r="D933" s="3"/>
      <c r="E933" s="8"/>
      <c r="F933" s="3"/>
      <c r="G933" s="9"/>
      <c r="H933" s="3"/>
      <c r="I933" s="5"/>
      <c r="J933" s="5"/>
      <c r="K933" s="5"/>
      <c r="L933" s="3"/>
      <c r="M933" s="6"/>
      <c r="N933" s="9"/>
      <c r="O933" s="9"/>
      <c r="P933" s="12"/>
      <c r="Q933" s="12"/>
      <c r="R933" s="12"/>
      <c r="S933" s="12"/>
      <c r="T933" s="12"/>
      <c r="U933" s="12"/>
      <c r="V933" s="12"/>
      <c r="W933" s="12"/>
      <c r="X933" s="12"/>
      <c r="Y933" s="12"/>
      <c r="Z933" s="12"/>
    </row>
    <row r="934" spans="1:26" ht="14.25" customHeight="1" x14ac:dyDescent="0.3">
      <c r="A934" s="3"/>
      <c r="B934" s="8"/>
      <c r="C934" s="3"/>
      <c r="D934" s="3"/>
      <c r="E934" s="8"/>
      <c r="F934" s="3"/>
      <c r="G934" s="9"/>
      <c r="H934" s="3"/>
      <c r="I934" s="5"/>
      <c r="J934" s="5"/>
      <c r="K934" s="5"/>
      <c r="L934" s="3"/>
      <c r="M934" s="6"/>
      <c r="N934" s="9"/>
      <c r="O934" s="9"/>
      <c r="P934" s="12"/>
      <c r="Q934" s="12"/>
      <c r="R934" s="12"/>
      <c r="S934" s="12"/>
      <c r="T934" s="12"/>
      <c r="U934" s="12"/>
      <c r="V934" s="12"/>
      <c r="W934" s="12"/>
      <c r="X934" s="12"/>
      <c r="Y934" s="12"/>
      <c r="Z934" s="12"/>
    </row>
    <row r="935" spans="1:26" ht="14.25" customHeight="1" x14ac:dyDescent="0.3">
      <c r="A935" s="3"/>
      <c r="B935" s="8"/>
      <c r="C935" s="3"/>
      <c r="D935" s="3"/>
      <c r="E935" s="8"/>
      <c r="F935" s="3"/>
      <c r="G935" s="9"/>
      <c r="H935" s="3"/>
      <c r="I935" s="5"/>
      <c r="J935" s="5"/>
      <c r="K935" s="5"/>
      <c r="L935" s="3"/>
      <c r="M935" s="6"/>
      <c r="N935" s="9"/>
      <c r="O935" s="9"/>
      <c r="P935" s="12"/>
      <c r="Q935" s="12"/>
      <c r="R935" s="12"/>
      <c r="S935" s="12"/>
      <c r="T935" s="12"/>
      <c r="U935" s="12"/>
      <c r="V935" s="12"/>
      <c r="W935" s="12"/>
      <c r="X935" s="12"/>
      <c r="Y935" s="12"/>
      <c r="Z935" s="12"/>
    </row>
    <row r="936" spans="1:26" ht="14.25" customHeight="1" x14ac:dyDescent="0.3">
      <c r="A936" s="3"/>
      <c r="B936" s="8"/>
      <c r="C936" s="3"/>
      <c r="D936" s="3"/>
      <c r="E936" s="8"/>
      <c r="F936" s="3"/>
      <c r="G936" s="9"/>
      <c r="H936" s="3"/>
      <c r="I936" s="5"/>
      <c r="J936" s="5"/>
      <c r="K936" s="5"/>
      <c r="L936" s="3"/>
      <c r="M936" s="6"/>
      <c r="N936" s="9"/>
      <c r="O936" s="9"/>
      <c r="P936" s="12"/>
      <c r="Q936" s="12"/>
      <c r="R936" s="12"/>
      <c r="S936" s="12"/>
      <c r="T936" s="12"/>
      <c r="U936" s="12"/>
      <c r="V936" s="12"/>
      <c r="W936" s="12"/>
      <c r="X936" s="12"/>
      <c r="Y936" s="12"/>
      <c r="Z936" s="12"/>
    </row>
    <row r="937" spans="1:26" ht="14.25" customHeight="1" x14ac:dyDescent="0.3">
      <c r="A937" s="3"/>
      <c r="B937" s="8"/>
      <c r="C937" s="3"/>
      <c r="D937" s="3"/>
      <c r="E937" s="8"/>
      <c r="F937" s="3"/>
      <c r="G937" s="9"/>
      <c r="H937" s="3"/>
      <c r="I937" s="5"/>
      <c r="J937" s="5"/>
      <c r="K937" s="5"/>
      <c r="L937" s="3"/>
      <c r="M937" s="6"/>
      <c r="N937" s="9"/>
      <c r="O937" s="9"/>
      <c r="P937" s="12"/>
      <c r="Q937" s="12"/>
      <c r="R937" s="12"/>
      <c r="S937" s="12"/>
      <c r="T937" s="12"/>
      <c r="U937" s="12"/>
      <c r="V937" s="12"/>
      <c r="W937" s="12"/>
      <c r="X937" s="12"/>
      <c r="Y937" s="12"/>
      <c r="Z937" s="12"/>
    </row>
    <row r="938" spans="1:26" ht="14.25" customHeight="1" x14ac:dyDescent="0.3">
      <c r="A938" s="3"/>
      <c r="B938" s="8"/>
      <c r="C938" s="3"/>
      <c r="D938" s="3"/>
      <c r="E938" s="8"/>
      <c r="F938" s="3"/>
      <c r="G938" s="9"/>
      <c r="H938" s="3"/>
      <c r="I938" s="5"/>
      <c r="J938" s="5"/>
      <c r="K938" s="5"/>
      <c r="L938" s="3"/>
      <c r="M938" s="6"/>
      <c r="N938" s="9"/>
      <c r="O938" s="9"/>
      <c r="P938" s="12"/>
      <c r="Q938" s="12"/>
      <c r="R938" s="12"/>
      <c r="S938" s="12"/>
      <c r="T938" s="12"/>
      <c r="U938" s="12"/>
      <c r="V938" s="12"/>
      <c r="W938" s="12"/>
      <c r="X938" s="12"/>
      <c r="Y938" s="12"/>
      <c r="Z938" s="12"/>
    </row>
    <row r="939" spans="1:26" ht="14.25" customHeight="1" x14ac:dyDescent="0.3">
      <c r="A939" s="3"/>
      <c r="B939" s="8"/>
      <c r="C939" s="3"/>
      <c r="D939" s="3"/>
      <c r="E939" s="8"/>
      <c r="F939" s="3"/>
      <c r="G939" s="9"/>
      <c r="H939" s="3"/>
      <c r="I939" s="5"/>
      <c r="J939" s="5"/>
      <c r="K939" s="5"/>
      <c r="L939" s="3"/>
      <c r="M939" s="6"/>
      <c r="N939" s="9"/>
      <c r="O939" s="9"/>
      <c r="P939" s="12"/>
      <c r="Q939" s="12"/>
      <c r="R939" s="12"/>
      <c r="S939" s="12"/>
      <c r="T939" s="12"/>
      <c r="U939" s="12"/>
      <c r="V939" s="12"/>
      <c r="W939" s="12"/>
      <c r="X939" s="12"/>
      <c r="Y939" s="12"/>
      <c r="Z939" s="12"/>
    </row>
    <row r="940" spans="1:26" ht="14.25" customHeight="1" x14ac:dyDescent="0.3">
      <c r="A940" s="3"/>
      <c r="B940" s="8"/>
      <c r="C940" s="3"/>
      <c r="D940" s="3"/>
      <c r="E940" s="8"/>
      <c r="F940" s="3"/>
      <c r="G940" s="9"/>
      <c r="H940" s="3"/>
      <c r="I940" s="5"/>
      <c r="J940" s="5"/>
      <c r="K940" s="5"/>
      <c r="L940" s="3"/>
      <c r="M940" s="6"/>
      <c r="N940" s="9"/>
      <c r="O940" s="9"/>
      <c r="P940" s="12"/>
      <c r="Q940" s="12"/>
      <c r="R940" s="12"/>
      <c r="S940" s="12"/>
      <c r="T940" s="12"/>
      <c r="U940" s="12"/>
      <c r="V940" s="12"/>
      <c r="W940" s="12"/>
      <c r="X940" s="12"/>
      <c r="Y940" s="12"/>
      <c r="Z940" s="12"/>
    </row>
    <row r="941" spans="1:26" ht="14.25" customHeight="1" x14ac:dyDescent="0.3">
      <c r="A941" s="3"/>
      <c r="B941" s="8"/>
      <c r="C941" s="3"/>
      <c r="D941" s="3"/>
      <c r="E941" s="8"/>
      <c r="F941" s="3"/>
      <c r="G941" s="9"/>
      <c r="H941" s="3"/>
      <c r="I941" s="5"/>
      <c r="J941" s="5"/>
      <c r="K941" s="5"/>
      <c r="L941" s="3"/>
      <c r="M941" s="6"/>
      <c r="N941" s="9"/>
      <c r="O941" s="9"/>
      <c r="P941" s="12"/>
      <c r="Q941" s="12"/>
      <c r="R941" s="12"/>
      <c r="S941" s="12"/>
      <c r="T941" s="12"/>
      <c r="U941" s="12"/>
      <c r="V941" s="12"/>
      <c r="W941" s="12"/>
      <c r="X941" s="12"/>
      <c r="Y941" s="12"/>
      <c r="Z941" s="12"/>
    </row>
    <row r="942" spans="1:26" ht="14.25" customHeight="1" x14ac:dyDescent="0.3">
      <c r="A942" s="3"/>
      <c r="B942" s="8"/>
      <c r="C942" s="3"/>
      <c r="D942" s="3"/>
      <c r="E942" s="8"/>
      <c r="F942" s="3"/>
      <c r="G942" s="9"/>
      <c r="H942" s="3"/>
      <c r="I942" s="5"/>
      <c r="J942" s="5"/>
      <c r="K942" s="5"/>
      <c r="L942" s="3"/>
      <c r="M942" s="6"/>
      <c r="N942" s="9"/>
      <c r="O942" s="9"/>
      <c r="P942" s="12"/>
      <c r="Q942" s="12"/>
      <c r="R942" s="12"/>
      <c r="S942" s="12"/>
      <c r="T942" s="12"/>
      <c r="U942" s="12"/>
      <c r="V942" s="12"/>
      <c r="W942" s="12"/>
      <c r="X942" s="12"/>
      <c r="Y942" s="12"/>
      <c r="Z942" s="12"/>
    </row>
    <row r="943" spans="1:26" ht="14.25" customHeight="1" x14ac:dyDescent="0.3">
      <c r="A943" s="3"/>
      <c r="B943" s="8"/>
      <c r="C943" s="3"/>
      <c r="D943" s="3"/>
      <c r="E943" s="8"/>
      <c r="F943" s="3"/>
      <c r="G943" s="9"/>
      <c r="H943" s="3"/>
      <c r="I943" s="5"/>
      <c r="J943" s="5"/>
      <c r="K943" s="5"/>
      <c r="L943" s="3"/>
      <c r="M943" s="6"/>
      <c r="N943" s="9"/>
      <c r="O943" s="9"/>
      <c r="P943" s="12"/>
      <c r="Q943" s="12"/>
      <c r="R943" s="12"/>
      <c r="S943" s="12"/>
      <c r="T943" s="12"/>
      <c r="U943" s="12"/>
      <c r="V943" s="12"/>
      <c r="W943" s="12"/>
      <c r="X943" s="12"/>
      <c r="Y943" s="12"/>
      <c r="Z943" s="12"/>
    </row>
    <row r="944" spans="1:26" ht="14.25" customHeight="1" x14ac:dyDescent="0.3">
      <c r="A944" s="3"/>
      <c r="B944" s="8"/>
      <c r="C944" s="3"/>
      <c r="D944" s="3"/>
      <c r="E944" s="8"/>
      <c r="F944" s="3"/>
      <c r="G944" s="9"/>
      <c r="H944" s="3"/>
      <c r="I944" s="5"/>
      <c r="J944" s="5"/>
      <c r="K944" s="5"/>
      <c r="L944" s="3"/>
      <c r="M944" s="6"/>
      <c r="N944" s="9"/>
      <c r="O944" s="9"/>
      <c r="P944" s="12"/>
      <c r="Q944" s="12"/>
      <c r="R944" s="12"/>
      <c r="S944" s="12"/>
      <c r="T944" s="12"/>
      <c r="U944" s="12"/>
      <c r="V944" s="12"/>
      <c r="W944" s="12"/>
      <c r="X944" s="12"/>
      <c r="Y944" s="12"/>
      <c r="Z944" s="12"/>
    </row>
    <row r="945" spans="1:26" ht="14.25" customHeight="1" x14ac:dyDescent="0.3">
      <c r="A945" s="3"/>
      <c r="B945" s="8"/>
      <c r="C945" s="3"/>
      <c r="D945" s="3"/>
      <c r="E945" s="8"/>
      <c r="F945" s="3"/>
      <c r="G945" s="9"/>
      <c r="H945" s="3"/>
      <c r="I945" s="5"/>
      <c r="J945" s="5"/>
      <c r="K945" s="5"/>
      <c r="L945" s="3"/>
      <c r="M945" s="6"/>
      <c r="N945" s="9"/>
      <c r="O945" s="9"/>
      <c r="P945" s="12"/>
      <c r="Q945" s="12"/>
      <c r="R945" s="12"/>
      <c r="S945" s="12"/>
      <c r="T945" s="12"/>
      <c r="U945" s="12"/>
      <c r="V945" s="12"/>
      <c r="W945" s="12"/>
      <c r="X945" s="12"/>
      <c r="Y945" s="12"/>
      <c r="Z945" s="12"/>
    </row>
    <row r="946" spans="1:26" ht="14.25" customHeight="1" x14ac:dyDescent="0.3">
      <c r="A946" s="3"/>
      <c r="B946" s="8"/>
      <c r="C946" s="3"/>
      <c r="D946" s="3"/>
      <c r="E946" s="8"/>
      <c r="F946" s="3"/>
      <c r="G946" s="9"/>
      <c r="H946" s="3"/>
      <c r="I946" s="5"/>
      <c r="J946" s="5"/>
      <c r="K946" s="5"/>
      <c r="L946" s="3"/>
      <c r="M946" s="6"/>
      <c r="N946" s="9"/>
      <c r="O946" s="9"/>
      <c r="P946" s="12"/>
      <c r="Q946" s="12"/>
      <c r="R946" s="12"/>
      <c r="S946" s="12"/>
      <c r="T946" s="12"/>
      <c r="U946" s="12"/>
      <c r="V946" s="12"/>
      <c r="W946" s="12"/>
      <c r="X946" s="12"/>
      <c r="Y946" s="12"/>
      <c r="Z946" s="12"/>
    </row>
    <row r="947" spans="1:26" ht="14.25" customHeight="1" x14ac:dyDescent="0.3">
      <c r="A947" s="3"/>
      <c r="B947" s="8"/>
      <c r="C947" s="3"/>
      <c r="D947" s="3"/>
      <c r="E947" s="8"/>
      <c r="F947" s="3"/>
      <c r="G947" s="9"/>
      <c r="H947" s="3"/>
      <c r="I947" s="5"/>
      <c r="J947" s="5"/>
      <c r="K947" s="5"/>
      <c r="L947" s="3"/>
      <c r="M947" s="6"/>
      <c r="N947" s="9"/>
      <c r="O947" s="9"/>
      <c r="P947" s="12"/>
      <c r="Q947" s="12"/>
      <c r="R947" s="12"/>
      <c r="S947" s="12"/>
      <c r="T947" s="12"/>
      <c r="U947" s="12"/>
      <c r="V947" s="12"/>
      <c r="W947" s="12"/>
      <c r="X947" s="12"/>
      <c r="Y947" s="12"/>
      <c r="Z947" s="12"/>
    </row>
    <row r="948" spans="1:26" ht="14.25" customHeight="1" x14ac:dyDescent="0.3">
      <c r="A948" s="3"/>
      <c r="B948" s="8"/>
      <c r="C948" s="3"/>
      <c r="D948" s="3"/>
      <c r="E948" s="8"/>
      <c r="F948" s="3"/>
      <c r="G948" s="9"/>
      <c r="H948" s="3"/>
      <c r="I948" s="5"/>
      <c r="J948" s="5"/>
      <c r="K948" s="5"/>
      <c r="L948" s="3"/>
      <c r="M948" s="6"/>
      <c r="N948" s="9"/>
      <c r="O948" s="9"/>
      <c r="P948" s="12"/>
      <c r="Q948" s="12"/>
      <c r="R948" s="12"/>
      <c r="S948" s="12"/>
      <c r="T948" s="12"/>
      <c r="U948" s="12"/>
      <c r="V948" s="12"/>
      <c r="W948" s="12"/>
      <c r="X948" s="12"/>
      <c r="Y948" s="12"/>
      <c r="Z948" s="12"/>
    </row>
    <row r="949" spans="1:26" ht="14.25" customHeight="1" x14ac:dyDescent="0.3">
      <c r="A949" s="3"/>
      <c r="B949" s="8"/>
      <c r="C949" s="3"/>
      <c r="D949" s="3"/>
      <c r="E949" s="8"/>
      <c r="F949" s="3"/>
      <c r="G949" s="9"/>
      <c r="H949" s="3"/>
      <c r="I949" s="5"/>
      <c r="J949" s="5"/>
      <c r="K949" s="5"/>
      <c r="L949" s="3"/>
      <c r="M949" s="6"/>
      <c r="N949" s="9"/>
      <c r="O949" s="9"/>
      <c r="P949" s="12"/>
      <c r="Q949" s="12"/>
      <c r="R949" s="12"/>
      <c r="S949" s="12"/>
      <c r="T949" s="12"/>
      <c r="U949" s="12"/>
      <c r="V949" s="12"/>
      <c r="W949" s="12"/>
      <c r="X949" s="12"/>
      <c r="Y949" s="12"/>
      <c r="Z949" s="12"/>
    </row>
    <row r="950" spans="1:26" ht="14.25" customHeight="1" x14ac:dyDescent="0.3">
      <c r="A950" s="3"/>
      <c r="B950" s="8"/>
      <c r="C950" s="3"/>
      <c r="D950" s="3"/>
      <c r="E950" s="8"/>
      <c r="F950" s="3"/>
      <c r="G950" s="9"/>
      <c r="H950" s="3"/>
      <c r="I950" s="5"/>
      <c r="J950" s="5"/>
      <c r="K950" s="5"/>
      <c r="L950" s="3"/>
      <c r="M950" s="6"/>
      <c r="N950" s="9"/>
      <c r="O950" s="9"/>
      <c r="P950" s="12"/>
      <c r="Q950" s="12"/>
      <c r="R950" s="12"/>
      <c r="S950" s="12"/>
      <c r="T950" s="12"/>
      <c r="U950" s="12"/>
      <c r="V950" s="12"/>
      <c r="W950" s="12"/>
      <c r="X950" s="12"/>
      <c r="Y950" s="12"/>
      <c r="Z950" s="12"/>
    </row>
    <row r="951" spans="1:26" ht="14.25" customHeight="1" x14ac:dyDescent="0.3">
      <c r="A951" s="3"/>
      <c r="B951" s="8"/>
      <c r="C951" s="3"/>
      <c r="D951" s="3"/>
      <c r="E951" s="8"/>
      <c r="F951" s="3"/>
      <c r="G951" s="9"/>
      <c r="H951" s="3"/>
      <c r="I951" s="5"/>
      <c r="J951" s="5"/>
      <c r="K951" s="5"/>
      <c r="L951" s="3"/>
      <c r="M951" s="6"/>
      <c r="N951" s="9"/>
      <c r="O951" s="9"/>
      <c r="P951" s="12"/>
      <c r="Q951" s="12"/>
      <c r="R951" s="12"/>
      <c r="S951" s="12"/>
      <c r="T951" s="12"/>
      <c r="U951" s="12"/>
      <c r="V951" s="12"/>
      <c r="W951" s="12"/>
      <c r="X951" s="12"/>
      <c r="Y951" s="12"/>
      <c r="Z951" s="12"/>
    </row>
    <row r="952" spans="1:26" ht="14.25" customHeight="1" x14ac:dyDescent="0.3">
      <c r="A952" s="3"/>
      <c r="B952" s="8"/>
      <c r="C952" s="3"/>
      <c r="D952" s="3"/>
      <c r="E952" s="8"/>
      <c r="F952" s="3"/>
      <c r="G952" s="9"/>
      <c r="H952" s="3"/>
      <c r="I952" s="5"/>
      <c r="J952" s="5"/>
      <c r="K952" s="5"/>
      <c r="L952" s="3"/>
      <c r="M952" s="6"/>
      <c r="N952" s="9"/>
      <c r="O952" s="9"/>
      <c r="P952" s="12"/>
      <c r="Q952" s="12"/>
      <c r="R952" s="12"/>
      <c r="S952" s="12"/>
      <c r="T952" s="12"/>
      <c r="U952" s="12"/>
      <c r="V952" s="12"/>
      <c r="W952" s="12"/>
      <c r="X952" s="12"/>
      <c r="Y952" s="12"/>
      <c r="Z952" s="12"/>
    </row>
    <row r="953" spans="1:26" ht="14.25" customHeight="1" x14ac:dyDescent="0.3">
      <c r="A953" s="3"/>
      <c r="B953" s="8"/>
      <c r="C953" s="3"/>
      <c r="D953" s="3"/>
      <c r="E953" s="8"/>
      <c r="F953" s="3"/>
      <c r="G953" s="9"/>
      <c r="H953" s="3"/>
      <c r="I953" s="5"/>
      <c r="J953" s="5"/>
      <c r="K953" s="5"/>
      <c r="L953" s="3"/>
      <c r="M953" s="6"/>
      <c r="N953" s="9"/>
      <c r="O953" s="9"/>
      <c r="P953" s="12"/>
      <c r="Q953" s="12"/>
      <c r="R953" s="12"/>
      <c r="S953" s="12"/>
      <c r="T953" s="12"/>
      <c r="U953" s="12"/>
      <c r="V953" s="12"/>
      <c r="W953" s="12"/>
      <c r="X953" s="12"/>
      <c r="Y953" s="12"/>
      <c r="Z953" s="12"/>
    </row>
    <row r="954" spans="1:26" ht="14.25" customHeight="1" x14ac:dyDescent="0.3">
      <c r="A954" s="3"/>
      <c r="B954" s="8"/>
      <c r="C954" s="3"/>
      <c r="D954" s="3"/>
      <c r="E954" s="8"/>
      <c r="F954" s="3"/>
      <c r="G954" s="9"/>
      <c r="H954" s="3"/>
      <c r="I954" s="5"/>
      <c r="J954" s="5"/>
      <c r="K954" s="5"/>
      <c r="L954" s="3"/>
      <c r="M954" s="6"/>
      <c r="N954" s="9"/>
      <c r="O954" s="9"/>
      <c r="P954" s="12"/>
      <c r="Q954" s="12"/>
      <c r="R954" s="12"/>
      <c r="S954" s="12"/>
      <c r="T954" s="12"/>
      <c r="U954" s="12"/>
      <c r="V954" s="12"/>
      <c r="W954" s="12"/>
      <c r="X954" s="12"/>
      <c r="Y954" s="12"/>
      <c r="Z954" s="12"/>
    </row>
    <row r="955" spans="1:26" ht="14.25" customHeight="1" x14ac:dyDescent="0.3">
      <c r="A955" s="3"/>
      <c r="B955" s="8"/>
      <c r="C955" s="3"/>
      <c r="D955" s="3"/>
      <c r="E955" s="8"/>
      <c r="F955" s="3"/>
      <c r="G955" s="9"/>
      <c r="H955" s="3"/>
      <c r="I955" s="5"/>
      <c r="J955" s="5"/>
      <c r="K955" s="5"/>
      <c r="L955" s="3"/>
      <c r="M955" s="6"/>
      <c r="N955" s="9"/>
      <c r="O955" s="9"/>
      <c r="P955" s="12"/>
      <c r="Q955" s="12"/>
      <c r="R955" s="12"/>
      <c r="S955" s="12"/>
      <c r="T955" s="12"/>
      <c r="U955" s="12"/>
      <c r="V955" s="12"/>
      <c r="W955" s="12"/>
      <c r="X955" s="12"/>
      <c r="Y955" s="12"/>
      <c r="Z955" s="12"/>
    </row>
    <row r="956" spans="1:26" ht="14.25" customHeight="1" x14ac:dyDescent="0.3">
      <c r="A956" s="3"/>
      <c r="B956" s="8"/>
      <c r="C956" s="3"/>
      <c r="D956" s="3"/>
      <c r="E956" s="8"/>
      <c r="F956" s="3"/>
      <c r="G956" s="9"/>
      <c r="H956" s="3"/>
      <c r="I956" s="5"/>
      <c r="J956" s="5"/>
      <c r="K956" s="5"/>
      <c r="L956" s="3"/>
      <c r="M956" s="6"/>
      <c r="N956" s="9"/>
      <c r="O956" s="9"/>
      <c r="P956" s="12"/>
      <c r="Q956" s="12"/>
      <c r="R956" s="12"/>
      <c r="S956" s="12"/>
      <c r="T956" s="12"/>
      <c r="U956" s="12"/>
      <c r="V956" s="12"/>
      <c r="W956" s="12"/>
      <c r="X956" s="12"/>
      <c r="Y956" s="12"/>
      <c r="Z956" s="12"/>
    </row>
    <row r="957" spans="1:26" ht="14.25" customHeight="1" x14ac:dyDescent="0.3">
      <c r="A957" s="3"/>
      <c r="B957" s="8"/>
      <c r="C957" s="3"/>
      <c r="D957" s="3"/>
      <c r="E957" s="8"/>
      <c r="F957" s="3"/>
      <c r="G957" s="9"/>
      <c r="H957" s="3"/>
      <c r="I957" s="5"/>
      <c r="J957" s="5"/>
      <c r="K957" s="5"/>
      <c r="L957" s="3"/>
      <c r="M957" s="6"/>
      <c r="N957" s="9"/>
      <c r="O957" s="9"/>
      <c r="P957" s="12"/>
      <c r="Q957" s="12"/>
      <c r="R957" s="12"/>
      <c r="S957" s="12"/>
      <c r="T957" s="12"/>
      <c r="U957" s="12"/>
      <c r="V957" s="12"/>
      <c r="W957" s="12"/>
      <c r="X957" s="12"/>
      <c r="Y957" s="12"/>
      <c r="Z957" s="12"/>
    </row>
    <row r="958" spans="1:26" ht="14.25" customHeight="1" x14ac:dyDescent="0.3">
      <c r="A958" s="3"/>
      <c r="B958" s="8"/>
      <c r="C958" s="3"/>
      <c r="D958" s="3"/>
      <c r="E958" s="8"/>
      <c r="F958" s="3"/>
      <c r="G958" s="9"/>
      <c r="H958" s="3"/>
      <c r="I958" s="5"/>
      <c r="J958" s="5"/>
      <c r="K958" s="5"/>
      <c r="L958" s="3"/>
      <c r="M958" s="6"/>
      <c r="N958" s="9"/>
      <c r="O958" s="9"/>
      <c r="P958" s="12"/>
      <c r="Q958" s="12"/>
      <c r="R958" s="12"/>
      <c r="S958" s="12"/>
      <c r="T958" s="12"/>
      <c r="U958" s="12"/>
      <c r="V958" s="12"/>
      <c r="W958" s="12"/>
      <c r="X958" s="12"/>
      <c r="Y958" s="12"/>
      <c r="Z958" s="12"/>
    </row>
    <row r="959" spans="1:26" ht="14.25" customHeight="1" x14ac:dyDescent="0.3">
      <c r="A959" s="3"/>
      <c r="B959" s="8"/>
      <c r="C959" s="3"/>
      <c r="D959" s="3"/>
      <c r="E959" s="8"/>
      <c r="F959" s="3"/>
      <c r="G959" s="9"/>
      <c r="H959" s="3"/>
      <c r="I959" s="5"/>
      <c r="J959" s="5"/>
      <c r="K959" s="5"/>
      <c r="L959" s="3"/>
      <c r="M959" s="6"/>
      <c r="N959" s="9"/>
      <c r="O959" s="9"/>
      <c r="P959" s="12"/>
      <c r="Q959" s="12"/>
      <c r="R959" s="12"/>
      <c r="S959" s="12"/>
      <c r="T959" s="12"/>
      <c r="U959" s="12"/>
      <c r="V959" s="12"/>
      <c r="W959" s="12"/>
      <c r="X959" s="12"/>
      <c r="Y959" s="12"/>
      <c r="Z959" s="12"/>
    </row>
    <row r="960" spans="1:26" ht="14.25" customHeight="1" x14ac:dyDescent="0.3">
      <c r="A960" s="3"/>
      <c r="B960" s="8"/>
      <c r="C960" s="3"/>
      <c r="D960" s="3"/>
      <c r="E960" s="8"/>
      <c r="F960" s="3"/>
      <c r="G960" s="9"/>
      <c r="H960" s="3"/>
      <c r="I960" s="5"/>
      <c r="J960" s="5"/>
      <c r="K960" s="5"/>
      <c r="L960" s="3"/>
      <c r="M960" s="6"/>
      <c r="N960" s="9"/>
      <c r="O960" s="9"/>
      <c r="P960" s="12"/>
      <c r="Q960" s="12"/>
      <c r="R960" s="12"/>
      <c r="S960" s="12"/>
      <c r="T960" s="12"/>
      <c r="U960" s="12"/>
      <c r="V960" s="12"/>
      <c r="W960" s="12"/>
      <c r="X960" s="12"/>
      <c r="Y960" s="12"/>
      <c r="Z960" s="12"/>
    </row>
    <row r="961" spans="1:26" ht="14.25" customHeight="1" x14ac:dyDescent="0.3">
      <c r="A961" s="3"/>
      <c r="B961" s="8"/>
      <c r="C961" s="3"/>
      <c r="D961" s="3"/>
      <c r="E961" s="8"/>
      <c r="F961" s="3"/>
      <c r="G961" s="9"/>
      <c r="H961" s="3"/>
      <c r="I961" s="5"/>
      <c r="J961" s="5"/>
      <c r="K961" s="5"/>
      <c r="L961" s="3"/>
      <c r="M961" s="6"/>
      <c r="N961" s="9"/>
      <c r="O961" s="9"/>
      <c r="P961" s="12"/>
      <c r="Q961" s="12"/>
      <c r="R961" s="12"/>
      <c r="S961" s="12"/>
      <c r="T961" s="12"/>
      <c r="U961" s="12"/>
      <c r="V961" s="12"/>
      <c r="W961" s="12"/>
      <c r="X961" s="12"/>
      <c r="Y961" s="12"/>
      <c r="Z961" s="12"/>
    </row>
    <row r="962" spans="1:26" ht="14.25" customHeight="1" x14ac:dyDescent="0.3">
      <c r="A962" s="3"/>
      <c r="B962" s="8"/>
      <c r="C962" s="3"/>
      <c r="D962" s="3"/>
      <c r="E962" s="8"/>
      <c r="F962" s="3"/>
      <c r="G962" s="9"/>
      <c r="H962" s="3"/>
      <c r="I962" s="5"/>
      <c r="J962" s="5"/>
      <c r="K962" s="5"/>
      <c r="L962" s="3"/>
      <c r="M962" s="6"/>
      <c r="N962" s="9"/>
      <c r="O962" s="9"/>
      <c r="P962" s="12"/>
      <c r="Q962" s="12"/>
      <c r="R962" s="12"/>
      <c r="S962" s="12"/>
      <c r="T962" s="12"/>
      <c r="U962" s="12"/>
      <c r="V962" s="12"/>
      <c r="W962" s="12"/>
      <c r="X962" s="12"/>
      <c r="Y962" s="12"/>
      <c r="Z962" s="12"/>
    </row>
    <row r="963" spans="1:26" ht="14.25" customHeight="1" x14ac:dyDescent="0.3">
      <c r="A963" s="3"/>
      <c r="B963" s="8"/>
      <c r="C963" s="3"/>
      <c r="D963" s="3"/>
      <c r="E963" s="8"/>
      <c r="F963" s="3"/>
      <c r="G963" s="9"/>
      <c r="H963" s="3"/>
      <c r="I963" s="5"/>
      <c r="J963" s="5"/>
      <c r="K963" s="5"/>
      <c r="L963" s="3"/>
      <c r="M963" s="6"/>
      <c r="N963" s="9"/>
      <c r="O963" s="9"/>
      <c r="P963" s="12"/>
      <c r="Q963" s="12"/>
      <c r="R963" s="12"/>
      <c r="S963" s="12"/>
      <c r="T963" s="12"/>
      <c r="U963" s="12"/>
      <c r="V963" s="12"/>
      <c r="W963" s="12"/>
      <c r="X963" s="12"/>
      <c r="Y963" s="12"/>
      <c r="Z963" s="12"/>
    </row>
    <row r="964" spans="1:26" ht="14.25" customHeight="1" x14ac:dyDescent="0.3">
      <c r="A964" s="3"/>
      <c r="B964" s="8"/>
      <c r="C964" s="3"/>
      <c r="D964" s="3"/>
      <c r="E964" s="8"/>
      <c r="F964" s="3"/>
      <c r="G964" s="9"/>
      <c r="H964" s="3"/>
      <c r="I964" s="5"/>
      <c r="J964" s="5"/>
      <c r="K964" s="5"/>
      <c r="L964" s="3"/>
      <c r="M964" s="6"/>
      <c r="N964" s="9"/>
      <c r="O964" s="9"/>
      <c r="P964" s="12"/>
      <c r="Q964" s="12"/>
      <c r="R964" s="12"/>
      <c r="S964" s="12"/>
      <c r="T964" s="12"/>
      <c r="U964" s="12"/>
      <c r="V964" s="12"/>
      <c r="W964" s="12"/>
      <c r="X964" s="12"/>
      <c r="Y964" s="12"/>
      <c r="Z964" s="12"/>
    </row>
    <row r="965" spans="1:26" ht="14.25" customHeight="1" x14ac:dyDescent="0.3">
      <c r="A965" s="3"/>
      <c r="B965" s="8"/>
      <c r="C965" s="3"/>
      <c r="D965" s="3"/>
      <c r="E965" s="8"/>
      <c r="F965" s="3"/>
      <c r="G965" s="9"/>
      <c r="H965" s="3"/>
      <c r="I965" s="5"/>
      <c r="J965" s="5"/>
      <c r="K965" s="5"/>
      <c r="L965" s="3"/>
      <c r="M965" s="6"/>
      <c r="N965" s="9"/>
      <c r="O965" s="9"/>
      <c r="P965" s="12"/>
      <c r="Q965" s="12"/>
      <c r="R965" s="12"/>
      <c r="S965" s="12"/>
      <c r="T965" s="12"/>
      <c r="U965" s="12"/>
      <c r="V965" s="12"/>
      <c r="W965" s="12"/>
      <c r="X965" s="12"/>
      <c r="Y965" s="12"/>
      <c r="Z965" s="12"/>
    </row>
    <row r="966" spans="1:26" ht="14.25" customHeight="1" x14ac:dyDescent="0.3">
      <c r="A966" s="3"/>
      <c r="B966" s="8"/>
      <c r="C966" s="3"/>
      <c r="D966" s="3"/>
      <c r="E966" s="8"/>
      <c r="F966" s="3"/>
      <c r="G966" s="9"/>
      <c r="H966" s="3"/>
      <c r="I966" s="5"/>
      <c r="J966" s="5"/>
      <c r="K966" s="5"/>
      <c r="L966" s="3"/>
      <c r="M966" s="6"/>
      <c r="N966" s="9"/>
      <c r="O966" s="9"/>
      <c r="P966" s="12"/>
      <c r="Q966" s="12"/>
      <c r="R966" s="12"/>
      <c r="S966" s="12"/>
      <c r="T966" s="12"/>
      <c r="U966" s="12"/>
      <c r="V966" s="12"/>
      <c r="W966" s="12"/>
      <c r="X966" s="12"/>
      <c r="Y966" s="12"/>
      <c r="Z966" s="12"/>
    </row>
    <row r="967" spans="1:26" ht="14.25" customHeight="1" x14ac:dyDescent="0.3">
      <c r="A967" s="3"/>
      <c r="B967" s="8"/>
      <c r="C967" s="3"/>
      <c r="D967" s="3"/>
      <c r="E967" s="8"/>
      <c r="F967" s="3"/>
      <c r="G967" s="9"/>
      <c r="H967" s="3"/>
      <c r="I967" s="5"/>
      <c r="J967" s="5"/>
      <c r="K967" s="5"/>
      <c r="L967" s="3"/>
      <c r="M967" s="6"/>
      <c r="N967" s="9"/>
      <c r="O967" s="9"/>
      <c r="P967" s="12"/>
      <c r="Q967" s="12"/>
      <c r="R967" s="12"/>
      <c r="S967" s="12"/>
      <c r="T967" s="12"/>
      <c r="U967" s="12"/>
      <c r="V967" s="12"/>
      <c r="W967" s="12"/>
      <c r="X967" s="12"/>
      <c r="Y967" s="12"/>
      <c r="Z967" s="12"/>
    </row>
    <row r="968" spans="1:26" ht="14.25" customHeight="1" x14ac:dyDescent="0.3">
      <c r="A968" s="3"/>
      <c r="B968" s="8"/>
      <c r="C968" s="3"/>
      <c r="D968" s="3"/>
      <c r="E968" s="8"/>
      <c r="F968" s="3"/>
      <c r="G968" s="9"/>
      <c r="H968" s="3"/>
      <c r="I968" s="5"/>
      <c r="J968" s="5"/>
      <c r="K968" s="5"/>
      <c r="L968" s="3"/>
      <c r="M968" s="6"/>
      <c r="N968" s="9"/>
      <c r="O968" s="9"/>
      <c r="P968" s="12"/>
      <c r="Q968" s="12"/>
      <c r="R968" s="12"/>
      <c r="S968" s="12"/>
      <c r="T968" s="12"/>
      <c r="U968" s="12"/>
      <c r="V968" s="12"/>
      <c r="W968" s="12"/>
      <c r="X968" s="12"/>
      <c r="Y968" s="12"/>
      <c r="Z968" s="12"/>
    </row>
    <row r="969" spans="1:26" ht="14.25" customHeight="1" x14ac:dyDescent="0.3">
      <c r="A969" s="3"/>
      <c r="B969" s="8"/>
      <c r="C969" s="3"/>
      <c r="D969" s="3"/>
      <c r="E969" s="8"/>
      <c r="F969" s="3"/>
      <c r="G969" s="9"/>
      <c r="H969" s="3"/>
      <c r="I969" s="5"/>
      <c r="J969" s="5"/>
      <c r="K969" s="5"/>
      <c r="L969" s="3"/>
      <c r="M969" s="6"/>
      <c r="N969" s="9"/>
      <c r="O969" s="9"/>
      <c r="P969" s="12"/>
      <c r="Q969" s="12"/>
      <c r="R969" s="12"/>
      <c r="S969" s="12"/>
      <c r="T969" s="12"/>
      <c r="U969" s="12"/>
      <c r="V969" s="12"/>
      <c r="W969" s="12"/>
      <c r="X969" s="12"/>
      <c r="Y969" s="12"/>
      <c r="Z969" s="12"/>
    </row>
    <row r="970" spans="1:26" ht="14.25" customHeight="1" x14ac:dyDescent="0.3">
      <c r="A970" s="3"/>
      <c r="B970" s="8"/>
      <c r="C970" s="3"/>
      <c r="D970" s="3"/>
      <c r="E970" s="8"/>
      <c r="F970" s="3"/>
      <c r="G970" s="9"/>
      <c r="H970" s="3"/>
      <c r="I970" s="5"/>
      <c r="J970" s="5"/>
      <c r="K970" s="5"/>
      <c r="L970" s="3"/>
      <c r="M970" s="6"/>
      <c r="N970" s="9"/>
      <c r="O970" s="9"/>
      <c r="P970" s="12"/>
      <c r="Q970" s="12"/>
      <c r="R970" s="12"/>
      <c r="S970" s="12"/>
      <c r="T970" s="12"/>
      <c r="U970" s="12"/>
      <c r="V970" s="12"/>
      <c r="W970" s="12"/>
      <c r="X970" s="12"/>
      <c r="Y970" s="12"/>
      <c r="Z970" s="12"/>
    </row>
    <row r="971" spans="1:26" ht="14.25" customHeight="1" x14ac:dyDescent="0.3">
      <c r="A971" s="3"/>
      <c r="B971" s="8"/>
      <c r="C971" s="3"/>
      <c r="D971" s="3"/>
      <c r="E971" s="8"/>
      <c r="F971" s="3"/>
      <c r="G971" s="9"/>
      <c r="H971" s="3"/>
      <c r="I971" s="5"/>
      <c r="J971" s="5"/>
      <c r="K971" s="5"/>
      <c r="L971" s="3"/>
      <c r="M971" s="6"/>
      <c r="N971" s="9"/>
      <c r="O971" s="9"/>
      <c r="P971" s="12"/>
      <c r="Q971" s="12"/>
      <c r="R971" s="12"/>
      <c r="S971" s="12"/>
      <c r="T971" s="12"/>
      <c r="U971" s="12"/>
      <c r="V971" s="12"/>
      <c r="W971" s="12"/>
      <c r="X971" s="12"/>
      <c r="Y971" s="12"/>
      <c r="Z971" s="12"/>
    </row>
    <row r="972" spans="1:26" ht="14.25" customHeight="1" x14ac:dyDescent="0.3">
      <c r="A972" s="3"/>
      <c r="B972" s="8"/>
      <c r="C972" s="3"/>
      <c r="D972" s="3"/>
      <c r="E972" s="8"/>
      <c r="F972" s="3"/>
      <c r="G972" s="9"/>
      <c r="H972" s="3"/>
      <c r="I972" s="5"/>
      <c r="J972" s="5"/>
      <c r="K972" s="5"/>
      <c r="L972" s="3"/>
      <c r="M972" s="6"/>
      <c r="N972" s="9"/>
      <c r="O972" s="9"/>
      <c r="P972" s="12"/>
      <c r="Q972" s="12"/>
      <c r="R972" s="12"/>
      <c r="S972" s="12"/>
      <c r="T972" s="12"/>
      <c r="U972" s="12"/>
      <c r="V972" s="12"/>
      <c r="W972" s="12"/>
      <c r="X972" s="12"/>
      <c r="Y972" s="12"/>
      <c r="Z972" s="12"/>
    </row>
    <row r="973" spans="1:26" ht="14.25" customHeight="1" x14ac:dyDescent="0.3">
      <c r="A973" s="3"/>
      <c r="B973" s="8"/>
      <c r="C973" s="3"/>
      <c r="D973" s="3"/>
      <c r="E973" s="8"/>
      <c r="F973" s="3"/>
      <c r="G973" s="9"/>
      <c r="H973" s="3"/>
      <c r="I973" s="5"/>
      <c r="J973" s="5"/>
      <c r="K973" s="5"/>
      <c r="L973" s="3"/>
      <c r="M973" s="6"/>
      <c r="N973" s="9"/>
      <c r="O973" s="9"/>
      <c r="P973" s="12"/>
      <c r="Q973" s="12"/>
      <c r="R973" s="12"/>
      <c r="S973" s="12"/>
      <c r="T973" s="12"/>
      <c r="U973" s="12"/>
      <c r="V973" s="12"/>
      <c r="W973" s="12"/>
      <c r="X973" s="12"/>
      <c r="Y973" s="12"/>
      <c r="Z973" s="12"/>
    </row>
    <row r="974" spans="1:26" ht="14.25" customHeight="1" x14ac:dyDescent="0.3">
      <c r="A974" s="3"/>
      <c r="B974" s="8"/>
      <c r="C974" s="3"/>
      <c r="D974" s="3"/>
      <c r="E974" s="8"/>
      <c r="F974" s="3"/>
      <c r="G974" s="9"/>
      <c r="H974" s="3"/>
      <c r="I974" s="5"/>
      <c r="J974" s="5"/>
      <c r="K974" s="5"/>
      <c r="L974" s="3"/>
      <c r="M974" s="6"/>
      <c r="N974" s="9"/>
      <c r="O974" s="9"/>
      <c r="P974" s="12"/>
      <c r="Q974" s="12"/>
      <c r="R974" s="12"/>
      <c r="S974" s="12"/>
      <c r="T974" s="12"/>
      <c r="U974" s="12"/>
      <c r="V974" s="12"/>
      <c r="W974" s="12"/>
      <c r="X974" s="12"/>
      <c r="Y974" s="12"/>
      <c r="Z974" s="12"/>
    </row>
    <row r="975" spans="1:26" ht="14.25" customHeight="1" x14ac:dyDescent="0.3">
      <c r="A975" s="3"/>
      <c r="B975" s="8"/>
      <c r="C975" s="3"/>
      <c r="D975" s="3"/>
      <c r="E975" s="8"/>
      <c r="F975" s="3"/>
      <c r="G975" s="9"/>
      <c r="H975" s="3"/>
      <c r="I975" s="5"/>
      <c r="J975" s="5"/>
      <c r="K975" s="5"/>
      <c r="L975" s="3"/>
      <c r="M975" s="6"/>
      <c r="N975" s="9"/>
      <c r="O975" s="9"/>
      <c r="P975" s="12"/>
      <c r="Q975" s="12"/>
      <c r="R975" s="12"/>
      <c r="S975" s="12"/>
      <c r="T975" s="12"/>
      <c r="U975" s="12"/>
      <c r="V975" s="12"/>
      <c r="W975" s="12"/>
      <c r="X975" s="12"/>
      <c r="Y975" s="12"/>
      <c r="Z975" s="12"/>
    </row>
    <row r="976" spans="1:26" ht="14.25" customHeight="1" x14ac:dyDescent="0.3">
      <c r="A976" s="3"/>
      <c r="B976" s="8"/>
      <c r="C976" s="3"/>
      <c r="D976" s="3"/>
      <c r="E976" s="8"/>
      <c r="F976" s="3"/>
      <c r="G976" s="9"/>
      <c r="H976" s="3"/>
      <c r="I976" s="5"/>
      <c r="J976" s="5"/>
      <c r="K976" s="5"/>
      <c r="L976" s="3"/>
      <c r="M976" s="6"/>
      <c r="N976" s="9"/>
      <c r="O976" s="9"/>
      <c r="P976" s="12"/>
      <c r="Q976" s="12"/>
      <c r="R976" s="12"/>
      <c r="S976" s="12"/>
      <c r="T976" s="12"/>
      <c r="U976" s="12"/>
      <c r="V976" s="12"/>
      <c r="W976" s="12"/>
      <c r="X976" s="12"/>
      <c r="Y976" s="12"/>
      <c r="Z976" s="12"/>
    </row>
    <row r="977" spans="1:26" ht="14.25" customHeight="1" x14ac:dyDescent="0.3">
      <c r="A977" s="3"/>
      <c r="B977" s="8"/>
      <c r="C977" s="3"/>
      <c r="D977" s="3"/>
      <c r="E977" s="8"/>
      <c r="F977" s="3"/>
      <c r="G977" s="9"/>
      <c r="H977" s="3"/>
      <c r="I977" s="5"/>
      <c r="J977" s="5"/>
      <c r="K977" s="5"/>
      <c r="L977" s="3"/>
      <c r="M977" s="6"/>
      <c r="N977" s="9"/>
      <c r="O977" s="9"/>
      <c r="P977" s="12"/>
      <c r="Q977" s="12"/>
      <c r="R977" s="12"/>
      <c r="S977" s="12"/>
      <c r="T977" s="12"/>
      <c r="U977" s="12"/>
      <c r="V977" s="12"/>
      <c r="W977" s="12"/>
      <c r="X977" s="12"/>
      <c r="Y977" s="12"/>
      <c r="Z977" s="12"/>
    </row>
    <row r="978" spans="1:26" ht="14.25" customHeight="1" x14ac:dyDescent="0.3">
      <c r="A978" s="3"/>
      <c r="B978" s="8"/>
      <c r="C978" s="3"/>
      <c r="D978" s="3"/>
      <c r="E978" s="8"/>
      <c r="F978" s="3"/>
      <c r="G978" s="9"/>
      <c r="H978" s="3"/>
      <c r="I978" s="5"/>
      <c r="J978" s="5"/>
      <c r="K978" s="5"/>
      <c r="L978" s="3"/>
      <c r="M978" s="6"/>
      <c r="N978" s="9"/>
      <c r="O978" s="9"/>
      <c r="P978" s="12"/>
      <c r="Q978" s="12"/>
      <c r="R978" s="12"/>
      <c r="S978" s="12"/>
      <c r="T978" s="12"/>
      <c r="U978" s="12"/>
      <c r="V978" s="12"/>
      <c r="W978" s="12"/>
      <c r="X978" s="12"/>
      <c r="Y978" s="12"/>
      <c r="Z978" s="12"/>
    </row>
    <row r="979" spans="1:26" ht="14.25" customHeight="1" x14ac:dyDescent="0.3">
      <c r="A979" s="3"/>
      <c r="B979" s="8"/>
      <c r="C979" s="3"/>
      <c r="D979" s="3"/>
      <c r="E979" s="8"/>
      <c r="F979" s="3"/>
      <c r="G979" s="9"/>
      <c r="H979" s="3"/>
      <c r="I979" s="5"/>
      <c r="J979" s="5"/>
      <c r="K979" s="5"/>
      <c r="L979" s="3"/>
      <c r="M979" s="6"/>
      <c r="N979" s="9"/>
      <c r="O979" s="9"/>
      <c r="P979" s="12"/>
      <c r="Q979" s="12"/>
      <c r="R979" s="12"/>
      <c r="S979" s="12"/>
      <c r="T979" s="12"/>
      <c r="U979" s="12"/>
      <c r="V979" s="12"/>
      <c r="W979" s="12"/>
      <c r="X979" s="12"/>
      <c r="Y979" s="12"/>
      <c r="Z979" s="12"/>
    </row>
    <row r="980" spans="1:26" ht="14.25" customHeight="1" x14ac:dyDescent="0.3">
      <c r="A980" s="3"/>
      <c r="B980" s="8"/>
      <c r="C980" s="3"/>
      <c r="D980" s="3"/>
      <c r="E980" s="8"/>
      <c r="F980" s="3"/>
      <c r="G980" s="9"/>
      <c r="H980" s="3"/>
      <c r="I980" s="5"/>
      <c r="J980" s="5"/>
      <c r="K980" s="5"/>
      <c r="L980" s="3"/>
      <c r="M980" s="6"/>
      <c r="N980" s="9"/>
      <c r="O980" s="9"/>
      <c r="P980" s="12"/>
      <c r="Q980" s="12"/>
      <c r="R980" s="12"/>
      <c r="S980" s="12"/>
      <c r="T980" s="12"/>
      <c r="U980" s="12"/>
      <c r="V980" s="12"/>
      <c r="W980" s="12"/>
      <c r="X980" s="12"/>
      <c r="Y980" s="12"/>
      <c r="Z980" s="12"/>
    </row>
    <row r="981" spans="1:26" ht="14.25" customHeight="1" x14ac:dyDescent="0.3">
      <c r="A981" s="3"/>
      <c r="B981" s="8"/>
      <c r="C981" s="3"/>
      <c r="D981" s="3"/>
      <c r="E981" s="8"/>
      <c r="F981" s="3"/>
      <c r="G981" s="9"/>
      <c r="H981" s="3"/>
      <c r="I981" s="5"/>
      <c r="J981" s="5"/>
      <c r="K981" s="5"/>
      <c r="L981" s="3"/>
      <c r="M981" s="6"/>
      <c r="N981" s="9"/>
      <c r="O981" s="9"/>
      <c r="P981" s="12"/>
      <c r="Q981" s="12"/>
      <c r="R981" s="12"/>
      <c r="S981" s="12"/>
      <c r="T981" s="12"/>
      <c r="U981" s="12"/>
      <c r="V981" s="12"/>
      <c r="W981" s="12"/>
      <c r="X981" s="12"/>
      <c r="Y981" s="12"/>
      <c r="Z981" s="12"/>
    </row>
    <row r="982" spans="1:26" ht="14.25" customHeight="1" x14ac:dyDescent="0.3">
      <c r="A982" s="3"/>
      <c r="B982" s="8"/>
      <c r="C982" s="3"/>
      <c r="D982" s="3"/>
      <c r="E982" s="8"/>
      <c r="F982" s="3"/>
      <c r="G982" s="9"/>
      <c r="H982" s="3"/>
      <c r="I982" s="5"/>
      <c r="J982" s="5"/>
      <c r="K982" s="5"/>
      <c r="L982" s="3"/>
      <c r="M982" s="6"/>
      <c r="N982" s="9"/>
      <c r="O982" s="9"/>
      <c r="P982" s="12"/>
      <c r="Q982" s="12"/>
      <c r="R982" s="12"/>
      <c r="S982" s="12"/>
      <c r="T982" s="12"/>
      <c r="U982" s="12"/>
      <c r="V982" s="12"/>
      <c r="W982" s="12"/>
      <c r="X982" s="12"/>
      <c r="Y982" s="12"/>
      <c r="Z982" s="12"/>
    </row>
    <row r="983" spans="1:26" ht="14.25" customHeight="1" x14ac:dyDescent="0.3">
      <c r="A983" s="3"/>
      <c r="B983" s="8"/>
      <c r="C983" s="3"/>
      <c r="D983" s="3"/>
      <c r="E983" s="8"/>
      <c r="F983" s="3"/>
      <c r="G983" s="9"/>
      <c r="H983" s="3"/>
      <c r="I983" s="5"/>
      <c r="J983" s="5"/>
      <c r="K983" s="5"/>
      <c r="L983" s="3"/>
      <c r="M983" s="6"/>
      <c r="N983" s="9"/>
      <c r="O983" s="9"/>
      <c r="P983" s="12"/>
      <c r="Q983" s="12"/>
      <c r="R983" s="12"/>
      <c r="S983" s="12"/>
      <c r="T983" s="12"/>
      <c r="U983" s="12"/>
      <c r="V983" s="12"/>
      <c r="W983" s="12"/>
      <c r="X983" s="12"/>
      <c r="Y983" s="12"/>
      <c r="Z983" s="12"/>
    </row>
    <row r="984" spans="1:26" ht="14.25" customHeight="1" x14ac:dyDescent="0.3">
      <c r="A984" s="3"/>
      <c r="B984" s="8"/>
      <c r="C984" s="3"/>
      <c r="D984" s="3"/>
      <c r="E984" s="8"/>
      <c r="F984" s="3"/>
      <c r="G984" s="9"/>
      <c r="H984" s="3"/>
      <c r="I984" s="5"/>
      <c r="J984" s="5"/>
      <c r="K984" s="5"/>
      <c r="L984" s="3"/>
      <c r="M984" s="6"/>
      <c r="N984" s="9"/>
      <c r="O984" s="9"/>
      <c r="P984" s="12"/>
      <c r="Q984" s="12"/>
      <c r="R984" s="12"/>
      <c r="S984" s="12"/>
      <c r="T984" s="12"/>
      <c r="U984" s="12"/>
      <c r="V984" s="12"/>
      <c r="W984" s="12"/>
      <c r="X984" s="12"/>
      <c r="Y984" s="12"/>
      <c r="Z984" s="12"/>
    </row>
    <row r="985" spans="1:26" ht="14.25" customHeight="1" x14ac:dyDescent="0.3">
      <c r="A985" s="3"/>
      <c r="B985" s="8"/>
      <c r="C985" s="3"/>
      <c r="D985" s="3"/>
      <c r="E985" s="8"/>
      <c r="F985" s="3"/>
      <c r="G985" s="9"/>
      <c r="H985" s="3"/>
      <c r="I985" s="5"/>
      <c r="J985" s="5"/>
      <c r="K985" s="5"/>
      <c r="L985" s="3"/>
      <c r="M985" s="6"/>
      <c r="N985" s="9"/>
      <c r="O985" s="9"/>
      <c r="P985" s="12"/>
      <c r="Q985" s="12"/>
      <c r="R985" s="12"/>
      <c r="S985" s="12"/>
      <c r="T985" s="12"/>
      <c r="U985" s="12"/>
      <c r="V985" s="12"/>
      <c r="W985" s="12"/>
      <c r="X985" s="12"/>
      <c r="Y985" s="12"/>
      <c r="Z985" s="12"/>
    </row>
    <row r="986" spans="1:26" ht="14.25" customHeight="1" x14ac:dyDescent="0.3">
      <c r="A986" s="3"/>
      <c r="B986" s="8"/>
      <c r="C986" s="3"/>
      <c r="D986" s="3"/>
      <c r="E986" s="8"/>
      <c r="F986" s="3"/>
      <c r="G986" s="9"/>
      <c r="H986" s="3"/>
      <c r="I986" s="5"/>
      <c r="J986" s="5"/>
      <c r="K986" s="5"/>
      <c r="L986" s="3"/>
      <c r="M986" s="6"/>
      <c r="N986" s="9"/>
      <c r="O986" s="9"/>
      <c r="P986" s="12"/>
      <c r="Q986" s="12"/>
      <c r="R986" s="12"/>
      <c r="S986" s="12"/>
      <c r="T986" s="12"/>
      <c r="U986" s="12"/>
      <c r="V986" s="12"/>
      <c r="W986" s="12"/>
      <c r="X986" s="12"/>
      <c r="Y986" s="12"/>
      <c r="Z986" s="12"/>
    </row>
    <row r="987" spans="1:26" ht="14.25" customHeight="1" x14ac:dyDescent="0.3">
      <c r="A987" s="3"/>
      <c r="B987" s="8"/>
      <c r="C987" s="3"/>
      <c r="D987" s="3"/>
      <c r="E987" s="8"/>
      <c r="F987" s="3"/>
      <c r="G987" s="9"/>
      <c r="H987" s="3"/>
      <c r="I987" s="5"/>
      <c r="J987" s="5"/>
      <c r="K987" s="5"/>
      <c r="L987" s="3"/>
      <c r="M987" s="6"/>
      <c r="N987" s="9"/>
      <c r="O987" s="9"/>
      <c r="P987" s="12"/>
      <c r="Q987" s="12"/>
      <c r="R987" s="12"/>
      <c r="S987" s="12"/>
      <c r="T987" s="12"/>
      <c r="U987" s="12"/>
      <c r="V987" s="12"/>
      <c r="W987" s="12"/>
      <c r="X987" s="12"/>
      <c r="Y987" s="12"/>
      <c r="Z987" s="12"/>
    </row>
    <row r="988" spans="1:26" ht="14.25" customHeight="1" x14ac:dyDescent="0.3">
      <c r="A988" s="3"/>
      <c r="B988" s="8"/>
      <c r="C988" s="3"/>
      <c r="D988" s="3"/>
      <c r="E988" s="8"/>
      <c r="F988" s="3"/>
      <c r="G988" s="9"/>
      <c r="H988" s="3"/>
      <c r="I988" s="5"/>
      <c r="J988" s="5"/>
      <c r="K988" s="5"/>
      <c r="L988" s="3"/>
      <c r="M988" s="6"/>
      <c r="N988" s="9"/>
      <c r="O988" s="9"/>
      <c r="P988" s="12"/>
      <c r="Q988" s="12"/>
      <c r="R988" s="12"/>
      <c r="S988" s="12"/>
      <c r="T988" s="12"/>
      <c r="U988" s="12"/>
      <c r="V988" s="12"/>
      <c r="W988" s="12"/>
      <c r="X988" s="12"/>
      <c r="Y988" s="12"/>
      <c r="Z988" s="12"/>
    </row>
    <row r="989" spans="1:26" ht="14.25" customHeight="1" x14ac:dyDescent="0.3">
      <c r="A989" s="3"/>
      <c r="B989" s="8"/>
      <c r="C989" s="3"/>
      <c r="D989" s="3"/>
      <c r="E989" s="8"/>
      <c r="F989" s="3"/>
      <c r="G989" s="9"/>
      <c r="H989" s="3"/>
      <c r="I989" s="5"/>
      <c r="J989" s="5"/>
      <c r="K989" s="5"/>
      <c r="L989" s="3"/>
      <c r="M989" s="6"/>
      <c r="N989" s="9"/>
      <c r="O989" s="9"/>
      <c r="P989" s="12"/>
      <c r="Q989" s="12"/>
      <c r="R989" s="12"/>
      <c r="S989" s="12"/>
      <c r="T989" s="12"/>
      <c r="U989" s="12"/>
      <c r="V989" s="12"/>
      <c r="W989" s="12"/>
      <c r="X989" s="12"/>
      <c r="Y989" s="12"/>
      <c r="Z989" s="12"/>
    </row>
    <row r="990" spans="1:26" ht="14.25" customHeight="1" x14ac:dyDescent="0.3">
      <c r="A990" s="3"/>
      <c r="B990" s="8"/>
      <c r="C990" s="3"/>
      <c r="D990" s="3"/>
      <c r="E990" s="8"/>
      <c r="F990" s="3"/>
      <c r="G990" s="9"/>
      <c r="H990" s="3"/>
      <c r="I990" s="5"/>
      <c r="J990" s="5"/>
      <c r="K990" s="5"/>
      <c r="L990" s="3"/>
      <c r="M990" s="6"/>
      <c r="N990" s="9"/>
      <c r="O990" s="9"/>
      <c r="P990" s="12"/>
      <c r="Q990" s="12"/>
      <c r="R990" s="12"/>
      <c r="S990" s="12"/>
      <c r="T990" s="12"/>
      <c r="U990" s="12"/>
      <c r="V990" s="12"/>
      <c r="W990" s="12"/>
      <c r="X990" s="12"/>
      <c r="Y990" s="12"/>
      <c r="Z990" s="12"/>
    </row>
    <row r="991" spans="1:26" ht="14.25" customHeight="1" x14ac:dyDescent="0.3">
      <c r="A991" s="3"/>
      <c r="B991" s="8"/>
      <c r="C991" s="3"/>
      <c r="D991" s="3"/>
      <c r="E991" s="8"/>
      <c r="F991" s="3"/>
      <c r="G991" s="9"/>
      <c r="H991" s="3"/>
      <c r="I991" s="5"/>
      <c r="J991" s="5"/>
      <c r="K991" s="5"/>
      <c r="L991" s="3"/>
      <c r="M991" s="6"/>
      <c r="N991" s="9"/>
      <c r="O991" s="9"/>
      <c r="P991" s="12"/>
      <c r="Q991" s="12"/>
      <c r="R991" s="12"/>
      <c r="S991" s="12"/>
      <c r="T991" s="12"/>
      <c r="U991" s="12"/>
      <c r="V991" s="12"/>
      <c r="W991" s="12"/>
      <c r="X991" s="12"/>
      <c r="Y991" s="12"/>
      <c r="Z991" s="12"/>
    </row>
    <row r="992" spans="1:26" ht="14.25" customHeight="1" x14ac:dyDescent="0.3">
      <c r="A992" s="3"/>
      <c r="B992" s="8"/>
      <c r="C992" s="3"/>
      <c r="D992" s="3"/>
      <c r="E992" s="8"/>
      <c r="F992" s="3"/>
      <c r="G992" s="9"/>
      <c r="H992" s="3"/>
      <c r="I992" s="5"/>
      <c r="J992" s="5"/>
      <c r="K992" s="5"/>
      <c r="L992" s="3"/>
      <c r="M992" s="6"/>
      <c r="N992" s="9"/>
      <c r="O992" s="9"/>
      <c r="P992" s="12"/>
      <c r="Q992" s="12"/>
      <c r="R992" s="12"/>
      <c r="S992" s="12"/>
      <c r="T992" s="12"/>
      <c r="U992" s="12"/>
      <c r="V992" s="12"/>
      <c r="W992" s="12"/>
      <c r="X992" s="12"/>
      <c r="Y992" s="12"/>
      <c r="Z992" s="12"/>
    </row>
    <row r="993" spans="1:26" ht="14.25" customHeight="1" x14ac:dyDescent="0.3">
      <c r="A993" s="3"/>
      <c r="B993" s="8"/>
      <c r="C993" s="3"/>
      <c r="D993" s="3"/>
      <c r="E993" s="8"/>
      <c r="F993" s="3"/>
      <c r="G993" s="9"/>
      <c r="H993" s="3"/>
      <c r="I993" s="5"/>
      <c r="J993" s="5"/>
      <c r="K993" s="5"/>
      <c r="L993" s="3"/>
      <c r="M993" s="6"/>
      <c r="N993" s="9"/>
      <c r="O993" s="9"/>
      <c r="P993" s="12"/>
      <c r="Q993" s="12"/>
      <c r="R993" s="12"/>
      <c r="S993" s="12"/>
      <c r="T993" s="12"/>
      <c r="U993" s="12"/>
      <c r="V993" s="12"/>
      <c r="W993" s="12"/>
      <c r="X993" s="12"/>
      <c r="Y993" s="12"/>
      <c r="Z993" s="12"/>
    </row>
    <row r="994" spans="1:26" ht="14.25" customHeight="1" x14ac:dyDescent="0.3">
      <c r="A994" s="3"/>
      <c r="B994" s="8"/>
      <c r="C994" s="3"/>
      <c r="D994" s="3"/>
      <c r="E994" s="8"/>
      <c r="F994" s="3"/>
      <c r="G994" s="9"/>
      <c r="H994" s="3"/>
      <c r="I994" s="5"/>
      <c r="J994" s="5"/>
      <c r="K994" s="5"/>
      <c r="L994" s="3"/>
      <c r="M994" s="6"/>
      <c r="N994" s="9"/>
      <c r="O994" s="9"/>
      <c r="P994" s="12"/>
      <c r="Q994" s="12"/>
      <c r="R994" s="12"/>
      <c r="S994" s="12"/>
      <c r="T994" s="12"/>
      <c r="U994" s="12"/>
      <c r="V994" s="12"/>
      <c r="W994" s="12"/>
      <c r="X994" s="12"/>
      <c r="Y994" s="12"/>
      <c r="Z994" s="12"/>
    </row>
    <row r="995" spans="1:26" ht="14.25" customHeight="1" x14ac:dyDescent="0.3">
      <c r="A995" s="3"/>
      <c r="B995" s="8"/>
      <c r="C995" s="3"/>
      <c r="D995" s="3"/>
      <c r="E995" s="8"/>
      <c r="F995" s="3"/>
      <c r="G995" s="9"/>
      <c r="H995" s="3"/>
      <c r="I995" s="5"/>
      <c r="J995" s="5"/>
      <c r="K995" s="5"/>
      <c r="L995" s="3"/>
      <c r="M995" s="6"/>
      <c r="N995" s="9"/>
      <c r="O995" s="9"/>
      <c r="P995" s="12"/>
      <c r="Q995" s="12"/>
      <c r="R995" s="12"/>
      <c r="S995" s="12"/>
      <c r="T995" s="12"/>
      <c r="U995" s="12"/>
      <c r="V995" s="12"/>
      <c r="W995" s="12"/>
      <c r="X995" s="12"/>
      <c r="Y995" s="12"/>
      <c r="Z995" s="12"/>
    </row>
    <row r="996" spans="1:26" ht="14.25" customHeight="1" x14ac:dyDescent="0.3">
      <c r="A996" s="3"/>
      <c r="B996" s="8"/>
      <c r="C996" s="3"/>
      <c r="D996" s="3"/>
      <c r="E996" s="8"/>
      <c r="F996" s="3"/>
      <c r="G996" s="9"/>
      <c r="H996" s="3"/>
      <c r="I996" s="5"/>
      <c r="J996" s="5"/>
      <c r="K996" s="5"/>
      <c r="L996" s="3"/>
      <c r="M996" s="6"/>
      <c r="N996" s="9"/>
      <c r="O996" s="9"/>
      <c r="P996" s="12"/>
      <c r="Q996" s="12"/>
      <c r="R996" s="12"/>
      <c r="S996" s="12"/>
      <c r="T996" s="12"/>
      <c r="U996" s="12"/>
      <c r="V996" s="12"/>
      <c r="W996" s="12"/>
      <c r="X996" s="12"/>
      <c r="Y996" s="12"/>
      <c r="Z996" s="12"/>
    </row>
    <row r="997" spans="1:26" ht="14.25" customHeight="1" x14ac:dyDescent="0.3">
      <c r="A997" s="3"/>
      <c r="B997" s="8"/>
      <c r="C997" s="3"/>
      <c r="D997" s="3"/>
      <c r="E997" s="8"/>
      <c r="F997" s="3"/>
      <c r="G997" s="9"/>
      <c r="H997" s="3"/>
      <c r="I997" s="5"/>
      <c r="J997" s="5"/>
      <c r="K997" s="5"/>
      <c r="L997" s="3"/>
      <c r="M997" s="6"/>
      <c r="N997" s="9"/>
      <c r="O997" s="9"/>
      <c r="P997" s="12"/>
      <c r="Q997" s="12"/>
      <c r="R997" s="12"/>
      <c r="S997" s="12"/>
      <c r="T997" s="12"/>
      <c r="U997" s="12"/>
      <c r="V997" s="12"/>
      <c r="W997" s="12"/>
      <c r="X997" s="12"/>
      <c r="Y997" s="12"/>
      <c r="Z997" s="12"/>
    </row>
    <row r="998" spans="1:26" ht="14.25" customHeight="1" x14ac:dyDescent="0.3">
      <c r="A998" s="3"/>
      <c r="B998" s="8"/>
      <c r="C998" s="3"/>
      <c r="D998" s="3"/>
      <c r="E998" s="8"/>
      <c r="F998" s="3"/>
      <c r="G998" s="9"/>
      <c r="H998" s="3"/>
      <c r="I998" s="5"/>
      <c r="J998" s="5"/>
      <c r="K998" s="5"/>
      <c r="L998" s="3"/>
      <c r="M998" s="6"/>
      <c r="N998" s="9"/>
      <c r="O998" s="9"/>
      <c r="P998" s="12"/>
      <c r="Q998" s="12"/>
      <c r="R998" s="12"/>
      <c r="S998" s="12"/>
      <c r="T998" s="12"/>
      <c r="U998" s="12"/>
      <c r="V998" s="12"/>
      <c r="W998" s="12"/>
      <c r="X998" s="12"/>
      <c r="Y998" s="12"/>
      <c r="Z998" s="12"/>
    </row>
    <row r="999" spans="1:26" ht="14.25" customHeight="1" x14ac:dyDescent="0.3">
      <c r="A999" s="3"/>
      <c r="B999" s="8"/>
      <c r="C999" s="3"/>
      <c r="D999" s="3"/>
      <c r="E999" s="8"/>
      <c r="F999" s="3"/>
      <c r="G999" s="9"/>
      <c r="H999" s="3"/>
      <c r="I999" s="5"/>
      <c r="J999" s="5"/>
      <c r="K999" s="5"/>
      <c r="L999" s="3"/>
      <c r="M999" s="6"/>
      <c r="N999" s="9"/>
      <c r="O999" s="9"/>
      <c r="P999" s="12"/>
      <c r="Q999" s="12"/>
      <c r="R999" s="12"/>
      <c r="S999" s="12"/>
      <c r="T999" s="12"/>
      <c r="U999" s="12"/>
      <c r="V999" s="12"/>
      <c r="W999" s="12"/>
      <c r="X999" s="12"/>
      <c r="Y999" s="12"/>
      <c r="Z999" s="12"/>
    </row>
    <row r="1000" spans="1:26" ht="14.25" customHeight="1" x14ac:dyDescent="0.3">
      <c r="A1000" s="3"/>
      <c r="B1000" s="8"/>
      <c r="C1000" s="3"/>
      <c r="D1000" s="3"/>
      <c r="E1000" s="8"/>
      <c r="F1000" s="3"/>
      <c r="G1000" s="9"/>
      <c r="H1000" s="3"/>
      <c r="I1000" s="5"/>
      <c r="J1000" s="5"/>
      <c r="K1000" s="5"/>
      <c r="L1000" s="3"/>
      <c r="M1000" s="6"/>
      <c r="N1000" s="9"/>
      <c r="O1000" s="9"/>
      <c r="P1000" s="12"/>
      <c r="Q1000" s="12"/>
      <c r="R1000" s="12"/>
      <c r="S1000" s="12"/>
      <c r="T1000" s="12"/>
      <c r="U1000" s="12"/>
      <c r="V1000" s="12"/>
      <c r="W1000" s="12"/>
      <c r="X1000" s="12"/>
      <c r="Y1000" s="12"/>
      <c r="Z1000" s="12"/>
    </row>
  </sheetData>
  <printOptions horizontalCentered="1"/>
  <pageMargins left="0.7" right="0.7" top="0.75" bottom="0.75" header="0" footer="0"/>
  <pageSetup paperSize="5" orientation="landscape"/>
  <rowBreaks count="1" manualBreakCount="1">
    <brk id="14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30"/>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ColWidth="14.44140625" defaultRowHeight="15" customHeight="1" outlineLevelCol="1" x14ac:dyDescent="0.3"/>
  <cols>
    <col min="1" max="1" width="8.6640625" customWidth="1"/>
    <col min="2" max="2" width="29.6640625" customWidth="1"/>
    <col min="3" max="3" width="21.6640625" hidden="1" customWidth="1"/>
    <col min="4" max="4" width="25.33203125" hidden="1" customWidth="1"/>
    <col min="5" max="5" width="29" customWidth="1"/>
    <col min="6" max="6" width="14.33203125" customWidth="1"/>
    <col min="7" max="7" width="10.6640625" customWidth="1"/>
    <col min="8" max="11" width="12.6640625" customWidth="1"/>
    <col min="12" max="12" width="20.6640625" customWidth="1"/>
    <col min="13" max="13" width="9.33203125" customWidth="1"/>
    <col min="14" max="14" width="14.5546875" customWidth="1"/>
    <col min="15" max="15" width="15.6640625" customWidth="1"/>
    <col min="16" max="16" width="11.33203125" customWidth="1" outlineLevel="1"/>
    <col min="17" max="17" width="10.44140625" hidden="1" customWidth="1"/>
    <col min="18" max="19" width="13.44140625" customWidth="1"/>
    <col min="20" max="20" width="11.44140625" customWidth="1"/>
    <col min="21" max="26" width="9" customWidth="1"/>
  </cols>
  <sheetData>
    <row r="1" spans="1:26" ht="18" customHeight="1" x14ac:dyDescent="0.35">
      <c r="A1" s="1" t="s">
        <v>0</v>
      </c>
      <c r="B1" s="2"/>
      <c r="C1" s="3"/>
      <c r="D1" s="3"/>
      <c r="E1" s="2"/>
      <c r="F1" s="3"/>
      <c r="G1" s="4"/>
      <c r="H1" s="3"/>
      <c r="I1" s="5"/>
      <c r="J1" s="5"/>
      <c r="K1" s="5"/>
      <c r="L1" s="3"/>
      <c r="M1" s="6"/>
      <c r="N1" s="4"/>
      <c r="O1" s="4"/>
      <c r="P1" s="7"/>
      <c r="Q1" s="7"/>
      <c r="R1" s="7"/>
      <c r="S1" s="7"/>
      <c r="T1" s="7"/>
      <c r="U1" s="7"/>
      <c r="V1" s="7"/>
      <c r="W1" s="7"/>
      <c r="X1" s="7"/>
      <c r="Y1" s="7"/>
      <c r="Z1" s="7"/>
    </row>
    <row r="2" spans="1:26" ht="14.25" customHeight="1" x14ac:dyDescent="0.3">
      <c r="A2" s="13" t="s">
        <v>2</v>
      </c>
      <c r="B2" s="13"/>
      <c r="C2" s="13"/>
      <c r="D2" s="13"/>
      <c r="E2" s="13"/>
      <c r="F2" s="13"/>
      <c r="G2" s="13"/>
      <c r="H2" s="13"/>
      <c r="I2" s="13"/>
      <c r="J2" s="13"/>
      <c r="K2" s="13"/>
      <c r="L2" s="13"/>
      <c r="M2" s="13"/>
      <c r="N2" s="14"/>
      <c r="O2" s="13"/>
      <c r="P2" s="12" t="s">
        <v>3</v>
      </c>
      <c r="Q2" s="12"/>
      <c r="R2" s="12"/>
      <c r="S2" s="12"/>
      <c r="T2" s="12"/>
      <c r="U2" s="12"/>
      <c r="V2" s="12"/>
      <c r="W2" s="12"/>
      <c r="X2" s="12"/>
      <c r="Y2" s="12"/>
      <c r="Z2" s="12"/>
    </row>
    <row r="3" spans="1:26" ht="14.25" customHeight="1" x14ac:dyDescent="0.3">
      <c r="A3" s="13" t="s">
        <v>4</v>
      </c>
      <c r="B3" s="13"/>
      <c r="C3" s="13"/>
      <c r="D3" s="13"/>
      <c r="E3" s="13"/>
      <c r="F3" s="13"/>
      <c r="G3" s="13"/>
      <c r="H3" s="13"/>
      <c r="I3" s="13"/>
      <c r="J3" s="13"/>
      <c r="K3" s="13"/>
      <c r="L3" s="13"/>
      <c r="M3" s="13"/>
      <c r="N3" s="14"/>
      <c r="O3" s="13"/>
      <c r="P3" s="12"/>
      <c r="Q3" s="12"/>
      <c r="R3" s="12"/>
      <c r="S3" s="12"/>
      <c r="T3" s="12"/>
      <c r="U3" s="12"/>
      <c r="V3" s="12"/>
      <c r="W3" s="12"/>
      <c r="X3" s="12"/>
      <c r="Y3" s="12"/>
      <c r="Z3" s="12"/>
    </row>
    <row r="4" spans="1:26" ht="14.25" customHeight="1" x14ac:dyDescent="0.3">
      <c r="A4" s="8" t="s">
        <v>5</v>
      </c>
      <c r="B4" s="8"/>
      <c r="C4" s="8"/>
      <c r="D4" s="8"/>
      <c r="E4" s="8"/>
      <c r="F4" s="8"/>
      <c r="G4" s="8"/>
      <c r="H4" s="8"/>
      <c r="I4" s="8"/>
      <c r="J4" s="8"/>
      <c r="K4" s="8"/>
      <c r="L4" s="8"/>
      <c r="M4" s="8"/>
      <c r="N4" s="9"/>
      <c r="O4" s="8"/>
      <c r="P4" s="12"/>
      <c r="Q4" s="12"/>
      <c r="R4" s="12"/>
      <c r="S4" s="12"/>
      <c r="T4" s="12"/>
      <c r="U4" s="12"/>
      <c r="V4" s="12"/>
      <c r="W4" s="12"/>
      <c r="X4" s="12"/>
      <c r="Y4" s="12"/>
      <c r="Z4" s="12"/>
    </row>
    <row r="5" spans="1:26" ht="14.25" customHeight="1" x14ac:dyDescent="0.3">
      <c r="A5" s="15" t="s">
        <v>6</v>
      </c>
      <c r="B5" s="16" t="s">
        <v>7</v>
      </c>
      <c r="C5" s="16" t="s">
        <v>8</v>
      </c>
      <c r="D5" s="16"/>
      <c r="E5" s="16"/>
      <c r="F5" s="15" t="s">
        <v>9</v>
      </c>
      <c r="G5" s="17" t="s">
        <v>10</v>
      </c>
      <c r="H5" s="16" t="s">
        <v>11</v>
      </c>
      <c r="I5" s="18" t="s">
        <v>12</v>
      </c>
      <c r="J5" s="18" t="s">
        <v>13</v>
      </c>
      <c r="K5" s="19"/>
      <c r="L5" s="20" t="s">
        <v>14</v>
      </c>
      <c r="M5" s="21" t="s">
        <v>15</v>
      </c>
      <c r="N5" s="22" t="s">
        <v>15</v>
      </c>
      <c r="O5" s="23" t="s">
        <v>16</v>
      </c>
      <c r="P5" s="24"/>
      <c r="Q5" s="25"/>
      <c r="R5" s="25"/>
      <c r="S5" s="25"/>
      <c r="T5" s="25"/>
      <c r="U5" s="25"/>
      <c r="V5" s="25"/>
      <c r="W5" s="25"/>
      <c r="X5" s="25"/>
      <c r="Y5" s="25"/>
      <c r="Z5" s="25"/>
    </row>
    <row r="6" spans="1:26" ht="12.75" customHeight="1" x14ac:dyDescent="0.3">
      <c r="A6" s="15"/>
      <c r="B6" s="16"/>
      <c r="C6" s="16" t="s">
        <v>17</v>
      </c>
      <c r="D6" s="16" t="s">
        <v>18</v>
      </c>
      <c r="E6" s="16" t="s">
        <v>19</v>
      </c>
      <c r="F6" s="15"/>
      <c r="G6" s="17"/>
      <c r="H6" s="16"/>
      <c r="I6" s="26"/>
      <c r="J6" s="26"/>
      <c r="K6" s="27"/>
      <c r="L6" s="20"/>
      <c r="M6" s="21"/>
      <c r="N6" s="22"/>
      <c r="O6" s="23"/>
      <c r="P6" s="25"/>
      <c r="Q6" s="25"/>
      <c r="R6" s="477" t="s">
        <v>480</v>
      </c>
      <c r="S6" s="478"/>
      <c r="T6" s="25"/>
      <c r="U6" s="25"/>
      <c r="V6" s="25"/>
      <c r="W6" s="25"/>
      <c r="X6" s="25"/>
      <c r="Y6" s="25"/>
      <c r="Z6" s="25"/>
    </row>
    <row r="7" spans="1:26" ht="14.25" customHeight="1" x14ac:dyDescent="0.3">
      <c r="A7" s="15" t="s">
        <v>20</v>
      </c>
      <c r="B7" s="16" t="s">
        <v>20</v>
      </c>
      <c r="C7" s="16"/>
      <c r="D7" s="16"/>
      <c r="E7" s="16" t="s">
        <v>20</v>
      </c>
      <c r="F7" s="15" t="s">
        <v>481</v>
      </c>
      <c r="G7" s="17" t="s">
        <v>20</v>
      </c>
      <c r="H7" s="16" t="s">
        <v>20</v>
      </c>
      <c r="I7" s="26" t="s">
        <v>21</v>
      </c>
      <c r="J7" s="26" t="s">
        <v>21</v>
      </c>
      <c r="K7" s="27"/>
      <c r="L7" s="28" t="s">
        <v>22</v>
      </c>
      <c r="M7" s="21"/>
      <c r="N7" s="22" t="s">
        <v>23</v>
      </c>
      <c r="O7" s="23" t="s">
        <v>20</v>
      </c>
      <c r="P7" s="32" t="s">
        <v>26</v>
      </c>
      <c r="Q7" s="32"/>
      <c r="R7" s="32" t="s">
        <v>482</v>
      </c>
      <c r="S7" s="32" t="s">
        <v>483</v>
      </c>
      <c r="T7" s="32"/>
      <c r="U7" s="25"/>
      <c r="V7" s="25"/>
      <c r="W7" s="25"/>
      <c r="X7" s="25"/>
      <c r="Y7" s="25"/>
      <c r="Z7" s="25"/>
    </row>
    <row r="8" spans="1:26" ht="14.25" customHeight="1" x14ac:dyDescent="0.3">
      <c r="A8" s="15"/>
      <c r="B8" s="16"/>
      <c r="C8" s="16"/>
      <c r="D8" s="16"/>
      <c r="E8" s="16"/>
      <c r="F8" s="29" t="s">
        <v>24</v>
      </c>
      <c r="G8" s="17"/>
      <c r="H8" s="16"/>
      <c r="I8" s="30"/>
      <c r="J8" s="30"/>
      <c r="K8" s="31"/>
      <c r="L8" s="28" t="s">
        <v>25</v>
      </c>
      <c r="M8" s="21"/>
      <c r="N8" s="22"/>
      <c r="O8" s="42">
        <f>SUM(O9:O2730)</f>
        <v>2546137.5247230008</v>
      </c>
      <c r="P8" s="43"/>
      <c r="Q8" s="44"/>
      <c r="R8" s="62">
        <v>1099329.7842805623</v>
      </c>
      <c r="S8" s="44">
        <v>1527203.7100000011</v>
      </c>
      <c r="T8" s="44">
        <f>O8-SUM(R8:S8)</f>
        <v>-80395.969557562843</v>
      </c>
      <c r="U8" s="32"/>
      <c r="V8" s="32"/>
      <c r="W8" s="32"/>
      <c r="X8" s="32"/>
      <c r="Y8" s="32"/>
      <c r="Z8" s="32"/>
    </row>
    <row r="9" spans="1:26" ht="15" customHeight="1" x14ac:dyDescent="0.3">
      <c r="A9" s="155">
        <v>1</v>
      </c>
      <c r="B9" s="156" t="s">
        <v>162</v>
      </c>
      <c r="C9" s="46"/>
      <c r="D9" s="47"/>
      <c r="E9" s="156" t="s">
        <v>163</v>
      </c>
      <c r="F9" s="45"/>
      <c r="G9" s="157">
        <v>32.299999999999997</v>
      </c>
      <c r="H9" s="155">
        <v>117</v>
      </c>
      <c r="I9" s="155">
        <v>1</v>
      </c>
      <c r="J9" s="156" t="s">
        <v>92</v>
      </c>
      <c r="K9" s="52" t="s">
        <v>33</v>
      </c>
      <c r="L9" s="53" t="str">
        <f t="shared" ref="L9:L168" si="0">CONCATENATE(I9,J9)</f>
        <v>1pieces</v>
      </c>
      <c r="M9" s="54">
        <f t="shared" ref="M9:M168" si="1">H9*I9</f>
        <v>117</v>
      </c>
      <c r="N9" s="55" t="str">
        <f t="shared" ref="N9:N263" si="2">CONCATENATE(M9,K9,J9)</f>
        <v>117 pieces</v>
      </c>
      <c r="O9" s="158">
        <v>3779.1</v>
      </c>
      <c r="P9" s="44">
        <f t="shared" ref="P9:P74" si="3">O9/H9</f>
        <v>32.299999999999997</v>
      </c>
      <c r="Q9" s="44">
        <f t="shared" ref="Q9:Q168" si="4">G9-P9</f>
        <v>0</v>
      </c>
      <c r="R9" s="62"/>
      <c r="S9" s="44"/>
      <c r="T9" s="32"/>
      <c r="U9" s="32"/>
      <c r="V9" s="32"/>
      <c r="W9" s="32"/>
      <c r="X9" s="32"/>
      <c r="Y9" s="32"/>
      <c r="Z9" s="32"/>
    </row>
    <row r="10" spans="1:26" ht="15" customHeight="1" x14ac:dyDescent="0.3">
      <c r="A10" s="155">
        <v>2</v>
      </c>
      <c r="B10" s="156" t="s">
        <v>225</v>
      </c>
      <c r="C10" s="46"/>
      <c r="D10" s="58"/>
      <c r="E10" s="156" t="s">
        <v>226</v>
      </c>
      <c r="F10" s="45"/>
      <c r="G10" s="157">
        <v>160</v>
      </c>
      <c r="H10" s="155">
        <v>3.6</v>
      </c>
      <c r="I10" s="155">
        <v>1</v>
      </c>
      <c r="J10" s="156" t="s">
        <v>39</v>
      </c>
      <c r="K10" s="52" t="s">
        <v>33</v>
      </c>
      <c r="L10" s="53" t="str">
        <f t="shared" si="0"/>
        <v>1grams</v>
      </c>
      <c r="M10" s="54">
        <f t="shared" si="1"/>
        <v>3.6</v>
      </c>
      <c r="N10" s="55" t="str">
        <f t="shared" si="2"/>
        <v>3.6 grams</v>
      </c>
      <c r="O10" s="158">
        <v>576</v>
      </c>
      <c r="P10" s="44">
        <f t="shared" si="3"/>
        <v>160</v>
      </c>
      <c r="Q10" s="44">
        <f t="shared" si="4"/>
        <v>0</v>
      </c>
      <c r="R10" s="32"/>
      <c r="S10" s="32"/>
      <c r="T10" s="32"/>
      <c r="U10" s="32"/>
      <c r="V10" s="32"/>
      <c r="W10" s="32"/>
      <c r="X10" s="32"/>
      <c r="Y10" s="32"/>
      <c r="Z10" s="32"/>
    </row>
    <row r="11" spans="1:26" ht="15" customHeight="1" x14ac:dyDescent="0.3">
      <c r="A11" s="155">
        <v>3</v>
      </c>
      <c r="B11" s="156" t="s">
        <v>295</v>
      </c>
      <c r="C11" s="46"/>
      <c r="D11" s="58"/>
      <c r="E11" s="156"/>
      <c r="F11" s="45"/>
      <c r="G11" s="157">
        <v>0.32306200000000002</v>
      </c>
      <c r="H11" s="155">
        <v>2012</v>
      </c>
      <c r="I11" s="155">
        <v>1000</v>
      </c>
      <c r="J11" s="156" t="s">
        <v>39</v>
      </c>
      <c r="K11" s="52" t="s">
        <v>33</v>
      </c>
      <c r="L11" s="53" t="str">
        <f t="shared" si="0"/>
        <v>1000grams</v>
      </c>
      <c r="M11" s="54">
        <f t="shared" si="1"/>
        <v>2012000</v>
      </c>
      <c r="N11" s="55" t="str">
        <f t="shared" si="2"/>
        <v>2012000 grams</v>
      </c>
      <c r="O11" s="158">
        <v>650</v>
      </c>
      <c r="P11" s="44">
        <f t="shared" si="3"/>
        <v>0.32306163021868789</v>
      </c>
      <c r="Q11" s="62">
        <f t="shared" si="4"/>
        <v>3.6978131212617171E-7</v>
      </c>
      <c r="R11" s="12"/>
      <c r="S11" s="32"/>
      <c r="T11" s="32"/>
      <c r="U11" s="32"/>
      <c r="V11" s="32"/>
      <c r="W11" s="32"/>
      <c r="X11" s="32"/>
      <c r="Y11" s="32"/>
      <c r="Z11" s="32"/>
    </row>
    <row r="12" spans="1:26" ht="15" customHeight="1" x14ac:dyDescent="0.3">
      <c r="A12" s="155">
        <v>4</v>
      </c>
      <c r="B12" s="156" t="s">
        <v>121</v>
      </c>
      <c r="C12" s="46"/>
      <c r="D12" s="63"/>
      <c r="E12" s="156" t="s">
        <v>122</v>
      </c>
      <c r="F12" s="45"/>
      <c r="G12" s="157">
        <v>8.2799999999999994</v>
      </c>
      <c r="H12" s="155">
        <v>321</v>
      </c>
      <c r="I12" s="155">
        <v>1</v>
      </c>
      <c r="J12" s="156" t="s">
        <v>92</v>
      </c>
      <c r="K12" s="52" t="s">
        <v>33</v>
      </c>
      <c r="L12" s="53" t="str">
        <f t="shared" si="0"/>
        <v>1pieces</v>
      </c>
      <c r="M12" s="54">
        <f t="shared" si="1"/>
        <v>321</v>
      </c>
      <c r="N12" s="55" t="str">
        <f t="shared" si="2"/>
        <v>321 pieces</v>
      </c>
      <c r="O12" s="158">
        <v>2657.88</v>
      </c>
      <c r="P12" s="44">
        <f t="shared" si="3"/>
        <v>8.2800000000000011</v>
      </c>
      <c r="Q12" s="44">
        <f t="shared" si="4"/>
        <v>0</v>
      </c>
      <c r="R12" s="32"/>
      <c r="S12" s="32"/>
      <c r="T12" s="32"/>
      <c r="U12" s="32"/>
      <c r="V12" s="32"/>
      <c r="W12" s="32"/>
      <c r="X12" s="32"/>
      <c r="Y12" s="32"/>
      <c r="Z12" s="32"/>
    </row>
    <row r="13" spans="1:26" ht="15" customHeight="1" x14ac:dyDescent="0.3">
      <c r="A13" s="155">
        <v>4</v>
      </c>
      <c r="B13" s="156" t="s">
        <v>121</v>
      </c>
      <c r="C13" s="46"/>
      <c r="D13" s="63"/>
      <c r="E13" s="156"/>
      <c r="F13" s="45"/>
      <c r="G13" s="157">
        <v>9.1999999999999993</v>
      </c>
      <c r="H13" s="155">
        <v>157</v>
      </c>
      <c r="I13" s="155">
        <v>1</v>
      </c>
      <c r="J13" s="156" t="s">
        <v>92</v>
      </c>
      <c r="K13" s="52" t="s">
        <v>33</v>
      </c>
      <c r="L13" s="53" t="str">
        <f t="shared" si="0"/>
        <v>1pieces</v>
      </c>
      <c r="M13" s="54">
        <f t="shared" si="1"/>
        <v>157</v>
      </c>
      <c r="N13" s="55" t="str">
        <f t="shared" si="2"/>
        <v>157 pieces</v>
      </c>
      <c r="O13" s="158">
        <v>1444.4</v>
      </c>
      <c r="P13" s="44">
        <f t="shared" si="3"/>
        <v>9.2000000000000011</v>
      </c>
      <c r="Q13" s="44">
        <f t="shared" si="4"/>
        <v>0</v>
      </c>
      <c r="R13" s="32"/>
      <c r="S13" s="32"/>
      <c r="T13" s="32"/>
      <c r="U13" s="32"/>
      <c r="V13" s="32"/>
      <c r="W13" s="32"/>
      <c r="X13" s="32"/>
      <c r="Y13" s="32"/>
      <c r="Z13" s="32"/>
    </row>
    <row r="14" spans="1:26" ht="15" customHeight="1" x14ac:dyDescent="0.3">
      <c r="A14" s="155">
        <v>5</v>
      </c>
      <c r="B14" s="156" t="s">
        <v>34</v>
      </c>
      <c r="C14" s="46"/>
      <c r="D14" s="63"/>
      <c r="E14" s="156" t="s">
        <v>484</v>
      </c>
      <c r="F14" s="45"/>
      <c r="G14" s="157">
        <v>0.2384</v>
      </c>
      <c r="H14" s="155">
        <v>11500</v>
      </c>
      <c r="I14" s="155">
        <v>250</v>
      </c>
      <c r="J14" s="156" t="s">
        <v>39</v>
      </c>
      <c r="K14" s="52" t="s">
        <v>33</v>
      </c>
      <c r="L14" s="53" t="str">
        <f t="shared" si="0"/>
        <v>250grams</v>
      </c>
      <c r="M14" s="54">
        <f t="shared" si="1"/>
        <v>2875000</v>
      </c>
      <c r="N14" s="55" t="str">
        <f t="shared" si="2"/>
        <v>2875000 grams</v>
      </c>
      <c r="O14" s="158">
        <v>2741.6</v>
      </c>
      <c r="P14" s="44">
        <f t="shared" si="3"/>
        <v>0.2384</v>
      </c>
      <c r="Q14" s="44">
        <f t="shared" si="4"/>
        <v>0</v>
      </c>
      <c r="R14" s="32"/>
      <c r="S14" s="32"/>
      <c r="T14" s="32"/>
      <c r="U14" s="32"/>
      <c r="V14" s="32"/>
      <c r="W14" s="32"/>
      <c r="X14" s="32"/>
      <c r="Y14" s="32"/>
      <c r="Z14" s="32"/>
    </row>
    <row r="15" spans="1:26" ht="15" customHeight="1" x14ac:dyDescent="0.3">
      <c r="A15" s="155">
        <v>5</v>
      </c>
      <c r="B15" s="156" t="s">
        <v>34</v>
      </c>
      <c r="C15" s="46"/>
      <c r="D15" s="63"/>
      <c r="E15" s="156" t="s">
        <v>35</v>
      </c>
      <c r="F15" s="45"/>
      <c r="G15" s="157">
        <v>55.6907</v>
      </c>
      <c r="H15" s="155">
        <v>43</v>
      </c>
      <c r="I15" s="155">
        <v>250</v>
      </c>
      <c r="J15" s="156" t="s">
        <v>32</v>
      </c>
      <c r="K15" s="52" t="s">
        <v>33</v>
      </c>
      <c r="L15" s="53" t="str">
        <f t="shared" si="0"/>
        <v>250ml</v>
      </c>
      <c r="M15" s="54">
        <f t="shared" si="1"/>
        <v>10750</v>
      </c>
      <c r="N15" s="55" t="str">
        <f t="shared" si="2"/>
        <v>10750 ml</v>
      </c>
      <c r="O15" s="158">
        <v>2394.6999999999998</v>
      </c>
      <c r="P15" s="44">
        <f t="shared" si="3"/>
        <v>55.690697674418601</v>
      </c>
      <c r="Q15" s="44">
        <f t="shared" si="4"/>
        <v>2.3255813985656459E-6</v>
      </c>
      <c r="R15" s="32"/>
      <c r="S15" s="32"/>
      <c r="T15" s="32"/>
      <c r="U15" s="32"/>
      <c r="V15" s="32"/>
      <c r="W15" s="32"/>
      <c r="X15" s="32"/>
      <c r="Y15" s="32"/>
      <c r="Z15" s="32"/>
    </row>
    <row r="16" spans="1:26" ht="15" customHeight="1" x14ac:dyDescent="0.3">
      <c r="A16" s="155">
        <v>5</v>
      </c>
      <c r="B16" s="156" t="s">
        <v>34</v>
      </c>
      <c r="C16" s="46"/>
      <c r="D16" s="63"/>
      <c r="E16" s="156" t="s">
        <v>36</v>
      </c>
      <c r="F16" s="45"/>
      <c r="G16" s="157">
        <v>46.826210000000003</v>
      </c>
      <c r="H16" s="155">
        <v>29</v>
      </c>
      <c r="I16" s="155">
        <v>250</v>
      </c>
      <c r="J16" s="156" t="s">
        <v>32</v>
      </c>
      <c r="K16" s="52" t="s">
        <v>33</v>
      </c>
      <c r="L16" s="53" t="str">
        <f t="shared" si="0"/>
        <v>250ml</v>
      </c>
      <c r="M16" s="54">
        <f t="shared" si="1"/>
        <v>7250</v>
      </c>
      <c r="N16" s="55" t="str">
        <f t="shared" si="2"/>
        <v>7250 ml</v>
      </c>
      <c r="O16" s="158">
        <v>1357.96</v>
      </c>
      <c r="P16" s="44">
        <f t="shared" si="3"/>
        <v>46.826206896551724</v>
      </c>
      <c r="Q16" s="44">
        <f t="shared" si="4"/>
        <v>3.1034482788072637E-6</v>
      </c>
      <c r="R16" s="32"/>
      <c r="S16" s="32"/>
      <c r="T16" s="32"/>
      <c r="U16" s="32"/>
      <c r="V16" s="32"/>
      <c r="W16" s="32"/>
      <c r="X16" s="32"/>
      <c r="Y16" s="32"/>
      <c r="Z16" s="32"/>
    </row>
    <row r="17" spans="1:26" ht="15" customHeight="1" x14ac:dyDescent="0.3">
      <c r="A17" s="155">
        <v>5</v>
      </c>
      <c r="B17" s="156" t="s">
        <v>34</v>
      </c>
      <c r="C17" s="46"/>
      <c r="D17" s="63"/>
      <c r="E17" s="156" t="s">
        <v>485</v>
      </c>
      <c r="F17" s="45"/>
      <c r="G17" s="157">
        <v>0.24528</v>
      </c>
      <c r="H17" s="155">
        <v>6500</v>
      </c>
      <c r="I17" s="155">
        <v>250</v>
      </c>
      <c r="J17" s="156" t="s">
        <v>32</v>
      </c>
      <c r="K17" s="52" t="s">
        <v>33</v>
      </c>
      <c r="L17" s="53" t="str">
        <f t="shared" si="0"/>
        <v>250ml</v>
      </c>
      <c r="M17" s="54">
        <f t="shared" si="1"/>
        <v>1625000</v>
      </c>
      <c r="N17" s="55" t="str">
        <f t="shared" si="2"/>
        <v>1625000 ml</v>
      </c>
      <c r="O17" s="158">
        <v>1594.32</v>
      </c>
      <c r="P17" s="44">
        <f t="shared" si="3"/>
        <v>0.24528</v>
      </c>
      <c r="Q17" s="66">
        <f t="shared" si="4"/>
        <v>0</v>
      </c>
      <c r="R17" s="67"/>
      <c r="S17" s="32"/>
      <c r="T17" s="32"/>
      <c r="U17" s="32"/>
      <c r="V17" s="32"/>
      <c r="W17" s="32"/>
      <c r="X17" s="32"/>
      <c r="Y17" s="32"/>
      <c r="Z17" s="32"/>
    </row>
    <row r="18" spans="1:26" ht="15" customHeight="1" x14ac:dyDescent="0.3">
      <c r="A18" s="155">
        <v>6</v>
      </c>
      <c r="B18" s="156" t="s">
        <v>227</v>
      </c>
      <c r="C18" s="46"/>
      <c r="D18" s="63"/>
      <c r="E18" s="156" t="s">
        <v>228</v>
      </c>
      <c r="F18" s="45"/>
      <c r="G18" s="157">
        <v>412.28</v>
      </c>
      <c r="H18" s="155">
        <v>8</v>
      </c>
      <c r="I18" s="155">
        <v>1</v>
      </c>
      <c r="J18" s="156" t="s">
        <v>200</v>
      </c>
      <c r="K18" s="52" t="s">
        <v>33</v>
      </c>
      <c r="L18" s="53" t="str">
        <f t="shared" si="0"/>
        <v>1gal</v>
      </c>
      <c r="M18" s="54">
        <f t="shared" si="1"/>
        <v>8</v>
      </c>
      <c r="N18" s="55" t="str">
        <f t="shared" si="2"/>
        <v>8 gal</v>
      </c>
      <c r="O18" s="158">
        <v>3298.24</v>
      </c>
      <c r="P18" s="44">
        <f t="shared" si="3"/>
        <v>412.28</v>
      </c>
      <c r="Q18" s="44">
        <f t="shared" si="4"/>
        <v>0</v>
      </c>
      <c r="R18" s="32"/>
      <c r="S18" s="32"/>
      <c r="T18" s="32"/>
      <c r="U18" s="32"/>
      <c r="V18" s="32"/>
      <c r="W18" s="32"/>
      <c r="X18" s="32"/>
      <c r="Y18" s="32"/>
      <c r="Z18" s="32"/>
    </row>
    <row r="19" spans="1:26" ht="15" customHeight="1" x14ac:dyDescent="0.3">
      <c r="A19" s="155">
        <v>6</v>
      </c>
      <c r="B19" s="156" t="s">
        <v>227</v>
      </c>
      <c r="C19" s="46"/>
      <c r="D19" s="58"/>
      <c r="E19" s="156"/>
      <c r="F19" s="45"/>
      <c r="G19" s="157">
        <v>420.6</v>
      </c>
      <c r="H19" s="155">
        <v>3</v>
      </c>
      <c r="I19" s="155">
        <v>1</v>
      </c>
      <c r="J19" s="156" t="s">
        <v>200</v>
      </c>
      <c r="K19" s="52" t="s">
        <v>33</v>
      </c>
      <c r="L19" s="53" t="str">
        <f t="shared" si="0"/>
        <v>1gal</v>
      </c>
      <c r="M19" s="54">
        <f t="shared" si="1"/>
        <v>3</v>
      </c>
      <c r="N19" s="55" t="str">
        <f t="shared" si="2"/>
        <v>3 gal</v>
      </c>
      <c r="O19" s="158">
        <v>1261.8</v>
      </c>
      <c r="P19" s="44">
        <f t="shared" si="3"/>
        <v>420.59999999999997</v>
      </c>
      <c r="Q19" s="44">
        <f t="shared" si="4"/>
        <v>0</v>
      </c>
      <c r="R19" s="32"/>
      <c r="S19" s="32"/>
      <c r="T19" s="32"/>
      <c r="U19" s="32"/>
      <c r="V19" s="32"/>
      <c r="W19" s="32"/>
      <c r="X19" s="32"/>
      <c r="Y19" s="32"/>
      <c r="Z19" s="32"/>
    </row>
    <row r="20" spans="1:26" ht="15" customHeight="1" x14ac:dyDescent="0.3">
      <c r="A20" s="155">
        <v>7</v>
      </c>
      <c r="B20" s="156" t="s">
        <v>37</v>
      </c>
      <c r="C20" s="46"/>
      <c r="D20" s="58"/>
      <c r="E20" s="156" t="s">
        <v>486</v>
      </c>
      <c r="F20" s="45"/>
      <c r="G20" s="157">
        <v>0.08</v>
      </c>
      <c r="H20" s="155">
        <v>5000</v>
      </c>
      <c r="I20" s="155">
        <v>1000</v>
      </c>
      <c r="J20" s="156" t="s">
        <v>39</v>
      </c>
      <c r="K20" s="52" t="s">
        <v>33</v>
      </c>
      <c r="L20" s="53" t="str">
        <f t="shared" si="0"/>
        <v>1000grams</v>
      </c>
      <c r="M20" s="54">
        <f t="shared" si="1"/>
        <v>5000000</v>
      </c>
      <c r="N20" s="55" t="str">
        <f t="shared" si="2"/>
        <v>5000000 grams</v>
      </c>
      <c r="O20" s="158">
        <v>400</v>
      </c>
      <c r="P20" s="44">
        <f t="shared" si="3"/>
        <v>0.08</v>
      </c>
      <c r="Q20" s="44">
        <f t="shared" si="4"/>
        <v>0</v>
      </c>
      <c r="R20" s="67"/>
      <c r="S20" s="32"/>
      <c r="T20" s="32"/>
      <c r="U20" s="32"/>
      <c r="V20" s="32"/>
      <c r="W20" s="32"/>
      <c r="X20" s="32"/>
      <c r="Y20" s="32"/>
      <c r="Z20" s="32"/>
    </row>
    <row r="21" spans="1:26" ht="15" customHeight="1" x14ac:dyDescent="0.3">
      <c r="A21" s="155">
        <v>7</v>
      </c>
      <c r="B21" s="156" t="s">
        <v>37</v>
      </c>
      <c r="C21" s="46"/>
      <c r="D21" s="58"/>
      <c r="E21" s="156" t="s">
        <v>40</v>
      </c>
      <c r="F21" s="45"/>
      <c r="G21" s="157">
        <v>59.6</v>
      </c>
      <c r="H21" s="155">
        <v>22</v>
      </c>
      <c r="I21" s="155">
        <v>1000</v>
      </c>
      <c r="J21" s="156" t="s">
        <v>39</v>
      </c>
      <c r="K21" s="52" t="s">
        <v>33</v>
      </c>
      <c r="L21" s="53" t="str">
        <f t="shared" si="0"/>
        <v>1000grams</v>
      </c>
      <c r="M21" s="54">
        <f t="shared" si="1"/>
        <v>22000</v>
      </c>
      <c r="N21" s="55" t="str">
        <f t="shared" si="2"/>
        <v>22000 grams</v>
      </c>
      <c r="O21" s="158">
        <v>1311.2</v>
      </c>
      <c r="P21" s="44">
        <f t="shared" si="3"/>
        <v>59.6</v>
      </c>
      <c r="Q21" s="66">
        <f t="shared" si="4"/>
        <v>0</v>
      </c>
      <c r="R21" s="67"/>
      <c r="S21" s="32"/>
      <c r="T21" s="32"/>
      <c r="U21" s="32"/>
      <c r="V21" s="32"/>
      <c r="W21" s="32"/>
      <c r="X21" s="32"/>
      <c r="Y21" s="32"/>
      <c r="Z21" s="32"/>
    </row>
    <row r="22" spans="1:26" ht="15" customHeight="1" x14ac:dyDescent="0.3">
      <c r="A22" s="155">
        <v>7</v>
      </c>
      <c r="B22" s="156" t="s">
        <v>37</v>
      </c>
      <c r="C22" s="46"/>
      <c r="D22" s="58"/>
      <c r="E22" s="156" t="s">
        <v>38</v>
      </c>
      <c r="F22" s="45"/>
      <c r="G22" s="157">
        <v>44.688400000000001</v>
      </c>
      <c r="H22" s="155">
        <v>25</v>
      </c>
      <c r="I22" s="155">
        <v>1000</v>
      </c>
      <c r="J22" s="156" t="s">
        <v>39</v>
      </c>
      <c r="K22" s="52" t="s">
        <v>33</v>
      </c>
      <c r="L22" s="53" t="str">
        <f t="shared" si="0"/>
        <v>1000grams</v>
      </c>
      <c r="M22" s="54">
        <f t="shared" si="1"/>
        <v>25000</v>
      </c>
      <c r="N22" s="55" t="str">
        <f t="shared" si="2"/>
        <v>25000 grams</v>
      </c>
      <c r="O22" s="158">
        <v>1117.21</v>
      </c>
      <c r="P22" s="44">
        <f t="shared" si="3"/>
        <v>44.688400000000001</v>
      </c>
      <c r="Q22" s="44">
        <f t="shared" si="4"/>
        <v>0</v>
      </c>
      <c r="R22" s="32"/>
      <c r="S22" s="32"/>
      <c r="T22" s="32"/>
      <c r="U22" s="32"/>
      <c r="V22" s="32"/>
      <c r="W22" s="32"/>
      <c r="X22" s="32"/>
      <c r="Y22" s="32"/>
      <c r="Z22" s="32"/>
    </row>
    <row r="23" spans="1:26" ht="15" customHeight="1" x14ac:dyDescent="0.3">
      <c r="A23" s="155">
        <v>7</v>
      </c>
      <c r="B23" s="156" t="s">
        <v>37</v>
      </c>
      <c r="C23" s="46"/>
      <c r="D23" s="58"/>
      <c r="E23" s="156" t="s">
        <v>487</v>
      </c>
      <c r="F23" s="45"/>
      <c r="G23" s="157">
        <v>0.17399999999999999</v>
      </c>
      <c r="H23" s="155">
        <v>4500</v>
      </c>
      <c r="I23" s="155">
        <v>1000</v>
      </c>
      <c r="J23" s="156" t="s">
        <v>39</v>
      </c>
      <c r="K23" s="52" t="s">
        <v>33</v>
      </c>
      <c r="L23" s="53" t="str">
        <f t="shared" si="0"/>
        <v>1000grams</v>
      </c>
      <c r="M23" s="54">
        <f t="shared" si="1"/>
        <v>4500000</v>
      </c>
      <c r="N23" s="55" t="str">
        <f t="shared" si="2"/>
        <v>4500000 grams</v>
      </c>
      <c r="O23" s="158">
        <v>783</v>
      </c>
      <c r="P23" s="44">
        <f t="shared" si="3"/>
        <v>0.17399999999999999</v>
      </c>
      <c r="Q23" s="44">
        <f t="shared" si="4"/>
        <v>0</v>
      </c>
      <c r="R23" s="32"/>
      <c r="S23" s="32"/>
      <c r="T23" s="32"/>
      <c r="U23" s="32"/>
      <c r="V23" s="32"/>
      <c r="W23" s="32"/>
      <c r="X23" s="32"/>
      <c r="Y23" s="32"/>
      <c r="Z23" s="32"/>
    </row>
    <row r="24" spans="1:26" ht="15" customHeight="1" x14ac:dyDescent="0.3">
      <c r="A24" s="155">
        <v>7</v>
      </c>
      <c r="B24" s="156" t="s">
        <v>37</v>
      </c>
      <c r="C24" s="46"/>
      <c r="D24" s="58"/>
      <c r="E24" s="156" t="s">
        <v>488</v>
      </c>
      <c r="F24" s="45"/>
      <c r="G24" s="157">
        <v>4.8000000000000001E-2</v>
      </c>
      <c r="H24" s="155">
        <v>750</v>
      </c>
      <c r="I24" s="155">
        <v>400</v>
      </c>
      <c r="J24" s="156" t="s">
        <v>39</v>
      </c>
      <c r="K24" s="52" t="s">
        <v>33</v>
      </c>
      <c r="L24" s="53" t="str">
        <f t="shared" si="0"/>
        <v>400grams</v>
      </c>
      <c r="M24" s="54">
        <f t="shared" si="1"/>
        <v>300000</v>
      </c>
      <c r="N24" s="55" t="str">
        <f t="shared" si="2"/>
        <v>300000 grams</v>
      </c>
      <c r="O24" s="158">
        <v>36</v>
      </c>
      <c r="P24" s="44">
        <f t="shared" si="3"/>
        <v>4.8000000000000001E-2</v>
      </c>
      <c r="Q24" s="44">
        <f t="shared" si="4"/>
        <v>0</v>
      </c>
      <c r="R24" s="32"/>
      <c r="S24" s="32"/>
      <c r="T24" s="32"/>
      <c r="U24" s="32"/>
      <c r="V24" s="32"/>
      <c r="W24" s="32"/>
      <c r="X24" s="32"/>
      <c r="Y24" s="32"/>
      <c r="Z24" s="32"/>
    </row>
    <row r="25" spans="1:26" ht="15" customHeight="1" x14ac:dyDescent="0.3">
      <c r="A25" s="155">
        <v>8</v>
      </c>
      <c r="B25" s="156" t="s">
        <v>42</v>
      </c>
      <c r="C25" s="46"/>
      <c r="D25" s="58"/>
      <c r="E25" s="156" t="s">
        <v>43</v>
      </c>
      <c r="F25" s="45"/>
      <c r="G25" s="157">
        <v>48</v>
      </c>
      <c r="H25" s="155">
        <v>26</v>
      </c>
      <c r="I25" s="155">
        <v>1000</v>
      </c>
      <c r="J25" s="156" t="s">
        <v>39</v>
      </c>
      <c r="K25" s="52" t="s">
        <v>33</v>
      </c>
      <c r="L25" s="53" t="str">
        <f t="shared" si="0"/>
        <v>1000grams</v>
      </c>
      <c r="M25" s="54">
        <f t="shared" si="1"/>
        <v>26000</v>
      </c>
      <c r="N25" s="55" t="str">
        <f t="shared" si="2"/>
        <v>26000 grams</v>
      </c>
      <c r="O25" s="158">
        <v>1248</v>
      </c>
      <c r="P25" s="44">
        <f t="shared" si="3"/>
        <v>48</v>
      </c>
      <c r="Q25" s="44">
        <f t="shared" si="4"/>
        <v>0</v>
      </c>
      <c r="R25" s="32"/>
      <c r="S25" s="32"/>
      <c r="T25" s="32"/>
      <c r="U25" s="32"/>
      <c r="V25" s="32"/>
      <c r="W25" s="32"/>
      <c r="X25" s="32"/>
      <c r="Y25" s="32"/>
      <c r="Z25" s="32"/>
    </row>
    <row r="26" spans="1:26" ht="15" customHeight="1" x14ac:dyDescent="0.3">
      <c r="A26" s="155">
        <v>9</v>
      </c>
      <c r="B26" s="156" t="s">
        <v>230</v>
      </c>
      <c r="C26" s="46"/>
      <c r="D26" s="58"/>
      <c r="E26" s="156" t="s">
        <v>51</v>
      </c>
      <c r="F26" s="45"/>
      <c r="G26" s="157">
        <v>650</v>
      </c>
      <c r="H26" s="155">
        <v>0.25</v>
      </c>
      <c r="I26" s="155">
        <v>1</v>
      </c>
      <c r="J26" s="156" t="s">
        <v>39</v>
      </c>
      <c r="K26" s="52" t="s">
        <v>33</v>
      </c>
      <c r="L26" s="53" t="str">
        <f t="shared" si="0"/>
        <v>1grams</v>
      </c>
      <c r="M26" s="54">
        <f t="shared" si="1"/>
        <v>0.25</v>
      </c>
      <c r="N26" s="55" t="str">
        <f t="shared" si="2"/>
        <v>0.25 grams</v>
      </c>
      <c r="O26" s="158">
        <v>162.5</v>
      </c>
      <c r="P26" s="44">
        <f t="shared" si="3"/>
        <v>650</v>
      </c>
      <c r="Q26" s="44">
        <f t="shared" si="4"/>
        <v>0</v>
      </c>
      <c r="R26" s="32"/>
      <c r="S26" s="32"/>
      <c r="T26" s="32"/>
      <c r="U26" s="32"/>
      <c r="V26" s="32"/>
      <c r="W26" s="32"/>
      <c r="X26" s="32"/>
      <c r="Y26" s="32"/>
      <c r="Z26" s="32"/>
    </row>
    <row r="27" spans="1:26" ht="15" customHeight="1" x14ac:dyDescent="0.3">
      <c r="A27" s="155">
        <v>10</v>
      </c>
      <c r="B27" s="156" t="s">
        <v>489</v>
      </c>
      <c r="C27" s="46"/>
      <c r="D27" s="58"/>
      <c r="E27" s="156" t="s">
        <v>490</v>
      </c>
      <c r="F27" s="45"/>
      <c r="G27" s="157">
        <v>8.8234999999999994E-2</v>
      </c>
      <c r="H27" s="155">
        <v>1020</v>
      </c>
      <c r="I27" s="155">
        <v>340</v>
      </c>
      <c r="J27" s="156" t="s">
        <v>39</v>
      </c>
      <c r="K27" s="52" t="s">
        <v>33</v>
      </c>
      <c r="L27" s="53" t="str">
        <f t="shared" si="0"/>
        <v>340grams</v>
      </c>
      <c r="M27" s="54">
        <f t="shared" si="1"/>
        <v>346800</v>
      </c>
      <c r="N27" s="55" t="str">
        <f t="shared" si="2"/>
        <v>346800 grams</v>
      </c>
      <c r="O27" s="158">
        <v>90</v>
      </c>
      <c r="P27" s="44">
        <f t="shared" si="3"/>
        <v>8.8235294117647065E-2</v>
      </c>
      <c r="Q27" s="44">
        <f t="shared" si="4"/>
        <v>-2.9411764707054644E-7</v>
      </c>
      <c r="R27" s="32"/>
      <c r="S27" s="32"/>
      <c r="T27" s="32"/>
      <c r="U27" s="32"/>
      <c r="V27" s="32"/>
      <c r="W27" s="32"/>
      <c r="X27" s="32"/>
      <c r="Y27" s="32"/>
      <c r="Z27" s="32"/>
    </row>
    <row r="28" spans="1:26" ht="15" customHeight="1" x14ac:dyDescent="0.3">
      <c r="A28" s="155">
        <v>11</v>
      </c>
      <c r="B28" s="156" t="s">
        <v>491</v>
      </c>
      <c r="C28" s="46"/>
      <c r="D28" s="82"/>
      <c r="E28" s="156"/>
      <c r="F28" s="45"/>
      <c r="G28" s="157">
        <v>0.17241400000000001</v>
      </c>
      <c r="H28" s="155">
        <v>1450</v>
      </c>
      <c r="I28" s="155">
        <v>290</v>
      </c>
      <c r="J28" s="156" t="s">
        <v>32</v>
      </c>
      <c r="K28" s="52" t="s">
        <v>33</v>
      </c>
      <c r="L28" s="53" t="str">
        <f t="shared" si="0"/>
        <v>290ml</v>
      </c>
      <c r="M28" s="54">
        <f t="shared" si="1"/>
        <v>420500</v>
      </c>
      <c r="N28" s="55" t="str">
        <f t="shared" si="2"/>
        <v>420500 ml</v>
      </c>
      <c r="O28" s="158">
        <v>250</v>
      </c>
      <c r="P28" s="44">
        <f t="shared" si="3"/>
        <v>0.17241379310344829</v>
      </c>
      <c r="Q28" s="44">
        <f t="shared" si="4"/>
        <v>2.0689655172434485E-7</v>
      </c>
      <c r="R28" s="12"/>
      <c r="S28" s="32"/>
      <c r="T28" s="32"/>
      <c r="U28" s="32"/>
      <c r="V28" s="32"/>
      <c r="W28" s="32"/>
      <c r="X28" s="32"/>
      <c r="Y28" s="32"/>
      <c r="Z28" s="32"/>
    </row>
    <row r="29" spans="1:26" ht="15" customHeight="1" x14ac:dyDescent="0.3">
      <c r="A29" s="155">
        <v>12</v>
      </c>
      <c r="B29" s="156" t="s">
        <v>44</v>
      </c>
      <c r="C29" s="46" t="s">
        <v>69</v>
      </c>
      <c r="D29" s="63"/>
      <c r="E29" s="156" t="s">
        <v>45</v>
      </c>
      <c r="F29" s="45"/>
      <c r="G29" s="157">
        <v>25.195080000000001</v>
      </c>
      <c r="H29" s="155">
        <v>61</v>
      </c>
      <c r="I29" s="155">
        <v>1000</v>
      </c>
      <c r="J29" s="156" t="s">
        <v>39</v>
      </c>
      <c r="K29" s="52" t="s">
        <v>33</v>
      </c>
      <c r="L29" s="53" t="str">
        <f t="shared" si="0"/>
        <v>1000grams</v>
      </c>
      <c r="M29" s="54">
        <f t="shared" si="1"/>
        <v>61000</v>
      </c>
      <c r="N29" s="55" t="str">
        <f t="shared" si="2"/>
        <v>61000 grams</v>
      </c>
      <c r="O29" s="158">
        <v>1536.9</v>
      </c>
      <c r="P29" s="44">
        <f t="shared" si="3"/>
        <v>25.195081967213117</v>
      </c>
      <c r="Q29" s="62">
        <f t="shared" si="4"/>
        <v>-1.9672131159609307E-6</v>
      </c>
      <c r="R29" s="12"/>
      <c r="S29" s="32"/>
      <c r="T29" s="32"/>
      <c r="U29" s="32"/>
      <c r="V29" s="32"/>
      <c r="W29" s="32"/>
      <c r="X29" s="32"/>
      <c r="Y29" s="32"/>
      <c r="Z29" s="32"/>
    </row>
    <row r="30" spans="1:26" ht="15" customHeight="1" x14ac:dyDescent="0.3">
      <c r="A30" s="155">
        <v>13</v>
      </c>
      <c r="B30" s="156" t="s">
        <v>46</v>
      </c>
      <c r="C30" s="46"/>
      <c r="D30" s="58"/>
      <c r="E30" s="156" t="s">
        <v>47</v>
      </c>
      <c r="F30" s="45"/>
      <c r="G30" s="157">
        <v>53.309089999999998</v>
      </c>
      <c r="H30" s="155">
        <v>11</v>
      </c>
      <c r="I30" s="155">
        <v>250</v>
      </c>
      <c r="J30" s="156" t="s">
        <v>39</v>
      </c>
      <c r="K30" s="52" t="s">
        <v>33</v>
      </c>
      <c r="L30" s="53" t="str">
        <f t="shared" si="0"/>
        <v>250grams</v>
      </c>
      <c r="M30" s="54">
        <f t="shared" si="1"/>
        <v>2750</v>
      </c>
      <c r="N30" s="55" t="str">
        <f t="shared" si="2"/>
        <v>2750 grams</v>
      </c>
      <c r="O30" s="158">
        <v>586.4</v>
      </c>
      <c r="P30" s="44">
        <f t="shared" si="3"/>
        <v>53.309090909090905</v>
      </c>
      <c r="Q30" s="44">
        <f t="shared" si="4"/>
        <v>-9.0909090744162313E-7</v>
      </c>
      <c r="R30" s="32"/>
      <c r="S30" s="32"/>
      <c r="T30" s="32"/>
      <c r="U30" s="32"/>
      <c r="V30" s="32"/>
      <c r="W30" s="32"/>
      <c r="X30" s="32"/>
      <c r="Y30" s="32"/>
      <c r="Z30" s="32"/>
    </row>
    <row r="31" spans="1:26" ht="15" customHeight="1" x14ac:dyDescent="0.3">
      <c r="A31" s="155">
        <v>14</v>
      </c>
      <c r="B31" s="156" t="s">
        <v>231</v>
      </c>
      <c r="C31" s="46"/>
      <c r="D31" s="58"/>
      <c r="E31" s="156" t="s">
        <v>232</v>
      </c>
      <c r="F31" s="45"/>
      <c r="G31" s="157">
        <v>255</v>
      </c>
      <c r="H31" s="155">
        <v>1</v>
      </c>
      <c r="I31" s="155">
        <v>1</v>
      </c>
      <c r="J31" s="156" t="s">
        <v>32</v>
      </c>
      <c r="K31" s="52" t="s">
        <v>33</v>
      </c>
      <c r="L31" s="53" t="str">
        <f t="shared" si="0"/>
        <v>1ml</v>
      </c>
      <c r="M31" s="54">
        <f t="shared" si="1"/>
        <v>1</v>
      </c>
      <c r="N31" s="55" t="str">
        <f t="shared" si="2"/>
        <v>1 ml</v>
      </c>
      <c r="O31" s="158">
        <v>255</v>
      </c>
      <c r="P31" s="44">
        <f t="shared" si="3"/>
        <v>255</v>
      </c>
      <c r="Q31" s="66">
        <f t="shared" si="4"/>
        <v>0</v>
      </c>
      <c r="R31" s="32"/>
      <c r="S31" s="32"/>
      <c r="T31" s="32"/>
      <c r="U31" s="32"/>
      <c r="V31" s="32"/>
      <c r="W31" s="32"/>
      <c r="X31" s="32"/>
      <c r="Y31" s="32"/>
      <c r="Z31" s="32"/>
    </row>
    <row r="32" spans="1:26" ht="15" customHeight="1" x14ac:dyDescent="0.3">
      <c r="A32" s="155">
        <v>15</v>
      </c>
      <c r="B32" s="156" t="s">
        <v>492</v>
      </c>
      <c r="C32" s="46"/>
      <c r="D32" s="58"/>
      <c r="E32" s="156" t="s">
        <v>297</v>
      </c>
      <c r="F32" s="45"/>
      <c r="G32" s="157">
        <v>0.26800000000000002</v>
      </c>
      <c r="H32" s="155">
        <v>10000</v>
      </c>
      <c r="I32" s="155">
        <v>1000</v>
      </c>
      <c r="J32" s="156" t="s">
        <v>39</v>
      </c>
      <c r="K32" s="52" t="s">
        <v>33</v>
      </c>
      <c r="L32" s="53" t="str">
        <f t="shared" si="0"/>
        <v>1000grams</v>
      </c>
      <c r="M32" s="54">
        <f t="shared" si="1"/>
        <v>10000000</v>
      </c>
      <c r="N32" s="55" t="str">
        <f t="shared" si="2"/>
        <v>10000000 grams</v>
      </c>
      <c r="O32" s="158">
        <v>2680</v>
      </c>
      <c r="P32" s="44">
        <f t="shared" si="3"/>
        <v>0.26800000000000002</v>
      </c>
      <c r="Q32" s="66">
        <f t="shared" si="4"/>
        <v>0</v>
      </c>
      <c r="R32" s="32"/>
      <c r="S32" s="32"/>
      <c r="T32" s="32"/>
      <c r="U32" s="32"/>
      <c r="V32" s="32"/>
      <c r="W32" s="32"/>
      <c r="X32" s="32"/>
      <c r="Y32" s="32"/>
      <c r="Z32" s="32"/>
    </row>
    <row r="33" spans="1:26" ht="15" customHeight="1" x14ac:dyDescent="0.3">
      <c r="A33" s="155">
        <v>16</v>
      </c>
      <c r="B33" s="156" t="s">
        <v>299</v>
      </c>
      <c r="C33" s="46"/>
      <c r="D33" s="58"/>
      <c r="E33" s="156" t="s">
        <v>300</v>
      </c>
      <c r="F33" s="45"/>
      <c r="G33" s="157">
        <v>18.940000000000001</v>
      </c>
      <c r="H33" s="155">
        <v>30</v>
      </c>
      <c r="I33" s="155">
        <v>1</v>
      </c>
      <c r="J33" s="156" t="s">
        <v>304</v>
      </c>
      <c r="K33" s="52" t="s">
        <v>33</v>
      </c>
      <c r="L33" s="53" t="str">
        <f t="shared" si="0"/>
        <v>1packs</v>
      </c>
      <c r="M33" s="54">
        <f t="shared" si="1"/>
        <v>30</v>
      </c>
      <c r="N33" s="55" t="str">
        <f t="shared" si="2"/>
        <v>30 packs</v>
      </c>
      <c r="O33" s="158">
        <v>568.20000000000005</v>
      </c>
      <c r="P33" s="44">
        <f t="shared" si="3"/>
        <v>18.940000000000001</v>
      </c>
      <c r="Q33" s="66">
        <f t="shared" si="4"/>
        <v>0</v>
      </c>
      <c r="R33" s="32"/>
      <c r="S33" s="32"/>
      <c r="T33" s="32"/>
      <c r="U33" s="32"/>
      <c r="V33" s="32"/>
      <c r="W33" s="32"/>
      <c r="X33" s="32"/>
      <c r="Y33" s="32"/>
      <c r="Z33" s="32"/>
    </row>
    <row r="34" spans="1:26" ht="15" customHeight="1" x14ac:dyDescent="0.3">
      <c r="A34" s="155">
        <v>17</v>
      </c>
      <c r="B34" s="156" t="s">
        <v>123</v>
      </c>
      <c r="C34" s="46"/>
      <c r="D34" s="58"/>
      <c r="E34" s="156" t="s">
        <v>124</v>
      </c>
      <c r="F34" s="45"/>
      <c r="G34" s="157">
        <v>10.82</v>
      </c>
      <c r="H34" s="155">
        <v>132</v>
      </c>
      <c r="I34" s="155">
        <v>1</v>
      </c>
      <c r="J34" s="156" t="s">
        <v>92</v>
      </c>
      <c r="K34" s="52" t="s">
        <v>33</v>
      </c>
      <c r="L34" s="53" t="str">
        <f t="shared" si="0"/>
        <v>1pieces</v>
      </c>
      <c r="M34" s="54">
        <f t="shared" si="1"/>
        <v>132</v>
      </c>
      <c r="N34" s="55" t="str">
        <f t="shared" si="2"/>
        <v>132 pieces</v>
      </c>
      <c r="O34" s="158">
        <v>1428.24</v>
      </c>
      <c r="P34" s="44">
        <f t="shared" si="3"/>
        <v>10.82</v>
      </c>
      <c r="Q34" s="44">
        <f t="shared" si="4"/>
        <v>0</v>
      </c>
      <c r="R34" s="32"/>
      <c r="S34" s="32"/>
      <c r="T34" s="32"/>
      <c r="U34" s="32"/>
      <c r="V34" s="32"/>
      <c r="W34" s="32"/>
      <c r="X34" s="32"/>
      <c r="Y34" s="32"/>
      <c r="Z34" s="32"/>
    </row>
    <row r="35" spans="1:26" ht="15" customHeight="1" x14ac:dyDescent="0.3">
      <c r="A35" s="155">
        <v>18</v>
      </c>
      <c r="B35" s="156" t="s">
        <v>493</v>
      </c>
      <c r="C35" s="46"/>
      <c r="D35" s="58"/>
      <c r="E35" s="156" t="s">
        <v>124</v>
      </c>
      <c r="F35" s="45"/>
      <c r="G35" s="157">
        <v>16.899999999999999</v>
      </c>
      <c r="H35" s="155">
        <v>26</v>
      </c>
      <c r="I35" s="155">
        <v>1</v>
      </c>
      <c r="J35" s="156" t="s">
        <v>92</v>
      </c>
      <c r="K35" s="52" t="s">
        <v>33</v>
      </c>
      <c r="L35" s="53" t="str">
        <f t="shared" si="0"/>
        <v>1pieces</v>
      </c>
      <c r="M35" s="54">
        <f t="shared" si="1"/>
        <v>26</v>
      </c>
      <c r="N35" s="55" t="str">
        <f t="shared" si="2"/>
        <v>26 pieces</v>
      </c>
      <c r="O35" s="158">
        <v>439.4</v>
      </c>
      <c r="P35" s="44">
        <f t="shared" si="3"/>
        <v>16.899999999999999</v>
      </c>
      <c r="Q35" s="62">
        <f t="shared" si="4"/>
        <v>0</v>
      </c>
      <c r="R35" s="12"/>
      <c r="S35" s="32"/>
      <c r="T35" s="32"/>
      <c r="U35" s="32"/>
      <c r="V35" s="32"/>
      <c r="W35" s="32"/>
      <c r="X35" s="32"/>
      <c r="Y35" s="32"/>
      <c r="Z35" s="32"/>
    </row>
    <row r="36" spans="1:26" ht="15" customHeight="1" x14ac:dyDescent="0.3">
      <c r="A36" s="155">
        <v>18</v>
      </c>
      <c r="B36" s="156" t="s">
        <v>494</v>
      </c>
      <c r="C36" s="46"/>
      <c r="D36" s="58"/>
      <c r="E36" s="156"/>
      <c r="F36" s="45"/>
      <c r="G36" s="157">
        <v>18.850000000000001</v>
      </c>
      <c r="H36" s="155">
        <v>16</v>
      </c>
      <c r="I36" s="155">
        <v>1</v>
      </c>
      <c r="J36" s="156" t="s">
        <v>92</v>
      </c>
      <c r="K36" s="52" t="s">
        <v>33</v>
      </c>
      <c r="L36" s="53" t="str">
        <f t="shared" si="0"/>
        <v>1pieces</v>
      </c>
      <c r="M36" s="54">
        <f t="shared" si="1"/>
        <v>16</v>
      </c>
      <c r="N36" s="55" t="str">
        <f t="shared" si="2"/>
        <v>16 pieces</v>
      </c>
      <c r="O36" s="158">
        <v>301.60000000000002</v>
      </c>
      <c r="P36" s="44">
        <f t="shared" si="3"/>
        <v>18.850000000000001</v>
      </c>
      <c r="Q36" s="66">
        <f t="shared" si="4"/>
        <v>0</v>
      </c>
      <c r="R36" s="32"/>
      <c r="S36" s="32"/>
      <c r="T36" s="32"/>
      <c r="U36" s="32"/>
      <c r="V36" s="32"/>
      <c r="W36" s="32"/>
      <c r="X36" s="32"/>
      <c r="Y36" s="32"/>
      <c r="Z36" s="32"/>
    </row>
    <row r="37" spans="1:26" ht="15" customHeight="1" x14ac:dyDescent="0.3">
      <c r="A37" s="155">
        <v>19</v>
      </c>
      <c r="B37" s="156" t="s">
        <v>90</v>
      </c>
      <c r="C37" s="46"/>
      <c r="D37" s="58"/>
      <c r="E37" s="156" t="s">
        <v>91</v>
      </c>
      <c r="F37" s="45"/>
      <c r="G37" s="157">
        <v>23.75</v>
      </c>
      <c r="H37" s="155">
        <v>20</v>
      </c>
      <c r="I37" s="155">
        <v>1</v>
      </c>
      <c r="J37" s="156" t="s">
        <v>92</v>
      </c>
      <c r="K37" s="52" t="s">
        <v>33</v>
      </c>
      <c r="L37" s="53" t="str">
        <f t="shared" si="0"/>
        <v>1pieces</v>
      </c>
      <c r="M37" s="54">
        <f t="shared" si="1"/>
        <v>20</v>
      </c>
      <c r="N37" s="55" t="str">
        <f t="shared" si="2"/>
        <v>20 pieces</v>
      </c>
      <c r="O37" s="158">
        <v>475</v>
      </c>
      <c r="P37" s="44">
        <f t="shared" si="3"/>
        <v>23.75</v>
      </c>
      <c r="Q37" s="44">
        <f t="shared" si="4"/>
        <v>0</v>
      </c>
      <c r="R37" s="32"/>
      <c r="S37" s="32"/>
      <c r="T37" s="32"/>
      <c r="U37" s="32"/>
      <c r="V37" s="32"/>
      <c r="W37" s="32"/>
      <c r="X37" s="32"/>
      <c r="Y37" s="32"/>
      <c r="Z37" s="32"/>
    </row>
    <row r="38" spans="1:26" ht="15" customHeight="1" x14ac:dyDescent="0.3">
      <c r="A38" s="155">
        <v>20</v>
      </c>
      <c r="B38" s="156" t="s">
        <v>495</v>
      </c>
      <c r="C38" s="46"/>
      <c r="D38" s="58"/>
      <c r="E38" s="156" t="s">
        <v>496</v>
      </c>
      <c r="F38" s="45"/>
      <c r="G38" s="157">
        <v>10.82</v>
      </c>
      <c r="H38" s="155">
        <v>374</v>
      </c>
      <c r="I38" s="155">
        <v>1</v>
      </c>
      <c r="J38" s="156" t="s">
        <v>92</v>
      </c>
      <c r="K38" s="52" t="s">
        <v>33</v>
      </c>
      <c r="L38" s="53" t="str">
        <f t="shared" si="0"/>
        <v>1pieces</v>
      </c>
      <c r="M38" s="54">
        <f t="shared" si="1"/>
        <v>374</v>
      </c>
      <c r="N38" s="55" t="str">
        <f t="shared" si="2"/>
        <v>374 pieces</v>
      </c>
      <c r="O38" s="158">
        <v>4046.68</v>
      </c>
      <c r="P38" s="44">
        <f t="shared" si="3"/>
        <v>10.82</v>
      </c>
      <c r="Q38" s="44">
        <f t="shared" si="4"/>
        <v>0</v>
      </c>
      <c r="R38" s="32"/>
      <c r="S38" s="32"/>
      <c r="T38" s="32"/>
      <c r="U38" s="32"/>
      <c r="V38" s="32"/>
      <c r="W38" s="32"/>
      <c r="X38" s="32"/>
      <c r="Y38" s="32"/>
      <c r="Z38" s="32"/>
    </row>
    <row r="39" spans="1:26" ht="15" customHeight="1" x14ac:dyDescent="0.3">
      <c r="A39" s="155">
        <v>20</v>
      </c>
      <c r="B39" s="156" t="s">
        <v>495</v>
      </c>
      <c r="C39" s="46"/>
      <c r="D39" s="58"/>
      <c r="E39" s="156"/>
      <c r="F39" s="45"/>
      <c r="G39" s="157">
        <v>11</v>
      </c>
      <c r="H39" s="155">
        <v>256</v>
      </c>
      <c r="I39" s="155">
        <v>1</v>
      </c>
      <c r="J39" s="156" t="s">
        <v>92</v>
      </c>
      <c r="K39" s="52" t="s">
        <v>33</v>
      </c>
      <c r="L39" s="53" t="str">
        <f t="shared" si="0"/>
        <v>1pieces</v>
      </c>
      <c r="M39" s="54">
        <f t="shared" si="1"/>
        <v>256</v>
      </c>
      <c r="N39" s="55" t="str">
        <f t="shared" si="2"/>
        <v>256 pieces</v>
      </c>
      <c r="O39" s="158">
        <v>2816</v>
      </c>
      <c r="P39" s="44">
        <f t="shared" si="3"/>
        <v>11</v>
      </c>
      <c r="Q39" s="66">
        <f t="shared" si="4"/>
        <v>0</v>
      </c>
      <c r="R39" s="32"/>
      <c r="S39" s="32"/>
      <c r="T39" s="32"/>
      <c r="U39" s="32"/>
      <c r="V39" s="32"/>
      <c r="W39" s="32"/>
      <c r="X39" s="32"/>
      <c r="Y39" s="32"/>
      <c r="Z39" s="32"/>
    </row>
    <row r="40" spans="1:26" ht="15" customHeight="1" x14ac:dyDescent="0.3">
      <c r="A40" s="155">
        <v>21</v>
      </c>
      <c r="B40" s="156" t="s">
        <v>87</v>
      </c>
      <c r="C40" s="46"/>
      <c r="D40" s="58"/>
      <c r="E40" s="156" t="s">
        <v>88</v>
      </c>
      <c r="F40" s="45"/>
      <c r="G40" s="157">
        <v>330</v>
      </c>
      <c r="H40" s="155">
        <v>30</v>
      </c>
      <c r="I40" s="155">
        <v>1</v>
      </c>
      <c r="J40" s="156" t="s">
        <v>213</v>
      </c>
      <c r="K40" s="52" t="s">
        <v>33</v>
      </c>
      <c r="L40" s="53" t="str">
        <f t="shared" si="0"/>
        <v>1kilos</v>
      </c>
      <c r="M40" s="54">
        <f t="shared" si="1"/>
        <v>30</v>
      </c>
      <c r="N40" s="55" t="str">
        <f t="shared" si="2"/>
        <v>30 kilos</v>
      </c>
      <c r="O40" s="158">
        <v>9900</v>
      </c>
      <c r="P40" s="44">
        <f t="shared" si="3"/>
        <v>330</v>
      </c>
      <c r="Q40" s="66">
        <f t="shared" si="4"/>
        <v>0</v>
      </c>
      <c r="R40" s="32"/>
      <c r="S40" s="32"/>
      <c r="T40" s="32"/>
      <c r="U40" s="32"/>
      <c r="V40" s="32"/>
      <c r="W40" s="32"/>
      <c r="X40" s="32"/>
      <c r="Y40" s="32"/>
      <c r="Z40" s="32"/>
    </row>
    <row r="41" spans="1:26" ht="15" customHeight="1" x14ac:dyDescent="0.3">
      <c r="A41" s="155">
        <v>21</v>
      </c>
      <c r="B41" s="156" t="s">
        <v>87</v>
      </c>
      <c r="C41" s="46"/>
      <c r="D41" s="46"/>
      <c r="E41" s="156"/>
      <c r="F41" s="45"/>
      <c r="G41" s="157">
        <v>317</v>
      </c>
      <c r="H41" s="155">
        <v>39</v>
      </c>
      <c r="I41" s="155">
        <v>1</v>
      </c>
      <c r="J41" s="156" t="s">
        <v>213</v>
      </c>
      <c r="K41" s="52" t="s">
        <v>33</v>
      </c>
      <c r="L41" s="53" t="str">
        <f t="shared" si="0"/>
        <v>1kilos</v>
      </c>
      <c r="M41" s="54">
        <f t="shared" si="1"/>
        <v>39</v>
      </c>
      <c r="N41" s="55" t="str">
        <f t="shared" si="2"/>
        <v>39 kilos</v>
      </c>
      <c r="O41" s="158">
        <v>12363</v>
      </c>
      <c r="P41" s="44">
        <f t="shared" si="3"/>
        <v>317</v>
      </c>
      <c r="Q41" s="66">
        <f t="shared" si="4"/>
        <v>0</v>
      </c>
      <c r="R41" s="32"/>
      <c r="S41" s="32"/>
      <c r="T41" s="32"/>
      <c r="U41" s="32"/>
      <c r="V41" s="32"/>
      <c r="W41" s="32"/>
      <c r="X41" s="32"/>
      <c r="Y41" s="32"/>
      <c r="Z41" s="32"/>
    </row>
    <row r="42" spans="1:26" ht="15" customHeight="1" x14ac:dyDescent="0.3">
      <c r="A42" s="155">
        <v>22</v>
      </c>
      <c r="B42" s="156" t="s">
        <v>164</v>
      </c>
      <c r="C42" s="46"/>
      <c r="D42" s="46"/>
      <c r="E42" s="156" t="s">
        <v>165</v>
      </c>
      <c r="F42" s="45"/>
      <c r="G42" s="157">
        <v>29.86</v>
      </c>
      <c r="H42" s="155">
        <v>97.92</v>
      </c>
      <c r="I42" s="155">
        <v>1</v>
      </c>
      <c r="J42" s="156" t="s">
        <v>39</v>
      </c>
      <c r="K42" s="52" t="s">
        <v>33</v>
      </c>
      <c r="L42" s="53" t="str">
        <f t="shared" si="0"/>
        <v>1grams</v>
      </c>
      <c r="M42" s="54">
        <f t="shared" si="1"/>
        <v>97.92</v>
      </c>
      <c r="N42" s="55" t="str">
        <f t="shared" si="2"/>
        <v>97.92 grams</v>
      </c>
      <c r="O42" s="158">
        <v>2923.8910000000001</v>
      </c>
      <c r="P42" s="44">
        <f t="shared" si="3"/>
        <v>29.859997957516342</v>
      </c>
      <c r="Q42" s="44">
        <f t="shared" si="4"/>
        <v>2.0424836577603855E-6</v>
      </c>
      <c r="R42" s="32"/>
      <c r="S42" s="32"/>
      <c r="T42" s="32"/>
      <c r="U42" s="32"/>
      <c r="V42" s="32"/>
      <c r="W42" s="32"/>
      <c r="X42" s="32"/>
      <c r="Y42" s="32"/>
      <c r="Z42" s="32"/>
    </row>
    <row r="43" spans="1:26" ht="15" customHeight="1" x14ac:dyDescent="0.3">
      <c r="A43" s="155">
        <v>23</v>
      </c>
      <c r="B43" s="156" t="s">
        <v>497</v>
      </c>
      <c r="C43" s="46"/>
      <c r="D43" s="46"/>
      <c r="E43" s="156"/>
      <c r="F43" s="45"/>
      <c r="G43" s="157">
        <v>8.48</v>
      </c>
      <c r="H43" s="155">
        <v>8</v>
      </c>
      <c r="I43" s="155">
        <v>10</v>
      </c>
      <c r="J43" s="156" t="s">
        <v>92</v>
      </c>
      <c r="K43" s="52" t="s">
        <v>33</v>
      </c>
      <c r="L43" s="53" t="str">
        <f t="shared" si="0"/>
        <v>10pieces</v>
      </c>
      <c r="M43" s="54">
        <f t="shared" si="1"/>
        <v>80</v>
      </c>
      <c r="N43" s="55" t="str">
        <f t="shared" si="2"/>
        <v>80 pieces</v>
      </c>
      <c r="O43" s="158">
        <v>67.84</v>
      </c>
      <c r="P43" s="44">
        <f t="shared" si="3"/>
        <v>8.48</v>
      </c>
      <c r="Q43" s="62">
        <f t="shared" si="4"/>
        <v>0</v>
      </c>
      <c r="R43" s="12"/>
      <c r="S43" s="32"/>
      <c r="T43" s="32"/>
      <c r="U43" s="32"/>
      <c r="V43" s="32"/>
      <c r="W43" s="32"/>
      <c r="X43" s="32"/>
      <c r="Y43" s="32"/>
      <c r="Z43" s="32"/>
    </row>
    <row r="44" spans="1:26" ht="15" customHeight="1" x14ac:dyDescent="0.3">
      <c r="A44" s="155">
        <v>24</v>
      </c>
      <c r="B44" s="156" t="s">
        <v>498</v>
      </c>
      <c r="C44" s="46"/>
      <c r="D44" s="46"/>
      <c r="E44" s="156"/>
      <c r="F44" s="45"/>
      <c r="G44" s="157">
        <v>0.308</v>
      </c>
      <c r="H44" s="155">
        <v>1500</v>
      </c>
      <c r="I44" s="155">
        <v>500</v>
      </c>
      <c r="J44" s="156" t="s">
        <v>92</v>
      </c>
      <c r="K44" s="52" t="s">
        <v>33</v>
      </c>
      <c r="L44" s="53" t="str">
        <f t="shared" si="0"/>
        <v>500pieces</v>
      </c>
      <c r="M44" s="54">
        <f t="shared" si="1"/>
        <v>750000</v>
      </c>
      <c r="N44" s="55" t="str">
        <f t="shared" si="2"/>
        <v>750000 pieces</v>
      </c>
      <c r="O44" s="158">
        <v>462</v>
      </c>
      <c r="P44" s="44">
        <f t="shared" si="3"/>
        <v>0.308</v>
      </c>
      <c r="Q44" s="44">
        <f t="shared" si="4"/>
        <v>0</v>
      </c>
      <c r="R44" s="32"/>
      <c r="S44" s="32"/>
      <c r="T44" s="32"/>
      <c r="U44" s="32"/>
      <c r="V44" s="32"/>
      <c r="W44" s="32"/>
      <c r="X44" s="32"/>
      <c r="Y44" s="32"/>
      <c r="Z44" s="32"/>
    </row>
    <row r="45" spans="1:26" ht="15" customHeight="1" x14ac:dyDescent="0.3">
      <c r="A45" s="155">
        <v>25</v>
      </c>
      <c r="B45" s="156" t="s">
        <v>318</v>
      </c>
      <c r="C45" s="46"/>
      <c r="D45" s="46"/>
      <c r="E45" s="156" t="s">
        <v>499</v>
      </c>
      <c r="F45" s="45"/>
      <c r="G45" s="157">
        <v>0.1</v>
      </c>
      <c r="H45" s="155">
        <v>7000</v>
      </c>
      <c r="I45" s="155">
        <v>1000</v>
      </c>
      <c r="J45" s="156" t="s">
        <v>39</v>
      </c>
      <c r="K45" s="52" t="s">
        <v>33</v>
      </c>
      <c r="L45" s="53" t="str">
        <f t="shared" si="0"/>
        <v>1000grams</v>
      </c>
      <c r="M45" s="54">
        <f t="shared" si="1"/>
        <v>7000000</v>
      </c>
      <c r="N45" s="55" t="str">
        <f t="shared" si="2"/>
        <v>7000000 grams</v>
      </c>
      <c r="O45" s="158">
        <v>700</v>
      </c>
      <c r="P45" s="44">
        <f t="shared" si="3"/>
        <v>0.1</v>
      </c>
      <c r="Q45" s="62">
        <f t="shared" si="4"/>
        <v>0</v>
      </c>
      <c r="R45" s="12"/>
      <c r="S45" s="32"/>
      <c r="T45" s="32"/>
      <c r="U45" s="32"/>
      <c r="V45" s="32"/>
      <c r="W45" s="32"/>
      <c r="X45" s="32"/>
      <c r="Y45" s="32"/>
      <c r="Z45" s="32"/>
    </row>
    <row r="46" spans="1:26" ht="15" customHeight="1" x14ac:dyDescent="0.3">
      <c r="A46" s="155">
        <v>25</v>
      </c>
      <c r="B46" s="156" t="s">
        <v>318</v>
      </c>
      <c r="C46" s="46"/>
      <c r="D46" s="46"/>
      <c r="E46" s="156" t="s">
        <v>319</v>
      </c>
      <c r="F46" s="45"/>
      <c r="G46" s="157">
        <v>38.700000000000003</v>
      </c>
      <c r="H46" s="155">
        <v>9</v>
      </c>
      <c r="I46" s="155">
        <v>1000</v>
      </c>
      <c r="J46" s="156" t="s">
        <v>39</v>
      </c>
      <c r="K46" s="52" t="s">
        <v>33</v>
      </c>
      <c r="L46" s="53" t="str">
        <f t="shared" si="0"/>
        <v>1000grams</v>
      </c>
      <c r="M46" s="54">
        <f t="shared" si="1"/>
        <v>9000</v>
      </c>
      <c r="N46" s="55" t="str">
        <f t="shared" si="2"/>
        <v>9000 grams</v>
      </c>
      <c r="O46" s="158">
        <v>348.3</v>
      </c>
      <c r="P46" s="44">
        <f t="shared" si="3"/>
        <v>38.700000000000003</v>
      </c>
      <c r="Q46" s="44">
        <f t="shared" si="4"/>
        <v>0</v>
      </c>
      <c r="R46" s="32"/>
      <c r="S46" s="32"/>
      <c r="T46" s="32"/>
      <c r="U46" s="32"/>
      <c r="V46" s="32"/>
      <c r="W46" s="32"/>
      <c r="X46" s="32"/>
      <c r="Y46" s="32"/>
      <c r="Z46" s="32"/>
    </row>
    <row r="47" spans="1:26" ht="15" customHeight="1" x14ac:dyDescent="0.3">
      <c r="A47" s="155">
        <v>25</v>
      </c>
      <c r="B47" s="156" t="s">
        <v>318</v>
      </c>
      <c r="C47" s="46"/>
      <c r="D47" s="46"/>
      <c r="E47" s="156"/>
      <c r="F47" s="45"/>
      <c r="G47" s="157">
        <v>8.3799999999999999E-2</v>
      </c>
      <c r="H47" s="155">
        <v>1000</v>
      </c>
      <c r="I47" s="155">
        <v>1000</v>
      </c>
      <c r="J47" s="156" t="s">
        <v>39</v>
      </c>
      <c r="K47" s="52" t="s">
        <v>33</v>
      </c>
      <c r="L47" s="53" t="str">
        <f t="shared" si="0"/>
        <v>1000grams</v>
      </c>
      <c r="M47" s="54">
        <f t="shared" si="1"/>
        <v>1000000</v>
      </c>
      <c r="N47" s="55" t="str">
        <f t="shared" si="2"/>
        <v>1000000 grams</v>
      </c>
      <c r="O47" s="158">
        <v>83.8</v>
      </c>
      <c r="P47" s="44">
        <f t="shared" si="3"/>
        <v>8.3799999999999999E-2</v>
      </c>
      <c r="Q47" s="62">
        <f t="shared" si="4"/>
        <v>0</v>
      </c>
      <c r="R47" s="12"/>
      <c r="S47" s="32"/>
      <c r="T47" s="32"/>
      <c r="U47" s="32"/>
      <c r="V47" s="32"/>
      <c r="W47" s="32"/>
      <c r="X47" s="32"/>
      <c r="Y47" s="32"/>
      <c r="Z47" s="32"/>
    </row>
    <row r="48" spans="1:26" ht="15" customHeight="1" x14ac:dyDescent="0.3">
      <c r="A48" s="155">
        <v>26</v>
      </c>
      <c r="B48" s="156" t="s">
        <v>500</v>
      </c>
      <c r="C48" s="46"/>
      <c r="D48" s="46"/>
      <c r="E48" s="156" t="s">
        <v>369</v>
      </c>
      <c r="F48" s="45"/>
      <c r="G48" s="157">
        <v>5.82</v>
      </c>
      <c r="H48" s="155">
        <v>50</v>
      </c>
      <c r="I48" s="155">
        <v>1</v>
      </c>
      <c r="J48" s="156" t="s">
        <v>92</v>
      </c>
      <c r="K48" s="52" t="s">
        <v>33</v>
      </c>
      <c r="L48" s="53" t="str">
        <f t="shared" si="0"/>
        <v>1pieces</v>
      </c>
      <c r="M48" s="54">
        <f t="shared" si="1"/>
        <v>50</v>
      </c>
      <c r="N48" s="55" t="str">
        <f t="shared" si="2"/>
        <v>50 pieces</v>
      </c>
      <c r="O48" s="158">
        <v>291</v>
      </c>
      <c r="P48" s="44">
        <f t="shared" si="3"/>
        <v>5.82</v>
      </c>
      <c r="Q48" s="44">
        <f t="shared" si="4"/>
        <v>0</v>
      </c>
      <c r="R48" s="32"/>
      <c r="S48" s="32"/>
      <c r="T48" s="32"/>
      <c r="U48" s="32"/>
      <c r="V48" s="32"/>
      <c r="W48" s="32"/>
      <c r="X48" s="32"/>
      <c r="Y48" s="32"/>
      <c r="Z48" s="32"/>
    </row>
    <row r="49" spans="1:26" ht="15" customHeight="1" x14ac:dyDescent="0.3">
      <c r="A49" s="155">
        <v>27</v>
      </c>
      <c r="B49" s="156" t="s">
        <v>501</v>
      </c>
      <c r="C49" s="46"/>
      <c r="D49" s="46"/>
      <c r="E49" s="156" t="s">
        <v>502</v>
      </c>
      <c r="F49" s="45"/>
      <c r="G49" s="157">
        <v>5.85</v>
      </c>
      <c r="H49" s="155">
        <v>366</v>
      </c>
      <c r="I49" s="155">
        <v>1</v>
      </c>
      <c r="J49" s="156" t="s">
        <v>92</v>
      </c>
      <c r="K49" s="52" t="s">
        <v>33</v>
      </c>
      <c r="L49" s="53" t="str">
        <f t="shared" si="0"/>
        <v>1pieces</v>
      </c>
      <c r="M49" s="54">
        <f t="shared" si="1"/>
        <v>366</v>
      </c>
      <c r="N49" s="55" t="str">
        <f t="shared" si="2"/>
        <v>366 pieces</v>
      </c>
      <c r="O49" s="158">
        <v>2141.1</v>
      </c>
      <c r="P49" s="44">
        <f t="shared" si="3"/>
        <v>5.85</v>
      </c>
      <c r="Q49" s="44">
        <f t="shared" si="4"/>
        <v>0</v>
      </c>
      <c r="R49" s="12"/>
      <c r="S49" s="32"/>
      <c r="T49" s="32"/>
      <c r="U49" s="32"/>
      <c r="V49" s="32"/>
      <c r="W49" s="32"/>
      <c r="X49" s="32"/>
      <c r="Y49" s="32"/>
      <c r="Z49" s="32"/>
    </row>
    <row r="50" spans="1:26" ht="15" customHeight="1" x14ac:dyDescent="0.3">
      <c r="A50" s="155">
        <v>28</v>
      </c>
      <c r="B50" s="156" t="s">
        <v>368</v>
      </c>
      <c r="C50" s="46"/>
      <c r="D50" s="46"/>
      <c r="E50" s="156" t="s">
        <v>369</v>
      </c>
      <c r="F50" s="45"/>
      <c r="G50" s="157">
        <v>5.7</v>
      </c>
      <c r="H50" s="155">
        <v>370</v>
      </c>
      <c r="I50" s="155">
        <v>1</v>
      </c>
      <c r="J50" s="156" t="s">
        <v>92</v>
      </c>
      <c r="K50" s="52" t="s">
        <v>33</v>
      </c>
      <c r="L50" s="53" t="str">
        <f t="shared" si="0"/>
        <v>1pieces</v>
      </c>
      <c r="M50" s="54">
        <f t="shared" si="1"/>
        <v>370</v>
      </c>
      <c r="N50" s="55" t="str">
        <f t="shared" si="2"/>
        <v>370 pieces</v>
      </c>
      <c r="O50" s="158">
        <v>2109</v>
      </c>
      <c r="P50" s="44">
        <f t="shared" si="3"/>
        <v>5.7</v>
      </c>
      <c r="Q50" s="62">
        <f t="shared" si="4"/>
        <v>0</v>
      </c>
      <c r="R50" s="12"/>
      <c r="S50" s="32"/>
      <c r="T50" s="32"/>
      <c r="U50" s="32"/>
      <c r="V50" s="32"/>
      <c r="W50" s="32"/>
      <c r="X50" s="32"/>
      <c r="Y50" s="32"/>
      <c r="Z50" s="32"/>
    </row>
    <row r="51" spans="1:26" ht="15" customHeight="1" x14ac:dyDescent="0.3">
      <c r="A51" s="155">
        <v>28</v>
      </c>
      <c r="B51" s="156" t="s">
        <v>368</v>
      </c>
      <c r="C51" s="46"/>
      <c r="D51" s="46"/>
      <c r="E51" s="156"/>
      <c r="F51" s="45"/>
      <c r="G51" s="157">
        <v>6.17</v>
      </c>
      <c r="H51" s="155">
        <v>120</v>
      </c>
      <c r="I51" s="155">
        <v>1</v>
      </c>
      <c r="J51" s="156" t="s">
        <v>92</v>
      </c>
      <c r="K51" s="52" t="s">
        <v>33</v>
      </c>
      <c r="L51" s="53" t="str">
        <f t="shared" si="0"/>
        <v>1pieces</v>
      </c>
      <c r="M51" s="54">
        <f t="shared" si="1"/>
        <v>120</v>
      </c>
      <c r="N51" s="55" t="str">
        <f t="shared" si="2"/>
        <v>120 pieces</v>
      </c>
      <c r="O51" s="158">
        <v>740.4</v>
      </c>
      <c r="P51" s="44">
        <f t="shared" si="3"/>
        <v>6.17</v>
      </c>
      <c r="Q51" s="62">
        <f t="shared" si="4"/>
        <v>0</v>
      </c>
      <c r="R51" s="12"/>
      <c r="S51" s="32"/>
      <c r="T51" s="32"/>
      <c r="U51" s="32"/>
      <c r="V51" s="32"/>
      <c r="W51" s="32"/>
      <c r="X51" s="32"/>
      <c r="Y51" s="32"/>
      <c r="Z51" s="32"/>
    </row>
    <row r="52" spans="1:26" ht="15" customHeight="1" x14ac:dyDescent="0.3">
      <c r="A52" s="155">
        <v>29</v>
      </c>
      <c r="B52" s="156" t="s">
        <v>370</v>
      </c>
      <c r="C52" s="46"/>
      <c r="D52" s="46"/>
      <c r="E52" s="156" t="s">
        <v>371</v>
      </c>
      <c r="F52" s="45"/>
      <c r="G52" s="157">
        <v>5.7015789999999997</v>
      </c>
      <c r="H52" s="155">
        <v>380</v>
      </c>
      <c r="I52" s="155">
        <v>1</v>
      </c>
      <c r="J52" s="156" t="s">
        <v>92</v>
      </c>
      <c r="K52" s="52" t="s">
        <v>33</v>
      </c>
      <c r="L52" s="53" t="str">
        <f t="shared" si="0"/>
        <v>1pieces</v>
      </c>
      <c r="M52" s="54">
        <f t="shared" si="1"/>
        <v>380</v>
      </c>
      <c r="N52" s="55" t="str">
        <f t="shared" si="2"/>
        <v>380 pieces</v>
      </c>
      <c r="O52" s="158">
        <v>2166.6</v>
      </c>
      <c r="P52" s="44">
        <f t="shared" si="3"/>
        <v>5.7015789473684206</v>
      </c>
      <c r="Q52" s="62">
        <f t="shared" si="4"/>
        <v>5.2631579094963854E-8</v>
      </c>
      <c r="R52" s="12"/>
      <c r="S52" s="32"/>
      <c r="T52" s="32"/>
      <c r="U52" s="32"/>
      <c r="V52" s="32"/>
      <c r="W52" s="32"/>
      <c r="X52" s="32"/>
      <c r="Y52" s="32"/>
      <c r="Z52" s="32"/>
    </row>
    <row r="53" spans="1:26" ht="15" customHeight="1" x14ac:dyDescent="0.3">
      <c r="A53" s="155">
        <v>30</v>
      </c>
      <c r="B53" s="156" t="s">
        <v>125</v>
      </c>
      <c r="C53" s="46"/>
      <c r="D53" s="89"/>
      <c r="E53" s="156" t="s">
        <v>126</v>
      </c>
      <c r="F53" s="45"/>
      <c r="G53" s="157">
        <v>8.742388</v>
      </c>
      <c r="H53" s="155">
        <v>469</v>
      </c>
      <c r="I53" s="155">
        <v>1</v>
      </c>
      <c r="J53" s="156" t="s">
        <v>92</v>
      </c>
      <c r="K53" s="52" t="s">
        <v>33</v>
      </c>
      <c r="L53" s="53" t="str">
        <f t="shared" si="0"/>
        <v>1pieces</v>
      </c>
      <c r="M53" s="54">
        <f t="shared" si="1"/>
        <v>469</v>
      </c>
      <c r="N53" s="55" t="str">
        <f t="shared" si="2"/>
        <v>469 pieces</v>
      </c>
      <c r="O53" s="158">
        <v>4100.18</v>
      </c>
      <c r="P53" s="44">
        <f t="shared" si="3"/>
        <v>8.7423880597014936</v>
      </c>
      <c r="Q53" s="62">
        <f t="shared" si="4"/>
        <v>-5.9701493526631566E-8</v>
      </c>
      <c r="R53" s="12"/>
      <c r="S53" s="32"/>
      <c r="T53" s="32"/>
      <c r="U53" s="32"/>
      <c r="V53" s="32"/>
      <c r="W53" s="32"/>
      <c r="X53" s="32"/>
      <c r="Y53" s="32"/>
      <c r="Z53" s="32"/>
    </row>
    <row r="54" spans="1:26" ht="15" customHeight="1" x14ac:dyDescent="0.3">
      <c r="A54" s="155">
        <v>30</v>
      </c>
      <c r="B54" s="156" t="s">
        <v>125</v>
      </c>
      <c r="C54" s="46"/>
      <c r="D54" s="89"/>
      <c r="E54" s="156"/>
      <c r="F54" s="45"/>
      <c r="G54" s="157">
        <v>8.75</v>
      </c>
      <c r="H54" s="155">
        <v>206</v>
      </c>
      <c r="I54" s="155">
        <v>1</v>
      </c>
      <c r="J54" s="156" t="s">
        <v>92</v>
      </c>
      <c r="K54" s="52" t="s">
        <v>33</v>
      </c>
      <c r="L54" s="53" t="str">
        <f t="shared" si="0"/>
        <v>1pieces</v>
      </c>
      <c r="M54" s="54">
        <f t="shared" si="1"/>
        <v>206</v>
      </c>
      <c r="N54" s="55" t="str">
        <f t="shared" si="2"/>
        <v>206 pieces</v>
      </c>
      <c r="O54" s="158">
        <v>1802.5</v>
      </c>
      <c r="P54" s="44">
        <f t="shared" si="3"/>
        <v>8.75</v>
      </c>
      <c r="Q54" s="44">
        <f t="shared" si="4"/>
        <v>0</v>
      </c>
      <c r="R54" s="12"/>
      <c r="S54" s="32"/>
      <c r="T54" s="32"/>
      <c r="U54" s="32"/>
      <c r="V54" s="32"/>
      <c r="W54" s="32"/>
      <c r="X54" s="32"/>
      <c r="Y54" s="32"/>
      <c r="Z54" s="32"/>
    </row>
    <row r="55" spans="1:26" ht="15" customHeight="1" x14ac:dyDescent="0.3">
      <c r="A55" s="155">
        <v>31</v>
      </c>
      <c r="B55" s="156" t="s">
        <v>503</v>
      </c>
      <c r="C55" s="46"/>
      <c r="D55" s="89"/>
      <c r="E55" s="156" t="s">
        <v>167</v>
      </c>
      <c r="F55" s="45"/>
      <c r="G55" s="157">
        <v>31.1</v>
      </c>
      <c r="H55" s="155">
        <v>1</v>
      </c>
      <c r="I55" s="155">
        <v>1</v>
      </c>
      <c r="J55" s="156" t="s">
        <v>39</v>
      </c>
      <c r="K55" s="52" t="s">
        <v>33</v>
      </c>
      <c r="L55" s="53" t="str">
        <f t="shared" si="0"/>
        <v>1grams</v>
      </c>
      <c r="M55" s="54">
        <f t="shared" si="1"/>
        <v>1</v>
      </c>
      <c r="N55" s="55" t="str">
        <f t="shared" si="2"/>
        <v>1 grams</v>
      </c>
      <c r="O55" s="158">
        <v>31.1</v>
      </c>
      <c r="P55" s="44">
        <f t="shared" si="3"/>
        <v>31.1</v>
      </c>
      <c r="Q55" s="44">
        <f t="shared" si="4"/>
        <v>0</v>
      </c>
      <c r="R55" s="32"/>
      <c r="S55" s="32"/>
      <c r="T55" s="32"/>
      <c r="U55" s="32"/>
      <c r="V55" s="32"/>
      <c r="W55" s="32"/>
      <c r="X55" s="32"/>
      <c r="Y55" s="32"/>
      <c r="Z55" s="32"/>
    </row>
    <row r="56" spans="1:26" ht="15" customHeight="1" x14ac:dyDescent="0.3">
      <c r="A56" s="155">
        <v>31</v>
      </c>
      <c r="B56" s="156" t="s">
        <v>503</v>
      </c>
      <c r="C56" s="46"/>
      <c r="D56" s="89"/>
      <c r="E56" s="156"/>
      <c r="F56" s="45"/>
      <c r="G56" s="157">
        <v>0.17222199999999999</v>
      </c>
      <c r="H56" s="155">
        <v>5220</v>
      </c>
      <c r="I56" s="155">
        <v>1</v>
      </c>
      <c r="J56" s="156" t="s">
        <v>39</v>
      </c>
      <c r="K56" s="52" t="s">
        <v>33</v>
      </c>
      <c r="L56" s="53" t="str">
        <f t="shared" si="0"/>
        <v>1grams</v>
      </c>
      <c r="M56" s="54">
        <f t="shared" si="1"/>
        <v>5220</v>
      </c>
      <c r="N56" s="55" t="str">
        <f t="shared" si="2"/>
        <v>5220 grams</v>
      </c>
      <c r="O56" s="158">
        <v>899</v>
      </c>
      <c r="P56" s="44">
        <f t="shared" si="3"/>
        <v>0.17222222222222222</v>
      </c>
      <c r="Q56" s="62">
        <f t="shared" si="4"/>
        <v>-2.2222222223478028E-7</v>
      </c>
      <c r="R56" s="12"/>
      <c r="S56" s="32"/>
      <c r="T56" s="32"/>
      <c r="U56" s="32"/>
      <c r="V56" s="32"/>
      <c r="W56" s="32"/>
      <c r="X56" s="32"/>
      <c r="Y56" s="32"/>
      <c r="Z56" s="32"/>
    </row>
    <row r="57" spans="1:26" ht="15" customHeight="1" x14ac:dyDescent="0.3">
      <c r="A57" s="155">
        <v>32</v>
      </c>
      <c r="B57" s="156" t="s">
        <v>504</v>
      </c>
      <c r="C57" s="46"/>
      <c r="D57" s="89"/>
      <c r="E57" s="156" t="s">
        <v>505</v>
      </c>
      <c r="F57" s="45"/>
      <c r="G57" s="157">
        <v>7.37</v>
      </c>
      <c r="H57" s="155">
        <v>239</v>
      </c>
      <c r="I57" s="155">
        <v>1</v>
      </c>
      <c r="J57" s="156" t="s">
        <v>92</v>
      </c>
      <c r="K57" s="52" t="s">
        <v>33</v>
      </c>
      <c r="L57" s="53" t="str">
        <f t="shared" si="0"/>
        <v>1pieces</v>
      </c>
      <c r="M57" s="54">
        <f t="shared" si="1"/>
        <v>239</v>
      </c>
      <c r="N57" s="55" t="str">
        <f t="shared" si="2"/>
        <v>239 pieces</v>
      </c>
      <c r="O57" s="158">
        <v>1761.43</v>
      </c>
      <c r="P57" s="44">
        <f t="shared" si="3"/>
        <v>7.37</v>
      </c>
      <c r="Q57" s="62">
        <f t="shared" si="4"/>
        <v>0</v>
      </c>
      <c r="R57" s="12"/>
      <c r="S57" s="32"/>
      <c r="T57" s="32"/>
      <c r="U57" s="32"/>
      <c r="V57" s="32"/>
      <c r="W57" s="32"/>
      <c r="X57" s="32"/>
      <c r="Y57" s="32"/>
      <c r="Z57" s="32"/>
    </row>
    <row r="58" spans="1:26" ht="15" customHeight="1" x14ac:dyDescent="0.3">
      <c r="A58" s="155">
        <v>33</v>
      </c>
      <c r="B58" s="156" t="s">
        <v>506</v>
      </c>
      <c r="C58" s="46"/>
      <c r="D58" s="89"/>
      <c r="E58" s="156" t="s">
        <v>507</v>
      </c>
      <c r="F58" s="45"/>
      <c r="G58" s="157">
        <v>0.49848500000000001</v>
      </c>
      <c r="H58" s="155">
        <v>330</v>
      </c>
      <c r="I58" s="155">
        <v>330</v>
      </c>
      <c r="J58" s="156" t="s">
        <v>39</v>
      </c>
      <c r="K58" s="52" t="s">
        <v>33</v>
      </c>
      <c r="L58" s="53" t="str">
        <f t="shared" si="0"/>
        <v>330grams</v>
      </c>
      <c r="M58" s="54">
        <f t="shared" si="1"/>
        <v>108900</v>
      </c>
      <c r="N58" s="55" t="str">
        <f t="shared" si="2"/>
        <v>108900 grams</v>
      </c>
      <c r="O58" s="158">
        <v>164.5</v>
      </c>
      <c r="P58" s="44">
        <f t="shared" si="3"/>
        <v>0.49848484848484848</v>
      </c>
      <c r="Q58" s="62">
        <f t="shared" si="4"/>
        <v>1.5151515153632999E-7</v>
      </c>
      <c r="R58" s="12"/>
      <c r="S58" s="32"/>
      <c r="T58" s="32"/>
      <c r="U58" s="32"/>
      <c r="V58" s="32"/>
      <c r="W58" s="32"/>
      <c r="X58" s="32"/>
      <c r="Y58" s="32"/>
      <c r="Z58" s="32"/>
    </row>
    <row r="59" spans="1:26" ht="15" customHeight="1" x14ac:dyDescent="0.3">
      <c r="A59" s="155">
        <v>34</v>
      </c>
      <c r="B59" s="156" t="s">
        <v>233</v>
      </c>
      <c r="C59" s="46"/>
      <c r="D59" s="89"/>
      <c r="E59" s="156" t="s">
        <v>234</v>
      </c>
      <c r="F59" s="45"/>
      <c r="G59" s="157">
        <v>590</v>
      </c>
      <c r="H59" s="155">
        <v>0.5</v>
      </c>
      <c r="I59" s="155">
        <v>1</v>
      </c>
      <c r="J59" s="156" t="s">
        <v>39</v>
      </c>
      <c r="K59" s="52" t="s">
        <v>33</v>
      </c>
      <c r="L59" s="53" t="str">
        <f t="shared" si="0"/>
        <v>1grams</v>
      </c>
      <c r="M59" s="54">
        <f t="shared" si="1"/>
        <v>0.5</v>
      </c>
      <c r="N59" s="55" t="str">
        <f t="shared" si="2"/>
        <v>0.5 grams</v>
      </c>
      <c r="O59" s="158">
        <v>295</v>
      </c>
      <c r="P59" s="44">
        <f t="shared" si="3"/>
        <v>590</v>
      </c>
      <c r="Q59" s="44">
        <f t="shared" si="4"/>
        <v>0</v>
      </c>
      <c r="R59" s="32"/>
      <c r="S59" s="32"/>
      <c r="T59" s="32"/>
      <c r="U59" s="32"/>
      <c r="V59" s="32"/>
      <c r="W59" s="32"/>
      <c r="X59" s="32"/>
      <c r="Y59" s="32"/>
      <c r="Z59" s="32"/>
    </row>
    <row r="60" spans="1:26" ht="15" customHeight="1" x14ac:dyDescent="0.3">
      <c r="A60" s="155">
        <v>35</v>
      </c>
      <c r="B60" s="156" t="s">
        <v>508</v>
      </c>
      <c r="C60" s="46"/>
      <c r="D60" s="89"/>
      <c r="E60" s="156" t="s">
        <v>505</v>
      </c>
      <c r="F60" s="45"/>
      <c r="G60" s="157">
        <v>8.1999999999999993</v>
      </c>
      <c r="H60" s="155">
        <v>180</v>
      </c>
      <c r="I60" s="155">
        <v>1</v>
      </c>
      <c r="J60" s="156" t="s">
        <v>92</v>
      </c>
      <c r="K60" s="91" t="s">
        <v>33</v>
      </c>
      <c r="L60" s="53" t="str">
        <f t="shared" si="0"/>
        <v>1pieces</v>
      </c>
      <c r="M60" s="54">
        <f t="shared" si="1"/>
        <v>180</v>
      </c>
      <c r="N60" s="55" t="str">
        <f t="shared" si="2"/>
        <v>180 pieces</v>
      </c>
      <c r="O60" s="158">
        <v>1476</v>
      </c>
      <c r="P60" s="92">
        <f t="shared" si="3"/>
        <v>8.1999999999999993</v>
      </c>
      <c r="Q60" s="93">
        <f t="shared" si="4"/>
        <v>0</v>
      </c>
      <c r="R60" s="94"/>
      <c r="S60" s="95"/>
      <c r="T60" s="95"/>
      <c r="U60" s="95"/>
      <c r="V60" s="95"/>
      <c r="W60" s="95"/>
      <c r="X60" s="95"/>
      <c r="Y60" s="95"/>
      <c r="Z60" s="95"/>
    </row>
    <row r="61" spans="1:26" ht="15" customHeight="1" x14ac:dyDescent="0.3">
      <c r="A61" s="155">
        <v>36</v>
      </c>
      <c r="B61" s="156" t="s">
        <v>509</v>
      </c>
      <c r="C61" s="46"/>
      <c r="D61" s="89"/>
      <c r="E61" s="156" t="s">
        <v>199</v>
      </c>
      <c r="F61" s="45"/>
      <c r="G61" s="157">
        <v>127</v>
      </c>
      <c r="H61" s="155">
        <v>9</v>
      </c>
      <c r="I61" s="155">
        <v>1</v>
      </c>
      <c r="J61" s="156" t="s">
        <v>200</v>
      </c>
      <c r="K61" s="52" t="s">
        <v>33</v>
      </c>
      <c r="L61" s="53" t="str">
        <f t="shared" si="0"/>
        <v>1gal</v>
      </c>
      <c r="M61" s="54">
        <f t="shared" si="1"/>
        <v>9</v>
      </c>
      <c r="N61" s="55" t="str">
        <f t="shared" si="2"/>
        <v>9 gal</v>
      </c>
      <c r="O61" s="158">
        <v>1143</v>
      </c>
      <c r="P61" s="44">
        <f t="shared" si="3"/>
        <v>127</v>
      </c>
      <c r="Q61" s="66">
        <f t="shared" si="4"/>
        <v>0</v>
      </c>
      <c r="R61" s="32"/>
      <c r="S61" s="32"/>
      <c r="T61" s="32"/>
      <c r="U61" s="32"/>
      <c r="V61" s="32"/>
      <c r="W61" s="32"/>
      <c r="X61" s="32"/>
      <c r="Y61" s="32"/>
      <c r="Z61" s="32"/>
    </row>
    <row r="62" spans="1:26" ht="15" customHeight="1" x14ac:dyDescent="0.3">
      <c r="A62" s="155">
        <v>37</v>
      </c>
      <c r="B62" s="156" t="s">
        <v>510</v>
      </c>
      <c r="C62" s="46"/>
      <c r="D62" s="89"/>
      <c r="E62" s="156" t="s">
        <v>511</v>
      </c>
      <c r="F62" s="45"/>
      <c r="G62" s="157">
        <v>4.0999999999999996</v>
      </c>
      <c r="H62" s="155">
        <v>100</v>
      </c>
      <c r="I62" s="155">
        <v>1</v>
      </c>
      <c r="J62" s="156" t="s">
        <v>92</v>
      </c>
      <c r="K62" s="52" t="s">
        <v>33</v>
      </c>
      <c r="L62" s="53" t="str">
        <f t="shared" si="0"/>
        <v>1pieces</v>
      </c>
      <c r="M62" s="54">
        <f t="shared" si="1"/>
        <v>100</v>
      </c>
      <c r="N62" s="55" t="str">
        <f t="shared" si="2"/>
        <v>100 pieces</v>
      </c>
      <c r="O62" s="158">
        <v>410</v>
      </c>
      <c r="P62" s="44">
        <f t="shared" si="3"/>
        <v>4.0999999999999996</v>
      </c>
      <c r="Q62" s="66">
        <f t="shared" si="4"/>
        <v>0</v>
      </c>
      <c r="R62" s="32"/>
      <c r="S62" s="32"/>
      <c r="T62" s="32"/>
      <c r="U62" s="32"/>
      <c r="V62" s="32"/>
      <c r="W62" s="32"/>
      <c r="X62" s="32"/>
      <c r="Y62" s="32"/>
      <c r="Z62" s="32"/>
    </row>
    <row r="63" spans="1:26" ht="15" customHeight="1" x14ac:dyDescent="0.3">
      <c r="A63" s="155">
        <v>37</v>
      </c>
      <c r="B63" s="156" t="s">
        <v>510</v>
      </c>
      <c r="C63" s="46"/>
      <c r="D63" s="89"/>
      <c r="E63" s="156"/>
      <c r="F63" s="45"/>
      <c r="G63" s="157">
        <v>4.2969999999999997</v>
      </c>
      <c r="H63" s="155">
        <v>196</v>
      </c>
      <c r="I63" s="155">
        <v>1</v>
      </c>
      <c r="J63" s="156" t="s">
        <v>92</v>
      </c>
      <c r="K63" s="52" t="s">
        <v>33</v>
      </c>
      <c r="L63" s="53" t="str">
        <f t="shared" si="0"/>
        <v>1pieces</v>
      </c>
      <c r="M63" s="54">
        <f t="shared" si="1"/>
        <v>196</v>
      </c>
      <c r="N63" s="55" t="str">
        <f t="shared" si="2"/>
        <v>196 pieces</v>
      </c>
      <c r="O63" s="158">
        <v>842.21199999999999</v>
      </c>
      <c r="P63" s="44">
        <f t="shared" si="3"/>
        <v>4.2969999999999997</v>
      </c>
      <c r="Q63" s="62">
        <f t="shared" si="4"/>
        <v>0</v>
      </c>
      <c r="R63" s="12"/>
      <c r="S63" s="32"/>
      <c r="T63" s="32"/>
      <c r="U63" s="32"/>
      <c r="V63" s="32"/>
      <c r="W63" s="32"/>
      <c r="X63" s="32"/>
      <c r="Y63" s="32"/>
      <c r="Z63" s="32"/>
    </row>
    <row r="64" spans="1:26" ht="15" customHeight="1" x14ac:dyDescent="0.3">
      <c r="A64" s="155">
        <v>38</v>
      </c>
      <c r="B64" s="156" t="s">
        <v>48</v>
      </c>
      <c r="C64" s="46"/>
      <c r="D64" s="89"/>
      <c r="E64" s="156" t="s">
        <v>49</v>
      </c>
      <c r="F64" s="45"/>
      <c r="G64" s="157">
        <v>143.19999999999999</v>
      </c>
      <c r="H64" s="155">
        <v>9</v>
      </c>
      <c r="I64" s="155">
        <v>1000</v>
      </c>
      <c r="J64" s="156" t="s">
        <v>39</v>
      </c>
      <c r="K64" s="52" t="s">
        <v>33</v>
      </c>
      <c r="L64" s="53" t="str">
        <f t="shared" si="0"/>
        <v>1000grams</v>
      </c>
      <c r="M64" s="54">
        <f t="shared" si="1"/>
        <v>9000</v>
      </c>
      <c r="N64" s="55" t="str">
        <f t="shared" si="2"/>
        <v>9000 grams</v>
      </c>
      <c r="O64" s="158">
        <v>1288.8</v>
      </c>
      <c r="P64" s="44">
        <f t="shared" si="3"/>
        <v>143.19999999999999</v>
      </c>
      <c r="Q64" s="44">
        <f t="shared" si="4"/>
        <v>0</v>
      </c>
      <c r="R64" s="32"/>
      <c r="S64" s="32"/>
      <c r="T64" s="32"/>
      <c r="U64" s="32"/>
      <c r="V64" s="32"/>
      <c r="W64" s="32"/>
      <c r="X64" s="32"/>
      <c r="Y64" s="32"/>
      <c r="Z64" s="32"/>
    </row>
    <row r="65" spans="1:26" ht="15" customHeight="1" x14ac:dyDescent="0.3">
      <c r="A65" s="155">
        <v>38</v>
      </c>
      <c r="B65" s="156" t="s">
        <v>48</v>
      </c>
      <c r="C65" s="46"/>
      <c r="D65" s="89"/>
      <c r="E65" s="156" t="s">
        <v>512</v>
      </c>
      <c r="F65" s="45"/>
      <c r="G65" s="157">
        <v>0.16500000000000001</v>
      </c>
      <c r="H65" s="155">
        <v>13400</v>
      </c>
      <c r="I65" s="155">
        <v>1000</v>
      </c>
      <c r="J65" s="156" t="s">
        <v>39</v>
      </c>
      <c r="K65" s="52" t="s">
        <v>33</v>
      </c>
      <c r="L65" s="53" t="str">
        <f t="shared" si="0"/>
        <v>1000grams</v>
      </c>
      <c r="M65" s="54">
        <f t="shared" si="1"/>
        <v>13400000</v>
      </c>
      <c r="N65" s="55" t="str">
        <f t="shared" si="2"/>
        <v>13400000 grams</v>
      </c>
      <c r="O65" s="158">
        <v>2211</v>
      </c>
      <c r="P65" s="44">
        <f t="shared" si="3"/>
        <v>0.16500000000000001</v>
      </c>
      <c r="Q65" s="44">
        <f t="shared" si="4"/>
        <v>0</v>
      </c>
      <c r="R65" s="32"/>
      <c r="S65" s="32"/>
      <c r="T65" s="32"/>
      <c r="U65" s="32"/>
      <c r="V65" s="32"/>
      <c r="W65" s="32"/>
      <c r="X65" s="32"/>
      <c r="Y65" s="32"/>
      <c r="Z65" s="32"/>
    </row>
    <row r="66" spans="1:26" ht="15" customHeight="1" x14ac:dyDescent="0.3">
      <c r="A66" s="155">
        <v>39</v>
      </c>
      <c r="B66" s="156" t="s">
        <v>513</v>
      </c>
      <c r="C66" s="46"/>
      <c r="D66" s="89"/>
      <c r="E66" s="156"/>
      <c r="F66" s="45"/>
      <c r="G66" s="157">
        <v>49</v>
      </c>
      <c r="H66" s="155">
        <v>2</v>
      </c>
      <c r="I66" s="155">
        <v>1</v>
      </c>
      <c r="J66" s="156" t="s">
        <v>39</v>
      </c>
      <c r="K66" s="52" t="s">
        <v>33</v>
      </c>
      <c r="L66" s="53" t="str">
        <f t="shared" si="0"/>
        <v>1grams</v>
      </c>
      <c r="M66" s="54">
        <f t="shared" si="1"/>
        <v>2</v>
      </c>
      <c r="N66" s="55" t="str">
        <f t="shared" si="2"/>
        <v>2 grams</v>
      </c>
      <c r="O66" s="158">
        <v>98</v>
      </c>
      <c r="P66" s="44">
        <f t="shared" si="3"/>
        <v>49</v>
      </c>
      <c r="Q66" s="62">
        <f t="shared" si="4"/>
        <v>0</v>
      </c>
      <c r="R66" s="12"/>
      <c r="S66" s="32"/>
      <c r="T66" s="32"/>
      <c r="U66" s="32"/>
      <c r="V66" s="32"/>
      <c r="W66" s="32"/>
      <c r="X66" s="32"/>
      <c r="Y66" s="32"/>
      <c r="Z66" s="32"/>
    </row>
    <row r="67" spans="1:26" ht="15" customHeight="1" x14ac:dyDescent="0.3">
      <c r="A67" s="155">
        <v>40</v>
      </c>
      <c r="B67" s="156" t="s">
        <v>127</v>
      </c>
      <c r="C67" s="46"/>
      <c r="D67" s="89"/>
      <c r="E67" s="156" t="s">
        <v>514</v>
      </c>
      <c r="F67" s="45"/>
      <c r="G67" s="157">
        <v>0.7</v>
      </c>
      <c r="H67" s="155">
        <v>2000</v>
      </c>
      <c r="I67" s="155">
        <v>1000</v>
      </c>
      <c r="J67" s="156" t="s">
        <v>39</v>
      </c>
      <c r="K67" s="52" t="s">
        <v>33</v>
      </c>
      <c r="L67" s="53" t="str">
        <f t="shared" si="0"/>
        <v>1000grams</v>
      </c>
      <c r="M67" s="54">
        <f t="shared" si="1"/>
        <v>2000000</v>
      </c>
      <c r="N67" s="55" t="str">
        <f t="shared" si="2"/>
        <v>2000000 grams</v>
      </c>
      <c r="O67" s="158">
        <v>1400</v>
      </c>
      <c r="P67" s="44">
        <f t="shared" si="3"/>
        <v>0.7</v>
      </c>
      <c r="Q67" s="62">
        <f t="shared" si="4"/>
        <v>0</v>
      </c>
      <c r="R67" s="67"/>
      <c r="S67" s="32"/>
      <c r="T67" s="32"/>
      <c r="U67" s="32"/>
      <c r="V67" s="32"/>
      <c r="W67" s="32"/>
      <c r="X67" s="32"/>
      <c r="Y67" s="32"/>
      <c r="Z67" s="32"/>
    </row>
    <row r="68" spans="1:26" ht="15" customHeight="1" x14ac:dyDescent="0.3">
      <c r="A68" s="155">
        <v>40</v>
      </c>
      <c r="B68" s="156" t="s">
        <v>127</v>
      </c>
      <c r="C68" s="46"/>
      <c r="D68" s="89"/>
      <c r="E68" s="156" t="s">
        <v>128</v>
      </c>
      <c r="F68" s="45"/>
      <c r="G68" s="157">
        <v>350</v>
      </c>
      <c r="H68" s="155">
        <v>3</v>
      </c>
      <c r="I68" s="155">
        <v>1000</v>
      </c>
      <c r="J68" s="156" t="s">
        <v>39</v>
      </c>
      <c r="K68" s="52" t="s">
        <v>33</v>
      </c>
      <c r="L68" s="53" t="str">
        <f t="shared" si="0"/>
        <v>1000grams</v>
      </c>
      <c r="M68" s="54">
        <f t="shared" si="1"/>
        <v>3000</v>
      </c>
      <c r="N68" s="55" t="str">
        <f t="shared" si="2"/>
        <v>3000 grams</v>
      </c>
      <c r="O68" s="158">
        <v>1050</v>
      </c>
      <c r="P68" s="44">
        <f t="shared" si="3"/>
        <v>350</v>
      </c>
      <c r="Q68" s="44">
        <f t="shared" si="4"/>
        <v>0</v>
      </c>
      <c r="R68" s="12"/>
      <c r="S68" s="32"/>
      <c r="T68" s="32"/>
      <c r="U68" s="32"/>
      <c r="V68" s="32"/>
      <c r="W68" s="32"/>
      <c r="X68" s="32"/>
      <c r="Y68" s="32"/>
      <c r="Z68" s="32"/>
    </row>
    <row r="69" spans="1:26" ht="15" customHeight="1" x14ac:dyDescent="0.3">
      <c r="A69" s="155">
        <v>40</v>
      </c>
      <c r="B69" s="156" t="s">
        <v>127</v>
      </c>
      <c r="C69" s="46"/>
      <c r="D69" s="89"/>
      <c r="E69" s="156"/>
      <c r="F69" s="45"/>
      <c r="G69" s="157">
        <v>0.6</v>
      </c>
      <c r="H69" s="155">
        <v>2000</v>
      </c>
      <c r="I69" s="155">
        <v>1000</v>
      </c>
      <c r="J69" s="156" t="s">
        <v>39</v>
      </c>
      <c r="K69" s="52" t="s">
        <v>33</v>
      </c>
      <c r="L69" s="53" t="str">
        <f t="shared" si="0"/>
        <v>1000grams</v>
      </c>
      <c r="M69" s="54">
        <f t="shared" si="1"/>
        <v>2000000</v>
      </c>
      <c r="N69" s="55" t="str">
        <f t="shared" si="2"/>
        <v>2000000 grams</v>
      </c>
      <c r="O69" s="158">
        <v>1200</v>
      </c>
      <c r="P69" s="44">
        <f t="shared" si="3"/>
        <v>0.6</v>
      </c>
      <c r="Q69" s="44">
        <f t="shared" si="4"/>
        <v>0</v>
      </c>
      <c r="R69" s="32"/>
      <c r="S69" s="32"/>
      <c r="T69" s="32"/>
      <c r="U69" s="32"/>
      <c r="V69" s="32"/>
      <c r="W69" s="32"/>
      <c r="X69" s="32"/>
      <c r="Y69" s="32"/>
      <c r="Z69" s="32"/>
    </row>
    <row r="70" spans="1:26" ht="15" customHeight="1" x14ac:dyDescent="0.3">
      <c r="A70" s="155">
        <v>41</v>
      </c>
      <c r="B70" s="156" t="s">
        <v>235</v>
      </c>
      <c r="C70" s="46"/>
      <c r="D70" s="98"/>
      <c r="E70" s="156" t="s">
        <v>515</v>
      </c>
      <c r="F70" s="99"/>
      <c r="G70" s="157">
        <v>0.56666700000000003</v>
      </c>
      <c r="H70" s="155">
        <v>240</v>
      </c>
      <c r="I70" s="155">
        <v>120</v>
      </c>
      <c r="J70" s="156" t="s">
        <v>39</v>
      </c>
      <c r="K70" s="52" t="s">
        <v>33</v>
      </c>
      <c r="L70" s="53" t="str">
        <f t="shared" si="0"/>
        <v>120grams</v>
      </c>
      <c r="M70" s="54">
        <f t="shared" si="1"/>
        <v>28800</v>
      </c>
      <c r="N70" s="55" t="str">
        <f t="shared" si="2"/>
        <v>28800 grams</v>
      </c>
      <c r="O70" s="158">
        <v>136</v>
      </c>
      <c r="P70" s="44">
        <f t="shared" si="3"/>
        <v>0.56666666666666665</v>
      </c>
      <c r="Q70" s="62">
        <f t="shared" si="4"/>
        <v>3.3333333337992599E-7</v>
      </c>
      <c r="R70" s="12"/>
      <c r="S70" s="32"/>
      <c r="T70" s="32"/>
      <c r="U70" s="32"/>
      <c r="V70" s="32"/>
      <c r="W70" s="32"/>
      <c r="X70" s="32"/>
      <c r="Y70" s="32"/>
      <c r="Z70" s="32"/>
    </row>
    <row r="71" spans="1:26" ht="15" customHeight="1" x14ac:dyDescent="0.3">
      <c r="A71" s="155">
        <v>41</v>
      </c>
      <c r="B71" s="156" t="s">
        <v>235</v>
      </c>
      <c r="C71" s="46"/>
      <c r="D71" s="98"/>
      <c r="E71" s="156" t="s">
        <v>516</v>
      </c>
      <c r="F71" s="99"/>
      <c r="G71" s="157">
        <v>2.1666669999999999</v>
      </c>
      <c r="H71" s="155">
        <v>30</v>
      </c>
      <c r="I71" s="155">
        <v>120</v>
      </c>
      <c r="J71" s="156" t="s">
        <v>32</v>
      </c>
      <c r="K71" s="52" t="s">
        <v>33</v>
      </c>
      <c r="L71" s="53" t="str">
        <f t="shared" si="0"/>
        <v>120ml</v>
      </c>
      <c r="M71" s="54">
        <f t="shared" si="1"/>
        <v>3600</v>
      </c>
      <c r="N71" s="55" t="str">
        <f t="shared" si="2"/>
        <v>3600 ml</v>
      </c>
      <c r="O71" s="158">
        <v>65</v>
      </c>
      <c r="P71" s="44">
        <f t="shared" si="3"/>
        <v>2.1666666666666665</v>
      </c>
      <c r="Q71" s="66">
        <f t="shared" si="4"/>
        <v>3.3333333337992599E-7</v>
      </c>
      <c r="R71" s="32"/>
      <c r="S71" s="32"/>
      <c r="T71" s="32"/>
      <c r="U71" s="32"/>
      <c r="V71" s="32"/>
      <c r="W71" s="32"/>
      <c r="X71" s="32"/>
      <c r="Y71" s="32"/>
      <c r="Z71" s="32"/>
    </row>
    <row r="72" spans="1:26" ht="15" customHeight="1" x14ac:dyDescent="0.3">
      <c r="A72" s="155">
        <v>41</v>
      </c>
      <c r="B72" s="156" t="s">
        <v>235</v>
      </c>
      <c r="C72" s="46"/>
      <c r="D72" s="98"/>
      <c r="E72" s="156" t="s">
        <v>236</v>
      </c>
      <c r="F72" s="99"/>
      <c r="G72" s="157">
        <v>35.200000000000003</v>
      </c>
      <c r="H72" s="155">
        <v>2</v>
      </c>
      <c r="I72" s="155">
        <v>120</v>
      </c>
      <c r="J72" s="156" t="s">
        <v>39</v>
      </c>
      <c r="K72" s="52" t="s">
        <v>33</v>
      </c>
      <c r="L72" s="53" t="str">
        <f t="shared" si="0"/>
        <v>120grams</v>
      </c>
      <c r="M72" s="54">
        <f t="shared" si="1"/>
        <v>240</v>
      </c>
      <c r="N72" s="55" t="str">
        <f t="shared" si="2"/>
        <v>240 grams</v>
      </c>
      <c r="O72" s="158">
        <v>70.400000000000006</v>
      </c>
      <c r="P72" s="44">
        <f t="shared" si="3"/>
        <v>35.200000000000003</v>
      </c>
      <c r="Q72" s="44">
        <f t="shared" si="4"/>
        <v>0</v>
      </c>
      <c r="R72" s="32"/>
      <c r="S72" s="32"/>
      <c r="T72" s="32"/>
      <c r="U72" s="32"/>
      <c r="V72" s="32"/>
      <c r="W72" s="32"/>
      <c r="X72" s="32"/>
      <c r="Y72" s="32"/>
      <c r="Z72" s="32"/>
    </row>
    <row r="73" spans="1:26" ht="15" customHeight="1" x14ac:dyDescent="0.3">
      <c r="A73" s="155">
        <v>42</v>
      </c>
      <c r="B73" s="156" t="s">
        <v>237</v>
      </c>
      <c r="C73" s="46"/>
      <c r="D73" s="98"/>
      <c r="E73" s="156" t="s">
        <v>517</v>
      </c>
      <c r="F73" s="99"/>
      <c r="G73" s="157">
        <v>0.56833299999999998</v>
      </c>
      <c r="H73" s="155">
        <v>240</v>
      </c>
      <c r="I73" s="155">
        <v>120</v>
      </c>
      <c r="J73" s="156" t="s">
        <v>39</v>
      </c>
      <c r="K73" s="52" t="s">
        <v>33</v>
      </c>
      <c r="L73" s="53" t="str">
        <f t="shared" si="0"/>
        <v>120grams</v>
      </c>
      <c r="M73" s="54">
        <f t="shared" si="1"/>
        <v>28800</v>
      </c>
      <c r="N73" s="55" t="str">
        <f t="shared" si="2"/>
        <v>28800 grams</v>
      </c>
      <c r="O73" s="158">
        <v>136.4</v>
      </c>
      <c r="P73" s="44">
        <f t="shared" si="3"/>
        <v>0.56833333333333336</v>
      </c>
      <c r="Q73" s="44">
        <f t="shared" si="4"/>
        <v>-3.3333333337992599E-7</v>
      </c>
      <c r="R73" s="32"/>
      <c r="S73" s="32"/>
      <c r="T73" s="32"/>
      <c r="U73" s="32"/>
      <c r="V73" s="32"/>
      <c r="W73" s="32"/>
      <c r="X73" s="32"/>
      <c r="Y73" s="32"/>
      <c r="Z73" s="32"/>
    </row>
    <row r="74" spans="1:26" ht="15" customHeight="1" x14ac:dyDescent="0.3">
      <c r="A74" s="155">
        <v>42</v>
      </c>
      <c r="B74" s="156" t="s">
        <v>237</v>
      </c>
      <c r="C74" s="46"/>
      <c r="D74" s="98"/>
      <c r="E74" s="156" t="s">
        <v>236</v>
      </c>
      <c r="F74" s="99"/>
      <c r="G74" s="157">
        <v>35.200000000000003</v>
      </c>
      <c r="H74" s="155">
        <v>3</v>
      </c>
      <c r="I74" s="155">
        <v>120</v>
      </c>
      <c r="J74" s="156" t="s">
        <v>39</v>
      </c>
      <c r="K74" s="52" t="s">
        <v>33</v>
      </c>
      <c r="L74" s="53" t="str">
        <f t="shared" si="0"/>
        <v>120grams</v>
      </c>
      <c r="M74" s="54">
        <f t="shared" si="1"/>
        <v>360</v>
      </c>
      <c r="N74" s="55" t="str">
        <f t="shared" si="2"/>
        <v>360 grams</v>
      </c>
      <c r="O74" s="158">
        <v>105.6</v>
      </c>
      <c r="P74" s="44">
        <f t="shared" si="3"/>
        <v>35.199999999999996</v>
      </c>
      <c r="Q74" s="44">
        <f t="shared" si="4"/>
        <v>0</v>
      </c>
      <c r="R74" s="32"/>
      <c r="S74" s="32"/>
      <c r="T74" s="32"/>
      <c r="U74" s="32"/>
      <c r="V74" s="32"/>
      <c r="W74" s="32"/>
      <c r="X74" s="32"/>
      <c r="Y74" s="32"/>
      <c r="Z74" s="32"/>
    </row>
    <row r="75" spans="1:26" ht="15" customHeight="1" x14ac:dyDescent="0.3">
      <c r="A75" s="155">
        <v>43</v>
      </c>
      <c r="B75" s="156" t="s">
        <v>518</v>
      </c>
      <c r="C75" s="46"/>
      <c r="D75" s="58"/>
      <c r="E75" s="156" t="s">
        <v>517</v>
      </c>
      <c r="F75" s="99"/>
      <c r="G75" s="157">
        <v>0.56833299999999998</v>
      </c>
      <c r="H75" s="155">
        <v>120</v>
      </c>
      <c r="I75" s="155">
        <v>120</v>
      </c>
      <c r="J75" s="156" t="s">
        <v>39</v>
      </c>
      <c r="K75" s="52" t="s">
        <v>33</v>
      </c>
      <c r="L75" s="53" t="str">
        <f t="shared" si="0"/>
        <v>120grams</v>
      </c>
      <c r="M75" s="54">
        <f t="shared" si="1"/>
        <v>14400</v>
      </c>
      <c r="N75" s="55" t="str">
        <f t="shared" si="2"/>
        <v>14400 grams</v>
      </c>
      <c r="O75" s="158">
        <v>68.2</v>
      </c>
      <c r="P75" s="44"/>
      <c r="Q75" s="44">
        <f t="shared" si="4"/>
        <v>0.56833299999999998</v>
      </c>
      <c r="R75" s="32"/>
      <c r="S75" s="32"/>
      <c r="T75" s="32"/>
      <c r="U75" s="32"/>
      <c r="V75" s="32"/>
      <c r="W75" s="32"/>
      <c r="X75" s="32"/>
      <c r="Y75" s="32"/>
      <c r="Z75" s="32"/>
    </row>
    <row r="76" spans="1:26" ht="15" customHeight="1" x14ac:dyDescent="0.3">
      <c r="A76" s="155">
        <v>44</v>
      </c>
      <c r="B76" s="156" t="s">
        <v>343</v>
      </c>
      <c r="C76" s="46"/>
      <c r="D76" s="63"/>
      <c r="E76" s="156"/>
      <c r="F76" s="99"/>
      <c r="G76" s="157">
        <v>47</v>
      </c>
      <c r="H76" s="159">
        <v>4</v>
      </c>
      <c r="I76" s="155">
        <v>1</v>
      </c>
      <c r="J76" s="160" t="s">
        <v>304</v>
      </c>
      <c r="K76" s="52" t="s">
        <v>33</v>
      </c>
      <c r="L76" s="53" t="str">
        <f t="shared" si="0"/>
        <v>1packs</v>
      </c>
      <c r="M76" s="54">
        <f t="shared" si="1"/>
        <v>4</v>
      </c>
      <c r="N76" s="55" t="str">
        <f t="shared" si="2"/>
        <v>4 packs</v>
      </c>
      <c r="O76" s="158">
        <v>188</v>
      </c>
      <c r="P76" s="44">
        <f t="shared" ref="P76:P168" si="5">O76/H76</f>
        <v>47</v>
      </c>
      <c r="Q76" s="44">
        <f t="shared" si="4"/>
        <v>0</v>
      </c>
      <c r="R76" s="32"/>
      <c r="S76" s="32"/>
      <c r="T76" s="32"/>
      <c r="U76" s="32"/>
      <c r="V76" s="32"/>
      <c r="W76" s="32"/>
      <c r="X76" s="32"/>
      <c r="Y76" s="32"/>
      <c r="Z76" s="32"/>
    </row>
    <row r="77" spans="1:26" ht="15" customHeight="1" x14ac:dyDescent="0.3">
      <c r="A77" s="155">
        <v>45</v>
      </c>
      <c r="B77" s="156" t="s">
        <v>344</v>
      </c>
      <c r="C77" s="46"/>
      <c r="D77" s="58"/>
      <c r="E77" s="156"/>
      <c r="F77" s="104"/>
      <c r="G77" s="157">
        <v>45</v>
      </c>
      <c r="H77" s="155">
        <v>3</v>
      </c>
      <c r="I77" s="155">
        <v>1</v>
      </c>
      <c r="J77" s="156" t="s">
        <v>304</v>
      </c>
      <c r="K77" s="52" t="s">
        <v>33</v>
      </c>
      <c r="L77" s="53" t="str">
        <f t="shared" si="0"/>
        <v>1packs</v>
      </c>
      <c r="M77" s="54">
        <f t="shared" si="1"/>
        <v>3</v>
      </c>
      <c r="N77" s="55" t="str">
        <f t="shared" si="2"/>
        <v>3 packs</v>
      </c>
      <c r="O77" s="158">
        <v>135</v>
      </c>
      <c r="P77" s="44">
        <f t="shared" si="5"/>
        <v>45</v>
      </c>
      <c r="Q77" s="44">
        <f t="shared" si="4"/>
        <v>0</v>
      </c>
      <c r="R77" s="32"/>
      <c r="S77" s="32"/>
      <c r="T77" s="32"/>
      <c r="U77" s="32"/>
      <c r="V77" s="32"/>
      <c r="W77" s="32"/>
      <c r="X77" s="32"/>
      <c r="Y77" s="32"/>
      <c r="Z77" s="32"/>
    </row>
    <row r="78" spans="1:26" ht="15" customHeight="1" x14ac:dyDescent="0.3">
      <c r="A78" s="155">
        <v>46</v>
      </c>
      <c r="B78" s="156" t="s">
        <v>372</v>
      </c>
      <c r="C78" s="46"/>
      <c r="D78" s="58"/>
      <c r="E78" s="156" t="s">
        <v>373</v>
      </c>
      <c r="F78" s="104"/>
      <c r="G78" s="157">
        <v>21.26</v>
      </c>
      <c r="H78" s="155">
        <v>60</v>
      </c>
      <c r="I78" s="155">
        <v>1</v>
      </c>
      <c r="J78" s="156" t="s">
        <v>92</v>
      </c>
      <c r="K78" s="52" t="s">
        <v>33</v>
      </c>
      <c r="L78" s="53" t="str">
        <f t="shared" si="0"/>
        <v>1pieces</v>
      </c>
      <c r="M78" s="54">
        <f t="shared" si="1"/>
        <v>60</v>
      </c>
      <c r="N78" s="55" t="str">
        <f t="shared" si="2"/>
        <v>60 pieces</v>
      </c>
      <c r="O78" s="158">
        <v>1275.5999999999999</v>
      </c>
      <c r="P78" s="44">
        <f t="shared" si="5"/>
        <v>21.259999999999998</v>
      </c>
      <c r="Q78" s="62">
        <f t="shared" si="4"/>
        <v>0</v>
      </c>
      <c r="R78" s="12"/>
      <c r="S78" s="32"/>
      <c r="T78" s="32"/>
      <c r="U78" s="32"/>
      <c r="V78" s="32"/>
      <c r="W78" s="32"/>
      <c r="X78" s="32"/>
      <c r="Y78" s="32"/>
      <c r="Z78" s="32"/>
    </row>
    <row r="79" spans="1:26" ht="15" customHeight="1" x14ac:dyDescent="0.3">
      <c r="A79" s="155">
        <v>47</v>
      </c>
      <c r="B79" s="156" t="s">
        <v>168</v>
      </c>
      <c r="C79" s="46"/>
      <c r="D79" s="58"/>
      <c r="E79" s="156" t="s">
        <v>169</v>
      </c>
      <c r="F79" s="104"/>
      <c r="G79" s="157">
        <v>57.61</v>
      </c>
      <c r="H79" s="155">
        <v>23.204999999999998</v>
      </c>
      <c r="I79" s="155">
        <v>0</v>
      </c>
      <c r="J79" s="156" t="s">
        <v>519</v>
      </c>
      <c r="K79" s="52" t="s">
        <v>33</v>
      </c>
      <c r="L79" s="53" t="str">
        <f t="shared" si="0"/>
        <v>0drained weight grams</v>
      </c>
      <c r="M79" s="54">
        <f t="shared" si="1"/>
        <v>0</v>
      </c>
      <c r="N79" s="55" t="str">
        <f t="shared" si="2"/>
        <v>0 drained weight grams</v>
      </c>
      <c r="O79" s="158">
        <v>1336.84</v>
      </c>
      <c r="P79" s="44">
        <f t="shared" si="5"/>
        <v>57.609997845291964</v>
      </c>
      <c r="Q79" s="62">
        <f t="shared" si="4"/>
        <v>2.1547080351069781E-6</v>
      </c>
      <c r="R79" s="12"/>
      <c r="S79" s="32"/>
      <c r="T79" s="32"/>
      <c r="U79" s="32"/>
      <c r="V79" s="32"/>
      <c r="W79" s="32"/>
      <c r="X79" s="32"/>
      <c r="Y79" s="32"/>
      <c r="Z79" s="32"/>
    </row>
    <row r="80" spans="1:26" ht="15" customHeight="1" x14ac:dyDescent="0.3">
      <c r="A80" s="155">
        <v>48</v>
      </c>
      <c r="B80" s="156" t="s">
        <v>520</v>
      </c>
      <c r="C80" s="46"/>
      <c r="D80" s="58"/>
      <c r="E80" s="156" t="s">
        <v>94</v>
      </c>
      <c r="F80" s="104"/>
      <c r="G80" s="157">
        <v>12.49</v>
      </c>
      <c r="H80" s="155">
        <v>317</v>
      </c>
      <c r="I80" s="155">
        <v>24</v>
      </c>
      <c r="J80" s="156" t="s">
        <v>92</v>
      </c>
      <c r="K80" s="52" t="s">
        <v>33</v>
      </c>
      <c r="L80" s="53" t="str">
        <f t="shared" si="0"/>
        <v>24pieces</v>
      </c>
      <c r="M80" s="54">
        <f t="shared" si="1"/>
        <v>7608</v>
      </c>
      <c r="N80" s="55" t="str">
        <f t="shared" si="2"/>
        <v>7608 pieces</v>
      </c>
      <c r="O80" s="158">
        <v>3959.33</v>
      </c>
      <c r="P80" s="44">
        <f t="shared" si="5"/>
        <v>12.49</v>
      </c>
      <c r="Q80" s="44">
        <f t="shared" si="4"/>
        <v>0</v>
      </c>
      <c r="R80" s="32"/>
      <c r="S80" s="32"/>
      <c r="T80" s="32"/>
      <c r="U80" s="32"/>
      <c r="V80" s="32"/>
      <c r="W80" s="32"/>
      <c r="X80" s="32"/>
      <c r="Y80" s="32"/>
      <c r="Z80" s="32"/>
    </row>
    <row r="81" spans="1:26" ht="15" customHeight="1" x14ac:dyDescent="0.3">
      <c r="A81" s="155">
        <v>49</v>
      </c>
      <c r="B81" s="156" t="s">
        <v>450</v>
      </c>
      <c r="C81" s="46"/>
      <c r="D81" s="58"/>
      <c r="E81" s="156" t="s">
        <v>216</v>
      </c>
      <c r="F81" s="104"/>
      <c r="G81" s="157">
        <v>0.105958</v>
      </c>
      <c r="H81" s="155">
        <v>5002</v>
      </c>
      <c r="I81" s="155">
        <v>1000</v>
      </c>
      <c r="J81" s="156" t="s">
        <v>39</v>
      </c>
      <c r="K81" s="52" t="s">
        <v>33</v>
      </c>
      <c r="L81" s="53" t="str">
        <f t="shared" si="0"/>
        <v>1000grams</v>
      </c>
      <c r="M81" s="54">
        <f t="shared" si="1"/>
        <v>5002000</v>
      </c>
      <c r="N81" s="55" t="str">
        <f t="shared" si="2"/>
        <v>5002000 grams</v>
      </c>
      <c r="O81" s="158">
        <v>530</v>
      </c>
      <c r="P81" s="44">
        <f t="shared" si="5"/>
        <v>0.10595761695321872</v>
      </c>
      <c r="Q81" s="66">
        <f t="shared" si="4"/>
        <v>3.8304678127987213E-7</v>
      </c>
      <c r="R81" s="32"/>
      <c r="S81" s="32"/>
      <c r="T81" s="32"/>
      <c r="U81" s="32"/>
      <c r="V81" s="32"/>
      <c r="W81" s="32"/>
      <c r="X81" s="32"/>
      <c r="Y81" s="32"/>
      <c r="Z81" s="32"/>
    </row>
    <row r="82" spans="1:26" ht="15" customHeight="1" x14ac:dyDescent="0.3">
      <c r="A82" s="155">
        <v>50</v>
      </c>
      <c r="B82" s="156" t="s">
        <v>521</v>
      </c>
      <c r="C82" s="46"/>
      <c r="D82" s="58"/>
      <c r="E82" s="156" t="s">
        <v>522</v>
      </c>
      <c r="F82" s="104"/>
      <c r="G82" s="157">
        <v>7.68</v>
      </c>
      <c r="H82" s="155">
        <v>6</v>
      </c>
      <c r="I82" s="155">
        <v>1</v>
      </c>
      <c r="J82" s="156" t="s">
        <v>92</v>
      </c>
      <c r="K82" s="52" t="s">
        <v>33</v>
      </c>
      <c r="L82" s="53" t="str">
        <f t="shared" si="0"/>
        <v>1pieces</v>
      </c>
      <c r="M82" s="54">
        <f t="shared" si="1"/>
        <v>6</v>
      </c>
      <c r="N82" s="55" t="str">
        <f t="shared" si="2"/>
        <v>6 pieces</v>
      </c>
      <c r="O82" s="158">
        <v>46.08</v>
      </c>
      <c r="P82" s="44">
        <f t="shared" si="5"/>
        <v>7.68</v>
      </c>
      <c r="Q82" s="62">
        <f t="shared" si="4"/>
        <v>0</v>
      </c>
      <c r="R82" s="12"/>
      <c r="S82" s="32"/>
      <c r="T82" s="32"/>
      <c r="U82" s="32"/>
      <c r="V82" s="32"/>
      <c r="W82" s="32"/>
      <c r="X82" s="32"/>
      <c r="Y82" s="32"/>
      <c r="Z82" s="32"/>
    </row>
    <row r="83" spans="1:26" ht="15" customHeight="1" x14ac:dyDescent="0.3">
      <c r="A83" s="155">
        <v>50</v>
      </c>
      <c r="B83" s="156" t="s">
        <v>521</v>
      </c>
      <c r="C83" s="46"/>
      <c r="D83" s="58"/>
      <c r="E83" s="156" t="s">
        <v>523</v>
      </c>
      <c r="F83" s="104"/>
      <c r="G83" s="157">
        <v>7.67</v>
      </c>
      <c r="H83" s="155">
        <v>14</v>
      </c>
      <c r="I83" s="155">
        <v>1</v>
      </c>
      <c r="J83" s="156" t="s">
        <v>92</v>
      </c>
      <c r="K83" s="52" t="s">
        <v>33</v>
      </c>
      <c r="L83" s="53" t="str">
        <f t="shared" si="0"/>
        <v>1pieces</v>
      </c>
      <c r="M83" s="54">
        <f t="shared" si="1"/>
        <v>14</v>
      </c>
      <c r="N83" s="55" t="str">
        <f t="shared" si="2"/>
        <v>14 pieces</v>
      </c>
      <c r="O83" s="158">
        <v>107.38</v>
      </c>
      <c r="P83" s="44">
        <f t="shared" si="5"/>
        <v>7.67</v>
      </c>
      <c r="Q83" s="66">
        <f t="shared" si="4"/>
        <v>0</v>
      </c>
      <c r="R83" s="32"/>
      <c r="S83" s="32"/>
      <c r="T83" s="32"/>
      <c r="U83" s="32"/>
      <c r="V83" s="32"/>
      <c r="W83" s="32"/>
      <c r="X83" s="32"/>
      <c r="Y83" s="32"/>
      <c r="Z83" s="32"/>
    </row>
    <row r="84" spans="1:26" ht="15" customHeight="1" x14ac:dyDescent="0.3">
      <c r="A84" s="155">
        <v>51</v>
      </c>
      <c r="B84" s="156" t="s">
        <v>50</v>
      </c>
      <c r="C84" s="46"/>
      <c r="D84" s="58"/>
      <c r="E84" s="156" t="s">
        <v>51</v>
      </c>
      <c r="F84" s="104"/>
      <c r="G84" s="157">
        <v>75</v>
      </c>
      <c r="H84" s="155">
        <v>2</v>
      </c>
      <c r="I84" s="155">
        <v>1000</v>
      </c>
      <c r="J84" s="156" t="s">
        <v>39</v>
      </c>
      <c r="K84" s="52" t="s">
        <v>33</v>
      </c>
      <c r="L84" s="53" t="str">
        <f t="shared" si="0"/>
        <v>1000grams</v>
      </c>
      <c r="M84" s="54">
        <f t="shared" si="1"/>
        <v>2000</v>
      </c>
      <c r="N84" s="55" t="str">
        <f t="shared" si="2"/>
        <v>2000 grams</v>
      </c>
      <c r="O84" s="158">
        <v>150</v>
      </c>
      <c r="P84" s="44">
        <f t="shared" si="5"/>
        <v>75</v>
      </c>
      <c r="Q84" s="44">
        <f t="shared" si="4"/>
        <v>0</v>
      </c>
      <c r="R84" s="32"/>
      <c r="S84" s="32"/>
      <c r="T84" s="32"/>
      <c r="U84" s="32"/>
      <c r="V84" s="32"/>
      <c r="W84" s="32"/>
      <c r="X84" s="32"/>
      <c r="Y84" s="32"/>
      <c r="Z84" s="32"/>
    </row>
    <row r="85" spans="1:26" ht="15" customHeight="1" x14ac:dyDescent="0.3">
      <c r="A85" s="155">
        <v>52</v>
      </c>
      <c r="B85" s="156" t="s">
        <v>524</v>
      </c>
      <c r="C85" s="46"/>
      <c r="D85" s="108"/>
      <c r="E85" s="156" t="s">
        <v>216</v>
      </c>
      <c r="F85" s="104"/>
      <c r="G85" s="157">
        <v>145</v>
      </c>
      <c r="H85" s="155">
        <v>4</v>
      </c>
      <c r="I85" s="155">
        <v>1</v>
      </c>
      <c r="J85" s="156" t="s">
        <v>39</v>
      </c>
      <c r="K85" s="52" t="s">
        <v>33</v>
      </c>
      <c r="L85" s="53" t="str">
        <f t="shared" si="0"/>
        <v>1grams</v>
      </c>
      <c r="M85" s="54">
        <f t="shared" si="1"/>
        <v>4</v>
      </c>
      <c r="N85" s="55" t="str">
        <f t="shared" si="2"/>
        <v>4 grams</v>
      </c>
      <c r="O85" s="158">
        <v>580</v>
      </c>
      <c r="P85" s="44">
        <f t="shared" si="5"/>
        <v>145</v>
      </c>
      <c r="Q85" s="62">
        <f t="shared" si="4"/>
        <v>0</v>
      </c>
      <c r="R85" s="12"/>
      <c r="S85" s="32"/>
      <c r="T85" s="32"/>
      <c r="U85" s="32"/>
      <c r="V85" s="32"/>
      <c r="W85" s="32"/>
      <c r="X85" s="32"/>
      <c r="Y85" s="32"/>
      <c r="Z85" s="32"/>
    </row>
    <row r="86" spans="1:26" ht="15" customHeight="1" x14ac:dyDescent="0.3">
      <c r="A86" s="155">
        <v>53</v>
      </c>
      <c r="B86" s="156" t="s">
        <v>525</v>
      </c>
      <c r="C86" s="46"/>
      <c r="D86" s="108"/>
      <c r="E86" s="156"/>
      <c r="F86" s="104"/>
      <c r="G86" s="157">
        <v>124.35</v>
      </c>
      <c r="H86" s="155">
        <v>1</v>
      </c>
      <c r="I86" s="155">
        <v>1</v>
      </c>
      <c r="J86" s="156" t="s">
        <v>92</v>
      </c>
      <c r="K86" s="52" t="s">
        <v>33</v>
      </c>
      <c r="L86" s="53" t="str">
        <f t="shared" si="0"/>
        <v>1pieces</v>
      </c>
      <c r="M86" s="54">
        <f t="shared" si="1"/>
        <v>1</v>
      </c>
      <c r="N86" s="55" t="str">
        <f t="shared" si="2"/>
        <v>1 pieces</v>
      </c>
      <c r="O86" s="158">
        <v>124.35</v>
      </c>
      <c r="P86" s="44">
        <f t="shared" si="5"/>
        <v>124.35</v>
      </c>
      <c r="Q86" s="66">
        <f t="shared" si="4"/>
        <v>0</v>
      </c>
      <c r="R86" s="32"/>
      <c r="S86" s="32"/>
      <c r="T86" s="32"/>
      <c r="U86" s="32"/>
      <c r="V86" s="32"/>
      <c r="W86" s="32"/>
      <c r="X86" s="32"/>
      <c r="Y86" s="32"/>
      <c r="Z86" s="32"/>
    </row>
    <row r="87" spans="1:26" ht="15" customHeight="1" x14ac:dyDescent="0.3">
      <c r="A87" s="155">
        <v>54</v>
      </c>
      <c r="B87" s="156" t="s">
        <v>526</v>
      </c>
      <c r="C87" s="46"/>
      <c r="D87" s="108"/>
      <c r="E87" s="156"/>
      <c r="F87" s="104"/>
      <c r="G87" s="157">
        <v>0.14415</v>
      </c>
      <c r="H87" s="155">
        <v>1200</v>
      </c>
      <c r="I87" s="155">
        <v>2000</v>
      </c>
      <c r="J87" s="156" t="s">
        <v>32</v>
      </c>
      <c r="K87" s="52" t="s">
        <v>33</v>
      </c>
      <c r="L87" s="53" t="str">
        <f t="shared" si="0"/>
        <v>2000ml</v>
      </c>
      <c r="M87" s="54">
        <f t="shared" si="1"/>
        <v>2400000</v>
      </c>
      <c r="N87" s="55" t="str">
        <f t="shared" si="2"/>
        <v>2400000 ml</v>
      </c>
      <c r="O87" s="158">
        <v>172.98</v>
      </c>
      <c r="P87" s="44">
        <f t="shared" si="5"/>
        <v>0.14415</v>
      </c>
      <c r="Q87" s="66">
        <f t="shared" si="4"/>
        <v>0</v>
      </c>
      <c r="R87" s="32"/>
      <c r="S87" s="32"/>
      <c r="T87" s="32"/>
      <c r="U87" s="32"/>
      <c r="V87" s="32"/>
      <c r="W87" s="32"/>
      <c r="X87" s="32"/>
      <c r="Y87" s="32"/>
      <c r="Z87" s="32"/>
    </row>
    <row r="88" spans="1:26" ht="15" customHeight="1" x14ac:dyDescent="0.3">
      <c r="A88" s="155">
        <v>55</v>
      </c>
      <c r="B88" s="156" t="s">
        <v>320</v>
      </c>
      <c r="C88" s="46"/>
      <c r="D88" s="108"/>
      <c r="E88" s="156" t="s">
        <v>321</v>
      </c>
      <c r="F88" s="104"/>
      <c r="G88" s="157">
        <v>1.208663</v>
      </c>
      <c r="H88" s="155">
        <v>3022</v>
      </c>
      <c r="I88" s="155">
        <v>500</v>
      </c>
      <c r="J88" s="156" t="s">
        <v>39</v>
      </c>
      <c r="K88" s="52" t="s">
        <v>33</v>
      </c>
      <c r="L88" s="53" t="str">
        <f t="shared" si="0"/>
        <v>500grams</v>
      </c>
      <c r="M88" s="54">
        <f t="shared" si="1"/>
        <v>1511000</v>
      </c>
      <c r="N88" s="55" t="str">
        <f t="shared" si="2"/>
        <v>1511000 grams</v>
      </c>
      <c r="O88" s="158">
        <v>3652.58</v>
      </c>
      <c r="P88" s="44">
        <f t="shared" si="5"/>
        <v>1.2086631369953673</v>
      </c>
      <c r="Q88" s="66">
        <f t="shared" si="4"/>
        <v>-1.3699536727251882E-7</v>
      </c>
      <c r="R88" s="32"/>
      <c r="S88" s="32"/>
      <c r="T88" s="32"/>
      <c r="U88" s="32"/>
      <c r="V88" s="32"/>
      <c r="W88" s="32"/>
      <c r="X88" s="32"/>
      <c r="Y88" s="32"/>
      <c r="Z88" s="32"/>
    </row>
    <row r="89" spans="1:26" ht="15" customHeight="1" x14ac:dyDescent="0.3">
      <c r="A89" s="155">
        <v>55</v>
      </c>
      <c r="B89" s="156" t="s">
        <v>320</v>
      </c>
      <c r="C89" s="46"/>
      <c r="D89" s="108"/>
      <c r="E89" s="156"/>
      <c r="F89" s="104"/>
      <c r="G89" s="157">
        <v>0.18146000000000001</v>
      </c>
      <c r="H89" s="155">
        <v>10000</v>
      </c>
      <c r="I89" s="155">
        <v>500</v>
      </c>
      <c r="J89" s="156" t="s">
        <v>39</v>
      </c>
      <c r="K89" s="52" t="s">
        <v>33</v>
      </c>
      <c r="L89" s="53" t="str">
        <f t="shared" si="0"/>
        <v>500grams</v>
      </c>
      <c r="M89" s="54">
        <f t="shared" si="1"/>
        <v>5000000</v>
      </c>
      <c r="N89" s="55" t="str">
        <f t="shared" si="2"/>
        <v>5000000 grams</v>
      </c>
      <c r="O89" s="158">
        <v>1814.6</v>
      </c>
      <c r="P89" s="44">
        <f t="shared" si="5"/>
        <v>0.18145999999999998</v>
      </c>
      <c r="Q89" s="66">
        <f t="shared" si="4"/>
        <v>0</v>
      </c>
      <c r="R89" s="32"/>
      <c r="S89" s="32"/>
      <c r="T89" s="32"/>
      <c r="U89" s="32"/>
      <c r="V89" s="32"/>
      <c r="W89" s="32"/>
      <c r="X89" s="32"/>
      <c r="Y89" s="32"/>
      <c r="Z89" s="32"/>
    </row>
    <row r="90" spans="1:26" ht="15" customHeight="1" x14ac:dyDescent="0.3">
      <c r="A90" s="155">
        <v>56</v>
      </c>
      <c r="B90" s="156" t="s">
        <v>527</v>
      </c>
      <c r="C90" s="46"/>
      <c r="D90" s="108"/>
      <c r="E90" s="156" t="s">
        <v>528</v>
      </c>
      <c r="F90" s="104"/>
      <c r="G90" s="157">
        <v>15.19</v>
      </c>
      <c r="H90" s="155">
        <v>12</v>
      </c>
      <c r="I90" s="155">
        <v>1</v>
      </c>
      <c r="J90" s="156" t="s">
        <v>92</v>
      </c>
      <c r="K90" s="52" t="s">
        <v>33</v>
      </c>
      <c r="L90" s="53" t="str">
        <f t="shared" si="0"/>
        <v>1pieces</v>
      </c>
      <c r="M90" s="54">
        <f t="shared" si="1"/>
        <v>12</v>
      </c>
      <c r="N90" s="55" t="str">
        <f t="shared" si="2"/>
        <v>12 pieces</v>
      </c>
      <c r="O90" s="158">
        <v>182.28</v>
      </c>
      <c r="P90" s="44">
        <f t="shared" si="5"/>
        <v>15.19</v>
      </c>
      <c r="Q90" s="66">
        <f t="shared" si="4"/>
        <v>0</v>
      </c>
      <c r="R90" s="32"/>
      <c r="S90" s="32"/>
      <c r="T90" s="32"/>
      <c r="U90" s="32"/>
      <c r="V90" s="32"/>
      <c r="W90" s="32"/>
      <c r="X90" s="32"/>
      <c r="Y90" s="32"/>
      <c r="Z90" s="32"/>
    </row>
    <row r="91" spans="1:26" ht="15" customHeight="1" x14ac:dyDescent="0.3">
      <c r="A91" s="155">
        <v>57</v>
      </c>
      <c r="B91" s="156" t="s">
        <v>529</v>
      </c>
      <c r="C91" s="46"/>
      <c r="D91" s="108"/>
      <c r="E91" s="156"/>
      <c r="F91" s="104"/>
      <c r="G91" s="157">
        <v>0.176538</v>
      </c>
      <c r="H91" s="155">
        <v>1040</v>
      </c>
      <c r="I91" s="155">
        <v>260</v>
      </c>
      <c r="J91" s="156" t="s">
        <v>39</v>
      </c>
      <c r="K91" s="52" t="s">
        <v>33</v>
      </c>
      <c r="L91" s="53" t="str">
        <f t="shared" si="0"/>
        <v>260grams</v>
      </c>
      <c r="M91" s="54">
        <f t="shared" si="1"/>
        <v>270400</v>
      </c>
      <c r="N91" s="55" t="str">
        <f t="shared" si="2"/>
        <v>270400 grams</v>
      </c>
      <c r="O91" s="158">
        <v>183.6</v>
      </c>
      <c r="P91" s="44">
        <f t="shared" si="5"/>
        <v>0.17653846153846153</v>
      </c>
      <c r="Q91" s="66">
        <f t="shared" si="4"/>
        <v>-4.6153846153251799E-7</v>
      </c>
      <c r="R91" s="32"/>
      <c r="S91" s="32"/>
      <c r="T91" s="32"/>
      <c r="U91" s="32"/>
      <c r="V91" s="32"/>
      <c r="W91" s="32"/>
      <c r="X91" s="32"/>
      <c r="Y91" s="32"/>
      <c r="Z91" s="32"/>
    </row>
    <row r="92" spans="1:26" ht="15" customHeight="1" x14ac:dyDescent="0.3">
      <c r="A92" s="155">
        <v>58</v>
      </c>
      <c r="B92" s="156" t="s">
        <v>451</v>
      </c>
      <c r="C92" s="46"/>
      <c r="D92" s="98"/>
      <c r="E92" s="156" t="s">
        <v>216</v>
      </c>
      <c r="F92" s="104"/>
      <c r="G92" s="157">
        <v>120</v>
      </c>
      <c r="H92" s="155">
        <v>3</v>
      </c>
      <c r="I92" s="155">
        <v>1</v>
      </c>
      <c r="J92" s="156" t="s">
        <v>39</v>
      </c>
      <c r="K92" s="52" t="s">
        <v>33</v>
      </c>
      <c r="L92" s="53" t="str">
        <f t="shared" si="0"/>
        <v>1grams</v>
      </c>
      <c r="M92" s="54">
        <f t="shared" si="1"/>
        <v>3</v>
      </c>
      <c r="N92" s="55" t="str">
        <f t="shared" si="2"/>
        <v>3 grams</v>
      </c>
      <c r="O92" s="158">
        <v>360</v>
      </c>
      <c r="P92" s="44">
        <f t="shared" si="5"/>
        <v>120</v>
      </c>
      <c r="Q92" s="66">
        <f t="shared" si="4"/>
        <v>0</v>
      </c>
      <c r="R92" s="32"/>
      <c r="S92" s="32"/>
      <c r="T92" s="32"/>
      <c r="U92" s="32"/>
      <c r="V92" s="32"/>
      <c r="W92" s="32"/>
      <c r="X92" s="32"/>
      <c r="Y92" s="32"/>
      <c r="Z92" s="32"/>
    </row>
    <row r="93" spans="1:26" ht="15" customHeight="1" x14ac:dyDescent="0.3">
      <c r="A93" s="155">
        <v>59</v>
      </c>
      <c r="B93" s="156" t="s">
        <v>52</v>
      </c>
      <c r="C93" s="46"/>
      <c r="D93" s="63"/>
      <c r="E93" s="156" t="s">
        <v>51</v>
      </c>
      <c r="F93" s="104"/>
      <c r="G93" s="157">
        <v>0.79703000000000002</v>
      </c>
      <c r="H93" s="155">
        <v>1010</v>
      </c>
      <c r="I93" s="155">
        <v>1000</v>
      </c>
      <c r="J93" s="156" t="s">
        <v>39</v>
      </c>
      <c r="K93" s="52" t="s">
        <v>33</v>
      </c>
      <c r="L93" s="53" t="str">
        <f t="shared" si="0"/>
        <v>1000grams</v>
      </c>
      <c r="M93" s="54">
        <f t="shared" si="1"/>
        <v>1010000</v>
      </c>
      <c r="N93" s="55" t="str">
        <f t="shared" si="2"/>
        <v>1010000 grams</v>
      </c>
      <c r="O93" s="158">
        <v>805</v>
      </c>
      <c r="P93" s="44">
        <f t="shared" si="5"/>
        <v>0.79702970297029707</v>
      </c>
      <c r="Q93" s="66">
        <f t="shared" si="4"/>
        <v>2.9702970294476216E-7</v>
      </c>
      <c r="R93" s="32"/>
      <c r="S93" s="32"/>
      <c r="T93" s="32"/>
      <c r="U93" s="32"/>
      <c r="V93" s="32"/>
      <c r="W93" s="32"/>
      <c r="X93" s="32"/>
      <c r="Y93" s="32"/>
      <c r="Z93" s="32"/>
    </row>
    <row r="94" spans="1:26" ht="15" customHeight="1" x14ac:dyDescent="0.3">
      <c r="A94" s="155">
        <v>60</v>
      </c>
      <c r="B94" s="156" t="s">
        <v>238</v>
      </c>
      <c r="C94" s="46"/>
      <c r="D94" s="63"/>
      <c r="E94" s="156" t="s">
        <v>239</v>
      </c>
      <c r="F94" s="104"/>
      <c r="G94" s="157">
        <v>88</v>
      </c>
      <c r="H94" s="155">
        <v>41</v>
      </c>
      <c r="I94" s="155">
        <v>1</v>
      </c>
      <c r="J94" s="156" t="s">
        <v>200</v>
      </c>
      <c r="K94" s="52" t="s">
        <v>33</v>
      </c>
      <c r="L94" s="53" t="str">
        <f t="shared" si="0"/>
        <v>1gal</v>
      </c>
      <c r="M94" s="54">
        <f t="shared" si="1"/>
        <v>41</v>
      </c>
      <c r="N94" s="55" t="str">
        <f t="shared" si="2"/>
        <v>41 gal</v>
      </c>
      <c r="O94" s="158">
        <v>3608</v>
      </c>
      <c r="P94" s="44">
        <f t="shared" si="5"/>
        <v>88</v>
      </c>
      <c r="Q94" s="66">
        <f t="shared" si="4"/>
        <v>0</v>
      </c>
      <c r="R94" s="32"/>
      <c r="S94" s="32"/>
      <c r="T94" s="32"/>
      <c r="U94" s="32"/>
      <c r="V94" s="32"/>
      <c r="W94" s="32"/>
      <c r="X94" s="32"/>
      <c r="Y94" s="32"/>
      <c r="Z94" s="32"/>
    </row>
    <row r="95" spans="1:26" ht="15" customHeight="1" x14ac:dyDescent="0.3">
      <c r="A95" s="155">
        <v>61</v>
      </c>
      <c r="B95" s="156" t="s">
        <v>530</v>
      </c>
      <c r="C95" s="46"/>
      <c r="D95" s="63"/>
      <c r="E95" s="156"/>
      <c r="F95" s="104"/>
      <c r="G95" s="157">
        <v>1.1333329999999999</v>
      </c>
      <c r="H95" s="155">
        <v>30</v>
      </c>
      <c r="I95" s="155">
        <v>30</v>
      </c>
      <c r="J95" s="156" t="s">
        <v>39</v>
      </c>
      <c r="K95" s="52" t="s">
        <v>33</v>
      </c>
      <c r="L95" s="53" t="str">
        <f t="shared" si="0"/>
        <v>30grams</v>
      </c>
      <c r="M95" s="54">
        <f t="shared" si="1"/>
        <v>900</v>
      </c>
      <c r="N95" s="55" t="str">
        <f t="shared" si="2"/>
        <v>900 grams</v>
      </c>
      <c r="O95" s="158">
        <v>34</v>
      </c>
      <c r="P95" s="44">
        <f t="shared" si="5"/>
        <v>1.1333333333333333</v>
      </c>
      <c r="Q95" s="66">
        <f t="shared" si="4"/>
        <v>-3.3333333337992599E-7</v>
      </c>
      <c r="R95" s="32"/>
      <c r="S95" s="32"/>
      <c r="T95" s="32"/>
      <c r="U95" s="32"/>
      <c r="V95" s="32"/>
      <c r="W95" s="32"/>
      <c r="X95" s="32"/>
      <c r="Y95" s="32"/>
      <c r="Z95" s="32"/>
    </row>
    <row r="96" spans="1:26" ht="15" customHeight="1" x14ac:dyDescent="0.3">
      <c r="A96" s="155">
        <v>62</v>
      </c>
      <c r="B96" s="156" t="s">
        <v>531</v>
      </c>
      <c r="C96" s="46"/>
      <c r="D96" s="63"/>
      <c r="E96" s="156"/>
      <c r="F96" s="104"/>
      <c r="G96" s="157">
        <v>0.230238</v>
      </c>
      <c r="H96" s="155">
        <v>2520</v>
      </c>
      <c r="I96" s="155">
        <v>420</v>
      </c>
      <c r="J96" s="156" t="s">
        <v>39</v>
      </c>
      <c r="K96" s="52" t="s">
        <v>33</v>
      </c>
      <c r="L96" s="53" t="str">
        <f t="shared" si="0"/>
        <v>420grams</v>
      </c>
      <c r="M96" s="54">
        <f t="shared" si="1"/>
        <v>1058400</v>
      </c>
      <c r="N96" s="55" t="str">
        <f t="shared" si="2"/>
        <v>1058400 grams</v>
      </c>
      <c r="O96" s="158">
        <v>580.20000000000005</v>
      </c>
      <c r="P96" s="44">
        <f t="shared" si="5"/>
        <v>0.23023809523809527</v>
      </c>
      <c r="Q96" s="66">
        <f t="shared" si="4"/>
        <v>-9.5238095271232837E-8</v>
      </c>
      <c r="R96" s="32"/>
      <c r="S96" s="32"/>
      <c r="T96" s="32"/>
      <c r="U96" s="32"/>
      <c r="V96" s="32"/>
      <c r="W96" s="32"/>
      <c r="X96" s="32"/>
      <c r="Y96" s="32"/>
      <c r="Z96" s="32"/>
    </row>
    <row r="97" spans="1:26" ht="15" customHeight="1" x14ac:dyDescent="0.3">
      <c r="A97" s="155">
        <v>63</v>
      </c>
      <c r="B97" s="156" t="s">
        <v>129</v>
      </c>
      <c r="C97" s="46"/>
      <c r="D97" s="63"/>
      <c r="E97" s="156" t="s">
        <v>130</v>
      </c>
      <c r="F97" s="104"/>
      <c r="G97" s="157">
        <v>8.8394910000000007</v>
      </c>
      <c r="H97" s="155">
        <v>1022</v>
      </c>
      <c r="I97" s="155">
        <v>1</v>
      </c>
      <c r="J97" s="156" t="s">
        <v>92</v>
      </c>
      <c r="K97" s="52" t="s">
        <v>33</v>
      </c>
      <c r="L97" s="53" t="str">
        <f t="shared" si="0"/>
        <v>1pieces</v>
      </c>
      <c r="M97" s="54">
        <f t="shared" si="1"/>
        <v>1022</v>
      </c>
      <c r="N97" s="55" t="str">
        <f t="shared" si="2"/>
        <v>1022 pieces</v>
      </c>
      <c r="O97" s="158">
        <v>9033.9599999999991</v>
      </c>
      <c r="P97" s="44">
        <f t="shared" si="5"/>
        <v>8.8394911937377678</v>
      </c>
      <c r="Q97" s="66">
        <f t="shared" si="4"/>
        <v>-1.937377671623608E-7</v>
      </c>
      <c r="R97" s="32"/>
      <c r="S97" s="32"/>
      <c r="T97" s="32"/>
      <c r="U97" s="32"/>
      <c r="V97" s="32"/>
      <c r="W97" s="32"/>
      <c r="X97" s="32"/>
      <c r="Y97" s="32"/>
      <c r="Z97" s="32"/>
    </row>
    <row r="98" spans="1:26" ht="15" customHeight="1" x14ac:dyDescent="0.3">
      <c r="A98" s="155">
        <v>64</v>
      </c>
      <c r="B98" s="156" t="s">
        <v>532</v>
      </c>
      <c r="C98" s="46"/>
      <c r="D98" s="58"/>
      <c r="E98" s="156"/>
      <c r="F98" s="104"/>
      <c r="G98" s="157">
        <v>26</v>
      </c>
      <c r="H98" s="155">
        <v>24</v>
      </c>
      <c r="I98" s="155">
        <v>1</v>
      </c>
      <c r="J98" s="156" t="s">
        <v>92</v>
      </c>
      <c r="K98" s="52" t="s">
        <v>33</v>
      </c>
      <c r="L98" s="53" t="str">
        <f t="shared" si="0"/>
        <v>1pieces</v>
      </c>
      <c r="M98" s="54">
        <f t="shared" si="1"/>
        <v>24</v>
      </c>
      <c r="N98" s="55" t="str">
        <f t="shared" si="2"/>
        <v>24 pieces</v>
      </c>
      <c r="O98" s="158">
        <v>624</v>
      </c>
      <c r="P98" s="44">
        <f t="shared" si="5"/>
        <v>26</v>
      </c>
      <c r="Q98" s="66">
        <f t="shared" si="4"/>
        <v>0</v>
      </c>
      <c r="R98" s="32"/>
      <c r="S98" s="32"/>
      <c r="T98" s="32"/>
      <c r="U98" s="32"/>
      <c r="V98" s="32"/>
      <c r="W98" s="32"/>
      <c r="X98" s="32"/>
      <c r="Y98" s="32"/>
      <c r="Z98" s="32"/>
    </row>
    <row r="99" spans="1:26" ht="15" customHeight="1" x14ac:dyDescent="0.3">
      <c r="A99" s="155">
        <v>65</v>
      </c>
      <c r="B99" s="156" t="s">
        <v>53</v>
      </c>
      <c r="C99" s="46"/>
      <c r="D99" s="58"/>
      <c r="E99" s="156" t="s">
        <v>54</v>
      </c>
      <c r="F99" s="104"/>
      <c r="G99" s="157">
        <v>0.30832900000000002</v>
      </c>
      <c r="H99" s="155">
        <v>12832</v>
      </c>
      <c r="I99" s="155">
        <v>160</v>
      </c>
      <c r="J99" s="156" t="s">
        <v>39</v>
      </c>
      <c r="K99" s="52" t="s">
        <v>33</v>
      </c>
      <c r="L99" s="53" t="str">
        <f t="shared" si="0"/>
        <v>160grams</v>
      </c>
      <c r="M99" s="54">
        <f t="shared" si="1"/>
        <v>2053120</v>
      </c>
      <c r="N99" s="55" t="str">
        <f t="shared" si="2"/>
        <v>2053120 grams</v>
      </c>
      <c r="O99" s="158">
        <v>3956.48</v>
      </c>
      <c r="P99" s="44">
        <f t="shared" si="5"/>
        <v>0.30832917705735663</v>
      </c>
      <c r="Q99" s="66">
        <f t="shared" si="4"/>
        <v>-1.7705735660955568E-7</v>
      </c>
      <c r="R99" s="32"/>
      <c r="S99" s="110"/>
      <c r="T99" s="32"/>
      <c r="U99" s="32"/>
      <c r="V99" s="32"/>
      <c r="W99" s="32"/>
      <c r="X99" s="32"/>
      <c r="Y99" s="32"/>
      <c r="Z99" s="32"/>
    </row>
    <row r="100" spans="1:26" ht="15" customHeight="1" x14ac:dyDescent="0.3">
      <c r="A100" s="155">
        <v>65</v>
      </c>
      <c r="B100" s="156" t="s">
        <v>53</v>
      </c>
      <c r="C100" s="46"/>
      <c r="D100" s="58"/>
      <c r="E100" s="156" t="s">
        <v>55</v>
      </c>
      <c r="F100" s="104"/>
      <c r="G100" s="157">
        <v>35.82</v>
      </c>
      <c r="H100" s="155">
        <v>24</v>
      </c>
      <c r="I100" s="155">
        <v>160</v>
      </c>
      <c r="J100" s="156" t="s">
        <v>39</v>
      </c>
      <c r="K100" s="52" t="s">
        <v>33</v>
      </c>
      <c r="L100" s="53" t="str">
        <f t="shared" si="0"/>
        <v>160grams</v>
      </c>
      <c r="M100" s="54">
        <f t="shared" si="1"/>
        <v>3840</v>
      </c>
      <c r="N100" s="55" t="str">
        <f t="shared" si="2"/>
        <v>3840 grams</v>
      </c>
      <c r="O100" s="158">
        <v>859.68</v>
      </c>
      <c r="P100" s="44">
        <f t="shared" si="5"/>
        <v>35.82</v>
      </c>
      <c r="Q100" s="66">
        <f t="shared" si="4"/>
        <v>0</v>
      </c>
      <c r="R100" s="32"/>
      <c r="S100" s="32"/>
      <c r="T100" s="32"/>
      <c r="U100" s="32"/>
      <c r="V100" s="32"/>
      <c r="W100" s="32"/>
      <c r="X100" s="32"/>
      <c r="Y100" s="32"/>
      <c r="Z100" s="32"/>
    </row>
    <row r="101" spans="1:26" ht="15" customHeight="1" x14ac:dyDescent="0.3">
      <c r="A101" s="155">
        <v>66</v>
      </c>
      <c r="B101" s="156" t="s">
        <v>533</v>
      </c>
      <c r="C101" s="46"/>
      <c r="D101" s="58"/>
      <c r="E101" s="156"/>
      <c r="F101" s="104"/>
      <c r="G101" s="157">
        <v>15.724</v>
      </c>
      <c r="H101" s="155">
        <v>25</v>
      </c>
      <c r="I101" s="155">
        <v>25</v>
      </c>
      <c r="J101" s="156" t="s">
        <v>92</v>
      </c>
      <c r="K101" s="52" t="s">
        <v>33</v>
      </c>
      <c r="L101" s="53" t="str">
        <f t="shared" si="0"/>
        <v>25pieces</v>
      </c>
      <c r="M101" s="54">
        <f t="shared" si="1"/>
        <v>625</v>
      </c>
      <c r="N101" s="55" t="str">
        <f t="shared" si="2"/>
        <v>625 pieces</v>
      </c>
      <c r="O101" s="158">
        <v>393.1</v>
      </c>
      <c r="P101" s="44">
        <f t="shared" si="5"/>
        <v>15.724</v>
      </c>
      <c r="Q101" s="66">
        <f t="shared" si="4"/>
        <v>0</v>
      </c>
      <c r="R101" s="32"/>
      <c r="S101" s="32"/>
      <c r="T101" s="32"/>
      <c r="U101" s="32"/>
      <c r="V101" s="32"/>
      <c r="W101" s="32"/>
      <c r="X101" s="32"/>
      <c r="Y101" s="32"/>
      <c r="Z101" s="32"/>
    </row>
    <row r="102" spans="1:26" ht="15" customHeight="1" x14ac:dyDescent="0.3">
      <c r="A102" s="155">
        <v>67</v>
      </c>
      <c r="B102" s="156" t="s">
        <v>534</v>
      </c>
      <c r="C102" s="46"/>
      <c r="D102" s="58"/>
      <c r="E102" s="156"/>
      <c r="F102" s="104"/>
      <c r="G102" s="157">
        <v>18.97</v>
      </c>
      <c r="H102" s="155">
        <v>23</v>
      </c>
      <c r="I102" s="155">
        <v>1</v>
      </c>
      <c r="J102" s="156" t="s">
        <v>92</v>
      </c>
      <c r="K102" s="52" t="s">
        <v>33</v>
      </c>
      <c r="L102" s="53" t="str">
        <f t="shared" si="0"/>
        <v>1pieces</v>
      </c>
      <c r="M102" s="54">
        <f t="shared" si="1"/>
        <v>23</v>
      </c>
      <c r="N102" s="55" t="str">
        <f t="shared" si="2"/>
        <v>23 pieces</v>
      </c>
      <c r="O102" s="158">
        <v>436.31</v>
      </c>
      <c r="P102" s="44">
        <f t="shared" si="5"/>
        <v>18.97</v>
      </c>
      <c r="Q102" s="66">
        <f t="shared" si="4"/>
        <v>0</v>
      </c>
      <c r="R102" s="32"/>
      <c r="S102" s="32"/>
      <c r="T102" s="32"/>
      <c r="U102" s="32"/>
      <c r="V102" s="32"/>
      <c r="W102" s="32"/>
      <c r="X102" s="32"/>
      <c r="Y102" s="32"/>
      <c r="Z102" s="32"/>
    </row>
    <row r="103" spans="1:26" ht="15" customHeight="1" x14ac:dyDescent="0.3">
      <c r="A103" s="155">
        <v>68</v>
      </c>
      <c r="B103" s="156" t="s">
        <v>240</v>
      </c>
      <c r="C103" s="46"/>
      <c r="D103" s="58"/>
      <c r="E103" s="156" t="s">
        <v>241</v>
      </c>
      <c r="F103" s="104"/>
      <c r="G103" s="157">
        <v>18.5</v>
      </c>
      <c r="H103" s="155">
        <v>6</v>
      </c>
      <c r="I103" s="155">
        <v>1</v>
      </c>
      <c r="J103" s="156" t="s">
        <v>39</v>
      </c>
      <c r="K103" s="52" t="s">
        <v>33</v>
      </c>
      <c r="L103" s="53" t="str">
        <f t="shared" si="0"/>
        <v>1grams</v>
      </c>
      <c r="M103" s="54">
        <f t="shared" si="1"/>
        <v>6</v>
      </c>
      <c r="N103" s="55" t="str">
        <f t="shared" si="2"/>
        <v>6 grams</v>
      </c>
      <c r="O103" s="158">
        <v>111</v>
      </c>
      <c r="P103" s="44">
        <f t="shared" si="5"/>
        <v>18.5</v>
      </c>
      <c r="Q103" s="66">
        <f t="shared" si="4"/>
        <v>0</v>
      </c>
      <c r="R103" s="32"/>
      <c r="S103" s="32"/>
      <c r="T103" s="32"/>
      <c r="U103" s="32"/>
      <c r="V103" s="32"/>
      <c r="W103" s="32"/>
      <c r="X103" s="32"/>
      <c r="Y103" s="32"/>
      <c r="Z103" s="32"/>
    </row>
    <row r="104" spans="1:26" ht="15" customHeight="1" x14ac:dyDescent="0.3">
      <c r="A104" s="155">
        <v>69</v>
      </c>
      <c r="B104" s="156" t="s">
        <v>535</v>
      </c>
      <c r="C104" s="46"/>
      <c r="D104" s="58"/>
      <c r="E104" s="156"/>
      <c r="F104" s="104"/>
      <c r="G104" s="157">
        <v>15.472</v>
      </c>
      <c r="H104" s="155">
        <v>25</v>
      </c>
      <c r="I104" s="155">
        <v>25</v>
      </c>
      <c r="J104" s="156" t="s">
        <v>92</v>
      </c>
      <c r="K104" s="52" t="s">
        <v>33</v>
      </c>
      <c r="L104" s="53" t="str">
        <f t="shared" si="0"/>
        <v>25pieces</v>
      </c>
      <c r="M104" s="54">
        <f t="shared" si="1"/>
        <v>625</v>
      </c>
      <c r="N104" s="55" t="str">
        <f t="shared" si="2"/>
        <v>625 pieces</v>
      </c>
      <c r="O104" s="158">
        <v>386.8</v>
      </c>
      <c r="P104" s="44">
        <f t="shared" si="5"/>
        <v>15.472000000000001</v>
      </c>
      <c r="Q104" s="66">
        <f t="shared" si="4"/>
        <v>0</v>
      </c>
      <c r="R104" s="32"/>
      <c r="S104" s="32"/>
      <c r="T104" s="32"/>
      <c r="U104" s="32"/>
      <c r="V104" s="32"/>
      <c r="W104" s="32"/>
      <c r="X104" s="32"/>
      <c r="Y104" s="32"/>
      <c r="Z104" s="32"/>
    </row>
    <row r="105" spans="1:26" ht="15" customHeight="1" x14ac:dyDescent="0.3">
      <c r="A105" s="155">
        <v>70</v>
      </c>
      <c r="B105" s="156" t="s">
        <v>374</v>
      </c>
      <c r="C105" s="46"/>
      <c r="D105" s="58"/>
      <c r="E105" s="156" t="s">
        <v>375</v>
      </c>
      <c r="F105" s="104"/>
      <c r="G105" s="157">
        <v>15.47167</v>
      </c>
      <c r="H105" s="155">
        <v>60</v>
      </c>
      <c r="I105" s="155">
        <v>1</v>
      </c>
      <c r="J105" s="156" t="s">
        <v>92</v>
      </c>
      <c r="K105" s="52" t="s">
        <v>33</v>
      </c>
      <c r="L105" s="53" t="str">
        <f t="shared" si="0"/>
        <v>1pieces</v>
      </c>
      <c r="M105" s="54">
        <f t="shared" si="1"/>
        <v>60</v>
      </c>
      <c r="N105" s="55" t="str">
        <f t="shared" si="2"/>
        <v>60 pieces</v>
      </c>
      <c r="O105" s="158">
        <v>928.3</v>
      </c>
      <c r="P105" s="44">
        <f t="shared" si="5"/>
        <v>15.471666666666666</v>
      </c>
      <c r="Q105" s="66">
        <f t="shared" si="4"/>
        <v>3.3333333337992599E-6</v>
      </c>
      <c r="R105" s="32"/>
      <c r="S105" s="32"/>
      <c r="T105" s="32"/>
      <c r="U105" s="32"/>
      <c r="V105" s="32"/>
      <c r="W105" s="32"/>
      <c r="X105" s="32"/>
      <c r="Y105" s="32"/>
      <c r="Z105" s="32"/>
    </row>
    <row r="106" spans="1:26" ht="15" customHeight="1" x14ac:dyDescent="0.3">
      <c r="A106" s="155">
        <v>71</v>
      </c>
      <c r="B106" s="156" t="s">
        <v>376</v>
      </c>
      <c r="C106" s="46"/>
      <c r="D106" s="63"/>
      <c r="E106" s="156" t="s">
        <v>100</v>
      </c>
      <c r="F106" s="104"/>
      <c r="G106" s="157">
        <v>43.4</v>
      </c>
      <c r="H106" s="155">
        <v>24</v>
      </c>
      <c r="I106" s="155">
        <v>1</v>
      </c>
      <c r="J106" s="156" t="s">
        <v>92</v>
      </c>
      <c r="K106" s="52" t="s">
        <v>33</v>
      </c>
      <c r="L106" s="53" t="str">
        <f t="shared" si="0"/>
        <v>1pieces</v>
      </c>
      <c r="M106" s="54">
        <f t="shared" si="1"/>
        <v>24</v>
      </c>
      <c r="N106" s="55" t="str">
        <f t="shared" si="2"/>
        <v>24 pieces</v>
      </c>
      <c r="O106" s="158">
        <v>1041.5999999999999</v>
      </c>
      <c r="P106" s="44">
        <f t="shared" si="5"/>
        <v>43.4</v>
      </c>
      <c r="Q106" s="66">
        <f t="shared" si="4"/>
        <v>0</v>
      </c>
      <c r="R106" s="32"/>
      <c r="S106" s="32"/>
      <c r="T106" s="32"/>
      <c r="U106" s="32"/>
      <c r="V106" s="32"/>
      <c r="W106" s="32"/>
      <c r="X106" s="32"/>
      <c r="Y106" s="32"/>
      <c r="Z106" s="32"/>
    </row>
    <row r="107" spans="1:26" ht="15" customHeight="1" x14ac:dyDescent="0.3">
      <c r="A107" s="155">
        <v>71</v>
      </c>
      <c r="B107" s="156" t="s">
        <v>376</v>
      </c>
      <c r="C107" s="46"/>
      <c r="D107" s="63"/>
      <c r="E107" s="156" t="s">
        <v>377</v>
      </c>
      <c r="F107" s="104"/>
      <c r="G107" s="157">
        <v>16.148060000000001</v>
      </c>
      <c r="H107" s="155">
        <v>62</v>
      </c>
      <c r="I107" s="155">
        <v>1</v>
      </c>
      <c r="J107" s="156" t="s">
        <v>92</v>
      </c>
      <c r="K107" s="52" t="s">
        <v>33</v>
      </c>
      <c r="L107" s="53" t="str">
        <f t="shared" si="0"/>
        <v>1pieces</v>
      </c>
      <c r="M107" s="54">
        <f t="shared" si="1"/>
        <v>62</v>
      </c>
      <c r="N107" s="55" t="str">
        <f t="shared" si="2"/>
        <v>62 pieces</v>
      </c>
      <c r="O107" s="158">
        <v>1001.18</v>
      </c>
      <c r="P107" s="44">
        <f t="shared" si="5"/>
        <v>16.148064516129033</v>
      </c>
      <c r="Q107" s="66">
        <f t="shared" si="4"/>
        <v>-4.5161290316286795E-6</v>
      </c>
      <c r="R107" s="32"/>
      <c r="S107" s="32"/>
      <c r="T107" s="32"/>
      <c r="U107" s="32"/>
      <c r="V107" s="32"/>
      <c r="W107" s="32"/>
      <c r="X107" s="32"/>
      <c r="Y107" s="32"/>
      <c r="Z107" s="32"/>
    </row>
    <row r="108" spans="1:26" ht="15" customHeight="1" x14ac:dyDescent="0.3">
      <c r="A108" s="155">
        <v>71</v>
      </c>
      <c r="B108" s="156" t="s">
        <v>376</v>
      </c>
      <c r="C108" s="46"/>
      <c r="D108" s="63"/>
      <c r="E108" s="156"/>
      <c r="F108" s="104"/>
      <c r="G108" s="157">
        <v>15.39</v>
      </c>
      <c r="H108" s="155">
        <v>3</v>
      </c>
      <c r="I108" s="155">
        <v>1</v>
      </c>
      <c r="J108" s="156" t="s">
        <v>92</v>
      </c>
      <c r="K108" s="52" t="s">
        <v>33</v>
      </c>
      <c r="L108" s="53" t="str">
        <f t="shared" si="0"/>
        <v>1pieces</v>
      </c>
      <c r="M108" s="54">
        <f t="shared" si="1"/>
        <v>3</v>
      </c>
      <c r="N108" s="55" t="str">
        <f t="shared" si="2"/>
        <v>3 pieces</v>
      </c>
      <c r="O108" s="158">
        <v>46.17</v>
      </c>
      <c r="P108" s="44">
        <f t="shared" si="5"/>
        <v>15.39</v>
      </c>
      <c r="Q108" s="66">
        <f t="shared" si="4"/>
        <v>0</v>
      </c>
      <c r="R108" s="32"/>
      <c r="S108" s="32"/>
      <c r="T108" s="32"/>
      <c r="U108" s="32"/>
      <c r="V108" s="32"/>
      <c r="W108" s="32"/>
      <c r="X108" s="32"/>
      <c r="Y108" s="32"/>
      <c r="Z108" s="32"/>
    </row>
    <row r="109" spans="1:26" ht="15" customHeight="1" x14ac:dyDescent="0.3">
      <c r="A109" s="155">
        <v>72</v>
      </c>
      <c r="B109" s="156" t="s">
        <v>536</v>
      </c>
      <c r="C109" s="46"/>
      <c r="D109" s="63"/>
      <c r="E109" s="156"/>
      <c r="F109" s="104"/>
      <c r="G109" s="157">
        <v>26.35</v>
      </c>
      <c r="H109" s="155">
        <v>4</v>
      </c>
      <c r="I109" s="155">
        <v>1</v>
      </c>
      <c r="J109" s="156" t="s">
        <v>92</v>
      </c>
      <c r="K109" s="52" t="s">
        <v>33</v>
      </c>
      <c r="L109" s="53" t="str">
        <f t="shared" si="0"/>
        <v>1pieces</v>
      </c>
      <c r="M109" s="54">
        <f t="shared" si="1"/>
        <v>4</v>
      </c>
      <c r="N109" s="55" t="str">
        <f t="shared" si="2"/>
        <v>4 pieces</v>
      </c>
      <c r="O109" s="158">
        <v>105.4</v>
      </c>
      <c r="P109" s="44">
        <f t="shared" si="5"/>
        <v>26.35</v>
      </c>
      <c r="Q109" s="66">
        <f t="shared" si="4"/>
        <v>0</v>
      </c>
      <c r="R109" s="32"/>
      <c r="S109" s="32"/>
      <c r="T109" s="32"/>
      <c r="U109" s="32"/>
      <c r="V109" s="32"/>
      <c r="W109" s="32"/>
      <c r="X109" s="32"/>
      <c r="Y109" s="32"/>
      <c r="Z109" s="32"/>
    </row>
    <row r="110" spans="1:26" ht="15" customHeight="1" x14ac:dyDescent="0.3">
      <c r="A110" s="155">
        <v>73</v>
      </c>
      <c r="B110" s="156" t="s">
        <v>242</v>
      </c>
      <c r="C110" s="46"/>
      <c r="D110" s="63"/>
      <c r="E110" s="156" t="s">
        <v>243</v>
      </c>
      <c r="F110" s="104"/>
      <c r="G110" s="157">
        <v>58</v>
      </c>
      <c r="H110" s="155">
        <v>12</v>
      </c>
      <c r="I110" s="155">
        <v>1</v>
      </c>
      <c r="J110" s="156" t="s">
        <v>39</v>
      </c>
      <c r="K110" s="52" t="s">
        <v>33</v>
      </c>
      <c r="L110" s="53" t="str">
        <f t="shared" si="0"/>
        <v>1grams</v>
      </c>
      <c r="M110" s="54">
        <f t="shared" si="1"/>
        <v>12</v>
      </c>
      <c r="N110" s="55" t="str">
        <f t="shared" si="2"/>
        <v>12 grams</v>
      </c>
      <c r="O110" s="158">
        <v>696</v>
      </c>
      <c r="P110" s="44">
        <f t="shared" si="5"/>
        <v>58</v>
      </c>
      <c r="Q110" s="66">
        <f t="shared" si="4"/>
        <v>0</v>
      </c>
      <c r="R110" s="32"/>
      <c r="S110" s="32"/>
      <c r="T110" s="32"/>
      <c r="U110" s="32"/>
      <c r="V110" s="32"/>
      <c r="W110" s="32"/>
      <c r="X110" s="32"/>
      <c r="Y110" s="32"/>
      <c r="Z110" s="32"/>
    </row>
    <row r="111" spans="1:26" ht="15" customHeight="1" x14ac:dyDescent="0.3">
      <c r="A111" s="155">
        <v>74</v>
      </c>
      <c r="B111" s="156" t="s">
        <v>537</v>
      </c>
      <c r="C111" s="46"/>
      <c r="D111" s="63"/>
      <c r="E111" s="156" t="s">
        <v>538</v>
      </c>
      <c r="F111" s="104"/>
      <c r="G111" s="157">
        <v>0.12</v>
      </c>
      <c r="H111" s="155">
        <v>7000</v>
      </c>
      <c r="I111" s="155">
        <v>1000</v>
      </c>
      <c r="J111" s="156" t="s">
        <v>39</v>
      </c>
      <c r="K111" s="52" t="s">
        <v>33</v>
      </c>
      <c r="L111" s="53" t="str">
        <f t="shared" si="0"/>
        <v>1000grams</v>
      </c>
      <c r="M111" s="54">
        <f t="shared" si="1"/>
        <v>7000000</v>
      </c>
      <c r="N111" s="55" t="str">
        <f t="shared" si="2"/>
        <v>7000000 grams</v>
      </c>
      <c r="O111" s="158">
        <v>840</v>
      </c>
      <c r="P111" s="44">
        <f t="shared" si="5"/>
        <v>0.12</v>
      </c>
      <c r="Q111" s="66">
        <f t="shared" si="4"/>
        <v>0</v>
      </c>
      <c r="R111" s="32"/>
      <c r="S111" s="32"/>
      <c r="T111" s="32"/>
      <c r="U111" s="32"/>
      <c r="V111" s="32"/>
      <c r="W111" s="32"/>
      <c r="X111" s="32"/>
      <c r="Y111" s="32"/>
      <c r="Z111" s="32"/>
    </row>
    <row r="112" spans="1:26" ht="15" customHeight="1" x14ac:dyDescent="0.3">
      <c r="A112" s="155">
        <v>74</v>
      </c>
      <c r="B112" s="156" t="s">
        <v>537</v>
      </c>
      <c r="C112" s="46"/>
      <c r="D112" s="63"/>
      <c r="E112" s="156" t="s">
        <v>539</v>
      </c>
      <c r="F112" s="99"/>
      <c r="G112" s="157">
        <v>285</v>
      </c>
      <c r="H112" s="155">
        <v>5</v>
      </c>
      <c r="I112" s="155">
        <v>1000</v>
      </c>
      <c r="J112" s="156" t="s">
        <v>213</v>
      </c>
      <c r="K112" s="52" t="s">
        <v>33</v>
      </c>
      <c r="L112" s="53" t="str">
        <f t="shared" si="0"/>
        <v>1000kilos</v>
      </c>
      <c r="M112" s="54">
        <f t="shared" si="1"/>
        <v>5000</v>
      </c>
      <c r="N112" s="55" t="str">
        <f t="shared" si="2"/>
        <v>5000 kilos</v>
      </c>
      <c r="O112" s="158">
        <v>1425</v>
      </c>
      <c r="P112" s="44">
        <f t="shared" si="5"/>
        <v>285</v>
      </c>
      <c r="Q112" s="66">
        <f t="shared" si="4"/>
        <v>0</v>
      </c>
      <c r="R112" s="32"/>
      <c r="S112" s="32"/>
      <c r="T112" s="32"/>
      <c r="U112" s="32"/>
      <c r="V112" s="32"/>
      <c r="W112" s="32"/>
      <c r="X112" s="32"/>
      <c r="Y112" s="32"/>
      <c r="Z112" s="32"/>
    </row>
    <row r="113" spans="1:26" ht="15" customHeight="1" x14ac:dyDescent="0.3">
      <c r="A113" s="155">
        <v>75</v>
      </c>
      <c r="B113" s="156" t="s">
        <v>211</v>
      </c>
      <c r="C113" s="46"/>
      <c r="D113" s="63"/>
      <c r="E113" s="156" t="s">
        <v>212</v>
      </c>
      <c r="F113" s="99"/>
      <c r="G113" s="161">
        <v>138</v>
      </c>
      <c r="H113" s="155">
        <v>173</v>
      </c>
      <c r="I113" s="155">
        <v>1</v>
      </c>
      <c r="J113" s="156" t="s">
        <v>213</v>
      </c>
      <c r="K113" s="52" t="s">
        <v>33</v>
      </c>
      <c r="L113" s="53" t="str">
        <f t="shared" si="0"/>
        <v>1kilos</v>
      </c>
      <c r="M113" s="54">
        <f t="shared" si="1"/>
        <v>173</v>
      </c>
      <c r="N113" s="55" t="str">
        <f t="shared" si="2"/>
        <v>173 kilos</v>
      </c>
      <c r="O113" s="158">
        <v>23874</v>
      </c>
      <c r="P113" s="44">
        <f t="shared" si="5"/>
        <v>138</v>
      </c>
      <c r="Q113" s="66">
        <f t="shared" si="4"/>
        <v>0</v>
      </c>
      <c r="R113" s="32"/>
      <c r="S113" s="32"/>
      <c r="T113" s="32"/>
      <c r="U113" s="32"/>
      <c r="V113" s="32"/>
      <c r="W113" s="32"/>
      <c r="X113" s="32"/>
      <c r="Y113" s="32"/>
      <c r="Z113" s="32"/>
    </row>
    <row r="114" spans="1:26" ht="15" customHeight="1" x14ac:dyDescent="0.3">
      <c r="A114" s="155">
        <v>75</v>
      </c>
      <c r="B114" s="156" t="s">
        <v>211</v>
      </c>
      <c r="C114" s="46"/>
      <c r="D114" s="63"/>
      <c r="E114" s="156"/>
      <c r="F114" s="99"/>
      <c r="G114" s="157">
        <v>139</v>
      </c>
      <c r="H114" s="155">
        <v>40</v>
      </c>
      <c r="I114" s="155">
        <v>1</v>
      </c>
      <c r="J114" s="156" t="s">
        <v>213</v>
      </c>
      <c r="K114" s="52" t="s">
        <v>33</v>
      </c>
      <c r="L114" s="53" t="str">
        <f t="shared" si="0"/>
        <v>1kilos</v>
      </c>
      <c r="M114" s="54">
        <f t="shared" si="1"/>
        <v>40</v>
      </c>
      <c r="N114" s="55" t="str">
        <f t="shared" si="2"/>
        <v>40 kilos</v>
      </c>
      <c r="O114" s="158">
        <v>5560</v>
      </c>
      <c r="P114" s="44">
        <f t="shared" si="5"/>
        <v>139</v>
      </c>
      <c r="Q114" s="66">
        <f t="shared" si="4"/>
        <v>0</v>
      </c>
      <c r="R114" s="32"/>
      <c r="S114" s="32"/>
      <c r="T114" s="32"/>
      <c r="U114" s="32"/>
      <c r="V114" s="32"/>
      <c r="W114" s="32"/>
      <c r="X114" s="32"/>
      <c r="Y114" s="32"/>
      <c r="Z114" s="32"/>
    </row>
    <row r="115" spans="1:26" ht="15" customHeight="1" x14ac:dyDescent="0.3">
      <c r="A115" s="155">
        <v>76</v>
      </c>
      <c r="B115" s="156" t="s">
        <v>214</v>
      </c>
      <c r="C115" s="46"/>
      <c r="D115" s="63"/>
      <c r="E115" s="156" t="s">
        <v>212</v>
      </c>
      <c r="F115" s="99"/>
      <c r="G115" s="157">
        <v>169</v>
      </c>
      <c r="H115" s="155">
        <v>58</v>
      </c>
      <c r="I115" s="155">
        <v>1</v>
      </c>
      <c r="J115" s="156" t="s">
        <v>213</v>
      </c>
      <c r="K115" s="52" t="s">
        <v>33</v>
      </c>
      <c r="L115" s="53" t="str">
        <f t="shared" si="0"/>
        <v>1kilos</v>
      </c>
      <c r="M115" s="54">
        <f t="shared" si="1"/>
        <v>58</v>
      </c>
      <c r="N115" s="55" t="str">
        <f t="shared" si="2"/>
        <v>58 kilos</v>
      </c>
      <c r="O115" s="158">
        <v>9802</v>
      </c>
      <c r="P115" s="44">
        <f t="shared" si="5"/>
        <v>169</v>
      </c>
      <c r="Q115" s="66">
        <f t="shared" si="4"/>
        <v>0</v>
      </c>
      <c r="R115" s="32"/>
      <c r="S115" s="32"/>
      <c r="T115" s="32"/>
      <c r="U115" s="32"/>
      <c r="V115" s="32"/>
      <c r="W115" s="32"/>
      <c r="X115" s="32"/>
      <c r="Y115" s="32"/>
      <c r="Z115" s="32"/>
    </row>
    <row r="116" spans="1:26" ht="15" customHeight="1" x14ac:dyDescent="0.3">
      <c r="A116" s="155">
        <v>76</v>
      </c>
      <c r="B116" s="156" t="s">
        <v>214</v>
      </c>
      <c r="C116" s="46"/>
      <c r="D116" s="63"/>
      <c r="E116" s="156"/>
      <c r="F116" s="99"/>
      <c r="G116" s="157">
        <v>168</v>
      </c>
      <c r="H116" s="155">
        <v>19</v>
      </c>
      <c r="I116" s="155">
        <v>1</v>
      </c>
      <c r="J116" s="156" t="s">
        <v>213</v>
      </c>
      <c r="K116" s="52" t="s">
        <v>33</v>
      </c>
      <c r="L116" s="53" t="str">
        <f t="shared" si="0"/>
        <v>1kilos</v>
      </c>
      <c r="M116" s="54">
        <f t="shared" si="1"/>
        <v>19</v>
      </c>
      <c r="N116" s="55" t="str">
        <f t="shared" si="2"/>
        <v>19 kilos</v>
      </c>
      <c r="O116" s="158">
        <v>3192</v>
      </c>
      <c r="P116" s="44">
        <f t="shared" si="5"/>
        <v>168</v>
      </c>
      <c r="Q116" s="66">
        <f t="shared" si="4"/>
        <v>0</v>
      </c>
      <c r="R116" s="32"/>
      <c r="S116" s="32"/>
      <c r="T116" s="32"/>
      <c r="U116" s="32"/>
      <c r="V116" s="32"/>
      <c r="W116" s="32"/>
      <c r="X116" s="32"/>
      <c r="Y116" s="32"/>
      <c r="Z116" s="32"/>
    </row>
    <row r="117" spans="1:26" ht="15" customHeight="1" x14ac:dyDescent="0.3">
      <c r="A117" s="155">
        <v>77</v>
      </c>
      <c r="B117" s="156" t="s">
        <v>215</v>
      </c>
      <c r="C117" s="46"/>
      <c r="D117" s="63"/>
      <c r="E117" s="156" t="s">
        <v>216</v>
      </c>
      <c r="F117" s="99"/>
      <c r="G117" s="157">
        <v>168</v>
      </c>
      <c r="H117" s="155">
        <v>30</v>
      </c>
      <c r="I117" s="155">
        <v>1</v>
      </c>
      <c r="J117" s="156" t="s">
        <v>213</v>
      </c>
      <c r="K117" s="52" t="s">
        <v>33</v>
      </c>
      <c r="L117" s="53" t="str">
        <f t="shared" si="0"/>
        <v>1kilos</v>
      </c>
      <c r="M117" s="54">
        <f t="shared" si="1"/>
        <v>30</v>
      </c>
      <c r="N117" s="55" t="str">
        <f t="shared" si="2"/>
        <v>30 kilos</v>
      </c>
      <c r="O117" s="158">
        <v>5040</v>
      </c>
      <c r="P117" s="44">
        <f t="shared" si="5"/>
        <v>168</v>
      </c>
      <c r="Q117" s="66">
        <f t="shared" si="4"/>
        <v>0</v>
      </c>
      <c r="R117" s="32"/>
      <c r="S117" s="32"/>
      <c r="T117" s="32"/>
      <c r="U117" s="32"/>
      <c r="V117" s="32"/>
      <c r="W117" s="32"/>
      <c r="X117" s="32"/>
      <c r="Y117" s="32"/>
      <c r="Z117" s="32"/>
    </row>
    <row r="118" spans="1:26" ht="15" customHeight="1" x14ac:dyDescent="0.3">
      <c r="A118" s="155">
        <v>78</v>
      </c>
      <c r="B118" s="156" t="s">
        <v>244</v>
      </c>
      <c r="C118" s="46"/>
      <c r="D118" s="63"/>
      <c r="E118" s="156" t="s">
        <v>245</v>
      </c>
      <c r="F118" s="99"/>
      <c r="G118" s="157">
        <v>240</v>
      </c>
      <c r="H118" s="155">
        <v>1</v>
      </c>
      <c r="I118" s="155">
        <v>1</v>
      </c>
      <c r="J118" s="156" t="s">
        <v>39</v>
      </c>
      <c r="K118" s="52" t="s">
        <v>33</v>
      </c>
      <c r="L118" s="53" t="str">
        <f t="shared" si="0"/>
        <v>1grams</v>
      </c>
      <c r="M118" s="54">
        <f t="shared" si="1"/>
        <v>1</v>
      </c>
      <c r="N118" s="55" t="str">
        <f t="shared" si="2"/>
        <v>1 grams</v>
      </c>
      <c r="O118" s="158">
        <v>240</v>
      </c>
      <c r="P118" s="44">
        <f t="shared" si="5"/>
        <v>240</v>
      </c>
      <c r="Q118" s="66">
        <f t="shared" si="4"/>
        <v>0</v>
      </c>
      <c r="R118" s="32"/>
      <c r="S118" s="32"/>
      <c r="T118" s="32"/>
      <c r="U118" s="32"/>
      <c r="V118" s="32"/>
      <c r="W118" s="32"/>
      <c r="X118" s="32"/>
      <c r="Y118" s="32"/>
      <c r="Z118" s="32"/>
    </row>
    <row r="119" spans="1:26" ht="15" customHeight="1" x14ac:dyDescent="0.3">
      <c r="A119" s="155">
        <v>79</v>
      </c>
      <c r="B119" s="156" t="s">
        <v>540</v>
      </c>
      <c r="C119" s="46"/>
      <c r="D119" s="98"/>
      <c r="E119" s="156" t="s">
        <v>541</v>
      </c>
      <c r="F119" s="99"/>
      <c r="G119" s="157">
        <v>1.46</v>
      </c>
      <c r="H119" s="155">
        <v>60</v>
      </c>
      <c r="I119" s="155">
        <v>30</v>
      </c>
      <c r="J119" s="156" t="s">
        <v>39</v>
      </c>
      <c r="K119" s="52" t="s">
        <v>33</v>
      </c>
      <c r="L119" s="53" t="str">
        <f t="shared" si="0"/>
        <v>30grams</v>
      </c>
      <c r="M119" s="54">
        <f t="shared" si="1"/>
        <v>1800</v>
      </c>
      <c r="N119" s="55" t="str">
        <f t="shared" si="2"/>
        <v>1800 grams</v>
      </c>
      <c r="O119" s="158">
        <v>87.6</v>
      </c>
      <c r="P119" s="44">
        <f t="shared" si="5"/>
        <v>1.46</v>
      </c>
      <c r="Q119" s="66">
        <f t="shared" si="4"/>
        <v>0</v>
      </c>
      <c r="R119" s="32"/>
      <c r="S119" s="32"/>
      <c r="T119" s="32"/>
      <c r="U119" s="32"/>
      <c r="V119" s="32"/>
      <c r="W119" s="32"/>
      <c r="X119" s="32"/>
      <c r="Y119" s="32"/>
      <c r="Z119" s="32"/>
    </row>
    <row r="120" spans="1:26" ht="15" customHeight="1" x14ac:dyDescent="0.3">
      <c r="A120" s="155">
        <v>80</v>
      </c>
      <c r="B120" s="156" t="s">
        <v>542</v>
      </c>
      <c r="C120" s="46"/>
      <c r="D120" s="98"/>
      <c r="E120" s="156" t="s">
        <v>543</v>
      </c>
      <c r="F120" s="99"/>
      <c r="G120" s="157">
        <v>6.79</v>
      </c>
      <c r="H120" s="155">
        <v>13</v>
      </c>
      <c r="I120" s="155">
        <v>1</v>
      </c>
      <c r="J120" s="156" t="s">
        <v>92</v>
      </c>
      <c r="K120" s="52" t="s">
        <v>33</v>
      </c>
      <c r="L120" s="53" t="str">
        <f t="shared" si="0"/>
        <v>1pieces</v>
      </c>
      <c r="M120" s="54">
        <f t="shared" si="1"/>
        <v>13</v>
      </c>
      <c r="N120" s="55" t="str">
        <f t="shared" si="2"/>
        <v>13 pieces</v>
      </c>
      <c r="O120" s="158">
        <v>88.27</v>
      </c>
      <c r="P120" s="44">
        <f t="shared" si="5"/>
        <v>6.79</v>
      </c>
      <c r="Q120" s="66">
        <f t="shared" si="4"/>
        <v>0</v>
      </c>
      <c r="R120" s="32"/>
      <c r="S120" s="32"/>
      <c r="T120" s="32"/>
      <c r="U120" s="32"/>
      <c r="V120" s="32"/>
      <c r="W120" s="32"/>
      <c r="X120" s="32"/>
      <c r="Y120" s="32"/>
      <c r="Z120" s="32"/>
    </row>
    <row r="121" spans="1:26" ht="15" customHeight="1" x14ac:dyDescent="0.3">
      <c r="A121" s="155">
        <v>80</v>
      </c>
      <c r="B121" s="156" t="s">
        <v>542</v>
      </c>
      <c r="C121" s="46"/>
      <c r="D121" s="63"/>
      <c r="E121" s="156"/>
      <c r="F121" s="99"/>
      <c r="G121" s="157">
        <v>23.312999999999999</v>
      </c>
      <c r="H121" s="155">
        <v>50</v>
      </c>
      <c r="I121" s="155">
        <v>1</v>
      </c>
      <c r="J121" s="156" t="s">
        <v>92</v>
      </c>
      <c r="K121" s="52" t="s">
        <v>33</v>
      </c>
      <c r="L121" s="53" t="str">
        <f t="shared" si="0"/>
        <v>1pieces</v>
      </c>
      <c r="M121" s="54">
        <f t="shared" si="1"/>
        <v>50</v>
      </c>
      <c r="N121" s="55" t="str">
        <f t="shared" si="2"/>
        <v>50 pieces</v>
      </c>
      <c r="O121" s="158">
        <v>1165.6500000000001</v>
      </c>
      <c r="P121" s="44">
        <f t="shared" si="5"/>
        <v>23.313000000000002</v>
      </c>
      <c r="Q121" s="66">
        <f t="shared" si="4"/>
        <v>0</v>
      </c>
      <c r="R121" s="32"/>
      <c r="S121" s="32"/>
      <c r="T121" s="32"/>
      <c r="U121" s="32"/>
      <c r="V121" s="32"/>
      <c r="W121" s="32"/>
      <c r="X121" s="32"/>
      <c r="Y121" s="32"/>
      <c r="Z121" s="32"/>
    </row>
    <row r="122" spans="1:26" ht="15" customHeight="1" x14ac:dyDescent="0.3">
      <c r="A122" s="155">
        <v>81</v>
      </c>
      <c r="B122" s="156" t="s">
        <v>544</v>
      </c>
      <c r="C122" s="46"/>
      <c r="D122" s="63"/>
      <c r="E122" s="156" t="s">
        <v>545</v>
      </c>
      <c r="F122" s="99"/>
      <c r="G122" s="157">
        <v>19.25</v>
      </c>
      <c r="H122" s="155">
        <v>139</v>
      </c>
      <c r="I122" s="155">
        <v>1</v>
      </c>
      <c r="J122" s="156" t="s">
        <v>92</v>
      </c>
      <c r="K122" s="52" t="s">
        <v>33</v>
      </c>
      <c r="L122" s="53" t="str">
        <f t="shared" si="0"/>
        <v>1pieces</v>
      </c>
      <c r="M122" s="54">
        <f t="shared" si="1"/>
        <v>139</v>
      </c>
      <c r="N122" s="55" t="str">
        <f t="shared" si="2"/>
        <v>139 pieces</v>
      </c>
      <c r="O122" s="158">
        <v>2675.75</v>
      </c>
      <c r="P122" s="44">
        <f t="shared" si="5"/>
        <v>19.25</v>
      </c>
      <c r="Q122" s="66">
        <f t="shared" si="4"/>
        <v>0</v>
      </c>
      <c r="R122" s="32"/>
      <c r="S122" s="32"/>
      <c r="T122" s="32"/>
      <c r="U122" s="32"/>
      <c r="V122" s="32"/>
      <c r="W122" s="32"/>
      <c r="X122" s="32"/>
      <c r="Y122" s="32"/>
      <c r="Z122" s="32"/>
    </row>
    <row r="123" spans="1:26" ht="15" customHeight="1" x14ac:dyDescent="0.3">
      <c r="A123" s="155">
        <v>82</v>
      </c>
      <c r="B123" s="156" t="s">
        <v>546</v>
      </c>
      <c r="C123" s="46"/>
      <c r="D123" s="63"/>
      <c r="E123" s="156" t="s">
        <v>547</v>
      </c>
      <c r="F123" s="99"/>
      <c r="G123" s="157">
        <v>1.8</v>
      </c>
      <c r="H123" s="155">
        <v>379</v>
      </c>
      <c r="I123" s="155">
        <v>1</v>
      </c>
      <c r="J123" s="156" t="s">
        <v>92</v>
      </c>
      <c r="K123" s="52" t="s">
        <v>33</v>
      </c>
      <c r="L123" s="53" t="str">
        <f t="shared" si="0"/>
        <v>1pieces</v>
      </c>
      <c r="M123" s="54">
        <f t="shared" si="1"/>
        <v>379</v>
      </c>
      <c r="N123" s="55" t="str">
        <f t="shared" si="2"/>
        <v>379 pieces</v>
      </c>
      <c r="O123" s="158">
        <v>682.2</v>
      </c>
      <c r="P123" s="44">
        <f t="shared" si="5"/>
        <v>1.8</v>
      </c>
      <c r="Q123" s="66">
        <f t="shared" si="4"/>
        <v>0</v>
      </c>
      <c r="R123" s="32"/>
      <c r="S123" s="32"/>
      <c r="T123" s="32"/>
      <c r="U123" s="32"/>
      <c r="V123" s="32"/>
      <c r="W123" s="32"/>
      <c r="X123" s="32"/>
      <c r="Y123" s="32"/>
      <c r="Z123" s="32"/>
    </row>
    <row r="124" spans="1:26" ht="15" customHeight="1" x14ac:dyDescent="0.3">
      <c r="A124" s="155">
        <v>83</v>
      </c>
      <c r="B124" s="156" t="s">
        <v>548</v>
      </c>
      <c r="C124" s="46"/>
      <c r="D124" s="63"/>
      <c r="E124" s="156"/>
      <c r="F124" s="99"/>
      <c r="G124" s="157">
        <v>2.581458</v>
      </c>
      <c r="H124" s="159">
        <v>4</v>
      </c>
      <c r="I124" s="162">
        <v>48</v>
      </c>
      <c r="J124" s="160" t="s">
        <v>92</v>
      </c>
      <c r="K124" s="52" t="s">
        <v>33</v>
      </c>
      <c r="L124" s="53" t="str">
        <f t="shared" si="0"/>
        <v>48pieces</v>
      </c>
      <c r="M124" s="54">
        <f t="shared" si="1"/>
        <v>192</v>
      </c>
      <c r="N124" s="55" t="str">
        <f t="shared" si="2"/>
        <v>192 pieces</v>
      </c>
      <c r="O124" s="158">
        <v>10.32583</v>
      </c>
      <c r="P124" s="44">
        <f t="shared" si="5"/>
        <v>2.5814575</v>
      </c>
      <c r="Q124" s="66">
        <f t="shared" si="4"/>
        <v>5.0000000006988898E-7</v>
      </c>
      <c r="R124" s="32"/>
      <c r="S124" s="32"/>
      <c r="T124" s="32"/>
      <c r="U124" s="32"/>
      <c r="V124" s="32"/>
      <c r="W124" s="32"/>
      <c r="X124" s="32"/>
      <c r="Y124" s="32"/>
      <c r="Z124" s="32"/>
    </row>
    <row r="125" spans="1:26" ht="15" customHeight="1" x14ac:dyDescent="0.3">
      <c r="A125" s="155">
        <v>84</v>
      </c>
      <c r="B125" s="156" t="s">
        <v>549</v>
      </c>
      <c r="C125" s="46"/>
      <c r="D125" s="117"/>
      <c r="E125" s="156" t="s">
        <v>550</v>
      </c>
      <c r="F125" s="99"/>
      <c r="G125" s="157">
        <v>0.17066700000000001</v>
      </c>
      <c r="H125" s="155">
        <v>750</v>
      </c>
      <c r="I125" s="155">
        <v>750</v>
      </c>
      <c r="J125" s="156" t="s">
        <v>32</v>
      </c>
      <c r="K125" s="52" t="s">
        <v>33</v>
      </c>
      <c r="L125" s="53" t="str">
        <f t="shared" si="0"/>
        <v>750ml</v>
      </c>
      <c r="M125" s="54">
        <f t="shared" si="1"/>
        <v>562500</v>
      </c>
      <c r="N125" s="55" t="str">
        <f t="shared" si="2"/>
        <v>562500 ml</v>
      </c>
      <c r="O125" s="158">
        <v>128</v>
      </c>
      <c r="P125" s="44">
        <f t="shared" si="5"/>
        <v>0.17066666666666666</v>
      </c>
      <c r="Q125" s="66">
        <f t="shared" si="4"/>
        <v>3.3333333335217041E-7</v>
      </c>
      <c r="R125" s="32"/>
      <c r="S125" s="32"/>
      <c r="T125" s="32"/>
      <c r="U125" s="32"/>
      <c r="V125" s="32"/>
      <c r="W125" s="32"/>
      <c r="X125" s="32"/>
      <c r="Y125" s="32"/>
      <c r="Z125" s="32"/>
    </row>
    <row r="126" spans="1:26" ht="15" customHeight="1" x14ac:dyDescent="0.3">
      <c r="A126" s="155">
        <v>85</v>
      </c>
      <c r="B126" s="156" t="s">
        <v>551</v>
      </c>
      <c r="C126" s="46"/>
      <c r="D126" s="58"/>
      <c r="E126" s="156"/>
      <c r="F126" s="99"/>
      <c r="G126" s="157">
        <v>8.2799999999999994</v>
      </c>
      <c r="H126" s="155">
        <v>36</v>
      </c>
      <c r="I126" s="155">
        <v>1</v>
      </c>
      <c r="J126" s="156" t="s">
        <v>92</v>
      </c>
      <c r="K126" s="52" t="s">
        <v>33</v>
      </c>
      <c r="L126" s="53" t="str">
        <f t="shared" si="0"/>
        <v>1pieces</v>
      </c>
      <c r="M126" s="54">
        <f t="shared" si="1"/>
        <v>36</v>
      </c>
      <c r="N126" s="55" t="str">
        <f t="shared" si="2"/>
        <v>36 pieces</v>
      </c>
      <c r="O126" s="158">
        <v>298.08</v>
      </c>
      <c r="P126" s="44">
        <f t="shared" si="5"/>
        <v>8.2799999999999994</v>
      </c>
      <c r="Q126" s="66">
        <f t="shared" si="4"/>
        <v>0</v>
      </c>
      <c r="R126" s="32"/>
      <c r="S126" s="32"/>
      <c r="T126" s="32"/>
      <c r="U126" s="32"/>
      <c r="V126" s="32"/>
      <c r="W126" s="32"/>
      <c r="X126" s="32"/>
      <c r="Y126" s="32"/>
      <c r="Z126" s="32"/>
    </row>
    <row r="127" spans="1:26" ht="15" customHeight="1" x14ac:dyDescent="0.3">
      <c r="A127" s="155">
        <v>86</v>
      </c>
      <c r="B127" s="156" t="s">
        <v>552</v>
      </c>
      <c r="C127" s="46"/>
      <c r="D127" s="58"/>
      <c r="E127" s="156"/>
      <c r="F127" s="99"/>
      <c r="G127" s="157">
        <v>16.899999999999999</v>
      </c>
      <c r="H127" s="155">
        <v>28</v>
      </c>
      <c r="I127" s="155">
        <v>1</v>
      </c>
      <c r="J127" s="156" t="s">
        <v>92</v>
      </c>
      <c r="K127" s="52" t="s">
        <v>33</v>
      </c>
      <c r="L127" s="53" t="str">
        <f t="shared" si="0"/>
        <v>1pieces</v>
      </c>
      <c r="M127" s="54">
        <f t="shared" si="1"/>
        <v>28</v>
      </c>
      <c r="N127" s="55" t="str">
        <f t="shared" si="2"/>
        <v>28 pieces</v>
      </c>
      <c r="O127" s="158">
        <v>473.2</v>
      </c>
      <c r="P127" s="44">
        <f t="shared" si="5"/>
        <v>16.899999999999999</v>
      </c>
      <c r="Q127" s="66">
        <f t="shared" si="4"/>
        <v>0</v>
      </c>
      <c r="R127" s="32"/>
      <c r="S127" s="32"/>
      <c r="T127" s="32"/>
      <c r="U127" s="32"/>
      <c r="V127" s="32"/>
      <c r="W127" s="32"/>
      <c r="X127" s="32"/>
      <c r="Y127" s="32"/>
      <c r="Z127" s="32"/>
    </row>
    <row r="128" spans="1:26" ht="15" customHeight="1" x14ac:dyDescent="0.3">
      <c r="A128" s="155">
        <v>87</v>
      </c>
      <c r="B128" s="156" t="s">
        <v>302</v>
      </c>
      <c r="C128" s="46"/>
      <c r="D128" s="63"/>
      <c r="E128" s="156" t="s">
        <v>303</v>
      </c>
      <c r="F128" s="99"/>
      <c r="G128" s="157">
        <v>100</v>
      </c>
      <c r="H128" s="155">
        <v>4</v>
      </c>
      <c r="I128" s="155">
        <v>1</v>
      </c>
      <c r="J128" s="156" t="s">
        <v>304</v>
      </c>
      <c r="K128" s="52" t="s">
        <v>33</v>
      </c>
      <c r="L128" s="53" t="str">
        <f t="shared" si="0"/>
        <v>1packs</v>
      </c>
      <c r="M128" s="54">
        <f t="shared" si="1"/>
        <v>4</v>
      </c>
      <c r="N128" s="55" t="str">
        <f t="shared" si="2"/>
        <v>4 packs</v>
      </c>
      <c r="O128" s="158">
        <v>400</v>
      </c>
      <c r="P128" s="44">
        <f t="shared" si="5"/>
        <v>100</v>
      </c>
      <c r="Q128" s="66">
        <f t="shared" si="4"/>
        <v>0</v>
      </c>
      <c r="R128" s="32"/>
      <c r="S128" s="32"/>
      <c r="T128" s="32"/>
      <c r="U128" s="32"/>
      <c r="V128" s="32"/>
      <c r="W128" s="32"/>
      <c r="X128" s="32"/>
      <c r="Y128" s="32"/>
      <c r="Z128" s="32"/>
    </row>
    <row r="129" spans="1:26" ht="15" customHeight="1" x14ac:dyDescent="0.3">
      <c r="A129" s="155">
        <v>88</v>
      </c>
      <c r="B129" s="156" t="s">
        <v>378</v>
      </c>
      <c r="C129" s="46"/>
      <c r="D129" s="63"/>
      <c r="E129" s="156" t="s">
        <v>379</v>
      </c>
      <c r="F129" s="99"/>
      <c r="G129" s="157">
        <v>7.78</v>
      </c>
      <c r="H129" s="155">
        <v>144</v>
      </c>
      <c r="I129" s="155">
        <v>1</v>
      </c>
      <c r="J129" s="156" t="s">
        <v>92</v>
      </c>
      <c r="K129" s="52" t="s">
        <v>33</v>
      </c>
      <c r="L129" s="53" t="str">
        <f t="shared" si="0"/>
        <v>1pieces</v>
      </c>
      <c r="M129" s="54">
        <f t="shared" si="1"/>
        <v>144</v>
      </c>
      <c r="N129" s="55" t="str">
        <f t="shared" si="2"/>
        <v>144 pieces</v>
      </c>
      <c r="O129" s="158">
        <v>1120.32</v>
      </c>
      <c r="P129" s="44">
        <f t="shared" si="5"/>
        <v>7.7799999999999994</v>
      </c>
      <c r="Q129" s="66">
        <f t="shared" si="4"/>
        <v>0</v>
      </c>
      <c r="R129" s="32"/>
      <c r="S129" s="32"/>
      <c r="T129" s="32"/>
      <c r="U129" s="32"/>
      <c r="V129" s="32"/>
      <c r="W129" s="32"/>
      <c r="X129" s="32"/>
      <c r="Y129" s="32"/>
      <c r="Z129" s="32"/>
    </row>
    <row r="130" spans="1:26" ht="15" customHeight="1" x14ac:dyDescent="0.3">
      <c r="A130" s="155">
        <v>89</v>
      </c>
      <c r="B130" s="156" t="s">
        <v>553</v>
      </c>
      <c r="C130" s="46"/>
      <c r="D130" s="63"/>
      <c r="E130" s="156"/>
      <c r="F130" s="99"/>
      <c r="G130" s="157">
        <v>2.1111110000000002</v>
      </c>
      <c r="H130" s="155">
        <v>419</v>
      </c>
      <c r="I130" s="155">
        <v>36</v>
      </c>
      <c r="J130" s="156" t="s">
        <v>92</v>
      </c>
      <c r="K130" s="52" t="s">
        <v>33</v>
      </c>
      <c r="L130" s="53" t="str">
        <f t="shared" si="0"/>
        <v>36pieces</v>
      </c>
      <c r="M130" s="54">
        <f t="shared" si="1"/>
        <v>15084</v>
      </c>
      <c r="N130" s="55" t="str">
        <f t="shared" si="2"/>
        <v>15084 pieces</v>
      </c>
      <c r="O130" s="158">
        <v>884.55560000000003</v>
      </c>
      <c r="P130" s="44">
        <f t="shared" si="5"/>
        <v>2.1111112171837711</v>
      </c>
      <c r="Q130" s="66">
        <f t="shared" si="4"/>
        <v>-2.1718377096746622E-7</v>
      </c>
      <c r="R130" s="32"/>
      <c r="S130" s="32"/>
      <c r="T130" s="32"/>
      <c r="U130" s="32"/>
      <c r="V130" s="32"/>
      <c r="W130" s="32"/>
      <c r="X130" s="32"/>
      <c r="Y130" s="32"/>
      <c r="Z130" s="32"/>
    </row>
    <row r="131" spans="1:26" ht="15" customHeight="1" x14ac:dyDescent="0.3">
      <c r="A131" s="155">
        <v>90</v>
      </c>
      <c r="B131" s="156" t="s">
        <v>554</v>
      </c>
      <c r="C131" s="46"/>
      <c r="D131" s="63"/>
      <c r="E131" s="156"/>
      <c r="F131" s="99"/>
      <c r="G131" s="157">
        <v>32.366489999999999</v>
      </c>
      <c r="H131" s="155">
        <v>37</v>
      </c>
      <c r="I131" s="155">
        <v>36</v>
      </c>
      <c r="J131" s="156" t="s">
        <v>92</v>
      </c>
      <c r="K131" s="52" t="s">
        <v>33</v>
      </c>
      <c r="L131" s="53" t="str">
        <f t="shared" si="0"/>
        <v>36pieces</v>
      </c>
      <c r="M131" s="54">
        <f t="shared" si="1"/>
        <v>1332</v>
      </c>
      <c r="N131" s="55" t="str">
        <f t="shared" si="2"/>
        <v>1332 pieces</v>
      </c>
      <c r="O131" s="158">
        <v>1197.56</v>
      </c>
      <c r="P131" s="44">
        <f t="shared" si="5"/>
        <v>32.366486486486487</v>
      </c>
      <c r="Q131" s="66">
        <f t="shared" si="4"/>
        <v>3.5135135121322492E-6</v>
      </c>
      <c r="R131" s="32"/>
      <c r="S131" s="32"/>
      <c r="T131" s="32"/>
      <c r="U131" s="32"/>
      <c r="V131" s="32"/>
      <c r="W131" s="32"/>
      <c r="X131" s="32"/>
      <c r="Y131" s="32"/>
      <c r="Z131" s="32"/>
    </row>
    <row r="132" spans="1:26" ht="15" customHeight="1" x14ac:dyDescent="0.3">
      <c r="A132" s="155">
        <v>91</v>
      </c>
      <c r="B132" s="156" t="s">
        <v>555</v>
      </c>
      <c r="C132" s="46"/>
      <c r="D132" s="63"/>
      <c r="E132" s="156"/>
      <c r="F132" s="99"/>
      <c r="G132" s="157">
        <v>0.57099999999999995</v>
      </c>
      <c r="H132" s="155">
        <v>50</v>
      </c>
      <c r="I132" s="155">
        <v>50</v>
      </c>
      <c r="J132" s="156" t="s">
        <v>39</v>
      </c>
      <c r="K132" s="52" t="s">
        <v>33</v>
      </c>
      <c r="L132" s="53" t="str">
        <f t="shared" si="0"/>
        <v>50grams</v>
      </c>
      <c r="M132" s="54">
        <f t="shared" si="1"/>
        <v>2500</v>
      </c>
      <c r="N132" s="55" t="str">
        <f t="shared" si="2"/>
        <v>2500 grams</v>
      </c>
      <c r="O132" s="158">
        <v>28.55</v>
      </c>
      <c r="P132" s="44">
        <f t="shared" si="5"/>
        <v>0.57100000000000006</v>
      </c>
      <c r="Q132" s="66">
        <f t="shared" si="4"/>
        <v>0</v>
      </c>
      <c r="R132" s="32"/>
      <c r="S132" s="32"/>
      <c r="T132" s="32"/>
      <c r="U132" s="32"/>
      <c r="V132" s="32"/>
      <c r="W132" s="32"/>
      <c r="X132" s="32"/>
      <c r="Y132" s="32"/>
      <c r="Z132" s="32"/>
    </row>
    <row r="133" spans="1:26" ht="15" customHeight="1" x14ac:dyDescent="0.3">
      <c r="A133" s="155">
        <v>92</v>
      </c>
      <c r="B133" s="156" t="s">
        <v>556</v>
      </c>
      <c r="C133" s="46"/>
      <c r="D133" s="58"/>
      <c r="E133" s="156" t="s">
        <v>557</v>
      </c>
      <c r="F133" s="99"/>
      <c r="G133" s="157">
        <v>0.63100000000000001</v>
      </c>
      <c r="H133" s="155">
        <v>2350</v>
      </c>
      <c r="I133" s="155">
        <v>50</v>
      </c>
      <c r="J133" s="156" t="s">
        <v>39</v>
      </c>
      <c r="K133" s="52" t="s">
        <v>33</v>
      </c>
      <c r="L133" s="53" t="str">
        <f t="shared" si="0"/>
        <v>50grams</v>
      </c>
      <c r="M133" s="54">
        <f t="shared" si="1"/>
        <v>117500</v>
      </c>
      <c r="N133" s="55" t="str">
        <f t="shared" si="2"/>
        <v>117500 grams</v>
      </c>
      <c r="O133" s="158">
        <v>1482.85</v>
      </c>
      <c r="P133" s="44">
        <f t="shared" si="5"/>
        <v>0.63100000000000001</v>
      </c>
      <c r="Q133" s="66">
        <f t="shared" si="4"/>
        <v>0</v>
      </c>
      <c r="R133" s="32"/>
      <c r="S133" s="32"/>
      <c r="T133" s="32"/>
      <c r="U133" s="32"/>
      <c r="V133" s="32"/>
      <c r="W133" s="32"/>
      <c r="X133" s="32"/>
      <c r="Y133" s="32"/>
      <c r="Z133" s="32"/>
    </row>
    <row r="134" spans="1:26" ht="15" customHeight="1" x14ac:dyDescent="0.3">
      <c r="A134" s="155">
        <v>93</v>
      </c>
      <c r="B134" s="156" t="s">
        <v>558</v>
      </c>
      <c r="C134" s="46"/>
      <c r="D134" s="58"/>
      <c r="E134" s="156"/>
      <c r="F134" s="99"/>
      <c r="G134" s="157">
        <v>14.25</v>
      </c>
      <c r="H134" s="155">
        <v>20</v>
      </c>
      <c r="I134" s="155">
        <v>1</v>
      </c>
      <c r="J134" s="156" t="s">
        <v>92</v>
      </c>
      <c r="K134" s="52" t="s">
        <v>33</v>
      </c>
      <c r="L134" s="53" t="str">
        <f t="shared" si="0"/>
        <v>1pieces</v>
      </c>
      <c r="M134" s="54">
        <f t="shared" si="1"/>
        <v>20</v>
      </c>
      <c r="N134" s="55" t="str">
        <f t="shared" si="2"/>
        <v>20 pieces</v>
      </c>
      <c r="O134" s="158">
        <v>285</v>
      </c>
      <c r="P134" s="44">
        <f t="shared" si="5"/>
        <v>14.25</v>
      </c>
      <c r="Q134" s="66">
        <f t="shared" si="4"/>
        <v>0</v>
      </c>
      <c r="R134" s="32"/>
      <c r="S134" s="32"/>
      <c r="T134" s="32"/>
      <c r="U134" s="32"/>
      <c r="V134" s="32"/>
      <c r="W134" s="32"/>
      <c r="X134" s="32"/>
      <c r="Y134" s="32"/>
      <c r="Z134" s="32"/>
    </row>
    <row r="135" spans="1:26" ht="15" customHeight="1" x14ac:dyDescent="0.3">
      <c r="A135" s="155">
        <v>94</v>
      </c>
      <c r="B135" s="156" t="s">
        <v>139</v>
      </c>
      <c r="C135" s="46"/>
      <c r="D135" s="58"/>
      <c r="E135" s="156" t="s">
        <v>140</v>
      </c>
      <c r="F135" s="99"/>
      <c r="G135" s="157">
        <v>2.04</v>
      </c>
      <c r="H135" s="155">
        <v>1492</v>
      </c>
      <c r="I135" s="155">
        <v>0</v>
      </c>
      <c r="J135" s="156" t="s">
        <v>92</v>
      </c>
      <c r="K135" s="52" t="s">
        <v>33</v>
      </c>
      <c r="L135" s="53" t="str">
        <f t="shared" si="0"/>
        <v>0pieces</v>
      </c>
      <c r="M135" s="54">
        <f t="shared" si="1"/>
        <v>0</v>
      </c>
      <c r="N135" s="55" t="str">
        <f t="shared" si="2"/>
        <v>0 pieces</v>
      </c>
      <c r="O135" s="158">
        <v>3043.68</v>
      </c>
      <c r="P135" s="44">
        <f t="shared" si="5"/>
        <v>2.04</v>
      </c>
      <c r="Q135" s="66">
        <f t="shared" si="4"/>
        <v>0</v>
      </c>
      <c r="R135" s="32"/>
      <c r="S135" s="32"/>
      <c r="T135" s="32"/>
      <c r="U135" s="32"/>
      <c r="V135" s="32"/>
      <c r="W135" s="32"/>
      <c r="X135" s="32"/>
      <c r="Y135" s="32"/>
      <c r="Z135" s="32"/>
    </row>
    <row r="136" spans="1:26" ht="15" customHeight="1" x14ac:dyDescent="0.3">
      <c r="A136" s="155">
        <v>94</v>
      </c>
      <c r="B136" s="156" t="s">
        <v>139</v>
      </c>
      <c r="C136" s="46"/>
      <c r="D136" s="58"/>
      <c r="E136" s="156"/>
      <c r="F136" s="99"/>
      <c r="G136" s="157">
        <v>2.04</v>
      </c>
      <c r="H136" s="155">
        <v>720</v>
      </c>
      <c r="I136" s="155">
        <v>0</v>
      </c>
      <c r="J136" s="156" t="s">
        <v>92</v>
      </c>
      <c r="K136" s="52" t="s">
        <v>33</v>
      </c>
      <c r="L136" s="53" t="str">
        <f t="shared" si="0"/>
        <v>0pieces</v>
      </c>
      <c r="M136" s="54">
        <f t="shared" si="1"/>
        <v>0</v>
      </c>
      <c r="N136" s="55" t="str">
        <f t="shared" si="2"/>
        <v>0 pieces</v>
      </c>
      <c r="O136" s="158">
        <v>1468.8</v>
      </c>
      <c r="P136" s="44">
        <f t="shared" si="5"/>
        <v>2.04</v>
      </c>
      <c r="Q136" s="66">
        <f t="shared" si="4"/>
        <v>0</v>
      </c>
      <c r="R136" s="32"/>
      <c r="S136" s="32"/>
      <c r="T136" s="32"/>
      <c r="U136" s="32"/>
      <c r="V136" s="32"/>
      <c r="W136" s="32"/>
      <c r="X136" s="32"/>
      <c r="Y136" s="32"/>
      <c r="Z136" s="32"/>
    </row>
    <row r="137" spans="1:26" ht="15" customHeight="1" x14ac:dyDescent="0.3">
      <c r="A137" s="155">
        <v>95</v>
      </c>
      <c r="B137" s="156" t="s">
        <v>559</v>
      </c>
      <c r="C137" s="46"/>
      <c r="D137" s="58"/>
      <c r="E137" s="156"/>
      <c r="F137" s="99"/>
      <c r="G137" s="157">
        <v>1.97</v>
      </c>
      <c r="H137" s="155">
        <v>684</v>
      </c>
      <c r="I137" s="155">
        <v>1</v>
      </c>
      <c r="J137" s="156" t="s">
        <v>92</v>
      </c>
      <c r="K137" s="52" t="s">
        <v>33</v>
      </c>
      <c r="L137" s="53" t="str">
        <f t="shared" si="0"/>
        <v>1pieces</v>
      </c>
      <c r="M137" s="54">
        <f t="shared" si="1"/>
        <v>684</v>
      </c>
      <c r="N137" s="55" t="str">
        <f t="shared" si="2"/>
        <v>684 pieces</v>
      </c>
      <c r="O137" s="158">
        <v>1347.48</v>
      </c>
      <c r="P137" s="44">
        <f t="shared" si="5"/>
        <v>1.97</v>
      </c>
      <c r="Q137" s="66">
        <f t="shared" si="4"/>
        <v>0</v>
      </c>
      <c r="R137" s="32"/>
      <c r="S137" s="32"/>
      <c r="T137" s="32"/>
      <c r="U137" s="32"/>
      <c r="V137" s="32"/>
      <c r="W137" s="32"/>
      <c r="X137" s="32"/>
      <c r="Y137" s="32"/>
      <c r="Z137" s="32"/>
    </row>
    <row r="138" spans="1:26" ht="15" customHeight="1" x14ac:dyDescent="0.3">
      <c r="A138" s="155">
        <v>96</v>
      </c>
      <c r="B138" s="156" t="s">
        <v>560</v>
      </c>
      <c r="C138" s="46"/>
      <c r="D138" s="58"/>
      <c r="E138" s="156"/>
      <c r="F138" s="99"/>
      <c r="G138" s="157">
        <v>2.65</v>
      </c>
      <c r="H138" s="155">
        <v>828</v>
      </c>
      <c r="I138" s="155">
        <v>1</v>
      </c>
      <c r="J138" s="156" t="s">
        <v>92</v>
      </c>
      <c r="K138" s="52" t="s">
        <v>33</v>
      </c>
      <c r="L138" s="53" t="str">
        <f t="shared" si="0"/>
        <v>1pieces</v>
      </c>
      <c r="M138" s="54">
        <f t="shared" si="1"/>
        <v>828</v>
      </c>
      <c r="N138" s="55" t="str">
        <f t="shared" si="2"/>
        <v>828 pieces</v>
      </c>
      <c r="O138" s="158">
        <v>2194.1999999999998</v>
      </c>
      <c r="P138" s="44">
        <f t="shared" si="5"/>
        <v>2.65</v>
      </c>
      <c r="Q138" s="66">
        <f t="shared" si="4"/>
        <v>0</v>
      </c>
      <c r="R138" s="32"/>
      <c r="S138" s="32"/>
      <c r="T138" s="32"/>
      <c r="U138" s="32"/>
      <c r="V138" s="32"/>
      <c r="W138" s="32"/>
      <c r="X138" s="32"/>
      <c r="Y138" s="32"/>
      <c r="Z138" s="32"/>
    </row>
    <row r="139" spans="1:26" ht="15" customHeight="1" x14ac:dyDescent="0.3">
      <c r="A139" s="155">
        <v>97</v>
      </c>
      <c r="B139" s="156" t="s">
        <v>131</v>
      </c>
      <c r="C139" s="46"/>
      <c r="D139" s="58"/>
      <c r="E139" s="156" t="s">
        <v>132</v>
      </c>
      <c r="F139" s="99"/>
      <c r="G139" s="157">
        <v>2.8507340000000001</v>
      </c>
      <c r="H139" s="155">
        <v>5888</v>
      </c>
      <c r="I139" s="155">
        <v>1</v>
      </c>
      <c r="J139" s="156" t="s">
        <v>92</v>
      </c>
      <c r="K139" s="52" t="s">
        <v>33</v>
      </c>
      <c r="L139" s="53" t="str">
        <f t="shared" si="0"/>
        <v>1pieces</v>
      </c>
      <c r="M139" s="54">
        <f t="shared" si="1"/>
        <v>5888</v>
      </c>
      <c r="N139" s="55" t="str">
        <f t="shared" si="2"/>
        <v>5888 pieces</v>
      </c>
      <c r="O139" s="158">
        <v>16785.12</v>
      </c>
      <c r="P139" s="44">
        <f t="shared" si="5"/>
        <v>2.8507336956521736</v>
      </c>
      <c r="Q139" s="66">
        <f t="shared" si="4"/>
        <v>3.0434782649635395E-7</v>
      </c>
      <c r="R139" s="32"/>
      <c r="S139" s="32"/>
      <c r="T139" s="32"/>
      <c r="U139" s="32"/>
      <c r="V139" s="32"/>
      <c r="W139" s="32"/>
      <c r="X139" s="32"/>
      <c r="Y139" s="32"/>
      <c r="Z139" s="32"/>
    </row>
    <row r="140" spans="1:26" ht="15" customHeight="1" x14ac:dyDescent="0.3">
      <c r="A140" s="155">
        <v>98</v>
      </c>
      <c r="B140" s="156" t="s">
        <v>331</v>
      </c>
      <c r="C140" s="46"/>
      <c r="D140" s="58"/>
      <c r="E140" s="156" t="s">
        <v>332</v>
      </c>
      <c r="F140" s="99"/>
      <c r="G140" s="157">
        <v>13.3</v>
      </c>
      <c r="H140" s="155">
        <v>20</v>
      </c>
      <c r="I140" s="155">
        <v>1</v>
      </c>
      <c r="J140" s="156" t="s">
        <v>304</v>
      </c>
      <c r="K140" s="52" t="s">
        <v>33</v>
      </c>
      <c r="L140" s="53" t="str">
        <f t="shared" si="0"/>
        <v>1packs</v>
      </c>
      <c r="M140" s="54">
        <f t="shared" si="1"/>
        <v>20</v>
      </c>
      <c r="N140" s="55" t="str">
        <f t="shared" si="2"/>
        <v>20 packs</v>
      </c>
      <c r="O140" s="158">
        <v>266</v>
      </c>
      <c r="P140" s="44">
        <f t="shared" si="5"/>
        <v>13.3</v>
      </c>
      <c r="Q140" s="66">
        <f t="shared" si="4"/>
        <v>0</v>
      </c>
      <c r="R140" s="32"/>
      <c r="S140" s="32"/>
      <c r="T140" s="32"/>
      <c r="U140" s="32"/>
      <c r="V140" s="32"/>
      <c r="W140" s="32"/>
      <c r="X140" s="32"/>
      <c r="Y140" s="32"/>
      <c r="Z140" s="32"/>
    </row>
    <row r="141" spans="1:26" ht="15" customHeight="1" x14ac:dyDescent="0.3">
      <c r="A141" s="155">
        <v>99</v>
      </c>
      <c r="B141" s="156" t="s">
        <v>133</v>
      </c>
      <c r="C141" s="46"/>
      <c r="D141" s="58"/>
      <c r="E141" s="156" t="s">
        <v>561</v>
      </c>
      <c r="F141" s="99"/>
      <c r="G141" s="157">
        <v>0.25824999999999998</v>
      </c>
      <c r="H141" s="155">
        <v>800</v>
      </c>
      <c r="I141" s="155">
        <v>400</v>
      </c>
      <c r="J141" s="156" t="s">
        <v>39</v>
      </c>
      <c r="K141" s="52" t="s">
        <v>33</v>
      </c>
      <c r="L141" s="53" t="str">
        <f t="shared" si="0"/>
        <v>400grams</v>
      </c>
      <c r="M141" s="54">
        <f t="shared" si="1"/>
        <v>320000</v>
      </c>
      <c r="N141" s="55" t="str">
        <f t="shared" si="2"/>
        <v>320000 grams</v>
      </c>
      <c r="O141" s="158">
        <v>206.6</v>
      </c>
      <c r="P141" s="44">
        <f t="shared" si="5"/>
        <v>0.25824999999999998</v>
      </c>
      <c r="Q141" s="66">
        <f t="shared" si="4"/>
        <v>0</v>
      </c>
      <c r="R141" s="32"/>
      <c r="S141" s="32"/>
      <c r="T141" s="32"/>
      <c r="U141" s="32"/>
      <c r="V141" s="32"/>
      <c r="W141" s="32"/>
      <c r="X141" s="32"/>
      <c r="Y141" s="32"/>
      <c r="Z141" s="32"/>
    </row>
    <row r="142" spans="1:26" ht="15" customHeight="1" x14ac:dyDescent="0.3">
      <c r="A142" s="155">
        <v>99</v>
      </c>
      <c r="B142" s="156" t="s">
        <v>133</v>
      </c>
      <c r="C142" s="46"/>
      <c r="D142" s="58"/>
      <c r="E142" s="156" t="s">
        <v>134</v>
      </c>
      <c r="F142" s="99"/>
      <c r="G142" s="157">
        <v>1.942337</v>
      </c>
      <c r="H142" s="155">
        <v>1553</v>
      </c>
      <c r="I142" s="155">
        <v>400</v>
      </c>
      <c r="J142" s="156" t="s">
        <v>92</v>
      </c>
      <c r="K142" s="52" t="s">
        <v>33</v>
      </c>
      <c r="L142" s="53" t="str">
        <f t="shared" si="0"/>
        <v>400pieces</v>
      </c>
      <c r="M142" s="54">
        <f t="shared" si="1"/>
        <v>621200</v>
      </c>
      <c r="N142" s="55" t="str">
        <f t="shared" si="2"/>
        <v>621200 pieces</v>
      </c>
      <c r="O142" s="158">
        <v>3016.45</v>
      </c>
      <c r="P142" s="44">
        <f t="shared" si="5"/>
        <v>1.9423374114616869</v>
      </c>
      <c r="Q142" s="66">
        <f t="shared" si="4"/>
        <v>-4.1146168694439211E-7</v>
      </c>
      <c r="R142" s="32"/>
      <c r="S142" s="32"/>
      <c r="T142" s="32"/>
      <c r="U142" s="32"/>
      <c r="V142" s="32"/>
      <c r="W142" s="32"/>
      <c r="X142" s="32"/>
      <c r="Y142" s="32"/>
      <c r="Z142" s="32"/>
    </row>
    <row r="143" spans="1:26" ht="15" customHeight="1" x14ac:dyDescent="0.3">
      <c r="A143" s="155">
        <v>100</v>
      </c>
      <c r="B143" s="156" t="s">
        <v>562</v>
      </c>
      <c r="C143" s="46"/>
      <c r="D143" s="58"/>
      <c r="E143" s="156" t="s">
        <v>96</v>
      </c>
      <c r="F143" s="99"/>
      <c r="G143" s="157">
        <v>16.66</v>
      </c>
      <c r="H143" s="155">
        <v>135</v>
      </c>
      <c r="I143" s="155">
        <v>12</v>
      </c>
      <c r="J143" s="156" t="s">
        <v>92</v>
      </c>
      <c r="K143" s="52" t="s">
        <v>33</v>
      </c>
      <c r="L143" s="53" t="str">
        <f t="shared" si="0"/>
        <v>12pieces</v>
      </c>
      <c r="M143" s="54">
        <f t="shared" si="1"/>
        <v>1620</v>
      </c>
      <c r="N143" s="55" t="str">
        <f t="shared" si="2"/>
        <v>1620 pieces</v>
      </c>
      <c r="O143" s="158">
        <v>2249.1</v>
      </c>
      <c r="P143" s="44">
        <f t="shared" si="5"/>
        <v>16.66</v>
      </c>
      <c r="Q143" s="66">
        <f t="shared" si="4"/>
        <v>0</v>
      </c>
      <c r="R143" s="32"/>
      <c r="S143" s="32"/>
      <c r="T143" s="32"/>
      <c r="U143" s="32"/>
      <c r="V143" s="32"/>
      <c r="W143" s="32"/>
      <c r="X143" s="32"/>
      <c r="Y143" s="32"/>
      <c r="Z143" s="32"/>
    </row>
    <row r="144" spans="1:26" ht="15" customHeight="1" x14ac:dyDescent="0.3">
      <c r="A144" s="155">
        <v>101</v>
      </c>
      <c r="B144" s="156" t="s">
        <v>563</v>
      </c>
      <c r="C144" s="46"/>
      <c r="D144" s="58"/>
      <c r="E144" s="156" t="s">
        <v>564</v>
      </c>
      <c r="F144" s="99"/>
      <c r="G144" s="157">
        <v>0.144514</v>
      </c>
      <c r="H144" s="155">
        <v>9620</v>
      </c>
      <c r="I144" s="155">
        <v>370</v>
      </c>
      <c r="J144" s="156" t="s">
        <v>39</v>
      </c>
      <c r="K144" s="52" t="s">
        <v>33</v>
      </c>
      <c r="L144" s="53" t="str">
        <f t="shared" si="0"/>
        <v>370grams</v>
      </c>
      <c r="M144" s="54">
        <f t="shared" si="1"/>
        <v>3559400</v>
      </c>
      <c r="N144" s="55" t="str">
        <f t="shared" si="2"/>
        <v>3559400 grams</v>
      </c>
      <c r="O144" s="158">
        <v>1390.22</v>
      </c>
      <c r="P144" s="44">
        <f t="shared" si="5"/>
        <v>0.14451351351351352</v>
      </c>
      <c r="Q144" s="66">
        <f t="shared" si="4"/>
        <v>4.8648648648397241E-7</v>
      </c>
      <c r="R144" s="32"/>
      <c r="S144" s="32"/>
      <c r="T144" s="32"/>
      <c r="U144" s="32"/>
      <c r="V144" s="32"/>
      <c r="W144" s="32"/>
      <c r="X144" s="32"/>
      <c r="Y144" s="32"/>
      <c r="Z144" s="32"/>
    </row>
    <row r="145" spans="1:26" ht="15" customHeight="1" x14ac:dyDescent="0.3">
      <c r="A145" s="155">
        <v>101</v>
      </c>
      <c r="B145" s="156" t="s">
        <v>563</v>
      </c>
      <c r="C145" s="46"/>
      <c r="D145" s="63"/>
      <c r="E145" s="156" t="s">
        <v>565</v>
      </c>
      <c r="F145" s="99"/>
      <c r="G145" s="157">
        <v>0.17038800000000001</v>
      </c>
      <c r="H145" s="155">
        <v>3502</v>
      </c>
      <c r="I145" s="155">
        <v>370</v>
      </c>
      <c r="J145" s="156" t="s">
        <v>39</v>
      </c>
      <c r="K145" s="52" t="s">
        <v>33</v>
      </c>
      <c r="L145" s="53" t="str">
        <f t="shared" si="0"/>
        <v>370grams</v>
      </c>
      <c r="M145" s="54">
        <f t="shared" si="1"/>
        <v>1295740</v>
      </c>
      <c r="N145" s="55" t="str">
        <f t="shared" si="2"/>
        <v>1295740 grams</v>
      </c>
      <c r="O145" s="158">
        <v>596.70000000000005</v>
      </c>
      <c r="P145" s="44">
        <f t="shared" si="5"/>
        <v>0.17038834951456311</v>
      </c>
      <c r="Q145" s="66">
        <f t="shared" si="4"/>
        <v>-3.4951456309717521E-7</v>
      </c>
      <c r="R145" s="32"/>
      <c r="S145" s="32"/>
      <c r="T145" s="32"/>
      <c r="U145" s="32"/>
      <c r="V145" s="32"/>
      <c r="W145" s="32"/>
      <c r="X145" s="32"/>
      <c r="Y145" s="32"/>
      <c r="Z145" s="32"/>
    </row>
    <row r="146" spans="1:26" ht="15" customHeight="1" x14ac:dyDescent="0.3">
      <c r="A146" s="155">
        <v>102</v>
      </c>
      <c r="B146" s="156" t="s">
        <v>56</v>
      </c>
      <c r="C146" s="46"/>
      <c r="D146" s="63"/>
      <c r="E146" s="156" t="s">
        <v>566</v>
      </c>
      <c r="F146" s="99"/>
      <c r="G146" s="157">
        <v>0.112</v>
      </c>
      <c r="H146" s="155">
        <v>28875</v>
      </c>
      <c r="I146" s="155">
        <v>375</v>
      </c>
      <c r="J146" s="156" t="s">
        <v>32</v>
      </c>
      <c r="K146" s="52" t="s">
        <v>33</v>
      </c>
      <c r="L146" s="53" t="str">
        <f t="shared" si="0"/>
        <v>375ml</v>
      </c>
      <c r="M146" s="54">
        <f t="shared" si="1"/>
        <v>10828125</v>
      </c>
      <c r="N146" s="55" t="str">
        <f t="shared" si="2"/>
        <v>10828125 ml</v>
      </c>
      <c r="O146" s="158">
        <v>3234</v>
      </c>
      <c r="P146" s="44">
        <f t="shared" si="5"/>
        <v>0.112</v>
      </c>
      <c r="Q146" s="66">
        <f t="shared" si="4"/>
        <v>0</v>
      </c>
      <c r="R146" s="32"/>
      <c r="S146" s="32"/>
      <c r="T146" s="32"/>
      <c r="U146" s="32"/>
      <c r="V146" s="32"/>
      <c r="W146" s="32"/>
      <c r="X146" s="32"/>
      <c r="Y146" s="32"/>
      <c r="Z146" s="32"/>
    </row>
    <row r="147" spans="1:26" ht="15" customHeight="1" x14ac:dyDescent="0.3">
      <c r="A147" s="155">
        <v>102</v>
      </c>
      <c r="B147" s="156" t="s">
        <v>56</v>
      </c>
      <c r="C147" s="46"/>
      <c r="D147" s="63"/>
      <c r="E147" s="156" t="s">
        <v>57</v>
      </c>
      <c r="F147" s="99"/>
      <c r="G147" s="157">
        <v>40.72</v>
      </c>
      <c r="H147" s="155">
        <v>163.63999999999999</v>
      </c>
      <c r="I147" s="155">
        <v>375</v>
      </c>
      <c r="J147" s="156" t="s">
        <v>32</v>
      </c>
      <c r="K147" s="52" t="s">
        <v>33</v>
      </c>
      <c r="L147" s="53" t="str">
        <f t="shared" si="0"/>
        <v>375ml</v>
      </c>
      <c r="M147" s="54">
        <f t="shared" si="1"/>
        <v>61364.999999999993</v>
      </c>
      <c r="N147" s="55" t="str">
        <f t="shared" si="2"/>
        <v>61365 ml</v>
      </c>
      <c r="O147" s="158">
        <v>6663.4210000000003</v>
      </c>
      <c r="P147" s="44">
        <f t="shared" si="5"/>
        <v>40.720001222195066</v>
      </c>
      <c r="Q147" s="66">
        <f t="shared" si="4"/>
        <v>-1.2221950669299986E-6</v>
      </c>
      <c r="R147" s="32"/>
      <c r="S147" s="32"/>
      <c r="T147" s="32"/>
      <c r="U147" s="32"/>
      <c r="V147" s="32"/>
      <c r="W147" s="32"/>
      <c r="X147" s="32"/>
      <c r="Y147" s="32"/>
      <c r="Z147" s="32"/>
    </row>
    <row r="148" spans="1:26" ht="15" customHeight="1" x14ac:dyDescent="0.3">
      <c r="A148" s="155">
        <v>103</v>
      </c>
      <c r="B148" s="156" t="s">
        <v>567</v>
      </c>
      <c r="C148" s="46"/>
      <c r="D148" s="63"/>
      <c r="E148" s="156" t="s">
        <v>59</v>
      </c>
      <c r="F148" s="99"/>
      <c r="G148" s="157">
        <v>0.14461499999999999</v>
      </c>
      <c r="H148" s="155">
        <v>780</v>
      </c>
      <c r="I148" s="155">
        <v>390</v>
      </c>
      <c r="J148" s="156" t="s">
        <v>32</v>
      </c>
      <c r="K148" s="52" t="s">
        <v>33</v>
      </c>
      <c r="L148" s="53" t="str">
        <f t="shared" si="0"/>
        <v>390ml</v>
      </c>
      <c r="M148" s="54">
        <f t="shared" si="1"/>
        <v>304200</v>
      </c>
      <c r="N148" s="55" t="str">
        <f t="shared" si="2"/>
        <v>304200 ml</v>
      </c>
      <c r="O148" s="158">
        <v>112.8</v>
      </c>
      <c r="P148" s="44">
        <f t="shared" si="5"/>
        <v>0.14461538461538462</v>
      </c>
      <c r="Q148" s="66">
        <f t="shared" si="4"/>
        <v>-3.8461538462430944E-7</v>
      </c>
      <c r="R148" s="32"/>
      <c r="S148" s="32"/>
      <c r="T148" s="32"/>
      <c r="U148" s="32"/>
      <c r="V148" s="32"/>
      <c r="W148" s="32"/>
      <c r="X148" s="32"/>
      <c r="Y148" s="32"/>
      <c r="Z148" s="32"/>
    </row>
    <row r="149" spans="1:26" ht="15" customHeight="1" x14ac:dyDescent="0.3">
      <c r="A149" s="155">
        <v>104</v>
      </c>
      <c r="B149" s="156" t="s">
        <v>58</v>
      </c>
      <c r="C149" s="46"/>
      <c r="D149" s="63"/>
      <c r="E149" s="156" t="s">
        <v>59</v>
      </c>
      <c r="F149" s="99"/>
      <c r="G149" s="157">
        <v>62.7</v>
      </c>
      <c r="H149" s="155">
        <v>1</v>
      </c>
      <c r="I149" s="155">
        <v>390</v>
      </c>
      <c r="J149" s="156" t="s">
        <v>32</v>
      </c>
      <c r="K149" s="52" t="s">
        <v>33</v>
      </c>
      <c r="L149" s="53" t="str">
        <f t="shared" si="0"/>
        <v>390ml</v>
      </c>
      <c r="M149" s="54">
        <f t="shared" si="1"/>
        <v>390</v>
      </c>
      <c r="N149" s="55" t="str">
        <f t="shared" si="2"/>
        <v>390 ml</v>
      </c>
      <c r="O149" s="158">
        <v>62.7</v>
      </c>
      <c r="P149" s="44">
        <f t="shared" si="5"/>
        <v>62.7</v>
      </c>
      <c r="Q149" s="66">
        <f t="shared" si="4"/>
        <v>0</v>
      </c>
      <c r="R149" s="32"/>
      <c r="S149" s="32"/>
      <c r="T149" s="32"/>
      <c r="U149" s="32"/>
      <c r="V149" s="32"/>
      <c r="W149" s="32"/>
      <c r="X149" s="32"/>
      <c r="Y149" s="32"/>
      <c r="Z149" s="32"/>
    </row>
    <row r="150" spans="1:26" ht="15" customHeight="1" x14ac:dyDescent="0.3">
      <c r="A150" s="155">
        <v>105</v>
      </c>
      <c r="B150" s="156" t="s">
        <v>568</v>
      </c>
      <c r="C150" s="46"/>
      <c r="D150" s="63"/>
      <c r="E150" s="156" t="s">
        <v>59</v>
      </c>
      <c r="F150" s="99"/>
      <c r="G150" s="157">
        <v>0.14461499999999999</v>
      </c>
      <c r="H150" s="155">
        <v>390</v>
      </c>
      <c r="I150" s="155">
        <v>390</v>
      </c>
      <c r="J150" s="156" t="s">
        <v>32</v>
      </c>
      <c r="K150" s="52" t="s">
        <v>33</v>
      </c>
      <c r="L150" s="53" t="str">
        <f t="shared" si="0"/>
        <v>390ml</v>
      </c>
      <c r="M150" s="54">
        <f t="shared" si="1"/>
        <v>152100</v>
      </c>
      <c r="N150" s="55" t="str">
        <f t="shared" si="2"/>
        <v>152100 ml</v>
      </c>
      <c r="O150" s="158">
        <v>56.4</v>
      </c>
      <c r="P150" s="44">
        <f t="shared" si="5"/>
        <v>0.14461538461538462</v>
      </c>
      <c r="Q150" s="66">
        <f t="shared" si="4"/>
        <v>-3.8461538462430944E-7</v>
      </c>
      <c r="R150" s="32"/>
      <c r="S150" s="32"/>
      <c r="T150" s="32"/>
      <c r="U150" s="32"/>
      <c r="V150" s="32"/>
      <c r="W150" s="32"/>
      <c r="X150" s="32"/>
      <c r="Y150" s="32"/>
      <c r="Z150" s="32"/>
    </row>
    <row r="151" spans="1:26" ht="15" customHeight="1" x14ac:dyDescent="0.3">
      <c r="A151" s="155">
        <v>106</v>
      </c>
      <c r="B151" s="156" t="s">
        <v>60</v>
      </c>
      <c r="C151" s="46"/>
      <c r="D151" s="63"/>
      <c r="E151" s="156" t="s">
        <v>61</v>
      </c>
      <c r="F151" s="99"/>
      <c r="G151" s="157">
        <v>350</v>
      </c>
      <c r="H151" s="155">
        <v>2.2200000000000002</v>
      </c>
      <c r="I151" s="155">
        <v>450</v>
      </c>
      <c r="J151" s="156" t="s">
        <v>39</v>
      </c>
      <c r="K151" s="52" t="s">
        <v>33</v>
      </c>
      <c r="L151" s="53" t="str">
        <f t="shared" si="0"/>
        <v>450grams</v>
      </c>
      <c r="M151" s="54">
        <f t="shared" si="1"/>
        <v>999.00000000000011</v>
      </c>
      <c r="N151" s="55" t="str">
        <f t="shared" si="2"/>
        <v>999 grams</v>
      </c>
      <c r="O151" s="158">
        <v>777</v>
      </c>
      <c r="P151" s="44">
        <f t="shared" si="5"/>
        <v>349.99999999999994</v>
      </c>
      <c r="Q151" s="66">
        <f t="shared" si="4"/>
        <v>0</v>
      </c>
      <c r="R151" s="32"/>
      <c r="S151" s="32"/>
      <c r="T151" s="32"/>
      <c r="U151" s="32"/>
      <c r="V151" s="32"/>
      <c r="W151" s="32"/>
      <c r="X151" s="32"/>
      <c r="Y151" s="32"/>
      <c r="Z151" s="32"/>
    </row>
    <row r="152" spans="1:26" ht="15" customHeight="1" x14ac:dyDescent="0.3">
      <c r="A152" s="155">
        <v>107</v>
      </c>
      <c r="B152" s="156" t="s">
        <v>217</v>
      </c>
      <c r="C152" s="46"/>
      <c r="D152" s="63"/>
      <c r="E152" s="156" t="s">
        <v>218</v>
      </c>
      <c r="F152" s="99"/>
      <c r="G152" s="157">
        <v>69</v>
      </c>
      <c r="H152" s="155">
        <v>21</v>
      </c>
      <c r="I152" s="155">
        <v>1</v>
      </c>
      <c r="J152" s="156" t="s">
        <v>39</v>
      </c>
      <c r="K152" s="52" t="s">
        <v>33</v>
      </c>
      <c r="L152" s="53" t="str">
        <f t="shared" si="0"/>
        <v>1grams</v>
      </c>
      <c r="M152" s="54">
        <f t="shared" si="1"/>
        <v>21</v>
      </c>
      <c r="N152" s="55" t="str">
        <f t="shared" si="2"/>
        <v>21 grams</v>
      </c>
      <c r="O152" s="158">
        <v>1449</v>
      </c>
      <c r="P152" s="44">
        <f t="shared" si="5"/>
        <v>69</v>
      </c>
      <c r="Q152" s="66">
        <f t="shared" si="4"/>
        <v>0</v>
      </c>
      <c r="R152" s="32"/>
      <c r="S152" s="32"/>
      <c r="T152" s="32"/>
      <c r="U152" s="32"/>
      <c r="V152" s="32"/>
      <c r="W152" s="32"/>
      <c r="X152" s="32"/>
      <c r="Y152" s="32"/>
      <c r="Z152" s="32"/>
    </row>
    <row r="153" spans="1:26" ht="15" customHeight="1" x14ac:dyDescent="0.3">
      <c r="A153" s="155">
        <v>108</v>
      </c>
      <c r="B153" s="156" t="s">
        <v>569</v>
      </c>
      <c r="C153" s="46"/>
      <c r="D153" s="63"/>
      <c r="E153" s="156" t="s">
        <v>570</v>
      </c>
      <c r="F153" s="99"/>
      <c r="G153" s="157">
        <v>1.1882999999999999E-2</v>
      </c>
      <c r="H153" s="155">
        <v>486000</v>
      </c>
      <c r="I153" s="155">
        <v>18000</v>
      </c>
      <c r="J153" s="156" t="s">
        <v>32</v>
      </c>
      <c r="K153" s="52" t="s">
        <v>33</v>
      </c>
      <c r="L153" s="53" t="str">
        <f t="shared" si="0"/>
        <v>18000ml</v>
      </c>
      <c r="M153" s="54">
        <f t="shared" si="1"/>
        <v>8748000000</v>
      </c>
      <c r="N153" s="55" t="str">
        <f t="shared" si="2"/>
        <v>8748000000 ml</v>
      </c>
      <c r="O153" s="158">
        <v>5775.3</v>
      </c>
      <c r="P153" s="44">
        <f t="shared" si="5"/>
        <v>1.1883333333333334E-2</v>
      </c>
      <c r="Q153" s="66">
        <f t="shared" si="4"/>
        <v>-3.3333333333482318E-7</v>
      </c>
      <c r="R153" s="32"/>
      <c r="S153" s="32"/>
      <c r="T153" s="32"/>
      <c r="U153" s="32"/>
      <c r="V153" s="32"/>
      <c r="W153" s="32"/>
      <c r="X153" s="32"/>
      <c r="Y153" s="32"/>
      <c r="Z153" s="32"/>
    </row>
    <row r="154" spans="1:26" ht="15" customHeight="1" x14ac:dyDescent="0.3">
      <c r="A154" s="155">
        <v>108</v>
      </c>
      <c r="B154" s="156" t="s">
        <v>569</v>
      </c>
      <c r="C154" s="46"/>
      <c r="D154" s="63"/>
      <c r="E154" s="156"/>
      <c r="F154" s="99"/>
      <c r="G154" s="157">
        <v>0.69736500000000001</v>
      </c>
      <c r="H154" s="155">
        <v>10817</v>
      </c>
      <c r="I154" s="155">
        <v>18000</v>
      </c>
      <c r="J154" s="156" t="s">
        <v>32</v>
      </c>
      <c r="K154" s="52" t="s">
        <v>33</v>
      </c>
      <c r="L154" s="53" t="str">
        <f t="shared" si="0"/>
        <v>18000ml</v>
      </c>
      <c r="M154" s="54">
        <f t="shared" si="1"/>
        <v>194706000</v>
      </c>
      <c r="N154" s="55" t="str">
        <f t="shared" si="2"/>
        <v>194706000 ml</v>
      </c>
      <c r="O154" s="158">
        <v>7543.4</v>
      </c>
      <c r="P154" s="44">
        <f t="shared" si="5"/>
        <v>0.69736525838957197</v>
      </c>
      <c r="Q154" s="66">
        <f t="shared" si="4"/>
        <v>-2.5838957196100409E-7</v>
      </c>
      <c r="R154" s="32"/>
      <c r="S154" s="32"/>
      <c r="T154" s="32"/>
      <c r="U154" s="32"/>
      <c r="V154" s="32"/>
      <c r="W154" s="32"/>
      <c r="X154" s="32"/>
      <c r="Y154" s="32"/>
      <c r="Z154" s="32"/>
    </row>
    <row r="155" spans="1:26" ht="15" customHeight="1" x14ac:dyDescent="0.3">
      <c r="A155" s="155">
        <v>109</v>
      </c>
      <c r="B155" s="156" t="s">
        <v>246</v>
      </c>
      <c r="C155" s="46"/>
      <c r="D155" s="63"/>
      <c r="E155" s="156" t="s">
        <v>247</v>
      </c>
      <c r="F155" s="99"/>
      <c r="G155" s="157">
        <v>105</v>
      </c>
      <c r="H155" s="155">
        <v>112</v>
      </c>
      <c r="I155" s="155">
        <v>1</v>
      </c>
      <c r="J155" s="156" t="s">
        <v>213</v>
      </c>
      <c r="K155" s="52" t="s">
        <v>33</v>
      </c>
      <c r="L155" s="53" t="str">
        <f t="shared" si="0"/>
        <v>1kilos</v>
      </c>
      <c r="M155" s="54">
        <f t="shared" si="1"/>
        <v>112</v>
      </c>
      <c r="N155" s="55" t="str">
        <f t="shared" si="2"/>
        <v>112 kilos</v>
      </c>
      <c r="O155" s="158">
        <v>11760</v>
      </c>
      <c r="P155" s="44">
        <f t="shared" si="5"/>
        <v>105</v>
      </c>
      <c r="Q155" s="66">
        <f t="shared" si="4"/>
        <v>0</v>
      </c>
      <c r="R155" s="32"/>
      <c r="S155" s="32"/>
      <c r="T155" s="32"/>
      <c r="U155" s="32"/>
      <c r="V155" s="32"/>
      <c r="W155" s="32"/>
      <c r="X155" s="32"/>
      <c r="Y155" s="32"/>
      <c r="Z155" s="32"/>
    </row>
    <row r="156" spans="1:26" ht="15" customHeight="1" x14ac:dyDescent="0.3">
      <c r="A156" s="155">
        <v>110</v>
      </c>
      <c r="B156" s="156" t="s">
        <v>305</v>
      </c>
      <c r="C156" s="46"/>
      <c r="D156" s="63"/>
      <c r="E156" s="156" t="s">
        <v>306</v>
      </c>
      <c r="F156" s="99"/>
      <c r="G156" s="157">
        <v>227</v>
      </c>
      <c r="H156" s="155">
        <v>1</v>
      </c>
      <c r="I156" s="155">
        <v>1</v>
      </c>
      <c r="J156" s="156" t="s">
        <v>32</v>
      </c>
      <c r="K156" s="52" t="s">
        <v>33</v>
      </c>
      <c r="L156" s="53" t="str">
        <f t="shared" si="0"/>
        <v>1ml</v>
      </c>
      <c r="M156" s="54">
        <f t="shared" si="1"/>
        <v>1</v>
      </c>
      <c r="N156" s="55" t="str">
        <f t="shared" si="2"/>
        <v>1 ml</v>
      </c>
      <c r="O156" s="158">
        <v>227</v>
      </c>
      <c r="P156" s="44">
        <f t="shared" si="5"/>
        <v>227</v>
      </c>
      <c r="Q156" s="66">
        <f t="shared" si="4"/>
        <v>0</v>
      </c>
      <c r="R156" s="32"/>
      <c r="S156" s="32"/>
      <c r="T156" s="32"/>
      <c r="U156" s="32"/>
      <c r="V156" s="32"/>
      <c r="W156" s="32"/>
      <c r="X156" s="32"/>
      <c r="Y156" s="32"/>
      <c r="Z156" s="32"/>
    </row>
    <row r="157" spans="1:26" ht="15" customHeight="1" x14ac:dyDescent="0.3">
      <c r="A157" s="155">
        <v>111</v>
      </c>
      <c r="B157" s="156" t="s">
        <v>171</v>
      </c>
      <c r="C157" s="46"/>
      <c r="D157" s="63"/>
      <c r="E157" s="156" t="s">
        <v>172</v>
      </c>
      <c r="F157" s="99"/>
      <c r="G157" s="157">
        <v>55.05</v>
      </c>
      <c r="H157" s="155">
        <v>8</v>
      </c>
      <c r="I157" s="155">
        <v>1</v>
      </c>
      <c r="J157" s="156" t="s">
        <v>39</v>
      </c>
      <c r="K157" s="52" t="s">
        <v>33</v>
      </c>
      <c r="L157" s="53" t="str">
        <f t="shared" si="0"/>
        <v>1grams</v>
      </c>
      <c r="M157" s="54">
        <f t="shared" si="1"/>
        <v>8</v>
      </c>
      <c r="N157" s="55" t="str">
        <f t="shared" si="2"/>
        <v>8 grams</v>
      </c>
      <c r="O157" s="158">
        <v>440.4</v>
      </c>
      <c r="P157" s="44">
        <f t="shared" si="5"/>
        <v>55.05</v>
      </c>
      <c r="Q157" s="66">
        <f t="shared" si="4"/>
        <v>0</v>
      </c>
      <c r="R157" s="32"/>
      <c r="S157" s="32"/>
      <c r="T157" s="32"/>
      <c r="U157" s="32"/>
      <c r="V157" s="32"/>
      <c r="W157" s="32"/>
      <c r="X157" s="32"/>
      <c r="Y157" s="32"/>
      <c r="Z157" s="32"/>
    </row>
    <row r="158" spans="1:26" ht="15" customHeight="1" x14ac:dyDescent="0.3">
      <c r="A158" s="155">
        <v>112</v>
      </c>
      <c r="B158" s="156" t="s">
        <v>571</v>
      </c>
      <c r="C158" s="46"/>
      <c r="D158" s="63"/>
      <c r="E158" s="156"/>
      <c r="F158" s="99"/>
      <c r="G158" s="157">
        <v>27.89</v>
      </c>
      <c r="H158" s="155">
        <v>48</v>
      </c>
      <c r="I158" s="155">
        <v>1</v>
      </c>
      <c r="J158" s="156" t="s">
        <v>39</v>
      </c>
      <c r="K158" s="52" t="s">
        <v>33</v>
      </c>
      <c r="L158" s="53" t="str">
        <f t="shared" si="0"/>
        <v>1grams</v>
      </c>
      <c r="M158" s="54">
        <f t="shared" si="1"/>
        <v>48</v>
      </c>
      <c r="N158" s="55" t="str">
        <f t="shared" si="2"/>
        <v>48 grams</v>
      </c>
      <c r="O158" s="158">
        <v>1338.72</v>
      </c>
      <c r="P158" s="44">
        <f t="shared" si="5"/>
        <v>27.89</v>
      </c>
      <c r="Q158" s="66">
        <f t="shared" si="4"/>
        <v>0</v>
      </c>
      <c r="R158" s="32"/>
      <c r="S158" s="32"/>
      <c r="T158" s="32"/>
      <c r="U158" s="32"/>
      <c r="V158" s="32"/>
      <c r="W158" s="32"/>
      <c r="X158" s="32"/>
      <c r="Y158" s="32"/>
      <c r="Z158" s="32"/>
    </row>
    <row r="159" spans="1:26" ht="15" customHeight="1" x14ac:dyDescent="0.3">
      <c r="A159" s="155">
        <v>113</v>
      </c>
      <c r="B159" s="156" t="s">
        <v>572</v>
      </c>
      <c r="C159" s="46"/>
      <c r="D159" s="63"/>
      <c r="E159" s="156"/>
      <c r="F159" s="99"/>
      <c r="G159" s="157">
        <v>27.89</v>
      </c>
      <c r="H159" s="155">
        <v>48</v>
      </c>
      <c r="I159" s="155">
        <v>1</v>
      </c>
      <c r="J159" s="156" t="s">
        <v>92</v>
      </c>
      <c r="K159" s="52" t="s">
        <v>33</v>
      </c>
      <c r="L159" s="53" t="str">
        <f t="shared" si="0"/>
        <v>1pieces</v>
      </c>
      <c r="M159" s="54">
        <f t="shared" si="1"/>
        <v>48</v>
      </c>
      <c r="N159" s="55" t="str">
        <f t="shared" si="2"/>
        <v>48 pieces</v>
      </c>
      <c r="O159" s="158">
        <v>1338.72</v>
      </c>
      <c r="P159" s="44">
        <f t="shared" si="5"/>
        <v>27.89</v>
      </c>
      <c r="Q159" s="66">
        <f t="shared" si="4"/>
        <v>0</v>
      </c>
      <c r="R159" s="32"/>
      <c r="S159" s="32"/>
      <c r="T159" s="32"/>
      <c r="U159" s="32"/>
      <c r="V159" s="32"/>
      <c r="W159" s="32"/>
      <c r="X159" s="32"/>
      <c r="Y159" s="32"/>
      <c r="Z159" s="32"/>
    </row>
    <row r="160" spans="1:26" ht="15" customHeight="1" x14ac:dyDescent="0.3">
      <c r="A160" s="155">
        <v>114</v>
      </c>
      <c r="B160" s="156" t="s">
        <v>62</v>
      </c>
      <c r="C160" s="46"/>
      <c r="D160" s="63"/>
      <c r="E160" s="156" t="s">
        <v>63</v>
      </c>
      <c r="F160" s="99"/>
      <c r="G160" s="157">
        <v>0.25489800000000001</v>
      </c>
      <c r="H160" s="155">
        <v>7228</v>
      </c>
      <c r="I160" s="155">
        <v>1000</v>
      </c>
      <c r="J160" s="156" t="s">
        <v>39</v>
      </c>
      <c r="K160" s="52" t="s">
        <v>33</v>
      </c>
      <c r="L160" s="53" t="str">
        <f t="shared" si="0"/>
        <v>1000grams</v>
      </c>
      <c r="M160" s="54">
        <f t="shared" si="1"/>
        <v>7228000</v>
      </c>
      <c r="N160" s="55" t="str">
        <f t="shared" si="2"/>
        <v>7228000 grams</v>
      </c>
      <c r="O160" s="158">
        <v>1842.4</v>
      </c>
      <c r="P160" s="44">
        <f t="shared" si="5"/>
        <v>0.25489762036524627</v>
      </c>
      <c r="Q160" s="66">
        <f t="shared" si="4"/>
        <v>3.7963475374436229E-7</v>
      </c>
      <c r="R160" s="32"/>
      <c r="S160" s="32"/>
      <c r="T160" s="32"/>
      <c r="U160" s="32"/>
      <c r="V160" s="32"/>
      <c r="W160" s="32"/>
      <c r="X160" s="32"/>
      <c r="Y160" s="32"/>
      <c r="Z160" s="32"/>
    </row>
    <row r="161" spans="1:26" ht="15" customHeight="1" x14ac:dyDescent="0.3">
      <c r="A161" s="155">
        <v>115</v>
      </c>
      <c r="B161" s="156" t="s">
        <v>248</v>
      </c>
      <c r="C161" s="46"/>
      <c r="D161" s="63"/>
      <c r="E161" s="156" t="s">
        <v>249</v>
      </c>
      <c r="F161" s="99"/>
      <c r="G161" s="157">
        <v>35.9</v>
      </c>
      <c r="H161" s="155">
        <v>15</v>
      </c>
      <c r="I161" s="155">
        <v>1</v>
      </c>
      <c r="J161" s="156" t="s">
        <v>39</v>
      </c>
      <c r="K161" s="52" t="s">
        <v>33</v>
      </c>
      <c r="L161" s="53" t="str">
        <f t="shared" si="0"/>
        <v>1grams</v>
      </c>
      <c r="M161" s="54">
        <f t="shared" si="1"/>
        <v>15</v>
      </c>
      <c r="N161" s="55" t="str">
        <f t="shared" si="2"/>
        <v>15 grams</v>
      </c>
      <c r="O161" s="158">
        <v>538.5</v>
      </c>
      <c r="P161" s="44">
        <f t="shared" si="5"/>
        <v>35.9</v>
      </c>
      <c r="Q161" s="66">
        <f t="shared" si="4"/>
        <v>0</v>
      </c>
      <c r="R161" s="32"/>
      <c r="S161" s="32"/>
      <c r="T161" s="32"/>
      <c r="U161" s="32"/>
      <c r="V161" s="32"/>
      <c r="W161" s="32"/>
      <c r="X161" s="32"/>
      <c r="Y161" s="32"/>
      <c r="Z161" s="32"/>
    </row>
    <row r="162" spans="1:26" ht="15" customHeight="1" x14ac:dyDescent="0.3">
      <c r="A162" s="155">
        <v>116</v>
      </c>
      <c r="B162" s="156" t="s">
        <v>380</v>
      </c>
      <c r="C162" s="46"/>
      <c r="D162" s="63"/>
      <c r="E162" s="156" t="s">
        <v>381</v>
      </c>
      <c r="F162" s="99"/>
      <c r="G162" s="157">
        <v>13.564</v>
      </c>
      <c r="H162" s="155">
        <v>25</v>
      </c>
      <c r="I162" s="155">
        <v>1</v>
      </c>
      <c r="J162" s="156" t="s">
        <v>92</v>
      </c>
      <c r="K162" s="52" t="s">
        <v>33</v>
      </c>
      <c r="L162" s="53" t="str">
        <f t="shared" si="0"/>
        <v>1pieces</v>
      </c>
      <c r="M162" s="54">
        <f t="shared" si="1"/>
        <v>25</v>
      </c>
      <c r="N162" s="55" t="str">
        <f t="shared" si="2"/>
        <v>25 pieces</v>
      </c>
      <c r="O162" s="158">
        <v>339.1</v>
      </c>
      <c r="P162" s="44">
        <f t="shared" si="5"/>
        <v>13.564</v>
      </c>
      <c r="Q162" s="66">
        <f t="shared" si="4"/>
        <v>0</v>
      </c>
      <c r="R162" s="32"/>
      <c r="S162" s="32"/>
      <c r="T162" s="32"/>
      <c r="U162" s="32"/>
      <c r="V162" s="32"/>
      <c r="W162" s="32"/>
      <c r="X162" s="32"/>
      <c r="Y162" s="32"/>
      <c r="Z162" s="32"/>
    </row>
    <row r="163" spans="1:26" ht="15" customHeight="1" x14ac:dyDescent="0.3">
      <c r="A163" s="155">
        <v>117</v>
      </c>
      <c r="B163" s="156" t="s">
        <v>573</v>
      </c>
      <c r="C163" s="46"/>
      <c r="D163" s="63"/>
      <c r="E163" s="156"/>
      <c r="F163" s="99"/>
      <c r="G163" s="157">
        <v>0.17163100000000001</v>
      </c>
      <c r="H163" s="155">
        <v>10004</v>
      </c>
      <c r="I163" s="155">
        <v>1000</v>
      </c>
      <c r="J163" s="156" t="s">
        <v>39</v>
      </c>
      <c r="K163" s="52" t="s">
        <v>33</v>
      </c>
      <c r="L163" s="53" t="str">
        <f t="shared" si="0"/>
        <v>1000grams</v>
      </c>
      <c r="M163" s="54">
        <f t="shared" si="1"/>
        <v>10004000</v>
      </c>
      <c r="N163" s="55" t="str">
        <f t="shared" si="2"/>
        <v>10004000 grams</v>
      </c>
      <c r="O163" s="158">
        <v>1717</v>
      </c>
      <c r="P163" s="44">
        <f t="shared" si="5"/>
        <v>0.1716313474610156</v>
      </c>
      <c r="Q163" s="66">
        <f t="shared" si="4"/>
        <v>-3.4746101559846032E-7</v>
      </c>
      <c r="R163" s="32"/>
      <c r="S163" s="32"/>
      <c r="T163" s="32"/>
      <c r="U163" s="32"/>
      <c r="V163" s="32"/>
      <c r="W163" s="32"/>
      <c r="X163" s="32"/>
      <c r="Y163" s="32"/>
      <c r="Z163" s="32"/>
    </row>
    <row r="164" spans="1:26" ht="15" customHeight="1" x14ac:dyDescent="0.3">
      <c r="A164" s="155">
        <v>118</v>
      </c>
      <c r="B164" s="156" t="s">
        <v>574</v>
      </c>
      <c r="C164" s="46"/>
      <c r="D164" s="63"/>
      <c r="E164" s="156" t="s">
        <v>575</v>
      </c>
      <c r="F164" s="99"/>
      <c r="G164" s="157">
        <v>8.11</v>
      </c>
      <c r="H164" s="155">
        <v>11</v>
      </c>
      <c r="I164" s="155">
        <v>1</v>
      </c>
      <c r="J164" s="156" t="s">
        <v>92</v>
      </c>
      <c r="K164" s="52" t="s">
        <v>33</v>
      </c>
      <c r="L164" s="53" t="str">
        <f t="shared" si="0"/>
        <v>1pieces</v>
      </c>
      <c r="M164" s="54">
        <f t="shared" si="1"/>
        <v>11</v>
      </c>
      <c r="N164" s="55" t="str">
        <f t="shared" si="2"/>
        <v>11 pieces</v>
      </c>
      <c r="O164" s="158">
        <v>89.21</v>
      </c>
      <c r="P164" s="44">
        <f t="shared" si="5"/>
        <v>8.11</v>
      </c>
      <c r="Q164" s="66">
        <f t="shared" si="4"/>
        <v>0</v>
      </c>
      <c r="R164" s="32"/>
      <c r="S164" s="32"/>
      <c r="T164" s="32"/>
      <c r="U164" s="32"/>
      <c r="V164" s="32"/>
      <c r="W164" s="32"/>
      <c r="X164" s="32"/>
      <c r="Y164" s="32"/>
      <c r="Z164" s="32"/>
    </row>
    <row r="165" spans="1:26" ht="15" customHeight="1" x14ac:dyDescent="0.3">
      <c r="A165" s="155">
        <v>119</v>
      </c>
      <c r="B165" s="156" t="s">
        <v>576</v>
      </c>
      <c r="C165" s="46"/>
      <c r="D165" s="63"/>
      <c r="E165" s="156" t="s">
        <v>577</v>
      </c>
      <c r="F165" s="99"/>
      <c r="G165" s="157">
        <v>7.03</v>
      </c>
      <c r="H165" s="155">
        <v>15</v>
      </c>
      <c r="I165" s="155">
        <v>1</v>
      </c>
      <c r="J165" s="156" t="s">
        <v>92</v>
      </c>
      <c r="K165" s="52" t="s">
        <v>33</v>
      </c>
      <c r="L165" s="53" t="str">
        <f t="shared" si="0"/>
        <v>1pieces</v>
      </c>
      <c r="M165" s="54">
        <f t="shared" si="1"/>
        <v>15</v>
      </c>
      <c r="N165" s="55" t="str">
        <f t="shared" si="2"/>
        <v>15 pieces</v>
      </c>
      <c r="O165" s="158">
        <v>105.45</v>
      </c>
      <c r="P165" s="44">
        <f t="shared" si="5"/>
        <v>7.03</v>
      </c>
      <c r="Q165" s="66">
        <f t="shared" si="4"/>
        <v>0</v>
      </c>
      <c r="R165" s="32"/>
      <c r="S165" s="32"/>
      <c r="T165" s="32"/>
      <c r="U165" s="32"/>
      <c r="V165" s="32"/>
      <c r="W165" s="32"/>
      <c r="X165" s="32"/>
      <c r="Y165" s="32"/>
      <c r="Z165" s="32"/>
    </row>
    <row r="166" spans="1:26" ht="15" customHeight="1" x14ac:dyDescent="0.3">
      <c r="A166" s="155">
        <v>120</v>
      </c>
      <c r="B166" s="156" t="s">
        <v>173</v>
      </c>
      <c r="C166" s="46"/>
      <c r="D166" s="63"/>
      <c r="E166" s="156" t="s">
        <v>578</v>
      </c>
      <c r="F166" s="99"/>
      <c r="G166" s="157">
        <v>0.101176</v>
      </c>
      <c r="H166" s="155">
        <v>2550</v>
      </c>
      <c r="I166" s="155">
        <v>425</v>
      </c>
      <c r="J166" s="156" t="s">
        <v>39</v>
      </c>
      <c r="K166" s="52" t="s">
        <v>33</v>
      </c>
      <c r="L166" s="53" t="str">
        <f t="shared" si="0"/>
        <v>425grams</v>
      </c>
      <c r="M166" s="54">
        <f t="shared" si="1"/>
        <v>1083750</v>
      </c>
      <c r="N166" s="55" t="str">
        <f t="shared" si="2"/>
        <v>1083750 grams</v>
      </c>
      <c r="O166" s="158">
        <v>258</v>
      </c>
      <c r="P166" s="44">
        <f t="shared" si="5"/>
        <v>0.1011764705882353</v>
      </c>
      <c r="Q166" s="66">
        <f t="shared" si="4"/>
        <v>-4.7058823529622096E-7</v>
      </c>
      <c r="R166" s="32"/>
      <c r="S166" s="32"/>
      <c r="T166" s="32"/>
      <c r="U166" s="32"/>
      <c r="V166" s="32"/>
      <c r="W166" s="32"/>
      <c r="X166" s="32"/>
      <c r="Y166" s="32"/>
      <c r="Z166" s="32"/>
    </row>
    <row r="167" spans="1:26" ht="15" customHeight="1" x14ac:dyDescent="0.3">
      <c r="A167" s="155">
        <v>120</v>
      </c>
      <c r="B167" s="156" t="s">
        <v>173</v>
      </c>
      <c r="C167" s="46"/>
      <c r="D167" s="63"/>
      <c r="E167" s="156" t="s">
        <v>174</v>
      </c>
      <c r="F167" s="99"/>
      <c r="G167" s="157">
        <v>43</v>
      </c>
      <c r="H167" s="155">
        <v>17</v>
      </c>
      <c r="I167" s="155">
        <v>425</v>
      </c>
      <c r="J167" s="156" t="s">
        <v>39</v>
      </c>
      <c r="K167" s="52" t="s">
        <v>33</v>
      </c>
      <c r="L167" s="53" t="str">
        <f t="shared" si="0"/>
        <v>425grams</v>
      </c>
      <c r="M167" s="54">
        <f t="shared" si="1"/>
        <v>7225</v>
      </c>
      <c r="N167" s="55" t="str">
        <f t="shared" si="2"/>
        <v>7225 grams</v>
      </c>
      <c r="O167" s="158">
        <v>731</v>
      </c>
      <c r="P167" s="44">
        <f t="shared" si="5"/>
        <v>43</v>
      </c>
      <c r="Q167" s="66">
        <f t="shared" si="4"/>
        <v>0</v>
      </c>
      <c r="R167" s="32"/>
      <c r="S167" s="32"/>
      <c r="T167" s="32"/>
      <c r="U167" s="32"/>
      <c r="V167" s="32"/>
      <c r="W167" s="32"/>
      <c r="X167" s="32"/>
      <c r="Y167" s="32"/>
      <c r="Z167" s="32"/>
    </row>
    <row r="168" spans="1:26" ht="15" customHeight="1" x14ac:dyDescent="0.3">
      <c r="A168" s="155">
        <v>120</v>
      </c>
      <c r="B168" s="156" t="s">
        <v>173</v>
      </c>
      <c r="C168" s="46"/>
      <c r="D168" s="63"/>
      <c r="E168" s="156"/>
      <c r="F168" s="99"/>
      <c r="G168" s="157">
        <v>0.13647100000000001</v>
      </c>
      <c r="H168" s="155">
        <v>2125</v>
      </c>
      <c r="I168" s="155">
        <v>425</v>
      </c>
      <c r="J168" s="156" t="s">
        <v>39</v>
      </c>
      <c r="K168" s="52" t="s">
        <v>33</v>
      </c>
      <c r="L168" s="53" t="str">
        <f t="shared" si="0"/>
        <v>425grams</v>
      </c>
      <c r="M168" s="54">
        <f t="shared" si="1"/>
        <v>903125</v>
      </c>
      <c r="N168" s="55" t="str">
        <f t="shared" si="2"/>
        <v>903125 grams</v>
      </c>
      <c r="O168" s="158">
        <v>290</v>
      </c>
      <c r="P168" s="44">
        <f t="shared" si="5"/>
        <v>0.13647058823529412</v>
      </c>
      <c r="Q168" s="66">
        <f t="shared" si="4"/>
        <v>4.1176470588766279E-7</v>
      </c>
      <c r="R168" s="32"/>
      <c r="S168" s="32"/>
      <c r="T168" s="32"/>
      <c r="U168" s="32"/>
      <c r="V168" s="32"/>
      <c r="W168" s="32"/>
      <c r="X168" s="32"/>
      <c r="Y168" s="32"/>
      <c r="Z168" s="32"/>
    </row>
    <row r="169" spans="1:26" ht="15" customHeight="1" x14ac:dyDescent="0.3">
      <c r="A169" s="155">
        <v>121</v>
      </c>
      <c r="B169" s="156" t="s">
        <v>250</v>
      </c>
      <c r="C169" s="46"/>
      <c r="D169" s="63"/>
      <c r="E169" s="156" t="s">
        <v>251</v>
      </c>
      <c r="F169" s="99"/>
      <c r="G169" s="157">
        <v>2.0348739999999998</v>
      </c>
      <c r="H169" s="155">
        <v>952</v>
      </c>
      <c r="I169" s="155">
        <v>62</v>
      </c>
      <c r="J169" s="156" t="s">
        <v>39</v>
      </c>
      <c r="K169" s="52"/>
      <c r="L169" s="53"/>
      <c r="M169" s="54"/>
      <c r="N169" s="55" t="str">
        <f t="shared" si="2"/>
        <v>grams</v>
      </c>
      <c r="O169" s="158">
        <v>1937.2</v>
      </c>
      <c r="P169" s="44"/>
      <c r="Q169" s="66"/>
      <c r="R169" s="32"/>
      <c r="S169" s="32"/>
      <c r="T169" s="32"/>
      <c r="U169" s="32"/>
      <c r="V169" s="32"/>
      <c r="W169" s="32"/>
      <c r="X169" s="32"/>
      <c r="Y169" s="32"/>
      <c r="Z169" s="32"/>
    </row>
    <row r="170" spans="1:26" ht="15" customHeight="1" x14ac:dyDescent="0.3">
      <c r="A170" s="155">
        <v>122</v>
      </c>
      <c r="B170" s="156" t="s">
        <v>579</v>
      </c>
      <c r="C170" s="46"/>
      <c r="D170" s="63"/>
      <c r="E170" s="156" t="s">
        <v>383</v>
      </c>
      <c r="F170" s="99"/>
      <c r="G170" s="157">
        <v>7.07</v>
      </c>
      <c r="H170" s="155">
        <v>13</v>
      </c>
      <c r="I170" s="155">
        <v>1</v>
      </c>
      <c r="J170" s="156" t="s">
        <v>92</v>
      </c>
      <c r="K170" s="52"/>
      <c r="L170" s="53"/>
      <c r="M170" s="54"/>
      <c r="N170" s="55" t="str">
        <f t="shared" si="2"/>
        <v>pieces</v>
      </c>
      <c r="O170" s="158">
        <v>91.91</v>
      </c>
      <c r="P170" s="44"/>
      <c r="Q170" s="66"/>
      <c r="R170" s="32"/>
      <c r="S170" s="32"/>
      <c r="T170" s="32"/>
      <c r="U170" s="32"/>
      <c r="V170" s="32"/>
      <c r="W170" s="32"/>
      <c r="X170" s="32"/>
      <c r="Y170" s="32"/>
      <c r="Z170" s="32"/>
    </row>
    <row r="171" spans="1:26" ht="15" customHeight="1" x14ac:dyDescent="0.3">
      <c r="A171" s="155">
        <v>123</v>
      </c>
      <c r="B171" s="156" t="s">
        <v>382</v>
      </c>
      <c r="C171" s="46"/>
      <c r="D171" s="63"/>
      <c r="E171" s="156" t="s">
        <v>102</v>
      </c>
      <c r="F171" s="99"/>
      <c r="G171" s="157">
        <v>9.74</v>
      </c>
      <c r="H171" s="155">
        <v>7</v>
      </c>
      <c r="I171" s="155">
        <v>1</v>
      </c>
      <c r="J171" s="156" t="s">
        <v>92</v>
      </c>
      <c r="K171" s="52"/>
      <c r="L171" s="53"/>
      <c r="M171" s="54"/>
      <c r="N171" s="55" t="str">
        <f t="shared" si="2"/>
        <v>pieces</v>
      </c>
      <c r="O171" s="158">
        <v>68.180000000000007</v>
      </c>
      <c r="P171" s="44"/>
      <c r="Q171" s="66"/>
      <c r="R171" s="32"/>
      <c r="S171" s="32"/>
      <c r="T171" s="32"/>
      <c r="U171" s="32"/>
      <c r="V171" s="32"/>
      <c r="W171" s="32"/>
      <c r="X171" s="32"/>
      <c r="Y171" s="32"/>
      <c r="Z171" s="32"/>
    </row>
    <row r="172" spans="1:26" ht="15" customHeight="1" x14ac:dyDescent="0.3">
      <c r="A172" s="155">
        <v>123</v>
      </c>
      <c r="B172" s="156" t="s">
        <v>382</v>
      </c>
      <c r="C172" s="46"/>
      <c r="D172" s="63"/>
      <c r="E172" s="156" t="s">
        <v>383</v>
      </c>
      <c r="F172" s="99"/>
      <c r="G172" s="157">
        <v>6.8001849999999999</v>
      </c>
      <c r="H172" s="155">
        <v>162</v>
      </c>
      <c r="I172" s="155">
        <v>1</v>
      </c>
      <c r="J172" s="156" t="s">
        <v>92</v>
      </c>
      <c r="K172" s="52"/>
      <c r="L172" s="53"/>
      <c r="M172" s="54"/>
      <c r="N172" s="55" t="str">
        <f t="shared" si="2"/>
        <v>pieces</v>
      </c>
      <c r="O172" s="158">
        <v>1101.6300000000001</v>
      </c>
      <c r="P172" s="44"/>
      <c r="Q172" s="66"/>
      <c r="R172" s="32"/>
      <c r="S172" s="32"/>
      <c r="T172" s="32"/>
      <c r="U172" s="32"/>
      <c r="V172" s="32"/>
      <c r="W172" s="32"/>
      <c r="X172" s="32"/>
      <c r="Y172" s="32"/>
      <c r="Z172" s="32"/>
    </row>
    <row r="173" spans="1:26" ht="15" customHeight="1" x14ac:dyDescent="0.3">
      <c r="A173" s="155">
        <v>123</v>
      </c>
      <c r="B173" s="156" t="s">
        <v>382</v>
      </c>
      <c r="C173" s="46"/>
      <c r="D173" s="63"/>
      <c r="E173" s="156"/>
      <c r="F173" s="99"/>
      <c r="G173" s="157">
        <v>8.2100000000000009</v>
      </c>
      <c r="H173" s="155">
        <v>38</v>
      </c>
      <c r="I173" s="155">
        <v>1</v>
      </c>
      <c r="J173" s="156" t="s">
        <v>92</v>
      </c>
      <c r="K173" s="52"/>
      <c r="L173" s="53"/>
      <c r="M173" s="54"/>
      <c r="N173" s="55" t="str">
        <f t="shared" si="2"/>
        <v>pieces</v>
      </c>
      <c r="O173" s="158">
        <v>311.98</v>
      </c>
      <c r="P173" s="44"/>
      <c r="Q173" s="66"/>
      <c r="R173" s="32"/>
      <c r="S173" s="32"/>
      <c r="T173" s="32"/>
      <c r="U173" s="32"/>
      <c r="V173" s="32"/>
      <c r="W173" s="32"/>
      <c r="X173" s="32"/>
      <c r="Y173" s="32"/>
      <c r="Z173" s="32"/>
    </row>
    <row r="174" spans="1:26" ht="15" customHeight="1" x14ac:dyDescent="0.3">
      <c r="A174" s="155">
        <v>124</v>
      </c>
      <c r="B174" s="156" t="s">
        <v>580</v>
      </c>
      <c r="C174" s="46"/>
      <c r="D174" s="63"/>
      <c r="E174" s="156"/>
      <c r="F174" s="99"/>
      <c r="G174" s="157">
        <v>9.4</v>
      </c>
      <c r="H174" s="155">
        <v>18</v>
      </c>
      <c r="I174" s="155">
        <v>10</v>
      </c>
      <c r="J174" s="156" t="s">
        <v>92</v>
      </c>
      <c r="K174" s="52"/>
      <c r="L174" s="53"/>
      <c r="M174" s="54"/>
      <c r="N174" s="55" t="str">
        <f t="shared" si="2"/>
        <v>pieces</v>
      </c>
      <c r="O174" s="158">
        <v>169.2</v>
      </c>
      <c r="P174" s="44"/>
      <c r="Q174" s="66"/>
      <c r="R174" s="32"/>
      <c r="S174" s="32"/>
      <c r="T174" s="32"/>
      <c r="U174" s="32"/>
      <c r="V174" s="32"/>
      <c r="W174" s="32"/>
      <c r="X174" s="32"/>
      <c r="Y174" s="32"/>
      <c r="Z174" s="32"/>
    </row>
    <row r="175" spans="1:26" ht="15" customHeight="1" x14ac:dyDescent="0.3">
      <c r="A175" s="155">
        <v>125</v>
      </c>
      <c r="B175" s="156" t="s">
        <v>384</v>
      </c>
      <c r="C175" s="46"/>
      <c r="D175" s="63"/>
      <c r="E175" s="156" t="s">
        <v>385</v>
      </c>
      <c r="F175" s="99"/>
      <c r="G175" s="157">
        <v>6</v>
      </c>
      <c r="H175" s="155">
        <v>410</v>
      </c>
      <c r="I175" s="155">
        <v>1</v>
      </c>
      <c r="J175" s="156" t="s">
        <v>92</v>
      </c>
      <c r="K175" s="52"/>
      <c r="L175" s="53"/>
      <c r="M175" s="54"/>
      <c r="N175" s="55" t="str">
        <f t="shared" si="2"/>
        <v>pieces</v>
      </c>
      <c r="O175" s="158">
        <v>2460</v>
      </c>
      <c r="P175" s="44"/>
      <c r="Q175" s="66"/>
      <c r="R175" s="32"/>
      <c r="S175" s="32"/>
      <c r="T175" s="32"/>
      <c r="U175" s="32"/>
      <c r="V175" s="32"/>
      <c r="W175" s="32"/>
      <c r="X175" s="32"/>
      <c r="Y175" s="32"/>
      <c r="Z175" s="32"/>
    </row>
    <row r="176" spans="1:26" ht="15" customHeight="1" x14ac:dyDescent="0.3">
      <c r="A176" s="155">
        <v>126</v>
      </c>
      <c r="B176" s="156" t="s">
        <v>386</v>
      </c>
      <c r="C176" s="46"/>
      <c r="D176" s="63"/>
      <c r="E176" s="156" t="s">
        <v>387</v>
      </c>
      <c r="F176" s="99"/>
      <c r="G176" s="157">
        <v>7.87</v>
      </c>
      <c r="H176" s="155">
        <v>497</v>
      </c>
      <c r="I176" s="155">
        <v>1</v>
      </c>
      <c r="J176" s="156" t="s">
        <v>92</v>
      </c>
      <c r="K176" s="52"/>
      <c r="L176" s="53"/>
      <c r="M176" s="54"/>
      <c r="N176" s="55" t="str">
        <f t="shared" si="2"/>
        <v>pieces</v>
      </c>
      <c r="O176" s="158">
        <v>3911.39</v>
      </c>
      <c r="P176" s="44"/>
      <c r="Q176" s="66"/>
      <c r="R176" s="32"/>
      <c r="S176" s="32"/>
      <c r="T176" s="32"/>
      <c r="U176" s="32"/>
      <c r="V176" s="32"/>
      <c r="W176" s="32"/>
      <c r="X176" s="32"/>
      <c r="Y176" s="32"/>
      <c r="Z176" s="32"/>
    </row>
    <row r="177" spans="1:26" ht="15" customHeight="1" x14ac:dyDescent="0.3">
      <c r="A177" s="155">
        <v>126</v>
      </c>
      <c r="B177" s="156" t="s">
        <v>386</v>
      </c>
      <c r="C177" s="46"/>
      <c r="D177" s="63"/>
      <c r="E177" s="156"/>
      <c r="F177" s="99"/>
      <c r="G177" s="157">
        <v>7.87</v>
      </c>
      <c r="H177" s="155">
        <v>65</v>
      </c>
      <c r="I177" s="155">
        <v>1</v>
      </c>
      <c r="J177" s="156" t="s">
        <v>92</v>
      </c>
      <c r="K177" s="52"/>
      <c r="L177" s="53"/>
      <c r="M177" s="54"/>
      <c r="N177" s="55" t="str">
        <f t="shared" si="2"/>
        <v>pieces</v>
      </c>
      <c r="O177" s="158">
        <v>511.55</v>
      </c>
      <c r="P177" s="44"/>
      <c r="Q177" s="66"/>
      <c r="R177" s="32"/>
      <c r="S177" s="32"/>
      <c r="T177" s="32"/>
      <c r="U177" s="32"/>
      <c r="V177" s="32"/>
      <c r="W177" s="32"/>
      <c r="X177" s="32"/>
      <c r="Y177" s="32"/>
      <c r="Z177" s="32"/>
    </row>
    <row r="178" spans="1:26" ht="15" customHeight="1" x14ac:dyDescent="0.3">
      <c r="A178" s="155">
        <v>127</v>
      </c>
      <c r="B178" s="156" t="s">
        <v>135</v>
      </c>
      <c r="C178" s="46"/>
      <c r="D178" s="63"/>
      <c r="E178" s="156" t="s">
        <v>581</v>
      </c>
      <c r="F178" s="99"/>
      <c r="G178" s="157">
        <v>8.34</v>
      </c>
      <c r="H178" s="155">
        <v>167</v>
      </c>
      <c r="I178" s="155">
        <v>1</v>
      </c>
      <c r="J178" s="156" t="s">
        <v>92</v>
      </c>
      <c r="K178" s="52"/>
      <c r="L178" s="53"/>
      <c r="M178" s="54"/>
      <c r="N178" s="55" t="str">
        <f t="shared" si="2"/>
        <v>pieces</v>
      </c>
      <c r="O178" s="158">
        <v>1392.78</v>
      </c>
      <c r="P178" s="44"/>
      <c r="Q178" s="66"/>
      <c r="R178" s="32"/>
      <c r="S178" s="32"/>
      <c r="T178" s="32"/>
      <c r="U178" s="32"/>
      <c r="V178" s="32"/>
      <c r="W178" s="32"/>
      <c r="X178" s="32"/>
      <c r="Y178" s="32"/>
      <c r="Z178" s="32"/>
    </row>
    <row r="179" spans="1:26" ht="15" customHeight="1" x14ac:dyDescent="0.3">
      <c r="A179" s="155">
        <v>128</v>
      </c>
      <c r="B179" s="156" t="s">
        <v>582</v>
      </c>
      <c r="C179" s="46"/>
      <c r="D179" s="63"/>
      <c r="E179" s="156"/>
      <c r="F179" s="99"/>
      <c r="G179" s="157">
        <v>0.34453800000000001</v>
      </c>
      <c r="H179" s="155">
        <v>676</v>
      </c>
      <c r="I179" s="155">
        <v>238</v>
      </c>
      <c r="J179" s="156" t="s">
        <v>39</v>
      </c>
      <c r="K179" s="52"/>
      <c r="L179" s="53"/>
      <c r="M179" s="54"/>
      <c r="N179" s="55" t="str">
        <f t="shared" si="2"/>
        <v>grams</v>
      </c>
      <c r="O179" s="158">
        <v>232.9076</v>
      </c>
      <c r="P179" s="44"/>
      <c r="Q179" s="66"/>
      <c r="R179" s="32"/>
      <c r="S179" s="32"/>
      <c r="T179" s="32"/>
      <c r="U179" s="32"/>
      <c r="V179" s="32"/>
      <c r="W179" s="32"/>
      <c r="X179" s="32"/>
      <c r="Y179" s="32"/>
      <c r="Z179" s="32"/>
    </row>
    <row r="180" spans="1:26" ht="15" customHeight="1" x14ac:dyDescent="0.3">
      <c r="A180" s="155">
        <v>129</v>
      </c>
      <c r="B180" s="156" t="s">
        <v>583</v>
      </c>
      <c r="C180" s="46"/>
      <c r="D180" s="63"/>
      <c r="E180" s="156" t="s">
        <v>584</v>
      </c>
      <c r="F180" s="99"/>
      <c r="G180" s="157">
        <v>0.26935500000000001</v>
      </c>
      <c r="H180" s="155">
        <v>248</v>
      </c>
      <c r="I180" s="155">
        <v>62</v>
      </c>
      <c r="J180" s="156" t="s">
        <v>39</v>
      </c>
      <c r="K180" s="52"/>
      <c r="L180" s="53"/>
      <c r="M180" s="54"/>
      <c r="N180" s="55" t="str">
        <f t="shared" si="2"/>
        <v>grams</v>
      </c>
      <c r="O180" s="158">
        <v>66.8</v>
      </c>
      <c r="P180" s="44"/>
      <c r="Q180" s="66"/>
      <c r="R180" s="32"/>
      <c r="S180" s="32"/>
      <c r="T180" s="32"/>
      <c r="U180" s="32"/>
      <c r="V180" s="32"/>
      <c r="W180" s="32"/>
      <c r="X180" s="32"/>
      <c r="Y180" s="32"/>
      <c r="Z180" s="32"/>
    </row>
    <row r="181" spans="1:26" ht="15" customHeight="1" x14ac:dyDescent="0.3">
      <c r="A181" s="155">
        <v>130</v>
      </c>
      <c r="B181" s="156" t="s">
        <v>585</v>
      </c>
      <c r="C181" s="46"/>
      <c r="D181" s="63"/>
      <c r="E181" s="156" t="s">
        <v>586</v>
      </c>
      <c r="F181" s="99"/>
      <c r="G181" s="157">
        <v>0.23499999999999999</v>
      </c>
      <c r="H181" s="155">
        <v>200</v>
      </c>
      <c r="I181" s="155">
        <v>200</v>
      </c>
      <c r="J181" s="156" t="s">
        <v>39</v>
      </c>
      <c r="K181" s="52"/>
      <c r="L181" s="53"/>
      <c r="M181" s="54"/>
      <c r="N181" s="55" t="str">
        <f t="shared" si="2"/>
        <v>grams</v>
      </c>
      <c r="O181" s="158">
        <v>47</v>
      </c>
      <c r="P181" s="44"/>
      <c r="Q181" s="66"/>
      <c r="R181" s="32"/>
      <c r="S181" s="32"/>
      <c r="T181" s="32"/>
      <c r="U181" s="32"/>
      <c r="V181" s="32"/>
      <c r="W181" s="32"/>
      <c r="X181" s="32"/>
      <c r="Y181" s="32"/>
      <c r="Z181" s="32"/>
    </row>
    <row r="182" spans="1:26" ht="15" customHeight="1" x14ac:dyDescent="0.3">
      <c r="A182" s="155">
        <v>131</v>
      </c>
      <c r="B182" s="156" t="s">
        <v>252</v>
      </c>
      <c r="C182" s="46"/>
      <c r="D182" s="63"/>
      <c r="E182" s="156" t="s">
        <v>253</v>
      </c>
      <c r="F182" s="99"/>
      <c r="G182" s="157">
        <v>18.25</v>
      </c>
      <c r="H182" s="155">
        <v>2</v>
      </c>
      <c r="I182" s="155">
        <v>1</v>
      </c>
      <c r="J182" s="156" t="s">
        <v>39</v>
      </c>
      <c r="K182" s="52"/>
      <c r="L182" s="53"/>
      <c r="M182" s="54"/>
      <c r="N182" s="55" t="str">
        <f t="shared" si="2"/>
        <v>grams</v>
      </c>
      <c r="O182" s="158">
        <v>36.5</v>
      </c>
      <c r="P182" s="44"/>
      <c r="Q182" s="66"/>
      <c r="R182" s="32"/>
      <c r="S182" s="32"/>
      <c r="T182" s="32"/>
      <c r="U182" s="32"/>
      <c r="V182" s="32"/>
      <c r="W182" s="32"/>
      <c r="X182" s="32"/>
      <c r="Y182" s="32"/>
      <c r="Z182" s="32"/>
    </row>
    <row r="183" spans="1:26" ht="15" customHeight="1" x14ac:dyDescent="0.3">
      <c r="A183" s="155">
        <v>131</v>
      </c>
      <c r="B183" s="156" t="s">
        <v>252</v>
      </c>
      <c r="C183" s="46"/>
      <c r="D183" s="63"/>
      <c r="E183" s="156"/>
      <c r="F183" s="99"/>
      <c r="G183" s="157">
        <v>0.91249999999999998</v>
      </c>
      <c r="H183" s="155">
        <v>40</v>
      </c>
      <c r="I183" s="155">
        <v>1</v>
      </c>
      <c r="J183" s="156" t="s">
        <v>39</v>
      </c>
      <c r="K183" s="52"/>
      <c r="L183" s="53"/>
      <c r="M183" s="54"/>
      <c r="N183" s="55" t="str">
        <f t="shared" si="2"/>
        <v>grams</v>
      </c>
      <c r="O183" s="158">
        <v>36.5</v>
      </c>
      <c r="P183" s="44"/>
      <c r="Q183" s="66"/>
      <c r="R183" s="32"/>
      <c r="S183" s="32"/>
      <c r="T183" s="32"/>
      <c r="U183" s="32"/>
      <c r="V183" s="32"/>
      <c r="W183" s="32"/>
      <c r="X183" s="32"/>
      <c r="Y183" s="32"/>
      <c r="Z183" s="32"/>
    </row>
    <row r="184" spans="1:26" ht="15" customHeight="1" x14ac:dyDescent="0.3">
      <c r="A184" s="155">
        <v>132</v>
      </c>
      <c r="B184" s="156" t="s">
        <v>345</v>
      </c>
      <c r="C184" s="46"/>
      <c r="D184" s="63"/>
      <c r="E184" s="156" t="s">
        <v>346</v>
      </c>
      <c r="F184" s="99"/>
      <c r="G184" s="157">
        <v>1.25</v>
      </c>
      <c r="H184" s="155">
        <v>300</v>
      </c>
      <c r="I184" s="155">
        <v>1</v>
      </c>
      <c r="J184" s="156" t="s">
        <v>92</v>
      </c>
      <c r="K184" s="52"/>
      <c r="L184" s="53"/>
      <c r="M184" s="54"/>
      <c r="N184" s="55" t="str">
        <f t="shared" si="2"/>
        <v>pieces</v>
      </c>
      <c r="O184" s="158">
        <v>375</v>
      </c>
      <c r="P184" s="44"/>
      <c r="Q184" s="66"/>
      <c r="R184" s="32"/>
      <c r="S184" s="32"/>
      <c r="T184" s="32"/>
      <c r="U184" s="32"/>
      <c r="V184" s="32"/>
      <c r="W184" s="32"/>
      <c r="X184" s="32"/>
      <c r="Y184" s="32"/>
      <c r="Z184" s="32"/>
    </row>
    <row r="185" spans="1:26" ht="15" customHeight="1" x14ac:dyDescent="0.3">
      <c r="A185" s="155">
        <v>133</v>
      </c>
      <c r="B185" s="156" t="s">
        <v>322</v>
      </c>
      <c r="C185" s="46"/>
      <c r="D185" s="63"/>
      <c r="E185" s="156" t="s">
        <v>323</v>
      </c>
      <c r="F185" s="99"/>
      <c r="G185" s="157">
        <v>24.94</v>
      </c>
      <c r="H185" s="155">
        <v>48</v>
      </c>
      <c r="I185" s="155">
        <v>1</v>
      </c>
      <c r="J185" s="156" t="s">
        <v>92</v>
      </c>
      <c r="K185" s="52"/>
      <c r="L185" s="53"/>
      <c r="M185" s="54"/>
      <c r="N185" s="55" t="str">
        <f t="shared" si="2"/>
        <v>pieces</v>
      </c>
      <c r="O185" s="158">
        <v>1197.1199999999999</v>
      </c>
      <c r="P185" s="44"/>
      <c r="Q185" s="66"/>
      <c r="R185" s="32"/>
      <c r="S185" s="32"/>
      <c r="T185" s="32"/>
      <c r="U185" s="32"/>
      <c r="V185" s="32"/>
      <c r="W185" s="32"/>
      <c r="X185" s="32"/>
      <c r="Y185" s="32"/>
      <c r="Z185" s="32"/>
    </row>
    <row r="186" spans="1:26" ht="15" customHeight="1" x14ac:dyDescent="0.3">
      <c r="A186" s="155">
        <v>134</v>
      </c>
      <c r="B186" s="156" t="s">
        <v>324</v>
      </c>
      <c r="C186" s="46"/>
      <c r="D186" s="63"/>
      <c r="E186" s="156" t="s">
        <v>323</v>
      </c>
      <c r="F186" s="99"/>
      <c r="G186" s="157">
        <v>24.77</v>
      </c>
      <c r="H186" s="155">
        <v>48</v>
      </c>
      <c r="I186" s="155">
        <v>1</v>
      </c>
      <c r="J186" s="156" t="s">
        <v>92</v>
      </c>
      <c r="K186" s="52"/>
      <c r="L186" s="53"/>
      <c r="M186" s="54"/>
      <c r="N186" s="55" t="str">
        <f t="shared" si="2"/>
        <v>pieces</v>
      </c>
      <c r="O186" s="158">
        <v>1188.96</v>
      </c>
      <c r="P186" s="44"/>
      <c r="Q186" s="66"/>
      <c r="R186" s="32"/>
      <c r="S186" s="32"/>
      <c r="T186" s="32"/>
      <c r="U186" s="32"/>
      <c r="V186" s="32"/>
      <c r="W186" s="32"/>
      <c r="X186" s="32"/>
      <c r="Y186" s="32"/>
      <c r="Z186" s="32"/>
    </row>
    <row r="187" spans="1:26" ht="15" customHeight="1" x14ac:dyDescent="0.3">
      <c r="A187" s="155">
        <v>135</v>
      </c>
      <c r="B187" s="156" t="s">
        <v>307</v>
      </c>
      <c r="C187" s="46"/>
      <c r="D187" s="63"/>
      <c r="E187" s="156" t="s">
        <v>308</v>
      </c>
      <c r="F187" s="99"/>
      <c r="G187" s="157">
        <v>220</v>
      </c>
      <c r="H187" s="155">
        <v>2</v>
      </c>
      <c r="I187" s="155">
        <v>1</v>
      </c>
      <c r="J187" s="156" t="s">
        <v>39</v>
      </c>
      <c r="K187" s="52"/>
      <c r="L187" s="53"/>
      <c r="M187" s="54"/>
      <c r="N187" s="55" t="str">
        <f t="shared" si="2"/>
        <v>grams</v>
      </c>
      <c r="O187" s="158">
        <v>440</v>
      </c>
      <c r="P187" s="44"/>
      <c r="Q187" s="66"/>
      <c r="R187" s="32"/>
      <c r="S187" s="32"/>
      <c r="T187" s="32"/>
      <c r="U187" s="32"/>
      <c r="V187" s="32"/>
      <c r="W187" s="32"/>
      <c r="X187" s="32"/>
      <c r="Y187" s="32"/>
      <c r="Z187" s="32"/>
    </row>
    <row r="188" spans="1:26" ht="15" customHeight="1" x14ac:dyDescent="0.3">
      <c r="A188" s="155">
        <v>136</v>
      </c>
      <c r="B188" s="156" t="s">
        <v>254</v>
      </c>
      <c r="C188" s="46"/>
      <c r="D188" s="63"/>
      <c r="E188" s="156" t="s">
        <v>587</v>
      </c>
      <c r="F188" s="99"/>
      <c r="G188" s="157">
        <v>0.22</v>
      </c>
      <c r="H188" s="155">
        <v>1000</v>
      </c>
      <c r="I188" s="155">
        <v>1000</v>
      </c>
      <c r="J188" s="156" t="s">
        <v>39</v>
      </c>
      <c r="K188" s="52"/>
      <c r="L188" s="53"/>
      <c r="M188" s="54"/>
      <c r="N188" s="55" t="str">
        <f t="shared" si="2"/>
        <v>grams</v>
      </c>
      <c r="O188" s="158">
        <v>220</v>
      </c>
      <c r="P188" s="44"/>
      <c r="Q188" s="66"/>
      <c r="R188" s="32"/>
      <c r="S188" s="32"/>
      <c r="T188" s="32"/>
      <c r="U188" s="32"/>
      <c r="V188" s="32"/>
      <c r="W188" s="32"/>
      <c r="X188" s="32"/>
      <c r="Y188" s="32"/>
      <c r="Z188" s="32"/>
    </row>
    <row r="189" spans="1:26" ht="15" customHeight="1" x14ac:dyDescent="0.3">
      <c r="A189" s="155">
        <v>136</v>
      </c>
      <c r="B189" s="156" t="s">
        <v>254</v>
      </c>
      <c r="C189" s="46"/>
      <c r="D189" s="63"/>
      <c r="E189" s="156" t="s">
        <v>588</v>
      </c>
      <c r="F189" s="99"/>
      <c r="G189" s="157">
        <v>1.06</v>
      </c>
      <c r="H189" s="155">
        <v>150</v>
      </c>
      <c r="I189" s="155">
        <v>1000</v>
      </c>
      <c r="J189" s="156" t="s">
        <v>39</v>
      </c>
      <c r="K189" s="52"/>
      <c r="L189" s="53"/>
      <c r="M189" s="54"/>
      <c r="N189" s="55" t="str">
        <f t="shared" si="2"/>
        <v>grams</v>
      </c>
      <c r="O189" s="158">
        <v>159</v>
      </c>
      <c r="P189" s="44"/>
      <c r="Q189" s="66"/>
      <c r="R189" s="32"/>
      <c r="S189" s="32"/>
      <c r="T189" s="32"/>
      <c r="U189" s="32"/>
      <c r="V189" s="32"/>
      <c r="W189" s="32"/>
      <c r="X189" s="32"/>
      <c r="Y189" s="32"/>
      <c r="Z189" s="32"/>
    </row>
    <row r="190" spans="1:26" ht="15" customHeight="1" x14ac:dyDescent="0.3">
      <c r="A190" s="155">
        <v>136</v>
      </c>
      <c r="B190" s="156" t="s">
        <v>254</v>
      </c>
      <c r="C190" s="46"/>
      <c r="D190" s="63"/>
      <c r="E190" s="156" t="s">
        <v>255</v>
      </c>
      <c r="F190" s="99"/>
      <c r="G190" s="157">
        <v>113</v>
      </c>
      <c r="H190" s="155">
        <v>7</v>
      </c>
      <c r="I190" s="155">
        <v>1000</v>
      </c>
      <c r="J190" s="156" t="s">
        <v>39</v>
      </c>
      <c r="K190" s="52"/>
      <c r="L190" s="53"/>
      <c r="M190" s="54"/>
      <c r="N190" s="55" t="str">
        <f t="shared" si="2"/>
        <v>grams</v>
      </c>
      <c r="O190" s="158">
        <v>791</v>
      </c>
      <c r="P190" s="44"/>
      <c r="Q190" s="66"/>
      <c r="R190" s="32"/>
      <c r="S190" s="32"/>
      <c r="T190" s="32"/>
      <c r="U190" s="32"/>
      <c r="V190" s="32"/>
      <c r="W190" s="32"/>
      <c r="X190" s="32"/>
      <c r="Y190" s="32"/>
      <c r="Z190" s="32"/>
    </row>
    <row r="191" spans="1:26" ht="15" customHeight="1" x14ac:dyDescent="0.3">
      <c r="A191" s="155">
        <v>137</v>
      </c>
      <c r="B191" s="156" t="s">
        <v>309</v>
      </c>
      <c r="C191" s="46"/>
      <c r="D191" s="63"/>
      <c r="E191" s="156" t="s">
        <v>310</v>
      </c>
      <c r="F191" s="99"/>
      <c r="G191" s="157">
        <v>450</v>
      </c>
      <c r="H191" s="155">
        <v>1</v>
      </c>
      <c r="I191" s="155">
        <v>1</v>
      </c>
      <c r="J191" s="156" t="s">
        <v>39</v>
      </c>
      <c r="K191" s="52"/>
      <c r="L191" s="53"/>
      <c r="M191" s="54"/>
      <c r="N191" s="55" t="str">
        <f t="shared" si="2"/>
        <v>grams</v>
      </c>
      <c r="O191" s="158">
        <v>450</v>
      </c>
      <c r="P191" s="44"/>
      <c r="Q191" s="66"/>
      <c r="R191" s="32"/>
      <c r="S191" s="32"/>
      <c r="T191" s="32"/>
      <c r="U191" s="32"/>
      <c r="V191" s="32"/>
      <c r="W191" s="32"/>
      <c r="X191" s="32"/>
      <c r="Y191" s="32"/>
      <c r="Z191" s="32"/>
    </row>
    <row r="192" spans="1:26" ht="15" customHeight="1" x14ac:dyDescent="0.3">
      <c r="A192" s="155">
        <v>137</v>
      </c>
      <c r="B192" s="156" t="s">
        <v>309</v>
      </c>
      <c r="C192" s="46"/>
      <c r="D192" s="63"/>
      <c r="E192" s="156"/>
      <c r="F192" s="99"/>
      <c r="G192" s="157">
        <v>0.56000000000000005</v>
      </c>
      <c r="H192" s="155">
        <v>500</v>
      </c>
      <c r="I192" s="155">
        <v>1</v>
      </c>
      <c r="J192" s="156" t="s">
        <v>39</v>
      </c>
      <c r="K192" s="52"/>
      <c r="L192" s="53"/>
      <c r="M192" s="54"/>
      <c r="N192" s="55" t="str">
        <f t="shared" si="2"/>
        <v>grams</v>
      </c>
      <c r="O192" s="158">
        <v>280</v>
      </c>
      <c r="P192" s="44"/>
      <c r="Q192" s="66"/>
      <c r="R192" s="32"/>
      <c r="S192" s="32"/>
      <c r="T192" s="32"/>
      <c r="U192" s="32"/>
      <c r="V192" s="32"/>
      <c r="W192" s="32"/>
      <c r="X192" s="32"/>
      <c r="Y192" s="32"/>
      <c r="Z192" s="32"/>
    </row>
    <row r="193" spans="1:26" ht="15" customHeight="1" x14ac:dyDescent="0.3">
      <c r="A193" s="155">
        <v>138</v>
      </c>
      <c r="B193" s="156" t="s">
        <v>388</v>
      </c>
      <c r="C193" s="46"/>
      <c r="D193" s="63"/>
      <c r="E193" s="156" t="s">
        <v>389</v>
      </c>
      <c r="F193" s="99"/>
      <c r="G193" s="157">
        <v>7.15</v>
      </c>
      <c r="H193" s="155">
        <v>400</v>
      </c>
      <c r="I193" s="155">
        <v>1</v>
      </c>
      <c r="J193" s="156" t="s">
        <v>92</v>
      </c>
      <c r="K193" s="52"/>
      <c r="L193" s="53"/>
      <c r="M193" s="54"/>
      <c r="N193" s="55" t="str">
        <f t="shared" si="2"/>
        <v>pieces</v>
      </c>
      <c r="O193" s="158">
        <v>2860</v>
      </c>
      <c r="P193" s="44"/>
      <c r="Q193" s="66"/>
      <c r="R193" s="32"/>
      <c r="S193" s="32"/>
      <c r="T193" s="32"/>
      <c r="U193" s="32"/>
      <c r="V193" s="32"/>
      <c r="W193" s="32"/>
      <c r="X193" s="32"/>
      <c r="Y193" s="32"/>
      <c r="Z193" s="32"/>
    </row>
    <row r="194" spans="1:26" ht="15" customHeight="1" x14ac:dyDescent="0.3">
      <c r="A194" s="155">
        <v>139</v>
      </c>
      <c r="B194" s="156" t="s">
        <v>390</v>
      </c>
      <c r="C194" s="46"/>
      <c r="D194" s="63"/>
      <c r="E194" s="156" t="s">
        <v>391</v>
      </c>
      <c r="F194" s="99"/>
      <c r="G194" s="157">
        <v>7.8639219999999996</v>
      </c>
      <c r="H194" s="155">
        <v>459</v>
      </c>
      <c r="I194" s="155">
        <v>1</v>
      </c>
      <c r="J194" s="156" t="s">
        <v>92</v>
      </c>
      <c r="K194" s="52"/>
      <c r="L194" s="53"/>
      <c r="M194" s="54"/>
      <c r="N194" s="55" t="str">
        <f t="shared" si="2"/>
        <v>pieces</v>
      </c>
      <c r="O194" s="158">
        <v>3609.54</v>
      </c>
      <c r="P194" s="44"/>
      <c r="Q194" s="66"/>
      <c r="R194" s="32"/>
      <c r="S194" s="32"/>
      <c r="T194" s="32"/>
      <c r="U194" s="32"/>
      <c r="V194" s="32"/>
      <c r="W194" s="32"/>
      <c r="X194" s="32"/>
      <c r="Y194" s="32"/>
      <c r="Z194" s="32"/>
    </row>
    <row r="195" spans="1:26" ht="15" customHeight="1" x14ac:dyDescent="0.3">
      <c r="A195" s="155">
        <v>140</v>
      </c>
      <c r="B195" s="156" t="s">
        <v>198</v>
      </c>
      <c r="C195" s="46"/>
      <c r="D195" s="63"/>
      <c r="E195" s="156" t="s">
        <v>199</v>
      </c>
      <c r="F195" s="99"/>
      <c r="G195" s="157">
        <v>309</v>
      </c>
      <c r="H195" s="155">
        <v>27</v>
      </c>
      <c r="I195" s="155">
        <v>1</v>
      </c>
      <c r="J195" s="156" t="s">
        <v>200</v>
      </c>
      <c r="K195" s="52"/>
      <c r="L195" s="53"/>
      <c r="M195" s="54"/>
      <c r="N195" s="55" t="str">
        <f t="shared" si="2"/>
        <v>gal</v>
      </c>
      <c r="O195" s="158">
        <v>8343</v>
      </c>
      <c r="P195" s="44"/>
      <c r="Q195" s="66"/>
      <c r="R195" s="32"/>
      <c r="S195" s="32"/>
      <c r="T195" s="32"/>
      <c r="U195" s="32"/>
      <c r="V195" s="32"/>
      <c r="W195" s="32"/>
      <c r="X195" s="32"/>
      <c r="Y195" s="32"/>
      <c r="Z195" s="32"/>
    </row>
    <row r="196" spans="1:26" ht="15" customHeight="1" x14ac:dyDescent="0.3">
      <c r="A196" s="155">
        <v>141</v>
      </c>
      <c r="B196" s="156" t="s">
        <v>589</v>
      </c>
      <c r="C196" s="46"/>
      <c r="D196" s="63"/>
      <c r="E196" s="156"/>
      <c r="F196" s="99"/>
      <c r="G196" s="157">
        <v>0.32</v>
      </c>
      <c r="H196" s="155">
        <v>1300</v>
      </c>
      <c r="I196" s="155">
        <v>1000</v>
      </c>
      <c r="J196" s="156" t="s">
        <v>39</v>
      </c>
      <c r="K196" s="52"/>
      <c r="L196" s="53"/>
      <c r="M196" s="54"/>
      <c r="N196" s="55" t="str">
        <f t="shared" si="2"/>
        <v>grams</v>
      </c>
      <c r="O196" s="158">
        <v>416</v>
      </c>
      <c r="P196" s="44"/>
      <c r="Q196" s="66"/>
      <c r="R196" s="32"/>
      <c r="S196" s="32"/>
      <c r="T196" s="32"/>
      <c r="U196" s="32"/>
      <c r="V196" s="32"/>
      <c r="W196" s="32"/>
      <c r="X196" s="32"/>
      <c r="Y196" s="32"/>
      <c r="Z196" s="32"/>
    </row>
    <row r="197" spans="1:26" ht="15" customHeight="1" x14ac:dyDescent="0.3">
      <c r="A197" s="155">
        <v>142</v>
      </c>
      <c r="B197" s="156" t="s">
        <v>590</v>
      </c>
      <c r="C197" s="46"/>
      <c r="D197" s="63"/>
      <c r="E197" s="156" t="s">
        <v>51</v>
      </c>
      <c r="F197" s="99"/>
      <c r="G197" s="157">
        <v>0.625</v>
      </c>
      <c r="H197" s="155">
        <v>250</v>
      </c>
      <c r="I197" s="155">
        <v>1000</v>
      </c>
      <c r="J197" s="156" t="s">
        <v>39</v>
      </c>
      <c r="K197" s="52"/>
      <c r="L197" s="53"/>
      <c r="M197" s="54"/>
      <c r="N197" s="55" t="str">
        <f t="shared" si="2"/>
        <v>grams</v>
      </c>
      <c r="O197" s="158">
        <v>156.25</v>
      </c>
      <c r="P197" s="44"/>
      <c r="Q197" s="66"/>
      <c r="R197" s="32"/>
      <c r="S197" s="32"/>
      <c r="T197" s="32"/>
      <c r="U197" s="32"/>
      <c r="V197" s="32"/>
      <c r="W197" s="32"/>
      <c r="X197" s="32"/>
      <c r="Y197" s="32"/>
      <c r="Z197" s="32"/>
    </row>
    <row r="198" spans="1:26" ht="15" customHeight="1" x14ac:dyDescent="0.3">
      <c r="A198" s="155">
        <v>142</v>
      </c>
      <c r="B198" s="156" t="s">
        <v>590</v>
      </c>
      <c r="C198" s="46"/>
      <c r="D198" s="63"/>
      <c r="E198" s="156"/>
      <c r="F198" s="99"/>
      <c r="G198" s="157">
        <v>0.35</v>
      </c>
      <c r="H198" s="155">
        <v>100</v>
      </c>
      <c r="I198" s="155">
        <v>1000</v>
      </c>
      <c r="J198" s="156" t="s">
        <v>39</v>
      </c>
      <c r="K198" s="52"/>
      <c r="L198" s="53"/>
      <c r="M198" s="54"/>
      <c r="N198" s="55" t="str">
        <f t="shared" si="2"/>
        <v>grams</v>
      </c>
      <c r="O198" s="158">
        <v>35</v>
      </c>
      <c r="P198" s="44"/>
      <c r="Q198" s="66"/>
      <c r="R198" s="32"/>
      <c r="S198" s="32"/>
      <c r="T198" s="32"/>
      <c r="U198" s="32"/>
      <c r="V198" s="32"/>
      <c r="W198" s="32"/>
      <c r="X198" s="32"/>
      <c r="Y198" s="32"/>
      <c r="Z198" s="32"/>
    </row>
    <row r="199" spans="1:26" ht="15" customHeight="1" x14ac:dyDescent="0.3">
      <c r="A199" s="155">
        <v>143</v>
      </c>
      <c r="B199" s="156" t="s">
        <v>591</v>
      </c>
      <c r="C199" s="46"/>
      <c r="D199" s="63"/>
      <c r="E199" s="156" t="s">
        <v>592</v>
      </c>
      <c r="F199" s="99"/>
      <c r="G199" s="157">
        <v>0.18</v>
      </c>
      <c r="H199" s="155">
        <v>10000</v>
      </c>
      <c r="I199" s="155">
        <v>1000</v>
      </c>
      <c r="J199" s="156" t="s">
        <v>39</v>
      </c>
      <c r="K199" s="52"/>
      <c r="L199" s="53"/>
      <c r="M199" s="54"/>
      <c r="N199" s="55" t="str">
        <f t="shared" si="2"/>
        <v>grams</v>
      </c>
      <c r="O199" s="158">
        <v>1800</v>
      </c>
      <c r="P199" s="44"/>
      <c r="Q199" s="66"/>
      <c r="R199" s="32"/>
      <c r="S199" s="32"/>
      <c r="T199" s="32"/>
      <c r="U199" s="32"/>
      <c r="V199" s="32"/>
      <c r="W199" s="32"/>
      <c r="X199" s="32"/>
      <c r="Y199" s="32"/>
      <c r="Z199" s="32"/>
    </row>
    <row r="200" spans="1:26" ht="15" customHeight="1" x14ac:dyDescent="0.3">
      <c r="A200" s="155">
        <v>144</v>
      </c>
      <c r="B200" s="156" t="s">
        <v>593</v>
      </c>
      <c r="C200" s="46"/>
      <c r="D200" s="63"/>
      <c r="E200" s="156"/>
      <c r="F200" s="99"/>
      <c r="G200" s="157">
        <v>19.524999999999999</v>
      </c>
      <c r="H200" s="155">
        <v>4</v>
      </c>
      <c r="I200" s="155">
        <v>4</v>
      </c>
      <c r="J200" s="156" t="s">
        <v>92</v>
      </c>
      <c r="K200" s="52"/>
      <c r="L200" s="53"/>
      <c r="M200" s="54"/>
      <c r="N200" s="55" t="str">
        <f t="shared" si="2"/>
        <v>pieces</v>
      </c>
      <c r="O200" s="158">
        <v>78.099999999999994</v>
      </c>
      <c r="P200" s="44"/>
      <c r="Q200" s="66"/>
      <c r="R200" s="32"/>
      <c r="S200" s="32"/>
      <c r="T200" s="32"/>
      <c r="U200" s="32"/>
      <c r="V200" s="32"/>
      <c r="W200" s="32"/>
      <c r="X200" s="32"/>
      <c r="Y200" s="32"/>
      <c r="Z200" s="32"/>
    </row>
    <row r="201" spans="1:26" ht="15" customHeight="1" x14ac:dyDescent="0.3">
      <c r="A201" s="155">
        <v>145</v>
      </c>
      <c r="B201" s="156" t="s">
        <v>594</v>
      </c>
      <c r="C201" s="46"/>
      <c r="D201" s="63"/>
      <c r="E201" s="156"/>
      <c r="F201" s="99"/>
      <c r="G201" s="157">
        <v>19.524999999999999</v>
      </c>
      <c r="H201" s="155">
        <v>4</v>
      </c>
      <c r="I201" s="155">
        <v>4</v>
      </c>
      <c r="J201" s="156" t="s">
        <v>92</v>
      </c>
      <c r="K201" s="52"/>
      <c r="L201" s="53"/>
      <c r="M201" s="54"/>
      <c r="N201" s="55" t="str">
        <f t="shared" si="2"/>
        <v>pieces</v>
      </c>
      <c r="O201" s="158">
        <v>78.099999999999994</v>
      </c>
      <c r="P201" s="44"/>
      <c r="Q201" s="66"/>
      <c r="R201" s="32"/>
      <c r="S201" s="32"/>
      <c r="T201" s="32"/>
      <c r="U201" s="32"/>
      <c r="V201" s="32"/>
      <c r="W201" s="32"/>
      <c r="X201" s="32"/>
      <c r="Y201" s="32"/>
      <c r="Z201" s="32"/>
    </row>
    <row r="202" spans="1:26" ht="15" customHeight="1" x14ac:dyDescent="0.3">
      <c r="A202" s="155">
        <v>146</v>
      </c>
      <c r="B202" s="156" t="s">
        <v>595</v>
      </c>
      <c r="C202" s="46"/>
      <c r="D202" s="63"/>
      <c r="E202" s="156"/>
      <c r="F202" s="99"/>
      <c r="G202" s="157">
        <v>656</v>
      </c>
      <c r="H202" s="155">
        <v>17</v>
      </c>
      <c r="I202" s="155">
        <v>1</v>
      </c>
      <c r="J202" s="156" t="s">
        <v>200</v>
      </c>
      <c r="K202" s="52"/>
      <c r="L202" s="53"/>
      <c r="M202" s="54"/>
      <c r="N202" s="55" t="str">
        <f t="shared" si="2"/>
        <v>gal</v>
      </c>
      <c r="O202" s="158">
        <v>11152</v>
      </c>
      <c r="P202" s="44"/>
      <c r="Q202" s="66"/>
      <c r="R202" s="32"/>
      <c r="S202" s="32"/>
      <c r="T202" s="32"/>
      <c r="U202" s="32"/>
      <c r="V202" s="32"/>
      <c r="W202" s="32"/>
      <c r="X202" s="32"/>
      <c r="Y202" s="32"/>
      <c r="Z202" s="32"/>
    </row>
    <row r="203" spans="1:26" ht="15" customHeight="1" x14ac:dyDescent="0.3">
      <c r="A203" s="155">
        <v>147</v>
      </c>
      <c r="B203" s="156" t="s">
        <v>293</v>
      </c>
      <c r="C203" s="46"/>
      <c r="D203" s="63"/>
      <c r="E203" s="156" t="s">
        <v>596</v>
      </c>
      <c r="F203" s="99"/>
      <c r="G203" s="157">
        <v>0.24285699999999999</v>
      </c>
      <c r="H203" s="155">
        <v>350</v>
      </c>
      <c r="I203" s="155">
        <v>350</v>
      </c>
      <c r="J203" s="156" t="s">
        <v>32</v>
      </c>
      <c r="K203" s="52"/>
      <c r="L203" s="53"/>
      <c r="M203" s="54"/>
      <c r="N203" s="55" t="str">
        <f t="shared" si="2"/>
        <v>ml</v>
      </c>
      <c r="O203" s="158">
        <v>85</v>
      </c>
      <c r="P203" s="44"/>
      <c r="Q203" s="66"/>
      <c r="R203" s="32"/>
      <c r="S203" s="32"/>
      <c r="T203" s="32"/>
      <c r="U203" s="32"/>
      <c r="V203" s="32"/>
      <c r="W203" s="32"/>
      <c r="X203" s="32"/>
      <c r="Y203" s="32"/>
      <c r="Z203" s="32"/>
    </row>
    <row r="204" spans="1:26" ht="15" customHeight="1" x14ac:dyDescent="0.3">
      <c r="A204" s="155">
        <v>147</v>
      </c>
      <c r="B204" s="156" t="s">
        <v>293</v>
      </c>
      <c r="C204" s="46"/>
      <c r="D204" s="63"/>
      <c r="E204" s="156" t="s">
        <v>294</v>
      </c>
      <c r="F204" s="99"/>
      <c r="G204" s="157">
        <v>6.8810200000000004</v>
      </c>
      <c r="H204" s="155">
        <v>10889</v>
      </c>
      <c r="I204" s="155">
        <v>350</v>
      </c>
      <c r="J204" s="156" t="s">
        <v>92</v>
      </c>
      <c r="K204" s="52"/>
      <c r="L204" s="53"/>
      <c r="M204" s="54"/>
      <c r="N204" s="55" t="str">
        <f t="shared" si="2"/>
        <v>pieces</v>
      </c>
      <c r="O204" s="158">
        <v>74927.429999999993</v>
      </c>
      <c r="P204" s="44"/>
      <c r="Q204" s="66"/>
      <c r="R204" s="32"/>
      <c r="S204" s="32"/>
      <c r="T204" s="32"/>
      <c r="U204" s="32"/>
      <c r="V204" s="32"/>
      <c r="W204" s="32"/>
      <c r="X204" s="32"/>
      <c r="Y204" s="32"/>
      <c r="Z204" s="32"/>
    </row>
    <row r="205" spans="1:26" ht="15" customHeight="1" x14ac:dyDescent="0.3">
      <c r="A205" s="155">
        <v>147</v>
      </c>
      <c r="B205" s="156" t="s">
        <v>293</v>
      </c>
      <c r="C205" s="46"/>
      <c r="D205" s="63"/>
      <c r="E205" s="156"/>
      <c r="F205" s="99"/>
      <c r="G205" s="157">
        <v>7.228288</v>
      </c>
      <c r="H205" s="155">
        <v>2015</v>
      </c>
      <c r="I205" s="155">
        <v>350</v>
      </c>
      <c r="J205" s="156" t="s">
        <v>92</v>
      </c>
      <c r="K205" s="52"/>
      <c r="L205" s="53"/>
      <c r="M205" s="54"/>
      <c r="N205" s="55" t="str">
        <f t="shared" si="2"/>
        <v>pieces</v>
      </c>
      <c r="O205" s="158">
        <v>14565</v>
      </c>
      <c r="P205" s="44"/>
      <c r="Q205" s="66"/>
      <c r="R205" s="32"/>
      <c r="S205" s="32"/>
      <c r="T205" s="32"/>
      <c r="U205" s="32"/>
      <c r="V205" s="32"/>
      <c r="W205" s="32"/>
      <c r="X205" s="32"/>
      <c r="Y205" s="32"/>
      <c r="Z205" s="32"/>
    </row>
    <row r="206" spans="1:26" ht="15" customHeight="1" x14ac:dyDescent="0.3">
      <c r="A206" s="155">
        <v>148</v>
      </c>
      <c r="B206" s="156" t="s">
        <v>597</v>
      </c>
      <c r="C206" s="46"/>
      <c r="D206" s="63"/>
      <c r="E206" s="156"/>
      <c r="F206" s="99"/>
      <c r="G206" s="157">
        <v>9.1</v>
      </c>
      <c r="H206" s="155">
        <v>47</v>
      </c>
      <c r="I206" s="155">
        <v>1</v>
      </c>
      <c r="J206" s="156" t="s">
        <v>92</v>
      </c>
      <c r="K206" s="52"/>
      <c r="L206" s="53"/>
      <c r="M206" s="54"/>
      <c r="N206" s="55" t="str">
        <f t="shared" si="2"/>
        <v>pieces</v>
      </c>
      <c r="O206" s="158">
        <v>427.7</v>
      </c>
      <c r="P206" s="44"/>
      <c r="Q206" s="66"/>
      <c r="R206" s="32"/>
      <c r="S206" s="32"/>
      <c r="T206" s="32"/>
      <c r="U206" s="32"/>
      <c r="V206" s="32"/>
      <c r="W206" s="32"/>
      <c r="X206" s="32"/>
      <c r="Y206" s="32"/>
      <c r="Z206" s="32"/>
    </row>
    <row r="207" spans="1:26" ht="15" customHeight="1" x14ac:dyDescent="0.3">
      <c r="A207" s="155">
        <v>149</v>
      </c>
      <c r="B207" s="156" t="s">
        <v>598</v>
      </c>
      <c r="C207" s="46"/>
      <c r="D207" s="63"/>
      <c r="E207" s="156" t="s">
        <v>599</v>
      </c>
      <c r="F207" s="99"/>
      <c r="G207" s="157">
        <v>8.51</v>
      </c>
      <c r="H207" s="155">
        <v>19</v>
      </c>
      <c r="I207" s="155">
        <v>1</v>
      </c>
      <c r="J207" s="156" t="s">
        <v>92</v>
      </c>
      <c r="K207" s="52"/>
      <c r="L207" s="53"/>
      <c r="M207" s="54"/>
      <c r="N207" s="55" t="str">
        <f t="shared" si="2"/>
        <v>pieces</v>
      </c>
      <c r="O207" s="158">
        <v>161.69</v>
      </c>
      <c r="P207" s="44"/>
      <c r="Q207" s="66"/>
      <c r="R207" s="32"/>
      <c r="S207" s="32"/>
      <c r="T207" s="32"/>
      <c r="U207" s="32"/>
      <c r="V207" s="32"/>
      <c r="W207" s="32"/>
      <c r="X207" s="32"/>
      <c r="Y207" s="32"/>
      <c r="Z207" s="32"/>
    </row>
    <row r="208" spans="1:26" ht="15" customHeight="1" x14ac:dyDescent="0.3">
      <c r="A208" s="155">
        <v>149</v>
      </c>
      <c r="B208" s="156" t="s">
        <v>598</v>
      </c>
      <c r="C208" s="46"/>
      <c r="D208" s="63"/>
      <c r="E208" s="156"/>
      <c r="F208" s="99"/>
      <c r="G208" s="157">
        <v>8.6999999999999993</v>
      </c>
      <c r="H208" s="155">
        <v>86</v>
      </c>
      <c r="I208" s="155">
        <v>1</v>
      </c>
      <c r="J208" s="156" t="s">
        <v>92</v>
      </c>
      <c r="K208" s="52"/>
      <c r="L208" s="53"/>
      <c r="M208" s="54"/>
      <c r="N208" s="55" t="str">
        <f t="shared" si="2"/>
        <v>pieces</v>
      </c>
      <c r="O208" s="158">
        <v>748.2</v>
      </c>
      <c r="P208" s="44"/>
      <c r="Q208" s="66"/>
      <c r="R208" s="32"/>
      <c r="S208" s="32"/>
      <c r="T208" s="32"/>
      <c r="U208" s="32"/>
      <c r="V208" s="32"/>
      <c r="W208" s="32"/>
      <c r="X208" s="32"/>
      <c r="Y208" s="32"/>
      <c r="Z208" s="32"/>
    </row>
    <row r="209" spans="1:26" ht="15" customHeight="1" x14ac:dyDescent="0.3">
      <c r="A209" s="155">
        <v>150</v>
      </c>
      <c r="B209" s="156" t="s">
        <v>600</v>
      </c>
      <c r="C209" s="46"/>
      <c r="D209" s="63"/>
      <c r="E209" s="156"/>
      <c r="F209" s="99"/>
      <c r="G209" s="157">
        <v>8.6999999999999993</v>
      </c>
      <c r="H209" s="155">
        <v>60</v>
      </c>
      <c r="I209" s="155">
        <v>1</v>
      </c>
      <c r="J209" s="156" t="s">
        <v>92</v>
      </c>
      <c r="K209" s="52"/>
      <c r="L209" s="53"/>
      <c r="M209" s="54"/>
      <c r="N209" s="55" t="str">
        <f t="shared" si="2"/>
        <v>pieces</v>
      </c>
      <c r="O209" s="158">
        <v>522</v>
      </c>
      <c r="P209" s="44"/>
      <c r="Q209" s="66"/>
      <c r="R209" s="32"/>
      <c r="S209" s="32"/>
      <c r="T209" s="32"/>
      <c r="U209" s="32"/>
      <c r="V209" s="32"/>
      <c r="W209" s="32"/>
      <c r="X209" s="32"/>
      <c r="Y209" s="32"/>
      <c r="Z209" s="32"/>
    </row>
    <row r="210" spans="1:26" ht="15" customHeight="1" x14ac:dyDescent="0.3">
      <c r="A210" s="155">
        <v>151</v>
      </c>
      <c r="B210" s="156" t="s">
        <v>137</v>
      </c>
      <c r="C210" s="46"/>
      <c r="D210" s="63"/>
      <c r="E210" s="156" t="s">
        <v>599</v>
      </c>
      <c r="F210" s="99"/>
      <c r="G210" s="157">
        <v>8.51</v>
      </c>
      <c r="H210" s="155">
        <v>250</v>
      </c>
      <c r="I210" s="155">
        <v>1</v>
      </c>
      <c r="J210" s="156" t="s">
        <v>92</v>
      </c>
      <c r="K210" s="52"/>
      <c r="L210" s="53"/>
      <c r="M210" s="54"/>
      <c r="N210" s="55" t="str">
        <f t="shared" si="2"/>
        <v>pieces</v>
      </c>
      <c r="O210" s="158">
        <v>2127.5</v>
      </c>
      <c r="P210" s="44"/>
      <c r="Q210" s="66"/>
      <c r="R210" s="32"/>
      <c r="S210" s="32"/>
      <c r="T210" s="32"/>
      <c r="U210" s="32"/>
      <c r="V210" s="32"/>
      <c r="W210" s="32"/>
      <c r="X210" s="32"/>
      <c r="Y210" s="32"/>
      <c r="Z210" s="32"/>
    </row>
    <row r="211" spans="1:26" ht="15" customHeight="1" x14ac:dyDescent="0.3">
      <c r="A211" s="155">
        <v>151</v>
      </c>
      <c r="B211" s="156" t="s">
        <v>137</v>
      </c>
      <c r="C211" s="46"/>
      <c r="D211" s="63"/>
      <c r="E211" s="156"/>
      <c r="F211" s="99"/>
      <c r="G211" s="157">
        <v>8.6999999999999993</v>
      </c>
      <c r="H211" s="155">
        <v>71</v>
      </c>
      <c r="I211" s="155">
        <v>1</v>
      </c>
      <c r="J211" s="156" t="s">
        <v>92</v>
      </c>
      <c r="K211" s="52"/>
      <c r="L211" s="53"/>
      <c r="M211" s="54"/>
      <c r="N211" s="55" t="str">
        <f t="shared" si="2"/>
        <v>pieces</v>
      </c>
      <c r="O211" s="158">
        <v>617.70000000000005</v>
      </c>
      <c r="P211" s="44"/>
      <c r="Q211" s="66"/>
      <c r="R211" s="32"/>
      <c r="S211" s="32"/>
      <c r="T211" s="32"/>
      <c r="U211" s="32"/>
      <c r="V211" s="32"/>
      <c r="W211" s="32"/>
      <c r="X211" s="32"/>
      <c r="Y211" s="32"/>
      <c r="Z211" s="32"/>
    </row>
    <row r="212" spans="1:26" ht="15" customHeight="1" x14ac:dyDescent="0.3">
      <c r="A212" s="155">
        <v>152</v>
      </c>
      <c r="B212" s="156" t="s">
        <v>64</v>
      </c>
      <c r="C212" s="46"/>
      <c r="D212" s="63"/>
      <c r="E212" s="156" t="s">
        <v>601</v>
      </c>
      <c r="F212" s="99"/>
      <c r="G212" s="157">
        <v>9.325E-2</v>
      </c>
      <c r="H212" s="155">
        <v>42480</v>
      </c>
      <c r="I212" s="155">
        <v>360</v>
      </c>
      <c r="J212" s="156" t="s">
        <v>32</v>
      </c>
      <c r="K212" s="52"/>
      <c r="L212" s="53"/>
      <c r="M212" s="54"/>
      <c r="N212" s="55" t="str">
        <f t="shared" si="2"/>
        <v>ml</v>
      </c>
      <c r="O212" s="158">
        <v>3961.26</v>
      </c>
      <c r="P212" s="44"/>
      <c r="Q212" s="66"/>
      <c r="R212" s="32"/>
      <c r="S212" s="32"/>
      <c r="T212" s="32"/>
      <c r="U212" s="32"/>
      <c r="V212" s="32"/>
      <c r="W212" s="32"/>
      <c r="X212" s="32"/>
      <c r="Y212" s="32"/>
      <c r="Z212" s="32"/>
    </row>
    <row r="213" spans="1:26" ht="15" customHeight="1" x14ac:dyDescent="0.3">
      <c r="A213" s="155">
        <v>152</v>
      </c>
      <c r="B213" s="156" t="s">
        <v>64</v>
      </c>
      <c r="C213" s="46"/>
      <c r="D213" s="63"/>
      <c r="E213" s="156" t="s">
        <v>65</v>
      </c>
      <c r="F213" s="99"/>
      <c r="G213" s="157">
        <v>29.63</v>
      </c>
      <c r="H213" s="155">
        <v>191.73</v>
      </c>
      <c r="I213" s="155">
        <v>360</v>
      </c>
      <c r="J213" s="156" t="s">
        <v>32</v>
      </c>
      <c r="K213" s="52"/>
      <c r="L213" s="53"/>
      <c r="M213" s="54"/>
      <c r="N213" s="55" t="str">
        <f t="shared" si="2"/>
        <v>ml</v>
      </c>
      <c r="O213" s="158">
        <v>5680.96</v>
      </c>
      <c r="P213" s="44"/>
      <c r="Q213" s="66"/>
      <c r="R213" s="32"/>
      <c r="S213" s="32"/>
      <c r="T213" s="32"/>
      <c r="U213" s="32"/>
      <c r="V213" s="32"/>
      <c r="W213" s="32"/>
      <c r="X213" s="32"/>
      <c r="Y213" s="32"/>
      <c r="Z213" s="32"/>
    </row>
    <row r="214" spans="1:26" ht="15" customHeight="1" x14ac:dyDescent="0.3">
      <c r="A214" s="155">
        <v>152</v>
      </c>
      <c r="B214" s="156" t="s">
        <v>64</v>
      </c>
      <c r="C214" s="46"/>
      <c r="D214" s="63"/>
      <c r="E214" s="156" t="s">
        <v>602</v>
      </c>
      <c r="F214" s="99"/>
      <c r="G214" s="157">
        <v>9.01E-2</v>
      </c>
      <c r="H214" s="155">
        <v>4000</v>
      </c>
      <c r="I214" s="155">
        <v>360</v>
      </c>
      <c r="J214" s="156" t="s">
        <v>32</v>
      </c>
      <c r="K214" s="52"/>
      <c r="L214" s="53"/>
      <c r="M214" s="54"/>
      <c r="N214" s="55" t="str">
        <f t="shared" si="2"/>
        <v>ml</v>
      </c>
      <c r="O214" s="158">
        <v>360.4</v>
      </c>
      <c r="P214" s="44"/>
      <c r="Q214" s="66"/>
      <c r="R214" s="32"/>
      <c r="S214" s="32"/>
      <c r="T214" s="32"/>
      <c r="U214" s="32"/>
      <c r="V214" s="32"/>
      <c r="W214" s="32"/>
      <c r="X214" s="32"/>
      <c r="Y214" s="32"/>
      <c r="Z214" s="32"/>
    </row>
    <row r="215" spans="1:26" ht="15" customHeight="1" x14ac:dyDescent="0.3">
      <c r="A215" s="155">
        <v>152</v>
      </c>
      <c r="B215" s="156" t="s">
        <v>64</v>
      </c>
      <c r="C215" s="46"/>
      <c r="D215" s="63"/>
      <c r="E215" s="156" t="s">
        <v>603</v>
      </c>
      <c r="F215" s="99"/>
      <c r="G215" s="157">
        <v>0.15027799999999999</v>
      </c>
      <c r="H215" s="155">
        <v>370</v>
      </c>
      <c r="I215" s="155">
        <v>360</v>
      </c>
      <c r="J215" s="156" t="s">
        <v>32</v>
      </c>
      <c r="K215" s="52"/>
      <c r="L215" s="53"/>
      <c r="M215" s="54"/>
      <c r="N215" s="55" t="str">
        <f t="shared" si="2"/>
        <v>ml</v>
      </c>
      <c r="O215" s="158">
        <v>55.602780000000003</v>
      </c>
      <c r="P215" s="44"/>
      <c r="Q215" s="66"/>
      <c r="R215" s="32"/>
      <c r="S215" s="32"/>
      <c r="T215" s="32"/>
      <c r="U215" s="32"/>
      <c r="V215" s="32"/>
      <c r="W215" s="32"/>
      <c r="X215" s="32"/>
      <c r="Y215" s="32"/>
      <c r="Z215" s="32"/>
    </row>
    <row r="216" spans="1:26" ht="15" customHeight="1" x14ac:dyDescent="0.3">
      <c r="A216" s="155">
        <v>153</v>
      </c>
      <c r="B216" s="156" t="s">
        <v>219</v>
      </c>
      <c r="C216" s="46"/>
      <c r="D216" s="63"/>
      <c r="E216" s="156" t="s">
        <v>220</v>
      </c>
      <c r="F216" s="99"/>
      <c r="G216" s="157">
        <v>80</v>
      </c>
      <c r="H216" s="155">
        <v>12</v>
      </c>
      <c r="I216" s="155">
        <v>1</v>
      </c>
      <c r="J216" s="156" t="s">
        <v>39</v>
      </c>
      <c r="K216" s="52"/>
      <c r="L216" s="53"/>
      <c r="M216" s="54"/>
      <c r="N216" s="55" t="str">
        <f t="shared" si="2"/>
        <v>grams</v>
      </c>
      <c r="O216" s="158">
        <v>960</v>
      </c>
      <c r="P216" s="44"/>
      <c r="Q216" s="66"/>
      <c r="R216" s="32"/>
      <c r="S216" s="32"/>
      <c r="T216" s="32"/>
      <c r="U216" s="32"/>
      <c r="V216" s="32"/>
      <c r="W216" s="32"/>
      <c r="X216" s="32"/>
      <c r="Y216" s="32"/>
      <c r="Z216" s="32"/>
    </row>
    <row r="217" spans="1:26" ht="15" customHeight="1" x14ac:dyDescent="0.3">
      <c r="A217" s="155">
        <v>154</v>
      </c>
      <c r="B217" s="156" t="s">
        <v>256</v>
      </c>
      <c r="C217" s="46"/>
      <c r="D217" s="63"/>
      <c r="E217" s="156" t="s">
        <v>239</v>
      </c>
      <c r="F217" s="99"/>
      <c r="G217" s="157">
        <v>73</v>
      </c>
      <c r="H217" s="155">
        <v>12</v>
      </c>
      <c r="I217" s="155">
        <v>1</v>
      </c>
      <c r="J217" s="156" t="s">
        <v>200</v>
      </c>
      <c r="K217" s="52"/>
      <c r="L217" s="53"/>
      <c r="M217" s="54"/>
      <c r="N217" s="55" t="str">
        <f t="shared" si="2"/>
        <v>gal</v>
      </c>
      <c r="O217" s="158">
        <v>876</v>
      </c>
      <c r="P217" s="44"/>
      <c r="Q217" s="66"/>
      <c r="R217" s="32"/>
      <c r="S217" s="32"/>
      <c r="T217" s="32"/>
      <c r="U217" s="32"/>
      <c r="V217" s="32"/>
      <c r="W217" s="32"/>
      <c r="X217" s="32"/>
      <c r="Y217" s="32"/>
      <c r="Z217" s="32"/>
    </row>
    <row r="218" spans="1:26" ht="15" customHeight="1" x14ac:dyDescent="0.3">
      <c r="A218" s="155">
        <v>154</v>
      </c>
      <c r="B218" s="156" t="s">
        <v>256</v>
      </c>
      <c r="C218" s="46"/>
      <c r="D218" s="63"/>
      <c r="E218" s="156"/>
      <c r="F218" s="99"/>
      <c r="G218" s="157">
        <v>73</v>
      </c>
      <c r="H218" s="155">
        <v>8</v>
      </c>
      <c r="I218" s="155">
        <v>1</v>
      </c>
      <c r="J218" s="156" t="s">
        <v>200</v>
      </c>
      <c r="K218" s="52"/>
      <c r="L218" s="53"/>
      <c r="M218" s="54"/>
      <c r="N218" s="55" t="str">
        <f t="shared" si="2"/>
        <v>gal</v>
      </c>
      <c r="O218" s="158">
        <v>584</v>
      </c>
      <c r="P218" s="44"/>
      <c r="Q218" s="66"/>
      <c r="R218" s="32"/>
      <c r="S218" s="32"/>
      <c r="T218" s="32"/>
      <c r="U218" s="32"/>
      <c r="V218" s="32"/>
      <c r="W218" s="32"/>
      <c r="X218" s="32"/>
      <c r="Y218" s="32"/>
      <c r="Z218" s="32"/>
    </row>
    <row r="219" spans="1:26" ht="15" customHeight="1" x14ac:dyDescent="0.3">
      <c r="A219" s="155">
        <v>155</v>
      </c>
      <c r="B219" s="156" t="s">
        <v>392</v>
      </c>
      <c r="C219" s="46"/>
      <c r="D219" s="63"/>
      <c r="E219" s="156" t="s">
        <v>393</v>
      </c>
      <c r="F219" s="99"/>
      <c r="G219" s="157">
        <v>20.54</v>
      </c>
      <c r="H219" s="155">
        <v>7</v>
      </c>
      <c r="I219" s="155">
        <v>1</v>
      </c>
      <c r="J219" s="156" t="s">
        <v>92</v>
      </c>
      <c r="K219" s="52"/>
      <c r="L219" s="53"/>
      <c r="M219" s="54"/>
      <c r="N219" s="55" t="str">
        <f t="shared" si="2"/>
        <v>pieces</v>
      </c>
      <c r="O219" s="158">
        <v>143.78</v>
      </c>
      <c r="P219" s="44"/>
      <c r="Q219" s="66"/>
      <c r="R219" s="32"/>
      <c r="S219" s="32"/>
      <c r="T219" s="32"/>
      <c r="U219" s="32"/>
      <c r="V219" s="32"/>
      <c r="W219" s="32"/>
      <c r="X219" s="32"/>
      <c r="Y219" s="32"/>
      <c r="Z219" s="32"/>
    </row>
    <row r="220" spans="1:26" ht="15" customHeight="1" x14ac:dyDescent="0.3">
      <c r="A220" s="155">
        <v>156</v>
      </c>
      <c r="B220" s="156" t="s">
        <v>97</v>
      </c>
      <c r="C220" s="46"/>
      <c r="D220" s="63"/>
      <c r="E220" s="156" t="s">
        <v>98</v>
      </c>
      <c r="F220" s="99"/>
      <c r="G220" s="157">
        <v>26.196000000000002</v>
      </c>
      <c r="H220" s="155">
        <v>50</v>
      </c>
      <c r="I220" s="155">
        <v>1</v>
      </c>
      <c r="J220" s="156" t="s">
        <v>92</v>
      </c>
      <c r="K220" s="52"/>
      <c r="L220" s="53"/>
      <c r="M220" s="54"/>
      <c r="N220" s="55" t="str">
        <f t="shared" si="2"/>
        <v>pieces</v>
      </c>
      <c r="O220" s="158">
        <v>1309.8</v>
      </c>
      <c r="P220" s="44"/>
      <c r="Q220" s="66"/>
      <c r="R220" s="32"/>
      <c r="S220" s="32"/>
      <c r="T220" s="32"/>
      <c r="U220" s="32"/>
      <c r="V220" s="32"/>
      <c r="W220" s="32"/>
      <c r="X220" s="32"/>
      <c r="Y220" s="32"/>
      <c r="Z220" s="32"/>
    </row>
    <row r="221" spans="1:26" ht="15" customHeight="1" x14ac:dyDescent="0.3">
      <c r="A221" s="155">
        <v>157</v>
      </c>
      <c r="B221" s="156" t="s">
        <v>604</v>
      </c>
      <c r="C221" s="46"/>
      <c r="D221" s="63"/>
      <c r="E221" s="156" t="s">
        <v>605</v>
      </c>
      <c r="F221" s="99"/>
      <c r="G221" s="157">
        <v>5.59</v>
      </c>
      <c r="H221" s="155">
        <v>170</v>
      </c>
      <c r="I221" s="155">
        <v>1</v>
      </c>
      <c r="J221" s="156" t="s">
        <v>92</v>
      </c>
      <c r="K221" s="52"/>
      <c r="L221" s="53"/>
      <c r="M221" s="54"/>
      <c r="N221" s="55" t="str">
        <f t="shared" si="2"/>
        <v>pieces</v>
      </c>
      <c r="O221" s="158">
        <v>950.3</v>
      </c>
      <c r="P221" s="44"/>
      <c r="Q221" s="66"/>
      <c r="R221" s="32"/>
      <c r="S221" s="32"/>
      <c r="T221" s="32"/>
      <c r="U221" s="32"/>
      <c r="V221" s="32"/>
      <c r="W221" s="32"/>
      <c r="X221" s="32"/>
      <c r="Y221" s="32"/>
      <c r="Z221" s="32"/>
    </row>
    <row r="222" spans="1:26" ht="15" customHeight="1" x14ac:dyDescent="0.3">
      <c r="A222" s="155">
        <v>158</v>
      </c>
      <c r="B222" s="156" t="s">
        <v>394</v>
      </c>
      <c r="C222" s="46"/>
      <c r="D222" s="63"/>
      <c r="E222" s="156" t="s">
        <v>395</v>
      </c>
      <c r="F222" s="99"/>
      <c r="G222" s="157">
        <v>5.59</v>
      </c>
      <c r="H222" s="155">
        <v>480</v>
      </c>
      <c r="I222" s="155">
        <v>1</v>
      </c>
      <c r="J222" s="156" t="s">
        <v>92</v>
      </c>
      <c r="K222" s="52"/>
      <c r="L222" s="53"/>
      <c r="M222" s="54"/>
      <c r="N222" s="55" t="str">
        <f t="shared" si="2"/>
        <v>pieces</v>
      </c>
      <c r="O222" s="158">
        <v>2683.2</v>
      </c>
      <c r="P222" s="44"/>
      <c r="Q222" s="66"/>
      <c r="R222" s="32"/>
      <c r="S222" s="32"/>
      <c r="T222" s="32"/>
      <c r="U222" s="32"/>
      <c r="V222" s="32"/>
      <c r="W222" s="32"/>
      <c r="X222" s="32"/>
      <c r="Y222" s="32"/>
      <c r="Z222" s="32"/>
    </row>
    <row r="223" spans="1:26" ht="15" customHeight="1" x14ac:dyDescent="0.3">
      <c r="A223" s="155">
        <v>159</v>
      </c>
      <c r="B223" s="156" t="s">
        <v>606</v>
      </c>
      <c r="C223" s="46"/>
      <c r="D223" s="63"/>
      <c r="E223" s="156" t="s">
        <v>607</v>
      </c>
      <c r="F223" s="99"/>
      <c r="G223" s="157">
        <v>1.1599999999999999</v>
      </c>
      <c r="H223" s="155">
        <v>125</v>
      </c>
      <c r="I223" s="155">
        <v>125</v>
      </c>
      <c r="J223" s="156" t="s">
        <v>39</v>
      </c>
      <c r="K223" s="52"/>
      <c r="L223" s="53"/>
      <c r="M223" s="54"/>
      <c r="N223" s="55" t="str">
        <f t="shared" si="2"/>
        <v>grams</v>
      </c>
      <c r="O223" s="158">
        <v>145</v>
      </c>
      <c r="P223" s="44"/>
      <c r="Q223" s="66"/>
      <c r="R223" s="32"/>
      <c r="S223" s="32"/>
      <c r="T223" s="32"/>
      <c r="U223" s="32"/>
      <c r="V223" s="32"/>
      <c r="W223" s="32"/>
      <c r="X223" s="32"/>
      <c r="Y223" s="32"/>
      <c r="Z223" s="32"/>
    </row>
    <row r="224" spans="1:26" ht="15" customHeight="1" x14ac:dyDescent="0.3">
      <c r="A224" s="155">
        <v>160</v>
      </c>
      <c r="B224" s="156" t="s">
        <v>608</v>
      </c>
      <c r="C224" s="46"/>
      <c r="D224" s="63"/>
      <c r="E224" s="156" t="s">
        <v>609</v>
      </c>
      <c r="F224" s="99"/>
      <c r="G224" s="157">
        <v>0.40500000000000003</v>
      </c>
      <c r="H224" s="155">
        <v>300</v>
      </c>
      <c r="I224" s="155">
        <v>100</v>
      </c>
      <c r="J224" s="156" t="s">
        <v>39</v>
      </c>
      <c r="K224" s="52"/>
      <c r="L224" s="53"/>
      <c r="M224" s="54"/>
      <c r="N224" s="55" t="str">
        <f t="shared" si="2"/>
        <v>grams</v>
      </c>
      <c r="O224" s="158">
        <v>121.5</v>
      </c>
      <c r="P224" s="44"/>
      <c r="Q224" s="66"/>
      <c r="R224" s="32"/>
      <c r="S224" s="32"/>
      <c r="T224" s="32"/>
      <c r="U224" s="32"/>
      <c r="V224" s="32"/>
      <c r="W224" s="32"/>
      <c r="X224" s="32"/>
      <c r="Y224" s="32"/>
      <c r="Z224" s="32"/>
    </row>
    <row r="225" spans="1:26" ht="15" customHeight="1" x14ac:dyDescent="0.3">
      <c r="A225" s="155">
        <v>161</v>
      </c>
      <c r="B225" s="156" t="s">
        <v>610</v>
      </c>
      <c r="C225" s="46"/>
      <c r="D225" s="63"/>
      <c r="E225" s="156"/>
      <c r="F225" s="99"/>
      <c r="G225" s="157">
        <v>181.39</v>
      </c>
      <c r="H225" s="155">
        <v>24</v>
      </c>
      <c r="I225" s="155">
        <v>1</v>
      </c>
      <c r="J225" s="156" t="s">
        <v>92</v>
      </c>
      <c r="K225" s="52"/>
      <c r="L225" s="53"/>
      <c r="M225" s="54"/>
      <c r="N225" s="55" t="str">
        <f t="shared" si="2"/>
        <v>pieces</v>
      </c>
      <c r="O225" s="158">
        <v>4353.3599999999997</v>
      </c>
      <c r="P225" s="44"/>
      <c r="Q225" s="66"/>
      <c r="R225" s="32"/>
      <c r="S225" s="32"/>
      <c r="T225" s="32"/>
      <c r="U225" s="32"/>
      <c r="V225" s="32"/>
      <c r="W225" s="32"/>
      <c r="X225" s="32"/>
      <c r="Y225" s="32"/>
      <c r="Z225" s="32"/>
    </row>
    <row r="226" spans="1:26" ht="15" customHeight="1" x14ac:dyDescent="0.3">
      <c r="A226" s="155">
        <v>162</v>
      </c>
      <c r="B226" s="156" t="s">
        <v>175</v>
      </c>
      <c r="C226" s="46"/>
      <c r="D226" s="63"/>
      <c r="E226" s="156" t="s">
        <v>611</v>
      </c>
      <c r="F226" s="99"/>
      <c r="G226" s="157">
        <v>0.20521300000000001</v>
      </c>
      <c r="H226" s="155">
        <v>422</v>
      </c>
      <c r="I226" s="155">
        <v>422</v>
      </c>
      <c r="J226" s="156" t="s">
        <v>39</v>
      </c>
      <c r="K226" s="52"/>
      <c r="L226" s="53"/>
      <c r="M226" s="54"/>
      <c r="N226" s="55" t="str">
        <f t="shared" si="2"/>
        <v>grams</v>
      </c>
      <c r="O226" s="158">
        <v>86.6</v>
      </c>
      <c r="P226" s="44"/>
      <c r="Q226" s="66"/>
      <c r="R226" s="32"/>
      <c r="S226" s="32"/>
      <c r="T226" s="32"/>
      <c r="U226" s="32"/>
      <c r="V226" s="32"/>
      <c r="W226" s="32"/>
      <c r="X226" s="32"/>
      <c r="Y226" s="32"/>
      <c r="Z226" s="32"/>
    </row>
    <row r="227" spans="1:26" ht="15" customHeight="1" x14ac:dyDescent="0.3">
      <c r="A227" s="155">
        <v>162</v>
      </c>
      <c r="B227" s="156" t="s">
        <v>175</v>
      </c>
      <c r="C227" s="46"/>
      <c r="D227" s="63"/>
      <c r="E227" s="156" t="s">
        <v>176</v>
      </c>
      <c r="F227" s="99"/>
      <c r="G227" s="157">
        <v>253.33</v>
      </c>
      <c r="H227" s="155">
        <v>2</v>
      </c>
      <c r="I227" s="155">
        <v>422</v>
      </c>
      <c r="J227" s="156" t="s">
        <v>39</v>
      </c>
      <c r="K227" s="52"/>
      <c r="L227" s="53"/>
      <c r="M227" s="54"/>
      <c r="N227" s="55" t="str">
        <f t="shared" si="2"/>
        <v>grams</v>
      </c>
      <c r="O227" s="158">
        <v>506.66</v>
      </c>
      <c r="P227" s="44"/>
      <c r="Q227" s="66"/>
      <c r="R227" s="32"/>
      <c r="S227" s="32"/>
      <c r="T227" s="32"/>
      <c r="U227" s="32"/>
      <c r="V227" s="32"/>
      <c r="W227" s="32"/>
      <c r="X227" s="32"/>
      <c r="Y227" s="32"/>
      <c r="Z227" s="32"/>
    </row>
    <row r="228" spans="1:26" ht="15" customHeight="1" x14ac:dyDescent="0.3">
      <c r="A228" s="155">
        <v>162</v>
      </c>
      <c r="B228" s="156" t="s">
        <v>175</v>
      </c>
      <c r="C228" s="46"/>
      <c r="D228" s="63"/>
      <c r="E228" s="156"/>
      <c r="F228" s="99"/>
      <c r="G228" s="157">
        <v>0.16322800000000001</v>
      </c>
      <c r="H228" s="155">
        <v>3104</v>
      </c>
      <c r="I228" s="155">
        <v>422</v>
      </c>
      <c r="J228" s="156" t="s">
        <v>39</v>
      </c>
      <c r="K228" s="52"/>
      <c r="L228" s="53"/>
      <c r="M228" s="54"/>
      <c r="N228" s="55" t="str">
        <f t="shared" si="2"/>
        <v>grams</v>
      </c>
      <c r="O228" s="158">
        <v>506.66</v>
      </c>
      <c r="P228" s="44"/>
      <c r="Q228" s="66"/>
      <c r="R228" s="32"/>
      <c r="S228" s="32"/>
      <c r="T228" s="32"/>
      <c r="U228" s="32"/>
      <c r="V228" s="32"/>
      <c r="W228" s="32"/>
      <c r="X228" s="32"/>
      <c r="Y228" s="32"/>
      <c r="Z228" s="32"/>
    </row>
    <row r="229" spans="1:26" ht="15" customHeight="1" x14ac:dyDescent="0.3">
      <c r="A229" s="155">
        <v>163</v>
      </c>
      <c r="B229" s="156" t="s">
        <v>612</v>
      </c>
      <c r="C229" s="46"/>
      <c r="D229" s="63"/>
      <c r="E229" s="156"/>
      <c r="F229" s="99"/>
      <c r="G229" s="157">
        <v>0.95833299999999999</v>
      </c>
      <c r="H229" s="155">
        <v>60</v>
      </c>
      <c r="I229" s="155">
        <v>24</v>
      </c>
      <c r="J229" s="156" t="s">
        <v>92</v>
      </c>
      <c r="K229" s="52"/>
      <c r="L229" s="53"/>
      <c r="M229" s="54"/>
      <c r="N229" s="55" t="str">
        <f t="shared" si="2"/>
        <v>pieces</v>
      </c>
      <c r="O229" s="158">
        <v>57.5</v>
      </c>
      <c r="P229" s="44"/>
      <c r="Q229" s="66"/>
      <c r="R229" s="32"/>
      <c r="S229" s="32"/>
      <c r="T229" s="32"/>
      <c r="U229" s="32"/>
      <c r="V229" s="32"/>
      <c r="W229" s="32"/>
      <c r="X229" s="32"/>
      <c r="Y229" s="32"/>
      <c r="Z229" s="32"/>
    </row>
    <row r="230" spans="1:26" ht="15" customHeight="1" x14ac:dyDescent="0.3">
      <c r="A230" s="155">
        <v>164</v>
      </c>
      <c r="B230" s="156" t="s">
        <v>613</v>
      </c>
      <c r="C230" s="46"/>
      <c r="D230" s="63"/>
      <c r="E230" s="156"/>
      <c r="F230" s="99"/>
      <c r="G230" s="157">
        <v>0.95833299999999999</v>
      </c>
      <c r="H230" s="155">
        <v>49</v>
      </c>
      <c r="I230" s="155">
        <v>24</v>
      </c>
      <c r="J230" s="156" t="s">
        <v>92</v>
      </c>
      <c r="K230" s="52"/>
      <c r="L230" s="53"/>
      <c r="M230" s="54"/>
      <c r="N230" s="55" t="str">
        <f t="shared" si="2"/>
        <v>pieces</v>
      </c>
      <c r="O230" s="158">
        <v>46.958329999999997</v>
      </c>
      <c r="P230" s="44"/>
      <c r="Q230" s="66"/>
      <c r="R230" s="32"/>
      <c r="S230" s="32"/>
      <c r="T230" s="32"/>
      <c r="U230" s="32"/>
      <c r="V230" s="32"/>
      <c r="W230" s="32"/>
      <c r="X230" s="32"/>
      <c r="Y230" s="32"/>
      <c r="Z230" s="32"/>
    </row>
    <row r="231" spans="1:26" ht="15" customHeight="1" x14ac:dyDescent="0.3">
      <c r="A231" s="155">
        <v>165</v>
      </c>
      <c r="B231" s="156" t="s">
        <v>614</v>
      </c>
      <c r="C231" s="46"/>
      <c r="D231" s="63"/>
      <c r="E231" s="156"/>
      <c r="F231" s="99"/>
      <c r="G231" s="157">
        <v>10.72</v>
      </c>
      <c r="H231" s="155">
        <v>41</v>
      </c>
      <c r="I231" s="155">
        <v>1</v>
      </c>
      <c r="J231" s="156" t="s">
        <v>92</v>
      </c>
      <c r="K231" s="52"/>
      <c r="L231" s="53"/>
      <c r="M231" s="54"/>
      <c r="N231" s="55" t="str">
        <f t="shared" si="2"/>
        <v>pieces</v>
      </c>
      <c r="O231" s="158">
        <v>439.52</v>
      </c>
      <c r="P231" s="44"/>
      <c r="Q231" s="66"/>
      <c r="R231" s="32"/>
      <c r="S231" s="32"/>
      <c r="T231" s="32"/>
      <c r="U231" s="32"/>
      <c r="V231" s="32"/>
      <c r="W231" s="32"/>
      <c r="X231" s="32"/>
      <c r="Y231" s="32"/>
      <c r="Z231" s="32"/>
    </row>
    <row r="232" spans="1:26" ht="15" customHeight="1" x14ac:dyDescent="0.3">
      <c r="A232" s="155">
        <v>166</v>
      </c>
      <c r="B232" s="156" t="s">
        <v>615</v>
      </c>
      <c r="C232" s="46"/>
      <c r="D232" s="63"/>
      <c r="E232" s="156"/>
      <c r="F232" s="99"/>
      <c r="G232" s="157">
        <v>8.64</v>
      </c>
      <c r="H232" s="155">
        <v>54</v>
      </c>
      <c r="I232" s="155">
        <v>48</v>
      </c>
      <c r="J232" s="156" t="s">
        <v>92</v>
      </c>
      <c r="K232" s="52"/>
      <c r="L232" s="53"/>
      <c r="M232" s="54"/>
      <c r="N232" s="55" t="str">
        <f t="shared" si="2"/>
        <v>pieces</v>
      </c>
      <c r="O232" s="158">
        <v>466.56</v>
      </c>
      <c r="P232" s="44"/>
      <c r="Q232" s="66"/>
      <c r="R232" s="32"/>
      <c r="S232" s="32"/>
      <c r="T232" s="32"/>
      <c r="U232" s="32"/>
      <c r="V232" s="32"/>
      <c r="W232" s="32"/>
      <c r="X232" s="32"/>
      <c r="Y232" s="32"/>
      <c r="Z232" s="32"/>
    </row>
    <row r="233" spans="1:26" ht="15" customHeight="1" x14ac:dyDescent="0.3">
      <c r="A233" s="155">
        <v>167</v>
      </c>
      <c r="B233" s="156" t="s">
        <v>396</v>
      </c>
      <c r="C233" s="46"/>
      <c r="D233" s="63"/>
      <c r="E233" s="156" t="s">
        <v>397</v>
      </c>
      <c r="F233" s="99"/>
      <c r="G233" s="157">
        <v>7.51</v>
      </c>
      <c r="H233" s="155">
        <v>320</v>
      </c>
      <c r="I233" s="155">
        <v>1</v>
      </c>
      <c r="J233" s="156" t="s">
        <v>92</v>
      </c>
      <c r="K233" s="52"/>
      <c r="L233" s="53"/>
      <c r="M233" s="54"/>
      <c r="N233" s="55" t="str">
        <f t="shared" si="2"/>
        <v>pieces</v>
      </c>
      <c r="O233" s="158">
        <v>2403.1999999999998</v>
      </c>
      <c r="P233" s="44"/>
      <c r="Q233" s="66"/>
      <c r="R233" s="32"/>
      <c r="S233" s="32"/>
      <c r="T233" s="32"/>
      <c r="U233" s="32"/>
      <c r="V233" s="32"/>
      <c r="W233" s="32"/>
      <c r="X233" s="32"/>
      <c r="Y233" s="32"/>
      <c r="Z233" s="32"/>
    </row>
    <row r="234" spans="1:26" ht="15" customHeight="1" x14ac:dyDescent="0.3">
      <c r="A234" s="155">
        <v>168</v>
      </c>
      <c r="B234" s="156" t="s">
        <v>616</v>
      </c>
      <c r="C234" s="46"/>
      <c r="D234" s="63"/>
      <c r="E234" s="156"/>
      <c r="F234" s="99"/>
      <c r="G234" s="157">
        <v>0.21</v>
      </c>
      <c r="H234" s="155">
        <v>500</v>
      </c>
      <c r="I234" s="155">
        <v>500</v>
      </c>
      <c r="J234" s="156" t="s">
        <v>39</v>
      </c>
      <c r="K234" s="52"/>
      <c r="L234" s="53"/>
      <c r="M234" s="54"/>
      <c r="N234" s="55" t="str">
        <f t="shared" si="2"/>
        <v>grams</v>
      </c>
      <c r="O234" s="158">
        <v>105</v>
      </c>
      <c r="P234" s="44"/>
      <c r="Q234" s="66"/>
      <c r="R234" s="32"/>
      <c r="S234" s="32"/>
      <c r="T234" s="32"/>
      <c r="U234" s="32"/>
      <c r="V234" s="32"/>
      <c r="W234" s="32"/>
      <c r="X234" s="32"/>
      <c r="Y234" s="32"/>
      <c r="Z234" s="32"/>
    </row>
    <row r="235" spans="1:26" ht="15" customHeight="1" x14ac:dyDescent="0.3">
      <c r="A235" s="155">
        <v>169</v>
      </c>
      <c r="B235" s="156" t="s">
        <v>177</v>
      </c>
      <c r="C235" s="46"/>
      <c r="D235" s="63"/>
      <c r="E235" s="156" t="s">
        <v>178</v>
      </c>
      <c r="F235" s="99"/>
      <c r="G235" s="157">
        <v>0.13974800000000001</v>
      </c>
      <c r="H235" s="155">
        <v>1351</v>
      </c>
      <c r="I235" s="155">
        <v>450</v>
      </c>
      <c r="J235" s="156" t="s">
        <v>519</v>
      </c>
      <c r="K235" s="52"/>
      <c r="L235" s="53"/>
      <c r="M235" s="54"/>
      <c r="N235" s="55" t="str">
        <f t="shared" si="2"/>
        <v>drained weight grams</v>
      </c>
      <c r="O235" s="158">
        <v>188.8</v>
      </c>
      <c r="P235" s="44"/>
      <c r="Q235" s="66"/>
      <c r="R235" s="32"/>
      <c r="S235" s="32"/>
      <c r="T235" s="32"/>
      <c r="U235" s="32"/>
      <c r="V235" s="32"/>
      <c r="W235" s="32"/>
      <c r="X235" s="32"/>
      <c r="Y235" s="32"/>
      <c r="Z235" s="32"/>
    </row>
    <row r="236" spans="1:26" ht="15" customHeight="1" x14ac:dyDescent="0.3">
      <c r="A236" s="155">
        <v>169</v>
      </c>
      <c r="B236" s="156" t="s">
        <v>177</v>
      </c>
      <c r="C236" s="46"/>
      <c r="D236" s="63"/>
      <c r="E236" s="156"/>
      <c r="F236" s="99"/>
      <c r="G236" s="157">
        <v>0.24070800000000001</v>
      </c>
      <c r="H236" s="155">
        <v>791</v>
      </c>
      <c r="I236" s="155">
        <v>450</v>
      </c>
      <c r="J236" s="156" t="s">
        <v>39</v>
      </c>
      <c r="K236" s="52"/>
      <c r="L236" s="53"/>
      <c r="M236" s="54"/>
      <c r="N236" s="55" t="str">
        <f t="shared" si="2"/>
        <v>grams</v>
      </c>
      <c r="O236" s="158">
        <v>190.4</v>
      </c>
      <c r="P236" s="44"/>
      <c r="Q236" s="66"/>
      <c r="R236" s="32"/>
      <c r="S236" s="32"/>
      <c r="T236" s="32"/>
      <c r="U236" s="32"/>
      <c r="V236" s="32"/>
      <c r="W236" s="32"/>
      <c r="X236" s="32"/>
      <c r="Y236" s="32"/>
      <c r="Z236" s="32"/>
    </row>
    <row r="237" spans="1:26" ht="15" customHeight="1" x14ac:dyDescent="0.3">
      <c r="A237" s="155">
        <v>170</v>
      </c>
      <c r="B237" s="156" t="s">
        <v>452</v>
      </c>
      <c r="C237" s="46"/>
      <c r="D237" s="63"/>
      <c r="E237" s="156" t="s">
        <v>216</v>
      </c>
      <c r="F237" s="99"/>
      <c r="G237" s="157">
        <v>143</v>
      </c>
      <c r="H237" s="155">
        <v>2</v>
      </c>
      <c r="I237" s="155">
        <v>1</v>
      </c>
      <c r="J237" s="156" t="s">
        <v>39</v>
      </c>
      <c r="K237" s="52"/>
      <c r="L237" s="53"/>
      <c r="M237" s="54"/>
      <c r="N237" s="55" t="str">
        <f t="shared" si="2"/>
        <v>grams</v>
      </c>
      <c r="O237" s="158">
        <v>286</v>
      </c>
      <c r="P237" s="44"/>
      <c r="Q237" s="66"/>
      <c r="R237" s="32"/>
      <c r="S237" s="32"/>
      <c r="T237" s="32"/>
      <c r="U237" s="32"/>
      <c r="V237" s="32"/>
      <c r="W237" s="32"/>
      <c r="X237" s="32"/>
      <c r="Y237" s="32"/>
      <c r="Z237" s="32"/>
    </row>
    <row r="238" spans="1:26" ht="15" customHeight="1" x14ac:dyDescent="0.3">
      <c r="A238" s="155">
        <v>171</v>
      </c>
      <c r="B238" s="156" t="s">
        <v>398</v>
      </c>
      <c r="C238" s="46"/>
      <c r="D238" s="63"/>
      <c r="E238" s="156" t="s">
        <v>399</v>
      </c>
      <c r="F238" s="99"/>
      <c r="G238" s="157">
        <v>65.44</v>
      </c>
      <c r="H238" s="155">
        <v>24</v>
      </c>
      <c r="I238" s="155">
        <v>1</v>
      </c>
      <c r="J238" s="156" t="s">
        <v>92</v>
      </c>
      <c r="K238" s="52"/>
      <c r="L238" s="53"/>
      <c r="M238" s="54"/>
      <c r="N238" s="55" t="str">
        <f t="shared" si="2"/>
        <v>pieces</v>
      </c>
      <c r="O238" s="158">
        <v>1570.56</v>
      </c>
      <c r="P238" s="44"/>
      <c r="Q238" s="66"/>
      <c r="R238" s="32"/>
      <c r="S238" s="32"/>
      <c r="T238" s="32"/>
      <c r="U238" s="32"/>
      <c r="V238" s="32"/>
      <c r="W238" s="32"/>
      <c r="X238" s="32"/>
      <c r="Y238" s="32"/>
      <c r="Z238" s="32"/>
    </row>
    <row r="239" spans="1:26" ht="15" customHeight="1" x14ac:dyDescent="0.3">
      <c r="A239" s="155">
        <v>172</v>
      </c>
      <c r="B239" s="156" t="s">
        <v>257</v>
      </c>
      <c r="C239" s="46"/>
      <c r="D239" s="63"/>
      <c r="E239" s="156" t="s">
        <v>258</v>
      </c>
      <c r="F239" s="99"/>
      <c r="G239" s="157">
        <v>20.25</v>
      </c>
      <c r="H239" s="155">
        <v>2</v>
      </c>
      <c r="I239" s="155">
        <v>1</v>
      </c>
      <c r="J239" s="156" t="s">
        <v>39</v>
      </c>
      <c r="K239" s="52"/>
      <c r="L239" s="53"/>
      <c r="M239" s="54"/>
      <c r="N239" s="55" t="str">
        <f t="shared" si="2"/>
        <v>grams</v>
      </c>
      <c r="O239" s="158">
        <v>40.5</v>
      </c>
      <c r="P239" s="44"/>
      <c r="Q239" s="66"/>
      <c r="R239" s="32"/>
      <c r="S239" s="32"/>
      <c r="T239" s="32"/>
      <c r="U239" s="32"/>
      <c r="V239" s="32"/>
      <c r="W239" s="32"/>
      <c r="X239" s="32"/>
      <c r="Y239" s="32"/>
      <c r="Z239" s="32"/>
    </row>
    <row r="240" spans="1:26" ht="15" customHeight="1" x14ac:dyDescent="0.3">
      <c r="A240" s="155">
        <v>173</v>
      </c>
      <c r="B240" s="156" t="s">
        <v>99</v>
      </c>
      <c r="C240" s="46"/>
      <c r="D240" s="63"/>
      <c r="E240" s="156" t="s">
        <v>100</v>
      </c>
      <c r="F240" s="99"/>
      <c r="G240" s="157">
        <v>33.619999999999997</v>
      </c>
      <c r="H240" s="155">
        <v>69</v>
      </c>
      <c r="I240" s="155">
        <v>1</v>
      </c>
      <c r="J240" s="156" t="s">
        <v>92</v>
      </c>
      <c r="K240" s="52"/>
      <c r="L240" s="53"/>
      <c r="M240" s="54"/>
      <c r="N240" s="55" t="str">
        <f t="shared" si="2"/>
        <v>pieces</v>
      </c>
      <c r="O240" s="158">
        <v>2319.7800000000002</v>
      </c>
      <c r="P240" s="44"/>
      <c r="Q240" s="66"/>
      <c r="R240" s="32"/>
      <c r="S240" s="32"/>
      <c r="T240" s="32"/>
      <c r="U240" s="32"/>
      <c r="V240" s="32"/>
      <c r="W240" s="32"/>
      <c r="X240" s="32"/>
      <c r="Y240" s="32"/>
      <c r="Z240" s="32"/>
    </row>
    <row r="241" spans="1:26" ht="15" customHeight="1" x14ac:dyDescent="0.3">
      <c r="A241" s="155">
        <v>174</v>
      </c>
      <c r="B241" s="156" t="s">
        <v>617</v>
      </c>
      <c r="C241" s="46"/>
      <c r="D241" s="63"/>
      <c r="E241" s="156"/>
      <c r="F241" s="99"/>
      <c r="G241" s="157">
        <v>342</v>
      </c>
      <c r="H241" s="155">
        <v>1</v>
      </c>
      <c r="I241" s="155">
        <v>1</v>
      </c>
      <c r="J241" s="156" t="s">
        <v>200</v>
      </c>
      <c r="K241" s="52"/>
      <c r="L241" s="53"/>
      <c r="M241" s="54"/>
      <c r="N241" s="55" t="str">
        <f t="shared" si="2"/>
        <v>gal</v>
      </c>
      <c r="O241" s="158">
        <v>342</v>
      </c>
      <c r="P241" s="44"/>
      <c r="Q241" s="66"/>
      <c r="R241" s="32"/>
      <c r="S241" s="32"/>
      <c r="T241" s="32"/>
      <c r="U241" s="32"/>
      <c r="V241" s="32"/>
      <c r="W241" s="32"/>
      <c r="X241" s="32"/>
      <c r="Y241" s="32"/>
      <c r="Z241" s="32"/>
    </row>
    <row r="242" spans="1:26" ht="15" customHeight="1" x14ac:dyDescent="0.3">
      <c r="A242" s="155">
        <v>175</v>
      </c>
      <c r="B242" s="156" t="s">
        <v>453</v>
      </c>
      <c r="C242" s="46"/>
      <c r="D242" s="63"/>
      <c r="E242" s="156" t="s">
        <v>216</v>
      </c>
      <c r="F242" s="99"/>
      <c r="G242" s="157">
        <v>138</v>
      </c>
      <c r="H242" s="155">
        <v>5</v>
      </c>
      <c r="I242" s="155">
        <v>1</v>
      </c>
      <c r="J242" s="156" t="s">
        <v>39</v>
      </c>
      <c r="K242" s="52"/>
      <c r="L242" s="53"/>
      <c r="M242" s="54"/>
      <c r="N242" s="55" t="str">
        <f t="shared" si="2"/>
        <v>grams</v>
      </c>
      <c r="O242" s="158">
        <v>690</v>
      </c>
      <c r="P242" s="44"/>
      <c r="Q242" s="66"/>
      <c r="R242" s="32"/>
      <c r="S242" s="32"/>
      <c r="T242" s="32"/>
      <c r="U242" s="32"/>
      <c r="V242" s="32"/>
      <c r="W242" s="32"/>
      <c r="X242" s="32"/>
      <c r="Y242" s="32"/>
      <c r="Z242" s="32"/>
    </row>
    <row r="243" spans="1:26" ht="15" customHeight="1" x14ac:dyDescent="0.3">
      <c r="A243" s="155">
        <v>176</v>
      </c>
      <c r="B243" s="156" t="s">
        <v>618</v>
      </c>
      <c r="C243" s="46"/>
      <c r="D243" s="63"/>
      <c r="E243" s="156"/>
      <c r="F243" s="99"/>
      <c r="G243" s="157">
        <v>0.16639999999999999</v>
      </c>
      <c r="H243" s="155">
        <v>750</v>
      </c>
      <c r="I243" s="155">
        <v>250</v>
      </c>
      <c r="J243" s="156" t="s">
        <v>39</v>
      </c>
      <c r="K243" s="52"/>
      <c r="L243" s="53"/>
      <c r="M243" s="54"/>
      <c r="N243" s="55" t="str">
        <f t="shared" si="2"/>
        <v>grams</v>
      </c>
      <c r="O243" s="158">
        <v>124.8</v>
      </c>
      <c r="P243" s="44"/>
      <c r="Q243" s="66"/>
      <c r="R243" s="32"/>
      <c r="S243" s="32"/>
      <c r="T243" s="32"/>
      <c r="U243" s="32"/>
      <c r="V243" s="32"/>
      <c r="W243" s="32"/>
      <c r="X243" s="32"/>
      <c r="Y243" s="32"/>
      <c r="Z243" s="32"/>
    </row>
    <row r="244" spans="1:26" ht="15" customHeight="1" x14ac:dyDescent="0.3">
      <c r="A244" s="155">
        <v>177</v>
      </c>
      <c r="B244" s="156" t="s">
        <v>66</v>
      </c>
      <c r="C244" s="46"/>
      <c r="D244" s="63"/>
      <c r="E244" s="156" t="s">
        <v>67</v>
      </c>
      <c r="F244" s="99"/>
      <c r="G244" s="157">
        <v>0.17232800000000001</v>
      </c>
      <c r="H244" s="155">
        <v>2002</v>
      </c>
      <c r="I244" s="155">
        <v>500</v>
      </c>
      <c r="J244" s="156" t="s">
        <v>39</v>
      </c>
      <c r="K244" s="52"/>
      <c r="L244" s="53"/>
      <c r="M244" s="54"/>
      <c r="N244" s="55" t="str">
        <f t="shared" si="2"/>
        <v>grams</v>
      </c>
      <c r="O244" s="158">
        <v>345</v>
      </c>
      <c r="P244" s="44"/>
      <c r="Q244" s="66"/>
      <c r="R244" s="32"/>
      <c r="S244" s="32"/>
      <c r="T244" s="32"/>
      <c r="U244" s="32"/>
      <c r="V244" s="32"/>
      <c r="W244" s="32"/>
      <c r="X244" s="32"/>
      <c r="Y244" s="32"/>
      <c r="Z244" s="32"/>
    </row>
    <row r="245" spans="1:26" ht="15" customHeight="1" x14ac:dyDescent="0.3">
      <c r="A245" s="155">
        <v>177</v>
      </c>
      <c r="B245" s="156" t="s">
        <v>66</v>
      </c>
      <c r="C245" s="46"/>
      <c r="D245" s="63"/>
      <c r="E245" s="156" t="s">
        <v>619</v>
      </c>
      <c r="F245" s="99"/>
      <c r="G245" s="157">
        <v>0.19</v>
      </c>
      <c r="H245" s="155">
        <v>3000</v>
      </c>
      <c r="I245" s="155">
        <v>500</v>
      </c>
      <c r="J245" s="156" t="s">
        <v>39</v>
      </c>
      <c r="K245" s="52"/>
      <c r="L245" s="53"/>
      <c r="M245" s="54"/>
      <c r="N245" s="55" t="str">
        <f t="shared" si="2"/>
        <v>grams</v>
      </c>
      <c r="O245" s="158">
        <v>570</v>
      </c>
      <c r="P245" s="44"/>
      <c r="Q245" s="66"/>
      <c r="R245" s="32"/>
      <c r="S245" s="32"/>
      <c r="T245" s="32"/>
      <c r="U245" s="32"/>
      <c r="V245" s="32"/>
      <c r="W245" s="32"/>
      <c r="X245" s="32"/>
      <c r="Y245" s="32"/>
      <c r="Z245" s="32"/>
    </row>
    <row r="246" spans="1:26" ht="15" customHeight="1" x14ac:dyDescent="0.3">
      <c r="A246" s="155">
        <v>178</v>
      </c>
      <c r="B246" s="156" t="s">
        <v>620</v>
      </c>
      <c r="C246" s="46"/>
      <c r="D246" s="63"/>
      <c r="E246" s="156"/>
      <c r="F246" s="99"/>
      <c r="G246" s="157">
        <v>186</v>
      </c>
      <c r="H246" s="155">
        <v>20</v>
      </c>
      <c r="I246" s="155">
        <v>1</v>
      </c>
      <c r="J246" s="156" t="s">
        <v>213</v>
      </c>
      <c r="K246" s="52"/>
      <c r="L246" s="53"/>
      <c r="M246" s="54"/>
      <c r="N246" s="55" t="str">
        <f t="shared" si="2"/>
        <v>kilos</v>
      </c>
      <c r="O246" s="158">
        <v>3720</v>
      </c>
      <c r="P246" s="44"/>
      <c r="Q246" s="66"/>
      <c r="R246" s="32"/>
      <c r="S246" s="32"/>
      <c r="T246" s="32"/>
      <c r="U246" s="32"/>
      <c r="V246" s="32"/>
      <c r="W246" s="32"/>
      <c r="X246" s="32"/>
      <c r="Y246" s="32"/>
      <c r="Z246" s="32"/>
    </row>
    <row r="247" spans="1:26" ht="15" customHeight="1" x14ac:dyDescent="0.3">
      <c r="A247" s="155">
        <v>179</v>
      </c>
      <c r="B247" s="156" t="s">
        <v>621</v>
      </c>
      <c r="C247" s="46"/>
      <c r="D247" s="63"/>
      <c r="E247" s="156"/>
      <c r="F247" s="99"/>
      <c r="G247" s="157">
        <v>177.4</v>
      </c>
      <c r="H247" s="155">
        <v>2</v>
      </c>
      <c r="I247" s="155">
        <v>1</v>
      </c>
      <c r="J247" s="156" t="s">
        <v>92</v>
      </c>
      <c r="K247" s="52"/>
      <c r="L247" s="53"/>
      <c r="M247" s="54"/>
      <c r="N247" s="55" t="str">
        <f t="shared" si="2"/>
        <v>pieces</v>
      </c>
      <c r="O247" s="158">
        <v>354.8</v>
      </c>
      <c r="P247" s="44"/>
      <c r="Q247" s="66"/>
      <c r="R247" s="32"/>
      <c r="S247" s="32"/>
      <c r="T247" s="32"/>
      <c r="U247" s="32"/>
      <c r="V247" s="32"/>
      <c r="W247" s="32"/>
      <c r="X247" s="32"/>
      <c r="Y247" s="32"/>
      <c r="Z247" s="32"/>
    </row>
    <row r="248" spans="1:26" ht="15" customHeight="1" x14ac:dyDescent="0.3">
      <c r="A248" s="155">
        <v>180</v>
      </c>
      <c r="B248" s="156" t="s">
        <v>622</v>
      </c>
      <c r="C248" s="46"/>
      <c r="D248" s="63"/>
      <c r="E248" s="156"/>
      <c r="F248" s="99"/>
      <c r="G248" s="157">
        <v>118</v>
      </c>
      <c r="H248" s="155">
        <v>3</v>
      </c>
      <c r="I248" s="155">
        <v>1</v>
      </c>
      <c r="J248" s="156" t="s">
        <v>92</v>
      </c>
      <c r="K248" s="52"/>
      <c r="L248" s="53"/>
      <c r="M248" s="54"/>
      <c r="N248" s="55" t="str">
        <f t="shared" si="2"/>
        <v>pieces</v>
      </c>
      <c r="O248" s="158">
        <v>354</v>
      </c>
      <c r="P248" s="44"/>
      <c r="Q248" s="66"/>
      <c r="R248" s="32"/>
      <c r="S248" s="32"/>
      <c r="T248" s="32"/>
      <c r="U248" s="32"/>
      <c r="V248" s="32"/>
      <c r="W248" s="32"/>
      <c r="X248" s="32"/>
      <c r="Y248" s="32"/>
      <c r="Z248" s="32"/>
    </row>
    <row r="249" spans="1:26" ht="15" customHeight="1" x14ac:dyDescent="0.3">
      <c r="A249" s="155">
        <v>181</v>
      </c>
      <c r="B249" s="156" t="s">
        <v>400</v>
      </c>
      <c r="C249" s="46"/>
      <c r="D249" s="63"/>
      <c r="E249" s="156" t="s">
        <v>401</v>
      </c>
      <c r="F249" s="99"/>
      <c r="G249" s="157">
        <v>41.9</v>
      </c>
      <c r="H249" s="155">
        <v>15</v>
      </c>
      <c r="I249" s="155">
        <v>1</v>
      </c>
      <c r="J249" s="156" t="s">
        <v>92</v>
      </c>
      <c r="K249" s="52"/>
      <c r="L249" s="53"/>
      <c r="M249" s="54"/>
      <c r="N249" s="55" t="str">
        <f t="shared" si="2"/>
        <v>pieces</v>
      </c>
      <c r="O249" s="158">
        <v>628.5</v>
      </c>
      <c r="P249" s="44"/>
      <c r="Q249" s="66"/>
      <c r="R249" s="32"/>
      <c r="S249" s="32"/>
      <c r="T249" s="32"/>
      <c r="U249" s="32"/>
      <c r="V249" s="32"/>
      <c r="W249" s="32"/>
      <c r="X249" s="32"/>
      <c r="Y249" s="32"/>
      <c r="Z249" s="32"/>
    </row>
    <row r="250" spans="1:26" ht="15" customHeight="1" x14ac:dyDescent="0.3">
      <c r="A250" s="155">
        <v>181</v>
      </c>
      <c r="B250" s="156" t="s">
        <v>400</v>
      </c>
      <c r="C250" s="46"/>
      <c r="D250" s="63"/>
      <c r="E250" s="156"/>
      <c r="F250" s="99"/>
      <c r="G250" s="157">
        <v>41.9</v>
      </c>
      <c r="H250" s="155">
        <v>9</v>
      </c>
      <c r="I250" s="155">
        <v>1</v>
      </c>
      <c r="J250" s="156" t="s">
        <v>92</v>
      </c>
      <c r="K250" s="52"/>
      <c r="L250" s="53"/>
      <c r="M250" s="54"/>
      <c r="N250" s="55" t="str">
        <f t="shared" si="2"/>
        <v>pieces</v>
      </c>
      <c r="O250" s="158">
        <v>377.1</v>
      </c>
      <c r="P250" s="44"/>
      <c r="Q250" s="66"/>
      <c r="R250" s="32"/>
      <c r="S250" s="32"/>
      <c r="T250" s="32"/>
      <c r="U250" s="32"/>
      <c r="V250" s="32"/>
      <c r="W250" s="32"/>
      <c r="X250" s="32"/>
      <c r="Y250" s="32"/>
      <c r="Z250" s="32"/>
    </row>
    <row r="251" spans="1:26" ht="15" customHeight="1" x14ac:dyDescent="0.3">
      <c r="A251" s="155">
        <v>182</v>
      </c>
      <c r="B251" s="156" t="s">
        <v>402</v>
      </c>
      <c r="C251" s="46"/>
      <c r="D251" s="63"/>
      <c r="E251" s="156" t="s">
        <v>403</v>
      </c>
      <c r="F251" s="99"/>
      <c r="G251" s="157">
        <v>46.283329999999999</v>
      </c>
      <c r="H251" s="155">
        <v>6</v>
      </c>
      <c r="I251" s="155">
        <v>1</v>
      </c>
      <c r="J251" s="156" t="s">
        <v>92</v>
      </c>
      <c r="K251" s="52"/>
      <c r="L251" s="53"/>
      <c r="M251" s="54"/>
      <c r="N251" s="55" t="str">
        <f t="shared" si="2"/>
        <v>pieces</v>
      </c>
      <c r="O251" s="158">
        <v>277.7</v>
      </c>
      <c r="P251" s="44"/>
      <c r="Q251" s="66"/>
      <c r="R251" s="32"/>
      <c r="S251" s="32"/>
      <c r="T251" s="32"/>
      <c r="U251" s="32"/>
      <c r="V251" s="32"/>
      <c r="W251" s="32"/>
      <c r="X251" s="32"/>
      <c r="Y251" s="32"/>
      <c r="Z251" s="32"/>
    </row>
    <row r="252" spans="1:26" ht="15" customHeight="1" x14ac:dyDescent="0.3">
      <c r="A252" s="155">
        <v>183</v>
      </c>
      <c r="B252" s="156" t="s">
        <v>623</v>
      </c>
      <c r="C252" s="46"/>
      <c r="D252" s="63"/>
      <c r="E252" s="156" t="s">
        <v>624</v>
      </c>
      <c r="F252" s="99"/>
      <c r="G252" s="157">
        <v>9.4444E-2</v>
      </c>
      <c r="H252" s="155">
        <v>1080</v>
      </c>
      <c r="I252" s="155">
        <v>540</v>
      </c>
      <c r="J252" s="156" t="s">
        <v>39</v>
      </c>
      <c r="K252" s="52"/>
      <c r="L252" s="53"/>
      <c r="M252" s="54"/>
      <c r="N252" s="55" t="str">
        <f t="shared" si="2"/>
        <v>grams</v>
      </c>
      <c r="O252" s="158">
        <v>102</v>
      </c>
      <c r="P252" s="44"/>
      <c r="Q252" s="66"/>
      <c r="R252" s="32"/>
      <c r="S252" s="32"/>
      <c r="T252" s="32"/>
      <c r="U252" s="32"/>
      <c r="V252" s="32"/>
      <c r="W252" s="32"/>
      <c r="X252" s="32"/>
      <c r="Y252" s="32"/>
      <c r="Z252" s="32"/>
    </row>
    <row r="253" spans="1:26" ht="15" customHeight="1" x14ac:dyDescent="0.3">
      <c r="A253" s="155">
        <v>183</v>
      </c>
      <c r="B253" s="156" t="s">
        <v>623</v>
      </c>
      <c r="C253" s="46"/>
      <c r="D253" s="63"/>
      <c r="E253" s="156"/>
      <c r="F253" s="99"/>
      <c r="G253" s="157">
        <v>9.6296000000000007E-2</v>
      </c>
      <c r="H253" s="155">
        <v>1620</v>
      </c>
      <c r="I253" s="155">
        <v>540</v>
      </c>
      <c r="J253" s="156" t="s">
        <v>39</v>
      </c>
      <c r="K253" s="52"/>
      <c r="L253" s="53"/>
      <c r="M253" s="54"/>
      <c r="N253" s="55" t="str">
        <f t="shared" si="2"/>
        <v>grams</v>
      </c>
      <c r="O253" s="158">
        <v>156</v>
      </c>
      <c r="P253" s="44"/>
      <c r="Q253" s="66"/>
      <c r="R253" s="32"/>
      <c r="S253" s="32"/>
      <c r="T253" s="32"/>
      <c r="U253" s="32"/>
      <c r="V253" s="32"/>
      <c r="W253" s="32"/>
      <c r="X253" s="32"/>
      <c r="Y253" s="32"/>
      <c r="Z253" s="32"/>
    </row>
    <row r="254" spans="1:26" ht="15" customHeight="1" x14ac:dyDescent="0.3">
      <c r="A254" s="155">
        <v>184</v>
      </c>
      <c r="B254" s="156" t="s">
        <v>625</v>
      </c>
      <c r="C254" s="46"/>
      <c r="D254" s="63"/>
      <c r="E254" s="156" t="s">
        <v>626</v>
      </c>
      <c r="F254" s="99"/>
      <c r="G254" s="157">
        <v>7.72</v>
      </c>
      <c r="H254" s="155">
        <v>314</v>
      </c>
      <c r="I254" s="155">
        <v>1</v>
      </c>
      <c r="J254" s="156" t="s">
        <v>92</v>
      </c>
      <c r="K254" s="52"/>
      <c r="L254" s="53"/>
      <c r="M254" s="54"/>
      <c r="N254" s="55" t="str">
        <f t="shared" si="2"/>
        <v>pieces</v>
      </c>
      <c r="O254" s="158">
        <v>2424.08</v>
      </c>
      <c r="P254" s="44"/>
      <c r="Q254" s="66"/>
      <c r="R254" s="32"/>
      <c r="S254" s="32"/>
      <c r="T254" s="32"/>
      <c r="U254" s="32"/>
      <c r="V254" s="32"/>
      <c r="W254" s="32"/>
      <c r="X254" s="32"/>
      <c r="Y254" s="32"/>
      <c r="Z254" s="32"/>
    </row>
    <row r="255" spans="1:26" ht="15" customHeight="1" x14ac:dyDescent="0.3">
      <c r="A255" s="155">
        <v>184</v>
      </c>
      <c r="B255" s="156" t="s">
        <v>627</v>
      </c>
      <c r="C255" s="46"/>
      <c r="D255" s="63"/>
      <c r="E255" s="156"/>
      <c r="F255" s="99"/>
      <c r="G255" s="157">
        <v>7.9</v>
      </c>
      <c r="H255" s="155">
        <v>30</v>
      </c>
      <c r="I255" s="155">
        <v>1</v>
      </c>
      <c r="J255" s="156" t="s">
        <v>92</v>
      </c>
      <c r="K255" s="52"/>
      <c r="L255" s="53"/>
      <c r="M255" s="54"/>
      <c r="N255" s="55" t="str">
        <f t="shared" si="2"/>
        <v>pieces</v>
      </c>
      <c r="O255" s="158">
        <v>237</v>
      </c>
      <c r="P255" s="44"/>
      <c r="Q255" s="66"/>
      <c r="R255" s="32"/>
      <c r="S255" s="32"/>
      <c r="T255" s="32"/>
      <c r="U255" s="32"/>
      <c r="V255" s="32"/>
      <c r="W255" s="32"/>
      <c r="X255" s="32"/>
      <c r="Y255" s="32"/>
      <c r="Z255" s="32"/>
    </row>
    <row r="256" spans="1:26" ht="15" customHeight="1" x14ac:dyDescent="0.3">
      <c r="A256" s="155">
        <v>185</v>
      </c>
      <c r="B256" s="156" t="s">
        <v>141</v>
      </c>
      <c r="C256" s="46"/>
      <c r="D256" s="63"/>
      <c r="E256" s="156" t="s">
        <v>142</v>
      </c>
      <c r="F256" s="99"/>
      <c r="G256" s="157">
        <v>8.59</v>
      </c>
      <c r="H256" s="155">
        <v>12</v>
      </c>
      <c r="I256" s="155">
        <v>14</v>
      </c>
      <c r="J256" s="156" t="s">
        <v>92</v>
      </c>
      <c r="K256" s="52"/>
      <c r="L256" s="53"/>
      <c r="M256" s="54"/>
      <c r="N256" s="55" t="str">
        <f t="shared" si="2"/>
        <v>pieces</v>
      </c>
      <c r="O256" s="158">
        <v>103.08</v>
      </c>
      <c r="P256" s="44"/>
      <c r="Q256" s="66"/>
      <c r="R256" s="32"/>
      <c r="S256" s="32"/>
      <c r="T256" s="32"/>
      <c r="U256" s="32"/>
      <c r="V256" s="32"/>
      <c r="W256" s="32"/>
      <c r="X256" s="32"/>
      <c r="Y256" s="32"/>
      <c r="Z256" s="32"/>
    </row>
    <row r="257" spans="1:26" ht="15" customHeight="1" x14ac:dyDescent="0.3">
      <c r="A257" s="155">
        <v>185</v>
      </c>
      <c r="B257" s="156" t="s">
        <v>141</v>
      </c>
      <c r="C257" s="46"/>
      <c r="D257" s="63"/>
      <c r="E257" s="156"/>
      <c r="F257" s="99"/>
      <c r="G257" s="157">
        <v>34.057139999999997</v>
      </c>
      <c r="H257" s="155">
        <v>50</v>
      </c>
      <c r="I257" s="155">
        <v>14</v>
      </c>
      <c r="J257" s="156" t="s">
        <v>92</v>
      </c>
      <c r="K257" s="52"/>
      <c r="L257" s="53"/>
      <c r="M257" s="54"/>
      <c r="N257" s="55" t="str">
        <f t="shared" si="2"/>
        <v>pieces</v>
      </c>
      <c r="O257" s="158">
        <v>1702.857</v>
      </c>
      <c r="P257" s="44"/>
      <c r="Q257" s="66"/>
      <c r="R257" s="32"/>
      <c r="S257" s="32"/>
      <c r="T257" s="32"/>
      <c r="U257" s="32"/>
      <c r="V257" s="32"/>
      <c r="W257" s="32"/>
      <c r="X257" s="32"/>
      <c r="Y257" s="32"/>
      <c r="Z257" s="32"/>
    </row>
    <row r="258" spans="1:26" ht="15" customHeight="1" x14ac:dyDescent="0.3">
      <c r="A258" s="155">
        <v>186</v>
      </c>
      <c r="B258" s="156" t="s">
        <v>628</v>
      </c>
      <c r="C258" s="46"/>
      <c r="D258" s="63"/>
      <c r="E258" s="156"/>
      <c r="F258" s="99"/>
      <c r="G258" s="157">
        <v>1.9666669999999999</v>
      </c>
      <c r="H258" s="155">
        <v>30</v>
      </c>
      <c r="I258" s="155">
        <v>30</v>
      </c>
      <c r="J258" s="156" t="s">
        <v>39</v>
      </c>
      <c r="K258" s="52"/>
      <c r="L258" s="53"/>
      <c r="M258" s="54"/>
      <c r="N258" s="55" t="str">
        <f t="shared" si="2"/>
        <v>grams</v>
      </c>
      <c r="O258" s="158">
        <v>59</v>
      </c>
      <c r="P258" s="44"/>
      <c r="Q258" s="66"/>
      <c r="R258" s="32"/>
      <c r="S258" s="32"/>
      <c r="T258" s="32"/>
      <c r="U258" s="32"/>
      <c r="V258" s="32"/>
      <c r="W258" s="32"/>
      <c r="X258" s="32"/>
      <c r="Y258" s="32"/>
      <c r="Z258" s="32"/>
    </row>
    <row r="259" spans="1:26" ht="15" customHeight="1" x14ac:dyDescent="0.3">
      <c r="A259" s="155">
        <v>187</v>
      </c>
      <c r="B259" s="156" t="s">
        <v>629</v>
      </c>
      <c r="C259" s="46"/>
      <c r="D259" s="63"/>
      <c r="E259" s="156" t="s">
        <v>69</v>
      </c>
      <c r="F259" s="99"/>
      <c r="G259" s="157">
        <v>0.50560000000000005</v>
      </c>
      <c r="H259" s="155">
        <v>600</v>
      </c>
      <c r="I259" s="155">
        <v>25</v>
      </c>
      <c r="J259" s="156" t="s">
        <v>39</v>
      </c>
      <c r="K259" s="52"/>
      <c r="L259" s="53"/>
      <c r="M259" s="54"/>
      <c r="N259" s="55" t="str">
        <f t="shared" si="2"/>
        <v>grams</v>
      </c>
      <c r="O259" s="158">
        <v>303.36</v>
      </c>
      <c r="P259" s="44"/>
      <c r="Q259" s="66"/>
      <c r="R259" s="32"/>
      <c r="S259" s="32"/>
      <c r="T259" s="32"/>
      <c r="U259" s="32"/>
      <c r="V259" s="32"/>
      <c r="W259" s="32"/>
      <c r="X259" s="32"/>
      <c r="Y259" s="32"/>
      <c r="Z259" s="32"/>
    </row>
    <row r="260" spans="1:26" ht="15" customHeight="1" x14ac:dyDescent="0.3">
      <c r="A260" s="155">
        <v>188</v>
      </c>
      <c r="B260" s="156" t="s">
        <v>630</v>
      </c>
      <c r="C260" s="46"/>
      <c r="D260" s="63"/>
      <c r="E260" s="156" t="s">
        <v>69</v>
      </c>
      <c r="F260" s="99"/>
      <c r="G260" s="157">
        <v>0.51280000000000003</v>
      </c>
      <c r="H260" s="155">
        <v>200</v>
      </c>
      <c r="I260" s="155">
        <v>25</v>
      </c>
      <c r="J260" s="156" t="s">
        <v>39</v>
      </c>
      <c r="K260" s="52"/>
      <c r="L260" s="53"/>
      <c r="M260" s="54"/>
      <c r="N260" s="55" t="str">
        <f t="shared" si="2"/>
        <v>grams</v>
      </c>
      <c r="O260" s="158">
        <v>102.56</v>
      </c>
      <c r="P260" s="44"/>
      <c r="Q260" s="66"/>
      <c r="R260" s="32"/>
      <c r="S260" s="32"/>
      <c r="T260" s="32"/>
      <c r="U260" s="32"/>
      <c r="V260" s="32"/>
      <c r="W260" s="32"/>
      <c r="X260" s="32"/>
      <c r="Y260" s="32"/>
      <c r="Z260" s="32"/>
    </row>
    <row r="261" spans="1:26" ht="15" customHeight="1" x14ac:dyDescent="0.3">
      <c r="A261" s="155">
        <v>189</v>
      </c>
      <c r="B261" s="156" t="s">
        <v>68</v>
      </c>
      <c r="C261" s="46"/>
      <c r="D261" s="63"/>
      <c r="E261" s="156" t="s">
        <v>69</v>
      </c>
      <c r="F261" s="99"/>
      <c r="G261" s="157">
        <v>5.0225879999999998</v>
      </c>
      <c r="H261" s="155">
        <v>34</v>
      </c>
      <c r="I261" s="155">
        <v>25</v>
      </c>
      <c r="J261" s="156" t="s">
        <v>39</v>
      </c>
      <c r="K261" s="52"/>
      <c r="L261" s="53"/>
      <c r="M261" s="54"/>
      <c r="N261" s="55" t="str">
        <f t="shared" si="2"/>
        <v>grams</v>
      </c>
      <c r="O261" s="158">
        <v>170.768</v>
      </c>
      <c r="P261" s="44"/>
      <c r="Q261" s="66"/>
      <c r="R261" s="32"/>
      <c r="S261" s="32"/>
      <c r="T261" s="32"/>
      <c r="U261" s="32"/>
      <c r="V261" s="32"/>
      <c r="W261" s="32"/>
      <c r="X261" s="32"/>
      <c r="Y261" s="32"/>
      <c r="Z261" s="32"/>
    </row>
    <row r="262" spans="1:26" ht="15" customHeight="1" x14ac:dyDescent="0.3">
      <c r="A262" s="155">
        <v>190</v>
      </c>
      <c r="B262" s="156" t="s">
        <v>70</v>
      </c>
      <c r="C262" s="46"/>
      <c r="D262" s="63"/>
      <c r="E262" s="156" t="s">
        <v>69</v>
      </c>
      <c r="F262" s="99"/>
      <c r="G262" s="157">
        <v>14</v>
      </c>
      <c r="H262" s="155">
        <v>20</v>
      </c>
      <c r="I262" s="155">
        <v>25</v>
      </c>
      <c r="J262" s="156" t="s">
        <v>39</v>
      </c>
      <c r="K262" s="52"/>
      <c r="L262" s="53"/>
      <c r="M262" s="54"/>
      <c r="N262" s="55" t="str">
        <f t="shared" si="2"/>
        <v>grams</v>
      </c>
      <c r="O262" s="158">
        <v>280</v>
      </c>
      <c r="P262" s="44"/>
      <c r="Q262" s="66"/>
      <c r="R262" s="32"/>
      <c r="S262" s="32"/>
      <c r="T262" s="32"/>
      <c r="U262" s="32"/>
      <c r="V262" s="32"/>
      <c r="W262" s="32"/>
      <c r="X262" s="32"/>
      <c r="Y262" s="32"/>
      <c r="Z262" s="32"/>
    </row>
    <row r="263" spans="1:26" ht="15" customHeight="1" x14ac:dyDescent="0.3">
      <c r="A263" s="155">
        <v>191</v>
      </c>
      <c r="B263" s="156" t="s">
        <v>71</v>
      </c>
      <c r="C263" s="46"/>
      <c r="D263" s="63"/>
      <c r="E263" s="156" t="s">
        <v>69</v>
      </c>
      <c r="F263" s="99"/>
      <c r="G263" s="157">
        <v>13.033329999999999</v>
      </c>
      <c r="H263" s="155">
        <v>15</v>
      </c>
      <c r="I263" s="155">
        <v>25</v>
      </c>
      <c r="J263" s="156" t="s">
        <v>39</v>
      </c>
      <c r="K263" s="52"/>
      <c r="L263" s="53"/>
      <c r="M263" s="54"/>
      <c r="N263" s="55" t="str">
        <f t="shared" si="2"/>
        <v>grams</v>
      </c>
      <c r="O263" s="158">
        <v>195.5</v>
      </c>
      <c r="P263" s="44"/>
      <c r="Q263" s="66"/>
      <c r="R263" s="32"/>
      <c r="S263" s="32"/>
      <c r="T263" s="32"/>
      <c r="U263" s="32"/>
      <c r="V263" s="32"/>
      <c r="W263" s="32"/>
      <c r="X263" s="32"/>
      <c r="Y263" s="32"/>
      <c r="Z263" s="32"/>
    </row>
    <row r="264" spans="1:26" ht="15" customHeight="1" x14ac:dyDescent="0.3">
      <c r="A264" s="155">
        <v>192</v>
      </c>
      <c r="B264" s="156" t="s">
        <v>72</v>
      </c>
      <c r="C264" s="46"/>
      <c r="D264" s="63"/>
      <c r="E264" s="156" t="s">
        <v>69</v>
      </c>
      <c r="F264" s="99"/>
      <c r="G264" s="157">
        <v>13.003130000000001</v>
      </c>
      <c r="H264" s="155">
        <v>64</v>
      </c>
      <c r="I264" s="155">
        <v>25</v>
      </c>
      <c r="J264" s="156" t="s">
        <v>39</v>
      </c>
      <c r="K264" s="52"/>
      <c r="L264" s="53"/>
      <c r="M264" s="54"/>
      <c r="N264" s="55" t="str">
        <f t="shared" ref="N264:N508" si="6">CONCATENATE(M264,K264,J264)</f>
        <v>grams</v>
      </c>
      <c r="O264" s="158">
        <v>832.2</v>
      </c>
      <c r="P264" s="44"/>
      <c r="Q264" s="66"/>
      <c r="R264" s="32"/>
      <c r="S264" s="32"/>
      <c r="T264" s="32"/>
      <c r="U264" s="32"/>
      <c r="V264" s="32"/>
      <c r="W264" s="32"/>
      <c r="X264" s="32"/>
      <c r="Y264" s="32"/>
      <c r="Z264" s="32"/>
    </row>
    <row r="265" spans="1:26" ht="15" customHeight="1" x14ac:dyDescent="0.3">
      <c r="A265" s="155">
        <v>193</v>
      </c>
      <c r="B265" s="156" t="s">
        <v>631</v>
      </c>
      <c r="C265" s="46"/>
      <c r="D265" s="63"/>
      <c r="E265" s="156" t="s">
        <v>69</v>
      </c>
      <c r="F265" s="99"/>
      <c r="G265" s="157">
        <v>49.457500000000003</v>
      </c>
      <c r="H265" s="155">
        <v>20</v>
      </c>
      <c r="I265" s="155">
        <v>24</v>
      </c>
      <c r="J265" s="156" t="s">
        <v>39</v>
      </c>
      <c r="K265" s="52"/>
      <c r="L265" s="53"/>
      <c r="M265" s="54"/>
      <c r="N265" s="55" t="str">
        <f t="shared" si="6"/>
        <v>grams</v>
      </c>
      <c r="O265" s="158">
        <v>989.15</v>
      </c>
      <c r="P265" s="44"/>
      <c r="Q265" s="66"/>
      <c r="R265" s="32"/>
      <c r="S265" s="32"/>
      <c r="T265" s="32"/>
      <c r="U265" s="32"/>
      <c r="V265" s="32"/>
      <c r="W265" s="32"/>
      <c r="X265" s="32"/>
      <c r="Y265" s="32"/>
      <c r="Z265" s="32"/>
    </row>
    <row r="266" spans="1:26" ht="15" customHeight="1" x14ac:dyDescent="0.3">
      <c r="A266" s="155">
        <v>194</v>
      </c>
      <c r="B266" s="156" t="s">
        <v>101</v>
      </c>
      <c r="C266" s="46"/>
      <c r="D266" s="63"/>
      <c r="E266" s="156" t="s">
        <v>102</v>
      </c>
      <c r="F266" s="99"/>
      <c r="G266" s="157">
        <v>8.86</v>
      </c>
      <c r="H266" s="155">
        <v>190</v>
      </c>
      <c r="I266" s="155">
        <v>1</v>
      </c>
      <c r="J266" s="156" t="s">
        <v>92</v>
      </c>
      <c r="K266" s="52"/>
      <c r="L266" s="53"/>
      <c r="M266" s="54"/>
      <c r="N266" s="55" t="str">
        <f t="shared" si="6"/>
        <v>pieces</v>
      </c>
      <c r="O266" s="158">
        <v>1683.4</v>
      </c>
      <c r="P266" s="44"/>
      <c r="Q266" s="66"/>
      <c r="R266" s="32"/>
      <c r="S266" s="32"/>
      <c r="T266" s="32"/>
      <c r="U266" s="32"/>
      <c r="V266" s="32"/>
      <c r="W266" s="32"/>
      <c r="X266" s="32"/>
      <c r="Y266" s="32"/>
      <c r="Z266" s="32"/>
    </row>
    <row r="267" spans="1:26" ht="15" customHeight="1" x14ac:dyDescent="0.3">
      <c r="A267" s="155">
        <v>195</v>
      </c>
      <c r="B267" s="156" t="s">
        <v>201</v>
      </c>
      <c r="C267" s="46"/>
      <c r="D267" s="63"/>
      <c r="E267" s="156" t="s">
        <v>202</v>
      </c>
      <c r="F267" s="99"/>
      <c r="G267" s="157">
        <v>49</v>
      </c>
      <c r="H267" s="155">
        <v>20</v>
      </c>
      <c r="I267" s="155">
        <v>1</v>
      </c>
      <c r="J267" s="156" t="s">
        <v>92</v>
      </c>
      <c r="K267" s="52"/>
      <c r="L267" s="53"/>
      <c r="M267" s="54"/>
      <c r="N267" s="55" t="str">
        <f t="shared" si="6"/>
        <v>pieces</v>
      </c>
      <c r="O267" s="158">
        <v>980</v>
      </c>
      <c r="P267" s="44"/>
      <c r="Q267" s="66"/>
      <c r="R267" s="32"/>
      <c r="S267" s="32"/>
      <c r="T267" s="32"/>
      <c r="U267" s="32"/>
      <c r="V267" s="32"/>
      <c r="W267" s="32"/>
      <c r="X267" s="32"/>
      <c r="Y267" s="32"/>
      <c r="Z267" s="32"/>
    </row>
    <row r="268" spans="1:26" ht="15" customHeight="1" x14ac:dyDescent="0.3">
      <c r="A268" s="155">
        <v>196</v>
      </c>
      <c r="B268" s="156" t="s">
        <v>632</v>
      </c>
      <c r="C268" s="46"/>
      <c r="D268" s="63"/>
      <c r="E268" s="156"/>
      <c r="F268" s="99"/>
      <c r="G268" s="157">
        <v>607</v>
      </c>
      <c r="H268" s="155">
        <v>0.5</v>
      </c>
      <c r="I268" s="155">
        <v>1</v>
      </c>
      <c r="J268" s="156" t="s">
        <v>200</v>
      </c>
      <c r="K268" s="52"/>
      <c r="L268" s="53"/>
      <c r="M268" s="54"/>
      <c r="N268" s="55" t="str">
        <f t="shared" si="6"/>
        <v>gal</v>
      </c>
      <c r="O268" s="158">
        <v>303.5</v>
      </c>
      <c r="P268" s="44"/>
      <c r="Q268" s="66"/>
      <c r="R268" s="32"/>
      <c r="S268" s="32"/>
      <c r="T268" s="32"/>
      <c r="U268" s="32"/>
      <c r="V268" s="32"/>
      <c r="W268" s="32"/>
      <c r="X268" s="32"/>
      <c r="Y268" s="32"/>
      <c r="Z268" s="32"/>
    </row>
    <row r="269" spans="1:26" ht="15" customHeight="1" x14ac:dyDescent="0.3">
      <c r="A269" s="155">
        <v>197</v>
      </c>
      <c r="B269" s="156" t="s">
        <v>404</v>
      </c>
      <c r="C269" s="46"/>
      <c r="D269" s="63"/>
      <c r="E269" s="156" t="s">
        <v>405</v>
      </c>
      <c r="F269" s="99"/>
      <c r="G269" s="157">
        <v>5.8</v>
      </c>
      <c r="H269" s="155">
        <v>600</v>
      </c>
      <c r="I269" s="155">
        <v>1</v>
      </c>
      <c r="J269" s="156" t="s">
        <v>92</v>
      </c>
      <c r="K269" s="52"/>
      <c r="L269" s="53"/>
      <c r="M269" s="54"/>
      <c r="N269" s="55" t="str">
        <f t="shared" si="6"/>
        <v>pieces</v>
      </c>
      <c r="O269" s="158">
        <v>3480</v>
      </c>
      <c r="P269" s="44"/>
      <c r="Q269" s="66"/>
      <c r="R269" s="32"/>
      <c r="S269" s="32"/>
      <c r="T269" s="32"/>
      <c r="U269" s="32"/>
      <c r="V269" s="32"/>
      <c r="W269" s="32"/>
      <c r="X269" s="32"/>
      <c r="Y269" s="32"/>
      <c r="Z269" s="32"/>
    </row>
    <row r="270" spans="1:26" ht="15" customHeight="1" x14ac:dyDescent="0.3">
      <c r="A270" s="155">
        <v>198</v>
      </c>
      <c r="B270" s="156" t="s">
        <v>406</v>
      </c>
      <c r="C270" s="46"/>
      <c r="D270" s="63"/>
      <c r="E270" s="156" t="s">
        <v>407</v>
      </c>
      <c r="F270" s="99"/>
      <c r="G270" s="157">
        <v>5.79</v>
      </c>
      <c r="H270" s="155">
        <v>200</v>
      </c>
      <c r="I270" s="155">
        <v>1</v>
      </c>
      <c r="J270" s="156" t="s">
        <v>92</v>
      </c>
      <c r="K270" s="52"/>
      <c r="L270" s="53"/>
      <c r="M270" s="54"/>
      <c r="N270" s="55" t="str">
        <f t="shared" si="6"/>
        <v>pieces</v>
      </c>
      <c r="O270" s="158">
        <v>1158</v>
      </c>
      <c r="P270" s="44"/>
      <c r="Q270" s="66"/>
      <c r="R270" s="32"/>
      <c r="S270" s="32"/>
      <c r="T270" s="32"/>
      <c r="U270" s="32"/>
      <c r="V270" s="32"/>
      <c r="W270" s="32"/>
      <c r="X270" s="32"/>
      <c r="Y270" s="32"/>
      <c r="Z270" s="32"/>
    </row>
    <row r="271" spans="1:26" ht="15" customHeight="1" x14ac:dyDescent="0.3">
      <c r="A271" s="155">
        <v>199</v>
      </c>
      <c r="B271" s="156" t="s">
        <v>408</v>
      </c>
      <c r="C271" s="46"/>
      <c r="D271" s="63"/>
      <c r="E271" s="156" t="s">
        <v>407</v>
      </c>
      <c r="F271" s="99"/>
      <c r="G271" s="157">
        <v>5.79</v>
      </c>
      <c r="H271" s="155">
        <v>220</v>
      </c>
      <c r="I271" s="155">
        <v>1</v>
      </c>
      <c r="J271" s="156" t="s">
        <v>92</v>
      </c>
      <c r="K271" s="52"/>
      <c r="L271" s="53"/>
      <c r="M271" s="54"/>
      <c r="N271" s="55" t="str">
        <f t="shared" si="6"/>
        <v>pieces</v>
      </c>
      <c r="O271" s="158">
        <v>1273.8</v>
      </c>
      <c r="P271" s="44"/>
      <c r="Q271" s="66"/>
      <c r="R271" s="32"/>
      <c r="S271" s="32"/>
      <c r="T271" s="32"/>
      <c r="U271" s="32"/>
      <c r="V271" s="32"/>
      <c r="W271" s="32"/>
      <c r="X271" s="32"/>
      <c r="Y271" s="32"/>
      <c r="Z271" s="32"/>
    </row>
    <row r="272" spans="1:26" ht="15" customHeight="1" x14ac:dyDescent="0.3">
      <c r="A272" s="155">
        <v>200</v>
      </c>
      <c r="B272" s="156" t="s">
        <v>633</v>
      </c>
      <c r="C272" s="46"/>
      <c r="D272" s="63"/>
      <c r="E272" s="156"/>
      <c r="F272" s="99"/>
      <c r="G272" s="157">
        <v>6.4167000000000002E-2</v>
      </c>
      <c r="H272" s="155">
        <v>785</v>
      </c>
      <c r="I272" s="155">
        <v>24</v>
      </c>
      <c r="J272" s="156" t="s">
        <v>304</v>
      </c>
      <c r="K272" s="52"/>
      <c r="L272" s="53"/>
      <c r="M272" s="54"/>
      <c r="N272" s="55" t="str">
        <f t="shared" si="6"/>
        <v>packs</v>
      </c>
      <c r="O272" s="158">
        <v>50.370829999999998</v>
      </c>
      <c r="P272" s="44"/>
      <c r="Q272" s="66"/>
      <c r="R272" s="32"/>
      <c r="S272" s="32"/>
      <c r="T272" s="32"/>
      <c r="U272" s="32"/>
      <c r="V272" s="32"/>
      <c r="W272" s="32"/>
      <c r="X272" s="32"/>
      <c r="Y272" s="32"/>
      <c r="Z272" s="32"/>
    </row>
    <row r="273" spans="1:26" ht="15" customHeight="1" x14ac:dyDescent="0.3">
      <c r="A273" s="155">
        <v>201</v>
      </c>
      <c r="B273" s="156" t="s">
        <v>634</v>
      </c>
      <c r="C273" s="46"/>
      <c r="D273" s="63"/>
      <c r="E273" s="156"/>
      <c r="F273" s="99"/>
      <c r="G273" s="157">
        <v>5.12</v>
      </c>
      <c r="H273" s="155">
        <v>5</v>
      </c>
      <c r="I273" s="155">
        <v>1</v>
      </c>
      <c r="J273" s="156" t="s">
        <v>92</v>
      </c>
      <c r="K273" s="52"/>
      <c r="L273" s="53"/>
      <c r="M273" s="54"/>
      <c r="N273" s="55" t="str">
        <f t="shared" si="6"/>
        <v>pieces</v>
      </c>
      <c r="O273" s="158">
        <v>25.6</v>
      </c>
      <c r="P273" s="44"/>
      <c r="Q273" s="66"/>
      <c r="R273" s="32"/>
      <c r="S273" s="32"/>
      <c r="T273" s="32"/>
      <c r="U273" s="32"/>
      <c r="V273" s="32"/>
      <c r="W273" s="32"/>
      <c r="X273" s="32"/>
      <c r="Y273" s="32"/>
      <c r="Z273" s="32"/>
    </row>
    <row r="274" spans="1:26" ht="15" customHeight="1" x14ac:dyDescent="0.3">
      <c r="A274" s="155">
        <v>202</v>
      </c>
      <c r="B274" s="156" t="s">
        <v>409</v>
      </c>
      <c r="C274" s="46"/>
      <c r="D274" s="63"/>
      <c r="E274" s="156" t="s">
        <v>410</v>
      </c>
      <c r="F274" s="99"/>
      <c r="G274" s="157">
        <v>6.56</v>
      </c>
      <c r="H274" s="155">
        <v>28</v>
      </c>
      <c r="I274" s="155">
        <v>1</v>
      </c>
      <c r="J274" s="156" t="s">
        <v>92</v>
      </c>
      <c r="K274" s="52"/>
      <c r="L274" s="53"/>
      <c r="M274" s="54"/>
      <c r="N274" s="55" t="str">
        <f t="shared" si="6"/>
        <v>pieces</v>
      </c>
      <c r="O274" s="158">
        <v>183.68</v>
      </c>
      <c r="P274" s="44"/>
      <c r="Q274" s="66"/>
      <c r="R274" s="32"/>
      <c r="S274" s="32"/>
      <c r="T274" s="32"/>
      <c r="U274" s="32"/>
      <c r="V274" s="32"/>
      <c r="W274" s="32"/>
      <c r="X274" s="32"/>
      <c r="Y274" s="32"/>
      <c r="Z274" s="32"/>
    </row>
    <row r="275" spans="1:26" ht="15" customHeight="1" x14ac:dyDescent="0.3">
      <c r="A275" s="155">
        <v>203</v>
      </c>
      <c r="B275" s="156" t="s">
        <v>635</v>
      </c>
      <c r="C275" s="46"/>
      <c r="D275" s="63"/>
      <c r="E275" s="156"/>
      <c r="F275" s="99"/>
      <c r="G275" s="157">
        <v>14.202999999999999</v>
      </c>
      <c r="H275" s="155">
        <v>2</v>
      </c>
      <c r="I275" s="155">
        <v>50</v>
      </c>
      <c r="J275" s="156" t="s">
        <v>92</v>
      </c>
      <c r="K275" s="52"/>
      <c r="L275" s="53"/>
      <c r="M275" s="54"/>
      <c r="N275" s="55" t="str">
        <f t="shared" si="6"/>
        <v>pieces</v>
      </c>
      <c r="O275" s="158">
        <v>28.405999999999999</v>
      </c>
      <c r="P275" s="44"/>
      <c r="Q275" s="66"/>
      <c r="R275" s="32"/>
      <c r="S275" s="32"/>
      <c r="T275" s="32"/>
      <c r="U275" s="32"/>
      <c r="V275" s="32"/>
      <c r="W275" s="32"/>
      <c r="X275" s="32"/>
      <c r="Y275" s="32"/>
      <c r="Z275" s="32"/>
    </row>
    <row r="276" spans="1:26" ht="15" customHeight="1" x14ac:dyDescent="0.3">
      <c r="A276" s="155">
        <v>204</v>
      </c>
      <c r="B276" s="156" t="s">
        <v>636</v>
      </c>
      <c r="C276" s="46"/>
      <c r="D276" s="63"/>
      <c r="E276" s="156"/>
      <c r="F276" s="99"/>
      <c r="G276" s="157">
        <v>0.52</v>
      </c>
      <c r="H276" s="155">
        <v>1000</v>
      </c>
      <c r="I276" s="155">
        <v>1000</v>
      </c>
      <c r="J276" s="156" t="s">
        <v>39</v>
      </c>
      <c r="K276" s="52"/>
      <c r="L276" s="53"/>
      <c r="M276" s="54"/>
      <c r="N276" s="55" t="str">
        <f t="shared" si="6"/>
        <v>grams</v>
      </c>
      <c r="O276" s="158">
        <v>520</v>
      </c>
      <c r="P276" s="44"/>
      <c r="Q276" s="66"/>
      <c r="R276" s="32"/>
      <c r="S276" s="32"/>
      <c r="T276" s="32"/>
      <c r="U276" s="32"/>
      <c r="V276" s="32"/>
      <c r="W276" s="32"/>
      <c r="X276" s="32"/>
      <c r="Y276" s="32"/>
      <c r="Z276" s="32"/>
    </row>
    <row r="277" spans="1:26" ht="15" customHeight="1" x14ac:dyDescent="0.3">
      <c r="A277" s="155">
        <v>205</v>
      </c>
      <c r="B277" s="156" t="s">
        <v>411</v>
      </c>
      <c r="C277" s="46"/>
      <c r="D277" s="63"/>
      <c r="E277" s="156" t="s">
        <v>412</v>
      </c>
      <c r="F277" s="99"/>
      <c r="G277" s="157">
        <v>6.0166199999999996</v>
      </c>
      <c r="H277" s="155">
        <v>361</v>
      </c>
      <c r="I277" s="155">
        <v>1</v>
      </c>
      <c r="J277" s="156" t="s">
        <v>92</v>
      </c>
      <c r="K277" s="52"/>
      <c r="L277" s="53"/>
      <c r="M277" s="54"/>
      <c r="N277" s="55" t="str">
        <f t="shared" si="6"/>
        <v>pieces</v>
      </c>
      <c r="O277" s="158">
        <v>2172</v>
      </c>
      <c r="P277" s="44"/>
      <c r="Q277" s="66"/>
      <c r="R277" s="32"/>
      <c r="S277" s="32"/>
      <c r="T277" s="32"/>
      <c r="U277" s="32"/>
      <c r="V277" s="32"/>
      <c r="W277" s="32"/>
      <c r="X277" s="32"/>
      <c r="Y277" s="32"/>
      <c r="Z277" s="32"/>
    </row>
    <row r="278" spans="1:26" ht="15" customHeight="1" x14ac:dyDescent="0.3">
      <c r="A278" s="155">
        <v>205</v>
      </c>
      <c r="B278" s="156" t="s">
        <v>411</v>
      </c>
      <c r="C278" s="46"/>
      <c r="D278" s="63"/>
      <c r="E278" s="156"/>
      <c r="F278" s="99"/>
      <c r="G278" s="157">
        <v>6.19</v>
      </c>
      <c r="H278" s="155">
        <v>80</v>
      </c>
      <c r="I278" s="155">
        <v>1</v>
      </c>
      <c r="J278" s="156" t="s">
        <v>92</v>
      </c>
      <c r="K278" s="52"/>
      <c r="L278" s="53"/>
      <c r="M278" s="54"/>
      <c r="N278" s="55" t="str">
        <f t="shared" si="6"/>
        <v>pieces</v>
      </c>
      <c r="O278" s="158">
        <v>495.2</v>
      </c>
      <c r="P278" s="44"/>
      <c r="Q278" s="66"/>
      <c r="R278" s="32"/>
      <c r="S278" s="32"/>
      <c r="T278" s="32"/>
      <c r="U278" s="32"/>
      <c r="V278" s="32"/>
      <c r="W278" s="32"/>
      <c r="X278" s="32"/>
      <c r="Y278" s="32"/>
      <c r="Z278" s="32"/>
    </row>
    <row r="279" spans="1:26" ht="15" customHeight="1" x14ac:dyDescent="0.3">
      <c r="A279" s="155">
        <v>206</v>
      </c>
      <c r="B279" s="156" t="s">
        <v>413</v>
      </c>
      <c r="C279" s="46"/>
      <c r="D279" s="63"/>
      <c r="E279" s="156" t="s">
        <v>405</v>
      </c>
      <c r="F279" s="99"/>
      <c r="G279" s="157">
        <v>5.8</v>
      </c>
      <c r="H279" s="155">
        <v>200</v>
      </c>
      <c r="I279" s="155">
        <v>1</v>
      </c>
      <c r="J279" s="156" t="s">
        <v>92</v>
      </c>
      <c r="K279" s="52"/>
      <c r="L279" s="53"/>
      <c r="M279" s="54"/>
      <c r="N279" s="55" t="str">
        <f t="shared" si="6"/>
        <v>pieces</v>
      </c>
      <c r="O279" s="158">
        <v>1160</v>
      </c>
      <c r="P279" s="44"/>
      <c r="Q279" s="66"/>
      <c r="R279" s="32"/>
      <c r="S279" s="32"/>
      <c r="T279" s="32"/>
      <c r="U279" s="32"/>
      <c r="V279" s="32"/>
      <c r="W279" s="32"/>
      <c r="X279" s="32"/>
      <c r="Y279" s="32"/>
      <c r="Z279" s="32"/>
    </row>
    <row r="280" spans="1:26" ht="15" customHeight="1" x14ac:dyDescent="0.3">
      <c r="A280" s="155">
        <v>207</v>
      </c>
      <c r="B280" s="156" t="s">
        <v>73</v>
      </c>
      <c r="C280" s="46"/>
      <c r="D280" s="63"/>
      <c r="E280" s="156" t="s">
        <v>74</v>
      </c>
      <c r="F280" s="99"/>
      <c r="G280" s="157">
        <v>56.2</v>
      </c>
      <c r="H280" s="155">
        <v>1</v>
      </c>
      <c r="I280" s="155">
        <v>500</v>
      </c>
      <c r="J280" s="156" t="s">
        <v>39</v>
      </c>
      <c r="K280" s="52"/>
      <c r="L280" s="53"/>
      <c r="M280" s="54"/>
      <c r="N280" s="55" t="str">
        <f t="shared" si="6"/>
        <v>grams</v>
      </c>
      <c r="O280" s="158">
        <v>56.2</v>
      </c>
      <c r="P280" s="44"/>
      <c r="Q280" s="66"/>
      <c r="R280" s="32"/>
      <c r="S280" s="32"/>
      <c r="T280" s="32"/>
      <c r="U280" s="32"/>
      <c r="V280" s="32"/>
      <c r="W280" s="32"/>
      <c r="X280" s="32"/>
      <c r="Y280" s="32"/>
      <c r="Z280" s="32"/>
    </row>
    <row r="281" spans="1:26" ht="15" customHeight="1" x14ac:dyDescent="0.3">
      <c r="A281" s="155">
        <v>208</v>
      </c>
      <c r="B281" s="156" t="s">
        <v>221</v>
      </c>
      <c r="C281" s="46"/>
      <c r="D281" s="63"/>
      <c r="E281" s="156" t="s">
        <v>222</v>
      </c>
      <c r="F281" s="99"/>
      <c r="G281" s="157">
        <v>181</v>
      </c>
      <c r="H281" s="155">
        <v>5.6</v>
      </c>
      <c r="I281" s="155">
        <v>1</v>
      </c>
      <c r="J281" s="156" t="s">
        <v>39</v>
      </c>
      <c r="K281" s="52"/>
      <c r="L281" s="53"/>
      <c r="M281" s="54"/>
      <c r="N281" s="55" t="str">
        <f t="shared" si="6"/>
        <v>grams</v>
      </c>
      <c r="O281" s="158">
        <v>1013.6</v>
      </c>
      <c r="P281" s="44"/>
      <c r="Q281" s="66"/>
      <c r="R281" s="32"/>
      <c r="S281" s="32"/>
      <c r="T281" s="32"/>
      <c r="U281" s="32"/>
      <c r="V281" s="32"/>
      <c r="W281" s="32"/>
      <c r="X281" s="32"/>
      <c r="Y281" s="32"/>
      <c r="Z281" s="32"/>
    </row>
    <row r="282" spans="1:26" ht="15" customHeight="1" x14ac:dyDescent="0.3">
      <c r="A282" s="155">
        <v>209</v>
      </c>
      <c r="B282" s="156" t="s">
        <v>637</v>
      </c>
      <c r="C282" s="46"/>
      <c r="D282" s="63"/>
      <c r="E282" s="156" t="s">
        <v>222</v>
      </c>
      <c r="F282" s="99"/>
      <c r="G282" s="157">
        <v>0.17100000000000001</v>
      </c>
      <c r="H282" s="155">
        <v>24000</v>
      </c>
      <c r="I282" s="155">
        <v>1000</v>
      </c>
      <c r="J282" s="156" t="s">
        <v>39</v>
      </c>
      <c r="K282" s="52"/>
      <c r="L282" s="53"/>
      <c r="M282" s="54"/>
      <c r="N282" s="55" t="str">
        <f t="shared" si="6"/>
        <v>grams</v>
      </c>
      <c r="O282" s="158">
        <v>4104</v>
      </c>
      <c r="P282" s="44"/>
      <c r="Q282" s="66"/>
      <c r="R282" s="32"/>
      <c r="S282" s="32"/>
      <c r="T282" s="32"/>
      <c r="U282" s="32"/>
      <c r="V282" s="32"/>
      <c r="W282" s="32"/>
      <c r="X282" s="32"/>
      <c r="Y282" s="32"/>
      <c r="Z282" s="32"/>
    </row>
    <row r="283" spans="1:26" ht="15" customHeight="1" x14ac:dyDescent="0.3">
      <c r="A283" s="155">
        <v>210</v>
      </c>
      <c r="B283" s="156" t="s">
        <v>638</v>
      </c>
      <c r="C283" s="46"/>
      <c r="D283" s="63"/>
      <c r="E283" s="156" t="s">
        <v>639</v>
      </c>
      <c r="F283" s="99"/>
      <c r="G283" s="157">
        <v>0.14085</v>
      </c>
      <c r="H283" s="155">
        <v>600</v>
      </c>
      <c r="I283" s="155">
        <v>1000</v>
      </c>
      <c r="J283" s="156" t="s">
        <v>39</v>
      </c>
      <c r="K283" s="52"/>
      <c r="L283" s="53"/>
      <c r="M283" s="54"/>
      <c r="N283" s="55" t="str">
        <f t="shared" si="6"/>
        <v>grams</v>
      </c>
      <c r="O283" s="158">
        <v>84.51</v>
      </c>
      <c r="P283" s="44"/>
      <c r="Q283" s="66"/>
      <c r="R283" s="32"/>
      <c r="S283" s="32"/>
      <c r="T283" s="32"/>
      <c r="U283" s="32"/>
      <c r="V283" s="32"/>
      <c r="W283" s="32"/>
      <c r="X283" s="32"/>
      <c r="Y283" s="32"/>
      <c r="Z283" s="32"/>
    </row>
    <row r="284" spans="1:26" ht="15" customHeight="1" x14ac:dyDescent="0.3">
      <c r="A284" s="155">
        <v>211</v>
      </c>
      <c r="B284" s="156" t="s">
        <v>640</v>
      </c>
      <c r="C284" s="46"/>
      <c r="D284" s="63"/>
      <c r="E284" s="156" t="s">
        <v>641</v>
      </c>
      <c r="F284" s="99"/>
      <c r="G284" s="157">
        <v>0.10033300000000001</v>
      </c>
      <c r="H284" s="155">
        <v>1800</v>
      </c>
      <c r="I284" s="155">
        <v>900</v>
      </c>
      <c r="J284" s="156" t="s">
        <v>39</v>
      </c>
      <c r="K284" s="52"/>
      <c r="L284" s="53"/>
      <c r="M284" s="54"/>
      <c r="N284" s="55" t="str">
        <f t="shared" si="6"/>
        <v>grams</v>
      </c>
      <c r="O284" s="158">
        <v>180.6</v>
      </c>
      <c r="P284" s="44"/>
      <c r="Q284" s="66"/>
      <c r="R284" s="32"/>
      <c r="S284" s="32"/>
      <c r="T284" s="32"/>
      <c r="U284" s="32"/>
      <c r="V284" s="32"/>
      <c r="W284" s="32"/>
      <c r="X284" s="32"/>
      <c r="Y284" s="32"/>
      <c r="Z284" s="32"/>
    </row>
    <row r="285" spans="1:26" ht="15" customHeight="1" x14ac:dyDescent="0.3">
      <c r="A285" s="155">
        <v>212</v>
      </c>
      <c r="B285" s="156" t="s">
        <v>180</v>
      </c>
      <c r="C285" s="46"/>
      <c r="D285" s="63"/>
      <c r="E285" s="156" t="s">
        <v>642</v>
      </c>
      <c r="F285" s="99"/>
      <c r="G285" s="157">
        <v>0.54357800000000001</v>
      </c>
      <c r="H285" s="155">
        <v>11564</v>
      </c>
      <c r="I285" s="155">
        <v>340</v>
      </c>
      <c r="J285" s="156" t="s">
        <v>39</v>
      </c>
      <c r="K285" s="52"/>
      <c r="L285" s="53"/>
      <c r="M285" s="54"/>
      <c r="N285" s="55" t="str">
        <f t="shared" si="6"/>
        <v>grams</v>
      </c>
      <c r="O285" s="158">
        <v>6285.94</v>
      </c>
      <c r="P285" s="44"/>
      <c r="Q285" s="66"/>
      <c r="R285" s="32"/>
      <c r="S285" s="32"/>
      <c r="T285" s="32"/>
      <c r="U285" s="32"/>
      <c r="V285" s="32"/>
      <c r="W285" s="32"/>
      <c r="X285" s="32"/>
      <c r="Y285" s="32"/>
      <c r="Z285" s="32"/>
    </row>
    <row r="286" spans="1:26" ht="15" customHeight="1" x14ac:dyDescent="0.3">
      <c r="A286" s="155">
        <v>212</v>
      </c>
      <c r="B286" s="156" t="s">
        <v>180</v>
      </c>
      <c r="C286" s="46"/>
      <c r="D286" s="63"/>
      <c r="E286" s="156" t="s">
        <v>181</v>
      </c>
      <c r="F286" s="99"/>
      <c r="G286" s="157">
        <v>166.43</v>
      </c>
      <c r="H286" s="155">
        <v>29</v>
      </c>
      <c r="I286" s="155">
        <v>340</v>
      </c>
      <c r="J286" s="156" t="s">
        <v>39</v>
      </c>
      <c r="K286" s="52"/>
      <c r="L286" s="53"/>
      <c r="M286" s="54"/>
      <c r="N286" s="55" t="str">
        <f t="shared" si="6"/>
        <v>grams</v>
      </c>
      <c r="O286" s="158">
        <v>4826.47</v>
      </c>
      <c r="P286" s="44"/>
      <c r="Q286" s="66"/>
      <c r="R286" s="32"/>
      <c r="S286" s="32"/>
      <c r="T286" s="32"/>
      <c r="U286" s="32"/>
      <c r="V286" s="32"/>
      <c r="W286" s="32"/>
      <c r="X286" s="32"/>
      <c r="Y286" s="32"/>
      <c r="Z286" s="32"/>
    </row>
    <row r="287" spans="1:26" ht="15" customHeight="1" x14ac:dyDescent="0.3">
      <c r="A287" s="155">
        <v>212</v>
      </c>
      <c r="B287" s="156" t="s">
        <v>180</v>
      </c>
      <c r="C287" s="46"/>
      <c r="D287" s="63"/>
      <c r="E287" s="156"/>
      <c r="F287" s="99"/>
      <c r="G287" s="157">
        <v>0.44067600000000001</v>
      </c>
      <c r="H287" s="155">
        <v>8160</v>
      </c>
      <c r="I287" s="155">
        <v>340</v>
      </c>
      <c r="J287" s="156" t="s">
        <v>39</v>
      </c>
      <c r="K287" s="52"/>
      <c r="L287" s="53"/>
      <c r="M287" s="54"/>
      <c r="N287" s="55" t="str">
        <f t="shared" si="6"/>
        <v>grams</v>
      </c>
      <c r="O287" s="158">
        <v>3595.92</v>
      </c>
      <c r="P287" s="44"/>
      <c r="Q287" s="66"/>
      <c r="R287" s="32"/>
      <c r="S287" s="32"/>
      <c r="T287" s="32"/>
      <c r="U287" s="32"/>
      <c r="V287" s="32"/>
      <c r="W287" s="32"/>
      <c r="X287" s="32"/>
      <c r="Y287" s="32"/>
      <c r="Z287" s="32"/>
    </row>
    <row r="288" spans="1:26" ht="15" customHeight="1" x14ac:dyDescent="0.3">
      <c r="A288" s="155">
        <v>213</v>
      </c>
      <c r="B288" s="156" t="s">
        <v>414</v>
      </c>
      <c r="C288" s="46"/>
      <c r="D288" s="63"/>
      <c r="E288" s="156" t="s">
        <v>415</v>
      </c>
      <c r="F288" s="99"/>
      <c r="G288" s="157">
        <v>8.0736650000000001</v>
      </c>
      <c r="H288" s="155">
        <v>281</v>
      </c>
      <c r="I288" s="155">
        <v>1</v>
      </c>
      <c r="J288" s="156" t="s">
        <v>92</v>
      </c>
      <c r="K288" s="52"/>
      <c r="L288" s="53"/>
      <c r="M288" s="54"/>
      <c r="N288" s="55" t="str">
        <f t="shared" si="6"/>
        <v>pieces</v>
      </c>
      <c r="O288" s="158">
        <v>2268.6999999999998</v>
      </c>
      <c r="P288" s="44"/>
      <c r="Q288" s="66"/>
      <c r="R288" s="32"/>
      <c r="S288" s="32"/>
      <c r="T288" s="32"/>
      <c r="U288" s="32"/>
      <c r="V288" s="32"/>
      <c r="W288" s="32"/>
      <c r="X288" s="32"/>
      <c r="Y288" s="32"/>
      <c r="Z288" s="32"/>
    </row>
    <row r="289" spans="1:26" ht="15" customHeight="1" x14ac:dyDescent="0.3">
      <c r="A289" s="155">
        <v>214</v>
      </c>
      <c r="B289" s="156" t="s">
        <v>643</v>
      </c>
      <c r="C289" s="46"/>
      <c r="D289" s="63"/>
      <c r="E289" s="156"/>
      <c r="F289" s="99"/>
      <c r="G289" s="157">
        <v>8.6999999999999993</v>
      </c>
      <c r="H289" s="155">
        <v>30</v>
      </c>
      <c r="I289" s="155">
        <v>10</v>
      </c>
      <c r="J289" s="156" t="s">
        <v>92</v>
      </c>
      <c r="K289" s="52"/>
      <c r="L289" s="53"/>
      <c r="M289" s="54"/>
      <c r="N289" s="55" t="str">
        <f t="shared" si="6"/>
        <v>pieces</v>
      </c>
      <c r="O289" s="158">
        <v>261</v>
      </c>
      <c r="P289" s="44"/>
      <c r="Q289" s="66"/>
      <c r="R289" s="32"/>
      <c r="S289" s="32"/>
      <c r="T289" s="32"/>
      <c r="U289" s="32"/>
      <c r="V289" s="32"/>
      <c r="W289" s="32"/>
      <c r="X289" s="32"/>
      <c r="Y289" s="32"/>
      <c r="Z289" s="32"/>
    </row>
    <row r="290" spans="1:26" ht="15" customHeight="1" x14ac:dyDescent="0.3">
      <c r="A290" s="155">
        <v>215</v>
      </c>
      <c r="B290" s="156" t="s">
        <v>644</v>
      </c>
      <c r="C290" s="46"/>
      <c r="D290" s="63"/>
      <c r="E290" s="156"/>
      <c r="F290" s="99"/>
      <c r="G290" s="157">
        <v>0.41880000000000001</v>
      </c>
      <c r="H290" s="155">
        <v>6500</v>
      </c>
      <c r="I290" s="155">
        <v>500</v>
      </c>
      <c r="J290" s="156" t="s">
        <v>32</v>
      </c>
      <c r="K290" s="52"/>
      <c r="L290" s="53"/>
      <c r="M290" s="54"/>
      <c r="N290" s="55" t="str">
        <f t="shared" si="6"/>
        <v>ml</v>
      </c>
      <c r="O290" s="158">
        <v>2722.2</v>
      </c>
      <c r="P290" s="44"/>
      <c r="Q290" s="66"/>
      <c r="R290" s="32"/>
      <c r="S290" s="32"/>
      <c r="T290" s="32"/>
      <c r="U290" s="32"/>
      <c r="V290" s="32"/>
      <c r="W290" s="32"/>
      <c r="X290" s="32"/>
      <c r="Y290" s="32"/>
      <c r="Z290" s="32"/>
    </row>
    <row r="291" spans="1:26" ht="15" customHeight="1" x14ac:dyDescent="0.3">
      <c r="A291" s="155">
        <v>216</v>
      </c>
      <c r="B291" s="156" t="s">
        <v>311</v>
      </c>
      <c r="C291" s="46"/>
      <c r="D291" s="63"/>
      <c r="E291" s="156" t="s">
        <v>312</v>
      </c>
      <c r="F291" s="99"/>
      <c r="G291" s="157">
        <v>390</v>
      </c>
      <c r="H291" s="155">
        <v>0.7</v>
      </c>
      <c r="I291" s="155">
        <v>1</v>
      </c>
      <c r="J291" s="156" t="s">
        <v>32</v>
      </c>
      <c r="K291" s="52"/>
      <c r="L291" s="53"/>
      <c r="M291" s="54"/>
      <c r="N291" s="55" t="str">
        <f t="shared" si="6"/>
        <v>ml</v>
      </c>
      <c r="O291" s="158">
        <v>273</v>
      </c>
      <c r="P291" s="44"/>
      <c r="Q291" s="66"/>
      <c r="R291" s="32"/>
      <c r="S291" s="32"/>
      <c r="T291" s="32"/>
      <c r="U291" s="32"/>
      <c r="V291" s="32"/>
      <c r="W291" s="32"/>
      <c r="X291" s="32"/>
      <c r="Y291" s="32"/>
      <c r="Z291" s="32"/>
    </row>
    <row r="292" spans="1:26" ht="15" customHeight="1" x14ac:dyDescent="0.3">
      <c r="A292" s="155">
        <v>217</v>
      </c>
      <c r="B292" s="156" t="s">
        <v>416</v>
      </c>
      <c r="C292" s="46"/>
      <c r="D292" s="63"/>
      <c r="E292" s="156" t="s">
        <v>415</v>
      </c>
      <c r="F292" s="99"/>
      <c r="G292" s="157">
        <v>64</v>
      </c>
      <c r="H292" s="155">
        <v>8</v>
      </c>
      <c r="I292" s="155">
        <v>1</v>
      </c>
      <c r="J292" s="156" t="s">
        <v>92</v>
      </c>
      <c r="K292" s="52"/>
      <c r="L292" s="53"/>
      <c r="M292" s="54"/>
      <c r="N292" s="55" t="str">
        <f t="shared" si="6"/>
        <v>pieces</v>
      </c>
      <c r="O292" s="158">
        <v>512</v>
      </c>
      <c r="P292" s="44"/>
      <c r="Q292" s="66"/>
      <c r="R292" s="32"/>
      <c r="S292" s="32"/>
      <c r="T292" s="32"/>
      <c r="U292" s="32"/>
      <c r="V292" s="32"/>
      <c r="W292" s="32"/>
      <c r="X292" s="32"/>
      <c r="Y292" s="32"/>
      <c r="Z292" s="32"/>
    </row>
    <row r="293" spans="1:26" ht="15" customHeight="1" x14ac:dyDescent="0.3">
      <c r="A293" s="155">
        <v>218</v>
      </c>
      <c r="B293" s="156" t="s">
        <v>645</v>
      </c>
      <c r="C293" s="46"/>
      <c r="D293" s="63"/>
      <c r="E293" s="156"/>
      <c r="F293" s="99"/>
      <c r="G293" s="157">
        <v>301.625</v>
      </c>
      <c r="H293" s="155">
        <v>16</v>
      </c>
      <c r="I293" s="155">
        <v>1</v>
      </c>
      <c r="J293" s="156" t="s">
        <v>213</v>
      </c>
      <c r="K293" s="52"/>
      <c r="L293" s="53"/>
      <c r="M293" s="54"/>
      <c r="N293" s="55" t="str">
        <f t="shared" si="6"/>
        <v>kilos</v>
      </c>
      <c r="O293" s="158">
        <v>4826</v>
      </c>
      <c r="P293" s="44"/>
      <c r="Q293" s="66"/>
      <c r="R293" s="32"/>
      <c r="S293" s="32"/>
      <c r="T293" s="32"/>
      <c r="U293" s="32"/>
      <c r="V293" s="32"/>
      <c r="W293" s="32"/>
      <c r="X293" s="32"/>
      <c r="Y293" s="32"/>
      <c r="Z293" s="32"/>
    </row>
    <row r="294" spans="1:26" ht="15" customHeight="1" x14ac:dyDescent="0.3">
      <c r="A294" s="155">
        <v>218</v>
      </c>
      <c r="B294" s="156" t="s">
        <v>645</v>
      </c>
      <c r="C294" s="46"/>
      <c r="D294" s="63"/>
      <c r="E294" s="156" t="s">
        <v>646</v>
      </c>
      <c r="F294" s="99"/>
      <c r="G294" s="157">
        <v>189</v>
      </c>
      <c r="H294" s="155">
        <v>1</v>
      </c>
      <c r="I294" s="155">
        <v>1</v>
      </c>
      <c r="J294" s="156" t="s">
        <v>213</v>
      </c>
      <c r="K294" s="52"/>
      <c r="L294" s="53"/>
      <c r="M294" s="54"/>
      <c r="N294" s="55" t="str">
        <f t="shared" si="6"/>
        <v>kilos</v>
      </c>
      <c r="O294" s="158">
        <v>189</v>
      </c>
      <c r="P294" s="44"/>
      <c r="Q294" s="66"/>
      <c r="R294" s="32"/>
      <c r="S294" s="32"/>
      <c r="T294" s="32"/>
      <c r="U294" s="32"/>
      <c r="V294" s="32"/>
      <c r="W294" s="32"/>
      <c r="X294" s="32"/>
      <c r="Y294" s="32"/>
      <c r="Z294" s="32"/>
    </row>
    <row r="295" spans="1:26" ht="15" customHeight="1" x14ac:dyDescent="0.3">
      <c r="A295" s="155">
        <v>219</v>
      </c>
      <c r="B295" s="156" t="s">
        <v>647</v>
      </c>
      <c r="C295" s="46"/>
      <c r="D295" s="63"/>
      <c r="E295" s="156" t="s">
        <v>648</v>
      </c>
      <c r="F295" s="99"/>
      <c r="G295" s="157">
        <v>0.56000000000000005</v>
      </c>
      <c r="H295" s="155">
        <v>1500</v>
      </c>
      <c r="I295" s="155">
        <v>500</v>
      </c>
      <c r="J295" s="156" t="s">
        <v>32</v>
      </c>
      <c r="K295" s="52"/>
      <c r="L295" s="53"/>
      <c r="M295" s="54"/>
      <c r="N295" s="55" t="str">
        <f t="shared" si="6"/>
        <v>ml</v>
      </c>
      <c r="O295" s="158">
        <v>840</v>
      </c>
      <c r="P295" s="44"/>
      <c r="Q295" s="66"/>
      <c r="R295" s="32"/>
      <c r="S295" s="32"/>
      <c r="T295" s="32"/>
      <c r="U295" s="32"/>
      <c r="V295" s="32"/>
      <c r="W295" s="32"/>
      <c r="X295" s="32"/>
      <c r="Y295" s="32"/>
      <c r="Z295" s="32"/>
    </row>
    <row r="296" spans="1:26" ht="15" customHeight="1" x14ac:dyDescent="0.3">
      <c r="A296" s="155">
        <v>220</v>
      </c>
      <c r="B296" s="156" t="s">
        <v>364</v>
      </c>
      <c r="C296" s="46"/>
      <c r="D296" s="63"/>
      <c r="E296" s="156" t="s">
        <v>365</v>
      </c>
      <c r="F296" s="99"/>
      <c r="G296" s="157">
        <v>48.8</v>
      </c>
      <c r="H296" s="155">
        <v>405</v>
      </c>
      <c r="I296" s="155">
        <v>1</v>
      </c>
      <c r="J296" s="156" t="s">
        <v>213</v>
      </c>
      <c r="K296" s="52"/>
      <c r="L296" s="53"/>
      <c r="M296" s="54"/>
      <c r="N296" s="55" t="str">
        <f t="shared" si="6"/>
        <v>kilos</v>
      </c>
      <c r="O296" s="158">
        <v>19764</v>
      </c>
      <c r="P296" s="44"/>
      <c r="Q296" s="66"/>
      <c r="R296" s="32"/>
      <c r="S296" s="32"/>
      <c r="T296" s="32"/>
      <c r="U296" s="32"/>
      <c r="V296" s="32"/>
      <c r="W296" s="32"/>
      <c r="X296" s="32"/>
      <c r="Y296" s="32"/>
      <c r="Z296" s="32"/>
    </row>
    <row r="297" spans="1:26" ht="15" customHeight="1" x14ac:dyDescent="0.3">
      <c r="A297" s="155">
        <v>221</v>
      </c>
      <c r="B297" s="156" t="s">
        <v>649</v>
      </c>
      <c r="C297" s="46"/>
      <c r="D297" s="63"/>
      <c r="E297" s="156"/>
      <c r="F297" s="99"/>
      <c r="G297" s="157">
        <v>1860</v>
      </c>
      <c r="H297" s="155">
        <v>0.5</v>
      </c>
      <c r="I297" s="155">
        <v>1</v>
      </c>
      <c r="J297" s="156" t="s">
        <v>200</v>
      </c>
      <c r="K297" s="52"/>
      <c r="L297" s="53"/>
      <c r="M297" s="54"/>
      <c r="N297" s="55" t="str">
        <f t="shared" si="6"/>
        <v>gal</v>
      </c>
      <c r="O297" s="158">
        <v>930</v>
      </c>
      <c r="P297" s="44"/>
      <c r="Q297" s="66"/>
      <c r="R297" s="32"/>
      <c r="S297" s="32"/>
      <c r="T297" s="32"/>
      <c r="U297" s="32"/>
      <c r="V297" s="32"/>
      <c r="W297" s="32"/>
      <c r="X297" s="32"/>
      <c r="Y297" s="32"/>
      <c r="Z297" s="32"/>
    </row>
    <row r="298" spans="1:26" ht="15" customHeight="1" x14ac:dyDescent="0.3">
      <c r="A298" s="155">
        <v>222</v>
      </c>
      <c r="B298" s="156" t="s">
        <v>650</v>
      </c>
      <c r="C298" s="46"/>
      <c r="D298" s="63"/>
      <c r="E298" s="156"/>
      <c r="F298" s="99"/>
      <c r="G298" s="157">
        <v>6.48</v>
      </c>
      <c r="H298" s="155">
        <v>4</v>
      </c>
      <c r="I298" s="155">
        <v>10</v>
      </c>
      <c r="J298" s="156" t="s">
        <v>92</v>
      </c>
      <c r="K298" s="52"/>
      <c r="L298" s="53"/>
      <c r="M298" s="54"/>
      <c r="N298" s="55" t="str">
        <f t="shared" si="6"/>
        <v>pieces</v>
      </c>
      <c r="O298" s="158">
        <v>25.92</v>
      </c>
      <c r="P298" s="44"/>
      <c r="Q298" s="66"/>
      <c r="R298" s="32"/>
      <c r="S298" s="32"/>
      <c r="T298" s="32"/>
      <c r="U298" s="32"/>
      <c r="V298" s="32"/>
      <c r="W298" s="32"/>
      <c r="X298" s="32"/>
      <c r="Y298" s="32"/>
      <c r="Z298" s="32"/>
    </row>
    <row r="299" spans="1:26" ht="15" customHeight="1" x14ac:dyDescent="0.3">
      <c r="A299" s="155">
        <v>223</v>
      </c>
      <c r="B299" s="156" t="s">
        <v>182</v>
      </c>
      <c r="C299" s="46"/>
      <c r="D299" s="63"/>
      <c r="E299" s="156" t="s">
        <v>183</v>
      </c>
      <c r="F299" s="99"/>
      <c r="G299" s="157">
        <v>42</v>
      </c>
      <c r="H299" s="155">
        <v>22.47</v>
      </c>
      <c r="I299" s="155">
        <v>1</v>
      </c>
      <c r="J299" s="156" t="s">
        <v>39</v>
      </c>
      <c r="K299" s="52"/>
      <c r="L299" s="53"/>
      <c r="M299" s="54"/>
      <c r="N299" s="55" t="str">
        <f t="shared" si="6"/>
        <v>grams</v>
      </c>
      <c r="O299" s="158">
        <v>943.74</v>
      </c>
      <c r="P299" s="44"/>
      <c r="Q299" s="66"/>
      <c r="R299" s="32"/>
      <c r="S299" s="32"/>
      <c r="T299" s="32"/>
      <c r="U299" s="32"/>
      <c r="V299" s="32"/>
      <c r="W299" s="32"/>
      <c r="X299" s="32"/>
      <c r="Y299" s="32"/>
      <c r="Z299" s="32"/>
    </row>
    <row r="300" spans="1:26" ht="15" customHeight="1" x14ac:dyDescent="0.3">
      <c r="A300" s="155">
        <v>223</v>
      </c>
      <c r="B300" s="156" t="s">
        <v>182</v>
      </c>
      <c r="C300" s="46"/>
      <c r="D300" s="63"/>
      <c r="E300" s="156"/>
      <c r="F300" s="99"/>
      <c r="G300" s="157">
        <v>0.17208000000000001</v>
      </c>
      <c r="H300" s="155">
        <v>250</v>
      </c>
      <c r="I300" s="155">
        <v>1</v>
      </c>
      <c r="J300" s="156" t="s">
        <v>39</v>
      </c>
      <c r="K300" s="52"/>
      <c r="L300" s="53"/>
      <c r="M300" s="54"/>
      <c r="N300" s="55" t="str">
        <f t="shared" si="6"/>
        <v>grams</v>
      </c>
      <c r="O300" s="158">
        <v>43.02</v>
      </c>
      <c r="P300" s="44"/>
      <c r="Q300" s="66"/>
      <c r="R300" s="32"/>
      <c r="S300" s="32"/>
      <c r="T300" s="32"/>
      <c r="U300" s="32"/>
      <c r="V300" s="32"/>
      <c r="W300" s="32"/>
      <c r="X300" s="32"/>
      <c r="Y300" s="32"/>
      <c r="Z300" s="32"/>
    </row>
    <row r="301" spans="1:26" ht="15" customHeight="1" x14ac:dyDescent="0.3">
      <c r="A301" s="155">
        <v>224</v>
      </c>
      <c r="B301" s="156" t="s">
        <v>223</v>
      </c>
      <c r="C301" s="46"/>
      <c r="D301" s="63"/>
      <c r="E301" s="156" t="s">
        <v>224</v>
      </c>
      <c r="F301" s="99"/>
      <c r="G301" s="157">
        <v>119.28570000000001</v>
      </c>
      <c r="H301" s="155">
        <v>3.5</v>
      </c>
      <c r="I301" s="155">
        <v>1</v>
      </c>
      <c r="J301" s="156" t="s">
        <v>39</v>
      </c>
      <c r="K301" s="52"/>
      <c r="L301" s="53"/>
      <c r="M301" s="54"/>
      <c r="N301" s="55" t="str">
        <f t="shared" si="6"/>
        <v>grams</v>
      </c>
      <c r="O301" s="158">
        <v>417.5</v>
      </c>
      <c r="P301" s="44"/>
      <c r="Q301" s="66"/>
      <c r="R301" s="32"/>
      <c r="S301" s="32"/>
      <c r="T301" s="32"/>
      <c r="U301" s="32"/>
      <c r="V301" s="32"/>
      <c r="W301" s="32"/>
      <c r="X301" s="32"/>
      <c r="Y301" s="32"/>
      <c r="Z301" s="32"/>
    </row>
    <row r="302" spans="1:26" ht="15" customHeight="1" x14ac:dyDescent="0.3">
      <c r="A302" s="155">
        <v>225</v>
      </c>
      <c r="B302" s="156" t="s">
        <v>143</v>
      </c>
      <c r="C302" s="46"/>
      <c r="D302" s="63"/>
      <c r="E302" s="156" t="s">
        <v>651</v>
      </c>
      <c r="F302" s="99"/>
      <c r="G302" s="157">
        <v>7.37</v>
      </c>
      <c r="H302" s="155">
        <v>139</v>
      </c>
      <c r="I302" s="155">
        <v>1</v>
      </c>
      <c r="J302" s="156" t="s">
        <v>92</v>
      </c>
      <c r="K302" s="52"/>
      <c r="L302" s="53"/>
      <c r="M302" s="54"/>
      <c r="N302" s="55" t="str">
        <f t="shared" si="6"/>
        <v>pieces</v>
      </c>
      <c r="O302" s="158">
        <v>1024.43</v>
      </c>
      <c r="P302" s="44"/>
      <c r="Q302" s="66"/>
      <c r="R302" s="32"/>
      <c r="S302" s="32"/>
      <c r="T302" s="32"/>
      <c r="U302" s="32"/>
      <c r="V302" s="32"/>
      <c r="W302" s="32"/>
      <c r="X302" s="32"/>
      <c r="Y302" s="32"/>
      <c r="Z302" s="32"/>
    </row>
    <row r="303" spans="1:26" ht="15" customHeight="1" x14ac:dyDescent="0.3">
      <c r="A303" s="155">
        <v>225</v>
      </c>
      <c r="B303" s="156" t="s">
        <v>143</v>
      </c>
      <c r="C303" s="46"/>
      <c r="D303" s="63"/>
      <c r="E303" s="156" t="s">
        <v>144</v>
      </c>
      <c r="F303" s="99"/>
      <c r="G303" s="157">
        <v>7</v>
      </c>
      <c r="H303" s="155">
        <v>240</v>
      </c>
      <c r="I303" s="155">
        <v>1</v>
      </c>
      <c r="J303" s="156" t="s">
        <v>92</v>
      </c>
      <c r="K303" s="52"/>
      <c r="L303" s="53"/>
      <c r="M303" s="54"/>
      <c r="N303" s="55" t="str">
        <f t="shared" si="6"/>
        <v>pieces</v>
      </c>
      <c r="O303" s="158">
        <v>1680</v>
      </c>
      <c r="P303" s="44"/>
      <c r="Q303" s="66"/>
      <c r="R303" s="32"/>
      <c r="S303" s="32"/>
      <c r="T303" s="32"/>
      <c r="U303" s="32"/>
      <c r="V303" s="32"/>
      <c r="W303" s="32"/>
      <c r="X303" s="32"/>
      <c r="Y303" s="32"/>
      <c r="Z303" s="32"/>
    </row>
    <row r="304" spans="1:26" ht="15" customHeight="1" x14ac:dyDescent="0.3">
      <c r="A304" s="155">
        <v>225</v>
      </c>
      <c r="B304" s="156" t="s">
        <v>143</v>
      </c>
      <c r="C304" s="46"/>
      <c r="D304" s="63"/>
      <c r="E304" s="156"/>
      <c r="F304" s="99"/>
      <c r="G304" s="157">
        <v>7.74</v>
      </c>
      <c r="H304" s="155">
        <v>489</v>
      </c>
      <c r="I304" s="155">
        <v>1</v>
      </c>
      <c r="J304" s="156" t="s">
        <v>92</v>
      </c>
      <c r="K304" s="52"/>
      <c r="L304" s="53"/>
      <c r="M304" s="54"/>
      <c r="N304" s="55" t="str">
        <f t="shared" si="6"/>
        <v>pieces</v>
      </c>
      <c r="O304" s="158">
        <v>3784.86</v>
      </c>
      <c r="P304" s="44"/>
      <c r="Q304" s="66"/>
      <c r="R304" s="32"/>
      <c r="S304" s="32"/>
      <c r="T304" s="32"/>
      <c r="U304" s="32"/>
      <c r="V304" s="32"/>
      <c r="W304" s="32"/>
      <c r="X304" s="32"/>
      <c r="Y304" s="32"/>
      <c r="Z304" s="32"/>
    </row>
    <row r="305" spans="1:26" ht="15" customHeight="1" x14ac:dyDescent="0.3">
      <c r="A305" s="155">
        <v>226</v>
      </c>
      <c r="B305" s="156" t="s">
        <v>652</v>
      </c>
      <c r="C305" s="46"/>
      <c r="D305" s="63"/>
      <c r="E305" s="156" t="s">
        <v>651</v>
      </c>
      <c r="F305" s="99"/>
      <c r="G305" s="157">
        <v>8.1999999999999993</v>
      </c>
      <c r="H305" s="155">
        <v>170</v>
      </c>
      <c r="I305" s="155">
        <v>1</v>
      </c>
      <c r="J305" s="156" t="s">
        <v>92</v>
      </c>
      <c r="K305" s="52"/>
      <c r="L305" s="53"/>
      <c r="M305" s="54"/>
      <c r="N305" s="55" t="str">
        <f t="shared" si="6"/>
        <v>pieces</v>
      </c>
      <c r="O305" s="158">
        <v>1394</v>
      </c>
      <c r="P305" s="44"/>
      <c r="Q305" s="66"/>
      <c r="R305" s="32"/>
      <c r="S305" s="32"/>
      <c r="T305" s="32"/>
      <c r="U305" s="32"/>
      <c r="V305" s="32"/>
      <c r="W305" s="32"/>
      <c r="X305" s="32"/>
      <c r="Y305" s="32"/>
      <c r="Z305" s="32"/>
    </row>
    <row r="306" spans="1:26" ht="15" customHeight="1" x14ac:dyDescent="0.3">
      <c r="A306" s="155">
        <v>226</v>
      </c>
      <c r="B306" s="156" t="s">
        <v>652</v>
      </c>
      <c r="C306" s="46"/>
      <c r="D306" s="63"/>
      <c r="E306" s="156"/>
      <c r="F306" s="99"/>
      <c r="G306" s="157">
        <v>8.75</v>
      </c>
      <c r="H306" s="155">
        <v>4</v>
      </c>
      <c r="I306" s="155">
        <v>1</v>
      </c>
      <c r="J306" s="156" t="s">
        <v>92</v>
      </c>
      <c r="K306" s="52"/>
      <c r="L306" s="53"/>
      <c r="M306" s="54"/>
      <c r="N306" s="55" t="str">
        <f t="shared" si="6"/>
        <v>pieces</v>
      </c>
      <c r="O306" s="158">
        <v>35</v>
      </c>
      <c r="P306" s="44"/>
      <c r="Q306" s="66"/>
      <c r="R306" s="32"/>
      <c r="S306" s="32"/>
      <c r="T306" s="32"/>
      <c r="U306" s="32"/>
      <c r="V306" s="32"/>
      <c r="W306" s="32"/>
      <c r="X306" s="32"/>
      <c r="Y306" s="32"/>
      <c r="Z306" s="32"/>
    </row>
    <row r="307" spans="1:26" ht="15" customHeight="1" x14ac:dyDescent="0.3">
      <c r="A307" s="155">
        <v>227</v>
      </c>
      <c r="B307" s="156" t="s">
        <v>145</v>
      </c>
      <c r="C307" s="46"/>
      <c r="D307" s="63"/>
      <c r="E307" s="156" t="s">
        <v>146</v>
      </c>
      <c r="F307" s="99"/>
      <c r="G307" s="157">
        <v>7</v>
      </c>
      <c r="H307" s="155">
        <v>351</v>
      </c>
      <c r="I307" s="155">
        <v>1</v>
      </c>
      <c r="J307" s="156" t="s">
        <v>92</v>
      </c>
      <c r="K307" s="52"/>
      <c r="L307" s="53"/>
      <c r="M307" s="54"/>
      <c r="N307" s="55" t="str">
        <f t="shared" si="6"/>
        <v>pieces</v>
      </c>
      <c r="O307" s="158">
        <v>2457</v>
      </c>
      <c r="P307" s="44"/>
      <c r="Q307" s="66"/>
      <c r="R307" s="32"/>
      <c r="S307" s="32"/>
      <c r="T307" s="32"/>
      <c r="U307" s="32"/>
      <c r="V307" s="32"/>
      <c r="W307" s="32"/>
      <c r="X307" s="32"/>
      <c r="Y307" s="32"/>
      <c r="Z307" s="32"/>
    </row>
    <row r="308" spans="1:26" ht="15" customHeight="1" x14ac:dyDescent="0.3">
      <c r="A308" s="155">
        <v>227</v>
      </c>
      <c r="B308" s="156" t="s">
        <v>145</v>
      </c>
      <c r="C308" s="46"/>
      <c r="D308" s="63"/>
      <c r="E308" s="156"/>
      <c r="F308" s="99"/>
      <c r="G308" s="157">
        <v>7.7</v>
      </c>
      <c r="H308" s="155">
        <v>311</v>
      </c>
      <c r="I308" s="155">
        <v>1</v>
      </c>
      <c r="J308" s="156" t="s">
        <v>92</v>
      </c>
      <c r="K308" s="52"/>
      <c r="L308" s="53"/>
      <c r="M308" s="54"/>
      <c r="N308" s="55" t="str">
        <f t="shared" si="6"/>
        <v>pieces</v>
      </c>
      <c r="O308" s="158">
        <v>2394.6999999999998</v>
      </c>
      <c r="P308" s="44"/>
      <c r="Q308" s="66"/>
      <c r="R308" s="32"/>
      <c r="S308" s="32"/>
      <c r="T308" s="32"/>
      <c r="U308" s="32"/>
      <c r="V308" s="32"/>
      <c r="W308" s="32"/>
      <c r="X308" s="32"/>
      <c r="Y308" s="32"/>
      <c r="Z308" s="32"/>
    </row>
    <row r="309" spans="1:26" ht="15" customHeight="1" x14ac:dyDescent="0.3">
      <c r="A309" s="155">
        <v>228</v>
      </c>
      <c r="B309" s="156" t="s">
        <v>147</v>
      </c>
      <c r="C309" s="46"/>
      <c r="D309" s="63"/>
      <c r="E309" s="156" t="s">
        <v>148</v>
      </c>
      <c r="F309" s="99"/>
      <c r="G309" s="157">
        <v>7.752955</v>
      </c>
      <c r="H309" s="155">
        <v>176</v>
      </c>
      <c r="I309" s="155">
        <v>1</v>
      </c>
      <c r="J309" s="156" t="s">
        <v>92</v>
      </c>
      <c r="K309" s="52"/>
      <c r="L309" s="53"/>
      <c r="M309" s="54"/>
      <c r="N309" s="55" t="str">
        <f t="shared" si="6"/>
        <v>pieces</v>
      </c>
      <c r="O309" s="158">
        <v>1364.52</v>
      </c>
      <c r="P309" s="44"/>
      <c r="Q309" s="66"/>
      <c r="R309" s="32"/>
      <c r="S309" s="32"/>
      <c r="T309" s="32"/>
      <c r="U309" s="32"/>
      <c r="V309" s="32"/>
      <c r="W309" s="32"/>
      <c r="X309" s="32"/>
      <c r="Y309" s="32"/>
      <c r="Z309" s="32"/>
    </row>
    <row r="310" spans="1:26" ht="15" customHeight="1" x14ac:dyDescent="0.3">
      <c r="A310" s="155">
        <v>229</v>
      </c>
      <c r="B310" s="156" t="s">
        <v>653</v>
      </c>
      <c r="C310" s="46"/>
      <c r="D310" s="63"/>
      <c r="E310" s="156"/>
      <c r="F310" s="99"/>
      <c r="G310" s="157">
        <v>33.612499999999997</v>
      </c>
      <c r="H310" s="155">
        <v>24</v>
      </c>
      <c r="I310" s="155">
        <v>24</v>
      </c>
      <c r="J310" s="156" t="s">
        <v>92</v>
      </c>
      <c r="K310" s="52"/>
      <c r="L310" s="53"/>
      <c r="M310" s="54"/>
      <c r="N310" s="55" t="str">
        <f t="shared" si="6"/>
        <v>pieces</v>
      </c>
      <c r="O310" s="158">
        <v>806.7</v>
      </c>
      <c r="P310" s="44"/>
      <c r="Q310" s="66"/>
      <c r="R310" s="32"/>
      <c r="S310" s="32"/>
      <c r="T310" s="32"/>
      <c r="U310" s="32"/>
      <c r="V310" s="32"/>
      <c r="W310" s="32"/>
      <c r="X310" s="32"/>
      <c r="Y310" s="32"/>
      <c r="Z310" s="32"/>
    </row>
    <row r="311" spans="1:26" ht="15" customHeight="1" x14ac:dyDescent="0.3">
      <c r="A311" s="155">
        <v>230</v>
      </c>
      <c r="B311" s="156" t="s">
        <v>75</v>
      </c>
      <c r="C311" s="46"/>
      <c r="D311" s="63"/>
      <c r="E311" s="156" t="s">
        <v>76</v>
      </c>
      <c r="F311" s="99"/>
      <c r="G311" s="157">
        <v>1440</v>
      </c>
      <c r="H311" s="155">
        <v>0.14000000000000001</v>
      </c>
      <c r="I311" s="155">
        <v>11000</v>
      </c>
      <c r="J311" s="156" t="s">
        <v>39</v>
      </c>
      <c r="K311" s="52"/>
      <c r="L311" s="53"/>
      <c r="M311" s="54"/>
      <c r="N311" s="55" t="str">
        <f t="shared" si="6"/>
        <v>grams</v>
      </c>
      <c r="O311" s="158">
        <v>201.6</v>
      </c>
      <c r="P311" s="44"/>
      <c r="Q311" s="66"/>
      <c r="R311" s="32"/>
      <c r="S311" s="32"/>
      <c r="T311" s="32"/>
      <c r="U311" s="32"/>
      <c r="V311" s="32"/>
      <c r="W311" s="32"/>
      <c r="X311" s="32"/>
      <c r="Y311" s="32"/>
      <c r="Z311" s="32"/>
    </row>
    <row r="312" spans="1:26" ht="15" customHeight="1" x14ac:dyDescent="0.3">
      <c r="A312" s="155">
        <v>231</v>
      </c>
      <c r="B312" s="156" t="s">
        <v>654</v>
      </c>
      <c r="C312" s="46"/>
      <c r="D312" s="63"/>
      <c r="E312" s="156" t="s">
        <v>655</v>
      </c>
      <c r="F312" s="99"/>
      <c r="G312" s="157">
        <v>0.28832600000000003</v>
      </c>
      <c r="H312" s="155">
        <v>1816</v>
      </c>
      <c r="I312" s="155">
        <v>454</v>
      </c>
      <c r="J312" s="156" t="s">
        <v>39</v>
      </c>
      <c r="K312" s="52"/>
      <c r="L312" s="53"/>
      <c r="M312" s="54"/>
      <c r="N312" s="55" t="str">
        <f t="shared" si="6"/>
        <v>grams</v>
      </c>
      <c r="O312" s="158">
        <v>523.6</v>
      </c>
      <c r="P312" s="44"/>
      <c r="Q312" s="66"/>
      <c r="R312" s="32"/>
      <c r="S312" s="32"/>
      <c r="T312" s="32"/>
      <c r="U312" s="32"/>
      <c r="V312" s="32"/>
      <c r="W312" s="32"/>
      <c r="X312" s="32"/>
      <c r="Y312" s="32"/>
      <c r="Z312" s="32"/>
    </row>
    <row r="313" spans="1:26" ht="15" customHeight="1" x14ac:dyDescent="0.3">
      <c r="A313" s="155">
        <v>232</v>
      </c>
      <c r="B313" s="156" t="s">
        <v>656</v>
      </c>
      <c r="C313" s="46"/>
      <c r="D313" s="63"/>
      <c r="E313" s="156"/>
      <c r="F313" s="99"/>
      <c r="G313" s="157">
        <v>0.39</v>
      </c>
      <c r="H313" s="155">
        <v>750</v>
      </c>
      <c r="I313" s="155">
        <v>1000</v>
      </c>
      <c r="J313" s="156" t="s">
        <v>39</v>
      </c>
      <c r="K313" s="52"/>
      <c r="L313" s="53"/>
      <c r="M313" s="54"/>
      <c r="N313" s="55" t="str">
        <f t="shared" si="6"/>
        <v>grams</v>
      </c>
      <c r="O313" s="158">
        <v>292.5</v>
      </c>
      <c r="P313" s="44"/>
      <c r="Q313" s="66"/>
      <c r="R313" s="32"/>
      <c r="S313" s="32"/>
      <c r="T313" s="32"/>
      <c r="U313" s="32"/>
      <c r="V313" s="32"/>
      <c r="W313" s="32"/>
      <c r="X313" s="32"/>
      <c r="Y313" s="32"/>
      <c r="Z313" s="32"/>
    </row>
    <row r="314" spans="1:26" ht="15" customHeight="1" x14ac:dyDescent="0.3">
      <c r="A314" s="155">
        <v>233</v>
      </c>
      <c r="B314" s="156" t="s">
        <v>259</v>
      </c>
      <c r="C314" s="46"/>
      <c r="D314" s="63"/>
      <c r="E314" s="156" t="s">
        <v>260</v>
      </c>
      <c r="F314" s="99"/>
      <c r="G314" s="157">
        <v>0.75684399999999996</v>
      </c>
      <c r="H314" s="155">
        <v>1673</v>
      </c>
      <c r="I314" s="155">
        <v>550</v>
      </c>
      <c r="J314" s="156" t="s">
        <v>39</v>
      </c>
      <c r="K314" s="52"/>
      <c r="L314" s="53"/>
      <c r="M314" s="54"/>
      <c r="N314" s="55" t="str">
        <f t="shared" si="6"/>
        <v>grams</v>
      </c>
      <c r="O314" s="158">
        <v>1266.2</v>
      </c>
      <c r="P314" s="44"/>
      <c r="Q314" s="66"/>
      <c r="R314" s="32"/>
      <c r="S314" s="32"/>
      <c r="T314" s="32"/>
      <c r="U314" s="32"/>
      <c r="V314" s="32"/>
      <c r="W314" s="32"/>
      <c r="X314" s="32"/>
      <c r="Y314" s="32"/>
      <c r="Z314" s="32"/>
    </row>
    <row r="315" spans="1:26" ht="15" customHeight="1" x14ac:dyDescent="0.3">
      <c r="A315" s="155">
        <v>234</v>
      </c>
      <c r="B315" s="156" t="s">
        <v>77</v>
      </c>
      <c r="C315" s="46"/>
      <c r="D315" s="63"/>
      <c r="E315" s="156" t="s">
        <v>78</v>
      </c>
      <c r="F315" s="99"/>
      <c r="G315" s="157">
        <v>55</v>
      </c>
      <c r="H315" s="155">
        <v>3</v>
      </c>
      <c r="I315" s="155">
        <v>350</v>
      </c>
      <c r="J315" s="156" t="s">
        <v>32</v>
      </c>
      <c r="K315" s="52"/>
      <c r="L315" s="53"/>
      <c r="M315" s="54"/>
      <c r="N315" s="55" t="str">
        <f t="shared" si="6"/>
        <v>ml</v>
      </c>
      <c r="O315" s="158">
        <v>165</v>
      </c>
      <c r="P315" s="44"/>
      <c r="Q315" s="66"/>
      <c r="R315" s="32"/>
      <c r="S315" s="32"/>
      <c r="T315" s="32"/>
      <c r="U315" s="32"/>
      <c r="V315" s="32"/>
      <c r="W315" s="32"/>
      <c r="X315" s="32"/>
      <c r="Y315" s="32"/>
      <c r="Z315" s="32"/>
    </row>
    <row r="316" spans="1:26" ht="15" customHeight="1" x14ac:dyDescent="0.3">
      <c r="A316" s="155">
        <v>235</v>
      </c>
      <c r="B316" s="156" t="s">
        <v>657</v>
      </c>
      <c r="C316" s="46"/>
      <c r="D316" s="63"/>
      <c r="E316" s="156" t="s">
        <v>658</v>
      </c>
      <c r="F316" s="99"/>
      <c r="G316" s="157">
        <v>0.13333300000000001</v>
      </c>
      <c r="H316" s="155">
        <v>1125</v>
      </c>
      <c r="I316" s="155">
        <v>375</v>
      </c>
      <c r="J316" s="156" t="s">
        <v>32</v>
      </c>
      <c r="K316" s="52"/>
      <c r="L316" s="53"/>
      <c r="M316" s="54"/>
      <c r="N316" s="55" t="str">
        <f t="shared" si="6"/>
        <v>ml</v>
      </c>
      <c r="O316" s="158">
        <v>150</v>
      </c>
      <c r="P316" s="44"/>
      <c r="Q316" s="66"/>
      <c r="R316" s="32"/>
      <c r="S316" s="32"/>
      <c r="T316" s="32"/>
      <c r="U316" s="32"/>
      <c r="V316" s="32"/>
      <c r="W316" s="32"/>
      <c r="X316" s="32"/>
      <c r="Y316" s="32"/>
      <c r="Z316" s="32"/>
    </row>
    <row r="317" spans="1:26" ht="15" customHeight="1" x14ac:dyDescent="0.3">
      <c r="A317" s="155">
        <v>236</v>
      </c>
      <c r="B317" s="156" t="s">
        <v>659</v>
      </c>
      <c r="C317" s="46"/>
      <c r="D317" s="63"/>
      <c r="E317" s="156"/>
      <c r="F317" s="99"/>
      <c r="G317" s="157">
        <v>4721.1099999999997</v>
      </c>
      <c r="H317" s="155">
        <v>1.5</v>
      </c>
      <c r="I317" s="155">
        <v>1</v>
      </c>
      <c r="J317" s="156" t="s">
        <v>200</v>
      </c>
      <c r="K317" s="52"/>
      <c r="L317" s="53"/>
      <c r="M317" s="54"/>
      <c r="N317" s="55" t="str">
        <f t="shared" si="6"/>
        <v>gal</v>
      </c>
      <c r="O317" s="158">
        <v>7081.665</v>
      </c>
      <c r="P317" s="44"/>
      <c r="Q317" s="66"/>
      <c r="R317" s="32"/>
      <c r="S317" s="32"/>
      <c r="T317" s="32"/>
      <c r="U317" s="32"/>
      <c r="V317" s="32"/>
      <c r="W317" s="32"/>
      <c r="X317" s="32"/>
      <c r="Y317" s="32"/>
      <c r="Z317" s="32"/>
    </row>
    <row r="318" spans="1:26" ht="15" customHeight="1" x14ac:dyDescent="0.3">
      <c r="A318" s="155">
        <v>237</v>
      </c>
      <c r="B318" s="156" t="s">
        <v>660</v>
      </c>
      <c r="C318" s="46"/>
      <c r="D318" s="63"/>
      <c r="E318" s="156" t="s">
        <v>661</v>
      </c>
      <c r="F318" s="99"/>
      <c r="G318" s="157">
        <v>0.31659999999999999</v>
      </c>
      <c r="H318" s="155">
        <v>1000</v>
      </c>
      <c r="I318" s="155">
        <v>500</v>
      </c>
      <c r="J318" s="156" t="s">
        <v>32</v>
      </c>
      <c r="K318" s="52"/>
      <c r="L318" s="53"/>
      <c r="M318" s="54"/>
      <c r="N318" s="55" t="str">
        <f t="shared" si="6"/>
        <v>ml</v>
      </c>
      <c r="O318" s="158">
        <v>316.60000000000002</v>
      </c>
      <c r="P318" s="44"/>
      <c r="Q318" s="66"/>
      <c r="R318" s="32"/>
      <c r="S318" s="32"/>
      <c r="T318" s="32"/>
      <c r="U318" s="32"/>
      <c r="V318" s="32"/>
      <c r="W318" s="32"/>
      <c r="X318" s="32"/>
      <c r="Y318" s="32"/>
      <c r="Z318" s="32"/>
    </row>
    <row r="319" spans="1:26" ht="15" customHeight="1" x14ac:dyDescent="0.3">
      <c r="A319" s="155">
        <v>237</v>
      </c>
      <c r="B319" s="156" t="s">
        <v>660</v>
      </c>
      <c r="C319" s="46"/>
      <c r="D319" s="63"/>
      <c r="E319" s="156" t="s">
        <v>262</v>
      </c>
      <c r="F319" s="99"/>
      <c r="G319" s="157">
        <v>301.8</v>
      </c>
      <c r="H319" s="155">
        <v>3</v>
      </c>
      <c r="I319" s="155">
        <v>500</v>
      </c>
      <c r="J319" s="156" t="s">
        <v>32</v>
      </c>
      <c r="K319" s="52"/>
      <c r="L319" s="53"/>
      <c r="M319" s="54"/>
      <c r="N319" s="55" t="str">
        <f t="shared" si="6"/>
        <v>ml</v>
      </c>
      <c r="O319" s="158">
        <v>905.4</v>
      </c>
      <c r="P319" s="44"/>
      <c r="Q319" s="66"/>
      <c r="R319" s="32"/>
      <c r="S319" s="32"/>
      <c r="T319" s="32"/>
      <c r="U319" s="32"/>
      <c r="V319" s="32"/>
      <c r="W319" s="32"/>
      <c r="X319" s="32"/>
      <c r="Y319" s="32"/>
      <c r="Z319" s="32"/>
    </row>
    <row r="320" spans="1:26" ht="15" customHeight="1" x14ac:dyDescent="0.3">
      <c r="A320" s="155">
        <v>238</v>
      </c>
      <c r="B320" s="156" t="s">
        <v>184</v>
      </c>
      <c r="C320" s="46"/>
      <c r="D320" s="63"/>
      <c r="E320" s="156" t="s">
        <v>185</v>
      </c>
      <c r="F320" s="99"/>
      <c r="G320" s="157">
        <v>22.82</v>
      </c>
      <c r="H320" s="155">
        <v>12</v>
      </c>
      <c r="I320" s="155">
        <v>1</v>
      </c>
      <c r="J320" s="156" t="s">
        <v>39</v>
      </c>
      <c r="K320" s="52"/>
      <c r="L320" s="53"/>
      <c r="M320" s="54"/>
      <c r="N320" s="55" t="str">
        <f t="shared" si="6"/>
        <v>grams</v>
      </c>
      <c r="O320" s="158">
        <v>273.83999999999997</v>
      </c>
      <c r="P320" s="44"/>
      <c r="Q320" s="66"/>
      <c r="R320" s="32"/>
      <c r="S320" s="32"/>
      <c r="T320" s="32"/>
      <c r="U320" s="32"/>
      <c r="V320" s="32"/>
      <c r="W320" s="32"/>
      <c r="X320" s="32"/>
      <c r="Y320" s="32"/>
      <c r="Z320" s="32"/>
    </row>
    <row r="321" spans="1:26" ht="15" customHeight="1" x14ac:dyDescent="0.3">
      <c r="A321" s="155">
        <v>238</v>
      </c>
      <c r="B321" s="156" t="s">
        <v>184</v>
      </c>
      <c r="C321" s="46"/>
      <c r="D321" s="63"/>
      <c r="E321" s="156"/>
      <c r="F321" s="99"/>
      <c r="G321" s="157">
        <v>0.26776499999999998</v>
      </c>
      <c r="H321" s="155">
        <v>4080</v>
      </c>
      <c r="I321" s="155">
        <v>1</v>
      </c>
      <c r="J321" s="156" t="s">
        <v>39</v>
      </c>
      <c r="K321" s="52"/>
      <c r="L321" s="53"/>
      <c r="M321" s="54"/>
      <c r="N321" s="55" t="str">
        <f t="shared" si="6"/>
        <v>grams</v>
      </c>
      <c r="O321" s="158">
        <v>1092.48</v>
      </c>
      <c r="P321" s="44"/>
      <c r="Q321" s="66"/>
      <c r="R321" s="32"/>
      <c r="S321" s="32"/>
      <c r="T321" s="32"/>
      <c r="U321" s="32"/>
      <c r="V321" s="32"/>
      <c r="W321" s="32"/>
      <c r="X321" s="32"/>
      <c r="Y321" s="32"/>
      <c r="Z321" s="32"/>
    </row>
    <row r="322" spans="1:26" ht="15" customHeight="1" x14ac:dyDescent="0.3">
      <c r="A322" s="155">
        <v>239</v>
      </c>
      <c r="B322" s="156" t="s">
        <v>186</v>
      </c>
      <c r="C322" s="46"/>
      <c r="D322" s="63"/>
      <c r="E322" s="156" t="s">
        <v>187</v>
      </c>
      <c r="F322" s="99"/>
      <c r="G322" s="157">
        <v>79</v>
      </c>
      <c r="H322" s="155">
        <v>37.381999999999998</v>
      </c>
      <c r="I322" s="155">
        <v>1</v>
      </c>
      <c r="J322" s="156" t="s">
        <v>39</v>
      </c>
      <c r="K322" s="52"/>
      <c r="L322" s="53"/>
      <c r="M322" s="54"/>
      <c r="N322" s="55" t="str">
        <f t="shared" si="6"/>
        <v>grams</v>
      </c>
      <c r="O322" s="158">
        <v>2953.1779999999999</v>
      </c>
      <c r="P322" s="44"/>
      <c r="Q322" s="66"/>
      <c r="R322" s="32"/>
      <c r="S322" s="32"/>
      <c r="T322" s="32"/>
      <c r="U322" s="32"/>
      <c r="V322" s="32"/>
      <c r="W322" s="32"/>
      <c r="X322" s="32"/>
      <c r="Y322" s="32"/>
      <c r="Z322" s="32"/>
    </row>
    <row r="323" spans="1:26" ht="15" customHeight="1" x14ac:dyDescent="0.3">
      <c r="A323" s="155">
        <v>240</v>
      </c>
      <c r="B323" s="156" t="s">
        <v>662</v>
      </c>
      <c r="C323" s="46"/>
      <c r="D323" s="63"/>
      <c r="E323" s="156"/>
      <c r="F323" s="99"/>
      <c r="G323" s="157">
        <v>0.20330599999999999</v>
      </c>
      <c r="H323" s="155">
        <v>9360</v>
      </c>
      <c r="I323" s="155">
        <v>360</v>
      </c>
      <c r="J323" s="156" t="s">
        <v>39</v>
      </c>
      <c r="K323" s="52"/>
      <c r="L323" s="53"/>
      <c r="M323" s="54"/>
      <c r="N323" s="55" t="str">
        <f t="shared" si="6"/>
        <v>grams</v>
      </c>
      <c r="O323" s="158">
        <v>1902.94</v>
      </c>
      <c r="P323" s="44"/>
      <c r="Q323" s="66"/>
      <c r="R323" s="32"/>
      <c r="S323" s="32"/>
      <c r="T323" s="32"/>
      <c r="U323" s="32"/>
      <c r="V323" s="32"/>
      <c r="W323" s="32"/>
      <c r="X323" s="32"/>
      <c r="Y323" s="32"/>
      <c r="Z323" s="32"/>
    </row>
    <row r="324" spans="1:26" ht="15" customHeight="1" x14ac:dyDescent="0.3">
      <c r="A324" s="155">
        <v>241</v>
      </c>
      <c r="B324" s="156" t="s">
        <v>663</v>
      </c>
      <c r="C324" s="46"/>
      <c r="D324" s="63"/>
      <c r="E324" s="156" t="s">
        <v>187</v>
      </c>
      <c r="F324" s="99"/>
      <c r="G324" s="157">
        <v>0.20330599999999999</v>
      </c>
      <c r="H324" s="155">
        <v>11160</v>
      </c>
      <c r="I324" s="155">
        <v>360</v>
      </c>
      <c r="J324" s="156" t="s">
        <v>39</v>
      </c>
      <c r="K324" s="52"/>
      <c r="L324" s="53"/>
      <c r="M324" s="54"/>
      <c r="N324" s="55" t="str">
        <f t="shared" si="6"/>
        <v>grams</v>
      </c>
      <c r="O324" s="158">
        <v>2268.89</v>
      </c>
      <c r="P324" s="44"/>
      <c r="Q324" s="66"/>
      <c r="R324" s="32"/>
      <c r="S324" s="32"/>
      <c r="T324" s="32"/>
      <c r="U324" s="32"/>
      <c r="V324" s="32"/>
      <c r="W324" s="32"/>
      <c r="X324" s="32"/>
      <c r="Y324" s="32"/>
      <c r="Z324" s="32"/>
    </row>
    <row r="325" spans="1:26" ht="15" customHeight="1" x14ac:dyDescent="0.3">
      <c r="A325" s="155">
        <v>242</v>
      </c>
      <c r="B325" s="156" t="s">
        <v>664</v>
      </c>
      <c r="C325" s="46"/>
      <c r="D325" s="63"/>
      <c r="E325" s="156" t="s">
        <v>216</v>
      </c>
      <c r="F325" s="99"/>
      <c r="G325" s="157">
        <v>9.5000000000000001E-2</v>
      </c>
      <c r="H325" s="155">
        <v>1000</v>
      </c>
      <c r="I325" s="155">
        <v>1000</v>
      </c>
      <c r="J325" s="156" t="s">
        <v>39</v>
      </c>
      <c r="K325" s="52"/>
      <c r="L325" s="53"/>
      <c r="M325" s="54"/>
      <c r="N325" s="55" t="str">
        <f t="shared" si="6"/>
        <v>grams</v>
      </c>
      <c r="O325" s="158">
        <v>95</v>
      </c>
      <c r="P325" s="44"/>
      <c r="Q325" s="66"/>
      <c r="R325" s="32"/>
      <c r="S325" s="32"/>
      <c r="T325" s="32"/>
      <c r="U325" s="32"/>
      <c r="V325" s="32"/>
      <c r="W325" s="32"/>
      <c r="X325" s="32"/>
      <c r="Y325" s="32"/>
      <c r="Z325" s="32"/>
    </row>
    <row r="326" spans="1:26" ht="15" customHeight="1" x14ac:dyDescent="0.3">
      <c r="A326" s="155">
        <v>243</v>
      </c>
      <c r="B326" s="156" t="s">
        <v>665</v>
      </c>
      <c r="C326" s="46"/>
      <c r="D326" s="63"/>
      <c r="E326" s="156"/>
      <c r="F326" s="99"/>
      <c r="G326" s="157">
        <v>0.188496</v>
      </c>
      <c r="H326" s="155">
        <v>690</v>
      </c>
      <c r="I326" s="155">
        <v>565</v>
      </c>
      <c r="J326" s="156" t="s">
        <v>39</v>
      </c>
      <c r="K326" s="52"/>
      <c r="L326" s="53"/>
      <c r="M326" s="54"/>
      <c r="N326" s="55" t="str">
        <f t="shared" si="6"/>
        <v>grams</v>
      </c>
      <c r="O326" s="158">
        <v>130.06190000000001</v>
      </c>
      <c r="P326" s="44"/>
      <c r="Q326" s="66"/>
      <c r="R326" s="32"/>
      <c r="S326" s="32"/>
      <c r="T326" s="32"/>
      <c r="U326" s="32"/>
      <c r="V326" s="32"/>
      <c r="W326" s="32"/>
      <c r="X326" s="32"/>
      <c r="Y326" s="32"/>
      <c r="Z326" s="32"/>
    </row>
    <row r="327" spans="1:26" ht="15" customHeight="1" x14ac:dyDescent="0.3">
      <c r="A327" s="155">
        <v>244</v>
      </c>
      <c r="B327" s="156" t="s">
        <v>666</v>
      </c>
      <c r="C327" s="46"/>
      <c r="D327" s="63"/>
      <c r="E327" s="156" t="s">
        <v>667</v>
      </c>
      <c r="F327" s="99"/>
      <c r="G327" s="157">
        <v>5.9610000000000003E-2</v>
      </c>
      <c r="H327" s="155">
        <v>1000</v>
      </c>
      <c r="I327" s="155">
        <v>1000</v>
      </c>
      <c r="J327" s="156" t="s">
        <v>39</v>
      </c>
      <c r="K327" s="52"/>
      <c r="L327" s="53"/>
      <c r="M327" s="54"/>
      <c r="N327" s="55" t="str">
        <f t="shared" si="6"/>
        <v>grams</v>
      </c>
      <c r="O327" s="158">
        <v>59.61</v>
      </c>
      <c r="P327" s="44"/>
      <c r="Q327" s="66"/>
      <c r="R327" s="32"/>
      <c r="S327" s="32"/>
      <c r="T327" s="32"/>
      <c r="U327" s="32"/>
      <c r="V327" s="32"/>
      <c r="W327" s="32"/>
      <c r="X327" s="32"/>
      <c r="Y327" s="32"/>
      <c r="Z327" s="32"/>
    </row>
    <row r="328" spans="1:26" ht="15" customHeight="1" x14ac:dyDescent="0.3">
      <c r="A328" s="155">
        <v>244</v>
      </c>
      <c r="B328" s="156" t="s">
        <v>666</v>
      </c>
      <c r="C328" s="46"/>
      <c r="D328" s="63"/>
      <c r="E328" s="156"/>
      <c r="F328" s="99"/>
      <c r="G328" s="157">
        <v>5.9610000000000003E-2</v>
      </c>
      <c r="H328" s="155">
        <v>15600</v>
      </c>
      <c r="I328" s="155">
        <v>1000</v>
      </c>
      <c r="J328" s="156" t="s">
        <v>39</v>
      </c>
      <c r="K328" s="52"/>
      <c r="L328" s="53"/>
      <c r="M328" s="54"/>
      <c r="N328" s="55" t="str">
        <f t="shared" si="6"/>
        <v>grams</v>
      </c>
      <c r="O328" s="158">
        <v>929.91600000000005</v>
      </c>
      <c r="P328" s="44"/>
      <c r="Q328" s="66"/>
      <c r="R328" s="32"/>
      <c r="S328" s="32"/>
      <c r="T328" s="32"/>
      <c r="U328" s="32"/>
      <c r="V328" s="32"/>
      <c r="W328" s="32"/>
      <c r="X328" s="32"/>
      <c r="Y328" s="32"/>
      <c r="Z328" s="32"/>
    </row>
    <row r="329" spans="1:26" ht="15" customHeight="1" x14ac:dyDescent="0.3">
      <c r="A329" s="155">
        <v>245</v>
      </c>
      <c r="B329" s="156" t="s">
        <v>325</v>
      </c>
      <c r="C329" s="46"/>
      <c r="D329" s="63"/>
      <c r="E329" s="156" t="s">
        <v>326</v>
      </c>
      <c r="F329" s="99"/>
      <c r="G329" s="157">
        <v>59.3</v>
      </c>
      <c r="H329" s="155">
        <v>7</v>
      </c>
      <c r="I329" s="155">
        <v>0</v>
      </c>
      <c r="J329" s="156" t="s">
        <v>39</v>
      </c>
      <c r="K329" s="52"/>
      <c r="L329" s="53"/>
      <c r="M329" s="54"/>
      <c r="N329" s="55" t="str">
        <f t="shared" si="6"/>
        <v>grams</v>
      </c>
      <c r="O329" s="158">
        <v>415.1</v>
      </c>
      <c r="P329" s="44"/>
      <c r="Q329" s="66"/>
      <c r="R329" s="32"/>
      <c r="S329" s="32"/>
      <c r="T329" s="32"/>
      <c r="U329" s="32"/>
      <c r="V329" s="32"/>
      <c r="W329" s="32"/>
      <c r="X329" s="32"/>
      <c r="Y329" s="32"/>
      <c r="Z329" s="32"/>
    </row>
    <row r="330" spans="1:26" ht="15" customHeight="1" x14ac:dyDescent="0.3">
      <c r="A330" s="155">
        <v>246</v>
      </c>
      <c r="B330" s="156" t="s">
        <v>188</v>
      </c>
      <c r="C330" s="46"/>
      <c r="D330" s="63"/>
      <c r="E330" s="156" t="s">
        <v>189</v>
      </c>
      <c r="F330" s="99"/>
      <c r="G330" s="157">
        <v>0.64280199999999998</v>
      </c>
      <c r="H330" s="155">
        <v>14546</v>
      </c>
      <c r="I330" s="155">
        <v>425</v>
      </c>
      <c r="J330" s="156" t="s">
        <v>39</v>
      </c>
      <c r="K330" s="52"/>
      <c r="L330" s="53"/>
      <c r="M330" s="54"/>
      <c r="N330" s="55" t="str">
        <f t="shared" si="6"/>
        <v>grams</v>
      </c>
      <c r="O330" s="158">
        <v>9350.2000000000007</v>
      </c>
      <c r="P330" s="44"/>
      <c r="Q330" s="66"/>
      <c r="R330" s="32"/>
      <c r="S330" s="32"/>
      <c r="T330" s="32"/>
      <c r="U330" s="32"/>
      <c r="V330" s="32"/>
      <c r="W330" s="32"/>
      <c r="X330" s="32"/>
      <c r="Y330" s="32"/>
      <c r="Z330" s="32"/>
    </row>
    <row r="331" spans="1:26" ht="15" customHeight="1" x14ac:dyDescent="0.3">
      <c r="A331" s="155">
        <v>247</v>
      </c>
      <c r="B331" s="156" t="s">
        <v>417</v>
      </c>
      <c r="C331" s="46"/>
      <c r="D331" s="63"/>
      <c r="E331" s="156" t="s">
        <v>418</v>
      </c>
      <c r="F331" s="99"/>
      <c r="G331" s="157">
        <v>5.59</v>
      </c>
      <c r="H331" s="155">
        <v>400</v>
      </c>
      <c r="I331" s="155">
        <v>1</v>
      </c>
      <c r="J331" s="156" t="s">
        <v>92</v>
      </c>
      <c r="K331" s="52"/>
      <c r="L331" s="53"/>
      <c r="M331" s="54"/>
      <c r="N331" s="55" t="str">
        <f t="shared" si="6"/>
        <v>pieces</v>
      </c>
      <c r="O331" s="158">
        <v>2236</v>
      </c>
      <c r="P331" s="44"/>
      <c r="Q331" s="66"/>
      <c r="R331" s="32"/>
      <c r="S331" s="32"/>
      <c r="T331" s="32"/>
      <c r="U331" s="32"/>
      <c r="V331" s="32"/>
      <c r="W331" s="32"/>
      <c r="X331" s="32"/>
      <c r="Y331" s="32"/>
      <c r="Z331" s="32"/>
    </row>
    <row r="332" spans="1:26" ht="15" customHeight="1" x14ac:dyDescent="0.3">
      <c r="A332" s="155">
        <v>248</v>
      </c>
      <c r="B332" s="156" t="s">
        <v>668</v>
      </c>
      <c r="C332" s="46"/>
      <c r="D332" s="63"/>
      <c r="E332" s="156"/>
      <c r="F332" s="99"/>
      <c r="G332" s="157">
        <v>6.9</v>
      </c>
      <c r="H332" s="155">
        <v>20</v>
      </c>
      <c r="I332" s="155">
        <v>10</v>
      </c>
      <c r="J332" s="156" t="s">
        <v>92</v>
      </c>
      <c r="K332" s="52"/>
      <c r="L332" s="53"/>
      <c r="M332" s="54"/>
      <c r="N332" s="55" t="str">
        <f t="shared" si="6"/>
        <v>pieces</v>
      </c>
      <c r="O332" s="158">
        <v>138</v>
      </c>
      <c r="P332" s="44"/>
      <c r="Q332" s="66"/>
      <c r="R332" s="32"/>
      <c r="S332" s="32"/>
      <c r="T332" s="32"/>
      <c r="U332" s="32"/>
      <c r="V332" s="32"/>
      <c r="W332" s="32"/>
      <c r="X332" s="32"/>
      <c r="Y332" s="32"/>
      <c r="Z332" s="32"/>
    </row>
    <row r="333" spans="1:26" ht="15" customHeight="1" x14ac:dyDescent="0.3">
      <c r="A333" s="155">
        <v>249</v>
      </c>
      <c r="B333" s="156" t="s">
        <v>419</v>
      </c>
      <c r="C333" s="46"/>
      <c r="D333" s="63"/>
      <c r="E333" s="156" t="s">
        <v>420</v>
      </c>
      <c r="F333" s="99"/>
      <c r="G333" s="157">
        <v>5.5</v>
      </c>
      <c r="H333" s="155">
        <v>300</v>
      </c>
      <c r="I333" s="155">
        <v>1</v>
      </c>
      <c r="J333" s="156" t="s">
        <v>92</v>
      </c>
      <c r="K333" s="52"/>
      <c r="L333" s="53"/>
      <c r="M333" s="54"/>
      <c r="N333" s="55" t="str">
        <f t="shared" si="6"/>
        <v>pieces</v>
      </c>
      <c r="O333" s="158">
        <v>1650</v>
      </c>
      <c r="P333" s="44"/>
      <c r="Q333" s="66"/>
      <c r="R333" s="32"/>
      <c r="S333" s="32"/>
      <c r="T333" s="32"/>
      <c r="U333" s="32"/>
      <c r="V333" s="32"/>
      <c r="W333" s="32"/>
      <c r="X333" s="32"/>
      <c r="Y333" s="32"/>
      <c r="Z333" s="32"/>
    </row>
    <row r="334" spans="1:26" ht="15" customHeight="1" x14ac:dyDescent="0.3">
      <c r="A334" s="155">
        <v>250</v>
      </c>
      <c r="B334" s="156" t="s">
        <v>263</v>
      </c>
      <c r="C334" s="46"/>
      <c r="D334" s="63"/>
      <c r="E334" s="156" t="s">
        <v>264</v>
      </c>
      <c r="F334" s="99"/>
      <c r="G334" s="157">
        <v>1.6676219999999999</v>
      </c>
      <c r="H334" s="155">
        <v>10596</v>
      </c>
      <c r="I334" s="155">
        <v>8</v>
      </c>
      <c r="J334" s="156" t="s">
        <v>39</v>
      </c>
      <c r="K334" s="52"/>
      <c r="L334" s="53"/>
      <c r="M334" s="54"/>
      <c r="N334" s="55" t="str">
        <f t="shared" si="6"/>
        <v>grams</v>
      </c>
      <c r="O334" s="158">
        <v>17670.12</v>
      </c>
      <c r="P334" s="44"/>
      <c r="Q334" s="66"/>
      <c r="R334" s="32"/>
      <c r="S334" s="32"/>
      <c r="T334" s="32"/>
      <c r="U334" s="32"/>
      <c r="V334" s="32"/>
      <c r="W334" s="32"/>
      <c r="X334" s="32"/>
      <c r="Y334" s="32"/>
      <c r="Z334" s="32"/>
    </row>
    <row r="335" spans="1:26" ht="15" customHeight="1" x14ac:dyDescent="0.3">
      <c r="A335" s="155">
        <v>250</v>
      </c>
      <c r="B335" s="156" t="s">
        <v>263</v>
      </c>
      <c r="C335" s="46"/>
      <c r="D335" s="63"/>
      <c r="E335" s="156"/>
      <c r="F335" s="99"/>
      <c r="G335" s="157">
        <v>0.60250000000000004</v>
      </c>
      <c r="H335" s="155">
        <v>2432</v>
      </c>
      <c r="I335" s="155">
        <v>8</v>
      </c>
      <c r="J335" s="156" t="s">
        <v>39</v>
      </c>
      <c r="K335" s="52"/>
      <c r="L335" s="53"/>
      <c r="M335" s="54"/>
      <c r="N335" s="55" t="str">
        <f t="shared" si="6"/>
        <v>grams</v>
      </c>
      <c r="O335" s="158">
        <v>1465.28</v>
      </c>
      <c r="P335" s="44"/>
      <c r="Q335" s="66"/>
      <c r="R335" s="32"/>
      <c r="S335" s="32"/>
      <c r="T335" s="32"/>
      <c r="U335" s="32"/>
      <c r="V335" s="32"/>
      <c r="W335" s="32"/>
      <c r="X335" s="32"/>
      <c r="Y335" s="32"/>
      <c r="Z335" s="32"/>
    </row>
    <row r="336" spans="1:26" ht="15" customHeight="1" x14ac:dyDescent="0.3">
      <c r="A336" s="155">
        <v>251</v>
      </c>
      <c r="B336" s="156" t="s">
        <v>366</v>
      </c>
      <c r="C336" s="46"/>
      <c r="D336" s="63"/>
      <c r="E336" s="156" t="s">
        <v>367</v>
      </c>
      <c r="F336" s="99"/>
      <c r="G336" s="157">
        <v>85</v>
      </c>
      <c r="H336" s="155">
        <v>13</v>
      </c>
      <c r="I336" s="155">
        <v>1</v>
      </c>
      <c r="J336" s="156" t="s">
        <v>213</v>
      </c>
      <c r="K336" s="52"/>
      <c r="L336" s="53"/>
      <c r="M336" s="54"/>
      <c r="N336" s="55" t="str">
        <f t="shared" si="6"/>
        <v>kilos</v>
      </c>
      <c r="O336" s="158">
        <v>1105</v>
      </c>
      <c r="P336" s="44"/>
      <c r="Q336" s="66"/>
      <c r="R336" s="32"/>
      <c r="S336" s="32"/>
      <c r="T336" s="32"/>
      <c r="U336" s="32"/>
      <c r="V336" s="32"/>
      <c r="W336" s="32"/>
      <c r="X336" s="32"/>
      <c r="Y336" s="32"/>
      <c r="Z336" s="32"/>
    </row>
    <row r="337" spans="1:26" ht="15" customHeight="1" x14ac:dyDescent="0.3">
      <c r="A337" s="155">
        <v>251</v>
      </c>
      <c r="B337" s="156" t="s">
        <v>366</v>
      </c>
      <c r="C337" s="46"/>
      <c r="D337" s="63"/>
      <c r="E337" s="156"/>
      <c r="F337" s="99"/>
      <c r="G337" s="157">
        <v>85</v>
      </c>
      <c r="H337" s="155">
        <v>23.5</v>
      </c>
      <c r="I337" s="155">
        <v>1</v>
      </c>
      <c r="J337" s="156" t="s">
        <v>213</v>
      </c>
      <c r="K337" s="52"/>
      <c r="L337" s="53"/>
      <c r="M337" s="54"/>
      <c r="N337" s="55" t="str">
        <f t="shared" si="6"/>
        <v>kilos</v>
      </c>
      <c r="O337" s="158">
        <v>1997.5</v>
      </c>
      <c r="P337" s="44"/>
      <c r="Q337" s="66"/>
      <c r="R337" s="32"/>
      <c r="S337" s="32"/>
      <c r="T337" s="32"/>
      <c r="U337" s="32"/>
      <c r="V337" s="32"/>
      <c r="W337" s="32"/>
      <c r="X337" s="32"/>
      <c r="Y337" s="32"/>
      <c r="Z337" s="32"/>
    </row>
    <row r="338" spans="1:26" ht="15" customHeight="1" x14ac:dyDescent="0.3">
      <c r="A338" s="155">
        <v>252</v>
      </c>
      <c r="B338" s="156" t="s">
        <v>669</v>
      </c>
      <c r="C338" s="46"/>
      <c r="D338" s="63"/>
      <c r="E338" s="156"/>
      <c r="F338" s="99"/>
      <c r="G338" s="157">
        <v>18.582999999999998</v>
      </c>
      <c r="H338" s="155">
        <v>50</v>
      </c>
      <c r="I338" s="155">
        <v>50</v>
      </c>
      <c r="J338" s="156" t="s">
        <v>92</v>
      </c>
      <c r="K338" s="52"/>
      <c r="L338" s="53"/>
      <c r="M338" s="54"/>
      <c r="N338" s="55" t="str">
        <f t="shared" si="6"/>
        <v>pieces</v>
      </c>
      <c r="O338" s="158">
        <v>929.15</v>
      </c>
      <c r="P338" s="44"/>
      <c r="Q338" s="66"/>
      <c r="R338" s="32"/>
      <c r="S338" s="32"/>
      <c r="T338" s="32"/>
      <c r="U338" s="32"/>
      <c r="V338" s="32"/>
      <c r="W338" s="32"/>
      <c r="X338" s="32"/>
      <c r="Y338" s="32"/>
      <c r="Z338" s="32"/>
    </row>
    <row r="339" spans="1:26" ht="15" customHeight="1" x14ac:dyDescent="0.3">
      <c r="A339" s="155">
        <v>253</v>
      </c>
      <c r="B339" s="156" t="s">
        <v>421</v>
      </c>
      <c r="C339" s="46"/>
      <c r="D339" s="63"/>
      <c r="E339" s="156" t="s">
        <v>422</v>
      </c>
      <c r="F339" s="99"/>
      <c r="G339" s="157">
        <v>21.69</v>
      </c>
      <c r="H339" s="155">
        <v>40</v>
      </c>
      <c r="I339" s="155">
        <v>1</v>
      </c>
      <c r="J339" s="156" t="s">
        <v>92</v>
      </c>
      <c r="K339" s="52"/>
      <c r="L339" s="53"/>
      <c r="M339" s="54"/>
      <c r="N339" s="55" t="str">
        <f t="shared" si="6"/>
        <v>pieces</v>
      </c>
      <c r="O339" s="158">
        <v>867.6</v>
      </c>
      <c r="P339" s="44"/>
      <c r="Q339" s="66"/>
      <c r="R339" s="32"/>
      <c r="S339" s="32"/>
      <c r="T339" s="32"/>
      <c r="U339" s="32"/>
      <c r="V339" s="32"/>
      <c r="W339" s="32"/>
      <c r="X339" s="32"/>
      <c r="Y339" s="32"/>
      <c r="Z339" s="32"/>
    </row>
    <row r="340" spans="1:26" ht="15" customHeight="1" x14ac:dyDescent="0.3">
      <c r="A340" s="155">
        <v>254</v>
      </c>
      <c r="B340" s="156" t="s">
        <v>670</v>
      </c>
      <c r="C340" s="46"/>
      <c r="D340" s="63"/>
      <c r="E340" s="156"/>
      <c r="F340" s="99"/>
      <c r="G340" s="157">
        <v>6.9583329999999997</v>
      </c>
      <c r="H340" s="155">
        <v>1</v>
      </c>
      <c r="I340" s="155">
        <v>6</v>
      </c>
      <c r="J340" s="156" t="s">
        <v>92</v>
      </c>
      <c r="K340" s="52"/>
      <c r="L340" s="53"/>
      <c r="M340" s="54"/>
      <c r="N340" s="55" t="str">
        <f t="shared" si="6"/>
        <v>pieces</v>
      </c>
      <c r="O340" s="158">
        <v>6.9583329999999997</v>
      </c>
      <c r="P340" s="44"/>
      <c r="Q340" s="66"/>
      <c r="R340" s="32"/>
      <c r="S340" s="32"/>
      <c r="T340" s="32"/>
      <c r="U340" s="32"/>
      <c r="V340" s="32"/>
      <c r="W340" s="32"/>
      <c r="X340" s="32"/>
      <c r="Y340" s="32"/>
      <c r="Z340" s="32"/>
    </row>
    <row r="341" spans="1:26" ht="15" customHeight="1" x14ac:dyDescent="0.3">
      <c r="A341" s="155">
        <v>255</v>
      </c>
      <c r="B341" s="156" t="s">
        <v>79</v>
      </c>
      <c r="C341" s="46"/>
      <c r="D341" s="63"/>
      <c r="E341" s="156" t="s">
        <v>80</v>
      </c>
      <c r="F341" s="99"/>
      <c r="G341" s="157">
        <v>1120</v>
      </c>
      <c r="H341" s="155">
        <v>1</v>
      </c>
      <c r="I341" s="155">
        <v>11000</v>
      </c>
      <c r="J341" s="156" t="s">
        <v>39</v>
      </c>
      <c r="K341" s="52"/>
      <c r="L341" s="53"/>
      <c r="M341" s="54"/>
      <c r="N341" s="55" t="str">
        <f t="shared" si="6"/>
        <v>grams</v>
      </c>
      <c r="O341" s="158">
        <v>1120</v>
      </c>
      <c r="P341" s="44"/>
      <c r="Q341" s="66"/>
      <c r="R341" s="32"/>
      <c r="S341" s="32"/>
      <c r="T341" s="32"/>
      <c r="U341" s="32"/>
      <c r="V341" s="32"/>
      <c r="W341" s="32"/>
      <c r="X341" s="32"/>
      <c r="Y341" s="32"/>
      <c r="Z341" s="32"/>
    </row>
    <row r="342" spans="1:26" ht="15" customHeight="1" x14ac:dyDescent="0.3">
      <c r="A342" s="155">
        <v>256</v>
      </c>
      <c r="B342" s="156" t="s">
        <v>671</v>
      </c>
      <c r="C342" s="46"/>
      <c r="D342" s="63"/>
      <c r="E342" s="156" t="s">
        <v>672</v>
      </c>
      <c r="F342" s="99"/>
      <c r="G342" s="157">
        <v>0.17647099999999999</v>
      </c>
      <c r="H342" s="155">
        <v>680</v>
      </c>
      <c r="I342" s="155">
        <v>680</v>
      </c>
      <c r="J342" s="156" t="s">
        <v>39</v>
      </c>
      <c r="K342" s="52"/>
      <c r="L342" s="53"/>
      <c r="M342" s="54"/>
      <c r="N342" s="55" t="str">
        <f t="shared" si="6"/>
        <v>grams</v>
      </c>
      <c r="O342" s="158">
        <v>120</v>
      </c>
      <c r="P342" s="44"/>
      <c r="Q342" s="66"/>
      <c r="R342" s="32"/>
      <c r="S342" s="32"/>
      <c r="T342" s="32"/>
      <c r="U342" s="32"/>
      <c r="V342" s="32"/>
      <c r="W342" s="32"/>
      <c r="X342" s="32"/>
      <c r="Y342" s="32"/>
      <c r="Z342" s="32"/>
    </row>
    <row r="343" spans="1:26" ht="15" customHeight="1" x14ac:dyDescent="0.3">
      <c r="A343" s="155">
        <v>257</v>
      </c>
      <c r="B343" s="156" t="s">
        <v>673</v>
      </c>
      <c r="C343" s="46"/>
      <c r="D343" s="63"/>
      <c r="E343" s="156" t="s">
        <v>228</v>
      </c>
      <c r="F343" s="99"/>
      <c r="G343" s="157">
        <v>420.6</v>
      </c>
      <c r="H343" s="155">
        <v>3</v>
      </c>
      <c r="I343" s="155">
        <v>1</v>
      </c>
      <c r="J343" s="156" t="s">
        <v>32</v>
      </c>
      <c r="K343" s="52"/>
      <c r="L343" s="53"/>
      <c r="M343" s="54"/>
      <c r="N343" s="55" t="str">
        <f t="shared" si="6"/>
        <v>ml</v>
      </c>
      <c r="O343" s="158">
        <v>1261.8</v>
      </c>
      <c r="P343" s="44"/>
      <c r="Q343" s="66"/>
      <c r="R343" s="32"/>
      <c r="S343" s="32"/>
      <c r="T343" s="32"/>
      <c r="U343" s="32"/>
      <c r="V343" s="32"/>
      <c r="W343" s="32"/>
      <c r="X343" s="32"/>
      <c r="Y343" s="32"/>
      <c r="Z343" s="32"/>
    </row>
    <row r="344" spans="1:26" ht="15" customHeight="1" x14ac:dyDescent="0.3">
      <c r="A344" s="155">
        <v>258</v>
      </c>
      <c r="B344" s="156" t="s">
        <v>265</v>
      </c>
      <c r="C344" s="46"/>
      <c r="D344" s="63"/>
      <c r="E344" s="156" t="s">
        <v>266</v>
      </c>
      <c r="F344" s="99"/>
      <c r="G344" s="157">
        <v>87.5</v>
      </c>
      <c r="H344" s="155">
        <v>1.43</v>
      </c>
      <c r="I344" s="155">
        <v>1</v>
      </c>
      <c r="J344" s="156" t="s">
        <v>39</v>
      </c>
      <c r="K344" s="52"/>
      <c r="L344" s="53"/>
      <c r="M344" s="54"/>
      <c r="N344" s="55" t="str">
        <f t="shared" si="6"/>
        <v>grams</v>
      </c>
      <c r="O344" s="158">
        <v>125.125</v>
      </c>
      <c r="P344" s="44"/>
      <c r="Q344" s="66"/>
      <c r="R344" s="32"/>
      <c r="S344" s="32"/>
      <c r="T344" s="32"/>
      <c r="U344" s="32"/>
      <c r="V344" s="32"/>
      <c r="W344" s="32"/>
      <c r="X344" s="32"/>
      <c r="Y344" s="32"/>
      <c r="Z344" s="32"/>
    </row>
    <row r="345" spans="1:26" ht="15" customHeight="1" x14ac:dyDescent="0.3">
      <c r="A345" s="155">
        <v>259</v>
      </c>
      <c r="B345" s="156" t="s">
        <v>267</v>
      </c>
      <c r="C345" s="46"/>
      <c r="D345" s="63"/>
      <c r="E345" s="156" t="s">
        <v>268</v>
      </c>
      <c r="F345" s="99"/>
      <c r="G345" s="157">
        <v>102.5</v>
      </c>
      <c r="H345" s="155">
        <v>1.67</v>
      </c>
      <c r="I345" s="155">
        <v>1</v>
      </c>
      <c r="J345" s="156" t="s">
        <v>39</v>
      </c>
      <c r="K345" s="52"/>
      <c r="L345" s="53"/>
      <c r="M345" s="54"/>
      <c r="N345" s="55" t="str">
        <f t="shared" si="6"/>
        <v>grams</v>
      </c>
      <c r="O345" s="158">
        <v>171.17500000000001</v>
      </c>
      <c r="P345" s="44"/>
      <c r="Q345" s="66"/>
      <c r="R345" s="32"/>
      <c r="S345" s="32"/>
      <c r="T345" s="32"/>
      <c r="U345" s="32"/>
      <c r="V345" s="32"/>
      <c r="W345" s="32"/>
      <c r="X345" s="32"/>
      <c r="Y345" s="32"/>
      <c r="Z345" s="32"/>
    </row>
    <row r="346" spans="1:26" ht="15" customHeight="1" x14ac:dyDescent="0.3">
      <c r="A346" s="155">
        <v>260</v>
      </c>
      <c r="B346" s="156" t="s">
        <v>674</v>
      </c>
      <c r="C346" s="46"/>
      <c r="D346" s="63"/>
      <c r="E346" s="156" t="s">
        <v>675</v>
      </c>
      <c r="F346" s="99"/>
      <c r="G346" s="157">
        <v>2.71</v>
      </c>
      <c r="H346" s="155">
        <v>30</v>
      </c>
      <c r="I346" s="155">
        <v>30</v>
      </c>
      <c r="J346" s="156" t="s">
        <v>39</v>
      </c>
      <c r="K346" s="52"/>
      <c r="L346" s="53"/>
      <c r="M346" s="54"/>
      <c r="N346" s="55" t="str">
        <f t="shared" si="6"/>
        <v>grams</v>
      </c>
      <c r="O346" s="158">
        <v>81.3</v>
      </c>
      <c r="P346" s="44"/>
      <c r="Q346" s="66"/>
      <c r="R346" s="32"/>
      <c r="S346" s="32"/>
      <c r="T346" s="32"/>
      <c r="U346" s="32"/>
      <c r="V346" s="32"/>
      <c r="W346" s="32"/>
      <c r="X346" s="32"/>
      <c r="Y346" s="32"/>
      <c r="Z346" s="32"/>
    </row>
    <row r="347" spans="1:26" ht="15" customHeight="1" x14ac:dyDescent="0.3">
      <c r="A347" s="155">
        <v>261</v>
      </c>
      <c r="B347" s="156" t="s">
        <v>676</v>
      </c>
      <c r="C347" s="46"/>
      <c r="D347" s="63"/>
      <c r="E347" s="156"/>
      <c r="F347" s="99"/>
      <c r="G347" s="157">
        <v>0.50024999999999997</v>
      </c>
      <c r="H347" s="155">
        <v>400</v>
      </c>
      <c r="I347" s="155">
        <v>200</v>
      </c>
      <c r="J347" s="156" t="s">
        <v>39</v>
      </c>
      <c r="K347" s="52"/>
      <c r="L347" s="53"/>
      <c r="M347" s="54"/>
      <c r="N347" s="55" t="str">
        <f t="shared" si="6"/>
        <v>grams</v>
      </c>
      <c r="O347" s="158">
        <v>200.1</v>
      </c>
      <c r="P347" s="44"/>
      <c r="Q347" s="66"/>
      <c r="R347" s="32"/>
      <c r="S347" s="32"/>
      <c r="T347" s="32"/>
      <c r="U347" s="32"/>
      <c r="V347" s="32"/>
      <c r="W347" s="32"/>
      <c r="X347" s="32"/>
      <c r="Y347" s="32"/>
      <c r="Z347" s="32"/>
    </row>
    <row r="348" spans="1:26" ht="15" customHeight="1" x14ac:dyDescent="0.3">
      <c r="A348" s="155">
        <v>262</v>
      </c>
      <c r="B348" s="156" t="s">
        <v>677</v>
      </c>
      <c r="C348" s="46"/>
      <c r="D348" s="63"/>
      <c r="E348" s="156"/>
      <c r="F348" s="99"/>
      <c r="G348" s="157">
        <v>8.4642859999999995</v>
      </c>
      <c r="H348" s="155">
        <v>7</v>
      </c>
      <c r="I348" s="155">
        <v>7</v>
      </c>
      <c r="J348" s="156" t="s">
        <v>39</v>
      </c>
      <c r="K348" s="52"/>
      <c r="L348" s="53"/>
      <c r="M348" s="54"/>
      <c r="N348" s="55" t="str">
        <f t="shared" si="6"/>
        <v>grams</v>
      </c>
      <c r="O348" s="158">
        <v>59.25</v>
      </c>
      <c r="P348" s="44"/>
      <c r="Q348" s="66"/>
      <c r="R348" s="32"/>
      <c r="S348" s="32"/>
      <c r="T348" s="32"/>
      <c r="U348" s="32"/>
      <c r="V348" s="32"/>
      <c r="W348" s="32"/>
      <c r="X348" s="32"/>
      <c r="Y348" s="32"/>
      <c r="Z348" s="32"/>
    </row>
    <row r="349" spans="1:26" ht="15" customHeight="1" x14ac:dyDescent="0.3">
      <c r="A349" s="155">
        <v>263</v>
      </c>
      <c r="B349" s="156" t="s">
        <v>269</v>
      </c>
      <c r="C349" s="46"/>
      <c r="D349" s="63"/>
      <c r="E349" s="156" t="s">
        <v>270</v>
      </c>
      <c r="F349" s="99"/>
      <c r="G349" s="157">
        <v>110.25</v>
      </c>
      <c r="H349" s="155">
        <v>0.87</v>
      </c>
      <c r="I349" s="155">
        <v>1</v>
      </c>
      <c r="J349" s="156" t="s">
        <v>39</v>
      </c>
      <c r="K349" s="52"/>
      <c r="L349" s="53"/>
      <c r="M349" s="54"/>
      <c r="N349" s="55" t="str">
        <f t="shared" si="6"/>
        <v>grams</v>
      </c>
      <c r="O349" s="158">
        <v>95.917500000000004</v>
      </c>
      <c r="P349" s="44"/>
      <c r="Q349" s="66"/>
      <c r="R349" s="32"/>
      <c r="S349" s="32"/>
      <c r="T349" s="32"/>
      <c r="U349" s="32"/>
      <c r="V349" s="32"/>
      <c r="W349" s="32"/>
      <c r="X349" s="32"/>
      <c r="Y349" s="32"/>
      <c r="Z349" s="32"/>
    </row>
    <row r="350" spans="1:26" ht="15" customHeight="1" x14ac:dyDescent="0.3">
      <c r="A350" s="155">
        <v>264</v>
      </c>
      <c r="B350" s="156" t="s">
        <v>271</v>
      </c>
      <c r="C350" s="46"/>
      <c r="D350" s="63"/>
      <c r="E350" s="156" t="s">
        <v>272</v>
      </c>
      <c r="F350" s="99"/>
      <c r="G350" s="157">
        <v>67.5</v>
      </c>
      <c r="H350" s="155">
        <v>2</v>
      </c>
      <c r="I350" s="155">
        <v>1</v>
      </c>
      <c r="J350" s="156" t="s">
        <v>39</v>
      </c>
      <c r="K350" s="52"/>
      <c r="L350" s="53"/>
      <c r="M350" s="54"/>
      <c r="N350" s="55" t="str">
        <f t="shared" si="6"/>
        <v>grams</v>
      </c>
      <c r="O350" s="158">
        <v>135</v>
      </c>
      <c r="P350" s="44"/>
      <c r="Q350" s="66"/>
      <c r="R350" s="32"/>
      <c r="S350" s="32"/>
      <c r="T350" s="32"/>
      <c r="U350" s="32"/>
      <c r="V350" s="32"/>
      <c r="W350" s="32"/>
      <c r="X350" s="32"/>
      <c r="Y350" s="32"/>
      <c r="Z350" s="32"/>
    </row>
    <row r="351" spans="1:26" ht="15" customHeight="1" x14ac:dyDescent="0.3">
      <c r="A351" s="155">
        <v>265</v>
      </c>
      <c r="B351" s="156" t="s">
        <v>678</v>
      </c>
      <c r="C351" s="46"/>
      <c r="D351" s="63"/>
      <c r="E351" s="156"/>
      <c r="F351" s="99"/>
      <c r="G351" s="157">
        <v>1.325</v>
      </c>
      <c r="H351" s="155">
        <v>200</v>
      </c>
      <c r="I351" s="155">
        <v>40</v>
      </c>
      <c r="J351" s="156" t="s">
        <v>39</v>
      </c>
      <c r="K351" s="52"/>
      <c r="L351" s="53"/>
      <c r="M351" s="54"/>
      <c r="N351" s="55" t="str">
        <f t="shared" si="6"/>
        <v>grams</v>
      </c>
      <c r="O351" s="158">
        <v>265</v>
      </c>
      <c r="P351" s="44"/>
      <c r="Q351" s="66"/>
      <c r="R351" s="32"/>
      <c r="S351" s="32"/>
      <c r="T351" s="32"/>
      <c r="U351" s="32"/>
      <c r="V351" s="32"/>
      <c r="W351" s="32"/>
      <c r="X351" s="32"/>
      <c r="Y351" s="32"/>
      <c r="Z351" s="32"/>
    </row>
    <row r="352" spans="1:26" ht="15" customHeight="1" x14ac:dyDescent="0.3">
      <c r="A352" s="155">
        <v>266</v>
      </c>
      <c r="B352" s="156" t="s">
        <v>273</v>
      </c>
      <c r="C352" s="46"/>
      <c r="D352" s="63"/>
      <c r="E352" s="156" t="s">
        <v>274</v>
      </c>
      <c r="F352" s="99"/>
      <c r="G352" s="157">
        <v>69.5</v>
      </c>
      <c r="H352" s="155">
        <v>2.57</v>
      </c>
      <c r="I352" s="155">
        <v>1</v>
      </c>
      <c r="J352" s="156" t="s">
        <v>39</v>
      </c>
      <c r="K352" s="52"/>
      <c r="L352" s="53"/>
      <c r="M352" s="54"/>
      <c r="N352" s="55" t="str">
        <f t="shared" si="6"/>
        <v>grams</v>
      </c>
      <c r="O352" s="158">
        <v>178.61500000000001</v>
      </c>
      <c r="P352" s="44"/>
      <c r="Q352" s="66"/>
      <c r="R352" s="32"/>
      <c r="S352" s="32"/>
      <c r="T352" s="32"/>
      <c r="U352" s="32"/>
      <c r="V352" s="32"/>
      <c r="W352" s="32"/>
      <c r="X352" s="32"/>
      <c r="Y352" s="32"/>
      <c r="Z352" s="32"/>
    </row>
    <row r="353" spans="1:26" ht="15" customHeight="1" x14ac:dyDescent="0.3">
      <c r="A353" s="155">
        <v>267</v>
      </c>
      <c r="B353" s="156" t="s">
        <v>275</v>
      </c>
      <c r="C353" s="46"/>
      <c r="D353" s="63"/>
      <c r="E353" s="156" t="s">
        <v>276</v>
      </c>
      <c r="F353" s="99"/>
      <c r="G353" s="157">
        <v>99</v>
      </c>
      <c r="H353" s="155">
        <v>0.80600000000000005</v>
      </c>
      <c r="I353" s="155">
        <v>1</v>
      </c>
      <c r="J353" s="156" t="s">
        <v>39</v>
      </c>
      <c r="K353" s="52"/>
      <c r="L353" s="53"/>
      <c r="M353" s="54"/>
      <c r="N353" s="55" t="str">
        <f t="shared" si="6"/>
        <v>grams</v>
      </c>
      <c r="O353" s="158">
        <v>79.793999999999997</v>
      </c>
      <c r="P353" s="44"/>
      <c r="Q353" s="66"/>
      <c r="R353" s="32"/>
      <c r="S353" s="32"/>
      <c r="T353" s="32"/>
      <c r="U353" s="32"/>
      <c r="V353" s="32"/>
      <c r="W353" s="32"/>
      <c r="X353" s="32"/>
      <c r="Y353" s="32"/>
      <c r="Z353" s="32"/>
    </row>
    <row r="354" spans="1:26" ht="15" customHeight="1" x14ac:dyDescent="0.3">
      <c r="A354" s="155">
        <v>268</v>
      </c>
      <c r="B354" s="156" t="s">
        <v>679</v>
      </c>
      <c r="C354" s="46"/>
      <c r="D354" s="63"/>
      <c r="E354" s="156"/>
      <c r="F354" s="99"/>
      <c r="G354" s="157">
        <v>0.12479999999999999</v>
      </c>
      <c r="H354" s="155">
        <v>15100</v>
      </c>
      <c r="I354" s="155">
        <v>250</v>
      </c>
      <c r="J354" s="156" t="s">
        <v>39</v>
      </c>
      <c r="K354" s="52"/>
      <c r="L354" s="53"/>
      <c r="M354" s="54"/>
      <c r="N354" s="55" t="str">
        <f t="shared" si="6"/>
        <v>grams</v>
      </c>
      <c r="O354" s="158">
        <v>1884.48</v>
      </c>
      <c r="P354" s="44"/>
      <c r="Q354" s="66"/>
      <c r="R354" s="32"/>
      <c r="S354" s="32"/>
      <c r="T354" s="32"/>
      <c r="U354" s="32"/>
      <c r="V354" s="32"/>
      <c r="W354" s="32"/>
      <c r="X354" s="32"/>
      <c r="Y354" s="32"/>
      <c r="Z354" s="32"/>
    </row>
    <row r="355" spans="1:26" ht="15" customHeight="1" x14ac:dyDescent="0.3">
      <c r="A355" s="155">
        <v>269</v>
      </c>
      <c r="B355" s="156" t="s">
        <v>347</v>
      </c>
      <c r="C355" s="46"/>
      <c r="D355" s="63"/>
      <c r="E355" s="156" t="s">
        <v>348</v>
      </c>
      <c r="F355" s="99"/>
      <c r="G355" s="157">
        <v>77</v>
      </c>
      <c r="H355" s="155">
        <v>18</v>
      </c>
      <c r="I355" s="155">
        <v>1</v>
      </c>
      <c r="J355" s="156" t="s">
        <v>92</v>
      </c>
      <c r="K355" s="52"/>
      <c r="L355" s="53"/>
      <c r="M355" s="54"/>
      <c r="N355" s="55" t="str">
        <f t="shared" si="6"/>
        <v>pieces</v>
      </c>
      <c r="O355" s="158">
        <v>1386</v>
      </c>
      <c r="P355" s="44"/>
      <c r="Q355" s="66"/>
      <c r="R355" s="32"/>
      <c r="S355" s="32"/>
      <c r="T355" s="32"/>
      <c r="U355" s="32"/>
      <c r="V355" s="32"/>
      <c r="W355" s="32"/>
      <c r="X355" s="32"/>
      <c r="Y355" s="32"/>
      <c r="Z355" s="32"/>
    </row>
    <row r="356" spans="1:26" ht="15" customHeight="1" x14ac:dyDescent="0.3">
      <c r="A356" s="155">
        <v>270</v>
      </c>
      <c r="B356" s="156" t="s">
        <v>349</v>
      </c>
      <c r="C356" s="46"/>
      <c r="D356" s="63"/>
      <c r="E356" s="156" t="s">
        <v>350</v>
      </c>
      <c r="F356" s="99"/>
      <c r="G356" s="157">
        <v>24.545940000000002</v>
      </c>
      <c r="H356" s="155">
        <v>13.19</v>
      </c>
      <c r="I356" s="155">
        <v>1</v>
      </c>
      <c r="J356" s="156" t="s">
        <v>92</v>
      </c>
      <c r="K356" s="52"/>
      <c r="L356" s="53"/>
      <c r="M356" s="54"/>
      <c r="N356" s="55" t="str">
        <f t="shared" si="6"/>
        <v>pieces</v>
      </c>
      <c r="O356" s="158">
        <v>323.76100000000002</v>
      </c>
      <c r="P356" s="44"/>
      <c r="Q356" s="66"/>
      <c r="R356" s="32"/>
      <c r="S356" s="32"/>
      <c r="T356" s="32"/>
      <c r="U356" s="32"/>
      <c r="V356" s="32"/>
      <c r="W356" s="32"/>
      <c r="X356" s="32"/>
      <c r="Y356" s="32"/>
      <c r="Z356" s="32"/>
    </row>
    <row r="357" spans="1:26" ht="15" customHeight="1" x14ac:dyDescent="0.3">
      <c r="A357" s="155">
        <v>271</v>
      </c>
      <c r="B357" s="156" t="s">
        <v>680</v>
      </c>
      <c r="C357" s="46"/>
      <c r="D357" s="63"/>
      <c r="E357" s="156" t="s">
        <v>681</v>
      </c>
      <c r="F357" s="99"/>
      <c r="G357" s="157">
        <v>0.15</v>
      </c>
      <c r="H357" s="155">
        <v>1000</v>
      </c>
      <c r="I357" s="155">
        <v>1000</v>
      </c>
      <c r="J357" s="156" t="s">
        <v>39</v>
      </c>
      <c r="K357" s="52"/>
      <c r="L357" s="53"/>
      <c r="M357" s="54"/>
      <c r="N357" s="55" t="str">
        <f t="shared" si="6"/>
        <v>grams</v>
      </c>
      <c r="O357" s="158">
        <v>150</v>
      </c>
      <c r="P357" s="44"/>
      <c r="Q357" s="66"/>
      <c r="R357" s="32"/>
      <c r="S357" s="32"/>
      <c r="T357" s="32"/>
      <c r="U357" s="32"/>
      <c r="V357" s="32"/>
      <c r="W357" s="32"/>
      <c r="X357" s="32"/>
      <c r="Y357" s="32"/>
      <c r="Z357" s="32"/>
    </row>
    <row r="358" spans="1:26" ht="15" customHeight="1" x14ac:dyDescent="0.3">
      <c r="A358" s="155">
        <v>272</v>
      </c>
      <c r="B358" s="156" t="s">
        <v>682</v>
      </c>
      <c r="C358" s="46"/>
      <c r="D358" s="63"/>
      <c r="E358" s="156"/>
      <c r="F358" s="99"/>
      <c r="G358" s="157">
        <v>7.13</v>
      </c>
      <c r="H358" s="155">
        <v>101</v>
      </c>
      <c r="I358" s="155">
        <v>100</v>
      </c>
      <c r="J358" s="156" t="s">
        <v>92</v>
      </c>
      <c r="K358" s="52"/>
      <c r="L358" s="53"/>
      <c r="M358" s="54"/>
      <c r="N358" s="55" t="str">
        <f t="shared" si="6"/>
        <v>pieces</v>
      </c>
      <c r="O358" s="158">
        <v>720.13</v>
      </c>
      <c r="P358" s="44"/>
      <c r="Q358" s="66"/>
      <c r="R358" s="32"/>
      <c r="S358" s="32"/>
      <c r="T358" s="32"/>
      <c r="U358" s="32"/>
      <c r="V358" s="32"/>
      <c r="W358" s="32"/>
      <c r="X358" s="32"/>
      <c r="Y358" s="32"/>
      <c r="Z358" s="32"/>
    </row>
    <row r="359" spans="1:26" ht="15" customHeight="1" x14ac:dyDescent="0.3">
      <c r="A359" s="155">
        <v>273</v>
      </c>
      <c r="B359" s="156" t="s">
        <v>149</v>
      </c>
      <c r="C359" s="46"/>
      <c r="D359" s="63"/>
      <c r="E359" s="156" t="s">
        <v>150</v>
      </c>
      <c r="F359" s="99"/>
      <c r="G359" s="157">
        <v>8.7200000000000006</v>
      </c>
      <c r="H359" s="155">
        <v>1161</v>
      </c>
      <c r="I359" s="155">
        <v>1</v>
      </c>
      <c r="J359" s="156" t="s">
        <v>92</v>
      </c>
      <c r="K359" s="52"/>
      <c r="L359" s="53"/>
      <c r="M359" s="54"/>
      <c r="N359" s="55" t="str">
        <f t="shared" si="6"/>
        <v>pieces</v>
      </c>
      <c r="O359" s="158">
        <v>10123.92</v>
      </c>
      <c r="P359" s="44"/>
      <c r="Q359" s="66"/>
      <c r="R359" s="32"/>
      <c r="S359" s="32"/>
      <c r="T359" s="32"/>
      <c r="U359" s="32"/>
      <c r="V359" s="32"/>
      <c r="W359" s="32"/>
      <c r="X359" s="32"/>
      <c r="Y359" s="32"/>
      <c r="Z359" s="32"/>
    </row>
    <row r="360" spans="1:26" ht="15" customHeight="1" x14ac:dyDescent="0.3">
      <c r="A360" s="155">
        <v>273</v>
      </c>
      <c r="B360" s="156" t="s">
        <v>149</v>
      </c>
      <c r="C360" s="46"/>
      <c r="D360" s="63"/>
      <c r="E360" s="156"/>
      <c r="F360" s="99"/>
      <c r="G360" s="157">
        <v>8.25</v>
      </c>
      <c r="H360" s="155">
        <v>655</v>
      </c>
      <c r="I360" s="155">
        <v>1</v>
      </c>
      <c r="J360" s="156" t="s">
        <v>92</v>
      </c>
      <c r="K360" s="52"/>
      <c r="L360" s="53"/>
      <c r="M360" s="54"/>
      <c r="N360" s="55" t="str">
        <f t="shared" si="6"/>
        <v>pieces</v>
      </c>
      <c r="O360" s="158">
        <v>5403.75</v>
      </c>
      <c r="P360" s="44"/>
      <c r="Q360" s="66"/>
      <c r="R360" s="32"/>
      <c r="S360" s="32"/>
      <c r="T360" s="32"/>
      <c r="U360" s="32"/>
      <c r="V360" s="32"/>
      <c r="W360" s="32"/>
      <c r="X360" s="32"/>
      <c r="Y360" s="32"/>
      <c r="Z360" s="32"/>
    </row>
    <row r="361" spans="1:26" ht="15" customHeight="1" x14ac:dyDescent="0.3">
      <c r="A361" s="155">
        <v>274</v>
      </c>
      <c r="B361" s="156" t="s">
        <v>103</v>
      </c>
      <c r="C361" s="46"/>
      <c r="D361" s="63"/>
      <c r="E361" s="156" t="s">
        <v>104</v>
      </c>
      <c r="F361" s="99"/>
      <c r="G361" s="157">
        <v>7.5</v>
      </c>
      <c r="H361" s="155">
        <v>3519</v>
      </c>
      <c r="I361" s="155">
        <v>1</v>
      </c>
      <c r="J361" s="156" t="s">
        <v>92</v>
      </c>
      <c r="K361" s="52"/>
      <c r="L361" s="53"/>
      <c r="M361" s="54"/>
      <c r="N361" s="55" t="str">
        <f t="shared" si="6"/>
        <v>pieces</v>
      </c>
      <c r="O361" s="158">
        <v>26392.5</v>
      </c>
      <c r="P361" s="44"/>
      <c r="Q361" s="66"/>
      <c r="R361" s="32"/>
      <c r="S361" s="32"/>
      <c r="T361" s="32"/>
      <c r="U361" s="32"/>
      <c r="V361" s="32"/>
      <c r="W361" s="32"/>
      <c r="X361" s="32"/>
      <c r="Y361" s="32"/>
      <c r="Z361" s="32"/>
    </row>
    <row r="362" spans="1:26" ht="15" customHeight="1" x14ac:dyDescent="0.3">
      <c r="A362" s="155">
        <v>274</v>
      </c>
      <c r="B362" s="156" t="s">
        <v>103</v>
      </c>
      <c r="C362" s="46"/>
      <c r="D362" s="63"/>
      <c r="E362" s="156"/>
      <c r="F362" s="99"/>
      <c r="G362" s="157">
        <v>7.5</v>
      </c>
      <c r="H362" s="155">
        <v>47</v>
      </c>
      <c r="I362" s="155">
        <v>1</v>
      </c>
      <c r="J362" s="156" t="s">
        <v>92</v>
      </c>
      <c r="K362" s="52"/>
      <c r="L362" s="53"/>
      <c r="M362" s="54"/>
      <c r="N362" s="55" t="str">
        <f t="shared" si="6"/>
        <v>pieces</v>
      </c>
      <c r="O362" s="158">
        <v>352.5</v>
      </c>
      <c r="P362" s="44"/>
      <c r="Q362" s="66"/>
      <c r="R362" s="32"/>
      <c r="S362" s="32"/>
      <c r="T362" s="32"/>
      <c r="U362" s="32"/>
      <c r="V362" s="32"/>
      <c r="W362" s="32"/>
      <c r="X362" s="32"/>
      <c r="Y362" s="32"/>
      <c r="Z362" s="32"/>
    </row>
    <row r="363" spans="1:26" ht="15" customHeight="1" x14ac:dyDescent="0.3">
      <c r="A363" s="155">
        <v>275</v>
      </c>
      <c r="B363" s="156" t="s">
        <v>105</v>
      </c>
      <c r="C363" s="46"/>
      <c r="D363" s="63"/>
      <c r="E363" s="156" t="s">
        <v>106</v>
      </c>
      <c r="F363" s="99"/>
      <c r="G363" s="157">
        <v>14.35</v>
      </c>
      <c r="H363" s="155">
        <v>240</v>
      </c>
      <c r="I363" s="155">
        <v>1</v>
      </c>
      <c r="J363" s="156" t="s">
        <v>92</v>
      </c>
      <c r="K363" s="52"/>
      <c r="L363" s="53"/>
      <c r="M363" s="54"/>
      <c r="N363" s="55" t="str">
        <f t="shared" si="6"/>
        <v>pieces</v>
      </c>
      <c r="O363" s="158">
        <v>3444</v>
      </c>
      <c r="P363" s="44"/>
      <c r="Q363" s="66"/>
      <c r="R363" s="32"/>
      <c r="S363" s="32"/>
      <c r="T363" s="32"/>
      <c r="U363" s="32"/>
      <c r="V363" s="32"/>
      <c r="W363" s="32"/>
      <c r="X363" s="32"/>
      <c r="Y363" s="32"/>
      <c r="Z363" s="32"/>
    </row>
    <row r="364" spans="1:26" ht="15" customHeight="1" x14ac:dyDescent="0.3">
      <c r="A364" s="155">
        <v>276</v>
      </c>
      <c r="B364" s="156" t="s">
        <v>683</v>
      </c>
      <c r="C364" s="46"/>
      <c r="D364" s="63"/>
      <c r="E364" s="156"/>
      <c r="F364" s="99"/>
      <c r="G364" s="157">
        <v>0.192222</v>
      </c>
      <c r="H364" s="155">
        <v>400</v>
      </c>
      <c r="I364" s="155">
        <v>1800</v>
      </c>
      <c r="J364" s="156" t="s">
        <v>39</v>
      </c>
      <c r="K364" s="52"/>
      <c r="L364" s="53"/>
      <c r="M364" s="54"/>
      <c r="N364" s="55" t="str">
        <f t="shared" si="6"/>
        <v>grams</v>
      </c>
      <c r="O364" s="158">
        <v>76.888890000000004</v>
      </c>
      <c r="P364" s="44"/>
      <c r="Q364" s="66"/>
      <c r="R364" s="32"/>
      <c r="S364" s="32"/>
      <c r="T364" s="32"/>
      <c r="U364" s="32"/>
      <c r="V364" s="32"/>
      <c r="W364" s="32"/>
      <c r="X364" s="32"/>
      <c r="Y364" s="32"/>
      <c r="Z364" s="32"/>
    </row>
    <row r="365" spans="1:26" ht="15" customHeight="1" x14ac:dyDescent="0.3">
      <c r="A365" s="155">
        <v>277</v>
      </c>
      <c r="B365" s="156" t="s">
        <v>684</v>
      </c>
      <c r="C365" s="46"/>
      <c r="D365" s="63"/>
      <c r="E365" s="156"/>
      <c r="F365" s="99"/>
      <c r="G365" s="157">
        <v>0.159</v>
      </c>
      <c r="H365" s="155">
        <v>150</v>
      </c>
      <c r="I365" s="155">
        <v>1000</v>
      </c>
      <c r="J365" s="156" t="s">
        <v>39</v>
      </c>
      <c r="K365" s="52"/>
      <c r="L365" s="53"/>
      <c r="M365" s="54"/>
      <c r="N365" s="55" t="str">
        <f t="shared" si="6"/>
        <v>grams</v>
      </c>
      <c r="O365" s="158">
        <v>23.85</v>
      </c>
      <c r="P365" s="44"/>
      <c r="Q365" s="66"/>
      <c r="R365" s="32"/>
      <c r="S365" s="32"/>
      <c r="T365" s="32"/>
      <c r="U365" s="32"/>
      <c r="V365" s="32"/>
      <c r="W365" s="32"/>
      <c r="X365" s="32"/>
      <c r="Y365" s="32"/>
      <c r="Z365" s="32"/>
    </row>
    <row r="366" spans="1:26" ht="15" customHeight="1" x14ac:dyDescent="0.3">
      <c r="A366" s="155">
        <v>278</v>
      </c>
      <c r="B366" s="156" t="s">
        <v>313</v>
      </c>
      <c r="C366" s="46"/>
      <c r="D366" s="63"/>
      <c r="E366" s="156" t="s">
        <v>314</v>
      </c>
      <c r="F366" s="99"/>
      <c r="G366" s="157">
        <v>198</v>
      </c>
      <c r="H366" s="155">
        <v>2</v>
      </c>
      <c r="I366" s="155">
        <v>1</v>
      </c>
      <c r="J366" s="156" t="s">
        <v>39</v>
      </c>
      <c r="K366" s="52"/>
      <c r="L366" s="53"/>
      <c r="M366" s="54"/>
      <c r="N366" s="55" t="str">
        <f t="shared" si="6"/>
        <v>grams</v>
      </c>
      <c r="O366" s="158">
        <v>396</v>
      </c>
      <c r="P366" s="44"/>
      <c r="Q366" s="66"/>
      <c r="R366" s="32"/>
      <c r="S366" s="32"/>
      <c r="T366" s="32"/>
      <c r="U366" s="32"/>
      <c r="V366" s="32"/>
      <c r="W366" s="32"/>
      <c r="X366" s="32"/>
      <c r="Y366" s="32"/>
      <c r="Z366" s="32"/>
    </row>
    <row r="367" spans="1:26" ht="15" customHeight="1" x14ac:dyDescent="0.3">
      <c r="A367" s="155">
        <v>279</v>
      </c>
      <c r="B367" s="156" t="s">
        <v>327</v>
      </c>
      <c r="C367" s="46"/>
      <c r="D367" s="63"/>
      <c r="E367" s="156" t="s">
        <v>328</v>
      </c>
      <c r="F367" s="99"/>
      <c r="G367" s="157">
        <v>236.7</v>
      </c>
      <c r="H367" s="155">
        <v>4</v>
      </c>
      <c r="I367" s="155">
        <v>1</v>
      </c>
      <c r="J367" s="156" t="s">
        <v>39</v>
      </c>
      <c r="K367" s="52"/>
      <c r="L367" s="53"/>
      <c r="M367" s="54"/>
      <c r="N367" s="55" t="str">
        <f t="shared" si="6"/>
        <v>grams</v>
      </c>
      <c r="O367" s="158">
        <v>946.8</v>
      </c>
      <c r="P367" s="44"/>
      <c r="Q367" s="66"/>
      <c r="R367" s="32"/>
      <c r="S367" s="32"/>
      <c r="T367" s="32"/>
      <c r="U367" s="32"/>
      <c r="V367" s="32"/>
      <c r="W367" s="32"/>
      <c r="X367" s="32"/>
      <c r="Y367" s="32"/>
      <c r="Z367" s="32"/>
    </row>
    <row r="368" spans="1:26" ht="15" customHeight="1" x14ac:dyDescent="0.3">
      <c r="A368" s="155">
        <v>279</v>
      </c>
      <c r="B368" s="156" t="s">
        <v>327</v>
      </c>
      <c r="C368" s="46"/>
      <c r="D368" s="63"/>
      <c r="E368" s="156"/>
      <c r="F368" s="99"/>
      <c r="G368" s="157">
        <v>0.23669999999999999</v>
      </c>
      <c r="H368" s="155">
        <v>2800</v>
      </c>
      <c r="I368" s="155">
        <v>1</v>
      </c>
      <c r="J368" s="156" t="s">
        <v>39</v>
      </c>
      <c r="K368" s="52"/>
      <c r="L368" s="53"/>
      <c r="M368" s="54"/>
      <c r="N368" s="55" t="str">
        <f t="shared" si="6"/>
        <v>grams</v>
      </c>
      <c r="O368" s="158">
        <v>662.76</v>
      </c>
      <c r="P368" s="44"/>
      <c r="Q368" s="66"/>
      <c r="R368" s="32"/>
      <c r="S368" s="32"/>
      <c r="T368" s="32"/>
      <c r="U368" s="32"/>
      <c r="V368" s="32"/>
      <c r="W368" s="32"/>
      <c r="X368" s="32"/>
      <c r="Y368" s="32"/>
      <c r="Z368" s="32"/>
    </row>
    <row r="369" spans="1:26" ht="15" customHeight="1" x14ac:dyDescent="0.3">
      <c r="A369" s="155">
        <v>280</v>
      </c>
      <c r="B369" s="156" t="s">
        <v>685</v>
      </c>
      <c r="C369" s="46"/>
      <c r="D369" s="63"/>
      <c r="E369" s="156" t="s">
        <v>686</v>
      </c>
      <c r="F369" s="99"/>
      <c r="G369" s="157">
        <v>0.125</v>
      </c>
      <c r="H369" s="155">
        <v>3000</v>
      </c>
      <c r="I369" s="155">
        <v>1000</v>
      </c>
      <c r="J369" s="156" t="s">
        <v>39</v>
      </c>
      <c r="K369" s="52"/>
      <c r="L369" s="53"/>
      <c r="M369" s="54"/>
      <c r="N369" s="55" t="str">
        <f t="shared" si="6"/>
        <v>grams</v>
      </c>
      <c r="O369" s="158">
        <v>375</v>
      </c>
      <c r="P369" s="44"/>
      <c r="Q369" s="66"/>
      <c r="R369" s="32"/>
      <c r="S369" s="32"/>
      <c r="T369" s="32"/>
      <c r="U369" s="32"/>
      <c r="V369" s="32"/>
      <c r="W369" s="32"/>
      <c r="X369" s="32"/>
      <c r="Y369" s="32"/>
      <c r="Z369" s="32"/>
    </row>
    <row r="370" spans="1:26" ht="15" customHeight="1" x14ac:dyDescent="0.3">
      <c r="A370" s="155">
        <v>281</v>
      </c>
      <c r="B370" s="156" t="s">
        <v>423</v>
      </c>
      <c r="C370" s="46"/>
      <c r="D370" s="63"/>
      <c r="E370" s="156" t="s">
        <v>424</v>
      </c>
      <c r="F370" s="99"/>
      <c r="G370" s="157">
        <v>16.329999999999998</v>
      </c>
      <c r="H370" s="155">
        <v>50</v>
      </c>
      <c r="I370" s="155">
        <v>1</v>
      </c>
      <c r="J370" s="156" t="s">
        <v>92</v>
      </c>
      <c r="K370" s="52"/>
      <c r="L370" s="53"/>
      <c r="M370" s="54"/>
      <c r="N370" s="55" t="str">
        <f t="shared" si="6"/>
        <v>pieces</v>
      </c>
      <c r="O370" s="158">
        <v>816.5</v>
      </c>
      <c r="P370" s="44"/>
      <c r="Q370" s="66"/>
      <c r="R370" s="32"/>
      <c r="S370" s="32"/>
      <c r="T370" s="32"/>
      <c r="U370" s="32"/>
      <c r="V370" s="32"/>
      <c r="W370" s="32"/>
      <c r="X370" s="32"/>
      <c r="Y370" s="32"/>
      <c r="Z370" s="32"/>
    </row>
    <row r="371" spans="1:26" ht="15" customHeight="1" x14ac:dyDescent="0.3">
      <c r="A371" s="155">
        <v>282</v>
      </c>
      <c r="B371" s="156" t="s">
        <v>687</v>
      </c>
      <c r="C371" s="46"/>
      <c r="D371" s="63"/>
      <c r="E371" s="156"/>
      <c r="F371" s="99"/>
      <c r="G371" s="157">
        <v>15.04</v>
      </c>
      <c r="H371" s="155">
        <v>113</v>
      </c>
      <c r="I371" s="155">
        <v>1</v>
      </c>
      <c r="J371" s="156" t="s">
        <v>92</v>
      </c>
      <c r="K371" s="52"/>
      <c r="L371" s="53"/>
      <c r="M371" s="54"/>
      <c r="N371" s="55" t="str">
        <f t="shared" si="6"/>
        <v>pieces</v>
      </c>
      <c r="O371" s="158">
        <v>1699.52</v>
      </c>
      <c r="P371" s="44"/>
      <c r="Q371" s="66"/>
      <c r="R371" s="32"/>
      <c r="S371" s="32"/>
      <c r="T371" s="32"/>
      <c r="U371" s="32"/>
      <c r="V371" s="32"/>
      <c r="W371" s="32"/>
      <c r="X371" s="32"/>
      <c r="Y371" s="32"/>
      <c r="Z371" s="32"/>
    </row>
    <row r="372" spans="1:26" ht="15" customHeight="1" x14ac:dyDescent="0.3">
      <c r="A372" s="155">
        <v>283</v>
      </c>
      <c r="B372" s="156" t="s">
        <v>454</v>
      </c>
      <c r="C372" s="46"/>
      <c r="D372" s="63"/>
      <c r="E372" s="156" t="s">
        <v>216</v>
      </c>
      <c r="F372" s="99"/>
      <c r="G372" s="157">
        <v>0.498504</v>
      </c>
      <c r="H372" s="155">
        <v>5015</v>
      </c>
      <c r="I372" s="155">
        <v>1000</v>
      </c>
      <c r="J372" s="156" t="s">
        <v>39</v>
      </c>
      <c r="K372" s="52"/>
      <c r="L372" s="53"/>
      <c r="M372" s="54"/>
      <c r="N372" s="55" t="str">
        <f t="shared" si="6"/>
        <v>grams</v>
      </c>
      <c r="O372" s="158">
        <v>2500</v>
      </c>
      <c r="P372" s="44"/>
      <c r="Q372" s="66"/>
      <c r="R372" s="32"/>
      <c r="S372" s="32"/>
      <c r="T372" s="32"/>
      <c r="U372" s="32"/>
      <c r="V372" s="32"/>
      <c r="W372" s="32"/>
      <c r="X372" s="32"/>
      <c r="Y372" s="32"/>
      <c r="Z372" s="32"/>
    </row>
    <row r="373" spans="1:26" ht="15" customHeight="1" x14ac:dyDescent="0.3">
      <c r="A373" s="155">
        <v>283</v>
      </c>
      <c r="B373" s="156" t="s">
        <v>454</v>
      </c>
      <c r="C373" s="46"/>
      <c r="D373" s="63"/>
      <c r="E373" s="156"/>
      <c r="F373" s="99"/>
      <c r="G373" s="157">
        <v>0.14000000000000001</v>
      </c>
      <c r="H373" s="155">
        <v>9000</v>
      </c>
      <c r="I373" s="155">
        <v>1000</v>
      </c>
      <c r="J373" s="156" t="s">
        <v>39</v>
      </c>
      <c r="K373" s="52"/>
      <c r="L373" s="53"/>
      <c r="M373" s="54"/>
      <c r="N373" s="55" t="str">
        <f t="shared" si="6"/>
        <v>grams</v>
      </c>
      <c r="O373" s="158">
        <v>1260</v>
      </c>
      <c r="P373" s="44"/>
      <c r="Q373" s="66"/>
      <c r="R373" s="32"/>
      <c r="S373" s="32"/>
      <c r="T373" s="32"/>
      <c r="U373" s="32"/>
      <c r="V373" s="32"/>
      <c r="W373" s="32"/>
      <c r="X373" s="32"/>
      <c r="Y373" s="32"/>
      <c r="Z373" s="32"/>
    </row>
    <row r="374" spans="1:26" ht="15" customHeight="1" x14ac:dyDescent="0.3">
      <c r="A374" s="155">
        <v>284</v>
      </c>
      <c r="B374" s="156" t="s">
        <v>203</v>
      </c>
      <c r="C374" s="46"/>
      <c r="D374" s="63"/>
      <c r="E374" s="156" t="s">
        <v>204</v>
      </c>
      <c r="F374" s="99"/>
      <c r="G374" s="157">
        <v>96.2</v>
      </c>
      <c r="H374" s="155">
        <v>10</v>
      </c>
      <c r="I374" s="155">
        <v>1</v>
      </c>
      <c r="J374" s="156" t="s">
        <v>92</v>
      </c>
      <c r="K374" s="52"/>
      <c r="L374" s="53"/>
      <c r="M374" s="54"/>
      <c r="N374" s="55" t="str">
        <f t="shared" si="6"/>
        <v>pieces</v>
      </c>
      <c r="O374" s="158">
        <v>962</v>
      </c>
      <c r="P374" s="44"/>
      <c r="Q374" s="66"/>
      <c r="R374" s="32"/>
      <c r="S374" s="32"/>
      <c r="T374" s="32"/>
      <c r="U374" s="32"/>
      <c r="V374" s="32"/>
      <c r="W374" s="32"/>
      <c r="X374" s="32"/>
      <c r="Y374" s="32"/>
      <c r="Z374" s="32"/>
    </row>
    <row r="375" spans="1:26" ht="15" customHeight="1" x14ac:dyDescent="0.3">
      <c r="A375" s="155">
        <v>285</v>
      </c>
      <c r="B375" s="156" t="s">
        <v>107</v>
      </c>
      <c r="C375" s="46"/>
      <c r="D375" s="63"/>
      <c r="E375" s="156" t="s">
        <v>108</v>
      </c>
      <c r="F375" s="99"/>
      <c r="G375" s="157">
        <v>16.079999999999998</v>
      </c>
      <c r="H375" s="155">
        <v>125</v>
      </c>
      <c r="I375" s="155">
        <v>1</v>
      </c>
      <c r="J375" s="156" t="s">
        <v>92</v>
      </c>
      <c r="K375" s="52"/>
      <c r="L375" s="53"/>
      <c r="M375" s="54"/>
      <c r="N375" s="55" t="str">
        <f t="shared" si="6"/>
        <v>pieces</v>
      </c>
      <c r="O375" s="158">
        <v>2010</v>
      </c>
      <c r="P375" s="44"/>
      <c r="Q375" s="66"/>
      <c r="R375" s="32"/>
      <c r="S375" s="32"/>
      <c r="T375" s="32"/>
      <c r="U375" s="32"/>
      <c r="V375" s="32"/>
      <c r="W375" s="32"/>
      <c r="X375" s="32"/>
      <c r="Y375" s="32"/>
      <c r="Z375" s="32"/>
    </row>
    <row r="376" spans="1:26" ht="15" customHeight="1" x14ac:dyDescent="0.3">
      <c r="A376" s="155">
        <v>286</v>
      </c>
      <c r="B376" s="156" t="s">
        <v>688</v>
      </c>
      <c r="C376" s="46"/>
      <c r="D376" s="63"/>
      <c r="E376" s="156" t="s">
        <v>689</v>
      </c>
      <c r="F376" s="99"/>
      <c r="G376" s="157">
        <v>16.14</v>
      </c>
      <c r="H376" s="155">
        <v>48</v>
      </c>
      <c r="I376" s="155">
        <v>1</v>
      </c>
      <c r="J376" s="156" t="s">
        <v>92</v>
      </c>
      <c r="K376" s="52"/>
      <c r="L376" s="53"/>
      <c r="M376" s="54"/>
      <c r="N376" s="55" t="str">
        <f t="shared" si="6"/>
        <v>pieces</v>
      </c>
      <c r="O376" s="158">
        <v>774.72</v>
      </c>
      <c r="P376" s="44"/>
      <c r="Q376" s="66"/>
      <c r="R376" s="32"/>
      <c r="S376" s="32"/>
      <c r="T376" s="32"/>
      <c r="U376" s="32"/>
      <c r="V376" s="32"/>
      <c r="W376" s="32"/>
      <c r="X376" s="32"/>
      <c r="Y376" s="32"/>
      <c r="Z376" s="32"/>
    </row>
    <row r="377" spans="1:26" ht="15" customHeight="1" x14ac:dyDescent="0.3">
      <c r="A377" s="155">
        <v>287</v>
      </c>
      <c r="B377" s="156" t="s">
        <v>690</v>
      </c>
      <c r="C377" s="46"/>
      <c r="D377" s="63"/>
      <c r="E377" s="156"/>
      <c r="F377" s="99"/>
      <c r="G377" s="157">
        <v>17.809999999999999</v>
      </c>
      <c r="H377" s="155">
        <v>48</v>
      </c>
      <c r="I377" s="155">
        <v>48</v>
      </c>
      <c r="J377" s="156" t="s">
        <v>92</v>
      </c>
      <c r="K377" s="52"/>
      <c r="L377" s="53"/>
      <c r="M377" s="54"/>
      <c r="N377" s="55" t="str">
        <f t="shared" si="6"/>
        <v>pieces</v>
      </c>
      <c r="O377" s="158">
        <v>854.88</v>
      </c>
      <c r="P377" s="44"/>
      <c r="Q377" s="66"/>
      <c r="R377" s="32"/>
      <c r="S377" s="32"/>
      <c r="T377" s="32"/>
      <c r="U377" s="32"/>
      <c r="V377" s="32"/>
      <c r="W377" s="32"/>
      <c r="X377" s="32"/>
      <c r="Y377" s="32"/>
      <c r="Z377" s="32"/>
    </row>
    <row r="378" spans="1:26" ht="15" customHeight="1" x14ac:dyDescent="0.3">
      <c r="A378" s="155">
        <v>288</v>
      </c>
      <c r="B378" s="156" t="s">
        <v>109</v>
      </c>
      <c r="C378" s="46"/>
      <c r="D378" s="63"/>
      <c r="E378" s="156" t="s">
        <v>110</v>
      </c>
      <c r="F378" s="99"/>
      <c r="G378" s="157">
        <v>30.07</v>
      </c>
      <c r="H378" s="155">
        <v>71</v>
      </c>
      <c r="I378" s="155">
        <v>1</v>
      </c>
      <c r="J378" s="156" t="s">
        <v>92</v>
      </c>
      <c r="K378" s="52"/>
      <c r="L378" s="53"/>
      <c r="M378" s="54"/>
      <c r="N378" s="55" t="str">
        <f t="shared" si="6"/>
        <v>pieces</v>
      </c>
      <c r="O378" s="158">
        <v>2134.9699999999998</v>
      </c>
      <c r="P378" s="44"/>
      <c r="Q378" s="66"/>
      <c r="R378" s="32"/>
      <c r="S378" s="32"/>
      <c r="T378" s="32"/>
      <c r="U378" s="32"/>
      <c r="V378" s="32"/>
      <c r="W378" s="32"/>
      <c r="X378" s="32"/>
      <c r="Y378" s="32"/>
      <c r="Z378" s="32"/>
    </row>
    <row r="379" spans="1:26" ht="15" customHeight="1" x14ac:dyDescent="0.3">
      <c r="A379" s="155">
        <v>289</v>
      </c>
      <c r="B379" s="156" t="s">
        <v>691</v>
      </c>
      <c r="C379" s="46"/>
      <c r="D379" s="63"/>
      <c r="E379" s="156"/>
      <c r="F379" s="99"/>
      <c r="G379" s="157">
        <v>309</v>
      </c>
      <c r="H379" s="155">
        <v>7</v>
      </c>
      <c r="I379" s="155">
        <v>1</v>
      </c>
      <c r="J379" s="156" t="s">
        <v>200</v>
      </c>
      <c r="K379" s="52"/>
      <c r="L379" s="53"/>
      <c r="M379" s="54"/>
      <c r="N379" s="55" t="str">
        <f t="shared" si="6"/>
        <v>gal</v>
      </c>
      <c r="O379" s="158">
        <v>2163</v>
      </c>
      <c r="P379" s="44"/>
      <c r="Q379" s="66"/>
      <c r="R379" s="32"/>
      <c r="S379" s="32"/>
      <c r="T379" s="32"/>
      <c r="U379" s="32"/>
      <c r="V379" s="32"/>
      <c r="W379" s="32"/>
      <c r="X379" s="32"/>
      <c r="Y379" s="32"/>
      <c r="Z379" s="32"/>
    </row>
    <row r="380" spans="1:26" ht="15" customHeight="1" x14ac:dyDescent="0.3">
      <c r="A380" s="155">
        <v>290</v>
      </c>
      <c r="B380" s="156" t="s">
        <v>692</v>
      </c>
      <c r="C380" s="46"/>
      <c r="D380" s="63"/>
      <c r="E380" s="156" t="s">
        <v>693</v>
      </c>
      <c r="F380" s="99"/>
      <c r="G380" s="157">
        <v>309</v>
      </c>
      <c r="H380" s="155">
        <v>3</v>
      </c>
      <c r="I380" s="155">
        <v>1</v>
      </c>
      <c r="J380" s="156" t="s">
        <v>200</v>
      </c>
      <c r="K380" s="52"/>
      <c r="L380" s="53"/>
      <c r="M380" s="54"/>
      <c r="N380" s="55" t="str">
        <f t="shared" si="6"/>
        <v>gal</v>
      </c>
      <c r="O380" s="158">
        <v>927</v>
      </c>
      <c r="P380" s="44"/>
      <c r="Q380" s="66"/>
      <c r="R380" s="32"/>
      <c r="S380" s="32"/>
      <c r="T380" s="32"/>
      <c r="U380" s="32"/>
      <c r="V380" s="32"/>
      <c r="W380" s="32"/>
      <c r="X380" s="32"/>
      <c r="Y380" s="32"/>
      <c r="Z380" s="32"/>
    </row>
    <row r="381" spans="1:26" ht="15" customHeight="1" x14ac:dyDescent="0.3">
      <c r="A381" s="155">
        <v>291</v>
      </c>
      <c r="B381" s="156" t="s">
        <v>694</v>
      </c>
      <c r="C381" s="46"/>
      <c r="D381" s="63"/>
      <c r="E381" s="156" t="s">
        <v>69</v>
      </c>
      <c r="F381" s="99"/>
      <c r="G381" s="157">
        <v>0.44879999999999998</v>
      </c>
      <c r="H381" s="155">
        <v>300</v>
      </c>
      <c r="I381" s="155">
        <v>25</v>
      </c>
      <c r="J381" s="156" t="s">
        <v>39</v>
      </c>
      <c r="K381" s="52"/>
      <c r="L381" s="53"/>
      <c r="M381" s="54"/>
      <c r="N381" s="55" t="str">
        <f t="shared" si="6"/>
        <v>grams</v>
      </c>
      <c r="O381" s="158">
        <v>134.63999999999999</v>
      </c>
      <c r="P381" s="44"/>
      <c r="Q381" s="66"/>
      <c r="R381" s="32"/>
      <c r="S381" s="32"/>
      <c r="T381" s="32"/>
      <c r="U381" s="32"/>
      <c r="V381" s="32"/>
      <c r="W381" s="32"/>
      <c r="X381" s="32"/>
      <c r="Y381" s="32"/>
      <c r="Z381" s="32"/>
    </row>
    <row r="382" spans="1:26" ht="15" customHeight="1" x14ac:dyDescent="0.3">
      <c r="A382" s="155">
        <v>291</v>
      </c>
      <c r="B382" s="156" t="s">
        <v>694</v>
      </c>
      <c r="C382" s="46"/>
      <c r="D382" s="63"/>
      <c r="E382" s="156"/>
      <c r="F382" s="99"/>
      <c r="G382" s="157">
        <v>0.26347799999999999</v>
      </c>
      <c r="H382" s="155">
        <v>460</v>
      </c>
      <c r="I382" s="155">
        <v>25</v>
      </c>
      <c r="J382" s="156" t="s">
        <v>39</v>
      </c>
      <c r="K382" s="52"/>
      <c r="L382" s="53"/>
      <c r="M382" s="54"/>
      <c r="N382" s="55" t="str">
        <f t="shared" si="6"/>
        <v>grams</v>
      </c>
      <c r="O382" s="158">
        <v>121.2</v>
      </c>
      <c r="P382" s="44"/>
      <c r="Q382" s="66"/>
      <c r="R382" s="32"/>
      <c r="S382" s="32"/>
      <c r="T382" s="32"/>
      <c r="U382" s="32"/>
      <c r="V382" s="32"/>
      <c r="W382" s="32"/>
      <c r="X382" s="32"/>
      <c r="Y382" s="32"/>
      <c r="Z382" s="32"/>
    </row>
    <row r="383" spans="1:26" ht="15" customHeight="1" x14ac:dyDescent="0.3">
      <c r="A383" s="155">
        <v>292</v>
      </c>
      <c r="B383" s="156" t="s">
        <v>695</v>
      </c>
      <c r="C383" s="46"/>
      <c r="D383" s="63"/>
      <c r="E383" s="156" t="s">
        <v>696</v>
      </c>
      <c r="F383" s="99"/>
      <c r="G383" s="157">
        <v>0.30641000000000002</v>
      </c>
      <c r="H383" s="155">
        <v>780</v>
      </c>
      <c r="I383" s="155">
        <v>156</v>
      </c>
      <c r="J383" s="156" t="s">
        <v>519</v>
      </c>
      <c r="K383" s="52"/>
      <c r="L383" s="53"/>
      <c r="M383" s="54"/>
      <c r="N383" s="55" t="str">
        <f t="shared" si="6"/>
        <v>drained weight grams</v>
      </c>
      <c r="O383" s="158">
        <v>239</v>
      </c>
      <c r="P383" s="44"/>
      <c r="Q383" s="66"/>
      <c r="R383" s="32"/>
      <c r="S383" s="32"/>
      <c r="T383" s="32"/>
      <c r="U383" s="32"/>
      <c r="V383" s="32"/>
      <c r="W383" s="32"/>
      <c r="X383" s="32"/>
      <c r="Y383" s="32"/>
      <c r="Z383" s="32"/>
    </row>
    <row r="384" spans="1:26" ht="15" customHeight="1" x14ac:dyDescent="0.3">
      <c r="A384" s="155">
        <v>292</v>
      </c>
      <c r="B384" s="156" t="s">
        <v>695</v>
      </c>
      <c r="C384" s="46"/>
      <c r="D384" s="63"/>
      <c r="E384" s="156"/>
      <c r="F384" s="99"/>
      <c r="G384" s="157">
        <v>0.36538500000000002</v>
      </c>
      <c r="H384" s="155">
        <v>156</v>
      </c>
      <c r="I384" s="155">
        <v>156</v>
      </c>
      <c r="J384" s="156" t="s">
        <v>39</v>
      </c>
      <c r="K384" s="52"/>
      <c r="L384" s="53"/>
      <c r="M384" s="54"/>
      <c r="N384" s="55" t="str">
        <f t="shared" si="6"/>
        <v>grams</v>
      </c>
      <c r="O384" s="158">
        <v>57</v>
      </c>
      <c r="P384" s="44"/>
      <c r="Q384" s="66"/>
      <c r="R384" s="32"/>
      <c r="S384" s="32"/>
      <c r="T384" s="32"/>
      <c r="U384" s="32"/>
      <c r="V384" s="32"/>
      <c r="W384" s="32"/>
      <c r="X384" s="32"/>
      <c r="Y384" s="32"/>
      <c r="Z384" s="32"/>
    </row>
    <row r="385" spans="1:26" ht="15" customHeight="1" x14ac:dyDescent="0.3">
      <c r="A385" s="155">
        <v>293</v>
      </c>
      <c r="B385" s="156" t="s">
        <v>697</v>
      </c>
      <c r="C385" s="46"/>
      <c r="D385" s="63"/>
      <c r="E385" s="156"/>
      <c r="F385" s="99"/>
      <c r="G385" s="157">
        <v>8.9063000000000003E-2</v>
      </c>
      <c r="H385" s="155">
        <v>600</v>
      </c>
      <c r="I385" s="155">
        <v>800</v>
      </c>
      <c r="J385" s="156" t="s">
        <v>39</v>
      </c>
      <c r="K385" s="52"/>
      <c r="L385" s="53"/>
      <c r="M385" s="54"/>
      <c r="N385" s="55" t="str">
        <f t="shared" si="6"/>
        <v>grams</v>
      </c>
      <c r="O385" s="158">
        <v>53.4375</v>
      </c>
      <c r="P385" s="44"/>
      <c r="Q385" s="66"/>
      <c r="R385" s="32"/>
      <c r="S385" s="32"/>
      <c r="T385" s="32"/>
      <c r="U385" s="32"/>
      <c r="V385" s="32"/>
      <c r="W385" s="32"/>
      <c r="X385" s="32"/>
      <c r="Y385" s="32"/>
      <c r="Z385" s="32"/>
    </row>
    <row r="386" spans="1:26" ht="15" customHeight="1" x14ac:dyDescent="0.3">
      <c r="A386" s="155">
        <v>294</v>
      </c>
      <c r="B386" s="156" t="s">
        <v>151</v>
      </c>
      <c r="C386" s="46"/>
      <c r="D386" s="63"/>
      <c r="E386" s="156" t="s">
        <v>152</v>
      </c>
      <c r="F386" s="99"/>
      <c r="G386" s="157">
        <v>7.497611</v>
      </c>
      <c r="H386" s="155">
        <v>1854</v>
      </c>
      <c r="I386" s="155">
        <v>1</v>
      </c>
      <c r="J386" s="156" t="s">
        <v>92</v>
      </c>
      <c r="K386" s="52"/>
      <c r="L386" s="53"/>
      <c r="M386" s="54"/>
      <c r="N386" s="55" t="str">
        <f t="shared" si="6"/>
        <v>pieces</v>
      </c>
      <c r="O386" s="158">
        <v>13900.57</v>
      </c>
      <c r="P386" s="44"/>
      <c r="Q386" s="66"/>
      <c r="R386" s="32"/>
      <c r="S386" s="32"/>
      <c r="T386" s="32"/>
      <c r="U386" s="32"/>
      <c r="V386" s="32"/>
      <c r="W386" s="32"/>
      <c r="X386" s="32"/>
      <c r="Y386" s="32"/>
      <c r="Z386" s="32"/>
    </row>
    <row r="387" spans="1:26" ht="15" customHeight="1" x14ac:dyDescent="0.3">
      <c r="A387" s="155">
        <v>294</v>
      </c>
      <c r="B387" s="156" t="s">
        <v>151</v>
      </c>
      <c r="C387" s="46"/>
      <c r="D387" s="63"/>
      <c r="E387" s="156"/>
      <c r="F387" s="99"/>
      <c r="G387" s="157">
        <v>7.65</v>
      </c>
      <c r="H387" s="155">
        <v>379</v>
      </c>
      <c r="I387" s="155">
        <v>1</v>
      </c>
      <c r="J387" s="156" t="s">
        <v>92</v>
      </c>
      <c r="K387" s="52"/>
      <c r="L387" s="53"/>
      <c r="M387" s="54"/>
      <c r="N387" s="55" t="str">
        <f t="shared" si="6"/>
        <v>pieces</v>
      </c>
      <c r="O387" s="158">
        <v>2899.35</v>
      </c>
      <c r="P387" s="44"/>
      <c r="Q387" s="66"/>
      <c r="R387" s="32"/>
      <c r="S387" s="32"/>
      <c r="T387" s="32"/>
      <c r="U387" s="32"/>
      <c r="V387" s="32"/>
      <c r="W387" s="32"/>
      <c r="X387" s="32"/>
      <c r="Y387" s="32"/>
      <c r="Z387" s="32"/>
    </row>
    <row r="388" spans="1:26" ht="15" customHeight="1" x14ac:dyDescent="0.3">
      <c r="A388" s="155">
        <v>295</v>
      </c>
      <c r="B388" s="156" t="s">
        <v>698</v>
      </c>
      <c r="C388" s="46"/>
      <c r="D388" s="63"/>
      <c r="E388" s="156"/>
      <c r="F388" s="99"/>
      <c r="G388" s="157">
        <v>8.51</v>
      </c>
      <c r="H388" s="155">
        <v>100</v>
      </c>
      <c r="I388" s="155">
        <v>10</v>
      </c>
      <c r="J388" s="156" t="s">
        <v>92</v>
      </c>
      <c r="K388" s="52"/>
      <c r="L388" s="53"/>
      <c r="M388" s="54"/>
      <c r="N388" s="55" t="str">
        <f t="shared" si="6"/>
        <v>pieces</v>
      </c>
      <c r="O388" s="158">
        <v>851</v>
      </c>
      <c r="P388" s="44"/>
      <c r="Q388" s="66"/>
      <c r="R388" s="32"/>
      <c r="S388" s="32"/>
      <c r="T388" s="32"/>
      <c r="U388" s="32"/>
      <c r="V388" s="32"/>
      <c r="W388" s="32"/>
      <c r="X388" s="32"/>
      <c r="Y388" s="32"/>
      <c r="Z388" s="32"/>
    </row>
    <row r="389" spans="1:26" ht="15" customHeight="1" x14ac:dyDescent="0.3">
      <c r="A389" s="155">
        <v>296</v>
      </c>
      <c r="B389" s="156" t="s">
        <v>699</v>
      </c>
      <c r="C389" s="46"/>
      <c r="D389" s="63"/>
      <c r="E389" s="156" t="s">
        <v>700</v>
      </c>
      <c r="F389" s="99"/>
      <c r="G389" s="157">
        <v>8.34</v>
      </c>
      <c r="H389" s="155">
        <v>249</v>
      </c>
      <c r="I389" s="155">
        <v>1</v>
      </c>
      <c r="J389" s="156" t="s">
        <v>92</v>
      </c>
      <c r="K389" s="52"/>
      <c r="L389" s="53"/>
      <c r="M389" s="54"/>
      <c r="N389" s="55" t="str">
        <f t="shared" si="6"/>
        <v>pieces</v>
      </c>
      <c r="O389" s="158">
        <v>2076.66</v>
      </c>
      <c r="P389" s="44"/>
      <c r="Q389" s="66"/>
      <c r="R389" s="32"/>
      <c r="S389" s="32"/>
      <c r="T389" s="32"/>
      <c r="U389" s="32"/>
      <c r="V389" s="32"/>
      <c r="W389" s="32"/>
      <c r="X389" s="32"/>
      <c r="Y389" s="32"/>
      <c r="Z389" s="32"/>
    </row>
    <row r="390" spans="1:26" ht="15" customHeight="1" x14ac:dyDescent="0.3">
      <c r="A390" s="155">
        <v>297</v>
      </c>
      <c r="B390" s="156" t="s">
        <v>153</v>
      </c>
      <c r="C390" s="46"/>
      <c r="D390" s="63"/>
      <c r="E390" s="156" t="s">
        <v>154</v>
      </c>
      <c r="F390" s="99"/>
      <c r="G390" s="157">
        <v>8.34</v>
      </c>
      <c r="H390" s="155">
        <v>166</v>
      </c>
      <c r="I390" s="155">
        <v>1</v>
      </c>
      <c r="J390" s="156" t="s">
        <v>92</v>
      </c>
      <c r="K390" s="52"/>
      <c r="L390" s="53"/>
      <c r="M390" s="54"/>
      <c r="N390" s="55" t="str">
        <f t="shared" si="6"/>
        <v>pieces</v>
      </c>
      <c r="O390" s="158">
        <v>1384.44</v>
      </c>
      <c r="P390" s="44"/>
      <c r="Q390" s="66"/>
      <c r="R390" s="32"/>
      <c r="S390" s="32"/>
      <c r="T390" s="32"/>
      <c r="U390" s="32"/>
      <c r="V390" s="32"/>
      <c r="W390" s="32"/>
      <c r="X390" s="32"/>
      <c r="Y390" s="32"/>
      <c r="Z390" s="32"/>
    </row>
    <row r="391" spans="1:26" ht="15" customHeight="1" x14ac:dyDescent="0.3">
      <c r="A391" s="155">
        <v>297</v>
      </c>
      <c r="B391" s="156" t="s">
        <v>153</v>
      </c>
      <c r="C391" s="46"/>
      <c r="D391" s="63"/>
      <c r="E391" s="156"/>
      <c r="F391" s="99"/>
      <c r="G391" s="157">
        <v>8.5</v>
      </c>
      <c r="H391" s="155">
        <v>428</v>
      </c>
      <c r="I391" s="155">
        <v>1</v>
      </c>
      <c r="J391" s="156" t="s">
        <v>92</v>
      </c>
      <c r="K391" s="52"/>
      <c r="L391" s="53"/>
      <c r="M391" s="54"/>
      <c r="N391" s="55" t="str">
        <f t="shared" si="6"/>
        <v>pieces</v>
      </c>
      <c r="O391" s="158">
        <v>3638</v>
      </c>
      <c r="P391" s="44"/>
      <c r="Q391" s="66"/>
      <c r="R391" s="32"/>
      <c r="S391" s="32"/>
      <c r="T391" s="32"/>
      <c r="U391" s="32"/>
      <c r="V391" s="32"/>
      <c r="W391" s="32"/>
      <c r="X391" s="32"/>
      <c r="Y391" s="32"/>
      <c r="Z391" s="32"/>
    </row>
    <row r="392" spans="1:26" ht="15" customHeight="1" x14ac:dyDescent="0.3">
      <c r="A392" s="155">
        <v>298</v>
      </c>
      <c r="B392" s="156" t="s">
        <v>277</v>
      </c>
      <c r="C392" s="46"/>
      <c r="D392" s="63"/>
      <c r="E392" s="156" t="s">
        <v>278</v>
      </c>
      <c r="F392" s="99"/>
      <c r="G392" s="157">
        <v>52.6</v>
      </c>
      <c r="H392" s="155">
        <v>9.3390000000000004</v>
      </c>
      <c r="I392" s="155">
        <v>1</v>
      </c>
      <c r="J392" s="156" t="s">
        <v>39</v>
      </c>
      <c r="K392" s="52"/>
      <c r="L392" s="53"/>
      <c r="M392" s="54"/>
      <c r="N392" s="55" t="str">
        <f t="shared" si="6"/>
        <v>grams</v>
      </c>
      <c r="O392" s="158">
        <v>491.23140000000001</v>
      </c>
      <c r="P392" s="44"/>
      <c r="Q392" s="66"/>
      <c r="R392" s="32"/>
      <c r="S392" s="32"/>
      <c r="T392" s="32"/>
      <c r="U392" s="32"/>
      <c r="V392" s="32"/>
      <c r="W392" s="32"/>
      <c r="X392" s="32"/>
      <c r="Y392" s="32"/>
      <c r="Z392" s="32"/>
    </row>
    <row r="393" spans="1:26" ht="15" customHeight="1" x14ac:dyDescent="0.3">
      <c r="A393" s="155">
        <v>299</v>
      </c>
      <c r="B393" s="156" t="s">
        <v>425</v>
      </c>
      <c r="C393" s="46"/>
      <c r="D393" s="63"/>
      <c r="E393" s="156" t="s">
        <v>426</v>
      </c>
      <c r="F393" s="99"/>
      <c r="G393" s="157">
        <v>15.51</v>
      </c>
      <c r="H393" s="155">
        <v>160</v>
      </c>
      <c r="I393" s="155">
        <v>1</v>
      </c>
      <c r="J393" s="156" t="s">
        <v>92</v>
      </c>
      <c r="K393" s="52"/>
      <c r="L393" s="53"/>
      <c r="M393" s="54"/>
      <c r="N393" s="55" t="str">
        <f t="shared" si="6"/>
        <v>pieces</v>
      </c>
      <c r="O393" s="158">
        <v>2481.6</v>
      </c>
      <c r="P393" s="44"/>
      <c r="Q393" s="66"/>
      <c r="R393" s="32"/>
      <c r="S393" s="32"/>
      <c r="T393" s="32"/>
      <c r="U393" s="32"/>
      <c r="V393" s="32"/>
      <c r="W393" s="32"/>
      <c r="X393" s="32"/>
      <c r="Y393" s="32"/>
      <c r="Z393" s="32"/>
    </row>
    <row r="394" spans="1:26" ht="15" customHeight="1" x14ac:dyDescent="0.3">
      <c r="A394" s="155">
        <v>299</v>
      </c>
      <c r="B394" s="156" t="s">
        <v>425</v>
      </c>
      <c r="C394" s="46"/>
      <c r="D394" s="63"/>
      <c r="E394" s="156"/>
      <c r="F394" s="99"/>
      <c r="G394" s="157">
        <v>66.116669999999999</v>
      </c>
      <c r="H394" s="155">
        <v>18</v>
      </c>
      <c r="I394" s="155">
        <v>1</v>
      </c>
      <c r="J394" s="156" t="s">
        <v>92</v>
      </c>
      <c r="K394" s="52"/>
      <c r="L394" s="53"/>
      <c r="M394" s="54"/>
      <c r="N394" s="55" t="str">
        <f t="shared" si="6"/>
        <v>pieces</v>
      </c>
      <c r="O394" s="158">
        <v>1190.0999999999999</v>
      </c>
      <c r="P394" s="44"/>
      <c r="Q394" s="66"/>
      <c r="R394" s="32"/>
      <c r="S394" s="32"/>
      <c r="T394" s="32"/>
      <c r="U394" s="32"/>
      <c r="V394" s="32"/>
      <c r="W394" s="32"/>
      <c r="X394" s="32"/>
      <c r="Y394" s="32"/>
      <c r="Z394" s="32"/>
    </row>
    <row r="395" spans="1:26" ht="15" customHeight="1" x14ac:dyDescent="0.3">
      <c r="A395" s="155">
        <v>300</v>
      </c>
      <c r="B395" s="156" t="s">
        <v>701</v>
      </c>
      <c r="C395" s="46"/>
      <c r="D395" s="63"/>
      <c r="E395" s="156" t="s">
        <v>702</v>
      </c>
      <c r="F395" s="99"/>
      <c r="G395" s="157">
        <v>22.38</v>
      </c>
      <c r="H395" s="155">
        <v>34</v>
      </c>
      <c r="I395" s="155">
        <v>1</v>
      </c>
      <c r="J395" s="156" t="s">
        <v>92</v>
      </c>
      <c r="K395" s="52"/>
      <c r="L395" s="53"/>
      <c r="M395" s="54"/>
      <c r="N395" s="55" t="str">
        <f t="shared" si="6"/>
        <v>pieces</v>
      </c>
      <c r="O395" s="158">
        <v>760.92</v>
      </c>
      <c r="P395" s="44"/>
      <c r="Q395" s="66"/>
      <c r="R395" s="32"/>
      <c r="S395" s="32"/>
      <c r="T395" s="32"/>
      <c r="U395" s="32"/>
      <c r="V395" s="32"/>
      <c r="W395" s="32"/>
      <c r="X395" s="32"/>
      <c r="Y395" s="32"/>
      <c r="Z395" s="32"/>
    </row>
    <row r="396" spans="1:26" ht="15" customHeight="1" x14ac:dyDescent="0.3">
      <c r="A396" s="155">
        <v>300</v>
      </c>
      <c r="B396" s="156" t="s">
        <v>701</v>
      </c>
      <c r="C396" s="46"/>
      <c r="D396" s="63"/>
      <c r="E396" s="156"/>
      <c r="F396" s="99"/>
      <c r="G396" s="157">
        <v>22.378329999999998</v>
      </c>
      <c r="H396" s="155">
        <v>16</v>
      </c>
      <c r="I396" s="155">
        <v>1</v>
      </c>
      <c r="J396" s="156" t="s">
        <v>304</v>
      </c>
      <c r="K396" s="52"/>
      <c r="L396" s="53"/>
      <c r="M396" s="54"/>
      <c r="N396" s="55" t="str">
        <f t="shared" si="6"/>
        <v>packs</v>
      </c>
      <c r="O396" s="158">
        <v>358.05329999999998</v>
      </c>
      <c r="P396" s="44"/>
      <c r="Q396" s="66"/>
      <c r="R396" s="32"/>
      <c r="S396" s="32"/>
      <c r="T396" s="32"/>
      <c r="U396" s="32"/>
      <c r="V396" s="32"/>
      <c r="W396" s="32"/>
      <c r="X396" s="32"/>
      <c r="Y396" s="32"/>
      <c r="Z396" s="32"/>
    </row>
    <row r="397" spans="1:26" ht="15" customHeight="1" x14ac:dyDescent="0.3">
      <c r="A397" s="155">
        <v>301</v>
      </c>
      <c r="B397" s="156" t="s">
        <v>703</v>
      </c>
      <c r="C397" s="46"/>
      <c r="D397" s="63"/>
      <c r="E397" s="156" t="s">
        <v>704</v>
      </c>
      <c r="F397" s="99"/>
      <c r="G397" s="157">
        <v>1.1164000000000001</v>
      </c>
      <c r="H397" s="155">
        <v>250</v>
      </c>
      <c r="I397" s="155">
        <v>250</v>
      </c>
      <c r="J397" s="156" t="s">
        <v>32</v>
      </c>
      <c r="K397" s="52"/>
      <c r="L397" s="53"/>
      <c r="M397" s="54"/>
      <c r="N397" s="55" t="str">
        <f t="shared" si="6"/>
        <v>ml</v>
      </c>
      <c r="O397" s="158">
        <v>279.10000000000002</v>
      </c>
      <c r="P397" s="44"/>
      <c r="Q397" s="66"/>
      <c r="R397" s="32"/>
      <c r="S397" s="32"/>
      <c r="T397" s="32"/>
      <c r="U397" s="32"/>
      <c r="V397" s="32"/>
      <c r="W397" s="32"/>
      <c r="X397" s="32"/>
      <c r="Y397" s="32"/>
      <c r="Z397" s="32"/>
    </row>
    <row r="398" spans="1:26" ht="15" customHeight="1" x14ac:dyDescent="0.3">
      <c r="A398" s="155">
        <v>302</v>
      </c>
      <c r="B398" s="156" t="s">
        <v>705</v>
      </c>
      <c r="C398" s="46"/>
      <c r="D398" s="63"/>
      <c r="E398" s="156" t="s">
        <v>216</v>
      </c>
      <c r="F398" s="99"/>
      <c r="G398" s="157">
        <v>0.83774800000000005</v>
      </c>
      <c r="H398" s="155">
        <v>3020</v>
      </c>
      <c r="I398" s="155">
        <v>1000</v>
      </c>
      <c r="J398" s="156" t="s">
        <v>39</v>
      </c>
      <c r="K398" s="52"/>
      <c r="L398" s="53"/>
      <c r="M398" s="54"/>
      <c r="N398" s="55" t="str">
        <f t="shared" si="6"/>
        <v>grams</v>
      </c>
      <c r="O398" s="158">
        <v>2530</v>
      </c>
      <c r="P398" s="44"/>
      <c r="Q398" s="66"/>
      <c r="R398" s="32"/>
      <c r="S398" s="32"/>
      <c r="T398" s="32"/>
      <c r="U398" s="32"/>
      <c r="V398" s="32"/>
      <c r="W398" s="32"/>
      <c r="X398" s="32"/>
      <c r="Y398" s="32"/>
      <c r="Z398" s="32"/>
    </row>
    <row r="399" spans="1:26" ht="15" customHeight="1" x14ac:dyDescent="0.3">
      <c r="A399" s="155">
        <v>303</v>
      </c>
      <c r="B399" s="156" t="s">
        <v>706</v>
      </c>
      <c r="C399" s="46"/>
      <c r="D399" s="63"/>
      <c r="E399" s="156" t="s">
        <v>156</v>
      </c>
      <c r="F399" s="99"/>
      <c r="G399" s="157">
        <v>19</v>
      </c>
      <c r="H399" s="155">
        <v>30</v>
      </c>
      <c r="I399" s="155">
        <v>1</v>
      </c>
      <c r="J399" s="156" t="s">
        <v>39</v>
      </c>
      <c r="K399" s="52"/>
      <c r="L399" s="53"/>
      <c r="M399" s="54"/>
      <c r="N399" s="55" t="str">
        <f t="shared" si="6"/>
        <v>grams</v>
      </c>
      <c r="O399" s="158">
        <v>570</v>
      </c>
      <c r="P399" s="44"/>
      <c r="Q399" s="66"/>
      <c r="R399" s="32"/>
      <c r="S399" s="32"/>
      <c r="T399" s="32"/>
      <c r="U399" s="32"/>
      <c r="V399" s="32"/>
      <c r="W399" s="32"/>
      <c r="X399" s="32"/>
      <c r="Y399" s="32"/>
      <c r="Z399" s="32"/>
    </row>
    <row r="400" spans="1:26" ht="15" customHeight="1" x14ac:dyDescent="0.3">
      <c r="A400" s="155">
        <v>304</v>
      </c>
      <c r="B400" s="156" t="s">
        <v>427</v>
      </c>
      <c r="C400" s="46"/>
      <c r="D400" s="63"/>
      <c r="E400" s="156" t="s">
        <v>428</v>
      </c>
      <c r="F400" s="99"/>
      <c r="G400" s="157">
        <v>8.51</v>
      </c>
      <c r="H400" s="155">
        <v>250</v>
      </c>
      <c r="I400" s="155">
        <v>1</v>
      </c>
      <c r="J400" s="156" t="s">
        <v>92</v>
      </c>
      <c r="K400" s="52"/>
      <c r="L400" s="53"/>
      <c r="M400" s="54"/>
      <c r="N400" s="55" t="str">
        <f t="shared" si="6"/>
        <v>pieces</v>
      </c>
      <c r="O400" s="158">
        <v>2127.5</v>
      </c>
      <c r="P400" s="44"/>
      <c r="Q400" s="66"/>
      <c r="R400" s="32"/>
      <c r="S400" s="32"/>
      <c r="T400" s="32"/>
      <c r="U400" s="32"/>
      <c r="V400" s="32"/>
      <c r="W400" s="32"/>
      <c r="X400" s="32"/>
      <c r="Y400" s="32"/>
      <c r="Z400" s="32"/>
    </row>
    <row r="401" spans="1:26" ht="15" customHeight="1" x14ac:dyDescent="0.3">
      <c r="A401" s="155">
        <v>305</v>
      </c>
      <c r="B401" s="156" t="s">
        <v>707</v>
      </c>
      <c r="C401" s="46"/>
      <c r="D401" s="63"/>
      <c r="E401" s="156"/>
      <c r="F401" s="99"/>
      <c r="G401" s="157">
        <v>185.45</v>
      </c>
      <c r="H401" s="155">
        <v>2</v>
      </c>
      <c r="I401" s="155">
        <v>1</v>
      </c>
      <c r="J401" s="156" t="s">
        <v>92</v>
      </c>
      <c r="K401" s="52"/>
      <c r="L401" s="53"/>
      <c r="M401" s="54"/>
      <c r="N401" s="55" t="str">
        <f t="shared" si="6"/>
        <v>pieces</v>
      </c>
      <c r="O401" s="158">
        <v>370.9</v>
      </c>
      <c r="P401" s="44"/>
      <c r="Q401" s="66"/>
      <c r="R401" s="32"/>
      <c r="S401" s="32"/>
      <c r="T401" s="32"/>
      <c r="U401" s="32"/>
      <c r="V401" s="32"/>
      <c r="W401" s="32"/>
      <c r="X401" s="32"/>
      <c r="Y401" s="32"/>
      <c r="Z401" s="32"/>
    </row>
    <row r="402" spans="1:26" ht="15" customHeight="1" x14ac:dyDescent="0.3">
      <c r="A402" s="155">
        <v>306</v>
      </c>
      <c r="B402" s="156" t="s">
        <v>279</v>
      </c>
      <c r="C402" s="46"/>
      <c r="D402" s="63"/>
      <c r="E402" s="156" t="s">
        <v>239</v>
      </c>
      <c r="F402" s="99"/>
      <c r="G402" s="157">
        <v>199</v>
      </c>
      <c r="H402" s="155">
        <v>3</v>
      </c>
      <c r="I402" s="156">
        <v>1</v>
      </c>
      <c r="J402" s="156" t="s">
        <v>200</v>
      </c>
      <c r="K402" s="52"/>
      <c r="L402" s="53"/>
      <c r="M402" s="54"/>
      <c r="N402" s="55" t="str">
        <f t="shared" si="6"/>
        <v>gal</v>
      </c>
      <c r="O402" s="158">
        <v>597</v>
      </c>
      <c r="P402" s="44"/>
      <c r="Q402" s="66"/>
      <c r="R402" s="32"/>
      <c r="S402" s="32"/>
      <c r="T402" s="32"/>
      <c r="U402" s="32"/>
      <c r="V402" s="32"/>
      <c r="W402" s="32"/>
      <c r="X402" s="32"/>
      <c r="Y402" s="32"/>
      <c r="Z402" s="32"/>
    </row>
    <row r="403" spans="1:26" ht="15" customHeight="1" x14ac:dyDescent="0.3">
      <c r="A403" s="155">
        <v>306</v>
      </c>
      <c r="B403" s="156" t="s">
        <v>279</v>
      </c>
      <c r="C403" s="46"/>
      <c r="D403" s="63"/>
      <c r="E403" s="156" t="s">
        <v>281</v>
      </c>
      <c r="F403" s="99"/>
      <c r="G403" s="157">
        <v>103.6</v>
      </c>
      <c r="H403" s="155">
        <v>2</v>
      </c>
      <c r="I403" s="156">
        <v>1</v>
      </c>
      <c r="J403" s="156" t="s">
        <v>39</v>
      </c>
      <c r="K403" s="52"/>
      <c r="L403" s="53"/>
      <c r="M403" s="54"/>
      <c r="N403" s="55" t="str">
        <f t="shared" si="6"/>
        <v>grams</v>
      </c>
      <c r="O403" s="158">
        <v>207.2</v>
      </c>
      <c r="P403" s="44"/>
      <c r="Q403" s="66"/>
      <c r="R403" s="32"/>
      <c r="S403" s="32"/>
      <c r="T403" s="32"/>
      <c r="U403" s="32"/>
      <c r="V403" s="32"/>
      <c r="W403" s="32"/>
      <c r="X403" s="32"/>
      <c r="Y403" s="32"/>
      <c r="Z403" s="32"/>
    </row>
    <row r="404" spans="1:26" ht="15" customHeight="1" x14ac:dyDescent="0.3">
      <c r="A404" s="155">
        <v>307</v>
      </c>
      <c r="B404" s="156" t="s">
        <v>708</v>
      </c>
      <c r="C404" s="46"/>
      <c r="D404" s="63"/>
      <c r="E404" s="156" t="s">
        <v>319</v>
      </c>
      <c r="F404" s="99"/>
      <c r="G404" s="157">
        <v>8.5999999999999993E-2</v>
      </c>
      <c r="H404" s="155">
        <v>1500</v>
      </c>
      <c r="I404" s="155">
        <v>500</v>
      </c>
      <c r="J404" s="156" t="s">
        <v>39</v>
      </c>
      <c r="K404" s="52"/>
      <c r="L404" s="53"/>
      <c r="M404" s="54"/>
      <c r="N404" s="55" t="str">
        <f t="shared" si="6"/>
        <v>grams</v>
      </c>
      <c r="O404" s="158">
        <v>129</v>
      </c>
      <c r="P404" s="44"/>
      <c r="Q404" s="66"/>
      <c r="R404" s="32"/>
      <c r="S404" s="32"/>
      <c r="T404" s="32"/>
      <c r="U404" s="32"/>
      <c r="V404" s="32"/>
      <c r="W404" s="32"/>
      <c r="X404" s="32"/>
      <c r="Y404" s="32"/>
      <c r="Z404" s="32"/>
    </row>
    <row r="405" spans="1:26" ht="15" customHeight="1" x14ac:dyDescent="0.3">
      <c r="A405" s="155">
        <v>307</v>
      </c>
      <c r="B405" s="156" t="s">
        <v>708</v>
      </c>
      <c r="C405" s="46"/>
      <c r="D405" s="63"/>
      <c r="E405" s="156"/>
      <c r="F405" s="99"/>
      <c r="G405" s="157">
        <v>0.106</v>
      </c>
      <c r="H405" s="155">
        <v>14500</v>
      </c>
      <c r="I405" s="155">
        <v>500</v>
      </c>
      <c r="J405" s="156" t="s">
        <v>39</v>
      </c>
      <c r="K405" s="52"/>
      <c r="L405" s="53"/>
      <c r="M405" s="54"/>
      <c r="N405" s="55" t="str">
        <f t="shared" si="6"/>
        <v>grams</v>
      </c>
      <c r="O405" s="158">
        <v>1537</v>
      </c>
      <c r="P405" s="44"/>
      <c r="Q405" s="66"/>
      <c r="R405" s="32"/>
      <c r="S405" s="32"/>
      <c r="T405" s="32"/>
      <c r="U405" s="32"/>
      <c r="V405" s="32"/>
      <c r="W405" s="32"/>
      <c r="X405" s="32"/>
      <c r="Y405" s="32"/>
      <c r="Z405" s="32"/>
    </row>
    <row r="406" spans="1:26" ht="15" customHeight="1" x14ac:dyDescent="0.3">
      <c r="A406" s="155">
        <v>308</v>
      </c>
      <c r="B406" s="156" t="s">
        <v>157</v>
      </c>
      <c r="C406" s="46"/>
      <c r="D406" s="63"/>
      <c r="E406" s="156" t="s">
        <v>130</v>
      </c>
      <c r="F406" s="99"/>
      <c r="G406" s="157">
        <v>8.9651499999999995</v>
      </c>
      <c r="H406" s="155">
        <v>534</v>
      </c>
      <c r="I406" s="155">
        <v>1</v>
      </c>
      <c r="J406" s="156" t="s">
        <v>92</v>
      </c>
      <c r="K406" s="52"/>
      <c r="L406" s="53"/>
      <c r="M406" s="54"/>
      <c r="N406" s="55" t="str">
        <f t="shared" si="6"/>
        <v>pieces</v>
      </c>
      <c r="O406" s="158">
        <v>4787.3900000000003</v>
      </c>
      <c r="P406" s="44"/>
      <c r="Q406" s="66"/>
      <c r="R406" s="32"/>
      <c r="S406" s="32"/>
      <c r="T406" s="32"/>
      <c r="U406" s="32"/>
      <c r="V406" s="32"/>
      <c r="W406" s="32"/>
      <c r="X406" s="32"/>
      <c r="Y406" s="32"/>
      <c r="Z406" s="32"/>
    </row>
    <row r="407" spans="1:26" ht="15" customHeight="1" x14ac:dyDescent="0.3">
      <c r="A407" s="155">
        <v>309</v>
      </c>
      <c r="B407" s="156" t="s">
        <v>333</v>
      </c>
      <c r="C407" s="46"/>
      <c r="D407" s="63"/>
      <c r="E407" s="156" t="s">
        <v>709</v>
      </c>
      <c r="F407" s="99"/>
      <c r="G407" s="157">
        <v>1.26</v>
      </c>
      <c r="H407" s="155">
        <v>808</v>
      </c>
      <c r="I407" s="155">
        <v>1</v>
      </c>
      <c r="J407" s="156" t="s">
        <v>92</v>
      </c>
      <c r="K407" s="52"/>
      <c r="L407" s="53"/>
      <c r="M407" s="54"/>
      <c r="N407" s="55" t="str">
        <f t="shared" si="6"/>
        <v>pieces</v>
      </c>
      <c r="O407" s="158">
        <v>1018.08</v>
      </c>
      <c r="P407" s="44"/>
      <c r="Q407" s="66"/>
      <c r="R407" s="32"/>
      <c r="S407" s="32"/>
      <c r="T407" s="32"/>
      <c r="U407" s="32"/>
      <c r="V407" s="32"/>
      <c r="W407" s="32"/>
      <c r="X407" s="32"/>
      <c r="Y407" s="32"/>
      <c r="Z407" s="32"/>
    </row>
    <row r="408" spans="1:26" ht="15" customHeight="1" x14ac:dyDescent="0.3">
      <c r="A408" s="155">
        <v>309</v>
      </c>
      <c r="B408" s="156" t="s">
        <v>333</v>
      </c>
      <c r="C408" s="46"/>
      <c r="D408" s="63"/>
      <c r="E408" s="156" t="s">
        <v>334</v>
      </c>
      <c r="F408" s="99"/>
      <c r="G408" s="157">
        <v>60</v>
      </c>
      <c r="H408" s="155">
        <v>20</v>
      </c>
      <c r="I408" s="155">
        <v>1</v>
      </c>
      <c r="J408" s="156" t="s">
        <v>304</v>
      </c>
      <c r="K408" s="52"/>
      <c r="L408" s="53"/>
      <c r="M408" s="54"/>
      <c r="N408" s="55" t="str">
        <f t="shared" si="6"/>
        <v>packs</v>
      </c>
      <c r="O408" s="158">
        <v>1200</v>
      </c>
      <c r="P408" s="44"/>
      <c r="Q408" s="66"/>
      <c r="R408" s="32"/>
      <c r="S408" s="32"/>
      <c r="T408" s="32"/>
      <c r="U408" s="32"/>
      <c r="V408" s="32"/>
      <c r="W408" s="32"/>
      <c r="X408" s="32"/>
      <c r="Y408" s="32"/>
      <c r="Z408" s="32"/>
    </row>
    <row r="409" spans="1:26" ht="15" customHeight="1" x14ac:dyDescent="0.3">
      <c r="A409" s="155">
        <v>309</v>
      </c>
      <c r="B409" s="156" t="s">
        <v>333</v>
      </c>
      <c r="C409" s="46"/>
      <c r="D409" s="63"/>
      <c r="E409" s="156"/>
      <c r="F409" s="99"/>
      <c r="G409" s="157">
        <v>7.5</v>
      </c>
      <c r="H409" s="155">
        <v>11</v>
      </c>
      <c r="I409" s="155">
        <v>1</v>
      </c>
      <c r="J409" s="156" t="s">
        <v>304</v>
      </c>
      <c r="K409" s="52"/>
      <c r="L409" s="53"/>
      <c r="M409" s="54"/>
      <c r="N409" s="55" t="str">
        <f t="shared" si="6"/>
        <v>packs</v>
      </c>
      <c r="O409" s="158">
        <v>82.5</v>
      </c>
      <c r="P409" s="44"/>
      <c r="Q409" s="66"/>
      <c r="R409" s="32"/>
      <c r="S409" s="32"/>
      <c r="T409" s="32"/>
      <c r="U409" s="32"/>
      <c r="V409" s="32"/>
      <c r="W409" s="32"/>
      <c r="X409" s="32"/>
      <c r="Y409" s="32"/>
      <c r="Z409" s="32"/>
    </row>
    <row r="410" spans="1:26" ht="15" customHeight="1" x14ac:dyDescent="0.3">
      <c r="A410" s="155">
        <v>309</v>
      </c>
      <c r="B410" s="156" t="s">
        <v>333</v>
      </c>
      <c r="C410" s="46"/>
      <c r="D410" s="63"/>
      <c r="E410" s="156"/>
      <c r="F410" s="99"/>
      <c r="G410" s="157">
        <v>1.32</v>
      </c>
      <c r="H410" s="155">
        <v>84</v>
      </c>
      <c r="I410" s="155">
        <v>1</v>
      </c>
      <c r="J410" s="156" t="s">
        <v>92</v>
      </c>
      <c r="K410" s="52"/>
      <c r="L410" s="53"/>
      <c r="M410" s="54"/>
      <c r="N410" s="55" t="str">
        <f t="shared" si="6"/>
        <v>pieces</v>
      </c>
      <c r="O410" s="158">
        <v>110.88</v>
      </c>
      <c r="P410" s="44"/>
      <c r="Q410" s="66"/>
      <c r="R410" s="32"/>
      <c r="S410" s="32"/>
      <c r="T410" s="32"/>
      <c r="U410" s="32"/>
      <c r="V410" s="32"/>
      <c r="W410" s="32"/>
      <c r="X410" s="32"/>
      <c r="Y410" s="32"/>
      <c r="Z410" s="32"/>
    </row>
    <row r="411" spans="1:26" ht="15" customHeight="1" x14ac:dyDescent="0.3">
      <c r="A411" s="155">
        <v>310</v>
      </c>
      <c r="B411" s="156" t="s">
        <v>710</v>
      </c>
      <c r="C411" s="46"/>
      <c r="D411" s="63"/>
      <c r="E411" s="156" t="s">
        <v>587</v>
      </c>
      <c r="F411" s="99"/>
      <c r="G411" s="157">
        <v>0.23</v>
      </c>
      <c r="H411" s="155">
        <v>1000</v>
      </c>
      <c r="I411" s="155">
        <v>1000</v>
      </c>
      <c r="J411" s="156" t="s">
        <v>39</v>
      </c>
      <c r="K411" s="52"/>
      <c r="L411" s="53"/>
      <c r="M411" s="54"/>
      <c r="N411" s="55" t="str">
        <f t="shared" si="6"/>
        <v>grams</v>
      </c>
      <c r="O411" s="158">
        <v>230</v>
      </c>
      <c r="P411" s="44"/>
      <c r="Q411" s="66"/>
      <c r="R411" s="32"/>
      <c r="S411" s="32"/>
      <c r="T411" s="32"/>
      <c r="U411" s="32"/>
      <c r="V411" s="32"/>
      <c r="W411" s="32"/>
      <c r="X411" s="32"/>
      <c r="Y411" s="32"/>
      <c r="Z411" s="32"/>
    </row>
    <row r="412" spans="1:26" ht="15" customHeight="1" x14ac:dyDescent="0.3">
      <c r="A412" s="155">
        <v>311</v>
      </c>
      <c r="B412" s="156" t="s">
        <v>711</v>
      </c>
      <c r="C412" s="46"/>
      <c r="D412" s="63"/>
      <c r="E412" s="156" t="s">
        <v>712</v>
      </c>
      <c r="F412" s="99"/>
      <c r="G412" s="157">
        <v>0.127778</v>
      </c>
      <c r="H412" s="155">
        <v>5400</v>
      </c>
      <c r="I412" s="155">
        <v>1800</v>
      </c>
      <c r="J412" s="156" t="s">
        <v>39</v>
      </c>
      <c r="K412" s="52"/>
      <c r="L412" s="53"/>
      <c r="M412" s="54"/>
      <c r="N412" s="55" t="str">
        <f t="shared" si="6"/>
        <v>grams</v>
      </c>
      <c r="O412" s="158">
        <v>690</v>
      </c>
      <c r="P412" s="44"/>
      <c r="Q412" s="66"/>
      <c r="R412" s="32"/>
      <c r="S412" s="32"/>
      <c r="T412" s="32"/>
      <c r="U412" s="32"/>
      <c r="V412" s="32"/>
      <c r="W412" s="32"/>
      <c r="X412" s="32"/>
      <c r="Y412" s="32"/>
      <c r="Z412" s="32"/>
    </row>
    <row r="413" spans="1:26" ht="15" customHeight="1" x14ac:dyDescent="0.3">
      <c r="A413" s="155">
        <v>312</v>
      </c>
      <c r="B413" s="156" t="s">
        <v>429</v>
      </c>
      <c r="C413" s="46"/>
      <c r="D413" s="63"/>
      <c r="E413" s="156" t="s">
        <v>430</v>
      </c>
      <c r="F413" s="99"/>
      <c r="G413" s="157">
        <v>15.24</v>
      </c>
      <c r="H413" s="155">
        <v>80</v>
      </c>
      <c r="I413" s="155">
        <v>1</v>
      </c>
      <c r="J413" s="156" t="s">
        <v>92</v>
      </c>
      <c r="K413" s="52"/>
      <c r="L413" s="53"/>
      <c r="M413" s="54"/>
      <c r="N413" s="55" t="str">
        <f t="shared" si="6"/>
        <v>pieces</v>
      </c>
      <c r="O413" s="158">
        <v>1219.2</v>
      </c>
      <c r="P413" s="44"/>
      <c r="Q413" s="66"/>
      <c r="R413" s="32"/>
      <c r="S413" s="32"/>
      <c r="T413" s="32"/>
      <c r="U413" s="32"/>
      <c r="V413" s="32"/>
      <c r="W413" s="32"/>
      <c r="X413" s="32"/>
      <c r="Y413" s="32"/>
      <c r="Z413" s="32"/>
    </row>
    <row r="414" spans="1:26" ht="15" customHeight="1" x14ac:dyDescent="0.3">
      <c r="A414" s="155">
        <v>313</v>
      </c>
      <c r="B414" s="156" t="s">
        <v>713</v>
      </c>
      <c r="C414" s="46"/>
      <c r="D414" s="63"/>
      <c r="E414" s="156" t="s">
        <v>430</v>
      </c>
      <c r="F414" s="99"/>
      <c r="G414" s="157">
        <v>31.92</v>
      </c>
      <c r="H414" s="155">
        <v>3</v>
      </c>
      <c r="I414" s="155">
        <v>1</v>
      </c>
      <c r="J414" s="156" t="s">
        <v>92</v>
      </c>
      <c r="K414" s="52"/>
      <c r="L414" s="53"/>
      <c r="M414" s="54"/>
      <c r="N414" s="55" t="str">
        <f t="shared" si="6"/>
        <v>pieces</v>
      </c>
      <c r="O414" s="158">
        <v>95.76</v>
      </c>
      <c r="P414" s="44"/>
      <c r="Q414" s="66"/>
      <c r="R414" s="32"/>
      <c r="S414" s="32"/>
      <c r="T414" s="32"/>
      <c r="U414" s="32"/>
      <c r="V414" s="32"/>
      <c r="W414" s="32"/>
      <c r="X414" s="32"/>
      <c r="Y414" s="32"/>
      <c r="Z414" s="32"/>
    </row>
    <row r="415" spans="1:26" ht="15" customHeight="1" x14ac:dyDescent="0.3">
      <c r="A415" s="155">
        <v>314</v>
      </c>
      <c r="B415" s="156" t="s">
        <v>714</v>
      </c>
      <c r="C415" s="46"/>
      <c r="D415" s="63"/>
      <c r="E415" s="156"/>
      <c r="F415" s="99"/>
      <c r="G415" s="157">
        <v>193</v>
      </c>
      <c r="H415" s="155">
        <v>2</v>
      </c>
      <c r="I415" s="155">
        <v>1</v>
      </c>
      <c r="J415" s="156" t="s">
        <v>92</v>
      </c>
      <c r="K415" s="52"/>
      <c r="L415" s="53"/>
      <c r="M415" s="54"/>
      <c r="N415" s="55" t="str">
        <f t="shared" si="6"/>
        <v>pieces</v>
      </c>
      <c r="O415" s="158">
        <v>386</v>
      </c>
      <c r="P415" s="44"/>
      <c r="Q415" s="66"/>
      <c r="R415" s="32"/>
      <c r="S415" s="32"/>
      <c r="T415" s="32"/>
      <c r="U415" s="32"/>
      <c r="V415" s="32"/>
      <c r="W415" s="32"/>
      <c r="X415" s="32"/>
      <c r="Y415" s="32"/>
      <c r="Z415" s="32"/>
    </row>
    <row r="416" spans="1:26" ht="15" customHeight="1" x14ac:dyDescent="0.3">
      <c r="A416" s="155">
        <v>315</v>
      </c>
      <c r="B416" s="156" t="s">
        <v>431</v>
      </c>
      <c r="C416" s="46"/>
      <c r="D416" s="63"/>
      <c r="E416" s="156" t="s">
        <v>432</v>
      </c>
      <c r="F416" s="99"/>
      <c r="G416" s="157">
        <v>28.06</v>
      </c>
      <c r="H416" s="155">
        <v>30</v>
      </c>
      <c r="I416" s="155">
        <v>1</v>
      </c>
      <c r="J416" s="156" t="s">
        <v>92</v>
      </c>
      <c r="K416" s="52"/>
      <c r="L416" s="53"/>
      <c r="M416" s="54"/>
      <c r="N416" s="55" t="str">
        <f t="shared" si="6"/>
        <v>pieces</v>
      </c>
      <c r="O416" s="158">
        <v>841.8</v>
      </c>
      <c r="P416" s="44"/>
      <c r="Q416" s="66"/>
      <c r="R416" s="32"/>
      <c r="S416" s="32"/>
      <c r="T416" s="32"/>
      <c r="U416" s="32"/>
      <c r="V416" s="32"/>
      <c r="W416" s="32"/>
      <c r="X416" s="32"/>
      <c r="Y416" s="32"/>
      <c r="Z416" s="32"/>
    </row>
    <row r="417" spans="1:26" ht="15" customHeight="1" x14ac:dyDescent="0.3">
      <c r="A417" s="155">
        <v>316</v>
      </c>
      <c r="B417" s="156" t="s">
        <v>190</v>
      </c>
      <c r="C417" s="46"/>
      <c r="D417" s="63"/>
      <c r="E417" s="156" t="s">
        <v>715</v>
      </c>
      <c r="F417" s="99"/>
      <c r="G417" s="157">
        <v>0.25912400000000002</v>
      </c>
      <c r="H417" s="155">
        <v>411</v>
      </c>
      <c r="I417" s="155">
        <v>137</v>
      </c>
      <c r="J417" s="156" t="s">
        <v>519</v>
      </c>
      <c r="K417" s="52"/>
      <c r="L417" s="53"/>
      <c r="M417" s="54"/>
      <c r="N417" s="55" t="str">
        <f t="shared" si="6"/>
        <v>drained weight grams</v>
      </c>
      <c r="O417" s="158">
        <v>106.5</v>
      </c>
      <c r="P417" s="44"/>
      <c r="Q417" s="66"/>
      <c r="R417" s="32"/>
      <c r="S417" s="32"/>
      <c r="T417" s="32"/>
      <c r="U417" s="32"/>
      <c r="V417" s="32"/>
      <c r="W417" s="32"/>
      <c r="X417" s="32"/>
      <c r="Y417" s="32"/>
      <c r="Z417" s="32"/>
    </row>
    <row r="418" spans="1:26" ht="15" customHeight="1" x14ac:dyDescent="0.3">
      <c r="A418" s="155">
        <v>316</v>
      </c>
      <c r="B418" s="156" t="s">
        <v>190</v>
      </c>
      <c r="C418" s="46"/>
      <c r="D418" s="63"/>
      <c r="E418" s="156" t="s">
        <v>69</v>
      </c>
      <c r="F418" s="99"/>
      <c r="G418" s="157">
        <v>0.44879999999999998</v>
      </c>
      <c r="H418" s="155">
        <v>450</v>
      </c>
      <c r="I418" s="155">
        <v>137</v>
      </c>
      <c r="J418" s="156" t="s">
        <v>39</v>
      </c>
      <c r="K418" s="52"/>
      <c r="L418" s="53"/>
      <c r="M418" s="54"/>
      <c r="N418" s="55" t="str">
        <f t="shared" si="6"/>
        <v>grams</v>
      </c>
      <c r="O418" s="158">
        <v>201.96</v>
      </c>
      <c r="P418" s="44"/>
      <c r="Q418" s="66"/>
      <c r="R418" s="32"/>
      <c r="S418" s="32"/>
      <c r="T418" s="32"/>
      <c r="U418" s="32"/>
      <c r="V418" s="32"/>
      <c r="W418" s="32"/>
      <c r="X418" s="32"/>
      <c r="Y418" s="32"/>
      <c r="Z418" s="32"/>
    </row>
    <row r="419" spans="1:26" ht="15" customHeight="1" x14ac:dyDescent="0.3">
      <c r="A419" s="155">
        <v>316</v>
      </c>
      <c r="B419" s="156" t="s">
        <v>190</v>
      </c>
      <c r="C419" s="46"/>
      <c r="D419" s="63"/>
      <c r="E419" s="156" t="s">
        <v>191</v>
      </c>
      <c r="F419" s="99"/>
      <c r="G419" s="157">
        <v>27.3</v>
      </c>
      <c r="H419" s="155">
        <v>12</v>
      </c>
      <c r="I419" s="155">
        <v>137</v>
      </c>
      <c r="J419" s="156" t="s">
        <v>39</v>
      </c>
      <c r="K419" s="52"/>
      <c r="L419" s="53"/>
      <c r="M419" s="54"/>
      <c r="N419" s="55" t="str">
        <f t="shared" si="6"/>
        <v>grams</v>
      </c>
      <c r="O419" s="158">
        <v>327.60000000000002</v>
      </c>
      <c r="P419" s="44"/>
      <c r="Q419" s="66"/>
      <c r="R419" s="32"/>
      <c r="S419" s="32"/>
      <c r="T419" s="32"/>
      <c r="U419" s="32"/>
      <c r="V419" s="32"/>
      <c r="W419" s="32"/>
      <c r="X419" s="32"/>
      <c r="Y419" s="32"/>
      <c r="Z419" s="32"/>
    </row>
    <row r="420" spans="1:26" ht="15" customHeight="1" x14ac:dyDescent="0.3">
      <c r="A420" s="155">
        <v>317</v>
      </c>
      <c r="B420" s="156" t="s">
        <v>716</v>
      </c>
      <c r="C420" s="46"/>
      <c r="D420" s="63"/>
      <c r="E420" s="156" t="s">
        <v>717</v>
      </c>
      <c r="F420" s="99"/>
      <c r="G420" s="157">
        <v>8.86</v>
      </c>
      <c r="H420" s="155">
        <v>3</v>
      </c>
      <c r="I420" s="155">
        <v>1</v>
      </c>
      <c r="J420" s="156" t="s">
        <v>92</v>
      </c>
      <c r="K420" s="52"/>
      <c r="L420" s="53"/>
      <c r="M420" s="54"/>
      <c r="N420" s="55" t="str">
        <f t="shared" si="6"/>
        <v>pieces</v>
      </c>
      <c r="O420" s="158">
        <v>26.58</v>
      </c>
      <c r="P420" s="44"/>
      <c r="Q420" s="66"/>
      <c r="R420" s="32"/>
      <c r="S420" s="32"/>
      <c r="T420" s="32"/>
      <c r="U420" s="32"/>
      <c r="V420" s="32"/>
      <c r="W420" s="32"/>
      <c r="X420" s="32"/>
      <c r="Y420" s="32"/>
      <c r="Z420" s="32"/>
    </row>
    <row r="421" spans="1:26" ht="15" customHeight="1" x14ac:dyDescent="0.3">
      <c r="A421" s="155">
        <v>318</v>
      </c>
      <c r="B421" s="156" t="s">
        <v>718</v>
      </c>
      <c r="C421" s="46"/>
      <c r="D421" s="63"/>
      <c r="E421" s="156" t="s">
        <v>719</v>
      </c>
      <c r="F421" s="99"/>
      <c r="G421" s="157">
        <v>19</v>
      </c>
      <c r="H421" s="155">
        <v>12</v>
      </c>
      <c r="I421" s="155">
        <v>1</v>
      </c>
      <c r="J421" s="156" t="s">
        <v>39</v>
      </c>
      <c r="K421" s="52"/>
      <c r="L421" s="53"/>
      <c r="M421" s="54"/>
      <c r="N421" s="55" t="str">
        <f t="shared" si="6"/>
        <v>grams</v>
      </c>
      <c r="O421" s="158">
        <v>228</v>
      </c>
      <c r="P421" s="44"/>
      <c r="Q421" s="66"/>
      <c r="R421" s="32"/>
      <c r="S421" s="32"/>
      <c r="T421" s="32"/>
      <c r="U421" s="32"/>
      <c r="V421" s="32"/>
      <c r="W421" s="32"/>
      <c r="X421" s="32"/>
      <c r="Y421" s="32"/>
      <c r="Z421" s="32"/>
    </row>
    <row r="422" spans="1:26" ht="15" customHeight="1" x14ac:dyDescent="0.3">
      <c r="A422" s="155">
        <v>319</v>
      </c>
      <c r="B422" s="156" t="s">
        <v>111</v>
      </c>
      <c r="C422" s="46"/>
      <c r="D422" s="63"/>
      <c r="E422" s="156" t="s">
        <v>720</v>
      </c>
      <c r="F422" s="99"/>
      <c r="G422" s="157">
        <v>27.97</v>
      </c>
      <c r="H422" s="155">
        <v>34</v>
      </c>
      <c r="I422" s="155">
        <v>1</v>
      </c>
      <c r="J422" s="156" t="s">
        <v>92</v>
      </c>
      <c r="K422" s="52"/>
      <c r="L422" s="53"/>
      <c r="M422" s="54"/>
      <c r="N422" s="55" t="str">
        <f t="shared" si="6"/>
        <v>pieces</v>
      </c>
      <c r="O422" s="158">
        <v>950.98</v>
      </c>
      <c r="P422" s="44"/>
      <c r="Q422" s="66"/>
      <c r="R422" s="32"/>
      <c r="S422" s="32"/>
      <c r="T422" s="32"/>
      <c r="U422" s="32"/>
      <c r="V422" s="32"/>
      <c r="W422" s="32"/>
      <c r="X422" s="32"/>
      <c r="Y422" s="32"/>
      <c r="Z422" s="32"/>
    </row>
    <row r="423" spans="1:26" ht="15" customHeight="1" x14ac:dyDescent="0.3">
      <c r="A423" s="155">
        <v>319</v>
      </c>
      <c r="B423" s="156" t="s">
        <v>111</v>
      </c>
      <c r="C423" s="46"/>
      <c r="D423" s="63"/>
      <c r="E423" s="156" t="s">
        <v>112</v>
      </c>
      <c r="F423" s="99"/>
      <c r="G423" s="157">
        <v>27.98</v>
      </c>
      <c r="H423" s="155">
        <v>72</v>
      </c>
      <c r="I423" s="155">
        <v>1</v>
      </c>
      <c r="J423" s="156" t="s">
        <v>92</v>
      </c>
      <c r="K423" s="52"/>
      <c r="L423" s="53"/>
      <c r="M423" s="54"/>
      <c r="N423" s="55" t="str">
        <f t="shared" si="6"/>
        <v>pieces</v>
      </c>
      <c r="O423" s="158">
        <v>2014.56</v>
      </c>
      <c r="P423" s="44"/>
      <c r="Q423" s="66"/>
      <c r="R423" s="32"/>
      <c r="S423" s="32"/>
      <c r="T423" s="32"/>
      <c r="U423" s="32"/>
      <c r="V423" s="32"/>
      <c r="W423" s="32"/>
      <c r="X423" s="32"/>
      <c r="Y423" s="32"/>
      <c r="Z423" s="32"/>
    </row>
    <row r="424" spans="1:26" ht="15" customHeight="1" x14ac:dyDescent="0.3">
      <c r="A424" s="155">
        <v>320</v>
      </c>
      <c r="B424" s="156" t="s">
        <v>721</v>
      </c>
      <c r="C424" s="46"/>
      <c r="D424" s="63"/>
      <c r="E424" s="156" t="s">
        <v>722</v>
      </c>
      <c r="F424" s="99"/>
      <c r="G424" s="157">
        <v>0.16387699999999999</v>
      </c>
      <c r="H424" s="155">
        <v>681</v>
      </c>
      <c r="I424" s="155">
        <v>227</v>
      </c>
      <c r="J424" s="156" t="s">
        <v>39</v>
      </c>
      <c r="K424" s="52"/>
      <c r="L424" s="53"/>
      <c r="M424" s="54"/>
      <c r="N424" s="55" t="str">
        <f t="shared" si="6"/>
        <v>grams</v>
      </c>
      <c r="O424" s="158">
        <v>111.6</v>
      </c>
      <c r="P424" s="44"/>
      <c r="Q424" s="66"/>
      <c r="R424" s="32"/>
      <c r="S424" s="32"/>
      <c r="T424" s="32"/>
      <c r="U424" s="32"/>
      <c r="V424" s="32"/>
      <c r="W424" s="32"/>
      <c r="X424" s="32"/>
      <c r="Y424" s="32"/>
      <c r="Z424" s="32"/>
    </row>
    <row r="425" spans="1:26" ht="15" customHeight="1" x14ac:dyDescent="0.3">
      <c r="A425" s="155">
        <v>321</v>
      </c>
      <c r="B425" s="156" t="s">
        <v>723</v>
      </c>
      <c r="C425" s="46"/>
      <c r="D425" s="63"/>
      <c r="E425" s="156"/>
      <c r="F425" s="99"/>
      <c r="G425" s="157">
        <v>0.13034999999999999</v>
      </c>
      <c r="H425" s="155">
        <v>514</v>
      </c>
      <c r="I425" s="155">
        <v>257</v>
      </c>
      <c r="J425" s="156" t="s">
        <v>39</v>
      </c>
      <c r="K425" s="52"/>
      <c r="L425" s="53"/>
      <c r="M425" s="54"/>
      <c r="N425" s="55" t="str">
        <f t="shared" si="6"/>
        <v>grams</v>
      </c>
      <c r="O425" s="158">
        <v>67</v>
      </c>
      <c r="P425" s="44"/>
      <c r="Q425" s="66"/>
      <c r="R425" s="32"/>
      <c r="S425" s="32"/>
      <c r="T425" s="32"/>
      <c r="U425" s="32"/>
      <c r="V425" s="32"/>
      <c r="W425" s="32"/>
      <c r="X425" s="32"/>
      <c r="Y425" s="32"/>
      <c r="Z425" s="32"/>
    </row>
    <row r="426" spans="1:26" ht="15" customHeight="1" x14ac:dyDescent="0.3">
      <c r="A426" s="155">
        <v>322</v>
      </c>
      <c r="B426" s="156" t="s">
        <v>296</v>
      </c>
      <c r="C426" s="46"/>
      <c r="D426" s="63"/>
      <c r="E426" s="156" t="s">
        <v>297</v>
      </c>
      <c r="F426" s="99"/>
      <c r="G426" s="157">
        <v>670</v>
      </c>
      <c r="H426" s="155">
        <v>9</v>
      </c>
      <c r="I426" s="155">
        <v>1</v>
      </c>
      <c r="J426" s="156" t="s">
        <v>39</v>
      </c>
      <c r="K426" s="52"/>
      <c r="L426" s="53"/>
      <c r="M426" s="54"/>
      <c r="N426" s="55" t="str">
        <f t="shared" si="6"/>
        <v>grams</v>
      </c>
      <c r="O426" s="158">
        <v>6030</v>
      </c>
      <c r="P426" s="44"/>
      <c r="Q426" s="66"/>
      <c r="R426" s="32"/>
      <c r="S426" s="32"/>
      <c r="T426" s="32"/>
      <c r="U426" s="32"/>
      <c r="V426" s="32"/>
      <c r="W426" s="32"/>
      <c r="X426" s="32"/>
      <c r="Y426" s="32"/>
      <c r="Z426" s="32"/>
    </row>
    <row r="427" spans="1:26" ht="15" customHeight="1" x14ac:dyDescent="0.3">
      <c r="A427" s="155">
        <v>322</v>
      </c>
      <c r="B427" s="156" t="s">
        <v>296</v>
      </c>
      <c r="C427" s="46"/>
      <c r="D427" s="63"/>
      <c r="E427" s="156"/>
      <c r="F427" s="99"/>
      <c r="G427" s="157">
        <v>0.7</v>
      </c>
      <c r="H427" s="155">
        <v>3000</v>
      </c>
      <c r="I427" s="155">
        <v>1</v>
      </c>
      <c r="J427" s="156" t="s">
        <v>39</v>
      </c>
      <c r="K427" s="52"/>
      <c r="L427" s="53"/>
      <c r="M427" s="54"/>
      <c r="N427" s="55" t="str">
        <f t="shared" si="6"/>
        <v>grams</v>
      </c>
      <c r="O427" s="158">
        <v>2100</v>
      </c>
      <c r="P427" s="44"/>
      <c r="Q427" s="66"/>
      <c r="R427" s="32"/>
      <c r="S427" s="32"/>
      <c r="T427" s="32"/>
      <c r="U427" s="32"/>
      <c r="V427" s="32"/>
      <c r="W427" s="32"/>
      <c r="X427" s="32"/>
      <c r="Y427" s="32"/>
      <c r="Z427" s="32"/>
    </row>
    <row r="428" spans="1:26" ht="15" customHeight="1" x14ac:dyDescent="0.3">
      <c r="A428" s="155">
        <v>323</v>
      </c>
      <c r="B428" s="156" t="s">
        <v>298</v>
      </c>
      <c r="C428" s="46"/>
      <c r="D428" s="63"/>
      <c r="E428" s="156" t="s">
        <v>297</v>
      </c>
      <c r="F428" s="99"/>
      <c r="G428" s="157">
        <v>205</v>
      </c>
      <c r="H428" s="155">
        <v>12</v>
      </c>
      <c r="I428" s="155">
        <v>1</v>
      </c>
      <c r="J428" s="156" t="s">
        <v>39</v>
      </c>
      <c r="K428" s="52"/>
      <c r="L428" s="53"/>
      <c r="M428" s="54"/>
      <c r="N428" s="55" t="str">
        <f t="shared" si="6"/>
        <v>grams</v>
      </c>
      <c r="O428" s="158">
        <v>2460</v>
      </c>
      <c r="P428" s="44"/>
      <c r="Q428" s="66"/>
      <c r="R428" s="32"/>
      <c r="S428" s="32"/>
      <c r="T428" s="32"/>
      <c r="U428" s="32"/>
      <c r="V428" s="32"/>
      <c r="W428" s="32"/>
      <c r="X428" s="32"/>
      <c r="Y428" s="32"/>
      <c r="Z428" s="32"/>
    </row>
    <row r="429" spans="1:26" ht="15" customHeight="1" x14ac:dyDescent="0.3">
      <c r="A429" s="155">
        <v>324</v>
      </c>
      <c r="B429" s="156" t="s">
        <v>724</v>
      </c>
      <c r="C429" s="46"/>
      <c r="D429" s="63"/>
      <c r="E429" s="156"/>
      <c r="F429" s="99"/>
      <c r="G429" s="157">
        <v>25.52</v>
      </c>
      <c r="H429" s="155">
        <v>17</v>
      </c>
      <c r="I429" s="155">
        <v>1</v>
      </c>
      <c r="J429" s="156" t="s">
        <v>92</v>
      </c>
      <c r="K429" s="52"/>
      <c r="L429" s="53"/>
      <c r="M429" s="54"/>
      <c r="N429" s="55" t="str">
        <f t="shared" si="6"/>
        <v>pieces</v>
      </c>
      <c r="O429" s="158">
        <v>433.84</v>
      </c>
      <c r="P429" s="44"/>
      <c r="Q429" s="66"/>
      <c r="R429" s="32"/>
      <c r="S429" s="32"/>
      <c r="T429" s="32"/>
      <c r="U429" s="32"/>
      <c r="V429" s="32"/>
      <c r="W429" s="32"/>
      <c r="X429" s="32"/>
      <c r="Y429" s="32"/>
      <c r="Z429" s="32"/>
    </row>
    <row r="430" spans="1:26" ht="15" customHeight="1" x14ac:dyDescent="0.3">
      <c r="A430" s="155">
        <v>325</v>
      </c>
      <c r="B430" s="156" t="s">
        <v>725</v>
      </c>
      <c r="C430" s="46"/>
      <c r="D430" s="63"/>
      <c r="E430" s="156" t="s">
        <v>726</v>
      </c>
      <c r="F430" s="99"/>
      <c r="G430" s="157">
        <v>15.22</v>
      </c>
      <c r="H430" s="155">
        <v>49</v>
      </c>
      <c r="I430" s="155">
        <v>1</v>
      </c>
      <c r="J430" s="156" t="s">
        <v>92</v>
      </c>
      <c r="K430" s="52"/>
      <c r="L430" s="53"/>
      <c r="M430" s="54"/>
      <c r="N430" s="55" t="str">
        <f t="shared" si="6"/>
        <v>pieces</v>
      </c>
      <c r="O430" s="158">
        <v>745.78</v>
      </c>
      <c r="P430" s="44"/>
      <c r="Q430" s="66"/>
      <c r="R430" s="32"/>
      <c r="S430" s="32"/>
      <c r="T430" s="32"/>
      <c r="U430" s="32"/>
      <c r="V430" s="32"/>
      <c r="W430" s="32"/>
      <c r="X430" s="32"/>
      <c r="Y430" s="32"/>
      <c r="Z430" s="32"/>
    </row>
    <row r="431" spans="1:26" ht="15" customHeight="1" x14ac:dyDescent="0.3">
      <c r="A431" s="155">
        <v>326</v>
      </c>
      <c r="B431" s="156" t="s">
        <v>727</v>
      </c>
      <c r="C431" s="46"/>
      <c r="D431" s="63"/>
      <c r="E431" s="156" t="s">
        <v>728</v>
      </c>
      <c r="F431" s="99"/>
      <c r="G431" s="157">
        <v>15.19</v>
      </c>
      <c r="H431" s="155">
        <v>28</v>
      </c>
      <c r="I431" s="155">
        <v>1</v>
      </c>
      <c r="J431" s="156" t="s">
        <v>92</v>
      </c>
      <c r="K431" s="52"/>
      <c r="L431" s="53"/>
      <c r="M431" s="54"/>
      <c r="N431" s="55" t="str">
        <f t="shared" si="6"/>
        <v>pieces</v>
      </c>
      <c r="O431" s="158">
        <v>425.32</v>
      </c>
      <c r="P431" s="44"/>
      <c r="Q431" s="66"/>
      <c r="R431" s="32"/>
      <c r="S431" s="32"/>
      <c r="T431" s="32"/>
      <c r="U431" s="32"/>
      <c r="V431" s="32"/>
      <c r="W431" s="32"/>
      <c r="X431" s="32"/>
      <c r="Y431" s="32"/>
      <c r="Z431" s="32"/>
    </row>
    <row r="432" spans="1:26" ht="15" customHeight="1" x14ac:dyDescent="0.3">
      <c r="A432" s="155">
        <v>327</v>
      </c>
      <c r="B432" s="156" t="s">
        <v>192</v>
      </c>
      <c r="C432" s="46"/>
      <c r="D432" s="63"/>
      <c r="E432" s="156" t="s">
        <v>193</v>
      </c>
      <c r="F432" s="99"/>
      <c r="G432" s="157">
        <v>59.8</v>
      </c>
      <c r="H432" s="155">
        <v>1</v>
      </c>
      <c r="I432" s="155">
        <v>1</v>
      </c>
      <c r="J432" s="156" t="s">
        <v>39</v>
      </c>
      <c r="K432" s="52"/>
      <c r="L432" s="53"/>
      <c r="M432" s="54"/>
      <c r="N432" s="55" t="str">
        <f t="shared" si="6"/>
        <v>grams</v>
      </c>
      <c r="O432" s="158">
        <v>59.8</v>
      </c>
      <c r="P432" s="44"/>
      <c r="Q432" s="66"/>
      <c r="R432" s="32"/>
      <c r="S432" s="32"/>
      <c r="T432" s="32"/>
      <c r="U432" s="32"/>
      <c r="V432" s="32"/>
      <c r="W432" s="32"/>
      <c r="X432" s="32"/>
      <c r="Y432" s="32"/>
      <c r="Z432" s="32"/>
    </row>
    <row r="433" spans="1:26" ht="15" customHeight="1" x14ac:dyDescent="0.3">
      <c r="A433" s="155">
        <v>328</v>
      </c>
      <c r="B433" s="156" t="s">
        <v>729</v>
      </c>
      <c r="C433" s="46"/>
      <c r="D433" s="63"/>
      <c r="E433" s="156"/>
      <c r="F433" s="99"/>
      <c r="G433" s="157">
        <v>145</v>
      </c>
      <c r="H433" s="155">
        <v>18</v>
      </c>
      <c r="I433" s="155">
        <v>1</v>
      </c>
      <c r="J433" s="156" t="s">
        <v>213</v>
      </c>
      <c r="K433" s="52"/>
      <c r="L433" s="53"/>
      <c r="M433" s="54"/>
      <c r="N433" s="55" t="str">
        <f t="shared" si="6"/>
        <v>kilos</v>
      </c>
      <c r="O433" s="158">
        <v>2610</v>
      </c>
      <c r="P433" s="44"/>
      <c r="Q433" s="66"/>
      <c r="R433" s="32"/>
      <c r="S433" s="32"/>
      <c r="T433" s="32"/>
      <c r="U433" s="32"/>
      <c r="V433" s="32"/>
      <c r="W433" s="32"/>
      <c r="X433" s="32"/>
      <c r="Y433" s="32"/>
      <c r="Z433" s="32"/>
    </row>
    <row r="434" spans="1:26" ht="15" customHeight="1" x14ac:dyDescent="0.3">
      <c r="A434" s="155">
        <v>329</v>
      </c>
      <c r="B434" s="156" t="s">
        <v>357</v>
      </c>
      <c r="C434" s="46"/>
      <c r="D434" s="63"/>
      <c r="E434" s="156" t="s">
        <v>212</v>
      </c>
      <c r="F434" s="99"/>
      <c r="G434" s="157">
        <v>188.86490000000001</v>
      </c>
      <c r="H434" s="155">
        <v>111</v>
      </c>
      <c r="I434" s="155">
        <v>1</v>
      </c>
      <c r="J434" s="156" t="s">
        <v>213</v>
      </c>
      <c r="K434" s="52"/>
      <c r="L434" s="53"/>
      <c r="M434" s="54"/>
      <c r="N434" s="55" t="str">
        <f t="shared" si="6"/>
        <v>kilos</v>
      </c>
      <c r="O434" s="158">
        <v>20964</v>
      </c>
      <c r="P434" s="44"/>
      <c r="Q434" s="66"/>
      <c r="R434" s="32"/>
      <c r="S434" s="32"/>
      <c r="T434" s="32"/>
      <c r="U434" s="32"/>
      <c r="V434" s="32"/>
      <c r="W434" s="32"/>
      <c r="X434" s="32"/>
      <c r="Y434" s="32"/>
      <c r="Z434" s="32"/>
    </row>
    <row r="435" spans="1:26" ht="15" customHeight="1" x14ac:dyDescent="0.3">
      <c r="A435" s="155">
        <v>329</v>
      </c>
      <c r="B435" s="156" t="s">
        <v>357</v>
      </c>
      <c r="C435" s="46"/>
      <c r="D435" s="63"/>
      <c r="E435" s="156"/>
      <c r="F435" s="99"/>
      <c r="G435" s="157">
        <v>192</v>
      </c>
      <c r="H435" s="155">
        <v>45.78</v>
      </c>
      <c r="I435" s="155">
        <v>1</v>
      </c>
      <c r="J435" s="156" t="s">
        <v>213</v>
      </c>
      <c r="K435" s="52"/>
      <c r="L435" s="53"/>
      <c r="M435" s="54"/>
      <c r="N435" s="55" t="str">
        <f t="shared" si="6"/>
        <v>kilos</v>
      </c>
      <c r="O435" s="158">
        <v>8789.76</v>
      </c>
      <c r="P435" s="44"/>
      <c r="Q435" s="66"/>
      <c r="R435" s="32"/>
      <c r="S435" s="32"/>
      <c r="T435" s="32"/>
      <c r="U435" s="32"/>
      <c r="V435" s="32"/>
      <c r="W435" s="32"/>
      <c r="X435" s="32"/>
      <c r="Y435" s="32"/>
      <c r="Z435" s="32"/>
    </row>
    <row r="436" spans="1:26" ht="15" customHeight="1" x14ac:dyDescent="0.3">
      <c r="A436" s="155">
        <v>330</v>
      </c>
      <c r="B436" s="156" t="s">
        <v>358</v>
      </c>
      <c r="C436" s="46"/>
      <c r="D436" s="63"/>
      <c r="E436" s="156" t="s">
        <v>212</v>
      </c>
      <c r="F436" s="99"/>
      <c r="G436" s="157">
        <v>221.17240000000001</v>
      </c>
      <c r="H436" s="155">
        <v>290</v>
      </c>
      <c r="I436" s="155">
        <v>1</v>
      </c>
      <c r="J436" s="156" t="s">
        <v>213</v>
      </c>
      <c r="K436" s="52"/>
      <c r="L436" s="53"/>
      <c r="M436" s="54"/>
      <c r="N436" s="55" t="str">
        <f t="shared" si="6"/>
        <v>kilos</v>
      </c>
      <c r="O436" s="158">
        <v>64140</v>
      </c>
      <c r="P436" s="44"/>
      <c r="Q436" s="66"/>
      <c r="R436" s="32"/>
      <c r="S436" s="32"/>
      <c r="T436" s="32"/>
      <c r="U436" s="32"/>
      <c r="V436" s="32"/>
      <c r="W436" s="32"/>
      <c r="X436" s="32"/>
      <c r="Y436" s="32"/>
      <c r="Z436" s="32"/>
    </row>
    <row r="437" spans="1:26" ht="15" customHeight="1" x14ac:dyDescent="0.3">
      <c r="A437" s="155">
        <v>330</v>
      </c>
      <c r="B437" s="156" t="s">
        <v>358</v>
      </c>
      <c r="C437" s="46"/>
      <c r="D437" s="63"/>
      <c r="E437" s="156"/>
      <c r="F437" s="99"/>
      <c r="G437" s="157">
        <v>226</v>
      </c>
      <c r="H437" s="155">
        <v>25</v>
      </c>
      <c r="I437" s="155">
        <v>1</v>
      </c>
      <c r="J437" s="156" t="s">
        <v>213</v>
      </c>
      <c r="K437" s="52"/>
      <c r="L437" s="53"/>
      <c r="M437" s="54"/>
      <c r="N437" s="55" t="str">
        <f t="shared" si="6"/>
        <v>kilos</v>
      </c>
      <c r="O437" s="158">
        <v>5650</v>
      </c>
      <c r="P437" s="44"/>
      <c r="Q437" s="66"/>
      <c r="R437" s="32"/>
      <c r="S437" s="32"/>
      <c r="T437" s="32"/>
      <c r="U437" s="32"/>
      <c r="V437" s="32"/>
      <c r="W437" s="32"/>
      <c r="X437" s="32"/>
      <c r="Y437" s="32"/>
      <c r="Z437" s="32"/>
    </row>
    <row r="438" spans="1:26" ht="15" customHeight="1" x14ac:dyDescent="0.3">
      <c r="A438" s="155">
        <v>331</v>
      </c>
      <c r="B438" s="156" t="s">
        <v>359</v>
      </c>
      <c r="C438" s="46"/>
      <c r="D438" s="63"/>
      <c r="E438" s="156" t="s">
        <v>360</v>
      </c>
      <c r="F438" s="99"/>
      <c r="G438" s="157">
        <v>282</v>
      </c>
      <c r="H438" s="155">
        <v>47</v>
      </c>
      <c r="I438" s="155">
        <v>1</v>
      </c>
      <c r="J438" s="156" t="s">
        <v>213</v>
      </c>
      <c r="K438" s="52"/>
      <c r="L438" s="53"/>
      <c r="M438" s="54"/>
      <c r="N438" s="55" t="str">
        <f t="shared" si="6"/>
        <v>kilos</v>
      </c>
      <c r="O438" s="158">
        <v>13254</v>
      </c>
      <c r="P438" s="44"/>
      <c r="Q438" s="66"/>
      <c r="R438" s="32"/>
      <c r="S438" s="32"/>
      <c r="T438" s="32"/>
      <c r="U438" s="32"/>
      <c r="V438" s="32"/>
      <c r="W438" s="32"/>
      <c r="X438" s="32"/>
      <c r="Y438" s="32"/>
      <c r="Z438" s="32"/>
    </row>
    <row r="439" spans="1:26" ht="15" customHeight="1" x14ac:dyDescent="0.3">
      <c r="A439" s="155">
        <v>332</v>
      </c>
      <c r="B439" s="156" t="s">
        <v>730</v>
      </c>
      <c r="C439" s="46"/>
      <c r="D439" s="63"/>
      <c r="E439" s="156"/>
      <c r="F439" s="99"/>
      <c r="G439" s="157">
        <v>155</v>
      </c>
      <c r="H439" s="155">
        <v>6</v>
      </c>
      <c r="I439" s="155">
        <v>1</v>
      </c>
      <c r="J439" s="156" t="s">
        <v>213</v>
      </c>
      <c r="K439" s="52"/>
      <c r="L439" s="53"/>
      <c r="M439" s="54"/>
      <c r="N439" s="55" t="str">
        <f t="shared" si="6"/>
        <v>kilos</v>
      </c>
      <c r="O439" s="158">
        <v>930</v>
      </c>
      <c r="P439" s="44"/>
      <c r="Q439" s="66"/>
      <c r="R439" s="32"/>
      <c r="S439" s="32"/>
      <c r="T439" s="32"/>
      <c r="U439" s="32"/>
      <c r="V439" s="32"/>
      <c r="W439" s="32"/>
      <c r="X439" s="32"/>
      <c r="Y439" s="32"/>
      <c r="Z439" s="32"/>
    </row>
    <row r="440" spans="1:26" ht="15" customHeight="1" x14ac:dyDescent="0.3">
      <c r="A440" s="155">
        <v>333</v>
      </c>
      <c r="B440" s="156" t="s">
        <v>361</v>
      </c>
      <c r="C440" s="46"/>
      <c r="D440" s="63"/>
      <c r="E440" s="156" t="s">
        <v>212</v>
      </c>
      <c r="F440" s="99"/>
      <c r="G440" s="157">
        <v>139</v>
      </c>
      <c r="H440" s="155">
        <v>74</v>
      </c>
      <c r="I440" s="155">
        <v>1</v>
      </c>
      <c r="J440" s="156" t="s">
        <v>213</v>
      </c>
      <c r="K440" s="52"/>
      <c r="L440" s="53"/>
      <c r="M440" s="54"/>
      <c r="N440" s="55" t="str">
        <f t="shared" si="6"/>
        <v>kilos</v>
      </c>
      <c r="O440" s="158">
        <v>10286</v>
      </c>
      <c r="P440" s="44"/>
      <c r="Q440" s="66"/>
      <c r="R440" s="32"/>
      <c r="S440" s="32"/>
      <c r="T440" s="32"/>
      <c r="U440" s="32"/>
      <c r="V440" s="32"/>
      <c r="W440" s="32"/>
      <c r="X440" s="32"/>
      <c r="Y440" s="32"/>
      <c r="Z440" s="32"/>
    </row>
    <row r="441" spans="1:26" ht="15" customHeight="1" x14ac:dyDescent="0.3">
      <c r="A441" s="155">
        <v>334</v>
      </c>
      <c r="B441" s="156" t="s">
        <v>731</v>
      </c>
      <c r="C441" s="46"/>
      <c r="D441" s="63"/>
      <c r="E441" s="156" t="s">
        <v>732</v>
      </c>
      <c r="F441" s="99"/>
      <c r="G441" s="157">
        <v>0.26750000000000002</v>
      </c>
      <c r="H441" s="155">
        <v>1000</v>
      </c>
      <c r="I441" s="155">
        <v>200</v>
      </c>
      <c r="J441" s="156" t="s">
        <v>39</v>
      </c>
      <c r="K441" s="52"/>
      <c r="L441" s="53"/>
      <c r="M441" s="54"/>
      <c r="N441" s="55" t="str">
        <f t="shared" si="6"/>
        <v>grams</v>
      </c>
      <c r="O441" s="158">
        <v>267.5</v>
      </c>
      <c r="P441" s="44"/>
      <c r="Q441" s="66"/>
      <c r="R441" s="32"/>
      <c r="S441" s="32"/>
      <c r="T441" s="32"/>
      <c r="U441" s="32"/>
      <c r="V441" s="32"/>
      <c r="W441" s="32"/>
      <c r="X441" s="32"/>
      <c r="Y441" s="32"/>
      <c r="Z441" s="32"/>
    </row>
    <row r="442" spans="1:26" ht="15" customHeight="1" x14ac:dyDescent="0.3">
      <c r="A442" s="155">
        <v>335</v>
      </c>
      <c r="B442" s="156" t="s">
        <v>362</v>
      </c>
      <c r="C442" s="46"/>
      <c r="D442" s="63"/>
      <c r="E442" s="156" t="s">
        <v>363</v>
      </c>
      <c r="F442" s="99"/>
      <c r="G442" s="157">
        <v>205</v>
      </c>
      <c r="H442" s="155">
        <v>76</v>
      </c>
      <c r="I442" s="155">
        <v>1</v>
      </c>
      <c r="J442" s="156" t="s">
        <v>213</v>
      </c>
      <c r="K442" s="52"/>
      <c r="L442" s="53"/>
      <c r="M442" s="54"/>
      <c r="N442" s="55" t="str">
        <f t="shared" si="6"/>
        <v>kilos</v>
      </c>
      <c r="O442" s="158">
        <v>15580</v>
      </c>
      <c r="P442" s="44"/>
      <c r="Q442" s="66"/>
      <c r="R442" s="32"/>
      <c r="S442" s="32"/>
      <c r="T442" s="32"/>
      <c r="U442" s="32"/>
      <c r="V442" s="32"/>
      <c r="W442" s="32"/>
      <c r="X442" s="32"/>
      <c r="Y442" s="32"/>
      <c r="Z442" s="32"/>
    </row>
    <row r="443" spans="1:26" ht="15" customHeight="1" x14ac:dyDescent="0.3">
      <c r="A443" s="155">
        <v>335</v>
      </c>
      <c r="B443" s="156" t="s">
        <v>362</v>
      </c>
      <c r="C443" s="46"/>
      <c r="D443" s="63"/>
      <c r="E443" s="156"/>
      <c r="F443" s="99"/>
      <c r="G443" s="157">
        <v>226</v>
      </c>
      <c r="H443" s="155">
        <v>31</v>
      </c>
      <c r="I443" s="155">
        <v>1</v>
      </c>
      <c r="J443" s="156" t="s">
        <v>213</v>
      </c>
      <c r="K443" s="52"/>
      <c r="L443" s="53"/>
      <c r="M443" s="54"/>
      <c r="N443" s="55" t="str">
        <f t="shared" si="6"/>
        <v>kilos</v>
      </c>
      <c r="O443" s="158">
        <v>7006</v>
      </c>
      <c r="P443" s="44"/>
      <c r="Q443" s="66"/>
      <c r="R443" s="32"/>
      <c r="S443" s="32"/>
      <c r="T443" s="32"/>
      <c r="U443" s="32"/>
      <c r="V443" s="32"/>
      <c r="W443" s="32"/>
      <c r="X443" s="32"/>
      <c r="Y443" s="32"/>
      <c r="Z443" s="32"/>
    </row>
    <row r="444" spans="1:26" ht="15" customHeight="1" x14ac:dyDescent="0.3">
      <c r="A444" s="155">
        <v>336</v>
      </c>
      <c r="B444" s="156" t="s">
        <v>733</v>
      </c>
      <c r="C444" s="46"/>
      <c r="D444" s="63"/>
      <c r="E444" s="156"/>
      <c r="F444" s="99"/>
      <c r="G444" s="157">
        <v>24.75</v>
      </c>
      <c r="H444" s="155">
        <v>10</v>
      </c>
      <c r="I444" s="155">
        <v>1</v>
      </c>
      <c r="J444" s="156" t="s">
        <v>92</v>
      </c>
      <c r="K444" s="52"/>
      <c r="L444" s="53"/>
      <c r="M444" s="54"/>
      <c r="N444" s="55" t="str">
        <f t="shared" si="6"/>
        <v>pieces</v>
      </c>
      <c r="O444" s="158">
        <v>247.5</v>
      </c>
      <c r="P444" s="44"/>
      <c r="Q444" s="66"/>
      <c r="R444" s="32"/>
      <c r="S444" s="32"/>
      <c r="T444" s="32"/>
      <c r="U444" s="32"/>
      <c r="V444" s="32"/>
      <c r="W444" s="32"/>
      <c r="X444" s="32"/>
      <c r="Y444" s="32"/>
      <c r="Z444" s="32"/>
    </row>
    <row r="445" spans="1:26" ht="15" customHeight="1" x14ac:dyDescent="0.3">
      <c r="A445" s="155">
        <v>337</v>
      </c>
      <c r="B445" s="156" t="s">
        <v>456</v>
      </c>
      <c r="C445" s="46"/>
      <c r="D445" s="63"/>
      <c r="E445" s="156" t="s">
        <v>216</v>
      </c>
      <c r="F445" s="99"/>
      <c r="G445" s="157">
        <v>143</v>
      </c>
      <c r="H445" s="155">
        <v>4</v>
      </c>
      <c r="I445" s="155">
        <v>1</v>
      </c>
      <c r="J445" s="156" t="s">
        <v>39</v>
      </c>
      <c r="K445" s="52"/>
      <c r="L445" s="53"/>
      <c r="M445" s="54"/>
      <c r="N445" s="55" t="str">
        <f t="shared" si="6"/>
        <v>grams</v>
      </c>
      <c r="O445" s="158">
        <v>572</v>
      </c>
      <c r="P445" s="44"/>
      <c r="Q445" s="66"/>
      <c r="R445" s="32"/>
      <c r="S445" s="32"/>
      <c r="T445" s="32"/>
      <c r="U445" s="32"/>
      <c r="V445" s="32"/>
      <c r="W445" s="32"/>
      <c r="X445" s="32"/>
      <c r="Y445" s="32"/>
      <c r="Z445" s="32"/>
    </row>
    <row r="446" spans="1:26" ht="15" customHeight="1" x14ac:dyDescent="0.3">
      <c r="A446" s="155">
        <v>338</v>
      </c>
      <c r="B446" s="156" t="s">
        <v>433</v>
      </c>
      <c r="C446" s="46"/>
      <c r="D446" s="63"/>
      <c r="E446" s="156" t="s">
        <v>381</v>
      </c>
      <c r="F446" s="99"/>
      <c r="G446" s="157">
        <v>13.69</v>
      </c>
      <c r="H446" s="155">
        <v>30</v>
      </c>
      <c r="I446" s="155">
        <v>1</v>
      </c>
      <c r="J446" s="156" t="s">
        <v>92</v>
      </c>
      <c r="K446" s="52"/>
      <c r="L446" s="53"/>
      <c r="M446" s="54"/>
      <c r="N446" s="55" t="str">
        <f t="shared" si="6"/>
        <v>pieces</v>
      </c>
      <c r="O446" s="158">
        <v>410.7</v>
      </c>
      <c r="P446" s="44"/>
      <c r="Q446" s="66"/>
      <c r="R446" s="32"/>
      <c r="S446" s="32"/>
      <c r="T446" s="32"/>
      <c r="U446" s="32"/>
      <c r="V446" s="32"/>
      <c r="W446" s="32"/>
      <c r="X446" s="32"/>
      <c r="Y446" s="32"/>
      <c r="Z446" s="32"/>
    </row>
    <row r="447" spans="1:26" ht="15" customHeight="1" x14ac:dyDescent="0.3">
      <c r="A447" s="155">
        <v>339</v>
      </c>
      <c r="B447" s="156" t="s">
        <v>734</v>
      </c>
      <c r="C447" s="46"/>
      <c r="D447" s="63"/>
      <c r="E447" s="156" t="s">
        <v>381</v>
      </c>
      <c r="F447" s="99"/>
      <c r="G447" s="157">
        <v>13.69</v>
      </c>
      <c r="H447" s="155">
        <v>15</v>
      </c>
      <c r="I447" s="155">
        <v>1</v>
      </c>
      <c r="J447" s="156" t="s">
        <v>92</v>
      </c>
      <c r="K447" s="52"/>
      <c r="L447" s="53"/>
      <c r="M447" s="54"/>
      <c r="N447" s="55" t="str">
        <f t="shared" si="6"/>
        <v>pieces</v>
      </c>
      <c r="O447" s="158">
        <v>205.35</v>
      </c>
      <c r="P447" s="44"/>
      <c r="Q447" s="66"/>
      <c r="R447" s="32"/>
      <c r="S447" s="32"/>
      <c r="T447" s="32"/>
      <c r="U447" s="32"/>
      <c r="V447" s="32"/>
      <c r="W447" s="32"/>
      <c r="X447" s="32"/>
      <c r="Y447" s="32"/>
      <c r="Z447" s="32"/>
    </row>
    <row r="448" spans="1:26" ht="15" customHeight="1" x14ac:dyDescent="0.3">
      <c r="A448" s="155">
        <v>340</v>
      </c>
      <c r="B448" s="156" t="s">
        <v>735</v>
      </c>
      <c r="C448" s="46"/>
      <c r="D448" s="63"/>
      <c r="E448" s="156"/>
      <c r="F448" s="99"/>
      <c r="G448" s="157">
        <v>1.004437</v>
      </c>
      <c r="H448" s="155">
        <v>3381</v>
      </c>
      <c r="I448" s="155">
        <v>20</v>
      </c>
      <c r="J448" s="156" t="s">
        <v>39</v>
      </c>
      <c r="K448" s="52"/>
      <c r="L448" s="53"/>
      <c r="M448" s="54"/>
      <c r="N448" s="55" t="str">
        <f t="shared" si="6"/>
        <v>grams</v>
      </c>
      <c r="O448" s="158">
        <v>3396</v>
      </c>
      <c r="P448" s="44"/>
      <c r="Q448" s="66"/>
      <c r="R448" s="32"/>
      <c r="S448" s="32"/>
      <c r="T448" s="32"/>
      <c r="U448" s="32"/>
      <c r="V448" s="32"/>
      <c r="W448" s="32"/>
      <c r="X448" s="32"/>
      <c r="Y448" s="32"/>
      <c r="Z448" s="32"/>
    </row>
    <row r="449" spans="1:26" ht="15" customHeight="1" x14ac:dyDescent="0.3">
      <c r="A449" s="155">
        <v>341</v>
      </c>
      <c r="B449" s="156" t="s">
        <v>434</v>
      </c>
      <c r="C449" s="46"/>
      <c r="D449" s="63"/>
      <c r="E449" s="156" t="s">
        <v>435</v>
      </c>
      <c r="F449" s="99"/>
      <c r="G449" s="157">
        <v>5.81</v>
      </c>
      <c r="H449" s="155">
        <v>150</v>
      </c>
      <c r="I449" s="155">
        <v>1</v>
      </c>
      <c r="J449" s="156" t="s">
        <v>92</v>
      </c>
      <c r="K449" s="52"/>
      <c r="L449" s="53"/>
      <c r="M449" s="54"/>
      <c r="N449" s="55" t="str">
        <f t="shared" si="6"/>
        <v>pieces</v>
      </c>
      <c r="O449" s="158">
        <v>871.5</v>
      </c>
      <c r="P449" s="44"/>
      <c r="Q449" s="66"/>
      <c r="R449" s="32"/>
      <c r="S449" s="32"/>
      <c r="T449" s="32"/>
      <c r="U449" s="32"/>
      <c r="V449" s="32"/>
      <c r="W449" s="32"/>
      <c r="X449" s="32"/>
      <c r="Y449" s="32"/>
      <c r="Z449" s="32"/>
    </row>
    <row r="450" spans="1:26" ht="15" customHeight="1" x14ac:dyDescent="0.3">
      <c r="A450" s="155">
        <v>342</v>
      </c>
      <c r="B450" s="156" t="s">
        <v>736</v>
      </c>
      <c r="C450" s="46"/>
      <c r="D450" s="63"/>
      <c r="E450" s="156" t="s">
        <v>435</v>
      </c>
      <c r="F450" s="99"/>
      <c r="G450" s="157">
        <v>6.14</v>
      </c>
      <c r="H450" s="155">
        <v>110</v>
      </c>
      <c r="I450" s="155">
        <v>1</v>
      </c>
      <c r="J450" s="156" t="s">
        <v>92</v>
      </c>
      <c r="K450" s="52"/>
      <c r="L450" s="53"/>
      <c r="M450" s="54"/>
      <c r="N450" s="55" t="str">
        <f t="shared" si="6"/>
        <v>pieces</v>
      </c>
      <c r="O450" s="158">
        <v>675.4</v>
      </c>
      <c r="P450" s="44"/>
      <c r="Q450" s="66"/>
      <c r="R450" s="32"/>
      <c r="S450" s="32"/>
      <c r="T450" s="32"/>
      <c r="U450" s="32"/>
      <c r="V450" s="32"/>
      <c r="W450" s="32"/>
      <c r="X450" s="32"/>
      <c r="Y450" s="32"/>
      <c r="Z450" s="32"/>
    </row>
    <row r="451" spans="1:26" ht="15" customHeight="1" x14ac:dyDescent="0.3">
      <c r="A451" s="155">
        <v>343</v>
      </c>
      <c r="B451" s="156" t="s">
        <v>737</v>
      </c>
      <c r="C451" s="46"/>
      <c r="D451" s="63"/>
      <c r="E451" s="156" t="s">
        <v>435</v>
      </c>
      <c r="F451" s="99"/>
      <c r="G451" s="157">
        <v>6.29</v>
      </c>
      <c r="H451" s="155">
        <v>21</v>
      </c>
      <c r="I451" s="155">
        <v>1</v>
      </c>
      <c r="J451" s="156" t="s">
        <v>92</v>
      </c>
      <c r="K451" s="52"/>
      <c r="L451" s="53"/>
      <c r="M451" s="54"/>
      <c r="N451" s="55" t="str">
        <f t="shared" si="6"/>
        <v>pieces</v>
      </c>
      <c r="O451" s="158">
        <v>132.09</v>
      </c>
      <c r="P451" s="44"/>
      <c r="Q451" s="66"/>
      <c r="R451" s="32"/>
      <c r="S451" s="32"/>
      <c r="T451" s="32"/>
      <c r="U451" s="32"/>
      <c r="V451" s="32"/>
      <c r="W451" s="32"/>
      <c r="X451" s="32"/>
      <c r="Y451" s="32"/>
      <c r="Z451" s="32"/>
    </row>
    <row r="452" spans="1:26" ht="15" customHeight="1" x14ac:dyDescent="0.3">
      <c r="A452" s="155">
        <v>344</v>
      </c>
      <c r="B452" s="156" t="s">
        <v>738</v>
      </c>
      <c r="C452" s="46"/>
      <c r="D452" s="63"/>
      <c r="E452" s="156"/>
      <c r="F452" s="99"/>
      <c r="G452" s="157">
        <v>0.27</v>
      </c>
      <c r="H452" s="155">
        <v>10000</v>
      </c>
      <c r="I452" s="155">
        <v>1000</v>
      </c>
      <c r="J452" s="156" t="s">
        <v>39</v>
      </c>
      <c r="K452" s="52"/>
      <c r="L452" s="53"/>
      <c r="M452" s="54"/>
      <c r="N452" s="55" t="str">
        <f t="shared" si="6"/>
        <v>grams</v>
      </c>
      <c r="O452" s="158">
        <v>2700</v>
      </c>
      <c r="P452" s="44"/>
      <c r="Q452" s="66"/>
      <c r="R452" s="32"/>
      <c r="S452" s="32"/>
      <c r="T452" s="32"/>
      <c r="U452" s="32"/>
      <c r="V452" s="32"/>
      <c r="W452" s="32"/>
      <c r="X452" s="32"/>
      <c r="Y452" s="32"/>
      <c r="Z452" s="32"/>
    </row>
    <row r="453" spans="1:26" ht="15" customHeight="1" x14ac:dyDescent="0.3">
      <c r="A453" s="155">
        <v>345</v>
      </c>
      <c r="B453" s="156" t="s">
        <v>739</v>
      </c>
      <c r="C453" s="46"/>
      <c r="D453" s="63"/>
      <c r="E453" s="156"/>
      <c r="F453" s="99"/>
      <c r="G453" s="157">
        <v>7.48</v>
      </c>
      <c r="H453" s="155">
        <v>2</v>
      </c>
      <c r="I453" s="155">
        <v>10</v>
      </c>
      <c r="J453" s="156" t="s">
        <v>92</v>
      </c>
      <c r="K453" s="52"/>
      <c r="L453" s="53"/>
      <c r="M453" s="54"/>
      <c r="N453" s="55" t="str">
        <f t="shared" si="6"/>
        <v>pieces</v>
      </c>
      <c r="O453" s="158">
        <v>14.96</v>
      </c>
      <c r="P453" s="44"/>
      <c r="Q453" s="66"/>
      <c r="R453" s="32"/>
      <c r="S453" s="32"/>
      <c r="T453" s="32"/>
      <c r="U453" s="32"/>
      <c r="V453" s="32"/>
      <c r="W453" s="32"/>
      <c r="X453" s="32"/>
      <c r="Y453" s="32"/>
      <c r="Z453" s="32"/>
    </row>
    <row r="454" spans="1:26" ht="15" customHeight="1" x14ac:dyDescent="0.3">
      <c r="A454" s="155">
        <v>346</v>
      </c>
      <c r="B454" s="156" t="s">
        <v>436</v>
      </c>
      <c r="C454" s="46"/>
      <c r="D454" s="63"/>
      <c r="E454" s="156" t="s">
        <v>740</v>
      </c>
      <c r="F454" s="99"/>
      <c r="G454" s="157">
        <v>7.17</v>
      </c>
      <c r="H454" s="155">
        <v>34</v>
      </c>
      <c r="I454" s="155">
        <v>1</v>
      </c>
      <c r="J454" s="156" t="s">
        <v>92</v>
      </c>
      <c r="K454" s="52"/>
      <c r="L454" s="53"/>
      <c r="M454" s="54"/>
      <c r="N454" s="55" t="str">
        <f t="shared" si="6"/>
        <v>pieces</v>
      </c>
      <c r="O454" s="158">
        <v>243.78</v>
      </c>
      <c r="P454" s="44"/>
      <c r="Q454" s="66"/>
      <c r="R454" s="32"/>
      <c r="S454" s="32"/>
      <c r="T454" s="32"/>
      <c r="U454" s="32"/>
      <c r="V454" s="32"/>
      <c r="W454" s="32"/>
      <c r="X454" s="32"/>
      <c r="Y454" s="32"/>
      <c r="Z454" s="32"/>
    </row>
    <row r="455" spans="1:26" ht="15" customHeight="1" x14ac:dyDescent="0.3">
      <c r="A455" s="155">
        <v>346</v>
      </c>
      <c r="B455" s="156" t="s">
        <v>436</v>
      </c>
      <c r="C455" s="46"/>
      <c r="D455" s="63"/>
      <c r="E455" s="156" t="s">
        <v>437</v>
      </c>
      <c r="F455" s="99"/>
      <c r="G455" s="157">
        <v>7.99</v>
      </c>
      <c r="H455" s="155">
        <v>595</v>
      </c>
      <c r="I455" s="155">
        <v>1</v>
      </c>
      <c r="J455" s="156" t="s">
        <v>92</v>
      </c>
      <c r="K455" s="52"/>
      <c r="L455" s="53"/>
      <c r="M455" s="54"/>
      <c r="N455" s="55" t="str">
        <f t="shared" si="6"/>
        <v>pieces</v>
      </c>
      <c r="O455" s="158">
        <v>4754.05</v>
      </c>
      <c r="P455" s="44"/>
      <c r="Q455" s="66"/>
      <c r="R455" s="32"/>
      <c r="S455" s="32"/>
      <c r="T455" s="32"/>
      <c r="U455" s="32"/>
      <c r="V455" s="32"/>
      <c r="W455" s="32"/>
      <c r="X455" s="32"/>
      <c r="Y455" s="32"/>
      <c r="Z455" s="32"/>
    </row>
    <row r="456" spans="1:26" ht="15" customHeight="1" x14ac:dyDescent="0.3">
      <c r="A456" s="155">
        <v>347</v>
      </c>
      <c r="B456" s="156" t="s">
        <v>741</v>
      </c>
      <c r="C456" s="46"/>
      <c r="D456" s="63"/>
      <c r="E456" s="156"/>
      <c r="F456" s="99"/>
      <c r="G456" s="157">
        <v>8.1</v>
      </c>
      <c r="H456" s="155">
        <v>1</v>
      </c>
      <c r="I456" s="155">
        <v>10</v>
      </c>
      <c r="J456" s="156" t="s">
        <v>92</v>
      </c>
      <c r="K456" s="52"/>
      <c r="L456" s="53"/>
      <c r="M456" s="54"/>
      <c r="N456" s="55" t="str">
        <f t="shared" si="6"/>
        <v>pieces</v>
      </c>
      <c r="O456" s="158">
        <v>8.1</v>
      </c>
      <c r="P456" s="44"/>
      <c r="Q456" s="66"/>
      <c r="R456" s="32"/>
      <c r="S456" s="32"/>
      <c r="T456" s="32"/>
      <c r="U456" s="32"/>
      <c r="V456" s="32"/>
      <c r="W456" s="32"/>
      <c r="X456" s="32"/>
      <c r="Y456" s="32"/>
      <c r="Z456" s="32"/>
    </row>
    <row r="457" spans="1:26" ht="15" customHeight="1" x14ac:dyDescent="0.3">
      <c r="A457" s="155">
        <v>348</v>
      </c>
      <c r="B457" s="156" t="s">
        <v>742</v>
      </c>
      <c r="C457" s="46"/>
      <c r="D457" s="63"/>
      <c r="E457" s="156"/>
      <c r="F457" s="99"/>
      <c r="G457" s="157">
        <v>2.375</v>
      </c>
      <c r="H457" s="155">
        <v>11</v>
      </c>
      <c r="I457" s="155">
        <v>6</v>
      </c>
      <c r="J457" s="156" t="s">
        <v>92</v>
      </c>
      <c r="K457" s="52"/>
      <c r="L457" s="53"/>
      <c r="M457" s="54"/>
      <c r="N457" s="55" t="str">
        <f t="shared" si="6"/>
        <v>pieces</v>
      </c>
      <c r="O457" s="158">
        <v>26.125</v>
      </c>
      <c r="P457" s="44"/>
      <c r="Q457" s="66"/>
      <c r="R457" s="32"/>
      <c r="S457" s="32"/>
      <c r="T457" s="32"/>
      <c r="U457" s="32"/>
      <c r="V457" s="32"/>
      <c r="W457" s="32"/>
      <c r="X457" s="32"/>
      <c r="Y457" s="32"/>
      <c r="Z457" s="32"/>
    </row>
    <row r="458" spans="1:26" ht="15" customHeight="1" x14ac:dyDescent="0.3">
      <c r="A458" s="155">
        <v>349</v>
      </c>
      <c r="B458" s="156" t="s">
        <v>743</v>
      </c>
      <c r="C458" s="46"/>
      <c r="D458" s="63"/>
      <c r="E458" s="156" t="s">
        <v>82</v>
      </c>
      <c r="F458" s="99"/>
      <c r="G458" s="157">
        <v>8.0600000000000005E-2</v>
      </c>
      <c r="H458" s="155">
        <v>38000</v>
      </c>
      <c r="I458" s="155">
        <v>1000</v>
      </c>
      <c r="J458" s="156" t="s">
        <v>39</v>
      </c>
      <c r="K458" s="52"/>
      <c r="L458" s="53"/>
      <c r="M458" s="54"/>
      <c r="N458" s="55" t="str">
        <f t="shared" si="6"/>
        <v>grams</v>
      </c>
      <c r="O458" s="158">
        <v>3062.8</v>
      </c>
      <c r="P458" s="44"/>
      <c r="Q458" s="66"/>
      <c r="R458" s="32"/>
      <c r="S458" s="32"/>
      <c r="T458" s="32"/>
      <c r="U458" s="32"/>
      <c r="V458" s="32"/>
      <c r="W458" s="32"/>
      <c r="X458" s="32"/>
      <c r="Y458" s="32"/>
      <c r="Z458" s="32"/>
    </row>
    <row r="459" spans="1:26" ht="15" customHeight="1" x14ac:dyDescent="0.3">
      <c r="A459" s="155">
        <v>349</v>
      </c>
      <c r="B459" s="156" t="s">
        <v>743</v>
      </c>
      <c r="C459" s="46"/>
      <c r="D459" s="63"/>
      <c r="E459" s="156" t="s">
        <v>744</v>
      </c>
      <c r="F459" s="99"/>
      <c r="G459" s="157">
        <v>0.15</v>
      </c>
      <c r="H459" s="155">
        <v>500</v>
      </c>
      <c r="I459" s="155">
        <v>1000</v>
      </c>
      <c r="J459" s="156" t="s">
        <v>39</v>
      </c>
      <c r="K459" s="52"/>
      <c r="L459" s="53"/>
      <c r="M459" s="54"/>
      <c r="N459" s="55" t="str">
        <f t="shared" si="6"/>
        <v>grams</v>
      </c>
      <c r="O459" s="158">
        <v>75</v>
      </c>
      <c r="P459" s="44"/>
      <c r="Q459" s="66"/>
      <c r="R459" s="32"/>
      <c r="S459" s="32"/>
      <c r="T459" s="32"/>
      <c r="U459" s="32"/>
      <c r="V459" s="32"/>
      <c r="W459" s="32"/>
      <c r="X459" s="32"/>
      <c r="Y459" s="32"/>
      <c r="Z459" s="32"/>
    </row>
    <row r="460" spans="1:26" ht="15" customHeight="1" x14ac:dyDescent="0.3">
      <c r="A460" s="155">
        <v>349</v>
      </c>
      <c r="B460" s="156" t="s">
        <v>743</v>
      </c>
      <c r="C460" s="46"/>
      <c r="D460" s="63"/>
      <c r="E460" s="156"/>
      <c r="F460" s="99"/>
      <c r="G460" s="157">
        <v>0.26200000000000001</v>
      </c>
      <c r="H460" s="155">
        <v>800</v>
      </c>
      <c r="I460" s="155">
        <v>1000</v>
      </c>
      <c r="J460" s="156" t="s">
        <v>39</v>
      </c>
      <c r="K460" s="52"/>
      <c r="L460" s="53"/>
      <c r="M460" s="54"/>
      <c r="N460" s="55" t="str">
        <f t="shared" si="6"/>
        <v>grams</v>
      </c>
      <c r="O460" s="158">
        <v>209.6</v>
      </c>
      <c r="P460" s="44"/>
      <c r="Q460" s="66"/>
      <c r="R460" s="32"/>
      <c r="S460" s="32"/>
      <c r="T460" s="32"/>
      <c r="U460" s="32"/>
      <c r="V460" s="32"/>
      <c r="W460" s="32"/>
      <c r="X460" s="32"/>
      <c r="Y460" s="32"/>
      <c r="Z460" s="32"/>
    </row>
    <row r="461" spans="1:26" ht="15" customHeight="1" x14ac:dyDescent="0.3">
      <c r="A461" s="155">
        <v>350</v>
      </c>
      <c r="B461" s="156" t="s">
        <v>745</v>
      </c>
      <c r="C461" s="46"/>
      <c r="D461" s="63"/>
      <c r="E461" s="156" t="s">
        <v>746</v>
      </c>
      <c r="F461" s="99"/>
      <c r="G461" s="157">
        <v>0.125</v>
      </c>
      <c r="H461" s="155">
        <v>4000</v>
      </c>
      <c r="I461" s="155">
        <v>1000</v>
      </c>
      <c r="J461" s="156" t="s">
        <v>39</v>
      </c>
      <c r="K461" s="52"/>
      <c r="L461" s="53"/>
      <c r="M461" s="54"/>
      <c r="N461" s="55" t="str">
        <f t="shared" si="6"/>
        <v>grams</v>
      </c>
      <c r="O461" s="158">
        <v>500</v>
      </c>
      <c r="P461" s="44"/>
      <c r="Q461" s="66"/>
      <c r="R461" s="32"/>
      <c r="S461" s="32"/>
      <c r="T461" s="32"/>
      <c r="U461" s="32"/>
      <c r="V461" s="32"/>
      <c r="W461" s="32"/>
      <c r="X461" s="32"/>
      <c r="Y461" s="32"/>
      <c r="Z461" s="32"/>
    </row>
    <row r="462" spans="1:26" ht="15" customHeight="1" x14ac:dyDescent="0.3">
      <c r="A462" s="155">
        <v>351</v>
      </c>
      <c r="B462" s="156" t="s">
        <v>113</v>
      </c>
      <c r="C462" s="46"/>
      <c r="D462" s="63"/>
      <c r="E462" s="156" t="s">
        <v>114</v>
      </c>
      <c r="F462" s="99"/>
      <c r="G462" s="157">
        <v>10.72</v>
      </c>
      <c r="H462" s="155">
        <v>167</v>
      </c>
      <c r="I462" s="155">
        <v>1</v>
      </c>
      <c r="J462" s="156" t="s">
        <v>92</v>
      </c>
      <c r="K462" s="52"/>
      <c r="L462" s="53"/>
      <c r="M462" s="54"/>
      <c r="N462" s="55" t="str">
        <f t="shared" si="6"/>
        <v>pieces</v>
      </c>
      <c r="O462" s="158">
        <v>1790.24</v>
      </c>
      <c r="P462" s="44"/>
      <c r="Q462" s="66"/>
      <c r="R462" s="32"/>
      <c r="S462" s="32"/>
      <c r="T462" s="32"/>
      <c r="U462" s="32"/>
      <c r="V462" s="32"/>
      <c r="W462" s="32"/>
      <c r="X462" s="32"/>
      <c r="Y462" s="32"/>
      <c r="Z462" s="32"/>
    </row>
    <row r="463" spans="1:26" ht="15" customHeight="1" x14ac:dyDescent="0.3">
      <c r="A463" s="155">
        <v>352</v>
      </c>
      <c r="B463" s="156" t="s">
        <v>438</v>
      </c>
      <c r="C463" s="46"/>
      <c r="D463" s="63"/>
      <c r="E463" s="156" t="s">
        <v>439</v>
      </c>
      <c r="F463" s="99"/>
      <c r="G463" s="157">
        <v>5.8</v>
      </c>
      <c r="H463" s="155">
        <v>200</v>
      </c>
      <c r="I463" s="155">
        <v>1</v>
      </c>
      <c r="J463" s="156" t="s">
        <v>92</v>
      </c>
      <c r="K463" s="52"/>
      <c r="L463" s="53"/>
      <c r="M463" s="54"/>
      <c r="N463" s="55" t="str">
        <f t="shared" si="6"/>
        <v>pieces</v>
      </c>
      <c r="O463" s="158">
        <v>1160</v>
      </c>
      <c r="P463" s="44"/>
      <c r="Q463" s="66"/>
      <c r="R463" s="32"/>
      <c r="S463" s="32"/>
      <c r="T463" s="32"/>
      <c r="U463" s="32"/>
      <c r="V463" s="32"/>
      <c r="W463" s="32"/>
      <c r="X463" s="32"/>
      <c r="Y463" s="32"/>
      <c r="Z463" s="32"/>
    </row>
    <row r="464" spans="1:26" ht="15" customHeight="1" x14ac:dyDescent="0.3">
      <c r="A464" s="155">
        <v>353</v>
      </c>
      <c r="B464" s="156" t="s">
        <v>747</v>
      </c>
      <c r="C464" s="46"/>
      <c r="D464" s="63"/>
      <c r="E464" s="156"/>
      <c r="F464" s="99"/>
      <c r="G464" s="157">
        <v>6.88</v>
      </c>
      <c r="H464" s="155">
        <v>1</v>
      </c>
      <c r="I464" s="155">
        <v>10</v>
      </c>
      <c r="J464" s="156" t="s">
        <v>92</v>
      </c>
      <c r="K464" s="52"/>
      <c r="L464" s="53"/>
      <c r="M464" s="54"/>
      <c r="N464" s="55" t="str">
        <f t="shared" si="6"/>
        <v>pieces</v>
      </c>
      <c r="O464" s="158">
        <v>6.88</v>
      </c>
      <c r="P464" s="44"/>
      <c r="Q464" s="66"/>
      <c r="R464" s="32"/>
      <c r="S464" s="32"/>
      <c r="T464" s="32"/>
      <c r="U464" s="32"/>
      <c r="V464" s="32"/>
      <c r="W464" s="32"/>
      <c r="X464" s="32"/>
      <c r="Y464" s="32"/>
      <c r="Z464" s="32"/>
    </row>
    <row r="465" spans="1:26" ht="15" customHeight="1" x14ac:dyDescent="0.3">
      <c r="A465" s="155">
        <v>354</v>
      </c>
      <c r="B465" s="156" t="s">
        <v>315</v>
      </c>
      <c r="C465" s="46"/>
      <c r="D465" s="63"/>
      <c r="E465" s="156" t="s">
        <v>316</v>
      </c>
      <c r="F465" s="99"/>
      <c r="G465" s="157">
        <v>57</v>
      </c>
      <c r="H465" s="155">
        <v>1</v>
      </c>
      <c r="I465" s="155">
        <v>1</v>
      </c>
      <c r="J465" s="156" t="s">
        <v>32</v>
      </c>
      <c r="K465" s="52"/>
      <c r="L465" s="53"/>
      <c r="M465" s="54"/>
      <c r="N465" s="55" t="str">
        <f t="shared" si="6"/>
        <v>ml</v>
      </c>
      <c r="O465" s="158">
        <v>57</v>
      </c>
      <c r="P465" s="44"/>
      <c r="Q465" s="66"/>
      <c r="R465" s="32"/>
      <c r="S465" s="32"/>
      <c r="T465" s="32"/>
      <c r="U465" s="32"/>
      <c r="V465" s="32"/>
      <c r="W465" s="32"/>
      <c r="X465" s="32"/>
      <c r="Y465" s="32"/>
      <c r="Z465" s="32"/>
    </row>
    <row r="466" spans="1:26" ht="15" customHeight="1" x14ac:dyDescent="0.3">
      <c r="A466" s="155">
        <v>355</v>
      </c>
      <c r="B466" s="156" t="s">
        <v>748</v>
      </c>
      <c r="C466" s="46"/>
      <c r="D466" s="63"/>
      <c r="E466" s="156" t="s">
        <v>69</v>
      </c>
      <c r="F466" s="99"/>
      <c r="G466" s="157">
        <v>0.44800000000000001</v>
      </c>
      <c r="H466" s="155">
        <v>450</v>
      </c>
      <c r="I466" s="155">
        <v>25</v>
      </c>
      <c r="J466" s="156" t="s">
        <v>39</v>
      </c>
      <c r="K466" s="52"/>
      <c r="L466" s="53"/>
      <c r="M466" s="54"/>
      <c r="N466" s="55" t="str">
        <f t="shared" si="6"/>
        <v>grams</v>
      </c>
      <c r="O466" s="158">
        <v>201.6</v>
      </c>
      <c r="P466" s="44"/>
      <c r="Q466" s="66"/>
      <c r="R466" s="32"/>
      <c r="S466" s="32"/>
      <c r="T466" s="32"/>
      <c r="U466" s="32"/>
      <c r="V466" s="32"/>
      <c r="W466" s="32"/>
      <c r="X466" s="32"/>
      <c r="Y466" s="32"/>
      <c r="Z466" s="32"/>
    </row>
    <row r="467" spans="1:26" ht="15" customHeight="1" x14ac:dyDescent="0.3">
      <c r="A467" s="155">
        <v>356</v>
      </c>
      <c r="B467" s="156" t="s">
        <v>749</v>
      </c>
      <c r="C467" s="46"/>
      <c r="D467" s="63"/>
      <c r="E467" s="156"/>
      <c r="F467" s="99"/>
      <c r="G467" s="157">
        <v>6.77</v>
      </c>
      <c r="H467" s="155">
        <v>10</v>
      </c>
      <c r="I467" s="155">
        <v>10</v>
      </c>
      <c r="J467" s="156" t="s">
        <v>92</v>
      </c>
      <c r="K467" s="52"/>
      <c r="L467" s="53"/>
      <c r="M467" s="54"/>
      <c r="N467" s="55" t="str">
        <f t="shared" si="6"/>
        <v>pieces</v>
      </c>
      <c r="O467" s="158">
        <v>67.7</v>
      </c>
      <c r="P467" s="44"/>
      <c r="Q467" s="66"/>
      <c r="R467" s="32"/>
      <c r="S467" s="32"/>
      <c r="T467" s="32"/>
      <c r="U467" s="32"/>
      <c r="V467" s="32"/>
      <c r="W467" s="32"/>
      <c r="X467" s="32"/>
      <c r="Y467" s="32"/>
      <c r="Z467" s="32"/>
    </row>
    <row r="468" spans="1:26" ht="15" customHeight="1" x14ac:dyDescent="0.3">
      <c r="A468" s="155">
        <v>357</v>
      </c>
      <c r="B468" s="156" t="s">
        <v>750</v>
      </c>
      <c r="C468" s="46"/>
      <c r="D468" s="63"/>
      <c r="E468" s="156" t="s">
        <v>751</v>
      </c>
      <c r="F468" s="99"/>
      <c r="G468" s="157">
        <v>1170</v>
      </c>
      <c r="H468" s="155">
        <v>18</v>
      </c>
      <c r="I468" s="155">
        <v>1</v>
      </c>
      <c r="J468" s="156" t="s">
        <v>213</v>
      </c>
      <c r="K468" s="52"/>
      <c r="L468" s="53"/>
      <c r="M468" s="54"/>
      <c r="N468" s="55" t="str">
        <f t="shared" si="6"/>
        <v>kilos</v>
      </c>
      <c r="O468" s="158">
        <v>21060</v>
      </c>
      <c r="P468" s="44"/>
      <c r="Q468" s="66"/>
      <c r="R468" s="32"/>
      <c r="S468" s="32"/>
      <c r="T468" s="32"/>
      <c r="U468" s="32"/>
      <c r="V468" s="32"/>
      <c r="W468" s="32"/>
      <c r="X468" s="32"/>
      <c r="Y468" s="32"/>
      <c r="Z468" s="32"/>
    </row>
    <row r="469" spans="1:26" ht="15" customHeight="1" x14ac:dyDescent="0.3">
      <c r="A469" s="155">
        <v>357</v>
      </c>
      <c r="B469" s="156" t="s">
        <v>750</v>
      </c>
      <c r="C469" s="46"/>
      <c r="D469" s="63"/>
      <c r="E469" s="156" t="s">
        <v>752</v>
      </c>
      <c r="F469" s="99"/>
      <c r="G469" s="157">
        <v>1180</v>
      </c>
      <c r="H469" s="155">
        <v>17</v>
      </c>
      <c r="I469" s="155">
        <v>1</v>
      </c>
      <c r="J469" s="156" t="s">
        <v>213</v>
      </c>
      <c r="K469" s="52"/>
      <c r="L469" s="53"/>
      <c r="M469" s="54"/>
      <c r="N469" s="55" t="str">
        <f t="shared" si="6"/>
        <v>kilos</v>
      </c>
      <c r="O469" s="158">
        <v>20060</v>
      </c>
      <c r="P469" s="44"/>
      <c r="Q469" s="66"/>
      <c r="R469" s="32"/>
      <c r="S469" s="32"/>
      <c r="T469" s="32"/>
      <c r="U469" s="32"/>
      <c r="V469" s="32"/>
      <c r="W469" s="32"/>
      <c r="X469" s="32"/>
      <c r="Y469" s="32"/>
      <c r="Z469" s="32"/>
    </row>
    <row r="470" spans="1:26" ht="15" customHeight="1" x14ac:dyDescent="0.3">
      <c r="A470" s="155">
        <v>357</v>
      </c>
      <c r="B470" s="156" t="s">
        <v>750</v>
      </c>
      <c r="C470" s="46"/>
      <c r="D470" s="63"/>
      <c r="E470" s="156"/>
      <c r="F470" s="99"/>
      <c r="G470" s="157">
        <v>48</v>
      </c>
      <c r="H470" s="155">
        <v>975</v>
      </c>
      <c r="I470" s="155">
        <v>1</v>
      </c>
      <c r="J470" s="156" t="s">
        <v>213</v>
      </c>
      <c r="K470" s="52"/>
      <c r="L470" s="53"/>
      <c r="M470" s="54"/>
      <c r="N470" s="55" t="str">
        <f t="shared" si="6"/>
        <v>kilos</v>
      </c>
      <c r="O470" s="158">
        <v>46800</v>
      </c>
      <c r="P470" s="44"/>
      <c r="Q470" s="66"/>
      <c r="R470" s="32"/>
      <c r="S470" s="32"/>
      <c r="T470" s="32"/>
      <c r="U470" s="32"/>
      <c r="V470" s="32"/>
      <c r="W470" s="32"/>
      <c r="X470" s="32"/>
      <c r="Y470" s="32"/>
      <c r="Z470" s="32"/>
    </row>
    <row r="471" spans="1:26" ht="15" customHeight="1" x14ac:dyDescent="0.3">
      <c r="A471" s="155">
        <v>358</v>
      </c>
      <c r="B471" s="156" t="s">
        <v>753</v>
      </c>
      <c r="C471" s="46"/>
      <c r="D471" s="63"/>
      <c r="E471" s="156"/>
      <c r="F471" s="99"/>
      <c r="G471" s="157">
        <v>22.378329999999998</v>
      </c>
      <c r="H471" s="155">
        <v>1</v>
      </c>
      <c r="I471" s="155">
        <v>30</v>
      </c>
      <c r="J471" s="156" t="s">
        <v>92</v>
      </c>
      <c r="K471" s="52"/>
      <c r="L471" s="53"/>
      <c r="M471" s="54"/>
      <c r="N471" s="55" t="str">
        <f t="shared" si="6"/>
        <v>pieces</v>
      </c>
      <c r="O471" s="158">
        <v>22.378329999999998</v>
      </c>
      <c r="P471" s="44"/>
      <c r="Q471" s="66"/>
      <c r="R471" s="32"/>
      <c r="S471" s="32"/>
      <c r="T471" s="32"/>
      <c r="U471" s="32"/>
      <c r="V471" s="32"/>
      <c r="W471" s="32"/>
      <c r="X471" s="32"/>
      <c r="Y471" s="32"/>
      <c r="Z471" s="32"/>
    </row>
    <row r="472" spans="1:26" ht="15" customHeight="1" x14ac:dyDescent="0.3">
      <c r="A472" s="155">
        <v>359</v>
      </c>
      <c r="B472" s="156" t="s">
        <v>115</v>
      </c>
      <c r="C472" s="46"/>
      <c r="D472" s="63"/>
      <c r="E472" s="156" t="s">
        <v>116</v>
      </c>
      <c r="F472" s="99"/>
      <c r="G472" s="157">
        <v>30.07</v>
      </c>
      <c r="H472" s="155">
        <v>18</v>
      </c>
      <c r="I472" s="155">
        <v>1</v>
      </c>
      <c r="J472" s="156" t="s">
        <v>92</v>
      </c>
      <c r="K472" s="52"/>
      <c r="L472" s="53"/>
      <c r="M472" s="54"/>
      <c r="N472" s="55" t="str">
        <f t="shared" si="6"/>
        <v>pieces</v>
      </c>
      <c r="O472" s="158">
        <v>541.26</v>
      </c>
      <c r="P472" s="44"/>
      <c r="Q472" s="66"/>
      <c r="R472" s="32"/>
      <c r="S472" s="32"/>
      <c r="T472" s="32"/>
      <c r="U472" s="32"/>
      <c r="V472" s="32"/>
      <c r="W472" s="32"/>
      <c r="X472" s="32"/>
      <c r="Y472" s="32"/>
      <c r="Z472" s="32"/>
    </row>
    <row r="473" spans="1:26" ht="15" customHeight="1" x14ac:dyDescent="0.3">
      <c r="A473" s="155">
        <v>360</v>
      </c>
      <c r="B473" s="156" t="s">
        <v>754</v>
      </c>
      <c r="C473" s="46"/>
      <c r="D473" s="63"/>
      <c r="E473" s="156"/>
      <c r="F473" s="99"/>
      <c r="G473" s="157">
        <v>32.84375</v>
      </c>
      <c r="H473" s="155">
        <v>8</v>
      </c>
      <c r="I473" s="155">
        <v>24</v>
      </c>
      <c r="J473" s="156" t="s">
        <v>92</v>
      </c>
      <c r="K473" s="52"/>
      <c r="L473" s="53"/>
      <c r="M473" s="54"/>
      <c r="N473" s="55" t="str">
        <f t="shared" si="6"/>
        <v>pieces</v>
      </c>
      <c r="O473" s="158">
        <v>262.75</v>
      </c>
      <c r="P473" s="44"/>
      <c r="Q473" s="66"/>
      <c r="R473" s="32"/>
      <c r="S473" s="32"/>
      <c r="T473" s="32"/>
      <c r="U473" s="32"/>
      <c r="V473" s="32"/>
      <c r="W473" s="32"/>
      <c r="X473" s="32"/>
      <c r="Y473" s="32"/>
      <c r="Z473" s="32"/>
    </row>
    <row r="474" spans="1:26" ht="15" customHeight="1" x14ac:dyDescent="0.3">
      <c r="A474" s="155">
        <v>361</v>
      </c>
      <c r="B474" s="156" t="s">
        <v>117</v>
      </c>
      <c r="C474" s="46"/>
      <c r="D474" s="63"/>
      <c r="E474" s="156" t="s">
        <v>118</v>
      </c>
      <c r="F474" s="99"/>
      <c r="G474" s="157">
        <v>16.56024</v>
      </c>
      <c r="H474" s="155">
        <v>123</v>
      </c>
      <c r="I474" s="155">
        <v>1</v>
      </c>
      <c r="J474" s="156" t="s">
        <v>92</v>
      </c>
      <c r="K474" s="52"/>
      <c r="L474" s="53"/>
      <c r="M474" s="54"/>
      <c r="N474" s="55" t="str">
        <f t="shared" si="6"/>
        <v>pieces</v>
      </c>
      <c r="O474" s="158">
        <v>2036.91</v>
      </c>
      <c r="P474" s="44"/>
      <c r="Q474" s="66"/>
      <c r="R474" s="32"/>
      <c r="S474" s="32"/>
      <c r="T474" s="32"/>
      <c r="U474" s="32"/>
      <c r="V474" s="32"/>
      <c r="W474" s="32"/>
      <c r="X474" s="32"/>
      <c r="Y474" s="32"/>
      <c r="Z474" s="32"/>
    </row>
    <row r="475" spans="1:26" ht="15" customHeight="1" x14ac:dyDescent="0.3">
      <c r="A475" s="155">
        <v>362</v>
      </c>
      <c r="B475" s="156" t="s">
        <v>755</v>
      </c>
      <c r="C475" s="46"/>
      <c r="D475" s="63"/>
      <c r="E475" s="156"/>
      <c r="F475" s="99"/>
      <c r="G475" s="157">
        <v>0.17</v>
      </c>
      <c r="H475" s="155">
        <v>400</v>
      </c>
      <c r="I475" s="155">
        <v>1800</v>
      </c>
      <c r="J475" s="156" t="s">
        <v>32</v>
      </c>
      <c r="K475" s="52"/>
      <c r="L475" s="53"/>
      <c r="M475" s="54"/>
      <c r="N475" s="55" t="str">
        <f t="shared" si="6"/>
        <v>ml</v>
      </c>
      <c r="O475" s="158">
        <v>68</v>
      </c>
      <c r="P475" s="44"/>
      <c r="Q475" s="66"/>
      <c r="R475" s="32"/>
      <c r="S475" s="32"/>
      <c r="T475" s="32"/>
      <c r="U475" s="32"/>
      <c r="V475" s="32"/>
      <c r="W475" s="32"/>
      <c r="X475" s="32"/>
      <c r="Y475" s="32"/>
      <c r="Z475" s="32"/>
    </row>
    <row r="476" spans="1:26" ht="15" customHeight="1" x14ac:dyDescent="0.3">
      <c r="A476" s="155">
        <v>363</v>
      </c>
      <c r="B476" s="156" t="s">
        <v>756</v>
      </c>
      <c r="C476" s="46"/>
      <c r="D476" s="63"/>
      <c r="E476" s="156" t="s">
        <v>757</v>
      </c>
      <c r="F476" s="99"/>
      <c r="G476" s="157">
        <v>3.91</v>
      </c>
      <c r="H476" s="155">
        <v>166</v>
      </c>
      <c r="I476" s="155">
        <v>1</v>
      </c>
      <c r="J476" s="156" t="s">
        <v>92</v>
      </c>
      <c r="K476" s="52"/>
      <c r="L476" s="53"/>
      <c r="M476" s="54"/>
      <c r="N476" s="55" t="str">
        <f t="shared" si="6"/>
        <v>pieces</v>
      </c>
      <c r="O476" s="158">
        <v>649.05999999999995</v>
      </c>
      <c r="P476" s="44"/>
      <c r="Q476" s="66"/>
      <c r="R476" s="32"/>
      <c r="S476" s="32"/>
      <c r="T476" s="32"/>
      <c r="U476" s="32"/>
      <c r="V476" s="32"/>
      <c r="W476" s="32"/>
      <c r="X476" s="32"/>
      <c r="Y476" s="32"/>
      <c r="Z476" s="32"/>
    </row>
    <row r="477" spans="1:26" ht="15" customHeight="1" x14ac:dyDescent="0.3">
      <c r="A477" s="155">
        <v>363</v>
      </c>
      <c r="B477" s="156" t="s">
        <v>756</v>
      </c>
      <c r="C477" s="46"/>
      <c r="D477" s="63"/>
      <c r="E477" s="156"/>
      <c r="F477" s="99"/>
      <c r="G477" s="157">
        <v>3.9916670000000001</v>
      </c>
      <c r="H477" s="155">
        <v>133</v>
      </c>
      <c r="I477" s="155">
        <v>1</v>
      </c>
      <c r="J477" s="156" t="s">
        <v>92</v>
      </c>
      <c r="K477" s="52"/>
      <c r="L477" s="53"/>
      <c r="M477" s="54"/>
      <c r="N477" s="55" t="str">
        <f t="shared" si="6"/>
        <v>pieces</v>
      </c>
      <c r="O477" s="158">
        <v>530.89170000000001</v>
      </c>
      <c r="P477" s="44"/>
      <c r="Q477" s="66"/>
      <c r="R477" s="32"/>
      <c r="S477" s="32"/>
      <c r="T477" s="32"/>
      <c r="U477" s="32"/>
      <c r="V477" s="32"/>
      <c r="W477" s="32"/>
      <c r="X477" s="32"/>
      <c r="Y477" s="32"/>
      <c r="Z477" s="32"/>
    </row>
    <row r="478" spans="1:26" ht="15" customHeight="1" x14ac:dyDescent="0.3">
      <c r="A478" s="155">
        <v>364</v>
      </c>
      <c r="B478" s="156" t="s">
        <v>758</v>
      </c>
      <c r="C478" s="46"/>
      <c r="D478" s="63"/>
      <c r="E478" s="156" t="s">
        <v>759</v>
      </c>
      <c r="F478" s="99"/>
      <c r="G478" s="157">
        <v>1.2E-2</v>
      </c>
      <c r="H478" s="155">
        <v>2000</v>
      </c>
      <c r="I478" s="155">
        <v>1000</v>
      </c>
      <c r="J478" s="156" t="s">
        <v>39</v>
      </c>
      <c r="K478" s="52"/>
      <c r="L478" s="53"/>
      <c r="M478" s="54"/>
      <c r="N478" s="55" t="str">
        <f t="shared" si="6"/>
        <v>grams</v>
      </c>
      <c r="O478" s="158">
        <v>24</v>
      </c>
      <c r="P478" s="44"/>
      <c r="Q478" s="66"/>
      <c r="R478" s="32"/>
      <c r="S478" s="32"/>
      <c r="T478" s="32"/>
      <c r="U478" s="32"/>
      <c r="V478" s="32"/>
      <c r="W478" s="32"/>
      <c r="X478" s="32"/>
      <c r="Y478" s="32"/>
      <c r="Z478" s="32"/>
    </row>
    <row r="479" spans="1:26" ht="15" customHeight="1" x14ac:dyDescent="0.3">
      <c r="A479" s="155">
        <v>364</v>
      </c>
      <c r="B479" s="156" t="s">
        <v>758</v>
      </c>
      <c r="C479" s="46"/>
      <c r="D479" s="63"/>
      <c r="E479" s="156"/>
      <c r="F479" s="99"/>
      <c r="G479" s="157">
        <v>2.5000000000000001E-2</v>
      </c>
      <c r="H479" s="155">
        <v>8000</v>
      </c>
      <c r="I479" s="155">
        <v>1000</v>
      </c>
      <c r="J479" s="156" t="s">
        <v>39</v>
      </c>
      <c r="K479" s="52"/>
      <c r="L479" s="53"/>
      <c r="M479" s="54"/>
      <c r="N479" s="55" t="str">
        <f t="shared" si="6"/>
        <v>grams</v>
      </c>
      <c r="O479" s="158">
        <v>200</v>
      </c>
      <c r="P479" s="44"/>
      <c r="Q479" s="66"/>
      <c r="R479" s="32"/>
      <c r="S479" s="32"/>
      <c r="T479" s="32"/>
      <c r="U479" s="32"/>
      <c r="V479" s="32"/>
      <c r="W479" s="32"/>
      <c r="X479" s="32"/>
      <c r="Y479" s="32"/>
      <c r="Z479" s="32"/>
    </row>
    <row r="480" spans="1:26" ht="15" customHeight="1" x14ac:dyDescent="0.3">
      <c r="A480" s="155">
        <v>365</v>
      </c>
      <c r="B480" s="156" t="s">
        <v>282</v>
      </c>
      <c r="C480" s="46"/>
      <c r="D480" s="63"/>
      <c r="E480" s="156" t="s">
        <v>283</v>
      </c>
      <c r="F480" s="99"/>
      <c r="G480" s="157">
        <v>15</v>
      </c>
      <c r="H480" s="155">
        <v>3</v>
      </c>
      <c r="I480" s="155">
        <v>1</v>
      </c>
      <c r="J480" s="156" t="s">
        <v>39</v>
      </c>
      <c r="K480" s="52"/>
      <c r="L480" s="53"/>
      <c r="M480" s="54"/>
      <c r="N480" s="55" t="str">
        <f t="shared" si="6"/>
        <v>grams</v>
      </c>
      <c r="O480" s="158">
        <v>45</v>
      </c>
      <c r="P480" s="44"/>
      <c r="Q480" s="66"/>
      <c r="R480" s="32"/>
      <c r="S480" s="32"/>
      <c r="T480" s="32"/>
      <c r="U480" s="32"/>
      <c r="V480" s="32"/>
      <c r="W480" s="32"/>
      <c r="X480" s="32"/>
      <c r="Y480" s="32"/>
      <c r="Z480" s="32"/>
    </row>
    <row r="481" spans="1:26" ht="15" customHeight="1" x14ac:dyDescent="0.3">
      <c r="A481" s="155">
        <v>366</v>
      </c>
      <c r="B481" s="156" t="s">
        <v>760</v>
      </c>
      <c r="C481" s="46"/>
      <c r="D481" s="63"/>
      <c r="E481" s="156" t="s">
        <v>761</v>
      </c>
      <c r="F481" s="99"/>
      <c r="G481" s="157">
        <v>0.15720000000000001</v>
      </c>
      <c r="H481" s="155">
        <v>3500</v>
      </c>
      <c r="I481" s="155">
        <v>100</v>
      </c>
      <c r="J481" s="156" t="s">
        <v>39</v>
      </c>
      <c r="K481" s="52"/>
      <c r="L481" s="53"/>
      <c r="M481" s="54"/>
      <c r="N481" s="55" t="str">
        <f t="shared" si="6"/>
        <v>grams</v>
      </c>
      <c r="O481" s="158">
        <v>550.20000000000005</v>
      </c>
      <c r="P481" s="44"/>
      <c r="Q481" s="66"/>
      <c r="R481" s="32"/>
      <c r="S481" s="32"/>
      <c r="T481" s="32"/>
      <c r="U481" s="32"/>
      <c r="V481" s="32"/>
      <c r="W481" s="32"/>
      <c r="X481" s="32"/>
      <c r="Y481" s="32"/>
      <c r="Z481" s="32"/>
    </row>
    <row r="482" spans="1:26" ht="15" customHeight="1" x14ac:dyDescent="0.3">
      <c r="A482" s="155">
        <v>367</v>
      </c>
      <c r="B482" s="156" t="s">
        <v>158</v>
      </c>
      <c r="C482" s="46"/>
      <c r="D482" s="63"/>
      <c r="E482" s="156" t="s">
        <v>159</v>
      </c>
      <c r="F482" s="99"/>
      <c r="G482" s="157">
        <v>6.69</v>
      </c>
      <c r="H482" s="155">
        <v>354</v>
      </c>
      <c r="I482" s="155">
        <v>1</v>
      </c>
      <c r="J482" s="156" t="s">
        <v>92</v>
      </c>
      <c r="K482" s="52"/>
      <c r="L482" s="53"/>
      <c r="M482" s="54"/>
      <c r="N482" s="55" t="str">
        <f t="shared" si="6"/>
        <v>pieces</v>
      </c>
      <c r="O482" s="158">
        <v>2368.2600000000002</v>
      </c>
      <c r="P482" s="44"/>
      <c r="Q482" s="66"/>
      <c r="R482" s="32"/>
      <c r="S482" s="32"/>
      <c r="T482" s="32"/>
      <c r="U482" s="32"/>
      <c r="V482" s="32"/>
      <c r="W482" s="32"/>
      <c r="X482" s="32"/>
      <c r="Y482" s="32"/>
      <c r="Z482" s="32"/>
    </row>
    <row r="483" spans="1:26" ht="15" customHeight="1" x14ac:dyDescent="0.3">
      <c r="A483" s="155">
        <v>368</v>
      </c>
      <c r="B483" s="156" t="s">
        <v>160</v>
      </c>
      <c r="C483" s="46"/>
      <c r="D483" s="63"/>
      <c r="E483" s="156" t="s">
        <v>161</v>
      </c>
      <c r="F483" s="99"/>
      <c r="G483" s="157">
        <v>8.6887059999999998</v>
      </c>
      <c r="H483" s="155">
        <v>850</v>
      </c>
      <c r="I483" s="155">
        <v>1</v>
      </c>
      <c r="J483" s="156" t="s">
        <v>92</v>
      </c>
      <c r="K483" s="52"/>
      <c r="L483" s="53"/>
      <c r="M483" s="54"/>
      <c r="N483" s="55" t="str">
        <f t="shared" si="6"/>
        <v>pieces</v>
      </c>
      <c r="O483" s="158">
        <v>7385.4</v>
      </c>
      <c r="P483" s="44"/>
      <c r="Q483" s="66"/>
      <c r="R483" s="32"/>
      <c r="S483" s="32"/>
      <c r="T483" s="32"/>
      <c r="U483" s="32"/>
      <c r="V483" s="32"/>
      <c r="W483" s="32"/>
      <c r="X483" s="32"/>
      <c r="Y483" s="32"/>
      <c r="Z483" s="32"/>
    </row>
    <row r="484" spans="1:26" ht="15" customHeight="1" x14ac:dyDescent="0.3">
      <c r="A484" s="155">
        <v>369</v>
      </c>
      <c r="B484" s="156" t="s">
        <v>762</v>
      </c>
      <c r="C484" s="46"/>
      <c r="D484" s="63"/>
      <c r="E484" s="156"/>
      <c r="F484" s="99"/>
      <c r="G484" s="157">
        <v>20</v>
      </c>
      <c r="H484" s="155">
        <v>116</v>
      </c>
      <c r="I484" s="155">
        <v>1</v>
      </c>
      <c r="J484" s="156" t="s">
        <v>92</v>
      </c>
      <c r="K484" s="52"/>
      <c r="L484" s="53"/>
      <c r="M484" s="54"/>
      <c r="N484" s="55" t="str">
        <f t="shared" si="6"/>
        <v>pieces</v>
      </c>
      <c r="O484" s="158">
        <v>2320</v>
      </c>
      <c r="P484" s="44"/>
      <c r="Q484" s="66"/>
      <c r="R484" s="32"/>
      <c r="S484" s="32"/>
      <c r="T484" s="32"/>
      <c r="U484" s="32"/>
      <c r="V484" s="32"/>
      <c r="W484" s="32"/>
      <c r="X484" s="32"/>
      <c r="Y484" s="32"/>
      <c r="Z484" s="32"/>
    </row>
    <row r="485" spans="1:26" ht="15" customHeight="1" x14ac:dyDescent="0.3">
      <c r="A485" s="155">
        <v>370</v>
      </c>
      <c r="B485" s="156" t="s">
        <v>763</v>
      </c>
      <c r="C485" s="46"/>
      <c r="D485" s="63"/>
      <c r="E485" s="156"/>
      <c r="F485" s="99"/>
      <c r="G485" s="157">
        <v>23.84</v>
      </c>
      <c r="H485" s="155">
        <v>72</v>
      </c>
      <c r="I485" s="155">
        <v>1</v>
      </c>
      <c r="J485" s="156" t="s">
        <v>92</v>
      </c>
      <c r="K485" s="52"/>
      <c r="L485" s="53"/>
      <c r="M485" s="54"/>
      <c r="N485" s="55" t="str">
        <f t="shared" si="6"/>
        <v>pieces</v>
      </c>
      <c r="O485" s="158">
        <v>1716.48</v>
      </c>
      <c r="P485" s="44"/>
      <c r="Q485" s="66"/>
      <c r="R485" s="32"/>
      <c r="S485" s="32"/>
      <c r="T485" s="32"/>
      <c r="U485" s="32"/>
      <c r="V485" s="32"/>
      <c r="W485" s="32"/>
      <c r="X485" s="32"/>
      <c r="Y485" s="32"/>
      <c r="Z485" s="32"/>
    </row>
    <row r="486" spans="1:26" ht="15" customHeight="1" x14ac:dyDescent="0.3">
      <c r="A486" s="155">
        <v>371</v>
      </c>
      <c r="B486" s="156" t="s">
        <v>764</v>
      </c>
      <c r="C486" s="46"/>
      <c r="D486" s="63"/>
      <c r="E486" s="156" t="s">
        <v>765</v>
      </c>
      <c r="F486" s="99"/>
      <c r="G486" s="157">
        <v>2.78</v>
      </c>
      <c r="H486" s="155">
        <v>304</v>
      </c>
      <c r="I486" s="155">
        <v>1</v>
      </c>
      <c r="J486" s="156" t="s">
        <v>92</v>
      </c>
      <c r="K486" s="52"/>
      <c r="L486" s="53"/>
      <c r="M486" s="54"/>
      <c r="N486" s="55" t="str">
        <f t="shared" si="6"/>
        <v>pieces</v>
      </c>
      <c r="O486" s="158">
        <v>845.12</v>
      </c>
      <c r="P486" s="44"/>
      <c r="Q486" s="66"/>
      <c r="R486" s="32"/>
      <c r="S486" s="32"/>
      <c r="T486" s="32"/>
      <c r="U486" s="32"/>
      <c r="V486" s="32"/>
      <c r="W486" s="32"/>
      <c r="X486" s="32"/>
      <c r="Y486" s="32"/>
      <c r="Z486" s="32"/>
    </row>
    <row r="487" spans="1:26" ht="15" customHeight="1" x14ac:dyDescent="0.3">
      <c r="A487" s="155">
        <v>372</v>
      </c>
      <c r="B487" s="156" t="s">
        <v>766</v>
      </c>
      <c r="C487" s="46"/>
      <c r="D487" s="63"/>
      <c r="E487" s="156" t="s">
        <v>767</v>
      </c>
      <c r="F487" s="99"/>
      <c r="G487" s="157">
        <v>0.136071</v>
      </c>
      <c r="H487" s="155">
        <v>4250</v>
      </c>
      <c r="I487" s="155">
        <v>425</v>
      </c>
      <c r="J487" s="156" t="s">
        <v>39</v>
      </c>
      <c r="K487" s="52"/>
      <c r="L487" s="53"/>
      <c r="M487" s="54"/>
      <c r="N487" s="55" t="str">
        <f t="shared" si="6"/>
        <v>grams</v>
      </c>
      <c r="O487" s="158">
        <v>578.29999999999995</v>
      </c>
      <c r="P487" s="44"/>
      <c r="Q487" s="66"/>
      <c r="R487" s="32"/>
      <c r="S487" s="32"/>
      <c r="T487" s="32"/>
      <c r="U487" s="32"/>
      <c r="V487" s="32"/>
      <c r="W487" s="32"/>
      <c r="X487" s="32"/>
      <c r="Y487" s="32"/>
      <c r="Z487" s="32"/>
    </row>
    <row r="488" spans="1:26" ht="15" customHeight="1" x14ac:dyDescent="0.3">
      <c r="A488" s="155">
        <v>372</v>
      </c>
      <c r="B488" s="156" t="s">
        <v>766</v>
      </c>
      <c r="C488" s="46"/>
      <c r="D488" s="63"/>
      <c r="E488" s="156" t="s">
        <v>195</v>
      </c>
      <c r="F488" s="99"/>
      <c r="G488" s="157">
        <v>58.25</v>
      </c>
      <c r="H488" s="155">
        <v>72</v>
      </c>
      <c r="I488" s="155">
        <v>425</v>
      </c>
      <c r="J488" s="156" t="s">
        <v>39</v>
      </c>
      <c r="K488" s="52"/>
      <c r="L488" s="53"/>
      <c r="M488" s="54"/>
      <c r="N488" s="55" t="str">
        <f t="shared" si="6"/>
        <v>grams</v>
      </c>
      <c r="O488" s="158">
        <v>4194</v>
      </c>
      <c r="P488" s="44"/>
      <c r="Q488" s="66"/>
      <c r="R488" s="32"/>
      <c r="S488" s="32"/>
      <c r="T488" s="32"/>
      <c r="U488" s="32"/>
      <c r="V488" s="32"/>
      <c r="W488" s="32"/>
      <c r="X488" s="32"/>
      <c r="Y488" s="32"/>
      <c r="Z488" s="32"/>
    </row>
    <row r="489" spans="1:26" ht="15" customHeight="1" x14ac:dyDescent="0.3">
      <c r="A489" s="155">
        <v>372</v>
      </c>
      <c r="B489" s="156" t="s">
        <v>766</v>
      </c>
      <c r="C489" s="46"/>
      <c r="D489" s="63"/>
      <c r="E489" s="156"/>
      <c r="F489" s="99"/>
      <c r="G489" s="157">
        <v>0.13672899999999999</v>
      </c>
      <c r="H489" s="155">
        <v>18700</v>
      </c>
      <c r="I489" s="155">
        <v>425</v>
      </c>
      <c r="J489" s="156" t="s">
        <v>39</v>
      </c>
      <c r="K489" s="52"/>
      <c r="L489" s="53"/>
      <c r="M489" s="54"/>
      <c r="N489" s="55" t="str">
        <f t="shared" si="6"/>
        <v>grams</v>
      </c>
      <c r="O489" s="158">
        <v>2556.84</v>
      </c>
      <c r="P489" s="44"/>
      <c r="Q489" s="66"/>
      <c r="R489" s="32"/>
      <c r="S489" s="32"/>
      <c r="T489" s="32"/>
      <c r="U489" s="32"/>
      <c r="V489" s="32"/>
      <c r="W489" s="32"/>
      <c r="X489" s="32"/>
      <c r="Y489" s="32"/>
      <c r="Z489" s="32"/>
    </row>
    <row r="490" spans="1:26" ht="15" customHeight="1" x14ac:dyDescent="0.3">
      <c r="A490" s="155">
        <v>373</v>
      </c>
      <c r="B490" s="156" t="s">
        <v>768</v>
      </c>
      <c r="C490" s="46"/>
      <c r="D490" s="63"/>
      <c r="E490" s="156" t="s">
        <v>216</v>
      </c>
      <c r="F490" s="99"/>
      <c r="G490" s="157">
        <v>9.5000000000000001E-2</v>
      </c>
      <c r="H490" s="155">
        <v>5000</v>
      </c>
      <c r="I490" s="155">
        <v>1000</v>
      </c>
      <c r="J490" s="156" t="s">
        <v>39</v>
      </c>
      <c r="K490" s="52"/>
      <c r="L490" s="53"/>
      <c r="M490" s="54"/>
      <c r="N490" s="55" t="str">
        <f t="shared" si="6"/>
        <v>grams</v>
      </c>
      <c r="O490" s="158">
        <v>475</v>
      </c>
      <c r="P490" s="44"/>
      <c r="Q490" s="66"/>
      <c r="R490" s="32"/>
      <c r="S490" s="32"/>
      <c r="T490" s="32"/>
      <c r="U490" s="32"/>
      <c r="V490" s="32"/>
      <c r="W490" s="32"/>
      <c r="X490" s="32"/>
      <c r="Y490" s="32"/>
      <c r="Z490" s="32"/>
    </row>
    <row r="491" spans="1:26" ht="15" customHeight="1" x14ac:dyDescent="0.3">
      <c r="A491" s="155">
        <v>374</v>
      </c>
      <c r="B491" s="156" t="s">
        <v>206</v>
      </c>
      <c r="C491" s="46"/>
      <c r="D491" s="63"/>
      <c r="E491" s="156"/>
      <c r="F491" s="99"/>
      <c r="G491" s="157">
        <v>33.1</v>
      </c>
      <c r="H491" s="155">
        <v>3</v>
      </c>
      <c r="I491" s="155">
        <v>1</v>
      </c>
      <c r="J491" s="156" t="s">
        <v>92</v>
      </c>
      <c r="K491" s="52"/>
      <c r="L491" s="53"/>
      <c r="M491" s="54"/>
      <c r="N491" s="55" t="str">
        <f t="shared" si="6"/>
        <v>pieces</v>
      </c>
      <c r="O491" s="158">
        <v>99.3</v>
      </c>
      <c r="P491" s="44"/>
      <c r="Q491" s="66"/>
      <c r="R491" s="32"/>
      <c r="S491" s="32"/>
      <c r="T491" s="32"/>
      <c r="U491" s="32"/>
      <c r="V491" s="32"/>
      <c r="W491" s="32"/>
      <c r="X491" s="32"/>
      <c r="Y491" s="32"/>
      <c r="Z491" s="32"/>
    </row>
    <row r="492" spans="1:26" ht="15" customHeight="1" x14ac:dyDescent="0.3">
      <c r="A492" s="155">
        <v>375</v>
      </c>
      <c r="B492" s="156" t="s">
        <v>769</v>
      </c>
      <c r="C492" s="46"/>
      <c r="D492" s="63"/>
      <c r="E492" s="156"/>
      <c r="F492" s="99"/>
      <c r="G492" s="157">
        <v>101</v>
      </c>
      <c r="H492" s="155">
        <v>7</v>
      </c>
      <c r="I492" s="155">
        <v>1</v>
      </c>
      <c r="J492" s="156" t="s">
        <v>92</v>
      </c>
      <c r="K492" s="52"/>
      <c r="L492" s="53"/>
      <c r="M492" s="54"/>
      <c r="N492" s="55" t="str">
        <f t="shared" si="6"/>
        <v>pieces</v>
      </c>
      <c r="O492" s="158">
        <v>707</v>
      </c>
      <c r="P492" s="44"/>
      <c r="Q492" s="66"/>
      <c r="R492" s="32"/>
      <c r="S492" s="32"/>
      <c r="T492" s="32"/>
      <c r="U492" s="32"/>
      <c r="V492" s="32"/>
      <c r="W492" s="32"/>
      <c r="X492" s="32"/>
      <c r="Y492" s="32"/>
      <c r="Z492" s="32"/>
    </row>
    <row r="493" spans="1:26" ht="15" customHeight="1" x14ac:dyDescent="0.3">
      <c r="A493" s="155">
        <v>376</v>
      </c>
      <c r="B493" s="156" t="s">
        <v>205</v>
      </c>
      <c r="C493" s="46"/>
      <c r="D493" s="63"/>
      <c r="E493" s="156" t="s">
        <v>206</v>
      </c>
      <c r="F493" s="99"/>
      <c r="G493" s="157">
        <v>34</v>
      </c>
      <c r="H493" s="155">
        <v>3</v>
      </c>
      <c r="I493" s="155">
        <v>1</v>
      </c>
      <c r="J493" s="156" t="s">
        <v>92</v>
      </c>
      <c r="K493" s="52"/>
      <c r="L493" s="53"/>
      <c r="M493" s="54"/>
      <c r="N493" s="55" t="str">
        <f t="shared" si="6"/>
        <v>pieces</v>
      </c>
      <c r="O493" s="158">
        <v>102</v>
      </c>
      <c r="P493" s="44"/>
      <c r="Q493" s="66"/>
      <c r="R493" s="32"/>
      <c r="S493" s="32"/>
      <c r="T493" s="32"/>
      <c r="U493" s="32"/>
      <c r="V493" s="32"/>
      <c r="W493" s="32"/>
      <c r="X493" s="32"/>
      <c r="Y493" s="32"/>
      <c r="Z493" s="32"/>
    </row>
    <row r="494" spans="1:26" ht="15" customHeight="1" x14ac:dyDescent="0.3">
      <c r="A494" s="155">
        <v>376</v>
      </c>
      <c r="B494" s="156" t="s">
        <v>205</v>
      </c>
      <c r="C494" s="46"/>
      <c r="D494" s="63"/>
      <c r="E494" s="156"/>
      <c r="F494" s="99"/>
      <c r="G494" s="157">
        <v>34</v>
      </c>
      <c r="H494" s="155">
        <v>2</v>
      </c>
      <c r="I494" s="155">
        <v>1</v>
      </c>
      <c r="J494" s="156" t="s">
        <v>92</v>
      </c>
      <c r="K494" s="52"/>
      <c r="L494" s="53"/>
      <c r="M494" s="54"/>
      <c r="N494" s="55" t="str">
        <f t="shared" si="6"/>
        <v>pieces</v>
      </c>
      <c r="O494" s="158">
        <v>68</v>
      </c>
      <c r="P494" s="44"/>
      <c r="Q494" s="66"/>
      <c r="R494" s="32"/>
      <c r="S494" s="32"/>
      <c r="T494" s="32"/>
      <c r="U494" s="32"/>
      <c r="V494" s="32"/>
      <c r="W494" s="32"/>
      <c r="X494" s="32"/>
      <c r="Y494" s="32"/>
      <c r="Z494" s="32"/>
    </row>
    <row r="495" spans="1:26" ht="15" customHeight="1" x14ac:dyDescent="0.3">
      <c r="A495" s="155">
        <v>377</v>
      </c>
      <c r="B495" s="156" t="s">
        <v>207</v>
      </c>
      <c r="C495" s="46"/>
      <c r="D495" s="63"/>
      <c r="E495" s="156" t="s">
        <v>206</v>
      </c>
      <c r="F495" s="99"/>
      <c r="G495" s="157">
        <v>34</v>
      </c>
      <c r="H495" s="155">
        <v>4</v>
      </c>
      <c r="I495" s="155">
        <v>1</v>
      </c>
      <c r="J495" s="156" t="s">
        <v>92</v>
      </c>
      <c r="K495" s="52"/>
      <c r="L495" s="53"/>
      <c r="M495" s="54"/>
      <c r="N495" s="55" t="str">
        <f t="shared" si="6"/>
        <v>pieces</v>
      </c>
      <c r="O495" s="158">
        <v>136</v>
      </c>
      <c r="P495" s="44"/>
      <c r="Q495" s="66"/>
      <c r="R495" s="32"/>
      <c r="S495" s="32"/>
      <c r="T495" s="32"/>
      <c r="U495" s="32"/>
      <c r="V495" s="32"/>
      <c r="W495" s="32"/>
      <c r="X495" s="32"/>
      <c r="Y495" s="32"/>
      <c r="Z495" s="32"/>
    </row>
    <row r="496" spans="1:26" ht="15" customHeight="1" x14ac:dyDescent="0.3">
      <c r="A496" s="155">
        <v>378</v>
      </c>
      <c r="B496" s="156" t="s">
        <v>770</v>
      </c>
      <c r="C496" s="46"/>
      <c r="D496" s="63"/>
      <c r="E496" s="156"/>
      <c r="F496" s="99"/>
      <c r="G496" s="157">
        <v>0.379</v>
      </c>
      <c r="H496" s="155">
        <v>5000</v>
      </c>
      <c r="I496" s="155">
        <v>1000</v>
      </c>
      <c r="J496" s="156" t="s">
        <v>39</v>
      </c>
      <c r="K496" s="52"/>
      <c r="L496" s="53"/>
      <c r="M496" s="54"/>
      <c r="N496" s="55" t="str">
        <f t="shared" si="6"/>
        <v>grams</v>
      </c>
      <c r="O496" s="158">
        <v>1895</v>
      </c>
      <c r="P496" s="44"/>
      <c r="Q496" s="66"/>
      <c r="R496" s="32"/>
      <c r="S496" s="32"/>
      <c r="T496" s="32"/>
      <c r="U496" s="32"/>
      <c r="V496" s="32"/>
      <c r="W496" s="32"/>
      <c r="X496" s="32"/>
      <c r="Y496" s="32"/>
      <c r="Z496" s="32"/>
    </row>
    <row r="497" spans="1:26" ht="15" customHeight="1" x14ac:dyDescent="0.3">
      <c r="A497" s="155">
        <v>379</v>
      </c>
      <c r="B497" s="156" t="s">
        <v>771</v>
      </c>
      <c r="C497" s="46"/>
      <c r="D497" s="63"/>
      <c r="E497" s="156" t="s">
        <v>772</v>
      </c>
      <c r="F497" s="99"/>
      <c r="G497" s="157">
        <v>0.72048800000000002</v>
      </c>
      <c r="H497" s="155">
        <v>410</v>
      </c>
      <c r="I497" s="155">
        <v>410</v>
      </c>
      <c r="J497" s="156" t="s">
        <v>39</v>
      </c>
      <c r="K497" s="52"/>
      <c r="L497" s="53"/>
      <c r="M497" s="54"/>
      <c r="N497" s="55" t="str">
        <f t="shared" si="6"/>
        <v>grams</v>
      </c>
      <c r="O497" s="158">
        <v>295.39999999999998</v>
      </c>
      <c r="P497" s="44"/>
      <c r="Q497" s="66"/>
      <c r="R497" s="32"/>
      <c r="S497" s="32"/>
      <c r="T497" s="32"/>
      <c r="U497" s="32"/>
      <c r="V497" s="32"/>
      <c r="W497" s="32"/>
      <c r="X497" s="32"/>
      <c r="Y497" s="32"/>
      <c r="Z497" s="32"/>
    </row>
    <row r="498" spans="1:26" ht="15" customHeight="1" x14ac:dyDescent="0.3">
      <c r="A498" s="155">
        <v>379</v>
      </c>
      <c r="B498" s="156" t="s">
        <v>771</v>
      </c>
      <c r="C498" s="46"/>
      <c r="D498" s="63"/>
      <c r="E498" s="156"/>
      <c r="F498" s="99"/>
      <c r="G498" s="157">
        <v>0.7</v>
      </c>
      <c r="H498" s="155">
        <v>1000</v>
      </c>
      <c r="I498" s="155">
        <v>410</v>
      </c>
      <c r="J498" s="156" t="s">
        <v>773</v>
      </c>
      <c r="K498" s="52"/>
      <c r="L498" s="53"/>
      <c r="M498" s="54"/>
      <c r="N498" s="55" t="str">
        <f t="shared" si="6"/>
        <v>liters</v>
      </c>
      <c r="O498" s="158">
        <v>700</v>
      </c>
      <c r="P498" s="44"/>
      <c r="Q498" s="66"/>
      <c r="R498" s="32"/>
      <c r="S498" s="32"/>
      <c r="T498" s="32"/>
      <c r="U498" s="32"/>
      <c r="V498" s="32"/>
      <c r="W498" s="32"/>
      <c r="X498" s="32"/>
      <c r="Y498" s="32"/>
      <c r="Z498" s="32"/>
    </row>
    <row r="499" spans="1:26" ht="15" customHeight="1" x14ac:dyDescent="0.3">
      <c r="A499" s="155">
        <v>380</v>
      </c>
      <c r="B499" s="156" t="s">
        <v>284</v>
      </c>
      <c r="C499" s="46"/>
      <c r="D499" s="63"/>
      <c r="E499" s="156" t="s">
        <v>82</v>
      </c>
      <c r="F499" s="99"/>
      <c r="G499" s="157">
        <v>8.2000000000000003E-2</v>
      </c>
      <c r="H499" s="155">
        <v>15000</v>
      </c>
      <c r="I499" s="155">
        <v>1000</v>
      </c>
      <c r="J499" s="156" t="s">
        <v>39</v>
      </c>
      <c r="K499" s="52"/>
      <c r="L499" s="53"/>
      <c r="M499" s="54"/>
      <c r="N499" s="55" t="str">
        <f t="shared" si="6"/>
        <v>grams</v>
      </c>
      <c r="O499" s="158">
        <v>1230</v>
      </c>
      <c r="P499" s="44"/>
      <c r="Q499" s="66"/>
      <c r="R499" s="32"/>
      <c r="S499" s="32"/>
      <c r="T499" s="32"/>
      <c r="U499" s="32"/>
      <c r="V499" s="32"/>
      <c r="W499" s="32"/>
      <c r="X499" s="32"/>
      <c r="Y499" s="32"/>
      <c r="Z499" s="32"/>
    </row>
    <row r="500" spans="1:26" ht="15" customHeight="1" x14ac:dyDescent="0.3">
      <c r="A500" s="155">
        <v>380</v>
      </c>
      <c r="B500" s="156" t="s">
        <v>284</v>
      </c>
      <c r="C500" s="46"/>
      <c r="D500" s="63"/>
      <c r="E500" s="156" t="s">
        <v>285</v>
      </c>
      <c r="F500" s="99"/>
      <c r="G500" s="157">
        <v>1.4266049999999999</v>
      </c>
      <c r="H500" s="155">
        <v>1360.0450000000001</v>
      </c>
      <c r="I500" s="155">
        <v>1000</v>
      </c>
      <c r="J500" s="156" t="s">
        <v>39</v>
      </c>
      <c r="K500" s="52"/>
      <c r="L500" s="53"/>
      <c r="M500" s="54"/>
      <c r="N500" s="55" t="str">
        <f t="shared" si="6"/>
        <v>grams</v>
      </c>
      <c r="O500" s="158">
        <v>1940.2470000000001</v>
      </c>
      <c r="P500" s="44"/>
      <c r="Q500" s="66"/>
      <c r="R500" s="32"/>
      <c r="S500" s="32"/>
      <c r="T500" s="32"/>
      <c r="U500" s="32"/>
      <c r="V500" s="32"/>
      <c r="W500" s="32"/>
      <c r="X500" s="32"/>
      <c r="Y500" s="32"/>
      <c r="Z500" s="32"/>
    </row>
    <row r="501" spans="1:26" ht="15" customHeight="1" x14ac:dyDescent="0.3">
      <c r="A501" s="155">
        <v>381</v>
      </c>
      <c r="B501" s="156" t="s">
        <v>774</v>
      </c>
      <c r="C501" s="46"/>
      <c r="D501" s="63"/>
      <c r="E501" s="156"/>
      <c r="F501" s="99"/>
      <c r="G501" s="157">
        <v>0.87875000000000003</v>
      </c>
      <c r="H501" s="155">
        <v>120</v>
      </c>
      <c r="I501" s="155">
        <v>40</v>
      </c>
      <c r="J501" s="156" t="s">
        <v>39</v>
      </c>
      <c r="K501" s="52"/>
      <c r="L501" s="53"/>
      <c r="M501" s="54"/>
      <c r="N501" s="55" t="str">
        <f t="shared" si="6"/>
        <v>grams</v>
      </c>
      <c r="O501" s="158">
        <v>105.45</v>
      </c>
      <c r="P501" s="44"/>
      <c r="Q501" s="66"/>
      <c r="R501" s="32"/>
      <c r="S501" s="32"/>
      <c r="T501" s="32"/>
      <c r="U501" s="32"/>
      <c r="V501" s="32"/>
      <c r="W501" s="32"/>
      <c r="X501" s="32"/>
      <c r="Y501" s="32"/>
      <c r="Z501" s="32"/>
    </row>
    <row r="502" spans="1:26" ht="15" customHeight="1" x14ac:dyDescent="0.3">
      <c r="A502" s="155">
        <v>382</v>
      </c>
      <c r="B502" s="156" t="s">
        <v>775</v>
      </c>
      <c r="C502" s="46"/>
      <c r="D502" s="63"/>
      <c r="E502" s="156"/>
      <c r="F502" s="99"/>
      <c r="G502" s="157">
        <v>0.62954500000000002</v>
      </c>
      <c r="H502" s="155">
        <v>792</v>
      </c>
      <c r="I502" s="155">
        <v>44</v>
      </c>
      <c r="J502" s="156" t="s">
        <v>39</v>
      </c>
      <c r="K502" s="52"/>
      <c r="L502" s="53"/>
      <c r="M502" s="54"/>
      <c r="N502" s="55" t="str">
        <f t="shared" si="6"/>
        <v>grams</v>
      </c>
      <c r="O502" s="158">
        <v>498.6</v>
      </c>
      <c r="P502" s="44"/>
      <c r="Q502" s="66"/>
      <c r="R502" s="32"/>
      <c r="S502" s="32"/>
      <c r="T502" s="32"/>
      <c r="U502" s="32"/>
      <c r="V502" s="32"/>
      <c r="W502" s="32"/>
      <c r="X502" s="32"/>
      <c r="Y502" s="32"/>
      <c r="Z502" s="32"/>
    </row>
    <row r="503" spans="1:26" ht="15" customHeight="1" x14ac:dyDescent="0.3">
      <c r="A503" s="155">
        <v>383</v>
      </c>
      <c r="B503" s="156" t="s">
        <v>440</v>
      </c>
      <c r="C503" s="46"/>
      <c r="D503" s="63"/>
      <c r="E503" s="156" t="s">
        <v>441</v>
      </c>
      <c r="F503" s="99"/>
      <c r="G503" s="157">
        <v>5.73</v>
      </c>
      <c r="H503" s="155">
        <v>600</v>
      </c>
      <c r="I503" s="155">
        <v>1</v>
      </c>
      <c r="J503" s="156" t="s">
        <v>92</v>
      </c>
      <c r="K503" s="52"/>
      <c r="L503" s="53"/>
      <c r="M503" s="54"/>
      <c r="N503" s="55" t="str">
        <f t="shared" si="6"/>
        <v>pieces</v>
      </c>
      <c r="O503" s="158">
        <v>3438</v>
      </c>
      <c r="P503" s="44"/>
      <c r="Q503" s="66"/>
      <c r="R503" s="32"/>
      <c r="S503" s="32"/>
      <c r="T503" s="32"/>
      <c r="U503" s="32"/>
      <c r="V503" s="32"/>
      <c r="W503" s="32"/>
      <c r="X503" s="32"/>
      <c r="Y503" s="32"/>
      <c r="Z503" s="32"/>
    </row>
    <row r="504" spans="1:26" ht="15" customHeight="1" x14ac:dyDescent="0.3">
      <c r="A504" s="155">
        <v>384</v>
      </c>
      <c r="B504" s="156" t="s">
        <v>329</v>
      </c>
      <c r="C504" s="46"/>
      <c r="D504" s="63"/>
      <c r="E504" s="156" t="s">
        <v>49</v>
      </c>
      <c r="F504" s="99"/>
      <c r="G504" s="157">
        <v>291.60000000000002</v>
      </c>
      <c r="H504" s="155">
        <v>4</v>
      </c>
      <c r="I504" s="155">
        <v>1</v>
      </c>
      <c r="J504" s="156" t="s">
        <v>39</v>
      </c>
      <c r="K504" s="52"/>
      <c r="L504" s="53"/>
      <c r="M504" s="54"/>
      <c r="N504" s="55" t="str">
        <f t="shared" si="6"/>
        <v>grams</v>
      </c>
      <c r="O504" s="158">
        <v>1166.4000000000001</v>
      </c>
      <c r="P504" s="44"/>
      <c r="Q504" s="66"/>
      <c r="R504" s="32"/>
      <c r="S504" s="32"/>
      <c r="T504" s="32"/>
      <c r="U504" s="32"/>
      <c r="V504" s="32"/>
      <c r="W504" s="32"/>
      <c r="X504" s="32"/>
      <c r="Y504" s="32"/>
      <c r="Z504" s="32"/>
    </row>
    <row r="505" spans="1:26" ht="15" customHeight="1" x14ac:dyDescent="0.3">
      <c r="A505" s="155">
        <v>384</v>
      </c>
      <c r="B505" s="156" t="s">
        <v>329</v>
      </c>
      <c r="C505" s="46"/>
      <c r="D505" s="63"/>
      <c r="E505" s="156"/>
      <c r="F505" s="99"/>
      <c r="G505" s="157">
        <v>0.29199999999999998</v>
      </c>
      <c r="H505" s="155">
        <v>1000</v>
      </c>
      <c r="I505" s="155">
        <v>1</v>
      </c>
      <c r="J505" s="156" t="s">
        <v>39</v>
      </c>
      <c r="K505" s="52"/>
      <c r="L505" s="53"/>
      <c r="M505" s="54"/>
      <c r="N505" s="55" t="str">
        <f t="shared" si="6"/>
        <v>grams</v>
      </c>
      <c r="O505" s="158">
        <v>292</v>
      </c>
      <c r="P505" s="44"/>
      <c r="Q505" s="66"/>
      <c r="R505" s="32"/>
      <c r="S505" s="32"/>
      <c r="T505" s="32"/>
      <c r="U505" s="32"/>
      <c r="V505" s="32"/>
      <c r="W505" s="32"/>
      <c r="X505" s="32"/>
      <c r="Y505" s="32"/>
      <c r="Z505" s="32"/>
    </row>
    <row r="506" spans="1:26" ht="15" customHeight="1" x14ac:dyDescent="0.3">
      <c r="A506" s="155">
        <v>385</v>
      </c>
      <c r="B506" s="156" t="s">
        <v>776</v>
      </c>
      <c r="C506" s="46"/>
      <c r="D506" s="63"/>
      <c r="E506" s="156"/>
      <c r="F506" s="99"/>
      <c r="G506" s="157">
        <v>0.87666699999999997</v>
      </c>
      <c r="H506" s="155">
        <v>60</v>
      </c>
      <c r="I506" s="155">
        <v>60</v>
      </c>
      <c r="J506" s="156" t="s">
        <v>39</v>
      </c>
      <c r="K506" s="52" t="s">
        <v>33</v>
      </c>
      <c r="L506" s="53" t="str">
        <f t="shared" ref="L506:L509" si="7">CONCATENATE(I506,J506)</f>
        <v>60grams</v>
      </c>
      <c r="M506" s="54">
        <f t="shared" ref="M506:M508" si="8">H506*I506</f>
        <v>3600</v>
      </c>
      <c r="N506" s="55" t="str">
        <f t="shared" si="6"/>
        <v>3600 grams</v>
      </c>
      <c r="O506" s="158">
        <v>52.6</v>
      </c>
      <c r="P506" s="44">
        <f t="shared" ref="P506:P509" si="9">O506/H506</f>
        <v>0.87666666666666671</v>
      </c>
      <c r="Q506" s="66">
        <f t="shared" ref="Q506:Q508" si="10">G506-P506</f>
        <v>3.3333333326890369E-7</v>
      </c>
      <c r="R506" s="32"/>
      <c r="S506" s="32"/>
      <c r="T506" s="32"/>
      <c r="U506" s="32"/>
      <c r="V506" s="32"/>
      <c r="W506" s="32"/>
      <c r="X506" s="32"/>
      <c r="Y506" s="32"/>
      <c r="Z506" s="32"/>
    </row>
    <row r="507" spans="1:26" ht="15" customHeight="1" x14ac:dyDescent="0.3">
      <c r="A507" s="155">
        <v>386</v>
      </c>
      <c r="B507" s="156" t="s">
        <v>777</v>
      </c>
      <c r="C507" s="46"/>
      <c r="D507" s="63"/>
      <c r="E507" s="156"/>
      <c r="F507" s="99"/>
      <c r="G507" s="157">
        <v>1.009091</v>
      </c>
      <c r="H507" s="155">
        <v>440</v>
      </c>
      <c r="I507" s="155">
        <v>55</v>
      </c>
      <c r="J507" s="156" t="s">
        <v>39</v>
      </c>
      <c r="K507" s="52" t="s">
        <v>33</v>
      </c>
      <c r="L507" s="53" t="str">
        <f t="shared" si="7"/>
        <v>55grams</v>
      </c>
      <c r="M507" s="54">
        <f t="shared" si="8"/>
        <v>24200</v>
      </c>
      <c r="N507" s="55" t="str">
        <f t="shared" si="6"/>
        <v>24200 grams</v>
      </c>
      <c r="O507" s="158">
        <v>444</v>
      </c>
      <c r="P507" s="44">
        <f t="shared" si="9"/>
        <v>1.009090909090909</v>
      </c>
      <c r="Q507" s="66">
        <f t="shared" si="10"/>
        <v>9.0909090921797997E-8</v>
      </c>
      <c r="R507" s="32"/>
      <c r="S507" s="32"/>
      <c r="T507" s="32"/>
      <c r="U507" s="32"/>
      <c r="V507" s="32"/>
      <c r="W507" s="32"/>
      <c r="X507" s="32"/>
      <c r="Y507" s="32"/>
      <c r="Z507" s="32"/>
    </row>
    <row r="508" spans="1:26" ht="15" customHeight="1" x14ac:dyDescent="0.3">
      <c r="A508" s="155">
        <v>387</v>
      </c>
      <c r="B508" s="156" t="s">
        <v>778</v>
      </c>
      <c r="C508" s="46"/>
      <c r="D508" s="63"/>
      <c r="E508" s="156"/>
      <c r="F508" s="99"/>
      <c r="G508" s="157">
        <v>0.88709700000000002</v>
      </c>
      <c r="H508" s="155">
        <v>124</v>
      </c>
      <c r="I508" s="155">
        <v>62</v>
      </c>
      <c r="J508" s="156" t="s">
        <v>39</v>
      </c>
      <c r="K508" s="52" t="s">
        <v>33</v>
      </c>
      <c r="L508" s="53" t="str">
        <f t="shared" si="7"/>
        <v>62grams</v>
      </c>
      <c r="M508" s="54">
        <f t="shared" si="8"/>
        <v>7688</v>
      </c>
      <c r="N508" s="55" t="str">
        <f t="shared" si="6"/>
        <v>7688 grams</v>
      </c>
      <c r="O508" s="158">
        <v>110</v>
      </c>
      <c r="P508" s="44">
        <f t="shared" si="9"/>
        <v>0.88709677419354838</v>
      </c>
      <c r="Q508" s="66">
        <f t="shared" si="10"/>
        <v>2.2580645164804736E-7</v>
      </c>
      <c r="R508" s="32"/>
      <c r="S508" s="32"/>
      <c r="T508" s="32"/>
      <c r="U508" s="32"/>
      <c r="V508" s="32"/>
      <c r="W508" s="32"/>
      <c r="X508" s="32"/>
      <c r="Y508" s="32"/>
      <c r="Z508" s="32"/>
    </row>
    <row r="509" spans="1:26" ht="25.5" customHeight="1" x14ac:dyDescent="0.3">
      <c r="A509" s="155">
        <v>388</v>
      </c>
      <c r="B509" s="156" t="s">
        <v>779</v>
      </c>
      <c r="C509" s="120"/>
      <c r="D509" s="120"/>
      <c r="E509" s="156"/>
      <c r="F509" s="120"/>
      <c r="G509" s="158">
        <v>0.99245300000000003</v>
      </c>
      <c r="H509" s="155">
        <v>901</v>
      </c>
      <c r="I509" s="155">
        <v>53</v>
      </c>
      <c r="J509" s="156" t="s">
        <v>39</v>
      </c>
      <c r="K509" s="123"/>
      <c r="L509" s="53" t="str">
        <f t="shared" si="7"/>
        <v>53grams</v>
      </c>
      <c r="M509" s="124"/>
      <c r="N509" s="125"/>
      <c r="O509" s="158">
        <v>894.2</v>
      </c>
      <c r="P509" s="44">
        <f t="shared" si="9"/>
        <v>0.99245283018867925</v>
      </c>
      <c r="Q509" s="12"/>
      <c r="R509" s="12"/>
      <c r="S509" s="12"/>
      <c r="T509" s="12"/>
      <c r="U509" s="12"/>
      <c r="V509" s="12"/>
      <c r="W509" s="12"/>
      <c r="X509" s="12"/>
      <c r="Y509" s="12"/>
      <c r="Z509" s="12"/>
    </row>
    <row r="510" spans="1:26" ht="13.5" hidden="1" customHeight="1" x14ac:dyDescent="0.3">
      <c r="A510" s="155">
        <v>389</v>
      </c>
      <c r="B510" s="156" t="s">
        <v>780</v>
      </c>
      <c r="C510" s="129" t="s">
        <v>460</v>
      </c>
      <c r="D510" s="129"/>
      <c r="E510" s="156" t="s">
        <v>781</v>
      </c>
      <c r="F510" s="129"/>
      <c r="G510" s="155">
        <v>68</v>
      </c>
      <c r="H510" s="155">
        <v>1</v>
      </c>
      <c r="I510" s="155">
        <v>1</v>
      </c>
      <c r="J510" s="156" t="s">
        <v>92</v>
      </c>
      <c r="K510" s="129"/>
      <c r="L510" s="129"/>
      <c r="M510" s="129"/>
      <c r="N510" s="62"/>
      <c r="O510" s="158">
        <v>68</v>
      </c>
      <c r="P510" s="44"/>
      <c r="Q510" s="12"/>
      <c r="R510" s="12"/>
      <c r="S510" s="12"/>
      <c r="T510" s="12"/>
      <c r="U510" s="12"/>
      <c r="V510" s="12"/>
      <c r="W510" s="12"/>
      <c r="X510" s="12"/>
      <c r="Y510" s="12"/>
      <c r="Z510" s="12"/>
    </row>
    <row r="511" spans="1:26" ht="14.25" hidden="1" customHeight="1" x14ac:dyDescent="0.3">
      <c r="A511" s="155">
        <v>390</v>
      </c>
      <c r="B511" s="156" t="s">
        <v>286</v>
      </c>
      <c r="C511" s="129"/>
      <c r="D511" s="129"/>
      <c r="E511" s="156" t="s">
        <v>239</v>
      </c>
      <c r="F511" s="129"/>
      <c r="G511" s="155">
        <v>73</v>
      </c>
      <c r="H511" s="155">
        <v>35</v>
      </c>
      <c r="I511" s="155">
        <v>1</v>
      </c>
      <c r="J511" s="156" t="s">
        <v>200</v>
      </c>
      <c r="K511" s="129"/>
      <c r="L511" s="129"/>
      <c r="M511" s="129"/>
      <c r="N511" s="62"/>
      <c r="O511" s="158">
        <v>2555</v>
      </c>
      <c r="P511" s="44"/>
      <c r="Q511" s="12"/>
      <c r="R511" s="12"/>
      <c r="S511" s="12"/>
      <c r="T511" s="12"/>
      <c r="U511" s="12"/>
      <c r="V511" s="12"/>
      <c r="W511" s="12"/>
      <c r="X511" s="12"/>
      <c r="Y511" s="12"/>
      <c r="Z511" s="12"/>
    </row>
    <row r="512" spans="1:26" ht="14.25" hidden="1" customHeight="1" x14ac:dyDescent="0.3">
      <c r="A512" s="155">
        <v>390</v>
      </c>
      <c r="B512" s="156" t="s">
        <v>286</v>
      </c>
      <c r="C512" s="129"/>
      <c r="D512" s="129"/>
      <c r="E512" s="156" t="s">
        <v>82</v>
      </c>
      <c r="F512" s="129"/>
      <c r="G512" s="155">
        <v>8.6199999999999999E-2</v>
      </c>
      <c r="H512" s="155">
        <v>10000</v>
      </c>
      <c r="I512" s="155">
        <v>1</v>
      </c>
      <c r="J512" s="156" t="s">
        <v>39</v>
      </c>
      <c r="K512" s="129"/>
      <c r="L512" s="129"/>
      <c r="M512" s="129"/>
      <c r="N512" s="62"/>
      <c r="O512" s="158">
        <v>862</v>
      </c>
      <c r="P512" s="44"/>
      <c r="Q512" s="12"/>
      <c r="R512" s="12"/>
      <c r="S512" s="12"/>
      <c r="T512" s="12"/>
      <c r="U512" s="12"/>
      <c r="V512" s="12"/>
      <c r="W512" s="12"/>
      <c r="X512" s="12"/>
      <c r="Y512" s="12"/>
      <c r="Z512" s="12"/>
    </row>
    <row r="513" spans="1:26" ht="14.25" hidden="1" customHeight="1" x14ac:dyDescent="0.3">
      <c r="A513" s="155">
        <v>390</v>
      </c>
      <c r="B513" s="156" t="s">
        <v>286</v>
      </c>
      <c r="C513" s="129"/>
      <c r="D513" s="129"/>
      <c r="E513" s="156" t="s">
        <v>782</v>
      </c>
      <c r="F513" s="129"/>
      <c r="G513" s="155">
        <v>0.24954999999999999</v>
      </c>
      <c r="H513" s="155">
        <v>1000</v>
      </c>
      <c r="I513" s="155">
        <v>1</v>
      </c>
      <c r="J513" s="156" t="s">
        <v>32</v>
      </c>
      <c r="K513" s="129"/>
      <c r="L513" s="129"/>
      <c r="M513" s="129"/>
      <c r="N513" s="62"/>
      <c r="O513" s="158">
        <v>249.55</v>
      </c>
      <c r="P513" s="44"/>
      <c r="Q513" s="12"/>
      <c r="R513" s="12"/>
      <c r="S513" s="12"/>
      <c r="T513" s="12"/>
      <c r="U513" s="12"/>
      <c r="V513" s="12"/>
      <c r="W513" s="12"/>
      <c r="X513" s="12"/>
      <c r="Y513" s="12"/>
      <c r="Z513" s="12"/>
    </row>
    <row r="514" spans="1:26" ht="14.25" hidden="1" customHeight="1" x14ac:dyDescent="0.3">
      <c r="A514" s="155">
        <v>390</v>
      </c>
      <c r="B514" s="156" t="s">
        <v>286</v>
      </c>
      <c r="C514" s="132"/>
      <c r="D514" s="132"/>
      <c r="E514" s="156"/>
      <c r="F514" s="132"/>
      <c r="G514" s="158">
        <v>65</v>
      </c>
      <c r="H514" s="155">
        <v>3</v>
      </c>
      <c r="I514" s="155">
        <v>1</v>
      </c>
      <c r="J514" s="156" t="s">
        <v>200</v>
      </c>
      <c r="K514" s="132"/>
      <c r="L514" s="132"/>
      <c r="M514" s="134"/>
      <c r="N514" s="62"/>
      <c r="O514" s="158">
        <v>195</v>
      </c>
      <c r="P514" s="44"/>
      <c r="Q514" s="12"/>
      <c r="R514" s="12"/>
      <c r="S514" s="12"/>
      <c r="T514" s="12"/>
      <c r="U514" s="12"/>
      <c r="V514" s="12"/>
      <c r="W514" s="12"/>
      <c r="X514" s="12"/>
      <c r="Y514" s="12"/>
      <c r="Z514" s="12"/>
    </row>
    <row r="515" spans="1:26" ht="14.25" hidden="1" customHeight="1" x14ac:dyDescent="0.3">
      <c r="A515" s="155">
        <v>390</v>
      </c>
      <c r="B515" s="156" t="s">
        <v>286</v>
      </c>
      <c r="C515" s="132" t="s">
        <v>461</v>
      </c>
      <c r="D515" s="132"/>
      <c r="E515" s="156"/>
      <c r="F515" s="132"/>
      <c r="G515" s="158">
        <v>0.26</v>
      </c>
      <c r="H515" s="155">
        <v>2000</v>
      </c>
      <c r="I515" s="155">
        <v>1</v>
      </c>
      <c r="J515" s="156" t="s">
        <v>32</v>
      </c>
      <c r="K515" s="132"/>
      <c r="L515" s="132"/>
      <c r="M515" s="134"/>
      <c r="N515" s="62"/>
      <c r="O515" s="158">
        <v>520</v>
      </c>
      <c r="P515" s="44"/>
      <c r="Q515" s="12"/>
      <c r="R515" s="12"/>
      <c r="S515" s="12"/>
      <c r="T515" s="12"/>
      <c r="U515" s="12"/>
      <c r="V515" s="12"/>
      <c r="W515" s="12"/>
      <c r="X515" s="12"/>
      <c r="Y515" s="12"/>
      <c r="Z515" s="12"/>
    </row>
    <row r="516" spans="1:26" ht="14.25" hidden="1" customHeight="1" x14ac:dyDescent="0.35">
      <c r="A516" s="155">
        <v>391</v>
      </c>
      <c r="B516" s="156" t="s">
        <v>330</v>
      </c>
      <c r="C516" s="135" t="s">
        <v>783</v>
      </c>
      <c r="D516" s="136" t="s">
        <v>463</v>
      </c>
      <c r="E516" s="156" t="s">
        <v>784</v>
      </c>
      <c r="F516" s="132"/>
      <c r="G516" s="155">
        <v>8.9578000000000005E-2</v>
      </c>
      <c r="H516" s="155">
        <v>3600</v>
      </c>
      <c r="I516" s="155">
        <v>900</v>
      </c>
      <c r="J516" s="156" t="s">
        <v>39</v>
      </c>
      <c r="K516" s="136"/>
      <c r="L516" s="136"/>
      <c r="M516" s="136"/>
      <c r="N516" s="62"/>
      <c r="O516" s="158">
        <v>322.48</v>
      </c>
      <c r="P516" s="44"/>
      <c r="Q516" s="12"/>
      <c r="R516" s="12"/>
      <c r="S516" s="12"/>
      <c r="T516" s="12"/>
      <c r="U516" s="12"/>
      <c r="V516" s="12"/>
      <c r="W516" s="12"/>
      <c r="X516" s="12"/>
      <c r="Y516" s="12"/>
      <c r="Z516" s="12"/>
    </row>
    <row r="517" spans="1:26" ht="14.25" hidden="1" customHeight="1" x14ac:dyDescent="0.3">
      <c r="A517" s="155">
        <v>391</v>
      </c>
      <c r="B517" s="156" t="s">
        <v>330</v>
      </c>
      <c r="C517" s="135"/>
      <c r="D517" s="136"/>
      <c r="E517" s="156" t="s">
        <v>326</v>
      </c>
      <c r="F517" s="132"/>
      <c r="G517" s="158">
        <v>65</v>
      </c>
      <c r="H517" s="155">
        <v>3</v>
      </c>
      <c r="I517" s="155">
        <v>900</v>
      </c>
      <c r="J517" s="156" t="s">
        <v>39</v>
      </c>
      <c r="K517" s="138"/>
      <c r="L517" s="138"/>
      <c r="M517" s="139"/>
      <c r="N517" s="62"/>
      <c r="O517" s="158">
        <v>195</v>
      </c>
      <c r="P517" s="44"/>
      <c r="Q517" s="12"/>
      <c r="R517" s="12"/>
      <c r="S517" s="12"/>
      <c r="T517" s="12"/>
      <c r="U517" s="12"/>
      <c r="V517" s="12"/>
      <c r="W517" s="12"/>
      <c r="X517" s="12"/>
      <c r="Y517" s="12"/>
      <c r="Z517" s="12"/>
    </row>
    <row r="518" spans="1:26" ht="14.25" hidden="1" customHeight="1" x14ac:dyDescent="0.3">
      <c r="A518" s="155">
        <v>391</v>
      </c>
      <c r="B518" s="156" t="s">
        <v>330</v>
      </c>
      <c r="C518" s="135"/>
      <c r="D518" s="132"/>
      <c r="E518" s="156"/>
      <c r="F518" s="132"/>
      <c r="G518" s="158">
        <v>7.9111000000000001E-2</v>
      </c>
      <c r="H518" s="155">
        <v>2700</v>
      </c>
      <c r="I518" s="155">
        <v>900</v>
      </c>
      <c r="J518" s="156" t="s">
        <v>39</v>
      </c>
      <c r="K518" s="132"/>
      <c r="L518" s="132"/>
      <c r="M518" s="134"/>
      <c r="N518" s="62"/>
      <c r="O518" s="158">
        <v>213.6</v>
      </c>
      <c r="P518" s="44"/>
      <c r="Q518" s="12"/>
      <c r="R518" s="12"/>
      <c r="S518" s="12"/>
      <c r="T518" s="12"/>
      <c r="U518" s="12"/>
      <c r="V518" s="12"/>
      <c r="W518" s="12"/>
      <c r="X518" s="12"/>
      <c r="Y518" s="12"/>
      <c r="Z518" s="12"/>
    </row>
    <row r="519" spans="1:26" ht="14.25" hidden="1" customHeight="1" x14ac:dyDescent="0.3">
      <c r="A519" s="155">
        <v>392</v>
      </c>
      <c r="B519" s="156" t="s">
        <v>785</v>
      </c>
      <c r="C519" s="135" t="s">
        <v>465</v>
      </c>
      <c r="D519" s="136" t="s">
        <v>466</v>
      </c>
      <c r="E519" s="156"/>
      <c r="F519" s="132"/>
      <c r="G519" s="155">
        <v>0.623529</v>
      </c>
      <c r="H519" s="155">
        <v>5100</v>
      </c>
      <c r="I519" s="155">
        <v>340</v>
      </c>
      <c r="J519" s="156" t="s">
        <v>39</v>
      </c>
      <c r="K519" s="136"/>
      <c r="L519" s="136"/>
      <c r="M519" s="136"/>
      <c r="N519" s="62"/>
      <c r="O519" s="158">
        <v>3180</v>
      </c>
      <c r="P519" s="44"/>
      <c r="Q519" s="12"/>
      <c r="R519" s="12"/>
      <c r="S519" s="12"/>
      <c r="T519" s="12"/>
      <c r="U519" s="12"/>
      <c r="V519" s="12"/>
      <c r="W519" s="12"/>
      <c r="X519" s="12"/>
      <c r="Y519" s="12"/>
      <c r="Z519" s="12"/>
    </row>
    <row r="520" spans="1:26" ht="14.25" hidden="1" customHeight="1" x14ac:dyDescent="0.3">
      <c r="A520" s="155">
        <v>393</v>
      </c>
      <c r="B520" s="156" t="s">
        <v>786</v>
      </c>
      <c r="C520" s="135"/>
      <c r="D520" s="136"/>
      <c r="E520" s="156" t="s">
        <v>206</v>
      </c>
      <c r="F520" s="132"/>
      <c r="G520" s="158">
        <v>19.399999999999999</v>
      </c>
      <c r="H520" s="155">
        <v>3</v>
      </c>
      <c r="I520" s="155">
        <v>1</v>
      </c>
      <c r="J520" s="156" t="s">
        <v>92</v>
      </c>
      <c r="K520" s="138"/>
      <c r="L520" s="138"/>
      <c r="M520" s="134"/>
      <c r="N520" s="62"/>
      <c r="O520" s="158">
        <v>58.2</v>
      </c>
      <c r="P520" s="44"/>
      <c r="Q520" s="12"/>
      <c r="R520" s="12"/>
      <c r="S520" s="12"/>
      <c r="T520" s="12"/>
      <c r="U520" s="12"/>
      <c r="V520" s="12"/>
      <c r="W520" s="12"/>
      <c r="X520" s="12"/>
      <c r="Y520" s="12"/>
      <c r="Z520" s="12"/>
    </row>
    <row r="521" spans="1:26" ht="14.25" hidden="1" customHeight="1" x14ac:dyDescent="0.3">
      <c r="A521" s="155">
        <v>394</v>
      </c>
      <c r="B521" s="156" t="s">
        <v>787</v>
      </c>
      <c r="C521" s="135"/>
      <c r="D521" s="132"/>
      <c r="E521" s="156" t="s">
        <v>206</v>
      </c>
      <c r="F521" s="132"/>
      <c r="G521" s="158">
        <v>33.700000000000003</v>
      </c>
      <c r="H521" s="155">
        <v>12</v>
      </c>
      <c r="I521" s="155">
        <v>1</v>
      </c>
      <c r="J521" s="156" t="s">
        <v>92</v>
      </c>
      <c r="K521" s="132"/>
      <c r="L521" s="132"/>
      <c r="M521" s="134"/>
      <c r="N521" s="62"/>
      <c r="O521" s="158">
        <v>404.4</v>
      </c>
      <c r="P521" s="44"/>
      <c r="Q521" s="12"/>
      <c r="R521" s="12"/>
      <c r="S521" s="12"/>
      <c r="T521" s="12"/>
      <c r="U521" s="12"/>
      <c r="V521" s="12"/>
      <c r="W521" s="12"/>
      <c r="X521" s="12"/>
      <c r="Y521" s="12"/>
      <c r="Z521" s="12"/>
    </row>
    <row r="522" spans="1:26" ht="14.25" hidden="1" customHeight="1" x14ac:dyDescent="0.3">
      <c r="A522" s="155">
        <v>395</v>
      </c>
      <c r="B522" s="156" t="s">
        <v>788</v>
      </c>
      <c r="C522" s="135" t="s">
        <v>468</v>
      </c>
      <c r="D522" s="132" t="s">
        <v>469</v>
      </c>
      <c r="E522" s="156"/>
      <c r="F522" s="132"/>
      <c r="G522" s="158">
        <v>96.9</v>
      </c>
      <c r="H522" s="155">
        <v>2</v>
      </c>
      <c r="I522" s="155">
        <v>1</v>
      </c>
      <c r="J522" s="156" t="s">
        <v>92</v>
      </c>
      <c r="K522" s="132"/>
      <c r="L522" s="132"/>
      <c r="M522" s="134"/>
      <c r="N522" s="62"/>
      <c r="O522" s="158">
        <v>193.8</v>
      </c>
      <c r="P522" s="44"/>
      <c r="Q522" s="12"/>
      <c r="R522" s="12"/>
      <c r="S522" s="12"/>
      <c r="T522" s="12"/>
      <c r="U522" s="12"/>
      <c r="V522" s="12"/>
      <c r="W522" s="12"/>
      <c r="X522" s="12"/>
      <c r="Y522" s="12"/>
      <c r="Z522" s="12"/>
    </row>
    <row r="523" spans="1:26" ht="14.25" hidden="1" customHeight="1" x14ac:dyDescent="0.3">
      <c r="A523" s="155">
        <v>396</v>
      </c>
      <c r="B523" s="156" t="s">
        <v>789</v>
      </c>
      <c r="C523" s="135"/>
      <c r="D523" s="132"/>
      <c r="E523" s="156" t="s">
        <v>790</v>
      </c>
      <c r="F523" s="132"/>
      <c r="G523" s="158">
        <v>0.84499999999999997</v>
      </c>
      <c r="H523" s="155">
        <v>500</v>
      </c>
      <c r="I523" s="155">
        <v>1000</v>
      </c>
      <c r="J523" s="156" t="s">
        <v>39</v>
      </c>
      <c r="K523" s="132"/>
      <c r="L523" s="132"/>
      <c r="M523" s="134"/>
      <c r="N523" s="62"/>
      <c r="O523" s="158">
        <v>422.5</v>
      </c>
      <c r="P523" s="44"/>
      <c r="Q523" s="12"/>
      <c r="R523" s="12"/>
      <c r="S523" s="12"/>
      <c r="T523" s="12"/>
      <c r="U523" s="12"/>
      <c r="V523" s="12"/>
      <c r="W523" s="12"/>
      <c r="X523" s="12"/>
      <c r="Y523" s="12"/>
      <c r="Z523" s="12"/>
    </row>
    <row r="524" spans="1:26" ht="14.25" hidden="1" customHeight="1" x14ac:dyDescent="0.35">
      <c r="A524" s="155">
        <v>396</v>
      </c>
      <c r="B524" s="156" t="s">
        <v>789</v>
      </c>
      <c r="C524" s="135" t="s">
        <v>791</v>
      </c>
      <c r="D524" s="136" t="s">
        <v>471</v>
      </c>
      <c r="E524" s="156"/>
      <c r="F524" s="132"/>
      <c r="G524" s="155">
        <v>0.35</v>
      </c>
      <c r="H524" s="155">
        <v>800</v>
      </c>
      <c r="I524" s="155">
        <v>1000</v>
      </c>
      <c r="J524" s="156" t="s">
        <v>39</v>
      </c>
      <c r="K524" s="136"/>
      <c r="L524" s="136"/>
      <c r="M524" s="136"/>
      <c r="N524" s="62"/>
      <c r="O524" s="158">
        <v>280</v>
      </c>
      <c r="P524" s="44"/>
      <c r="Q524" s="12"/>
      <c r="R524" s="12"/>
      <c r="S524" s="12"/>
      <c r="T524" s="12"/>
      <c r="U524" s="12"/>
      <c r="V524" s="12"/>
      <c r="W524" s="12"/>
      <c r="X524" s="12"/>
      <c r="Y524" s="12"/>
      <c r="Z524" s="12"/>
    </row>
    <row r="525" spans="1:26" ht="14.25" hidden="1" customHeight="1" x14ac:dyDescent="0.3">
      <c r="A525" s="155">
        <v>397</v>
      </c>
      <c r="B525" s="156" t="s">
        <v>792</v>
      </c>
      <c r="C525" s="132"/>
      <c r="D525" s="136"/>
      <c r="E525" s="156"/>
      <c r="F525" s="132"/>
      <c r="G525" s="158">
        <v>11.3</v>
      </c>
      <c r="H525" s="155">
        <v>33</v>
      </c>
      <c r="I525" s="155">
        <v>1</v>
      </c>
      <c r="J525" s="156" t="s">
        <v>92</v>
      </c>
      <c r="K525" s="132"/>
      <c r="L525" s="132"/>
      <c r="M525" s="134"/>
      <c r="N525" s="62"/>
      <c r="O525" s="158">
        <v>372.9</v>
      </c>
      <c r="P525" s="44"/>
      <c r="Q525" s="12"/>
      <c r="R525" s="12"/>
      <c r="S525" s="12"/>
      <c r="T525" s="12"/>
      <c r="U525" s="12"/>
      <c r="V525" s="12"/>
      <c r="W525" s="12"/>
      <c r="X525" s="12"/>
      <c r="Y525" s="12"/>
      <c r="Z525" s="12"/>
    </row>
    <row r="526" spans="1:26" ht="14.25" hidden="1" customHeight="1" x14ac:dyDescent="0.3">
      <c r="A526" s="155">
        <v>398</v>
      </c>
      <c r="B526" s="156" t="s">
        <v>119</v>
      </c>
      <c r="C526" s="132"/>
      <c r="D526" s="132"/>
      <c r="E526" s="156" t="s">
        <v>120</v>
      </c>
      <c r="F526" s="132"/>
      <c r="G526" s="158">
        <v>18.440000000000001</v>
      </c>
      <c r="H526" s="155">
        <v>373</v>
      </c>
      <c r="I526" s="155">
        <v>1</v>
      </c>
      <c r="J526" s="156" t="s">
        <v>92</v>
      </c>
      <c r="K526" s="132"/>
      <c r="L526" s="132"/>
      <c r="M526" s="134"/>
      <c r="N526" s="62"/>
      <c r="O526" s="158">
        <v>6878.12</v>
      </c>
      <c r="P526" s="44"/>
      <c r="Q526" s="12"/>
      <c r="R526" s="12"/>
      <c r="S526" s="12"/>
      <c r="T526" s="12"/>
      <c r="U526" s="12"/>
      <c r="V526" s="12"/>
      <c r="W526" s="12"/>
      <c r="X526" s="12"/>
      <c r="Y526" s="12"/>
      <c r="Z526" s="12"/>
    </row>
    <row r="527" spans="1:26" ht="14.25" hidden="1" customHeight="1" x14ac:dyDescent="0.3">
      <c r="A527" s="155">
        <v>399</v>
      </c>
      <c r="B527" s="156" t="s">
        <v>793</v>
      </c>
      <c r="C527" s="129" t="s">
        <v>474</v>
      </c>
      <c r="D527" s="129"/>
      <c r="E527" s="156" t="s">
        <v>82</v>
      </c>
      <c r="F527" s="129"/>
      <c r="G527" s="155">
        <v>8.6199999999999999E-2</v>
      </c>
      <c r="H527" s="155">
        <v>37000</v>
      </c>
      <c r="I527" s="155">
        <v>1000</v>
      </c>
      <c r="J527" s="156" t="s">
        <v>39</v>
      </c>
      <c r="K527" s="129"/>
      <c r="L527" s="129"/>
      <c r="M527" s="129"/>
      <c r="N527" s="62"/>
      <c r="O527" s="158">
        <v>3189.4</v>
      </c>
      <c r="P527" s="44"/>
      <c r="Q527" s="12"/>
      <c r="R527" s="12"/>
      <c r="S527" s="12"/>
      <c r="T527" s="12"/>
      <c r="U527" s="12"/>
      <c r="V527" s="12"/>
      <c r="W527" s="12"/>
      <c r="X527" s="12"/>
      <c r="Y527" s="12"/>
      <c r="Z527" s="12"/>
    </row>
    <row r="528" spans="1:26" ht="14.25" hidden="1" customHeight="1" x14ac:dyDescent="0.3">
      <c r="A528" s="155">
        <v>400</v>
      </c>
      <c r="B528" s="156" t="s">
        <v>794</v>
      </c>
      <c r="C528" s="141"/>
      <c r="D528" s="141"/>
      <c r="E528" s="156" t="s">
        <v>795</v>
      </c>
      <c r="F528" s="141"/>
      <c r="G528" s="158">
        <v>1.3</v>
      </c>
      <c r="H528" s="155">
        <v>305</v>
      </c>
      <c r="I528" s="155">
        <v>1</v>
      </c>
      <c r="J528" s="156" t="s">
        <v>92</v>
      </c>
      <c r="K528" s="141"/>
      <c r="L528" s="141"/>
      <c r="M528" s="144"/>
      <c r="N528" s="62"/>
      <c r="O528" s="158">
        <v>396.5</v>
      </c>
      <c r="P528" s="44"/>
      <c r="Q528" s="12"/>
      <c r="R528" s="12"/>
      <c r="S528" s="12"/>
      <c r="T528" s="12"/>
      <c r="U528" s="12"/>
      <c r="V528" s="12"/>
      <c r="W528" s="12"/>
      <c r="X528" s="12"/>
      <c r="Y528" s="12"/>
      <c r="Z528" s="12"/>
    </row>
    <row r="529" spans="1:26" ht="14.25" hidden="1" customHeight="1" x14ac:dyDescent="0.3">
      <c r="A529" s="155">
        <v>401</v>
      </c>
      <c r="B529" s="156" t="s">
        <v>81</v>
      </c>
      <c r="C529" s="145"/>
      <c r="D529" s="145"/>
      <c r="E529" s="156" t="s">
        <v>82</v>
      </c>
      <c r="F529" s="145"/>
      <c r="G529" s="155">
        <v>9.8330000000000001E-2</v>
      </c>
      <c r="H529" s="155">
        <v>38008</v>
      </c>
      <c r="I529" s="155">
        <v>1000</v>
      </c>
      <c r="J529" s="156" t="s">
        <v>39</v>
      </c>
      <c r="K529" s="145"/>
      <c r="L529" s="145"/>
      <c r="M529" s="145"/>
      <c r="N529" s="146"/>
      <c r="O529" s="158">
        <v>3737.32</v>
      </c>
      <c r="P529" s="44"/>
      <c r="Q529" s="12"/>
      <c r="R529" s="12"/>
      <c r="S529" s="12"/>
      <c r="T529" s="12"/>
      <c r="U529" s="12"/>
      <c r="V529" s="12"/>
      <c r="W529" s="12"/>
      <c r="X529" s="12"/>
      <c r="Y529" s="12"/>
      <c r="Z529" s="12"/>
    </row>
    <row r="530" spans="1:26" ht="14.25" hidden="1" customHeight="1" x14ac:dyDescent="0.3">
      <c r="A530" s="155">
        <v>402</v>
      </c>
      <c r="B530" s="156" t="s">
        <v>796</v>
      </c>
      <c r="C530" s="145"/>
      <c r="D530" s="145"/>
      <c r="E530" s="156" t="s">
        <v>797</v>
      </c>
      <c r="F530" s="145"/>
      <c r="G530" s="155">
        <v>0.24</v>
      </c>
      <c r="H530" s="155">
        <v>2250</v>
      </c>
      <c r="I530" s="155">
        <v>5</v>
      </c>
      <c r="J530" s="156" t="s">
        <v>39</v>
      </c>
      <c r="K530" s="145"/>
      <c r="L530" s="145"/>
      <c r="M530" s="145"/>
      <c r="N530" s="146"/>
      <c r="O530" s="158">
        <v>540</v>
      </c>
      <c r="P530" s="44"/>
      <c r="Q530" s="12"/>
      <c r="R530" s="12"/>
      <c r="S530" s="12"/>
      <c r="T530" s="12"/>
      <c r="U530" s="12"/>
      <c r="V530" s="12"/>
      <c r="W530" s="12"/>
      <c r="X530" s="12"/>
      <c r="Y530" s="12"/>
      <c r="Z530" s="12"/>
    </row>
    <row r="531" spans="1:26" ht="14.25" hidden="1" customHeight="1" x14ac:dyDescent="0.3">
      <c r="A531" s="155">
        <v>403</v>
      </c>
      <c r="B531" s="156" t="s">
        <v>798</v>
      </c>
      <c r="C531" s="145"/>
      <c r="D531" s="145"/>
      <c r="E531" s="156" t="s">
        <v>799</v>
      </c>
      <c r="F531" s="145"/>
      <c r="G531" s="155">
        <v>0.185</v>
      </c>
      <c r="H531" s="155">
        <v>200</v>
      </c>
      <c r="I531" s="155">
        <v>200</v>
      </c>
      <c r="J531" s="156" t="s">
        <v>39</v>
      </c>
      <c r="K531" s="145"/>
      <c r="L531" s="145"/>
      <c r="M531" s="145"/>
      <c r="N531" s="146"/>
      <c r="O531" s="158">
        <v>37</v>
      </c>
      <c r="P531" s="44"/>
      <c r="Q531" s="12"/>
      <c r="R531" s="12"/>
      <c r="S531" s="12"/>
      <c r="T531" s="12"/>
      <c r="U531" s="12"/>
      <c r="V531" s="12"/>
      <c r="W531" s="12"/>
      <c r="X531" s="12"/>
      <c r="Y531" s="12"/>
      <c r="Z531" s="12"/>
    </row>
    <row r="532" spans="1:26" ht="14.25" hidden="1" customHeight="1" x14ac:dyDescent="0.3">
      <c r="A532" s="155">
        <v>404</v>
      </c>
      <c r="B532" s="156" t="s">
        <v>83</v>
      </c>
      <c r="C532" s="25"/>
      <c r="D532" s="25"/>
      <c r="E532" s="156" t="s">
        <v>82</v>
      </c>
      <c r="F532" s="25"/>
      <c r="G532" s="158">
        <v>80.319999999999993</v>
      </c>
      <c r="H532" s="155">
        <v>71</v>
      </c>
      <c r="I532" s="155">
        <v>1000</v>
      </c>
      <c r="J532" s="156" t="s">
        <v>39</v>
      </c>
      <c r="K532" s="25"/>
      <c r="L532" s="25"/>
      <c r="M532" s="150"/>
      <c r="N532" s="149"/>
      <c r="O532" s="158">
        <v>5702.72</v>
      </c>
      <c r="P532" s="44"/>
      <c r="Q532" s="12"/>
      <c r="R532" s="12"/>
      <c r="S532" s="12"/>
      <c r="T532" s="12"/>
      <c r="U532" s="12"/>
      <c r="V532" s="12"/>
      <c r="W532" s="12"/>
      <c r="X532" s="12"/>
      <c r="Y532" s="12"/>
      <c r="Z532" s="12"/>
    </row>
    <row r="533" spans="1:26" ht="14.25" hidden="1" customHeight="1" x14ac:dyDescent="0.3">
      <c r="A533" s="155">
        <v>405</v>
      </c>
      <c r="B533" s="156" t="s">
        <v>84</v>
      </c>
      <c r="C533" s="151"/>
      <c r="D533" s="151"/>
      <c r="E533" s="156" t="s">
        <v>82</v>
      </c>
      <c r="F533" s="151"/>
      <c r="G533" s="155">
        <v>84.44</v>
      </c>
      <c r="H533" s="155">
        <v>22</v>
      </c>
      <c r="I533" s="155">
        <v>1000</v>
      </c>
      <c r="J533" s="156" t="s">
        <v>39</v>
      </c>
      <c r="K533" s="153"/>
      <c r="L533" s="151"/>
      <c r="M533" s="144"/>
      <c r="N533" s="62"/>
      <c r="O533" s="158">
        <v>1857.68</v>
      </c>
      <c r="P533" s="44"/>
      <c r="Q533" s="12"/>
      <c r="R533" s="12"/>
      <c r="S533" s="12"/>
      <c r="T533" s="12"/>
      <c r="U533" s="12"/>
      <c r="V533" s="12"/>
      <c r="W533" s="12"/>
      <c r="X533" s="12"/>
      <c r="Y533" s="12"/>
      <c r="Z533" s="12"/>
    </row>
    <row r="534" spans="1:26" ht="14.25" hidden="1" customHeight="1" x14ac:dyDescent="0.3">
      <c r="A534" s="155">
        <v>406</v>
      </c>
      <c r="B534" s="156" t="s">
        <v>800</v>
      </c>
      <c r="C534" s="151"/>
      <c r="D534" s="151"/>
      <c r="E534" s="156" t="s">
        <v>82</v>
      </c>
      <c r="F534" s="151"/>
      <c r="G534" s="155">
        <v>9.8000000000000004E-2</v>
      </c>
      <c r="H534" s="155">
        <v>12000</v>
      </c>
      <c r="I534" s="155">
        <v>1000</v>
      </c>
      <c r="J534" s="156" t="s">
        <v>39</v>
      </c>
      <c r="K534" s="151"/>
      <c r="L534" s="151"/>
      <c r="M534" s="144"/>
      <c r="N534" s="62"/>
      <c r="O534" s="158">
        <v>1176</v>
      </c>
      <c r="P534" s="44"/>
      <c r="Q534" s="12"/>
      <c r="R534" s="12"/>
      <c r="S534" s="12"/>
      <c r="T534" s="12"/>
      <c r="U534" s="12"/>
      <c r="V534" s="12"/>
      <c r="W534" s="12"/>
      <c r="X534" s="12"/>
      <c r="Y534" s="12"/>
      <c r="Z534" s="12"/>
    </row>
    <row r="535" spans="1:26" ht="14.25" hidden="1" customHeight="1" x14ac:dyDescent="0.3">
      <c r="A535" s="155">
        <v>407</v>
      </c>
      <c r="B535" s="156" t="s">
        <v>801</v>
      </c>
      <c r="C535" s="151"/>
      <c r="D535" s="151"/>
      <c r="E535" s="156" t="s">
        <v>352</v>
      </c>
      <c r="F535" s="151"/>
      <c r="G535" s="155">
        <v>52.52</v>
      </c>
      <c r="H535" s="155">
        <v>8</v>
      </c>
      <c r="I535" s="155">
        <v>1</v>
      </c>
      <c r="J535" s="156" t="s">
        <v>304</v>
      </c>
      <c r="K535" s="151"/>
      <c r="L535" s="151"/>
      <c r="M535" s="144"/>
      <c r="N535" s="62"/>
      <c r="O535" s="158">
        <v>420.16</v>
      </c>
      <c r="P535" s="44"/>
      <c r="Q535" s="12"/>
      <c r="R535" s="12"/>
      <c r="S535" s="12"/>
      <c r="T535" s="12"/>
      <c r="U535" s="12"/>
      <c r="V535" s="12"/>
      <c r="W535" s="12"/>
      <c r="X535" s="12"/>
      <c r="Y535" s="12"/>
      <c r="Z535" s="12"/>
    </row>
    <row r="536" spans="1:26" ht="14.25" hidden="1" customHeight="1" x14ac:dyDescent="0.3">
      <c r="A536" s="155">
        <v>408</v>
      </c>
      <c r="B536" s="156" t="s">
        <v>351</v>
      </c>
      <c r="C536" s="151"/>
      <c r="D536" s="151"/>
      <c r="E536" s="156" t="s">
        <v>352</v>
      </c>
      <c r="F536" s="151"/>
      <c r="G536" s="158">
        <v>74</v>
      </c>
      <c r="H536" s="155">
        <v>3</v>
      </c>
      <c r="I536" s="155">
        <v>1</v>
      </c>
      <c r="J536" s="156" t="s">
        <v>304</v>
      </c>
      <c r="M536" s="144"/>
      <c r="N536" s="62"/>
      <c r="O536" s="158">
        <v>222</v>
      </c>
      <c r="P536" s="44"/>
      <c r="Q536" s="12"/>
      <c r="R536" s="12"/>
      <c r="S536" s="12"/>
      <c r="T536" s="12"/>
      <c r="U536" s="12"/>
      <c r="V536" s="12"/>
      <c r="W536" s="12"/>
      <c r="X536" s="12"/>
      <c r="Y536" s="12"/>
      <c r="Z536" s="12"/>
    </row>
    <row r="537" spans="1:26" ht="14.25" hidden="1" customHeight="1" x14ac:dyDescent="0.3">
      <c r="A537" s="155">
        <v>409</v>
      </c>
      <c r="B537" s="156" t="s">
        <v>802</v>
      </c>
      <c r="C537" s="151"/>
      <c r="D537" s="151"/>
      <c r="E537" s="156"/>
      <c r="F537" s="151"/>
      <c r="G537" s="158">
        <v>0.44</v>
      </c>
      <c r="H537" s="155">
        <v>3000</v>
      </c>
      <c r="I537" s="155">
        <v>1000</v>
      </c>
      <c r="J537" s="156" t="s">
        <v>39</v>
      </c>
      <c r="K537" s="151"/>
      <c r="L537" s="151"/>
      <c r="M537" s="144"/>
      <c r="N537" s="62"/>
      <c r="O537" s="158">
        <v>1320</v>
      </c>
      <c r="P537" s="44"/>
      <c r="Q537" s="12"/>
      <c r="R537" s="12"/>
      <c r="S537" s="12"/>
      <c r="T537" s="12"/>
      <c r="U537" s="12"/>
      <c r="V537" s="12"/>
      <c r="W537" s="12"/>
      <c r="X537" s="12"/>
      <c r="Y537" s="12"/>
      <c r="Z537" s="12"/>
    </row>
    <row r="538" spans="1:26" ht="14.25" hidden="1" customHeight="1" x14ac:dyDescent="0.3">
      <c r="A538" s="155">
        <v>410</v>
      </c>
      <c r="B538" s="156" t="s">
        <v>803</v>
      </c>
      <c r="C538" s="151"/>
      <c r="D538" s="151"/>
      <c r="E538" s="156" t="s">
        <v>804</v>
      </c>
      <c r="F538" s="151"/>
      <c r="G538" s="158">
        <v>22.38</v>
      </c>
      <c r="H538" s="155">
        <v>6</v>
      </c>
      <c r="I538" s="155">
        <v>1</v>
      </c>
      <c r="J538" s="156" t="s">
        <v>92</v>
      </c>
      <c r="K538" s="151"/>
      <c r="L538" s="151"/>
      <c r="M538" s="144"/>
      <c r="N538" s="62"/>
      <c r="O538" s="158">
        <v>134.28</v>
      </c>
      <c r="P538" s="44"/>
      <c r="Q538" s="12"/>
      <c r="R538" s="12"/>
      <c r="S538" s="12"/>
      <c r="T538" s="12"/>
      <c r="U538" s="12"/>
      <c r="V538" s="12"/>
      <c r="W538" s="12"/>
      <c r="X538" s="12"/>
      <c r="Y538" s="12"/>
      <c r="Z538" s="12"/>
    </row>
    <row r="539" spans="1:26" ht="14.25" hidden="1" customHeight="1" x14ac:dyDescent="0.3">
      <c r="A539" s="155">
        <v>411</v>
      </c>
      <c r="B539" s="156" t="s">
        <v>805</v>
      </c>
      <c r="C539" s="3"/>
      <c r="D539" s="3"/>
      <c r="E539" s="156"/>
      <c r="F539" s="3"/>
      <c r="G539" s="158">
        <v>22.378329999999998</v>
      </c>
      <c r="H539" s="155">
        <v>30</v>
      </c>
      <c r="I539" s="155">
        <v>30</v>
      </c>
      <c r="J539" s="156" t="s">
        <v>92</v>
      </c>
      <c r="K539" s="5"/>
      <c r="L539" s="3"/>
      <c r="M539" s="6"/>
      <c r="N539" s="9"/>
      <c r="O539" s="158">
        <v>671.35</v>
      </c>
      <c r="P539" s="44"/>
      <c r="Q539" s="12"/>
      <c r="R539" s="12"/>
      <c r="S539" s="12"/>
      <c r="T539" s="12"/>
      <c r="U539" s="12"/>
      <c r="V539" s="12"/>
      <c r="W539" s="12"/>
      <c r="X539" s="12"/>
      <c r="Y539" s="12"/>
      <c r="Z539" s="12"/>
    </row>
    <row r="540" spans="1:26" ht="14.25" hidden="1" customHeight="1" x14ac:dyDescent="0.3">
      <c r="A540" s="155">
        <v>412</v>
      </c>
      <c r="B540" s="156" t="s">
        <v>806</v>
      </c>
      <c r="C540" s="3"/>
      <c r="D540" s="3"/>
      <c r="E540" s="156" t="s">
        <v>104</v>
      </c>
      <c r="F540" s="3"/>
      <c r="G540" s="158">
        <v>7.5</v>
      </c>
      <c r="H540" s="155">
        <v>1001</v>
      </c>
      <c r="I540" s="155">
        <v>1</v>
      </c>
      <c r="J540" s="156" t="s">
        <v>92</v>
      </c>
      <c r="K540" s="5"/>
      <c r="L540" s="3"/>
      <c r="M540" s="6"/>
      <c r="N540" s="9"/>
      <c r="O540" s="158">
        <v>7507.5</v>
      </c>
      <c r="P540" s="44"/>
      <c r="Q540" s="12"/>
      <c r="R540" s="12"/>
      <c r="S540" s="12"/>
      <c r="T540" s="12"/>
      <c r="U540" s="12"/>
      <c r="V540" s="12"/>
      <c r="W540" s="12"/>
      <c r="X540" s="12"/>
      <c r="Y540" s="12"/>
      <c r="Z540" s="12"/>
    </row>
    <row r="541" spans="1:26" ht="14.25" hidden="1" customHeight="1" x14ac:dyDescent="0.3">
      <c r="A541" s="155">
        <v>413</v>
      </c>
      <c r="B541" s="156" t="s">
        <v>807</v>
      </c>
      <c r="C541" s="3"/>
      <c r="D541" s="3"/>
      <c r="E541" s="156" t="s">
        <v>51</v>
      </c>
      <c r="F541" s="3"/>
      <c r="G541" s="158">
        <v>0.34</v>
      </c>
      <c r="H541" s="155">
        <v>250</v>
      </c>
      <c r="I541" s="155">
        <v>1000</v>
      </c>
      <c r="J541" s="156" t="s">
        <v>39</v>
      </c>
      <c r="K541" s="5"/>
      <c r="L541" s="3"/>
      <c r="M541" s="6"/>
      <c r="N541" s="9"/>
      <c r="O541" s="158">
        <v>85</v>
      </c>
      <c r="P541" s="44"/>
      <c r="Q541" s="12"/>
      <c r="R541" s="12"/>
      <c r="S541" s="12"/>
      <c r="T541" s="12"/>
      <c r="U541" s="12"/>
      <c r="V541" s="12"/>
      <c r="W541" s="12"/>
      <c r="X541" s="12"/>
      <c r="Y541" s="12"/>
      <c r="Z541" s="12"/>
    </row>
    <row r="542" spans="1:26" ht="14.25" hidden="1" customHeight="1" x14ac:dyDescent="0.3">
      <c r="A542" s="155">
        <v>413</v>
      </c>
      <c r="B542" s="156" t="s">
        <v>807</v>
      </c>
      <c r="C542" s="3"/>
      <c r="D542" s="3"/>
      <c r="E542" s="156"/>
      <c r="F542" s="3"/>
      <c r="G542" s="158">
        <v>0.65</v>
      </c>
      <c r="H542" s="155">
        <v>200</v>
      </c>
      <c r="I542" s="155">
        <v>1000</v>
      </c>
      <c r="J542" s="156" t="s">
        <v>39</v>
      </c>
      <c r="K542" s="5"/>
      <c r="L542" s="3"/>
      <c r="M542" s="6"/>
      <c r="N542" s="9"/>
      <c r="O542" s="158">
        <v>130</v>
      </c>
      <c r="P542" s="44"/>
      <c r="Q542" s="12"/>
      <c r="R542" s="12"/>
      <c r="S542" s="12"/>
      <c r="T542" s="12"/>
      <c r="U542" s="12"/>
      <c r="V542" s="12"/>
      <c r="W542" s="12"/>
      <c r="X542" s="12"/>
      <c r="Y542" s="12"/>
      <c r="Z542" s="12"/>
    </row>
    <row r="543" spans="1:26" ht="14.25" hidden="1" customHeight="1" x14ac:dyDescent="0.3">
      <c r="A543" s="155">
        <v>414</v>
      </c>
      <c r="B543" s="156" t="s">
        <v>808</v>
      </c>
      <c r="C543" s="3"/>
      <c r="D543" s="3"/>
      <c r="E543" s="156" t="s">
        <v>297</v>
      </c>
      <c r="F543" s="3"/>
      <c r="G543" s="158">
        <v>0.14799999999999999</v>
      </c>
      <c r="H543" s="155">
        <v>4000</v>
      </c>
      <c r="I543" s="155">
        <v>1000</v>
      </c>
      <c r="J543" s="156" t="s">
        <v>39</v>
      </c>
      <c r="K543" s="5"/>
      <c r="L543" s="3"/>
      <c r="M543" s="6"/>
      <c r="N543" s="9"/>
      <c r="O543" s="158">
        <v>592</v>
      </c>
      <c r="P543" s="44"/>
      <c r="Q543" s="12"/>
      <c r="R543" s="12"/>
      <c r="S543" s="12"/>
      <c r="T543" s="12"/>
      <c r="U543" s="12"/>
      <c r="V543" s="12"/>
      <c r="W543" s="12"/>
      <c r="X543" s="12"/>
      <c r="Y543" s="12"/>
      <c r="Z543" s="12"/>
    </row>
    <row r="544" spans="1:26" ht="14.25" hidden="1" customHeight="1" x14ac:dyDescent="0.3">
      <c r="A544" s="155">
        <v>415</v>
      </c>
      <c r="B544" s="156" t="s">
        <v>292</v>
      </c>
      <c r="C544" s="3"/>
      <c r="D544" s="3"/>
      <c r="E544" s="156"/>
      <c r="F544" s="3"/>
      <c r="G544" s="158">
        <v>320</v>
      </c>
      <c r="H544" s="155">
        <v>4</v>
      </c>
      <c r="I544" s="155">
        <v>1</v>
      </c>
      <c r="J544" s="156" t="s">
        <v>39</v>
      </c>
      <c r="K544" s="5"/>
      <c r="L544" s="3"/>
      <c r="M544" s="6"/>
      <c r="N544" s="9"/>
      <c r="O544" s="158">
        <v>1280</v>
      </c>
      <c r="P544" s="44"/>
      <c r="Q544" s="12"/>
      <c r="R544" s="12"/>
      <c r="S544" s="12"/>
      <c r="T544" s="12"/>
      <c r="U544" s="12"/>
      <c r="V544" s="12"/>
      <c r="W544" s="12"/>
      <c r="X544" s="12"/>
      <c r="Y544" s="12"/>
      <c r="Z544" s="12"/>
    </row>
    <row r="545" spans="1:26" ht="14.25" hidden="1" customHeight="1" x14ac:dyDescent="0.3">
      <c r="A545" s="155">
        <v>416</v>
      </c>
      <c r="B545" s="156" t="s">
        <v>809</v>
      </c>
      <c r="C545" s="3"/>
      <c r="D545" s="3"/>
      <c r="E545" s="156"/>
      <c r="F545" s="3"/>
      <c r="G545" s="158">
        <v>0.35964000000000002</v>
      </c>
      <c r="H545" s="155">
        <v>1001</v>
      </c>
      <c r="I545" s="155">
        <v>500</v>
      </c>
      <c r="J545" s="156" t="s">
        <v>39</v>
      </c>
      <c r="K545" s="5"/>
      <c r="L545" s="3"/>
      <c r="M545" s="6"/>
      <c r="N545" s="9"/>
      <c r="O545" s="158">
        <v>360</v>
      </c>
      <c r="P545" s="44"/>
      <c r="Q545" s="12"/>
      <c r="R545" s="12"/>
      <c r="S545" s="12"/>
      <c r="T545" s="12"/>
      <c r="U545" s="12"/>
      <c r="V545" s="12"/>
      <c r="W545" s="12"/>
      <c r="X545" s="12"/>
      <c r="Y545" s="12"/>
      <c r="Z545" s="12"/>
    </row>
    <row r="546" spans="1:26" ht="14.25" hidden="1" customHeight="1" x14ac:dyDescent="0.3">
      <c r="A546" s="155">
        <v>417</v>
      </c>
      <c r="B546" s="156" t="s">
        <v>810</v>
      </c>
      <c r="C546" s="3"/>
      <c r="D546" s="3"/>
      <c r="E546" s="156" t="s">
        <v>336</v>
      </c>
      <c r="F546" s="3"/>
      <c r="G546" s="158">
        <v>15.2</v>
      </c>
      <c r="H546" s="155">
        <v>30</v>
      </c>
      <c r="I546" s="156" t="s">
        <v>337</v>
      </c>
      <c r="J546" s="156" t="s">
        <v>92</v>
      </c>
      <c r="K546" s="5"/>
      <c r="L546" s="3"/>
      <c r="M546" s="6"/>
      <c r="N546" s="9"/>
      <c r="O546" s="158">
        <v>456</v>
      </c>
      <c r="P546" s="44"/>
      <c r="Q546" s="12"/>
      <c r="R546" s="12"/>
      <c r="S546" s="12"/>
      <c r="T546" s="12"/>
      <c r="U546" s="12"/>
      <c r="V546" s="12"/>
      <c r="W546" s="12"/>
      <c r="X546" s="12"/>
      <c r="Y546" s="12"/>
      <c r="Z546" s="12"/>
    </row>
    <row r="547" spans="1:26" ht="14.25" hidden="1" customHeight="1" x14ac:dyDescent="0.3">
      <c r="A547" s="155">
        <v>417</v>
      </c>
      <c r="B547" s="156" t="s">
        <v>810</v>
      </c>
      <c r="C547" s="3"/>
      <c r="D547" s="3"/>
      <c r="E547" s="156"/>
      <c r="F547" s="3"/>
      <c r="G547" s="158">
        <v>63.5</v>
      </c>
      <c r="H547" s="155">
        <v>10</v>
      </c>
      <c r="I547" s="156" t="s">
        <v>337</v>
      </c>
      <c r="J547" s="156" t="s">
        <v>92</v>
      </c>
      <c r="K547" s="5"/>
      <c r="L547" s="3"/>
      <c r="M547" s="6"/>
      <c r="N547" s="9"/>
      <c r="O547" s="158">
        <v>635</v>
      </c>
      <c r="P547" s="44"/>
      <c r="Q547" s="12"/>
      <c r="R547" s="12"/>
      <c r="S547" s="12"/>
      <c r="T547" s="12"/>
      <c r="U547" s="12"/>
      <c r="V547" s="12"/>
      <c r="W547" s="12"/>
      <c r="X547" s="12"/>
      <c r="Y547" s="12"/>
      <c r="Z547" s="12"/>
    </row>
    <row r="548" spans="1:26" ht="14.25" hidden="1" customHeight="1" x14ac:dyDescent="0.3">
      <c r="A548" s="155">
        <v>418</v>
      </c>
      <c r="B548" s="156" t="s">
        <v>353</v>
      </c>
      <c r="C548" s="3"/>
      <c r="D548" s="3"/>
      <c r="E548" s="156" t="s">
        <v>354</v>
      </c>
      <c r="F548" s="3"/>
      <c r="G548" s="158">
        <v>52.64</v>
      </c>
      <c r="H548" s="155">
        <v>70</v>
      </c>
      <c r="I548" s="155">
        <v>1</v>
      </c>
      <c r="J548" s="156" t="s">
        <v>92</v>
      </c>
      <c r="K548" s="5"/>
      <c r="L548" s="3"/>
      <c r="M548" s="6"/>
      <c r="N548" s="9"/>
      <c r="O548" s="158">
        <v>3684.8</v>
      </c>
      <c r="P548" s="44"/>
      <c r="Q548" s="12"/>
      <c r="R548" s="12"/>
      <c r="S548" s="12"/>
      <c r="T548" s="12"/>
      <c r="U548" s="12"/>
      <c r="V548" s="12"/>
      <c r="W548" s="12"/>
      <c r="X548" s="12"/>
      <c r="Y548" s="12"/>
      <c r="Z548" s="12"/>
    </row>
    <row r="549" spans="1:26" ht="14.25" hidden="1" customHeight="1" x14ac:dyDescent="0.3">
      <c r="A549" s="155">
        <v>419</v>
      </c>
      <c r="B549" s="156" t="s">
        <v>811</v>
      </c>
      <c r="C549" s="3"/>
      <c r="D549" s="3"/>
      <c r="E549" s="156"/>
      <c r="F549" s="3"/>
      <c r="G549" s="158">
        <v>52</v>
      </c>
      <c r="H549" s="155">
        <v>55</v>
      </c>
      <c r="I549" s="155">
        <v>1</v>
      </c>
      <c r="J549" s="156" t="s">
        <v>304</v>
      </c>
      <c r="K549" s="5"/>
      <c r="L549" s="3"/>
      <c r="M549" s="6"/>
      <c r="N549" s="9"/>
      <c r="O549" s="158">
        <v>2860</v>
      </c>
      <c r="P549" s="44"/>
      <c r="Q549" s="12"/>
      <c r="R549" s="12"/>
      <c r="S549" s="12"/>
      <c r="T549" s="12"/>
      <c r="U549" s="12"/>
      <c r="V549" s="12"/>
      <c r="W549" s="12"/>
      <c r="X549" s="12"/>
      <c r="Y549" s="12"/>
      <c r="Z549" s="12"/>
    </row>
    <row r="550" spans="1:26" ht="14.25" hidden="1" customHeight="1" x14ac:dyDescent="0.3">
      <c r="A550" s="155">
        <v>420</v>
      </c>
      <c r="B550" s="156" t="s">
        <v>812</v>
      </c>
      <c r="C550" s="3"/>
      <c r="D550" s="3"/>
      <c r="E550" s="156" t="s">
        <v>813</v>
      </c>
      <c r="F550" s="3"/>
      <c r="G550" s="158">
        <v>0.85</v>
      </c>
      <c r="H550" s="155">
        <v>300</v>
      </c>
      <c r="I550" s="155">
        <v>300</v>
      </c>
      <c r="J550" s="156" t="s">
        <v>39</v>
      </c>
      <c r="K550" s="5"/>
      <c r="L550" s="3"/>
      <c r="M550" s="6"/>
      <c r="N550" s="9"/>
      <c r="O550" s="158">
        <v>255</v>
      </c>
      <c r="P550" s="44"/>
      <c r="Q550" s="12"/>
      <c r="R550" s="12"/>
      <c r="S550" s="12"/>
      <c r="T550" s="12"/>
      <c r="U550" s="12"/>
      <c r="V550" s="12"/>
      <c r="W550" s="12"/>
      <c r="X550" s="12"/>
      <c r="Y550" s="12"/>
      <c r="Z550" s="12"/>
    </row>
    <row r="551" spans="1:26" ht="14.25" hidden="1" customHeight="1" x14ac:dyDescent="0.3">
      <c r="A551" s="155">
        <v>421</v>
      </c>
      <c r="B551" s="156" t="s">
        <v>288</v>
      </c>
      <c r="C551" s="3"/>
      <c r="D551" s="3"/>
      <c r="E551" s="156" t="s">
        <v>289</v>
      </c>
      <c r="F551" s="3"/>
      <c r="G551" s="158">
        <v>30.57</v>
      </c>
      <c r="H551" s="155">
        <v>48</v>
      </c>
      <c r="I551" s="155">
        <v>1</v>
      </c>
      <c r="J551" s="156" t="s">
        <v>39</v>
      </c>
      <c r="K551" s="5"/>
      <c r="L551" s="3"/>
      <c r="M551" s="6"/>
      <c r="N551" s="9"/>
      <c r="O551" s="158">
        <v>1467.36</v>
      </c>
      <c r="P551" s="44"/>
      <c r="Q551" s="12"/>
      <c r="R551" s="12"/>
      <c r="S551" s="12"/>
      <c r="T551" s="12"/>
      <c r="U551" s="12"/>
      <c r="V551" s="12"/>
      <c r="W551" s="12"/>
      <c r="X551" s="12"/>
      <c r="Y551" s="12"/>
      <c r="Z551" s="12"/>
    </row>
    <row r="552" spans="1:26" ht="14.25" hidden="1" customHeight="1" x14ac:dyDescent="0.3">
      <c r="A552" s="155">
        <v>421</v>
      </c>
      <c r="B552" s="156" t="s">
        <v>288</v>
      </c>
      <c r="C552" s="3"/>
      <c r="D552" s="3"/>
      <c r="E552" s="156"/>
      <c r="F552" s="3"/>
      <c r="G552" s="158">
        <v>0.20380000000000001</v>
      </c>
      <c r="H552" s="155">
        <v>3450</v>
      </c>
      <c r="I552" s="155">
        <v>1</v>
      </c>
      <c r="J552" s="156" t="s">
        <v>39</v>
      </c>
      <c r="K552" s="5"/>
      <c r="L552" s="3"/>
      <c r="M552" s="6"/>
      <c r="N552" s="9"/>
      <c r="O552" s="158">
        <v>703.11</v>
      </c>
      <c r="P552" s="44"/>
      <c r="Q552" s="12"/>
      <c r="R552" s="12"/>
      <c r="S552" s="12"/>
      <c r="T552" s="12"/>
      <c r="U552" s="12"/>
      <c r="V552" s="12"/>
      <c r="W552" s="12"/>
      <c r="X552" s="12"/>
      <c r="Y552" s="12"/>
      <c r="Z552" s="12"/>
    </row>
    <row r="553" spans="1:26" ht="14.25" hidden="1" customHeight="1" x14ac:dyDescent="0.3">
      <c r="A553" s="155">
        <v>422</v>
      </c>
      <c r="B553" s="156" t="s">
        <v>290</v>
      </c>
      <c r="C553" s="3"/>
      <c r="D553" s="3"/>
      <c r="E553" s="156" t="s">
        <v>239</v>
      </c>
      <c r="F553" s="3"/>
      <c r="G553" s="158">
        <v>135</v>
      </c>
      <c r="H553" s="155">
        <v>9</v>
      </c>
      <c r="I553" s="155">
        <v>1</v>
      </c>
      <c r="J553" s="156" t="s">
        <v>200</v>
      </c>
      <c r="K553" s="5"/>
      <c r="L553" s="3"/>
      <c r="M553" s="6"/>
      <c r="N553" s="9"/>
      <c r="O553" s="158">
        <v>1215</v>
      </c>
      <c r="P553" s="44"/>
      <c r="Q553" s="12"/>
      <c r="R553" s="12"/>
      <c r="S553" s="12"/>
      <c r="T553" s="12"/>
      <c r="U553" s="12"/>
      <c r="V553" s="12"/>
      <c r="W553" s="12"/>
      <c r="X553" s="12"/>
      <c r="Y553" s="12"/>
      <c r="Z553" s="12"/>
    </row>
    <row r="554" spans="1:26" ht="14.25" hidden="1" customHeight="1" x14ac:dyDescent="0.3">
      <c r="A554" s="155">
        <v>422</v>
      </c>
      <c r="B554" s="156" t="s">
        <v>290</v>
      </c>
      <c r="C554" s="3"/>
      <c r="D554" s="3"/>
      <c r="E554" s="156"/>
      <c r="F554" s="3"/>
      <c r="G554" s="158">
        <v>3.8571000000000001E-2</v>
      </c>
      <c r="H554" s="155">
        <v>14000</v>
      </c>
      <c r="I554" s="155">
        <v>1</v>
      </c>
      <c r="J554" s="156" t="s">
        <v>200</v>
      </c>
      <c r="K554" s="5"/>
      <c r="L554" s="3"/>
      <c r="M554" s="6"/>
      <c r="N554" s="9"/>
      <c r="O554" s="158">
        <v>540</v>
      </c>
      <c r="P554" s="44"/>
      <c r="Q554" s="12"/>
      <c r="R554" s="12"/>
      <c r="S554" s="12"/>
      <c r="T554" s="12"/>
      <c r="U554" s="12"/>
      <c r="V554" s="12"/>
      <c r="W554" s="12"/>
      <c r="X554" s="12"/>
      <c r="Y554" s="12"/>
      <c r="Z554" s="12"/>
    </row>
    <row r="555" spans="1:26" ht="14.25" hidden="1" customHeight="1" x14ac:dyDescent="0.3">
      <c r="A555" s="155">
        <v>423</v>
      </c>
      <c r="B555" s="156" t="s">
        <v>814</v>
      </c>
      <c r="C555" s="3"/>
      <c r="D555" s="3"/>
      <c r="E555" s="156" t="s">
        <v>815</v>
      </c>
      <c r="F555" s="3"/>
      <c r="G555" s="158">
        <v>0.183333</v>
      </c>
      <c r="H555" s="155">
        <v>1800</v>
      </c>
      <c r="I555" s="155">
        <v>1800</v>
      </c>
      <c r="J555" s="156" t="s">
        <v>39</v>
      </c>
      <c r="K555" s="5"/>
      <c r="L555" s="3"/>
      <c r="M555" s="6"/>
      <c r="N555" s="9"/>
      <c r="O555" s="158">
        <v>330</v>
      </c>
      <c r="P555" s="44"/>
      <c r="Q555" s="12"/>
      <c r="R555" s="12"/>
      <c r="S555" s="12"/>
      <c r="T555" s="12"/>
      <c r="U555" s="12"/>
      <c r="V555" s="12"/>
      <c r="W555" s="12"/>
      <c r="X555" s="12"/>
      <c r="Y555" s="12"/>
      <c r="Z555" s="12"/>
    </row>
    <row r="556" spans="1:26" ht="14.25" hidden="1" customHeight="1" x14ac:dyDescent="0.3">
      <c r="A556" s="155">
        <v>423</v>
      </c>
      <c r="B556" s="156" t="s">
        <v>814</v>
      </c>
      <c r="C556" s="3"/>
      <c r="D556" s="3"/>
      <c r="E556" s="156"/>
      <c r="F556" s="3"/>
      <c r="G556" s="158">
        <v>0.21055599999999999</v>
      </c>
      <c r="H556" s="155">
        <v>500</v>
      </c>
      <c r="I556" s="155">
        <v>1800</v>
      </c>
      <c r="J556" s="156" t="s">
        <v>39</v>
      </c>
      <c r="K556" s="5"/>
      <c r="L556" s="3"/>
      <c r="M556" s="6"/>
      <c r="N556" s="9"/>
      <c r="O556" s="158">
        <v>105.2778</v>
      </c>
      <c r="P556" s="44"/>
      <c r="Q556" s="12"/>
      <c r="R556" s="12"/>
      <c r="S556" s="12"/>
      <c r="T556" s="12"/>
      <c r="U556" s="12"/>
      <c r="V556" s="12"/>
      <c r="W556" s="12"/>
      <c r="X556" s="12"/>
      <c r="Y556" s="12"/>
      <c r="Z556" s="12"/>
    </row>
    <row r="557" spans="1:26" ht="14.25" hidden="1" customHeight="1" x14ac:dyDescent="0.3">
      <c r="A557" s="155">
        <v>424</v>
      </c>
      <c r="B557" s="156" t="s">
        <v>338</v>
      </c>
      <c r="C557" s="3"/>
      <c r="D557" s="3"/>
      <c r="E557" s="156" t="s">
        <v>816</v>
      </c>
      <c r="F557" s="3"/>
      <c r="G557" s="158">
        <v>68.099999999999994</v>
      </c>
      <c r="H557" s="155">
        <v>4</v>
      </c>
      <c r="I557" s="155">
        <v>1</v>
      </c>
      <c r="J557" s="156" t="s">
        <v>92</v>
      </c>
      <c r="K557" s="5"/>
      <c r="L557" s="3"/>
      <c r="M557" s="6"/>
      <c r="N557" s="9"/>
      <c r="O557" s="158">
        <v>272.39999999999998</v>
      </c>
      <c r="P557" s="44"/>
      <c r="Q557" s="12"/>
      <c r="R557" s="12"/>
      <c r="S557" s="12"/>
      <c r="T557" s="12"/>
      <c r="U557" s="12"/>
      <c r="V557" s="12"/>
      <c r="W557" s="12"/>
      <c r="X557" s="12"/>
      <c r="Y557" s="12"/>
      <c r="Z557" s="12"/>
    </row>
    <row r="558" spans="1:26" ht="14.25" hidden="1" customHeight="1" x14ac:dyDescent="0.3">
      <c r="A558" s="155">
        <v>424</v>
      </c>
      <c r="B558" s="156" t="s">
        <v>338</v>
      </c>
      <c r="C558" s="3"/>
      <c r="D558" s="3"/>
      <c r="E558" s="156" t="s">
        <v>339</v>
      </c>
      <c r="F558" s="3"/>
      <c r="G558" s="158">
        <v>18.5</v>
      </c>
      <c r="H558" s="155">
        <v>198</v>
      </c>
      <c r="I558" s="155">
        <v>1</v>
      </c>
      <c r="J558" s="156" t="s">
        <v>92</v>
      </c>
      <c r="K558" s="5"/>
      <c r="L558" s="3"/>
      <c r="M558" s="6"/>
      <c r="N558" s="9"/>
      <c r="O558" s="158">
        <v>3663</v>
      </c>
      <c r="P558" s="44"/>
      <c r="Q558" s="12"/>
      <c r="R558" s="12"/>
      <c r="S558" s="12"/>
      <c r="T558" s="12"/>
      <c r="U558" s="12"/>
      <c r="V558" s="12"/>
      <c r="W558" s="12"/>
      <c r="X558" s="12"/>
      <c r="Y558" s="12"/>
      <c r="Z558" s="12"/>
    </row>
    <row r="559" spans="1:26" ht="14.25" hidden="1" customHeight="1" x14ac:dyDescent="0.3">
      <c r="A559" s="155">
        <v>424</v>
      </c>
      <c r="B559" s="156" t="s">
        <v>338</v>
      </c>
      <c r="C559" s="3"/>
      <c r="D559" s="3"/>
      <c r="E559" s="156"/>
      <c r="F559" s="3"/>
      <c r="G559" s="158">
        <v>34.200000000000003</v>
      </c>
      <c r="H559" s="155">
        <v>5</v>
      </c>
      <c r="I559" s="155">
        <v>1</v>
      </c>
      <c r="J559" s="156" t="s">
        <v>92</v>
      </c>
      <c r="K559" s="5"/>
      <c r="L559" s="3"/>
      <c r="M559" s="6"/>
      <c r="N559" s="9"/>
      <c r="O559" s="158">
        <v>171</v>
      </c>
      <c r="P559" s="44"/>
      <c r="Q559" s="12"/>
      <c r="R559" s="12"/>
      <c r="S559" s="12"/>
      <c r="T559" s="12"/>
      <c r="U559" s="12"/>
      <c r="V559" s="12"/>
      <c r="W559" s="12"/>
      <c r="X559" s="12"/>
      <c r="Y559" s="12"/>
      <c r="Z559" s="12"/>
    </row>
    <row r="560" spans="1:26" ht="14.25" hidden="1" customHeight="1" x14ac:dyDescent="0.3">
      <c r="A560" s="155">
        <v>425</v>
      </c>
      <c r="B560" s="156" t="s">
        <v>340</v>
      </c>
      <c r="C560" s="3"/>
      <c r="D560" s="3"/>
      <c r="E560" s="156" t="s">
        <v>96</v>
      </c>
      <c r="F560" s="3"/>
      <c r="G560" s="158">
        <v>16.14</v>
      </c>
      <c r="H560" s="155">
        <v>48</v>
      </c>
      <c r="I560" s="155">
        <v>1</v>
      </c>
      <c r="J560" s="156" t="s">
        <v>92</v>
      </c>
      <c r="K560" s="5"/>
      <c r="L560" s="3"/>
      <c r="M560" s="6"/>
      <c r="N560" s="9"/>
      <c r="O560" s="158">
        <v>774.72</v>
      </c>
      <c r="P560" s="44"/>
      <c r="Q560" s="12"/>
      <c r="R560" s="12"/>
      <c r="S560" s="12"/>
      <c r="T560" s="12"/>
      <c r="U560" s="12"/>
      <c r="V560" s="12"/>
      <c r="W560" s="12"/>
      <c r="X560" s="12"/>
      <c r="Y560" s="12"/>
      <c r="Z560" s="12"/>
    </row>
    <row r="561" spans="1:26" ht="14.25" hidden="1" customHeight="1" x14ac:dyDescent="0.3">
      <c r="A561" s="155">
        <v>425</v>
      </c>
      <c r="B561" s="156" t="s">
        <v>340</v>
      </c>
      <c r="C561" s="3"/>
      <c r="D561" s="3"/>
      <c r="E561" s="156" t="s">
        <v>817</v>
      </c>
      <c r="F561" s="3"/>
      <c r="G561" s="158">
        <v>25.03</v>
      </c>
      <c r="H561" s="155">
        <v>21</v>
      </c>
      <c r="I561" s="155">
        <v>1</v>
      </c>
      <c r="J561" s="156" t="s">
        <v>92</v>
      </c>
      <c r="K561" s="5"/>
      <c r="L561" s="3"/>
      <c r="M561" s="6"/>
      <c r="N561" s="9"/>
      <c r="O561" s="158">
        <v>525.63</v>
      </c>
      <c r="P561" s="44"/>
      <c r="Q561" s="12"/>
      <c r="R561" s="12"/>
      <c r="S561" s="12"/>
      <c r="T561" s="12"/>
      <c r="U561" s="12"/>
      <c r="V561" s="12"/>
      <c r="W561" s="12"/>
      <c r="X561" s="12"/>
      <c r="Y561" s="12"/>
      <c r="Z561" s="12"/>
    </row>
    <row r="562" spans="1:26" ht="14.25" hidden="1" customHeight="1" x14ac:dyDescent="0.3">
      <c r="A562" s="155">
        <v>425</v>
      </c>
      <c r="B562" s="156" t="s">
        <v>340</v>
      </c>
      <c r="C562" s="3"/>
      <c r="D562" s="3"/>
      <c r="E562" s="156" t="s">
        <v>341</v>
      </c>
      <c r="F562" s="3"/>
      <c r="G562" s="158">
        <v>57.41</v>
      </c>
      <c r="H562" s="155">
        <v>2</v>
      </c>
      <c r="I562" s="155">
        <v>1</v>
      </c>
      <c r="J562" s="156" t="s">
        <v>92</v>
      </c>
      <c r="K562" s="5"/>
      <c r="L562" s="3"/>
      <c r="M562" s="6"/>
      <c r="N562" s="9"/>
      <c r="O562" s="158">
        <v>114.82</v>
      </c>
      <c r="P562" s="44"/>
      <c r="Q562" s="12"/>
      <c r="R562" s="12"/>
      <c r="S562" s="12"/>
      <c r="T562" s="12"/>
      <c r="U562" s="12"/>
      <c r="V562" s="12"/>
      <c r="W562" s="12"/>
      <c r="X562" s="12"/>
      <c r="Y562" s="12"/>
      <c r="Z562" s="12"/>
    </row>
    <row r="563" spans="1:26" ht="14.25" hidden="1" customHeight="1" x14ac:dyDescent="0.3">
      <c r="A563" s="155">
        <v>425</v>
      </c>
      <c r="B563" s="156" t="s">
        <v>340</v>
      </c>
      <c r="C563" s="3"/>
      <c r="D563" s="3"/>
      <c r="E563" s="156" t="s">
        <v>342</v>
      </c>
      <c r="F563" s="3"/>
      <c r="G563" s="158">
        <v>7.5</v>
      </c>
      <c r="H563" s="155">
        <v>343</v>
      </c>
      <c r="I563" s="155">
        <v>1</v>
      </c>
      <c r="J563" s="156" t="s">
        <v>92</v>
      </c>
      <c r="K563" s="5"/>
      <c r="L563" s="3"/>
      <c r="M563" s="6"/>
      <c r="N563" s="9"/>
      <c r="O563" s="158">
        <v>2572.5</v>
      </c>
      <c r="P563" s="44"/>
      <c r="Q563" s="12"/>
      <c r="R563" s="12"/>
      <c r="S563" s="12"/>
      <c r="T563" s="12"/>
      <c r="U563" s="12"/>
      <c r="V563" s="12"/>
      <c r="W563" s="12"/>
      <c r="X563" s="12"/>
      <c r="Y563" s="12"/>
      <c r="Z563" s="12"/>
    </row>
    <row r="564" spans="1:26" ht="14.25" hidden="1" customHeight="1" x14ac:dyDescent="0.3">
      <c r="A564" s="155">
        <v>425</v>
      </c>
      <c r="B564" s="156" t="s">
        <v>340</v>
      </c>
      <c r="C564" s="3"/>
      <c r="D564" s="3"/>
      <c r="E564" s="156"/>
      <c r="F564" s="3"/>
      <c r="G564" s="158">
        <v>59.5</v>
      </c>
      <c r="H564" s="155">
        <v>14</v>
      </c>
      <c r="I564" s="155">
        <v>1</v>
      </c>
      <c r="J564" s="156" t="s">
        <v>92</v>
      </c>
      <c r="K564" s="5"/>
      <c r="L564" s="3"/>
      <c r="M564" s="6"/>
      <c r="N564" s="9"/>
      <c r="O564" s="158">
        <v>833</v>
      </c>
      <c r="P564" s="44"/>
      <c r="Q564" s="12"/>
      <c r="R564" s="12"/>
      <c r="S564" s="12"/>
      <c r="T564" s="12"/>
      <c r="U564" s="12"/>
      <c r="V564" s="12"/>
      <c r="W564" s="12"/>
      <c r="X564" s="12"/>
      <c r="Y564" s="12"/>
      <c r="Z564" s="12"/>
    </row>
    <row r="565" spans="1:26" ht="14.25" hidden="1" customHeight="1" x14ac:dyDescent="0.3">
      <c r="A565" s="155">
        <v>426</v>
      </c>
      <c r="B565" s="156" t="s">
        <v>355</v>
      </c>
      <c r="C565" s="3"/>
      <c r="D565" s="3"/>
      <c r="E565" s="156" t="s">
        <v>356</v>
      </c>
      <c r="F565" s="3"/>
      <c r="G565" s="158">
        <v>15</v>
      </c>
      <c r="H565" s="155">
        <v>6</v>
      </c>
      <c r="I565" s="155">
        <v>1</v>
      </c>
      <c r="J565" s="156" t="s">
        <v>304</v>
      </c>
      <c r="K565" s="5"/>
      <c r="L565" s="3"/>
      <c r="M565" s="6"/>
      <c r="N565" s="9"/>
      <c r="O565" s="158">
        <v>90</v>
      </c>
      <c r="P565" s="44"/>
      <c r="Q565" s="12"/>
      <c r="R565" s="12"/>
      <c r="S565" s="12"/>
      <c r="T565" s="12"/>
      <c r="U565" s="12"/>
      <c r="V565" s="12"/>
      <c r="W565" s="12"/>
      <c r="X565" s="12"/>
      <c r="Y565" s="12"/>
      <c r="Z565" s="12"/>
    </row>
    <row r="566" spans="1:26" ht="14.25" hidden="1" customHeight="1" x14ac:dyDescent="0.3">
      <c r="A566" s="155">
        <v>427</v>
      </c>
      <c r="B566" s="156" t="s">
        <v>442</v>
      </c>
      <c r="C566" s="3"/>
      <c r="D566" s="3"/>
      <c r="E566" s="156" t="s">
        <v>443</v>
      </c>
      <c r="F566" s="3"/>
      <c r="G566" s="158">
        <v>7.39</v>
      </c>
      <c r="H566" s="155">
        <v>100</v>
      </c>
      <c r="I566" s="155">
        <v>1</v>
      </c>
      <c r="J566" s="156" t="s">
        <v>92</v>
      </c>
      <c r="K566" s="5"/>
      <c r="L566" s="3"/>
      <c r="M566" s="6"/>
      <c r="N566" s="9"/>
      <c r="O566" s="158">
        <v>739</v>
      </c>
      <c r="P566" s="44"/>
      <c r="Q566" s="12"/>
      <c r="R566" s="12"/>
      <c r="S566" s="12"/>
      <c r="T566" s="12"/>
      <c r="U566" s="12"/>
      <c r="V566" s="12"/>
      <c r="W566" s="12"/>
      <c r="X566" s="12"/>
      <c r="Y566" s="12"/>
      <c r="Z566" s="12"/>
    </row>
    <row r="567" spans="1:26" ht="14.25" hidden="1" customHeight="1" x14ac:dyDescent="0.3">
      <c r="A567" s="155">
        <v>428</v>
      </c>
      <c r="B567" s="156" t="s">
        <v>444</v>
      </c>
      <c r="C567" s="3"/>
      <c r="D567" s="3"/>
      <c r="E567" s="156" t="s">
        <v>445</v>
      </c>
      <c r="F567" s="3"/>
      <c r="G567" s="158">
        <v>24.37</v>
      </c>
      <c r="H567" s="155">
        <v>50</v>
      </c>
      <c r="I567" s="155">
        <v>1</v>
      </c>
      <c r="J567" s="156" t="s">
        <v>92</v>
      </c>
      <c r="K567" s="5"/>
      <c r="L567" s="3"/>
      <c r="M567" s="6"/>
      <c r="N567" s="9"/>
      <c r="O567" s="158">
        <v>1218.5</v>
      </c>
      <c r="P567" s="44"/>
      <c r="Q567" s="12"/>
      <c r="R567" s="12"/>
      <c r="S567" s="12"/>
      <c r="T567" s="12"/>
      <c r="U567" s="12"/>
      <c r="V567" s="12"/>
      <c r="W567" s="12"/>
      <c r="X567" s="12"/>
      <c r="Y567" s="12"/>
      <c r="Z567" s="12"/>
    </row>
    <row r="568" spans="1:26" ht="14.25" hidden="1" customHeight="1" x14ac:dyDescent="0.3">
      <c r="A568" s="155">
        <v>429</v>
      </c>
      <c r="B568" s="156" t="s">
        <v>818</v>
      </c>
      <c r="C568" s="3"/>
      <c r="D568" s="3"/>
      <c r="E568" s="156" t="s">
        <v>819</v>
      </c>
      <c r="F568" s="3"/>
      <c r="G568" s="158">
        <v>32.770000000000003</v>
      </c>
      <c r="H568" s="155">
        <v>11</v>
      </c>
      <c r="I568" s="155">
        <v>1</v>
      </c>
      <c r="J568" s="156" t="s">
        <v>92</v>
      </c>
      <c r="K568" s="5"/>
      <c r="L568" s="3"/>
      <c r="M568" s="6"/>
      <c r="N568" s="9"/>
      <c r="O568" s="158">
        <v>360.47</v>
      </c>
      <c r="P568" s="44"/>
      <c r="Q568" s="12"/>
      <c r="R568" s="12"/>
      <c r="S568" s="12"/>
      <c r="T568" s="12"/>
      <c r="U568" s="12"/>
      <c r="V568" s="12"/>
      <c r="W568" s="12"/>
      <c r="X568" s="12"/>
      <c r="Y568" s="12"/>
      <c r="Z568" s="12"/>
    </row>
    <row r="569" spans="1:26" ht="14.25" hidden="1" customHeight="1" x14ac:dyDescent="0.3">
      <c r="A569" s="155">
        <v>430</v>
      </c>
      <c r="B569" s="156" t="s">
        <v>208</v>
      </c>
      <c r="C569" s="3"/>
      <c r="D569" s="3"/>
      <c r="E569" s="156"/>
      <c r="F569" s="3"/>
      <c r="G569" s="158">
        <v>5.8</v>
      </c>
      <c r="H569" s="155">
        <v>100</v>
      </c>
      <c r="I569" s="155">
        <v>1</v>
      </c>
      <c r="J569" s="156" t="s">
        <v>92</v>
      </c>
      <c r="K569" s="5"/>
      <c r="L569" s="3"/>
      <c r="M569" s="6"/>
      <c r="N569" s="9"/>
      <c r="O569" s="158">
        <v>580</v>
      </c>
      <c r="P569" s="44"/>
      <c r="Q569" s="12"/>
      <c r="R569" s="12"/>
      <c r="S569" s="12"/>
      <c r="T569" s="12"/>
      <c r="U569" s="12"/>
      <c r="V569" s="12"/>
      <c r="W569" s="12"/>
      <c r="X569" s="12"/>
      <c r="Y569" s="12"/>
      <c r="Z569" s="12"/>
    </row>
    <row r="570" spans="1:26" ht="14.25" hidden="1" customHeight="1" x14ac:dyDescent="0.3">
      <c r="A570" s="155">
        <v>430</v>
      </c>
      <c r="B570" s="156" t="s">
        <v>208</v>
      </c>
      <c r="C570" s="3"/>
      <c r="D570" s="3"/>
      <c r="E570" s="156" t="s">
        <v>209</v>
      </c>
      <c r="F570" s="3"/>
      <c r="G570" s="158">
        <v>64.02</v>
      </c>
      <c r="H570" s="155">
        <v>58</v>
      </c>
      <c r="I570" s="155">
        <v>1</v>
      </c>
      <c r="J570" s="156" t="s">
        <v>210</v>
      </c>
      <c r="K570" s="5"/>
      <c r="L570" s="3"/>
      <c r="M570" s="6"/>
      <c r="N570" s="9"/>
      <c r="O570" s="158">
        <v>3713.16</v>
      </c>
      <c r="P570" s="44"/>
      <c r="Q570" s="12"/>
      <c r="R570" s="12"/>
      <c r="S570" s="12"/>
      <c r="T570" s="12"/>
      <c r="U570" s="12"/>
      <c r="V570" s="12"/>
      <c r="W570" s="12"/>
      <c r="X570" s="12"/>
      <c r="Y570" s="12"/>
      <c r="Z570" s="12"/>
    </row>
    <row r="571" spans="1:26" ht="14.25" hidden="1" customHeight="1" x14ac:dyDescent="0.3">
      <c r="A571" s="155">
        <v>431</v>
      </c>
      <c r="B571" s="156" t="s">
        <v>820</v>
      </c>
      <c r="C571" s="3"/>
      <c r="D571" s="3"/>
      <c r="E571" s="156"/>
      <c r="F571" s="3"/>
      <c r="G571" s="158">
        <v>508.05</v>
      </c>
      <c r="H571" s="155">
        <v>1</v>
      </c>
      <c r="I571" s="155">
        <v>1</v>
      </c>
      <c r="J571" s="156" t="s">
        <v>210</v>
      </c>
      <c r="K571" s="5"/>
      <c r="L571" s="3"/>
      <c r="M571" s="6"/>
      <c r="N571" s="9"/>
      <c r="O571" s="158">
        <v>508.05</v>
      </c>
      <c r="P571" s="44"/>
      <c r="Q571" s="12"/>
      <c r="R571" s="12"/>
      <c r="S571" s="12"/>
      <c r="T571" s="12"/>
      <c r="U571" s="12"/>
      <c r="V571" s="12"/>
      <c r="W571" s="12"/>
      <c r="X571" s="12"/>
      <c r="Y571" s="12"/>
      <c r="Z571" s="12"/>
    </row>
    <row r="572" spans="1:26" ht="14.25" hidden="1" customHeight="1" x14ac:dyDescent="0.3">
      <c r="A572" s="155">
        <v>432</v>
      </c>
      <c r="B572" s="156" t="s">
        <v>821</v>
      </c>
      <c r="C572" s="3"/>
      <c r="D572" s="3"/>
      <c r="E572" s="156"/>
      <c r="F572" s="3"/>
      <c r="G572" s="158">
        <v>629.70000000000005</v>
      </c>
      <c r="H572" s="155">
        <v>1</v>
      </c>
      <c r="I572" s="155">
        <v>1</v>
      </c>
      <c r="J572" s="156" t="s">
        <v>92</v>
      </c>
      <c r="K572" s="5"/>
      <c r="L572" s="3"/>
      <c r="M572" s="6"/>
      <c r="N572" s="9"/>
      <c r="O572" s="158">
        <v>629.70000000000005</v>
      </c>
      <c r="P572" s="44"/>
      <c r="Q572" s="12"/>
      <c r="R572" s="12"/>
      <c r="S572" s="12"/>
      <c r="T572" s="12"/>
      <c r="U572" s="12"/>
      <c r="V572" s="12"/>
      <c r="W572" s="12"/>
      <c r="X572" s="12"/>
      <c r="Y572" s="12"/>
      <c r="Z572" s="12"/>
    </row>
    <row r="573" spans="1:26" ht="14.25" hidden="1" customHeight="1" x14ac:dyDescent="0.3">
      <c r="A573" s="155">
        <v>433</v>
      </c>
      <c r="B573" s="156" t="s">
        <v>822</v>
      </c>
      <c r="C573" s="3"/>
      <c r="D573" s="3"/>
      <c r="E573" s="156"/>
      <c r="F573" s="3"/>
      <c r="G573" s="158">
        <v>668</v>
      </c>
      <c r="H573" s="155">
        <v>1</v>
      </c>
      <c r="I573" s="155">
        <v>1</v>
      </c>
      <c r="J573" s="156" t="s">
        <v>210</v>
      </c>
      <c r="K573" s="5"/>
      <c r="L573" s="3"/>
      <c r="M573" s="6"/>
      <c r="N573" s="9"/>
      <c r="O573" s="158">
        <v>668</v>
      </c>
      <c r="P573" s="44"/>
      <c r="Q573" s="12"/>
      <c r="R573" s="12"/>
      <c r="S573" s="12"/>
      <c r="T573" s="12"/>
      <c r="U573" s="12"/>
      <c r="V573" s="12"/>
      <c r="W573" s="12"/>
      <c r="X573" s="12"/>
      <c r="Y573" s="12"/>
      <c r="Z573" s="12"/>
    </row>
    <row r="574" spans="1:26" ht="14.25" hidden="1" customHeight="1" x14ac:dyDescent="0.3">
      <c r="A574" s="155">
        <v>434</v>
      </c>
      <c r="B574" s="156" t="s">
        <v>823</v>
      </c>
      <c r="C574" s="3"/>
      <c r="D574" s="3"/>
      <c r="E574" s="156"/>
      <c r="F574" s="3"/>
      <c r="G574" s="158">
        <v>26.82</v>
      </c>
      <c r="H574" s="155">
        <v>50</v>
      </c>
      <c r="I574" s="155">
        <v>1</v>
      </c>
      <c r="J574" s="156" t="s">
        <v>92</v>
      </c>
      <c r="K574" s="5"/>
      <c r="L574" s="3"/>
      <c r="M574" s="6"/>
      <c r="N574" s="9"/>
      <c r="O574" s="158">
        <v>1341</v>
      </c>
      <c r="P574" s="44"/>
      <c r="Q574" s="12"/>
      <c r="R574" s="12"/>
      <c r="S574" s="12"/>
      <c r="T574" s="12"/>
      <c r="U574" s="12"/>
      <c r="V574" s="12"/>
      <c r="W574" s="12"/>
      <c r="X574" s="12"/>
      <c r="Y574" s="12"/>
      <c r="Z574" s="12"/>
    </row>
    <row r="575" spans="1:26" ht="14.25" hidden="1" customHeight="1" x14ac:dyDescent="0.3">
      <c r="A575" s="155">
        <v>435</v>
      </c>
      <c r="B575" s="156" t="s">
        <v>824</v>
      </c>
      <c r="C575" s="3"/>
      <c r="D575" s="3"/>
      <c r="E575" s="156" t="s">
        <v>74</v>
      </c>
      <c r="F575" s="3"/>
      <c r="G575" s="158">
        <v>0.1148</v>
      </c>
      <c r="H575" s="155">
        <v>7000</v>
      </c>
      <c r="I575" s="155">
        <v>500</v>
      </c>
      <c r="J575" s="156" t="s">
        <v>39</v>
      </c>
      <c r="K575" s="5"/>
      <c r="L575" s="3"/>
      <c r="M575" s="6"/>
      <c r="N575" s="9"/>
      <c r="O575" s="158">
        <v>803.6</v>
      </c>
      <c r="P575" s="44"/>
      <c r="Q575" s="12"/>
      <c r="R575" s="12"/>
      <c r="S575" s="12"/>
      <c r="T575" s="12"/>
      <c r="U575" s="12"/>
      <c r="V575" s="12"/>
      <c r="W575" s="12"/>
      <c r="X575" s="12"/>
      <c r="Y575" s="12"/>
      <c r="Z575" s="12"/>
    </row>
    <row r="576" spans="1:26" ht="14.25" hidden="1" customHeight="1" x14ac:dyDescent="0.3">
      <c r="A576" s="155">
        <v>435</v>
      </c>
      <c r="B576" s="156" t="s">
        <v>824</v>
      </c>
      <c r="C576" s="3"/>
      <c r="D576" s="3"/>
      <c r="E576" s="156" t="s">
        <v>825</v>
      </c>
      <c r="F576" s="3"/>
      <c r="G576" s="158">
        <v>0.230238</v>
      </c>
      <c r="H576" s="155">
        <v>2520</v>
      </c>
      <c r="I576" s="155">
        <v>500</v>
      </c>
      <c r="J576" s="156" t="s">
        <v>39</v>
      </c>
      <c r="K576" s="5"/>
      <c r="L576" s="3"/>
      <c r="M576" s="6"/>
      <c r="N576" s="9"/>
      <c r="O576" s="158">
        <v>580.20000000000005</v>
      </c>
      <c r="P576" s="44"/>
      <c r="Q576" s="12"/>
      <c r="R576" s="12"/>
      <c r="S576" s="12"/>
      <c r="T576" s="12"/>
      <c r="U576" s="12"/>
      <c r="V576" s="12"/>
      <c r="W576" s="12"/>
      <c r="X576" s="12"/>
      <c r="Y576" s="12"/>
      <c r="Z576" s="12"/>
    </row>
    <row r="577" spans="1:26" ht="14.25" hidden="1" customHeight="1" x14ac:dyDescent="0.3">
      <c r="A577" s="155">
        <v>436</v>
      </c>
      <c r="B577" s="156" t="s">
        <v>826</v>
      </c>
      <c r="C577" s="3"/>
      <c r="D577" s="3"/>
      <c r="E577" s="156"/>
      <c r="F577" s="3"/>
      <c r="G577" s="158">
        <v>0.44</v>
      </c>
      <c r="H577" s="155">
        <v>2000</v>
      </c>
      <c r="I577" s="155">
        <v>1000</v>
      </c>
      <c r="J577" s="156" t="s">
        <v>39</v>
      </c>
      <c r="K577" s="5"/>
      <c r="L577" s="3"/>
      <c r="M577" s="6"/>
      <c r="N577" s="9"/>
      <c r="O577" s="158">
        <v>880</v>
      </c>
      <c r="P577" s="44"/>
      <c r="Q577" s="12"/>
      <c r="R577" s="12"/>
      <c r="S577" s="12"/>
      <c r="T577" s="12"/>
      <c r="U577" s="12"/>
      <c r="V577" s="12"/>
      <c r="W577" s="12"/>
      <c r="X577" s="12"/>
      <c r="Y577" s="12"/>
      <c r="Z577" s="12"/>
    </row>
    <row r="578" spans="1:26" ht="14.25" hidden="1" customHeight="1" x14ac:dyDescent="0.3">
      <c r="A578" s="155">
        <v>437</v>
      </c>
      <c r="B578" s="156" t="s">
        <v>457</v>
      </c>
      <c r="C578" s="3"/>
      <c r="D578" s="3"/>
      <c r="E578" s="156" t="s">
        <v>216</v>
      </c>
      <c r="F578" s="3"/>
      <c r="G578" s="158">
        <v>49.285710000000002</v>
      </c>
      <c r="H578" s="155">
        <v>7</v>
      </c>
      <c r="I578" s="155">
        <v>1</v>
      </c>
      <c r="J578" s="156" t="s">
        <v>39</v>
      </c>
      <c r="K578" s="5"/>
      <c r="L578" s="3"/>
      <c r="M578" s="6"/>
      <c r="N578" s="9"/>
      <c r="O578" s="158">
        <v>345</v>
      </c>
      <c r="P578" s="44"/>
      <c r="Q578" s="12"/>
      <c r="R578" s="12"/>
      <c r="S578" s="12"/>
      <c r="T578" s="12"/>
      <c r="U578" s="12"/>
      <c r="V578" s="12"/>
      <c r="W578" s="12"/>
      <c r="X578" s="12"/>
      <c r="Y578" s="12"/>
      <c r="Z578" s="12"/>
    </row>
    <row r="579" spans="1:26" ht="14.25" hidden="1" customHeight="1" x14ac:dyDescent="0.3">
      <c r="A579" s="155">
        <v>438</v>
      </c>
      <c r="B579" s="156" t="s">
        <v>85</v>
      </c>
      <c r="C579" s="3"/>
      <c r="D579" s="3"/>
      <c r="E579" s="156" t="s">
        <v>86</v>
      </c>
      <c r="F579" s="3"/>
      <c r="G579" s="158">
        <v>50</v>
      </c>
      <c r="H579" s="155">
        <v>4</v>
      </c>
      <c r="I579" s="155">
        <v>375</v>
      </c>
      <c r="J579" s="156" t="s">
        <v>32</v>
      </c>
      <c r="K579" s="5"/>
      <c r="L579" s="3"/>
      <c r="M579" s="6"/>
      <c r="N579" s="9"/>
      <c r="O579" s="158">
        <v>200</v>
      </c>
      <c r="P579" s="44"/>
      <c r="Q579" s="12"/>
      <c r="R579" s="12"/>
      <c r="S579" s="12"/>
      <c r="T579" s="12"/>
      <c r="U579" s="12"/>
      <c r="V579" s="12"/>
      <c r="W579" s="12"/>
      <c r="X579" s="12"/>
      <c r="Y579" s="12"/>
      <c r="Z579" s="12"/>
    </row>
    <row r="580" spans="1:26" ht="14.25" hidden="1" customHeight="1" x14ac:dyDescent="0.3">
      <c r="A580" s="155">
        <v>439</v>
      </c>
      <c r="B580" s="156" t="s">
        <v>196</v>
      </c>
      <c r="C580" s="3"/>
      <c r="D580" s="3"/>
      <c r="E580" s="156" t="s">
        <v>172</v>
      </c>
      <c r="F580" s="3"/>
      <c r="G580" s="158">
        <v>0.19153800000000001</v>
      </c>
      <c r="H580" s="155">
        <v>2860</v>
      </c>
      <c r="I580" s="155">
        <v>260</v>
      </c>
      <c r="J580" s="156" t="s">
        <v>519</v>
      </c>
      <c r="K580" s="5"/>
      <c r="L580" s="3"/>
      <c r="M580" s="6"/>
      <c r="N580" s="9"/>
      <c r="O580" s="158">
        <v>547.79999999999995</v>
      </c>
      <c r="P580" s="44"/>
      <c r="Q580" s="12"/>
      <c r="R580" s="12"/>
      <c r="S580" s="12"/>
      <c r="T580" s="12"/>
      <c r="U580" s="12"/>
      <c r="V580" s="12"/>
      <c r="W580" s="12"/>
      <c r="X580" s="12"/>
      <c r="Y580" s="12"/>
      <c r="Z580" s="12"/>
    </row>
    <row r="581" spans="1:26" ht="14.25" hidden="1" customHeight="1" x14ac:dyDescent="0.3">
      <c r="A581" s="155">
        <v>439</v>
      </c>
      <c r="B581" s="156" t="s">
        <v>196</v>
      </c>
      <c r="C581" s="3"/>
      <c r="D581" s="3"/>
      <c r="E581" s="156" t="s">
        <v>197</v>
      </c>
      <c r="F581" s="3"/>
      <c r="G581" s="158">
        <v>49.92</v>
      </c>
      <c r="H581" s="155">
        <v>19</v>
      </c>
      <c r="I581" s="155">
        <v>260</v>
      </c>
      <c r="J581" s="156" t="s">
        <v>519</v>
      </c>
      <c r="K581" s="5"/>
      <c r="L581" s="3"/>
      <c r="M581" s="6"/>
      <c r="N581" s="9"/>
      <c r="O581" s="158">
        <v>948.48</v>
      </c>
      <c r="P581" s="44"/>
      <c r="Q581" s="12"/>
      <c r="R581" s="12"/>
      <c r="S581" s="12"/>
      <c r="T581" s="12"/>
      <c r="U581" s="12"/>
      <c r="V581" s="12"/>
      <c r="W581" s="12"/>
      <c r="X581" s="12"/>
      <c r="Y581" s="12"/>
      <c r="Z581" s="12"/>
    </row>
    <row r="582" spans="1:26" ht="14.25" hidden="1" customHeight="1" x14ac:dyDescent="0.3">
      <c r="A582" s="155">
        <v>440</v>
      </c>
      <c r="B582" s="156" t="s">
        <v>291</v>
      </c>
      <c r="C582" s="3"/>
      <c r="D582" s="3"/>
      <c r="E582" s="156" t="s">
        <v>239</v>
      </c>
      <c r="F582" s="3"/>
      <c r="G582" s="158">
        <v>70</v>
      </c>
      <c r="H582" s="155">
        <v>15</v>
      </c>
      <c r="I582" s="155">
        <v>1</v>
      </c>
      <c r="J582" s="156" t="s">
        <v>32</v>
      </c>
      <c r="K582" s="5"/>
      <c r="L582" s="3"/>
      <c r="M582" s="6"/>
      <c r="N582" s="9"/>
      <c r="O582" s="158">
        <v>1050</v>
      </c>
      <c r="P582" s="44"/>
      <c r="Q582" s="12"/>
      <c r="R582" s="12"/>
      <c r="S582" s="12"/>
      <c r="T582" s="12"/>
      <c r="U582" s="12"/>
      <c r="V582" s="12"/>
      <c r="W582" s="12"/>
      <c r="X582" s="12"/>
      <c r="Y582" s="12"/>
      <c r="Z582" s="12"/>
    </row>
    <row r="583" spans="1:26" ht="14.25" hidden="1" customHeight="1" x14ac:dyDescent="0.3">
      <c r="A583" s="155">
        <v>440</v>
      </c>
      <c r="B583" s="156" t="s">
        <v>291</v>
      </c>
      <c r="C583" s="3"/>
      <c r="D583" s="3"/>
      <c r="E583" s="156" t="s">
        <v>239</v>
      </c>
      <c r="F583" s="3"/>
      <c r="G583" s="158">
        <v>70</v>
      </c>
      <c r="H583" s="155">
        <v>30</v>
      </c>
      <c r="I583" s="155">
        <v>1</v>
      </c>
      <c r="J583" s="156" t="s">
        <v>200</v>
      </c>
      <c r="K583" s="5"/>
      <c r="L583" s="3"/>
      <c r="M583" s="6"/>
      <c r="N583" s="9"/>
      <c r="O583" s="158">
        <v>2100</v>
      </c>
      <c r="P583" s="44"/>
      <c r="Q583" s="12"/>
      <c r="R583" s="12"/>
      <c r="S583" s="12"/>
      <c r="T583" s="12"/>
      <c r="U583" s="12"/>
      <c r="V583" s="12"/>
      <c r="W583" s="12"/>
      <c r="X583" s="12"/>
      <c r="Y583" s="12"/>
      <c r="Z583" s="12"/>
    </row>
    <row r="584" spans="1:26" ht="14.25" hidden="1" customHeight="1" x14ac:dyDescent="0.3">
      <c r="A584" s="155">
        <v>440</v>
      </c>
      <c r="B584" s="156" t="s">
        <v>291</v>
      </c>
      <c r="C584" s="3"/>
      <c r="D584" s="3"/>
      <c r="E584" s="156"/>
      <c r="F584" s="3"/>
      <c r="G584" s="158">
        <v>70</v>
      </c>
      <c r="H584" s="155">
        <v>5</v>
      </c>
      <c r="I584" s="155">
        <v>1</v>
      </c>
      <c r="J584" s="156" t="s">
        <v>200</v>
      </c>
      <c r="K584" s="5"/>
      <c r="L584" s="3"/>
      <c r="M584" s="6"/>
      <c r="N584" s="9"/>
      <c r="O584" s="158">
        <v>350</v>
      </c>
      <c r="P584" s="44"/>
      <c r="Q584" s="12"/>
      <c r="R584" s="12"/>
      <c r="S584" s="12"/>
      <c r="T584" s="12"/>
      <c r="U584" s="12"/>
      <c r="V584" s="12"/>
      <c r="W584" s="12"/>
      <c r="X584" s="12"/>
      <c r="Y584" s="12"/>
      <c r="Z584" s="12"/>
    </row>
    <row r="585" spans="1:26" ht="14.25" hidden="1" customHeight="1" x14ac:dyDescent="0.3">
      <c r="A585" s="155">
        <v>440</v>
      </c>
      <c r="B585" s="156" t="s">
        <v>291</v>
      </c>
      <c r="C585" s="3"/>
      <c r="D585" s="3"/>
      <c r="E585" s="156"/>
      <c r="F585" s="3"/>
      <c r="G585" s="158">
        <v>0.191111</v>
      </c>
      <c r="H585" s="155">
        <v>1000</v>
      </c>
      <c r="I585" s="155">
        <v>1</v>
      </c>
      <c r="J585" s="156" t="s">
        <v>39</v>
      </c>
      <c r="K585" s="5"/>
      <c r="L585" s="3"/>
      <c r="M585" s="6"/>
      <c r="N585" s="9"/>
      <c r="O585" s="158">
        <v>191.11109999999999</v>
      </c>
      <c r="P585" s="44"/>
      <c r="Q585" s="12"/>
      <c r="R585" s="12"/>
      <c r="S585" s="12"/>
      <c r="T585" s="12"/>
      <c r="U585" s="12"/>
      <c r="V585" s="12"/>
      <c r="W585" s="12"/>
      <c r="X585" s="12"/>
      <c r="Y585" s="12"/>
      <c r="Z585" s="12"/>
    </row>
    <row r="586" spans="1:26" ht="14.25" hidden="1" customHeight="1" x14ac:dyDescent="0.3">
      <c r="A586" s="155">
        <v>441</v>
      </c>
      <c r="B586" s="156" t="s">
        <v>446</v>
      </c>
      <c r="C586" s="3"/>
      <c r="D586" s="3"/>
      <c r="E586" s="156" t="s">
        <v>447</v>
      </c>
      <c r="F586" s="3"/>
      <c r="G586" s="158">
        <v>7.03</v>
      </c>
      <c r="H586" s="155">
        <v>240</v>
      </c>
      <c r="I586" s="155">
        <v>1</v>
      </c>
      <c r="J586" s="156" t="s">
        <v>92</v>
      </c>
      <c r="K586" s="5"/>
      <c r="L586" s="3"/>
      <c r="M586" s="6"/>
      <c r="N586" s="9"/>
      <c r="O586" s="158">
        <v>1687.2</v>
      </c>
      <c r="P586" s="44"/>
      <c r="Q586" s="12"/>
      <c r="R586" s="12"/>
      <c r="S586" s="12"/>
      <c r="T586" s="12"/>
      <c r="U586" s="12"/>
      <c r="V586" s="12"/>
      <c r="W586" s="12"/>
      <c r="X586" s="12"/>
      <c r="Y586" s="12"/>
      <c r="Z586" s="12"/>
    </row>
    <row r="587" spans="1:26" ht="14.25" hidden="1" customHeight="1" x14ac:dyDescent="0.3">
      <c r="A587" s="155">
        <v>442</v>
      </c>
      <c r="B587" s="156" t="s">
        <v>317</v>
      </c>
      <c r="C587" s="3"/>
      <c r="D587" s="3"/>
      <c r="E587" s="156"/>
      <c r="F587" s="3"/>
      <c r="G587" s="158">
        <v>0.93066700000000002</v>
      </c>
      <c r="H587" s="155">
        <v>1500</v>
      </c>
      <c r="I587" s="155">
        <v>1000</v>
      </c>
      <c r="J587" s="156" t="s">
        <v>39</v>
      </c>
      <c r="K587" s="5"/>
      <c r="L587" s="3"/>
      <c r="M587" s="6"/>
      <c r="N587" s="9"/>
      <c r="O587" s="158">
        <v>1396</v>
      </c>
      <c r="P587" s="44"/>
      <c r="Q587" s="12"/>
      <c r="R587" s="12"/>
      <c r="S587" s="12"/>
      <c r="T587" s="12"/>
      <c r="U587" s="12"/>
      <c r="V587" s="12"/>
      <c r="W587" s="12"/>
      <c r="X587" s="12"/>
      <c r="Y587" s="12"/>
      <c r="Z587" s="12"/>
    </row>
    <row r="588" spans="1:26" ht="14.25" hidden="1" customHeight="1" x14ac:dyDescent="0.3">
      <c r="A588" s="155">
        <v>442</v>
      </c>
      <c r="B588" s="156" t="s">
        <v>317</v>
      </c>
      <c r="C588" s="3"/>
      <c r="D588" s="3"/>
      <c r="E588" s="156" t="s">
        <v>39</v>
      </c>
      <c r="F588" s="3"/>
      <c r="G588" s="158">
        <v>188</v>
      </c>
      <c r="H588" s="155">
        <v>2</v>
      </c>
      <c r="I588" s="155">
        <v>1000</v>
      </c>
      <c r="J588" s="156" t="s">
        <v>39</v>
      </c>
      <c r="K588" s="5"/>
      <c r="L588" s="3"/>
      <c r="M588" s="6"/>
      <c r="N588" s="9"/>
      <c r="O588" s="158">
        <v>376</v>
      </c>
      <c r="P588" s="44"/>
      <c r="Q588" s="12"/>
      <c r="R588" s="12"/>
      <c r="S588" s="12"/>
      <c r="T588" s="12"/>
      <c r="U588" s="12"/>
      <c r="V588" s="12"/>
      <c r="W588" s="12"/>
      <c r="X588" s="12"/>
      <c r="Y588" s="12"/>
      <c r="Z588" s="12"/>
    </row>
    <row r="589" spans="1:26" ht="14.25" hidden="1" customHeight="1" x14ac:dyDescent="0.3">
      <c r="A589" s="155">
        <v>443</v>
      </c>
      <c r="B589" s="156" t="s">
        <v>827</v>
      </c>
      <c r="C589" s="3"/>
      <c r="D589" s="3"/>
      <c r="E589" s="156" t="s">
        <v>828</v>
      </c>
      <c r="F589" s="3"/>
      <c r="G589" s="158">
        <v>0.22500000000000001</v>
      </c>
      <c r="H589" s="155">
        <v>400</v>
      </c>
      <c r="I589" s="155">
        <v>200</v>
      </c>
      <c r="J589" s="156" t="s">
        <v>39</v>
      </c>
      <c r="K589" s="5"/>
      <c r="L589" s="3"/>
      <c r="M589" s="6"/>
      <c r="N589" s="9"/>
      <c r="O589" s="158">
        <v>90</v>
      </c>
      <c r="P589" s="44"/>
      <c r="Q589" s="12"/>
      <c r="R589" s="12"/>
      <c r="S589" s="12"/>
      <c r="T589" s="12"/>
      <c r="U589" s="12"/>
      <c r="V589" s="12"/>
      <c r="W589" s="12"/>
      <c r="X589" s="12"/>
      <c r="Y589" s="12"/>
      <c r="Z589" s="12"/>
    </row>
    <row r="590" spans="1:26" ht="14.25" hidden="1" customHeight="1" x14ac:dyDescent="0.3">
      <c r="A590" s="155">
        <v>444</v>
      </c>
      <c r="B590" s="156" t="s">
        <v>829</v>
      </c>
      <c r="C590" s="3"/>
      <c r="D590" s="3"/>
      <c r="E590" s="156"/>
      <c r="F590" s="3"/>
      <c r="G590" s="158">
        <v>0.1608</v>
      </c>
      <c r="H590" s="155">
        <v>4000</v>
      </c>
      <c r="I590" s="155">
        <v>250</v>
      </c>
      <c r="J590" s="156" t="s">
        <v>39</v>
      </c>
      <c r="K590" s="5"/>
      <c r="L590" s="3"/>
      <c r="M590" s="6"/>
      <c r="N590" s="9"/>
      <c r="O590" s="158">
        <v>643.20000000000005</v>
      </c>
      <c r="P590" s="44"/>
      <c r="Q590" s="12"/>
      <c r="R590" s="12"/>
      <c r="S590" s="12"/>
      <c r="T590" s="12"/>
      <c r="U590" s="12"/>
      <c r="V590" s="12"/>
      <c r="W590" s="12"/>
      <c r="X590" s="12"/>
      <c r="Y590" s="12"/>
      <c r="Z590" s="12"/>
    </row>
    <row r="591" spans="1:26" ht="14.25" hidden="1" customHeight="1" x14ac:dyDescent="0.3">
      <c r="A591" s="155">
        <v>445</v>
      </c>
      <c r="B591" s="156" t="s">
        <v>448</v>
      </c>
      <c r="C591" s="3"/>
      <c r="D591" s="3"/>
      <c r="E591" s="156" t="s">
        <v>449</v>
      </c>
      <c r="F591" s="3"/>
      <c r="G591" s="158">
        <v>8.89</v>
      </c>
      <c r="H591" s="155">
        <v>150</v>
      </c>
      <c r="I591" s="155">
        <v>1</v>
      </c>
      <c r="J591" s="156" t="s">
        <v>92</v>
      </c>
      <c r="K591" s="5"/>
      <c r="L591" s="3"/>
      <c r="M591" s="6"/>
      <c r="N591" s="9"/>
      <c r="O591" s="158">
        <v>1333.5</v>
      </c>
      <c r="P591" s="44"/>
      <c r="Q591" s="12"/>
      <c r="R591" s="12"/>
      <c r="S591" s="12"/>
      <c r="T591" s="12"/>
      <c r="U591" s="12"/>
      <c r="V591" s="12"/>
      <c r="W591" s="12"/>
      <c r="X591" s="12"/>
      <c r="Y591" s="12"/>
      <c r="Z591" s="12"/>
    </row>
    <row r="592" spans="1:26" ht="14.25" hidden="1" customHeight="1" x14ac:dyDescent="0.3">
      <c r="A592" s="155">
        <v>446</v>
      </c>
      <c r="B592" s="156" t="s">
        <v>830</v>
      </c>
      <c r="C592" s="3"/>
      <c r="D592" s="3"/>
      <c r="E592" s="156" t="s">
        <v>831</v>
      </c>
      <c r="F592" s="3"/>
      <c r="G592" s="158">
        <v>22</v>
      </c>
      <c r="H592" s="155">
        <v>1</v>
      </c>
      <c r="I592" s="155">
        <v>1</v>
      </c>
      <c r="J592" s="156" t="s">
        <v>304</v>
      </c>
      <c r="K592" s="5"/>
      <c r="L592" s="3"/>
      <c r="M592" s="6"/>
      <c r="N592" s="9"/>
      <c r="O592" s="158">
        <v>22</v>
      </c>
      <c r="P592" s="44"/>
      <c r="Q592" s="12"/>
      <c r="R592" s="12"/>
      <c r="S592" s="12"/>
      <c r="T592" s="12"/>
      <c r="U592" s="12"/>
      <c r="V592" s="12"/>
      <c r="W592" s="12"/>
      <c r="X592" s="12"/>
      <c r="Y592" s="12"/>
      <c r="Z592" s="12"/>
    </row>
    <row r="593" spans="1:26" ht="14.25" hidden="1" customHeight="1" x14ac:dyDescent="0.3">
      <c r="A593" s="155">
        <v>447</v>
      </c>
      <c r="B593" s="156" t="s">
        <v>832</v>
      </c>
      <c r="C593" s="3"/>
      <c r="D593" s="3"/>
      <c r="E593" s="156" t="s">
        <v>831</v>
      </c>
      <c r="F593" s="3"/>
      <c r="G593" s="158">
        <v>22</v>
      </c>
      <c r="H593" s="155">
        <v>1</v>
      </c>
      <c r="I593" s="155">
        <v>1</v>
      </c>
      <c r="J593" s="156" t="s">
        <v>304</v>
      </c>
      <c r="K593" s="5"/>
      <c r="L593" s="3"/>
      <c r="M593" s="6"/>
      <c r="N593" s="9"/>
      <c r="O593" s="158">
        <v>22</v>
      </c>
      <c r="P593" s="44"/>
      <c r="Q593" s="12"/>
      <c r="R593" s="12"/>
      <c r="S593" s="12"/>
      <c r="T593" s="12"/>
      <c r="U593" s="12"/>
      <c r="V593" s="12"/>
      <c r="W593" s="12"/>
      <c r="X593" s="12"/>
      <c r="Y593" s="12"/>
      <c r="Z593" s="12"/>
    </row>
    <row r="594" spans="1:26" ht="14.25" hidden="1" customHeight="1" x14ac:dyDescent="0.3">
      <c r="A594" s="155">
        <v>448</v>
      </c>
      <c r="B594" s="156" t="s">
        <v>833</v>
      </c>
      <c r="C594" s="3"/>
      <c r="D594" s="3"/>
      <c r="E594" s="156" t="s">
        <v>834</v>
      </c>
      <c r="F594" s="3"/>
      <c r="G594" s="158">
        <v>0.91814799999999996</v>
      </c>
      <c r="H594" s="155">
        <v>270</v>
      </c>
      <c r="I594" s="155">
        <v>270</v>
      </c>
      <c r="J594" s="156" t="s">
        <v>39</v>
      </c>
      <c r="K594" s="5"/>
      <c r="L594" s="3"/>
      <c r="M594" s="6"/>
      <c r="N594" s="9"/>
      <c r="O594" s="158">
        <v>247.9</v>
      </c>
      <c r="P594" s="44"/>
      <c r="Q594" s="12"/>
      <c r="R594" s="12"/>
      <c r="S594" s="12"/>
      <c r="T594" s="12"/>
      <c r="U594" s="12"/>
      <c r="V594" s="12"/>
      <c r="W594" s="12"/>
      <c r="X594" s="12"/>
      <c r="Y594" s="12"/>
      <c r="Z594" s="12"/>
    </row>
    <row r="595" spans="1:26" ht="14.25" hidden="1" customHeight="1" x14ac:dyDescent="0.3">
      <c r="A595" s="155">
        <v>449</v>
      </c>
      <c r="B595" s="156" t="s">
        <v>835</v>
      </c>
      <c r="C595" s="3"/>
      <c r="D595" s="3"/>
      <c r="E595" s="156"/>
      <c r="F595" s="3"/>
      <c r="G595" s="158">
        <v>3.82</v>
      </c>
      <c r="H595" s="155">
        <v>108</v>
      </c>
      <c r="I595" s="155">
        <v>100</v>
      </c>
      <c r="J595" s="156" t="s">
        <v>92</v>
      </c>
      <c r="K595" s="5"/>
      <c r="L595" s="3"/>
      <c r="M595" s="6"/>
      <c r="N595" s="9"/>
      <c r="O595" s="158">
        <v>412.56</v>
      </c>
      <c r="P595" s="44"/>
      <c r="Q595" s="12"/>
      <c r="R595" s="12"/>
      <c r="S595" s="12"/>
      <c r="T595" s="12"/>
      <c r="U595" s="12"/>
      <c r="V595" s="12"/>
      <c r="W595" s="12"/>
      <c r="X595" s="12"/>
      <c r="Y595" s="12"/>
      <c r="Z595" s="12"/>
    </row>
    <row r="596" spans="1:26" ht="14.25" hidden="1" customHeight="1" x14ac:dyDescent="0.3">
      <c r="A596" s="155">
        <v>450</v>
      </c>
      <c r="B596" s="156" t="s">
        <v>836</v>
      </c>
      <c r="C596" s="3"/>
      <c r="D596" s="3"/>
      <c r="E596" s="156"/>
      <c r="F596" s="3"/>
      <c r="G596" s="158">
        <v>0.26900000000000002</v>
      </c>
      <c r="H596" s="155">
        <v>200</v>
      </c>
      <c r="I596" s="155">
        <v>200</v>
      </c>
      <c r="J596" s="156" t="s">
        <v>39</v>
      </c>
      <c r="K596" s="5"/>
      <c r="L596" s="3"/>
      <c r="M596" s="6"/>
      <c r="N596" s="9"/>
      <c r="O596" s="158">
        <v>53.8</v>
      </c>
      <c r="P596" s="44"/>
      <c r="Q596" s="12"/>
      <c r="R596" s="12"/>
      <c r="S596" s="12"/>
      <c r="T596" s="12"/>
      <c r="U596" s="12"/>
      <c r="V596" s="12"/>
      <c r="W596" s="12"/>
      <c r="X596" s="12"/>
      <c r="Y596" s="12"/>
      <c r="Z596" s="12"/>
    </row>
    <row r="597" spans="1:26" ht="14.25" hidden="1" customHeight="1" x14ac:dyDescent="0.3">
      <c r="A597" s="155">
        <v>451</v>
      </c>
      <c r="B597" s="156" t="s">
        <v>837</v>
      </c>
      <c r="C597" s="3"/>
      <c r="D597" s="3"/>
      <c r="E597" s="156"/>
      <c r="F597" s="3"/>
      <c r="G597" s="158">
        <v>8.86</v>
      </c>
      <c r="H597" s="155">
        <v>10</v>
      </c>
      <c r="I597" s="155">
        <v>10</v>
      </c>
      <c r="J597" s="156" t="s">
        <v>92</v>
      </c>
      <c r="K597" s="5"/>
      <c r="L597" s="3"/>
      <c r="M597" s="6"/>
      <c r="N597" s="9"/>
      <c r="O597" s="158">
        <v>88.6</v>
      </c>
      <c r="P597" s="44"/>
      <c r="Q597" s="12"/>
      <c r="R597" s="12"/>
      <c r="S597" s="12"/>
      <c r="T597" s="12"/>
      <c r="U597" s="12"/>
      <c r="V597" s="12"/>
      <c r="W597" s="12"/>
      <c r="X597" s="12"/>
      <c r="Y597" s="12"/>
      <c r="Z597" s="12"/>
    </row>
    <row r="598" spans="1:26" ht="14.25" hidden="1" customHeight="1" x14ac:dyDescent="0.3">
      <c r="A598" s="155">
        <v>452</v>
      </c>
      <c r="B598" s="156" t="s">
        <v>838</v>
      </c>
      <c r="C598" s="3"/>
      <c r="D598" s="3"/>
      <c r="E598" s="156"/>
      <c r="F598" s="3"/>
      <c r="G598" s="158">
        <v>8.86</v>
      </c>
      <c r="H598" s="155">
        <v>29</v>
      </c>
      <c r="I598" s="155">
        <v>10</v>
      </c>
      <c r="J598" s="156" t="s">
        <v>92</v>
      </c>
      <c r="K598" s="5"/>
      <c r="L598" s="3"/>
      <c r="M598" s="6"/>
      <c r="N598" s="9"/>
      <c r="O598" s="158">
        <v>256.94</v>
      </c>
      <c r="P598" s="44"/>
      <c r="Q598" s="12"/>
      <c r="R598" s="12"/>
      <c r="S598" s="12"/>
      <c r="T598" s="12"/>
      <c r="U598" s="12"/>
      <c r="V598" s="12"/>
      <c r="W598" s="12"/>
      <c r="X598" s="12"/>
      <c r="Y598" s="12"/>
      <c r="Z598" s="12"/>
    </row>
    <row r="599" spans="1:26" ht="14.25" hidden="1" customHeight="1" x14ac:dyDescent="0.3">
      <c r="A599" s="155">
        <v>453</v>
      </c>
      <c r="B599" s="156" t="s">
        <v>839</v>
      </c>
      <c r="C599" s="3"/>
      <c r="D599" s="3"/>
      <c r="E599" s="156"/>
      <c r="F599" s="3"/>
      <c r="G599" s="158">
        <v>8.86</v>
      </c>
      <c r="H599" s="155">
        <v>20</v>
      </c>
      <c r="I599" s="155">
        <v>10</v>
      </c>
      <c r="J599" s="156" t="s">
        <v>92</v>
      </c>
      <c r="K599" s="5"/>
      <c r="L599" s="3"/>
      <c r="M599" s="6"/>
      <c r="N599" s="9"/>
      <c r="O599" s="158">
        <v>177.2</v>
      </c>
      <c r="P599" s="44"/>
      <c r="Q599" s="12"/>
      <c r="R599" s="12"/>
      <c r="S599" s="12"/>
      <c r="T599" s="12"/>
      <c r="U599" s="12"/>
      <c r="V599" s="12"/>
      <c r="W599" s="12"/>
      <c r="X599" s="12"/>
      <c r="Y599" s="12"/>
      <c r="Z599" s="12"/>
    </row>
    <row r="600" spans="1:26" ht="14.25" hidden="1" customHeight="1" x14ac:dyDescent="0.3">
      <c r="A600" s="155">
        <v>454</v>
      </c>
      <c r="B600" s="156" t="s">
        <v>840</v>
      </c>
      <c r="C600" s="3"/>
      <c r="D600" s="3"/>
      <c r="E600" s="156" t="s">
        <v>841</v>
      </c>
      <c r="F600" s="3"/>
      <c r="G600" s="158">
        <v>8.4119679999999999</v>
      </c>
      <c r="H600" s="155">
        <v>249</v>
      </c>
      <c r="I600" s="155">
        <v>20</v>
      </c>
      <c r="J600" s="156" t="s">
        <v>39</v>
      </c>
      <c r="K600" s="5"/>
      <c r="L600" s="3"/>
      <c r="M600" s="6"/>
      <c r="N600" s="9"/>
      <c r="O600" s="158">
        <v>2094.58</v>
      </c>
      <c r="P600" s="44"/>
      <c r="Q600" s="12"/>
      <c r="R600" s="12"/>
      <c r="S600" s="12"/>
      <c r="T600" s="12"/>
      <c r="U600" s="12"/>
      <c r="V600" s="12"/>
      <c r="W600" s="12"/>
      <c r="X600" s="12"/>
      <c r="Y600" s="12"/>
      <c r="Z600" s="12"/>
    </row>
    <row r="601" spans="1:26" ht="14.25" hidden="1" customHeight="1" x14ac:dyDescent="0.3">
      <c r="A601" s="155">
        <v>454</v>
      </c>
      <c r="B601" s="156" t="s">
        <v>840</v>
      </c>
      <c r="C601" s="3"/>
      <c r="D601" s="3"/>
      <c r="E601" s="156" t="s">
        <v>842</v>
      </c>
      <c r="F601" s="3"/>
      <c r="G601" s="158">
        <v>8.0890909999999998</v>
      </c>
      <c r="H601" s="155">
        <v>44</v>
      </c>
      <c r="I601" s="155">
        <v>20</v>
      </c>
      <c r="J601" s="156" t="s">
        <v>39</v>
      </c>
      <c r="K601" s="5"/>
      <c r="L601" s="3"/>
      <c r="M601" s="6"/>
      <c r="N601" s="9"/>
      <c r="O601" s="158">
        <v>355.92</v>
      </c>
      <c r="P601" s="44"/>
      <c r="Q601" s="12"/>
      <c r="R601" s="12"/>
      <c r="S601" s="12"/>
      <c r="T601" s="12"/>
      <c r="U601" s="12"/>
      <c r="V601" s="12"/>
      <c r="W601" s="12"/>
      <c r="X601" s="12"/>
      <c r="Y601" s="12"/>
      <c r="Z601" s="12"/>
    </row>
    <row r="602" spans="1:26" ht="14.25" hidden="1" customHeight="1" x14ac:dyDescent="0.3">
      <c r="A602" s="155">
        <v>454</v>
      </c>
      <c r="B602" s="156" t="s">
        <v>840</v>
      </c>
      <c r="C602" s="3"/>
      <c r="D602" s="3"/>
      <c r="E602" s="156" t="s">
        <v>843</v>
      </c>
      <c r="F602" s="3"/>
      <c r="G602" s="158">
        <v>8.4142860000000006</v>
      </c>
      <c r="H602" s="155">
        <v>7</v>
      </c>
      <c r="I602" s="155">
        <v>20</v>
      </c>
      <c r="J602" s="156" t="s">
        <v>39</v>
      </c>
      <c r="K602" s="5"/>
      <c r="L602" s="3"/>
      <c r="M602" s="6"/>
      <c r="N602" s="9"/>
      <c r="O602" s="158">
        <v>58.9</v>
      </c>
      <c r="P602" s="44"/>
      <c r="Q602" s="12"/>
      <c r="R602" s="12"/>
      <c r="S602" s="12"/>
      <c r="T602" s="12"/>
      <c r="U602" s="12"/>
      <c r="V602" s="12"/>
      <c r="W602" s="12"/>
      <c r="X602" s="12"/>
      <c r="Y602" s="12"/>
      <c r="Z602" s="12"/>
    </row>
    <row r="603" spans="1:26" ht="14.25" hidden="1" customHeight="1" x14ac:dyDescent="0.3">
      <c r="A603" s="155">
        <v>454</v>
      </c>
      <c r="B603" s="156" t="s">
        <v>840</v>
      </c>
      <c r="C603" s="3"/>
      <c r="D603" s="3"/>
      <c r="E603" s="156" t="s">
        <v>844</v>
      </c>
      <c r="F603" s="3"/>
      <c r="G603" s="158">
        <v>7.658487</v>
      </c>
      <c r="H603" s="155">
        <v>919</v>
      </c>
      <c r="I603" s="155">
        <v>20</v>
      </c>
      <c r="J603" s="156" t="s">
        <v>39</v>
      </c>
      <c r="K603" s="5"/>
      <c r="L603" s="3"/>
      <c r="M603" s="6"/>
      <c r="N603" s="9"/>
      <c r="O603" s="158">
        <v>7038.15</v>
      </c>
      <c r="P603" s="44"/>
      <c r="Q603" s="12"/>
      <c r="R603" s="12"/>
      <c r="S603" s="12"/>
      <c r="T603" s="12"/>
      <c r="U603" s="12"/>
      <c r="V603" s="12"/>
      <c r="W603" s="12"/>
      <c r="X603" s="12"/>
      <c r="Y603" s="12"/>
      <c r="Z603" s="12"/>
    </row>
    <row r="604" spans="1:26" ht="14.25" hidden="1" customHeight="1" x14ac:dyDescent="0.3">
      <c r="A604" s="155">
        <v>454</v>
      </c>
      <c r="B604" s="156" t="s">
        <v>840</v>
      </c>
      <c r="C604" s="3"/>
      <c r="D604" s="3"/>
      <c r="E604" s="156" t="s">
        <v>845</v>
      </c>
      <c r="F604" s="3"/>
      <c r="G604" s="158">
        <v>8.9200890000000008</v>
      </c>
      <c r="H604" s="155">
        <v>561</v>
      </c>
      <c r="I604" s="155">
        <v>20</v>
      </c>
      <c r="J604" s="156" t="s">
        <v>39</v>
      </c>
      <c r="K604" s="5"/>
      <c r="L604" s="3"/>
      <c r="M604" s="6"/>
      <c r="N604" s="9"/>
      <c r="O604" s="158">
        <v>5004.17</v>
      </c>
      <c r="P604" s="44"/>
      <c r="Q604" s="12"/>
      <c r="R604" s="12"/>
      <c r="S604" s="12"/>
      <c r="T604" s="12"/>
      <c r="U604" s="12"/>
      <c r="V604" s="12"/>
      <c r="W604" s="12"/>
      <c r="X604" s="12"/>
      <c r="Y604" s="12"/>
      <c r="Z604" s="12"/>
    </row>
    <row r="605" spans="1:26" ht="14.25" hidden="1" customHeight="1" x14ac:dyDescent="0.3">
      <c r="A605" s="155">
        <v>454</v>
      </c>
      <c r="B605" s="156" t="s">
        <v>840</v>
      </c>
      <c r="C605" s="3"/>
      <c r="D605" s="3"/>
      <c r="E605" s="156" t="s">
        <v>846</v>
      </c>
      <c r="F605" s="3"/>
      <c r="G605" s="158">
        <v>13.9</v>
      </c>
      <c r="H605" s="155">
        <v>62</v>
      </c>
      <c r="I605" s="155">
        <v>20</v>
      </c>
      <c r="J605" s="156" t="s">
        <v>39</v>
      </c>
      <c r="K605" s="5"/>
      <c r="L605" s="3"/>
      <c r="M605" s="6"/>
      <c r="N605" s="9"/>
      <c r="O605" s="158">
        <v>861.8</v>
      </c>
      <c r="P605" s="44"/>
      <c r="Q605" s="12"/>
      <c r="R605" s="12"/>
      <c r="S605" s="12"/>
      <c r="T605" s="12"/>
      <c r="U605" s="12"/>
      <c r="V605" s="12"/>
      <c r="W605" s="12"/>
      <c r="X605" s="12"/>
      <c r="Y605" s="12"/>
      <c r="Z605" s="12"/>
    </row>
    <row r="606" spans="1:26" ht="14.25" hidden="1" customHeight="1" x14ac:dyDescent="0.3">
      <c r="A606" s="155">
        <v>454</v>
      </c>
      <c r="B606" s="156" t="s">
        <v>840</v>
      </c>
      <c r="C606" s="3"/>
      <c r="D606" s="3"/>
      <c r="E606" s="156" t="s">
        <v>847</v>
      </c>
      <c r="F606" s="3"/>
      <c r="G606" s="158">
        <v>12.05167</v>
      </c>
      <c r="H606" s="155">
        <v>270</v>
      </c>
      <c r="I606" s="155">
        <v>20</v>
      </c>
      <c r="J606" s="156" t="s">
        <v>39</v>
      </c>
      <c r="K606" s="5"/>
      <c r="L606" s="3"/>
      <c r="M606" s="6"/>
      <c r="N606" s="9"/>
      <c r="O606" s="158">
        <v>3253.95</v>
      </c>
      <c r="P606" s="44"/>
      <c r="Q606" s="12"/>
      <c r="R606" s="12"/>
      <c r="S606" s="12"/>
      <c r="T606" s="12"/>
      <c r="U606" s="12"/>
      <c r="V606" s="12"/>
      <c r="W606" s="12"/>
      <c r="X606" s="12"/>
      <c r="Y606" s="12"/>
      <c r="Z606" s="12"/>
    </row>
    <row r="607" spans="1:26" ht="14.25" hidden="1" customHeight="1" x14ac:dyDescent="0.3">
      <c r="A607" s="155">
        <v>454</v>
      </c>
      <c r="B607" s="156" t="s">
        <v>840</v>
      </c>
      <c r="C607" s="3"/>
      <c r="D607" s="3"/>
      <c r="E607" s="156" t="s">
        <v>158</v>
      </c>
      <c r="F607" s="3"/>
      <c r="G607" s="158">
        <v>7.37</v>
      </c>
      <c r="H607" s="155">
        <v>2</v>
      </c>
      <c r="I607" s="155">
        <v>20</v>
      </c>
      <c r="J607" s="156" t="s">
        <v>39</v>
      </c>
      <c r="K607" s="5"/>
      <c r="L607" s="3"/>
      <c r="M607" s="6"/>
      <c r="N607" s="9"/>
      <c r="O607" s="158">
        <v>14.74</v>
      </c>
      <c r="P607" s="44"/>
      <c r="Q607" s="12"/>
      <c r="R607" s="12"/>
      <c r="S607" s="12"/>
      <c r="T607" s="12"/>
      <c r="U607" s="12"/>
      <c r="V607" s="12"/>
      <c r="W607" s="12"/>
      <c r="X607" s="12"/>
      <c r="Y607" s="12"/>
      <c r="Z607" s="12"/>
    </row>
    <row r="608" spans="1:26" ht="14.25" hidden="1" customHeight="1" x14ac:dyDescent="0.3">
      <c r="A608" s="155">
        <v>3</v>
      </c>
      <c r="B608" s="156" t="s">
        <v>295</v>
      </c>
      <c r="C608" s="3"/>
      <c r="D608" s="3"/>
      <c r="E608" s="156"/>
      <c r="F608" s="3"/>
      <c r="G608" s="158">
        <v>63.75</v>
      </c>
      <c r="H608" s="155">
        <v>8</v>
      </c>
      <c r="I608" s="155">
        <v>1</v>
      </c>
      <c r="J608" s="156" t="s">
        <v>213</v>
      </c>
      <c r="K608" s="5"/>
      <c r="L608" s="3"/>
      <c r="M608" s="6"/>
      <c r="N608" s="9"/>
      <c r="O608" s="158">
        <v>510</v>
      </c>
      <c r="P608" s="44"/>
      <c r="Q608" s="12"/>
      <c r="R608" s="12"/>
      <c r="S608" s="12"/>
      <c r="T608" s="12"/>
      <c r="U608" s="12"/>
      <c r="V608" s="12"/>
      <c r="W608" s="12"/>
      <c r="X608" s="12"/>
      <c r="Y608" s="12"/>
      <c r="Z608" s="12"/>
    </row>
    <row r="609" spans="1:26" ht="14.25" hidden="1" customHeight="1" x14ac:dyDescent="0.3">
      <c r="A609" s="155">
        <v>5</v>
      </c>
      <c r="B609" s="156" t="s">
        <v>34</v>
      </c>
      <c r="C609" s="3"/>
      <c r="D609" s="3"/>
      <c r="E609" s="156" t="s">
        <v>30</v>
      </c>
      <c r="F609" s="3"/>
      <c r="G609" s="158">
        <v>68.987219999999994</v>
      </c>
      <c r="H609" s="155">
        <v>97</v>
      </c>
      <c r="I609" s="155">
        <v>250</v>
      </c>
      <c r="J609" s="156" t="s">
        <v>32</v>
      </c>
      <c r="K609" s="5"/>
      <c r="L609" s="3"/>
      <c r="M609" s="6"/>
      <c r="N609" s="9"/>
      <c r="O609" s="158">
        <v>6691.76</v>
      </c>
      <c r="P609" s="44"/>
      <c r="Q609" s="12"/>
      <c r="R609" s="12"/>
      <c r="S609" s="12"/>
      <c r="T609" s="12"/>
      <c r="U609" s="12"/>
      <c r="V609" s="12"/>
      <c r="W609" s="12"/>
      <c r="X609" s="12"/>
      <c r="Y609" s="12"/>
      <c r="Z609" s="12"/>
    </row>
    <row r="610" spans="1:26" ht="14.25" hidden="1" customHeight="1" x14ac:dyDescent="0.3">
      <c r="A610" s="155">
        <v>6</v>
      </c>
      <c r="B610" s="156" t="s">
        <v>227</v>
      </c>
      <c r="C610" s="3"/>
      <c r="D610" s="3"/>
      <c r="E610" s="156" t="s">
        <v>848</v>
      </c>
      <c r="F610" s="3"/>
      <c r="G610" s="158">
        <v>420.6</v>
      </c>
      <c r="H610" s="155">
        <v>4</v>
      </c>
      <c r="I610" s="155">
        <v>3500</v>
      </c>
      <c r="J610" s="156" t="s">
        <v>32</v>
      </c>
      <c r="K610" s="5"/>
      <c r="L610" s="3"/>
      <c r="M610" s="6"/>
      <c r="N610" s="9"/>
      <c r="O610" s="158">
        <v>1682.4</v>
      </c>
      <c r="P610" s="44"/>
      <c r="Q610" s="12"/>
      <c r="R610" s="12"/>
      <c r="S610" s="12"/>
      <c r="T610" s="12"/>
      <c r="U610" s="12"/>
      <c r="V610" s="12"/>
      <c r="W610" s="12"/>
      <c r="X610" s="12"/>
      <c r="Y610" s="12"/>
      <c r="Z610" s="12"/>
    </row>
    <row r="611" spans="1:26" ht="14.25" hidden="1" customHeight="1" x14ac:dyDescent="0.3">
      <c r="A611" s="155">
        <v>7</v>
      </c>
      <c r="B611" s="156" t="s">
        <v>37</v>
      </c>
      <c r="C611" s="3"/>
      <c r="D611" s="3"/>
      <c r="E611" s="156" t="s">
        <v>849</v>
      </c>
      <c r="F611" s="3"/>
      <c r="G611" s="158">
        <v>48</v>
      </c>
      <c r="H611" s="155">
        <v>1</v>
      </c>
      <c r="I611" s="155">
        <v>1</v>
      </c>
      <c r="J611" s="156" t="s">
        <v>213</v>
      </c>
      <c r="K611" s="5"/>
      <c r="L611" s="3"/>
      <c r="M611" s="6"/>
      <c r="N611" s="9"/>
      <c r="O611" s="158">
        <v>48</v>
      </c>
      <c r="P611" s="44"/>
      <c r="Q611" s="12"/>
      <c r="R611" s="12"/>
      <c r="S611" s="12"/>
      <c r="T611" s="12"/>
      <c r="U611" s="12"/>
      <c r="V611" s="12"/>
      <c r="W611" s="12"/>
      <c r="X611" s="12"/>
      <c r="Y611" s="12"/>
      <c r="Z611" s="12"/>
    </row>
    <row r="612" spans="1:26" ht="14.25" hidden="1" customHeight="1" x14ac:dyDescent="0.3">
      <c r="A612" s="155">
        <v>7</v>
      </c>
      <c r="B612" s="156" t="s">
        <v>37</v>
      </c>
      <c r="C612" s="3"/>
      <c r="D612" s="3"/>
      <c r="E612" s="156" t="s">
        <v>850</v>
      </c>
      <c r="F612" s="3"/>
      <c r="G612" s="158">
        <v>455</v>
      </c>
      <c r="H612" s="155">
        <v>1</v>
      </c>
      <c r="I612" s="155">
        <v>1</v>
      </c>
      <c r="J612" s="156" t="s">
        <v>39</v>
      </c>
      <c r="K612" s="5"/>
      <c r="L612" s="3"/>
      <c r="M612" s="6"/>
      <c r="N612" s="9"/>
      <c r="O612" s="158">
        <v>455</v>
      </c>
      <c r="P612" s="44"/>
      <c r="Q612" s="12"/>
      <c r="R612" s="12"/>
      <c r="S612" s="12"/>
      <c r="T612" s="12"/>
      <c r="U612" s="12"/>
      <c r="V612" s="12"/>
      <c r="W612" s="12"/>
      <c r="X612" s="12"/>
      <c r="Y612" s="12"/>
      <c r="Z612" s="12"/>
    </row>
    <row r="613" spans="1:26" ht="14.25" hidden="1" customHeight="1" x14ac:dyDescent="0.3">
      <c r="A613" s="155">
        <v>7</v>
      </c>
      <c r="B613" s="156" t="s">
        <v>37</v>
      </c>
      <c r="C613" s="3"/>
      <c r="D613" s="3"/>
      <c r="E613" s="156" t="s">
        <v>851</v>
      </c>
      <c r="F613" s="3"/>
      <c r="G613" s="158">
        <v>65</v>
      </c>
      <c r="H613" s="155">
        <v>15</v>
      </c>
      <c r="I613" s="155">
        <v>1</v>
      </c>
      <c r="J613" s="156" t="s">
        <v>39</v>
      </c>
      <c r="K613" s="5"/>
      <c r="L613" s="3"/>
      <c r="M613" s="6"/>
      <c r="N613" s="9"/>
      <c r="O613" s="158">
        <v>975</v>
      </c>
      <c r="P613" s="44"/>
      <c r="Q613" s="12"/>
      <c r="R613" s="12"/>
      <c r="S613" s="12"/>
      <c r="T613" s="12"/>
      <c r="U613" s="12"/>
      <c r="V613" s="12"/>
      <c r="W613" s="12"/>
      <c r="X613" s="12"/>
      <c r="Y613" s="12"/>
      <c r="Z613" s="12"/>
    </row>
    <row r="614" spans="1:26" ht="14.25" hidden="1" customHeight="1" x14ac:dyDescent="0.3">
      <c r="A614" s="155">
        <v>7</v>
      </c>
      <c r="B614" s="156" t="s">
        <v>37</v>
      </c>
      <c r="C614" s="3"/>
      <c r="D614" s="3"/>
      <c r="E614" s="156" t="s">
        <v>43</v>
      </c>
      <c r="F614" s="3"/>
      <c r="G614" s="158">
        <v>52</v>
      </c>
      <c r="H614" s="155">
        <v>9</v>
      </c>
      <c r="I614" s="155">
        <v>1</v>
      </c>
      <c r="J614" s="156" t="s">
        <v>213</v>
      </c>
      <c r="K614" s="5"/>
      <c r="L614" s="3"/>
      <c r="M614" s="6"/>
      <c r="N614" s="9"/>
      <c r="O614" s="158">
        <v>468</v>
      </c>
      <c r="P614" s="44"/>
      <c r="Q614" s="12"/>
      <c r="R614" s="12"/>
      <c r="S614" s="12"/>
      <c r="T614" s="12"/>
      <c r="U614" s="12"/>
      <c r="V614" s="12"/>
      <c r="W614" s="12"/>
      <c r="X614" s="12"/>
      <c r="Y614" s="12"/>
      <c r="Z614" s="12"/>
    </row>
    <row r="615" spans="1:26" ht="14.25" hidden="1" customHeight="1" x14ac:dyDescent="0.3">
      <c r="A615" s="155">
        <v>7</v>
      </c>
      <c r="B615" s="156" t="s">
        <v>37</v>
      </c>
      <c r="C615" s="3"/>
      <c r="D615" s="3"/>
      <c r="E615" s="156" t="s">
        <v>849</v>
      </c>
      <c r="F615" s="3"/>
      <c r="G615" s="158">
        <v>48</v>
      </c>
      <c r="H615" s="155">
        <v>27</v>
      </c>
      <c r="I615" s="155">
        <v>1</v>
      </c>
      <c r="J615" s="156" t="s">
        <v>39</v>
      </c>
      <c r="K615" s="5"/>
      <c r="L615" s="3"/>
      <c r="M615" s="6"/>
      <c r="N615" s="9"/>
      <c r="O615" s="158">
        <v>1296</v>
      </c>
      <c r="P615" s="44"/>
      <c r="Q615" s="12"/>
      <c r="R615" s="12"/>
      <c r="S615" s="12"/>
      <c r="T615" s="12"/>
      <c r="U615" s="12"/>
      <c r="V615" s="12"/>
      <c r="W615" s="12"/>
      <c r="X615" s="12"/>
      <c r="Y615" s="12"/>
      <c r="Z615" s="12"/>
    </row>
    <row r="616" spans="1:26" ht="14.25" hidden="1" customHeight="1" x14ac:dyDescent="0.3">
      <c r="A616" s="155">
        <v>7</v>
      </c>
      <c r="B616" s="156" t="s">
        <v>37</v>
      </c>
      <c r="C616" s="3"/>
      <c r="D616" s="3"/>
      <c r="E616" s="156"/>
      <c r="F616" s="3"/>
      <c r="G616" s="158">
        <v>42</v>
      </c>
      <c r="H616" s="155">
        <v>3</v>
      </c>
      <c r="I616" s="155">
        <v>1</v>
      </c>
      <c r="J616" s="156" t="s">
        <v>213</v>
      </c>
      <c r="K616" s="5"/>
      <c r="L616" s="3"/>
      <c r="M616" s="6"/>
      <c r="N616" s="9"/>
      <c r="O616" s="158">
        <v>126</v>
      </c>
      <c r="P616" s="44"/>
      <c r="Q616" s="12"/>
      <c r="R616" s="12"/>
      <c r="S616" s="12"/>
      <c r="T616" s="12"/>
      <c r="U616" s="12"/>
      <c r="V616" s="12"/>
      <c r="W616" s="12"/>
      <c r="X616" s="12"/>
      <c r="Y616" s="12"/>
      <c r="Z616" s="12"/>
    </row>
    <row r="617" spans="1:26" ht="14.25" hidden="1" customHeight="1" x14ac:dyDescent="0.3">
      <c r="A617" s="155">
        <v>7</v>
      </c>
      <c r="B617" s="156" t="s">
        <v>37</v>
      </c>
      <c r="C617" s="3"/>
      <c r="D617" s="3"/>
      <c r="E617" s="156" t="s">
        <v>47</v>
      </c>
      <c r="F617" s="3"/>
      <c r="G617" s="158">
        <v>55</v>
      </c>
      <c r="H617" s="155">
        <v>3</v>
      </c>
      <c r="I617" s="155">
        <v>1</v>
      </c>
      <c r="J617" s="156" t="s">
        <v>213</v>
      </c>
      <c r="K617" s="5"/>
      <c r="L617" s="3"/>
      <c r="M617" s="6"/>
      <c r="N617" s="9"/>
      <c r="O617" s="158">
        <v>165</v>
      </c>
      <c r="P617" s="44"/>
      <c r="Q617" s="12"/>
      <c r="R617" s="12"/>
      <c r="S617" s="12"/>
      <c r="T617" s="12"/>
      <c r="U617" s="12"/>
      <c r="V617" s="12"/>
      <c r="W617" s="12"/>
      <c r="X617" s="12"/>
      <c r="Y617" s="12"/>
      <c r="Z617" s="12"/>
    </row>
    <row r="618" spans="1:26" ht="14.25" hidden="1" customHeight="1" x14ac:dyDescent="0.3">
      <c r="A618" s="155">
        <v>455</v>
      </c>
      <c r="B618" s="156" t="s">
        <v>852</v>
      </c>
      <c r="C618" s="3"/>
      <c r="D618" s="3"/>
      <c r="E618" s="156"/>
      <c r="F618" s="3"/>
      <c r="G618" s="158">
        <v>37.6</v>
      </c>
      <c r="H618" s="155">
        <v>10</v>
      </c>
      <c r="I618" s="155">
        <v>1000</v>
      </c>
      <c r="J618" s="156" t="s">
        <v>39</v>
      </c>
      <c r="K618" s="5"/>
      <c r="L618" s="3"/>
      <c r="M618" s="6"/>
      <c r="N618" s="9"/>
      <c r="O618" s="158">
        <v>376</v>
      </c>
      <c r="P618" s="44"/>
      <c r="Q618" s="12"/>
      <c r="R618" s="12"/>
      <c r="S618" s="12"/>
      <c r="T618" s="12"/>
      <c r="U618" s="12"/>
      <c r="V618" s="12"/>
      <c r="W618" s="12"/>
      <c r="X618" s="12"/>
      <c r="Y618" s="12"/>
      <c r="Z618" s="12"/>
    </row>
    <row r="619" spans="1:26" ht="14.25" hidden="1" customHeight="1" x14ac:dyDescent="0.3">
      <c r="A619" s="155">
        <v>8</v>
      </c>
      <c r="B619" s="156" t="s">
        <v>42</v>
      </c>
      <c r="C619" s="3"/>
      <c r="D619" s="3"/>
      <c r="E619" s="156" t="s">
        <v>43</v>
      </c>
      <c r="F619" s="3"/>
      <c r="G619" s="158">
        <v>48</v>
      </c>
      <c r="H619" s="155">
        <v>1</v>
      </c>
      <c r="I619" s="155">
        <v>1</v>
      </c>
      <c r="J619" s="156" t="s">
        <v>213</v>
      </c>
      <c r="K619" s="5"/>
      <c r="L619" s="3"/>
      <c r="M619" s="6"/>
      <c r="N619" s="9"/>
      <c r="O619" s="158">
        <v>48</v>
      </c>
      <c r="P619" s="44"/>
      <c r="Q619" s="12"/>
      <c r="R619" s="12"/>
      <c r="S619" s="12"/>
      <c r="T619" s="12"/>
      <c r="U619" s="12"/>
      <c r="V619" s="12"/>
      <c r="W619" s="12"/>
      <c r="X619" s="12"/>
      <c r="Y619" s="12"/>
      <c r="Z619" s="12"/>
    </row>
    <row r="620" spans="1:26" ht="14.25" hidden="1" customHeight="1" x14ac:dyDescent="0.3">
      <c r="A620" s="155">
        <v>8</v>
      </c>
      <c r="B620" s="156" t="s">
        <v>42</v>
      </c>
      <c r="C620" s="3"/>
      <c r="D620" s="3"/>
      <c r="E620" s="156"/>
      <c r="F620" s="3"/>
      <c r="G620" s="158">
        <v>50</v>
      </c>
      <c r="H620" s="155">
        <v>18</v>
      </c>
      <c r="I620" s="155">
        <v>1</v>
      </c>
      <c r="J620" s="156" t="s">
        <v>39</v>
      </c>
      <c r="K620" s="5"/>
      <c r="L620" s="3"/>
      <c r="M620" s="6"/>
      <c r="N620" s="9"/>
      <c r="O620" s="158">
        <v>900</v>
      </c>
      <c r="P620" s="44"/>
      <c r="Q620" s="12"/>
      <c r="R620" s="12"/>
      <c r="S620" s="12"/>
      <c r="T620" s="12"/>
      <c r="U620" s="12"/>
      <c r="V620" s="12"/>
      <c r="W620" s="12"/>
      <c r="X620" s="12"/>
      <c r="Y620" s="12"/>
      <c r="Z620" s="12"/>
    </row>
    <row r="621" spans="1:26" ht="14.25" hidden="1" customHeight="1" x14ac:dyDescent="0.3">
      <c r="A621" s="155">
        <v>456</v>
      </c>
      <c r="B621" s="156" t="s">
        <v>853</v>
      </c>
      <c r="C621" s="3"/>
      <c r="D621" s="3"/>
      <c r="E621" s="156" t="s">
        <v>854</v>
      </c>
      <c r="F621" s="3"/>
      <c r="G621" s="158">
        <v>88</v>
      </c>
      <c r="H621" s="155">
        <v>2</v>
      </c>
      <c r="I621" s="155">
        <v>32</v>
      </c>
      <c r="J621" s="156" t="s">
        <v>39</v>
      </c>
      <c r="K621" s="5"/>
      <c r="L621" s="3"/>
      <c r="M621" s="6"/>
      <c r="N621" s="9"/>
      <c r="O621" s="158">
        <v>176</v>
      </c>
      <c r="P621" s="44"/>
      <c r="Q621" s="12"/>
      <c r="R621" s="12"/>
      <c r="S621" s="12"/>
      <c r="T621" s="12"/>
      <c r="U621" s="12"/>
      <c r="V621" s="12"/>
      <c r="W621" s="12"/>
      <c r="X621" s="12"/>
      <c r="Y621" s="12"/>
      <c r="Z621" s="12"/>
    </row>
    <row r="622" spans="1:26" ht="14.25" hidden="1" customHeight="1" x14ac:dyDescent="0.3">
      <c r="A622" s="155">
        <v>457</v>
      </c>
      <c r="B622" s="156" t="s">
        <v>855</v>
      </c>
      <c r="C622" s="3"/>
      <c r="D622" s="3"/>
      <c r="E622" s="156"/>
      <c r="F622" s="3"/>
      <c r="G622" s="158">
        <v>70</v>
      </c>
      <c r="H622" s="155">
        <v>2</v>
      </c>
      <c r="I622" s="155">
        <v>1</v>
      </c>
      <c r="J622" s="156" t="s">
        <v>213</v>
      </c>
      <c r="K622" s="5"/>
      <c r="L622" s="3"/>
      <c r="M622" s="6"/>
      <c r="N622" s="9"/>
      <c r="O622" s="158">
        <v>140</v>
      </c>
      <c r="P622" s="44"/>
      <c r="Q622" s="12"/>
      <c r="R622" s="12"/>
      <c r="S622" s="12"/>
      <c r="T622" s="12"/>
      <c r="U622" s="12"/>
      <c r="V622" s="12"/>
      <c r="W622" s="12"/>
      <c r="X622" s="12"/>
      <c r="Y622" s="12"/>
      <c r="Z622" s="12"/>
    </row>
    <row r="623" spans="1:26" ht="14.25" hidden="1" customHeight="1" x14ac:dyDescent="0.3">
      <c r="A623" s="155">
        <v>458</v>
      </c>
      <c r="B623" s="156" t="s">
        <v>856</v>
      </c>
      <c r="C623" s="3"/>
      <c r="D623" s="3"/>
      <c r="E623" s="156"/>
      <c r="F623" s="3"/>
      <c r="G623" s="158">
        <v>285.4545</v>
      </c>
      <c r="H623" s="155">
        <v>11</v>
      </c>
      <c r="I623" s="155">
        <v>1</v>
      </c>
      <c r="J623" s="156" t="s">
        <v>213</v>
      </c>
      <c r="K623" s="5"/>
      <c r="L623" s="3"/>
      <c r="M623" s="6"/>
      <c r="N623" s="9"/>
      <c r="O623" s="158">
        <v>3140</v>
      </c>
      <c r="P623" s="44"/>
      <c r="Q623" s="12"/>
      <c r="R623" s="12"/>
      <c r="S623" s="12"/>
      <c r="T623" s="12"/>
      <c r="U623" s="12"/>
      <c r="V623" s="12"/>
      <c r="W623" s="12"/>
      <c r="X623" s="12"/>
      <c r="Y623" s="12"/>
      <c r="Z623" s="12"/>
    </row>
    <row r="624" spans="1:26" ht="14.25" hidden="1" customHeight="1" x14ac:dyDescent="0.3">
      <c r="A624" s="155">
        <v>459</v>
      </c>
      <c r="B624" s="156" t="s">
        <v>857</v>
      </c>
      <c r="C624" s="3"/>
      <c r="D624" s="3"/>
      <c r="E624" s="156" t="s">
        <v>858</v>
      </c>
      <c r="F624" s="3"/>
      <c r="G624" s="158">
        <v>21.8</v>
      </c>
      <c r="H624" s="155">
        <v>6</v>
      </c>
      <c r="I624" s="155">
        <v>1</v>
      </c>
      <c r="J624" s="156" t="s">
        <v>92</v>
      </c>
      <c r="K624" s="5"/>
      <c r="L624" s="3"/>
      <c r="M624" s="6"/>
      <c r="N624" s="9"/>
      <c r="O624" s="158">
        <v>130.80000000000001</v>
      </c>
      <c r="P624" s="44"/>
      <c r="Q624" s="12"/>
      <c r="R624" s="12"/>
      <c r="S624" s="12"/>
      <c r="T624" s="12"/>
      <c r="U624" s="12"/>
      <c r="V624" s="12"/>
      <c r="W624" s="12"/>
      <c r="X624" s="12"/>
      <c r="Y624" s="12"/>
      <c r="Z624" s="12"/>
    </row>
    <row r="625" spans="1:26" ht="14.25" hidden="1" customHeight="1" x14ac:dyDescent="0.3">
      <c r="A625" s="155">
        <v>459</v>
      </c>
      <c r="B625" s="156" t="s">
        <v>857</v>
      </c>
      <c r="C625" s="3"/>
      <c r="D625" s="3"/>
      <c r="E625" s="156" t="s">
        <v>859</v>
      </c>
      <c r="F625" s="3"/>
      <c r="G625" s="158">
        <v>700</v>
      </c>
      <c r="H625" s="155">
        <v>1</v>
      </c>
      <c r="I625" s="155">
        <v>1</v>
      </c>
      <c r="J625" s="156" t="s">
        <v>210</v>
      </c>
      <c r="K625" s="5"/>
      <c r="L625" s="3"/>
      <c r="M625" s="6"/>
      <c r="N625" s="9"/>
      <c r="O625" s="158">
        <v>700</v>
      </c>
      <c r="P625" s="44"/>
      <c r="Q625" s="12"/>
      <c r="R625" s="12"/>
      <c r="S625" s="12"/>
      <c r="T625" s="12"/>
      <c r="U625" s="12"/>
      <c r="V625" s="12"/>
      <c r="W625" s="12"/>
      <c r="X625" s="12"/>
      <c r="Y625" s="12"/>
      <c r="Z625" s="12"/>
    </row>
    <row r="626" spans="1:26" ht="14.25" hidden="1" customHeight="1" x14ac:dyDescent="0.3">
      <c r="A626" s="155">
        <v>460</v>
      </c>
      <c r="B626" s="156" t="s">
        <v>860</v>
      </c>
      <c r="C626" s="3"/>
      <c r="D626" s="3"/>
      <c r="E626" s="156"/>
      <c r="F626" s="3"/>
      <c r="G626" s="158">
        <v>157.5</v>
      </c>
      <c r="H626" s="155">
        <v>4</v>
      </c>
      <c r="I626" s="155">
        <v>1</v>
      </c>
      <c r="J626" s="156" t="s">
        <v>213</v>
      </c>
      <c r="K626" s="5"/>
      <c r="L626" s="3"/>
      <c r="M626" s="6"/>
      <c r="N626" s="9"/>
      <c r="O626" s="158">
        <v>630</v>
      </c>
      <c r="P626" s="44"/>
      <c r="Q626" s="12"/>
      <c r="R626" s="12"/>
      <c r="S626" s="12"/>
      <c r="T626" s="12"/>
      <c r="U626" s="12"/>
      <c r="V626" s="12"/>
      <c r="W626" s="12"/>
      <c r="X626" s="12"/>
      <c r="Y626" s="12"/>
      <c r="Z626" s="12"/>
    </row>
    <row r="627" spans="1:26" ht="14.25" hidden="1" customHeight="1" x14ac:dyDescent="0.3">
      <c r="A627" s="155">
        <v>461</v>
      </c>
      <c r="B627" s="156" t="s">
        <v>861</v>
      </c>
      <c r="C627" s="3"/>
      <c r="D627" s="3"/>
      <c r="E627" s="156"/>
      <c r="F627" s="3"/>
      <c r="G627" s="158">
        <v>33.333329999999997</v>
      </c>
      <c r="H627" s="155">
        <v>6</v>
      </c>
      <c r="I627" s="155">
        <v>1</v>
      </c>
      <c r="J627" s="156" t="s">
        <v>92</v>
      </c>
      <c r="K627" s="5"/>
      <c r="L627" s="3"/>
      <c r="M627" s="6"/>
      <c r="N627" s="9"/>
      <c r="O627" s="158">
        <v>200</v>
      </c>
      <c r="P627" s="44"/>
      <c r="Q627" s="12"/>
      <c r="R627" s="12"/>
      <c r="S627" s="12"/>
      <c r="T627" s="12"/>
      <c r="U627" s="12"/>
      <c r="V627" s="12"/>
      <c r="W627" s="12"/>
      <c r="X627" s="12"/>
      <c r="Y627" s="12"/>
      <c r="Z627" s="12"/>
    </row>
    <row r="628" spans="1:26" ht="14.25" hidden="1" customHeight="1" x14ac:dyDescent="0.3">
      <c r="A628" s="155">
        <v>462</v>
      </c>
      <c r="B628" s="156" t="s">
        <v>862</v>
      </c>
      <c r="C628" s="3"/>
      <c r="D628" s="3"/>
      <c r="E628" s="156" t="s">
        <v>863</v>
      </c>
      <c r="F628" s="3"/>
      <c r="G628" s="158">
        <v>159.5</v>
      </c>
      <c r="H628" s="155">
        <v>1</v>
      </c>
      <c r="I628" s="155">
        <v>473</v>
      </c>
      <c r="J628" s="156" t="s">
        <v>32</v>
      </c>
      <c r="K628" s="5"/>
      <c r="L628" s="3"/>
      <c r="M628" s="6"/>
      <c r="N628" s="9"/>
      <c r="O628" s="158">
        <v>159.5</v>
      </c>
      <c r="P628" s="44"/>
      <c r="Q628" s="12"/>
      <c r="R628" s="12"/>
      <c r="S628" s="12"/>
      <c r="T628" s="12"/>
      <c r="U628" s="12"/>
      <c r="V628" s="12"/>
      <c r="W628" s="12"/>
      <c r="X628" s="12"/>
      <c r="Y628" s="12"/>
      <c r="Z628" s="12"/>
    </row>
    <row r="629" spans="1:26" ht="14.25" hidden="1" customHeight="1" x14ac:dyDescent="0.3">
      <c r="A629" s="155">
        <v>463</v>
      </c>
      <c r="B629" s="156" t="s">
        <v>864</v>
      </c>
      <c r="C629" s="3"/>
      <c r="D629" s="3"/>
      <c r="E629" s="156" t="s">
        <v>865</v>
      </c>
      <c r="F629" s="3"/>
      <c r="G629" s="158">
        <v>92</v>
      </c>
      <c r="H629" s="155">
        <v>2</v>
      </c>
      <c r="I629" s="155">
        <v>270</v>
      </c>
      <c r="J629" s="156" t="s">
        <v>39</v>
      </c>
      <c r="K629" s="5"/>
      <c r="L629" s="3"/>
      <c r="M629" s="6"/>
      <c r="N629" s="9"/>
      <c r="O629" s="158">
        <v>184</v>
      </c>
      <c r="P629" s="44"/>
      <c r="Q629" s="12"/>
      <c r="R629" s="12"/>
      <c r="S629" s="12"/>
      <c r="T629" s="12"/>
      <c r="U629" s="12"/>
      <c r="V629" s="12"/>
      <c r="W629" s="12"/>
      <c r="X629" s="12"/>
      <c r="Y629" s="12"/>
      <c r="Z629" s="12"/>
    </row>
    <row r="630" spans="1:26" ht="14.25" hidden="1" customHeight="1" x14ac:dyDescent="0.3">
      <c r="A630" s="155">
        <v>464</v>
      </c>
      <c r="B630" s="156" t="s">
        <v>866</v>
      </c>
      <c r="C630" s="3"/>
      <c r="D630" s="3"/>
      <c r="E630" s="156"/>
      <c r="F630" s="3"/>
      <c r="G630" s="158">
        <v>153.75</v>
      </c>
      <c r="H630" s="155">
        <v>2</v>
      </c>
      <c r="I630" s="155">
        <v>250</v>
      </c>
      <c r="J630" s="156" t="s">
        <v>39</v>
      </c>
      <c r="K630" s="5"/>
      <c r="L630" s="3"/>
      <c r="M630" s="6"/>
      <c r="N630" s="9"/>
      <c r="O630" s="158">
        <v>307.5</v>
      </c>
      <c r="P630" s="44"/>
      <c r="Q630" s="12"/>
      <c r="R630" s="12"/>
      <c r="S630" s="12"/>
      <c r="T630" s="12"/>
      <c r="U630" s="12"/>
      <c r="V630" s="12"/>
      <c r="W630" s="12"/>
      <c r="X630" s="12"/>
      <c r="Y630" s="12"/>
      <c r="Z630" s="12"/>
    </row>
    <row r="631" spans="1:26" ht="14.25" hidden="1" customHeight="1" x14ac:dyDescent="0.3">
      <c r="A631" s="155">
        <v>464</v>
      </c>
      <c r="B631" s="156" t="s">
        <v>866</v>
      </c>
      <c r="C631" s="3"/>
      <c r="D631" s="3"/>
      <c r="E631" s="156" t="s">
        <v>867</v>
      </c>
      <c r="F631" s="3"/>
      <c r="G631" s="158">
        <v>450</v>
      </c>
      <c r="H631" s="155">
        <v>3</v>
      </c>
      <c r="I631" s="155">
        <v>250</v>
      </c>
      <c r="J631" s="156" t="s">
        <v>213</v>
      </c>
      <c r="K631" s="5"/>
      <c r="L631" s="3"/>
      <c r="M631" s="6"/>
      <c r="N631" s="9"/>
      <c r="O631" s="158">
        <v>1350</v>
      </c>
      <c r="P631" s="44"/>
      <c r="Q631" s="12"/>
      <c r="R631" s="12"/>
      <c r="S631" s="12"/>
      <c r="T631" s="12"/>
      <c r="U631" s="12"/>
      <c r="V631" s="12"/>
      <c r="W631" s="12"/>
      <c r="X631" s="12"/>
      <c r="Y631" s="12"/>
      <c r="Z631" s="12"/>
    </row>
    <row r="632" spans="1:26" ht="14.25" hidden="1" customHeight="1" x14ac:dyDescent="0.3">
      <c r="A632" s="155">
        <v>464</v>
      </c>
      <c r="B632" s="156" t="s">
        <v>866</v>
      </c>
      <c r="C632" s="3"/>
      <c r="D632" s="3"/>
      <c r="E632" s="156"/>
      <c r="F632" s="3"/>
      <c r="G632" s="158">
        <v>650</v>
      </c>
      <c r="H632" s="155">
        <v>4</v>
      </c>
      <c r="I632" s="155">
        <v>250</v>
      </c>
      <c r="J632" s="156" t="s">
        <v>213</v>
      </c>
      <c r="K632" s="5"/>
      <c r="L632" s="3"/>
      <c r="M632" s="6"/>
      <c r="N632" s="9"/>
      <c r="O632" s="158">
        <v>2600</v>
      </c>
      <c r="P632" s="44"/>
      <c r="Q632" s="12"/>
      <c r="R632" s="12"/>
      <c r="S632" s="12"/>
      <c r="T632" s="12"/>
      <c r="U632" s="12"/>
      <c r="V632" s="12"/>
      <c r="W632" s="12"/>
      <c r="X632" s="12"/>
      <c r="Y632" s="12"/>
      <c r="Z632" s="12"/>
    </row>
    <row r="633" spans="1:26" ht="14.25" hidden="1" customHeight="1" x14ac:dyDescent="0.3">
      <c r="A633" s="155">
        <v>465</v>
      </c>
      <c r="B633" s="156" t="s">
        <v>868</v>
      </c>
      <c r="C633" s="3"/>
      <c r="D633" s="3"/>
      <c r="E633" s="156" t="s">
        <v>869</v>
      </c>
      <c r="F633" s="3"/>
      <c r="G633" s="158">
        <v>180.25</v>
      </c>
      <c r="H633" s="155">
        <v>2</v>
      </c>
      <c r="I633" s="155">
        <v>250</v>
      </c>
      <c r="J633" s="156" t="s">
        <v>39</v>
      </c>
      <c r="K633" s="5"/>
      <c r="L633" s="3"/>
      <c r="M633" s="6"/>
      <c r="N633" s="9"/>
      <c r="O633" s="158">
        <v>360.5</v>
      </c>
      <c r="P633" s="44"/>
      <c r="Q633" s="12"/>
      <c r="R633" s="12"/>
      <c r="S633" s="12"/>
      <c r="T633" s="12"/>
      <c r="U633" s="12"/>
      <c r="V633" s="12"/>
      <c r="W633" s="12"/>
      <c r="X633" s="12"/>
      <c r="Y633" s="12"/>
      <c r="Z633" s="12"/>
    </row>
    <row r="634" spans="1:26" ht="14.25" hidden="1" customHeight="1" x14ac:dyDescent="0.3">
      <c r="A634" s="155">
        <v>465</v>
      </c>
      <c r="B634" s="156" t="s">
        <v>868</v>
      </c>
      <c r="C634" s="3"/>
      <c r="D634" s="3"/>
      <c r="E634" s="156" t="s">
        <v>870</v>
      </c>
      <c r="F634" s="3"/>
      <c r="G634" s="158">
        <v>185</v>
      </c>
      <c r="H634" s="155">
        <v>1</v>
      </c>
      <c r="I634" s="155">
        <v>250</v>
      </c>
      <c r="J634" s="156" t="s">
        <v>39</v>
      </c>
      <c r="K634" s="5"/>
      <c r="L634" s="3"/>
      <c r="M634" s="6"/>
      <c r="N634" s="9"/>
      <c r="O634" s="158">
        <v>185</v>
      </c>
      <c r="P634" s="44"/>
      <c r="Q634" s="12"/>
      <c r="R634" s="12"/>
      <c r="S634" s="12"/>
      <c r="T634" s="12"/>
      <c r="U634" s="12"/>
      <c r="V634" s="12"/>
      <c r="W634" s="12"/>
      <c r="X634" s="12"/>
      <c r="Y634" s="12"/>
      <c r="Z634" s="12"/>
    </row>
    <row r="635" spans="1:26" ht="14.25" hidden="1" customHeight="1" x14ac:dyDescent="0.3">
      <c r="A635" s="155">
        <v>465</v>
      </c>
      <c r="B635" s="156" t="s">
        <v>868</v>
      </c>
      <c r="C635" s="3"/>
      <c r="D635" s="3"/>
      <c r="E635" s="156" t="s">
        <v>871</v>
      </c>
      <c r="F635" s="3"/>
      <c r="G635" s="158">
        <v>75</v>
      </c>
      <c r="H635" s="155">
        <v>2</v>
      </c>
      <c r="I635" s="155">
        <v>250</v>
      </c>
      <c r="J635" s="156" t="s">
        <v>39</v>
      </c>
      <c r="K635" s="5"/>
      <c r="L635" s="3"/>
      <c r="M635" s="6"/>
      <c r="N635" s="9"/>
      <c r="O635" s="158">
        <v>150</v>
      </c>
      <c r="P635" s="44"/>
      <c r="Q635" s="12"/>
      <c r="R635" s="12"/>
      <c r="S635" s="12"/>
      <c r="T635" s="12"/>
      <c r="U635" s="12"/>
      <c r="V635" s="12"/>
      <c r="W635" s="12"/>
      <c r="X635" s="12"/>
      <c r="Y635" s="12"/>
      <c r="Z635" s="12"/>
    </row>
    <row r="636" spans="1:26" ht="14.25" hidden="1" customHeight="1" x14ac:dyDescent="0.3">
      <c r="A636" s="155">
        <v>466</v>
      </c>
      <c r="B636" s="156" t="s">
        <v>872</v>
      </c>
      <c r="C636" s="3"/>
      <c r="D636" s="3"/>
      <c r="E636" s="156" t="s">
        <v>873</v>
      </c>
      <c r="F636" s="3"/>
      <c r="G636" s="158">
        <v>32</v>
      </c>
      <c r="H636" s="155">
        <v>2</v>
      </c>
      <c r="I636" s="155">
        <v>290</v>
      </c>
      <c r="J636" s="156" t="s">
        <v>39</v>
      </c>
      <c r="K636" s="5"/>
      <c r="L636" s="3"/>
      <c r="M636" s="6"/>
      <c r="N636" s="9"/>
      <c r="O636" s="158">
        <v>64</v>
      </c>
      <c r="P636" s="44"/>
      <c r="Q636" s="12"/>
      <c r="R636" s="12"/>
      <c r="S636" s="12"/>
      <c r="T636" s="12"/>
      <c r="U636" s="12"/>
      <c r="V636" s="12"/>
      <c r="W636" s="12"/>
      <c r="X636" s="12"/>
      <c r="Y636" s="12"/>
      <c r="Z636" s="12"/>
    </row>
    <row r="637" spans="1:26" ht="14.25" hidden="1" customHeight="1" x14ac:dyDescent="0.3">
      <c r="A637" s="155">
        <v>467</v>
      </c>
      <c r="B637" s="156" t="s">
        <v>874</v>
      </c>
      <c r="C637" s="3"/>
      <c r="D637" s="3"/>
      <c r="E637" s="156" t="s">
        <v>875</v>
      </c>
      <c r="F637" s="3"/>
      <c r="G637" s="158">
        <v>110</v>
      </c>
      <c r="H637" s="155">
        <v>1</v>
      </c>
      <c r="I637" s="155">
        <v>250</v>
      </c>
      <c r="J637" s="156" t="s">
        <v>39</v>
      </c>
      <c r="K637" s="5"/>
      <c r="L637" s="3"/>
      <c r="M637" s="6"/>
      <c r="N637" s="9"/>
      <c r="O637" s="158">
        <v>110</v>
      </c>
      <c r="P637" s="44"/>
      <c r="Q637" s="12"/>
      <c r="R637" s="12"/>
      <c r="S637" s="12"/>
      <c r="T637" s="12"/>
      <c r="U637" s="12"/>
      <c r="V637" s="12"/>
      <c r="W637" s="12"/>
      <c r="X637" s="12"/>
      <c r="Y637" s="12"/>
      <c r="Z637" s="12"/>
    </row>
    <row r="638" spans="1:26" ht="14.25" hidden="1" customHeight="1" x14ac:dyDescent="0.3">
      <c r="A638" s="155">
        <v>468</v>
      </c>
      <c r="B638" s="156" t="s">
        <v>876</v>
      </c>
      <c r="C638" s="3"/>
      <c r="D638" s="3"/>
      <c r="E638" s="156" t="s">
        <v>875</v>
      </c>
      <c r="F638" s="3"/>
      <c r="G638" s="158">
        <v>107.5</v>
      </c>
      <c r="H638" s="155">
        <v>1</v>
      </c>
      <c r="I638" s="155">
        <v>250</v>
      </c>
      <c r="J638" s="156" t="s">
        <v>39</v>
      </c>
      <c r="K638" s="5"/>
      <c r="L638" s="3"/>
      <c r="M638" s="6"/>
      <c r="N638" s="9"/>
      <c r="O638" s="158">
        <v>107.5</v>
      </c>
      <c r="P638" s="44"/>
      <c r="Q638" s="12"/>
      <c r="R638" s="12"/>
      <c r="S638" s="12"/>
      <c r="T638" s="12"/>
      <c r="U638" s="12"/>
      <c r="V638" s="12"/>
      <c r="W638" s="12"/>
      <c r="X638" s="12"/>
      <c r="Y638" s="12"/>
      <c r="Z638" s="12"/>
    </row>
    <row r="639" spans="1:26" ht="14.25" hidden="1" customHeight="1" x14ac:dyDescent="0.3">
      <c r="A639" s="155">
        <v>10</v>
      </c>
      <c r="B639" s="156" t="s">
        <v>489</v>
      </c>
      <c r="C639" s="3"/>
      <c r="D639" s="3"/>
      <c r="E639" s="156" t="s">
        <v>877</v>
      </c>
      <c r="F639" s="3"/>
      <c r="G639" s="158">
        <v>35</v>
      </c>
      <c r="H639" s="155">
        <v>2</v>
      </c>
      <c r="I639" s="155">
        <v>340</v>
      </c>
      <c r="J639" s="156" t="s">
        <v>39</v>
      </c>
      <c r="K639" s="5"/>
      <c r="L639" s="3"/>
      <c r="M639" s="6"/>
      <c r="N639" s="9"/>
      <c r="O639" s="158">
        <v>70</v>
      </c>
      <c r="P639" s="44"/>
      <c r="Q639" s="12"/>
      <c r="R639" s="12"/>
      <c r="S639" s="12"/>
      <c r="T639" s="12"/>
      <c r="U639" s="12"/>
      <c r="V639" s="12"/>
      <c r="W639" s="12"/>
      <c r="X639" s="12"/>
      <c r="Y639" s="12"/>
      <c r="Z639" s="12"/>
    </row>
    <row r="640" spans="1:26" ht="14.25" hidden="1" customHeight="1" x14ac:dyDescent="0.3">
      <c r="A640" s="155">
        <v>469</v>
      </c>
      <c r="B640" s="156" t="s">
        <v>878</v>
      </c>
      <c r="C640" s="3"/>
      <c r="D640" s="3"/>
      <c r="E640" s="156"/>
      <c r="F640" s="3"/>
      <c r="G640" s="158">
        <v>83.333330000000004</v>
      </c>
      <c r="H640" s="155">
        <v>6</v>
      </c>
      <c r="I640" s="155">
        <v>1</v>
      </c>
      <c r="J640" s="156" t="s">
        <v>213</v>
      </c>
      <c r="K640" s="5"/>
      <c r="L640" s="3"/>
      <c r="M640" s="6"/>
      <c r="N640" s="9"/>
      <c r="O640" s="158">
        <v>500</v>
      </c>
      <c r="P640" s="44"/>
      <c r="Q640" s="12"/>
      <c r="R640" s="12"/>
      <c r="S640" s="12"/>
      <c r="T640" s="12"/>
      <c r="U640" s="12"/>
      <c r="V640" s="12"/>
      <c r="W640" s="12"/>
      <c r="X640" s="12"/>
      <c r="Y640" s="12"/>
      <c r="Z640" s="12"/>
    </row>
    <row r="641" spans="1:26" ht="14.25" hidden="1" customHeight="1" x14ac:dyDescent="0.3">
      <c r="A641" s="155">
        <v>13</v>
      </c>
      <c r="B641" s="156" t="s">
        <v>46</v>
      </c>
      <c r="C641" s="3"/>
      <c r="D641" s="3"/>
      <c r="E641" s="156" t="s">
        <v>879</v>
      </c>
      <c r="F641" s="3"/>
      <c r="G641" s="158">
        <v>64.5</v>
      </c>
      <c r="H641" s="155">
        <v>1</v>
      </c>
      <c r="I641" s="155">
        <v>250</v>
      </c>
      <c r="J641" s="156" t="s">
        <v>39</v>
      </c>
      <c r="K641" s="5"/>
      <c r="L641" s="3"/>
      <c r="M641" s="6"/>
      <c r="N641" s="9"/>
      <c r="O641" s="158">
        <v>64.5</v>
      </c>
      <c r="P641" s="44"/>
      <c r="Q641" s="12"/>
      <c r="R641" s="12"/>
      <c r="S641" s="12"/>
      <c r="T641" s="12"/>
      <c r="U641" s="12"/>
      <c r="V641" s="12"/>
      <c r="W641" s="12"/>
      <c r="X641" s="12"/>
      <c r="Y641" s="12"/>
      <c r="Z641" s="12"/>
    </row>
    <row r="642" spans="1:26" ht="14.25" hidden="1" customHeight="1" x14ac:dyDescent="0.3">
      <c r="A642" s="155">
        <v>14</v>
      </c>
      <c r="B642" s="156" t="s">
        <v>231</v>
      </c>
      <c r="C642" s="3"/>
      <c r="D642" s="3"/>
      <c r="E642" s="156" t="s">
        <v>880</v>
      </c>
      <c r="F642" s="3"/>
      <c r="G642" s="158">
        <v>183.9</v>
      </c>
      <c r="H642" s="155">
        <v>2</v>
      </c>
      <c r="I642" s="155">
        <v>250</v>
      </c>
      <c r="J642" s="156" t="s">
        <v>32</v>
      </c>
      <c r="K642" s="5"/>
      <c r="L642" s="3"/>
      <c r="M642" s="6"/>
      <c r="N642" s="9"/>
      <c r="O642" s="158">
        <v>367.8</v>
      </c>
      <c r="P642" s="44"/>
      <c r="Q642" s="12"/>
      <c r="R642" s="12"/>
      <c r="S642" s="12"/>
      <c r="T642" s="12"/>
      <c r="U642" s="12"/>
      <c r="V642" s="12"/>
      <c r="W642" s="12"/>
      <c r="X642" s="12"/>
      <c r="Y642" s="12"/>
      <c r="Z642" s="12"/>
    </row>
    <row r="643" spans="1:26" ht="14.25" hidden="1" customHeight="1" x14ac:dyDescent="0.3">
      <c r="A643" s="155">
        <v>14</v>
      </c>
      <c r="B643" s="156" t="s">
        <v>231</v>
      </c>
      <c r="C643" s="3"/>
      <c r="D643" s="3"/>
      <c r="E643" s="156" t="s">
        <v>881</v>
      </c>
      <c r="F643" s="3"/>
      <c r="G643" s="158">
        <v>256</v>
      </c>
      <c r="H643" s="155">
        <v>1</v>
      </c>
      <c r="I643" s="155">
        <v>250</v>
      </c>
      <c r="J643" s="156" t="s">
        <v>32</v>
      </c>
      <c r="K643" s="5"/>
      <c r="L643" s="3"/>
      <c r="M643" s="6"/>
      <c r="N643" s="9"/>
      <c r="O643" s="158">
        <v>256</v>
      </c>
      <c r="P643" s="44"/>
      <c r="Q643" s="12"/>
      <c r="R643" s="12"/>
      <c r="S643" s="12"/>
      <c r="T643" s="12"/>
      <c r="U643" s="12"/>
      <c r="V643" s="12"/>
      <c r="W643" s="12"/>
      <c r="X643" s="12"/>
      <c r="Y643" s="12"/>
      <c r="Z643" s="12"/>
    </row>
    <row r="644" spans="1:26" ht="14.25" hidden="1" customHeight="1" x14ac:dyDescent="0.3">
      <c r="A644" s="155">
        <v>470</v>
      </c>
      <c r="B644" s="156" t="s">
        <v>882</v>
      </c>
      <c r="C644" s="3"/>
      <c r="D644" s="3"/>
      <c r="E644" s="156" t="s">
        <v>883</v>
      </c>
      <c r="F644" s="3"/>
      <c r="G644" s="158">
        <v>145</v>
      </c>
      <c r="H644" s="155">
        <v>2</v>
      </c>
      <c r="I644" s="155">
        <v>1</v>
      </c>
      <c r="J644" s="156" t="s">
        <v>304</v>
      </c>
      <c r="K644" s="5"/>
      <c r="L644" s="3"/>
      <c r="M644" s="6"/>
      <c r="N644" s="9"/>
      <c r="O644" s="158">
        <v>290</v>
      </c>
      <c r="P644" s="44"/>
      <c r="Q644" s="12"/>
      <c r="R644" s="12"/>
      <c r="S644" s="12"/>
      <c r="T644" s="12"/>
      <c r="U644" s="12"/>
      <c r="V644" s="12"/>
      <c r="W644" s="12"/>
      <c r="X644" s="12"/>
      <c r="Y644" s="12"/>
      <c r="Z644" s="12"/>
    </row>
    <row r="645" spans="1:26" ht="14.25" hidden="1" customHeight="1" x14ac:dyDescent="0.3">
      <c r="A645" s="155">
        <v>471</v>
      </c>
      <c r="B645" s="156" t="s">
        <v>884</v>
      </c>
      <c r="C645" s="3"/>
      <c r="D645" s="3"/>
      <c r="E645" s="156"/>
      <c r="F645" s="3"/>
      <c r="G645" s="158">
        <v>40</v>
      </c>
      <c r="H645" s="155">
        <v>1</v>
      </c>
      <c r="I645" s="155">
        <v>1</v>
      </c>
      <c r="J645" s="156" t="s">
        <v>213</v>
      </c>
      <c r="K645" s="5"/>
      <c r="L645" s="3"/>
      <c r="M645" s="6"/>
      <c r="N645" s="9"/>
      <c r="O645" s="158">
        <v>40</v>
      </c>
      <c r="P645" s="44"/>
      <c r="Q645" s="12"/>
      <c r="R645" s="12"/>
      <c r="S645" s="12"/>
      <c r="T645" s="12"/>
      <c r="U645" s="12"/>
      <c r="V645" s="12"/>
      <c r="W645" s="12"/>
      <c r="X645" s="12"/>
      <c r="Y645" s="12"/>
      <c r="Z645" s="12"/>
    </row>
    <row r="646" spans="1:26" ht="14.25" hidden="1" customHeight="1" x14ac:dyDescent="0.3">
      <c r="A646" s="155">
        <v>472</v>
      </c>
      <c r="B646" s="156" t="s">
        <v>885</v>
      </c>
      <c r="C646" s="3"/>
      <c r="D646" s="3"/>
      <c r="E646" s="156"/>
      <c r="F646" s="3"/>
      <c r="G646" s="158">
        <v>110</v>
      </c>
      <c r="H646" s="155">
        <v>2</v>
      </c>
      <c r="I646" s="155">
        <v>1</v>
      </c>
      <c r="J646" s="156" t="s">
        <v>213</v>
      </c>
      <c r="K646" s="5"/>
      <c r="L646" s="3"/>
      <c r="M646" s="6"/>
      <c r="N646" s="9"/>
      <c r="O646" s="158">
        <v>220</v>
      </c>
      <c r="P646" s="44"/>
      <c r="Q646" s="12"/>
      <c r="R646" s="12"/>
      <c r="S646" s="12"/>
      <c r="T646" s="12"/>
      <c r="U646" s="12"/>
      <c r="V646" s="12"/>
      <c r="W646" s="12"/>
      <c r="X646" s="12"/>
      <c r="Y646" s="12"/>
      <c r="Z646" s="12"/>
    </row>
    <row r="647" spans="1:26" ht="14.25" hidden="1" customHeight="1" x14ac:dyDescent="0.3">
      <c r="A647" s="155">
        <v>473</v>
      </c>
      <c r="B647" s="156" t="s">
        <v>886</v>
      </c>
      <c r="C647" s="3"/>
      <c r="D647" s="3"/>
      <c r="E647" s="156" t="s">
        <v>887</v>
      </c>
      <c r="F647" s="3"/>
      <c r="G647" s="158">
        <v>36</v>
      </c>
      <c r="H647" s="155">
        <v>2</v>
      </c>
      <c r="I647" s="155">
        <v>30</v>
      </c>
      <c r="J647" s="156" t="s">
        <v>39</v>
      </c>
      <c r="K647" s="5"/>
      <c r="L647" s="3"/>
      <c r="M647" s="6"/>
      <c r="N647" s="9"/>
      <c r="O647" s="158">
        <v>72</v>
      </c>
      <c r="P647" s="44"/>
      <c r="Q647" s="12"/>
      <c r="R647" s="12"/>
      <c r="S647" s="12"/>
      <c r="T647" s="12"/>
      <c r="U647" s="12"/>
      <c r="V647" s="12"/>
      <c r="W647" s="12"/>
      <c r="X647" s="12"/>
      <c r="Y647" s="12"/>
      <c r="Z647" s="12"/>
    </row>
    <row r="648" spans="1:26" ht="14.25" hidden="1" customHeight="1" x14ac:dyDescent="0.3">
      <c r="A648" s="155">
        <v>474</v>
      </c>
      <c r="B648" s="156" t="s">
        <v>888</v>
      </c>
      <c r="C648" s="3"/>
      <c r="D648" s="3"/>
      <c r="E648" s="156" t="s">
        <v>889</v>
      </c>
      <c r="F648" s="3"/>
      <c r="G648" s="158">
        <v>55</v>
      </c>
      <c r="H648" s="155">
        <v>1</v>
      </c>
      <c r="I648" s="155">
        <v>25</v>
      </c>
      <c r="J648" s="156" t="s">
        <v>32</v>
      </c>
      <c r="K648" s="5"/>
      <c r="L648" s="3"/>
      <c r="M648" s="6"/>
      <c r="N648" s="9"/>
      <c r="O648" s="158">
        <v>55</v>
      </c>
      <c r="P648" s="44"/>
      <c r="Q648" s="12"/>
      <c r="R648" s="12"/>
      <c r="S648" s="12"/>
      <c r="T648" s="12"/>
      <c r="U648" s="12"/>
      <c r="V648" s="12"/>
      <c r="W648" s="12"/>
      <c r="X648" s="12"/>
      <c r="Y648" s="12"/>
      <c r="Z648" s="12"/>
    </row>
    <row r="649" spans="1:26" ht="14.25" hidden="1" customHeight="1" x14ac:dyDescent="0.3">
      <c r="A649" s="155">
        <v>474</v>
      </c>
      <c r="B649" s="156" t="s">
        <v>888</v>
      </c>
      <c r="C649" s="3"/>
      <c r="D649" s="3"/>
      <c r="E649" s="156" t="s">
        <v>890</v>
      </c>
      <c r="F649" s="3"/>
      <c r="G649" s="158">
        <v>41</v>
      </c>
      <c r="H649" s="155">
        <v>2</v>
      </c>
      <c r="I649" s="155">
        <v>25</v>
      </c>
      <c r="J649" s="156" t="s">
        <v>32</v>
      </c>
      <c r="K649" s="5"/>
      <c r="L649" s="3"/>
      <c r="M649" s="6"/>
      <c r="N649" s="9"/>
      <c r="O649" s="158">
        <v>82</v>
      </c>
      <c r="P649" s="44"/>
      <c r="Q649" s="12"/>
      <c r="R649" s="12"/>
      <c r="S649" s="12"/>
      <c r="T649" s="12"/>
      <c r="U649" s="12"/>
      <c r="V649" s="12"/>
      <c r="W649" s="12"/>
      <c r="X649" s="12"/>
      <c r="Y649" s="12"/>
      <c r="Z649" s="12"/>
    </row>
    <row r="650" spans="1:26" ht="14.25" hidden="1" customHeight="1" x14ac:dyDescent="0.3">
      <c r="A650" s="155">
        <v>15</v>
      </c>
      <c r="B650" s="156" t="s">
        <v>492</v>
      </c>
      <c r="C650" s="3"/>
      <c r="D650" s="3"/>
      <c r="E650" s="156"/>
      <c r="F650" s="3"/>
      <c r="G650" s="158">
        <v>235.1163</v>
      </c>
      <c r="H650" s="155">
        <v>43</v>
      </c>
      <c r="I650" s="155">
        <v>1</v>
      </c>
      <c r="J650" s="156" t="s">
        <v>213</v>
      </c>
      <c r="K650" s="5"/>
      <c r="L650" s="3"/>
      <c r="M650" s="6"/>
      <c r="N650" s="9"/>
      <c r="O650" s="158">
        <v>10110</v>
      </c>
      <c r="P650" s="44"/>
      <c r="Q650" s="12"/>
      <c r="R650" s="12"/>
      <c r="S650" s="12"/>
      <c r="T650" s="12"/>
      <c r="U650" s="12"/>
      <c r="V650" s="12"/>
      <c r="W650" s="12"/>
      <c r="X650" s="12"/>
      <c r="Y650" s="12"/>
      <c r="Z650" s="12"/>
    </row>
    <row r="651" spans="1:26" ht="14.25" hidden="1" customHeight="1" x14ac:dyDescent="0.3">
      <c r="A651" s="155">
        <v>475</v>
      </c>
      <c r="B651" s="156" t="s">
        <v>891</v>
      </c>
      <c r="C651" s="3"/>
      <c r="D651" s="3"/>
      <c r="E651" s="156" t="s">
        <v>892</v>
      </c>
      <c r="F651" s="3"/>
      <c r="G651" s="158">
        <v>265</v>
      </c>
      <c r="H651" s="155">
        <v>1</v>
      </c>
      <c r="I651" s="155">
        <v>1</v>
      </c>
      <c r="J651" s="156" t="s">
        <v>213</v>
      </c>
      <c r="K651" s="5"/>
      <c r="L651" s="3"/>
      <c r="M651" s="6"/>
      <c r="N651" s="9"/>
      <c r="O651" s="158">
        <v>265</v>
      </c>
      <c r="P651" s="44"/>
      <c r="Q651" s="12"/>
      <c r="R651" s="12"/>
      <c r="S651" s="12"/>
      <c r="T651" s="12"/>
      <c r="U651" s="12"/>
      <c r="V651" s="12"/>
      <c r="W651" s="12"/>
      <c r="X651" s="12"/>
      <c r="Y651" s="12"/>
      <c r="Z651" s="12"/>
    </row>
    <row r="652" spans="1:26" ht="14.25" hidden="1" customHeight="1" x14ac:dyDescent="0.3">
      <c r="A652" s="155">
        <v>476</v>
      </c>
      <c r="B652" s="156" t="s">
        <v>893</v>
      </c>
      <c r="C652" s="3"/>
      <c r="D652" s="3"/>
      <c r="E652" s="156" t="s">
        <v>894</v>
      </c>
      <c r="F652" s="3"/>
      <c r="G652" s="158">
        <v>559</v>
      </c>
      <c r="H652" s="155">
        <v>1</v>
      </c>
      <c r="I652" s="155">
        <v>1000</v>
      </c>
      <c r="J652" s="156" t="s">
        <v>39</v>
      </c>
      <c r="K652" s="5"/>
      <c r="L652" s="3"/>
      <c r="M652" s="6"/>
      <c r="N652" s="9"/>
      <c r="O652" s="158">
        <v>559</v>
      </c>
      <c r="P652" s="44"/>
      <c r="Q652" s="12"/>
      <c r="R652" s="12"/>
      <c r="S652" s="12"/>
      <c r="T652" s="12"/>
      <c r="U652" s="12"/>
      <c r="V652" s="12"/>
      <c r="W652" s="12"/>
      <c r="X652" s="12"/>
      <c r="Y652" s="12"/>
      <c r="Z652" s="12"/>
    </row>
    <row r="653" spans="1:26" ht="14.25" hidden="1" customHeight="1" x14ac:dyDescent="0.3">
      <c r="A653" s="155">
        <v>477</v>
      </c>
      <c r="B653" s="156" t="s">
        <v>895</v>
      </c>
      <c r="C653" s="3"/>
      <c r="D653" s="3"/>
      <c r="E653" s="156" t="s">
        <v>896</v>
      </c>
      <c r="F653" s="3"/>
      <c r="G653" s="158">
        <v>34.75</v>
      </c>
      <c r="H653" s="155">
        <v>2</v>
      </c>
      <c r="I653" s="155">
        <v>1</v>
      </c>
      <c r="J653" s="156" t="s">
        <v>304</v>
      </c>
      <c r="K653" s="5"/>
      <c r="L653" s="3"/>
      <c r="M653" s="6"/>
      <c r="N653" s="9"/>
      <c r="O653" s="158">
        <v>69.5</v>
      </c>
      <c r="P653" s="44"/>
      <c r="Q653" s="12"/>
      <c r="R653" s="12"/>
      <c r="S653" s="12"/>
      <c r="T653" s="12"/>
      <c r="U653" s="12"/>
      <c r="V653" s="12"/>
      <c r="W653" s="12"/>
      <c r="X653" s="12"/>
      <c r="Y653" s="12"/>
      <c r="Z653" s="12"/>
    </row>
    <row r="654" spans="1:26" ht="14.25" hidden="1" customHeight="1" x14ac:dyDescent="0.3">
      <c r="A654" s="155">
        <v>477</v>
      </c>
      <c r="B654" s="156" t="s">
        <v>895</v>
      </c>
      <c r="C654" s="3"/>
      <c r="D654" s="3"/>
      <c r="E654" s="156" t="s">
        <v>897</v>
      </c>
      <c r="F654" s="3"/>
      <c r="G654" s="158">
        <v>32</v>
      </c>
      <c r="H654" s="155">
        <v>1</v>
      </c>
      <c r="I654" s="155">
        <v>1</v>
      </c>
      <c r="J654" s="156" t="s">
        <v>39</v>
      </c>
      <c r="K654" s="5"/>
      <c r="L654" s="3"/>
      <c r="M654" s="6"/>
      <c r="N654" s="9"/>
      <c r="O654" s="158">
        <v>32</v>
      </c>
      <c r="P654" s="44"/>
      <c r="Q654" s="12"/>
      <c r="R654" s="12"/>
      <c r="S654" s="12"/>
      <c r="T654" s="12"/>
      <c r="U654" s="12"/>
      <c r="V654" s="12"/>
      <c r="W654" s="12"/>
      <c r="X654" s="12"/>
      <c r="Y654" s="12"/>
      <c r="Z654" s="12"/>
    </row>
    <row r="655" spans="1:26" ht="14.25" hidden="1" customHeight="1" x14ac:dyDescent="0.3">
      <c r="A655" s="155">
        <v>478</v>
      </c>
      <c r="B655" s="156" t="s">
        <v>898</v>
      </c>
      <c r="C655" s="3"/>
      <c r="D655" s="3"/>
      <c r="E655" s="156" t="s">
        <v>897</v>
      </c>
      <c r="F655" s="3"/>
      <c r="G655" s="158">
        <v>77</v>
      </c>
      <c r="H655" s="155">
        <v>1</v>
      </c>
      <c r="I655" s="155">
        <v>350</v>
      </c>
      <c r="J655" s="156" t="s">
        <v>32</v>
      </c>
      <c r="K655" s="5"/>
      <c r="L655" s="3"/>
      <c r="M655" s="6"/>
      <c r="N655" s="9"/>
      <c r="O655" s="158">
        <v>77</v>
      </c>
      <c r="P655" s="44"/>
      <c r="Q655" s="12"/>
      <c r="R655" s="12"/>
      <c r="S655" s="12"/>
      <c r="T655" s="12"/>
      <c r="U655" s="12"/>
      <c r="V655" s="12"/>
      <c r="W655" s="12"/>
      <c r="X655" s="12"/>
      <c r="Y655" s="12"/>
      <c r="Z655" s="12"/>
    </row>
    <row r="656" spans="1:26" ht="14.25" hidden="1" customHeight="1" x14ac:dyDescent="0.3">
      <c r="A656" s="155">
        <v>479</v>
      </c>
      <c r="B656" s="156" t="s">
        <v>899</v>
      </c>
      <c r="C656" s="3"/>
      <c r="D656" s="3"/>
      <c r="E656" s="156" t="s">
        <v>900</v>
      </c>
      <c r="F656" s="3"/>
      <c r="G656" s="158">
        <v>19</v>
      </c>
      <c r="H656" s="155">
        <v>4</v>
      </c>
      <c r="I656" s="155">
        <v>1</v>
      </c>
      <c r="J656" s="156" t="s">
        <v>304</v>
      </c>
      <c r="K656" s="5"/>
      <c r="L656" s="3"/>
      <c r="M656" s="6"/>
      <c r="N656" s="9"/>
      <c r="O656" s="158">
        <v>76</v>
      </c>
      <c r="P656" s="44"/>
      <c r="Q656" s="12"/>
      <c r="R656" s="12"/>
      <c r="S656" s="12"/>
      <c r="T656" s="12"/>
      <c r="U656" s="12"/>
      <c r="V656" s="12"/>
      <c r="W656" s="12"/>
      <c r="X656" s="12"/>
      <c r="Y656" s="12"/>
      <c r="Z656" s="12"/>
    </row>
    <row r="657" spans="1:26" ht="14.25" hidden="1" customHeight="1" x14ac:dyDescent="0.3">
      <c r="A657" s="155">
        <v>479</v>
      </c>
      <c r="B657" s="156" t="s">
        <v>899</v>
      </c>
      <c r="C657" s="3"/>
      <c r="D657" s="3"/>
      <c r="E657" s="156" t="s">
        <v>858</v>
      </c>
      <c r="F657" s="3"/>
      <c r="G657" s="158">
        <v>25.56</v>
      </c>
      <c r="H657" s="155">
        <v>9</v>
      </c>
      <c r="I657" s="155">
        <v>1</v>
      </c>
      <c r="J657" s="156" t="s">
        <v>92</v>
      </c>
      <c r="K657" s="5"/>
      <c r="L657" s="3"/>
      <c r="M657" s="6"/>
      <c r="N657" s="9"/>
      <c r="O657" s="158">
        <v>230.04</v>
      </c>
      <c r="P657" s="44"/>
      <c r="Q657" s="12"/>
      <c r="R657" s="12"/>
      <c r="S657" s="12"/>
      <c r="T657" s="12"/>
      <c r="U657" s="12"/>
      <c r="V657" s="12"/>
      <c r="W657" s="12"/>
      <c r="X657" s="12"/>
      <c r="Y657" s="12"/>
      <c r="Z657" s="12"/>
    </row>
    <row r="658" spans="1:26" ht="14.25" hidden="1" customHeight="1" x14ac:dyDescent="0.3">
      <c r="A658" s="155">
        <v>479</v>
      </c>
      <c r="B658" s="156" t="s">
        <v>899</v>
      </c>
      <c r="C658" s="3"/>
      <c r="D658" s="3"/>
      <c r="E658" s="156" t="s">
        <v>901</v>
      </c>
      <c r="F658" s="3"/>
      <c r="G658" s="158">
        <v>18</v>
      </c>
      <c r="H658" s="155">
        <v>4</v>
      </c>
      <c r="I658" s="155">
        <v>1</v>
      </c>
      <c r="J658" s="156" t="s">
        <v>304</v>
      </c>
      <c r="K658" s="5"/>
      <c r="L658" s="3"/>
      <c r="M658" s="6"/>
      <c r="N658" s="9"/>
      <c r="O658" s="158">
        <v>72</v>
      </c>
      <c r="P658" s="44"/>
      <c r="Q658" s="12"/>
      <c r="R658" s="12"/>
      <c r="S658" s="12"/>
      <c r="T658" s="12"/>
      <c r="U658" s="12"/>
      <c r="V658" s="12"/>
      <c r="W658" s="12"/>
      <c r="X658" s="12"/>
      <c r="Y658" s="12"/>
      <c r="Z658" s="12"/>
    </row>
    <row r="659" spans="1:26" ht="14.25" hidden="1" customHeight="1" x14ac:dyDescent="0.3">
      <c r="A659" s="155">
        <v>479</v>
      </c>
      <c r="B659" s="156" t="s">
        <v>899</v>
      </c>
      <c r="C659" s="3"/>
      <c r="D659" s="3"/>
      <c r="E659" s="156"/>
      <c r="F659" s="3"/>
      <c r="G659" s="158">
        <v>22.27</v>
      </c>
      <c r="H659" s="155">
        <v>1</v>
      </c>
      <c r="I659" s="155">
        <v>1</v>
      </c>
      <c r="J659" s="156" t="s">
        <v>92</v>
      </c>
      <c r="K659" s="5"/>
      <c r="L659" s="3"/>
      <c r="M659" s="6"/>
      <c r="N659" s="9"/>
      <c r="O659" s="158">
        <v>22.27</v>
      </c>
      <c r="P659" s="44"/>
      <c r="Q659" s="12"/>
      <c r="R659" s="12"/>
      <c r="S659" s="12"/>
      <c r="T659" s="12"/>
      <c r="U659" s="12"/>
      <c r="V659" s="12"/>
      <c r="W659" s="12"/>
      <c r="X659" s="12"/>
      <c r="Y659" s="12"/>
      <c r="Z659" s="12"/>
    </row>
    <row r="660" spans="1:26" ht="14.25" hidden="1" customHeight="1" x14ac:dyDescent="0.3">
      <c r="A660" s="155">
        <v>480</v>
      </c>
      <c r="B660" s="156" t="s">
        <v>902</v>
      </c>
      <c r="C660" s="3"/>
      <c r="D660" s="3"/>
      <c r="E660" s="156" t="s">
        <v>854</v>
      </c>
      <c r="F660" s="3"/>
      <c r="G660" s="158">
        <v>61.2</v>
      </c>
      <c r="H660" s="155">
        <v>5</v>
      </c>
      <c r="I660" s="155">
        <v>9</v>
      </c>
      <c r="J660" s="156" t="s">
        <v>39</v>
      </c>
      <c r="K660" s="5"/>
      <c r="L660" s="3"/>
      <c r="M660" s="6"/>
      <c r="N660" s="9"/>
      <c r="O660" s="158">
        <v>306</v>
      </c>
      <c r="P660" s="44"/>
      <c r="Q660" s="12"/>
      <c r="R660" s="12"/>
      <c r="S660" s="12"/>
      <c r="T660" s="12"/>
      <c r="U660" s="12"/>
      <c r="V660" s="12"/>
      <c r="W660" s="12"/>
      <c r="X660" s="12"/>
      <c r="Y660" s="12"/>
      <c r="Z660" s="12"/>
    </row>
    <row r="661" spans="1:26" ht="14.25" hidden="1" customHeight="1" x14ac:dyDescent="0.3">
      <c r="A661" s="155">
        <v>481</v>
      </c>
      <c r="B661" s="156" t="s">
        <v>903</v>
      </c>
      <c r="C661" s="3"/>
      <c r="D661" s="3"/>
      <c r="E661" s="156" t="s">
        <v>904</v>
      </c>
      <c r="F661" s="3"/>
      <c r="G661" s="158">
        <v>252</v>
      </c>
      <c r="H661" s="155">
        <v>1</v>
      </c>
      <c r="I661" s="155">
        <v>2</v>
      </c>
      <c r="J661" s="156" t="s">
        <v>213</v>
      </c>
      <c r="K661" s="5"/>
      <c r="L661" s="3"/>
      <c r="M661" s="6"/>
      <c r="N661" s="9"/>
      <c r="O661" s="158">
        <v>252</v>
      </c>
      <c r="P661" s="44"/>
      <c r="Q661" s="12"/>
      <c r="R661" s="12"/>
      <c r="S661" s="12"/>
      <c r="T661" s="12"/>
      <c r="U661" s="12"/>
      <c r="V661" s="12"/>
      <c r="W661" s="12"/>
      <c r="X661" s="12"/>
      <c r="Y661" s="12"/>
      <c r="Z661" s="12"/>
    </row>
    <row r="662" spans="1:26" ht="14.25" hidden="1" customHeight="1" x14ac:dyDescent="0.3">
      <c r="A662" s="155">
        <v>482</v>
      </c>
      <c r="B662" s="156" t="s">
        <v>905</v>
      </c>
      <c r="C662" s="3"/>
      <c r="D662" s="3"/>
      <c r="E662" s="156"/>
      <c r="F662" s="3"/>
      <c r="G662" s="158">
        <v>130</v>
      </c>
      <c r="H662" s="155">
        <v>2</v>
      </c>
      <c r="I662" s="155">
        <v>2</v>
      </c>
      <c r="J662" s="156" t="s">
        <v>213</v>
      </c>
      <c r="K662" s="5"/>
      <c r="L662" s="3"/>
      <c r="M662" s="6"/>
      <c r="N662" s="9"/>
      <c r="O662" s="158">
        <v>260</v>
      </c>
      <c r="P662" s="44"/>
      <c r="Q662" s="12"/>
      <c r="R662" s="12"/>
      <c r="S662" s="12"/>
      <c r="T662" s="12"/>
      <c r="U662" s="12"/>
      <c r="V662" s="12"/>
      <c r="W662" s="12"/>
      <c r="X662" s="12"/>
      <c r="Y662" s="12"/>
      <c r="Z662" s="12"/>
    </row>
    <row r="663" spans="1:26" ht="14.25" hidden="1" customHeight="1" x14ac:dyDescent="0.3">
      <c r="A663" s="155">
        <v>483</v>
      </c>
      <c r="B663" s="156" t="s">
        <v>906</v>
      </c>
      <c r="C663" s="3"/>
      <c r="D663" s="3"/>
      <c r="E663" s="156" t="s">
        <v>907</v>
      </c>
      <c r="F663" s="3"/>
      <c r="G663" s="158">
        <v>381.5</v>
      </c>
      <c r="H663" s="155">
        <v>10</v>
      </c>
      <c r="I663" s="155">
        <v>2</v>
      </c>
      <c r="J663" s="156" t="s">
        <v>213</v>
      </c>
      <c r="K663" s="5"/>
      <c r="L663" s="3"/>
      <c r="M663" s="6"/>
      <c r="N663" s="9"/>
      <c r="O663" s="158">
        <v>3815</v>
      </c>
      <c r="P663" s="44"/>
      <c r="Q663" s="12"/>
      <c r="R663" s="12"/>
      <c r="S663" s="12"/>
      <c r="T663" s="12"/>
      <c r="U663" s="12"/>
      <c r="V663" s="12"/>
      <c r="W663" s="12"/>
      <c r="X663" s="12"/>
      <c r="Y663" s="12"/>
      <c r="Z663" s="12"/>
    </row>
    <row r="664" spans="1:26" ht="14.25" hidden="1" customHeight="1" x14ac:dyDescent="0.3">
      <c r="A664" s="155">
        <v>484</v>
      </c>
      <c r="B664" s="156" t="s">
        <v>908</v>
      </c>
      <c r="C664" s="3"/>
      <c r="D664" s="3"/>
      <c r="E664" s="156"/>
      <c r="F664" s="3"/>
      <c r="G664" s="158">
        <v>340.75760000000002</v>
      </c>
      <c r="H664" s="155">
        <v>33</v>
      </c>
      <c r="I664" s="155">
        <v>1</v>
      </c>
      <c r="J664" s="156" t="s">
        <v>213</v>
      </c>
      <c r="K664" s="5"/>
      <c r="L664" s="3"/>
      <c r="M664" s="6"/>
      <c r="N664" s="9"/>
      <c r="O664" s="158">
        <v>11245</v>
      </c>
      <c r="P664" s="44"/>
      <c r="Q664" s="12"/>
      <c r="R664" s="12"/>
      <c r="S664" s="12"/>
      <c r="T664" s="12"/>
      <c r="U664" s="12"/>
      <c r="V664" s="12"/>
      <c r="W664" s="12"/>
      <c r="X664" s="12"/>
      <c r="Y664" s="12"/>
      <c r="Z664" s="12"/>
    </row>
    <row r="665" spans="1:26" ht="14.25" hidden="1" customHeight="1" x14ac:dyDescent="0.3">
      <c r="A665" s="155">
        <v>484</v>
      </c>
      <c r="B665" s="156" t="s">
        <v>908</v>
      </c>
      <c r="C665" s="3"/>
      <c r="D665" s="3"/>
      <c r="E665" s="156" t="s">
        <v>907</v>
      </c>
      <c r="F665" s="3"/>
      <c r="G665" s="158">
        <v>382.29730000000001</v>
      </c>
      <c r="H665" s="155">
        <v>37</v>
      </c>
      <c r="I665" s="155">
        <v>1</v>
      </c>
      <c r="J665" s="156" t="s">
        <v>213</v>
      </c>
      <c r="K665" s="5"/>
      <c r="L665" s="3"/>
      <c r="M665" s="6"/>
      <c r="N665" s="9"/>
      <c r="O665" s="158">
        <v>14145</v>
      </c>
      <c r="P665" s="44"/>
      <c r="Q665" s="12"/>
      <c r="R665" s="12"/>
      <c r="S665" s="12"/>
      <c r="T665" s="12"/>
      <c r="U665" s="12"/>
      <c r="V665" s="12"/>
      <c r="W665" s="12"/>
      <c r="X665" s="12"/>
      <c r="Y665" s="12"/>
      <c r="Z665" s="12"/>
    </row>
    <row r="666" spans="1:26" ht="14.25" hidden="1" customHeight="1" x14ac:dyDescent="0.3">
      <c r="A666" s="155">
        <v>484</v>
      </c>
      <c r="B666" s="156" t="s">
        <v>908</v>
      </c>
      <c r="C666" s="3"/>
      <c r="D666" s="3"/>
      <c r="E666" s="156" t="s">
        <v>909</v>
      </c>
      <c r="F666" s="3"/>
      <c r="G666" s="158">
        <v>320</v>
      </c>
      <c r="H666" s="155">
        <v>62</v>
      </c>
      <c r="I666" s="155">
        <v>1</v>
      </c>
      <c r="J666" s="156" t="s">
        <v>213</v>
      </c>
      <c r="K666" s="5"/>
      <c r="L666" s="3"/>
      <c r="M666" s="6"/>
      <c r="N666" s="9"/>
      <c r="O666" s="158">
        <v>19840</v>
      </c>
      <c r="P666" s="44"/>
      <c r="Q666" s="12"/>
      <c r="R666" s="12"/>
      <c r="S666" s="12"/>
      <c r="T666" s="12"/>
      <c r="U666" s="12"/>
      <c r="V666" s="12"/>
      <c r="W666" s="12"/>
      <c r="X666" s="12"/>
      <c r="Y666" s="12"/>
      <c r="Z666" s="12"/>
    </row>
    <row r="667" spans="1:26" ht="14.25" hidden="1" customHeight="1" x14ac:dyDescent="0.3">
      <c r="A667" s="155">
        <v>22</v>
      </c>
      <c r="B667" s="156" t="s">
        <v>164</v>
      </c>
      <c r="C667" s="3"/>
      <c r="D667" s="3"/>
      <c r="E667" s="156" t="s">
        <v>910</v>
      </c>
      <c r="F667" s="3"/>
      <c r="G667" s="158">
        <v>32.739130000000003</v>
      </c>
      <c r="H667" s="155">
        <v>23</v>
      </c>
      <c r="I667" s="155">
        <v>250</v>
      </c>
      <c r="J667" s="156" t="s">
        <v>39</v>
      </c>
      <c r="K667" s="5"/>
      <c r="L667" s="3"/>
      <c r="M667" s="6"/>
      <c r="N667" s="9"/>
      <c r="O667" s="158">
        <v>753</v>
      </c>
      <c r="P667" s="44"/>
      <c r="Q667" s="12"/>
      <c r="R667" s="12"/>
      <c r="S667" s="12"/>
      <c r="T667" s="12"/>
      <c r="U667" s="12"/>
      <c r="V667" s="12"/>
      <c r="W667" s="12"/>
      <c r="X667" s="12"/>
      <c r="Y667" s="12"/>
      <c r="Z667" s="12"/>
    </row>
    <row r="668" spans="1:26" ht="14.25" hidden="1" customHeight="1" x14ac:dyDescent="0.3">
      <c r="A668" s="155">
        <v>485</v>
      </c>
      <c r="B668" s="156" t="s">
        <v>911</v>
      </c>
      <c r="C668" s="3"/>
      <c r="D668" s="3"/>
      <c r="E668" s="156"/>
      <c r="F668" s="3"/>
      <c r="G668" s="158">
        <v>0</v>
      </c>
      <c r="H668" s="155">
        <v>0</v>
      </c>
      <c r="I668" s="155">
        <v>1000</v>
      </c>
      <c r="J668" s="156" t="s">
        <v>39</v>
      </c>
      <c r="K668" s="5"/>
      <c r="L668" s="3"/>
      <c r="M668" s="6"/>
      <c r="N668" s="9"/>
      <c r="O668" s="158">
        <v>0</v>
      </c>
      <c r="P668" s="44"/>
      <c r="Q668" s="12"/>
      <c r="R668" s="12"/>
      <c r="S668" s="12"/>
      <c r="T668" s="12"/>
      <c r="U668" s="12"/>
      <c r="V668" s="12"/>
      <c r="W668" s="12"/>
      <c r="X668" s="12"/>
      <c r="Y668" s="12"/>
      <c r="Z668" s="12"/>
    </row>
    <row r="669" spans="1:26" ht="14.25" hidden="1" customHeight="1" x14ac:dyDescent="0.3">
      <c r="A669" s="155">
        <v>485</v>
      </c>
      <c r="B669" s="156" t="s">
        <v>911</v>
      </c>
      <c r="C669" s="3"/>
      <c r="D669" s="3"/>
      <c r="E669" s="156" t="s">
        <v>912</v>
      </c>
      <c r="F669" s="3"/>
      <c r="G669" s="158">
        <v>0</v>
      </c>
      <c r="H669" s="155">
        <v>0</v>
      </c>
      <c r="I669" s="155">
        <v>1000</v>
      </c>
      <c r="J669" s="156" t="s">
        <v>39</v>
      </c>
      <c r="K669" s="5"/>
      <c r="L669" s="3"/>
      <c r="M669" s="6"/>
      <c r="N669" s="9"/>
      <c r="O669" s="158">
        <v>0</v>
      </c>
      <c r="P669" s="44"/>
      <c r="Q669" s="12"/>
      <c r="R669" s="12"/>
      <c r="S669" s="12"/>
      <c r="T669" s="12"/>
      <c r="U669" s="12"/>
      <c r="V669" s="12"/>
      <c r="W669" s="12"/>
      <c r="X669" s="12"/>
      <c r="Y669" s="12"/>
      <c r="Z669" s="12"/>
    </row>
    <row r="670" spans="1:26" ht="14.25" hidden="1" customHeight="1" x14ac:dyDescent="0.3">
      <c r="A670" s="155">
        <v>486</v>
      </c>
      <c r="B670" s="156" t="s">
        <v>913</v>
      </c>
      <c r="C670" s="3"/>
      <c r="D670" s="3"/>
      <c r="E670" s="156"/>
      <c r="F670" s="3"/>
      <c r="G670" s="158">
        <v>7</v>
      </c>
      <c r="H670" s="155">
        <v>8</v>
      </c>
      <c r="I670" s="155">
        <v>1</v>
      </c>
      <c r="J670" s="156" t="s">
        <v>92</v>
      </c>
      <c r="K670" s="5"/>
      <c r="L670" s="3"/>
      <c r="M670" s="6"/>
      <c r="N670" s="9"/>
      <c r="O670" s="158">
        <v>56</v>
      </c>
      <c r="P670" s="44"/>
      <c r="Q670" s="12"/>
      <c r="R670" s="12"/>
      <c r="S670" s="12"/>
      <c r="T670" s="12"/>
      <c r="U670" s="12"/>
      <c r="V670" s="12"/>
      <c r="W670" s="12"/>
      <c r="X670" s="12"/>
      <c r="Y670" s="12"/>
      <c r="Z670" s="12"/>
    </row>
    <row r="671" spans="1:26" ht="14.25" hidden="1" customHeight="1" x14ac:dyDescent="0.3">
      <c r="A671" s="155">
        <v>487</v>
      </c>
      <c r="B671" s="156" t="s">
        <v>914</v>
      </c>
      <c r="C671" s="3"/>
      <c r="D671" s="3"/>
      <c r="E671" s="156" t="s">
        <v>915</v>
      </c>
      <c r="F671" s="3"/>
      <c r="G671" s="158">
        <v>10</v>
      </c>
      <c r="H671" s="155">
        <v>33</v>
      </c>
      <c r="I671" s="155">
        <v>1</v>
      </c>
      <c r="J671" s="156" t="s">
        <v>92</v>
      </c>
      <c r="K671" s="5"/>
      <c r="L671" s="3"/>
      <c r="M671" s="6"/>
      <c r="N671" s="9"/>
      <c r="O671" s="158">
        <v>330</v>
      </c>
      <c r="P671" s="44"/>
      <c r="Q671" s="12"/>
      <c r="R671" s="12"/>
      <c r="S671" s="12"/>
      <c r="T671" s="12"/>
      <c r="U671" s="12"/>
      <c r="V671" s="12"/>
      <c r="W671" s="12"/>
      <c r="X671" s="12"/>
      <c r="Y671" s="12"/>
      <c r="Z671" s="12"/>
    </row>
    <row r="672" spans="1:26" ht="14.25" hidden="1" customHeight="1" x14ac:dyDescent="0.3">
      <c r="A672" s="155">
        <v>488</v>
      </c>
      <c r="B672" s="156" t="s">
        <v>916</v>
      </c>
      <c r="C672" s="3"/>
      <c r="D672" s="3"/>
      <c r="E672" s="156" t="s">
        <v>917</v>
      </c>
      <c r="F672" s="3"/>
      <c r="G672" s="158">
        <v>102</v>
      </c>
      <c r="H672" s="155">
        <v>3</v>
      </c>
      <c r="I672" s="155">
        <v>500</v>
      </c>
      <c r="J672" s="156" t="s">
        <v>39</v>
      </c>
      <c r="K672" s="5"/>
      <c r="L672" s="3"/>
      <c r="M672" s="6"/>
      <c r="N672" s="9"/>
      <c r="O672" s="158">
        <v>306</v>
      </c>
      <c r="P672" s="44"/>
      <c r="Q672" s="12"/>
      <c r="R672" s="12"/>
      <c r="S672" s="12"/>
      <c r="T672" s="12"/>
      <c r="U672" s="12"/>
      <c r="V672" s="12"/>
      <c r="W672" s="12"/>
      <c r="X672" s="12"/>
      <c r="Y672" s="12"/>
      <c r="Z672" s="12"/>
    </row>
    <row r="673" spans="1:26" ht="14.25" hidden="1" customHeight="1" x14ac:dyDescent="0.3">
      <c r="A673" s="155">
        <v>488</v>
      </c>
      <c r="B673" s="156" t="s">
        <v>916</v>
      </c>
      <c r="C673" s="3"/>
      <c r="D673" s="3"/>
      <c r="E673" s="156" t="s">
        <v>918</v>
      </c>
      <c r="F673" s="3"/>
      <c r="G673" s="158">
        <v>89</v>
      </c>
      <c r="H673" s="155">
        <v>2</v>
      </c>
      <c r="I673" s="155">
        <v>500</v>
      </c>
      <c r="J673" s="156" t="s">
        <v>39</v>
      </c>
      <c r="K673" s="5"/>
      <c r="L673" s="3"/>
      <c r="M673" s="6"/>
      <c r="N673" s="9"/>
      <c r="O673" s="158">
        <v>178</v>
      </c>
      <c r="P673" s="44"/>
      <c r="Q673" s="12"/>
      <c r="R673" s="12"/>
      <c r="S673" s="12"/>
      <c r="T673" s="12"/>
      <c r="U673" s="12"/>
      <c r="V673" s="12"/>
      <c r="W673" s="12"/>
      <c r="X673" s="12"/>
      <c r="Y673" s="12"/>
      <c r="Z673" s="12"/>
    </row>
    <row r="674" spans="1:26" ht="14.25" hidden="1" customHeight="1" x14ac:dyDescent="0.3">
      <c r="A674" s="155">
        <v>25</v>
      </c>
      <c r="B674" s="156" t="s">
        <v>318</v>
      </c>
      <c r="C674" s="3"/>
      <c r="D674" s="3"/>
      <c r="E674" s="156" t="s">
        <v>919</v>
      </c>
      <c r="F674" s="3"/>
      <c r="G674" s="158">
        <v>41.905659999999997</v>
      </c>
      <c r="H674" s="155">
        <v>53</v>
      </c>
      <c r="I674" s="155">
        <v>500</v>
      </c>
      <c r="J674" s="156" t="s">
        <v>39</v>
      </c>
      <c r="K674" s="5"/>
      <c r="L674" s="3"/>
      <c r="M674" s="6"/>
      <c r="N674" s="9"/>
      <c r="O674" s="158">
        <v>2221</v>
      </c>
      <c r="P674" s="44"/>
      <c r="Q674" s="12"/>
      <c r="R674" s="12"/>
      <c r="S674" s="12"/>
      <c r="T674" s="12"/>
      <c r="U674" s="12"/>
      <c r="V674" s="12"/>
      <c r="W674" s="12"/>
      <c r="X674" s="12"/>
      <c r="Y674" s="12"/>
      <c r="Z674" s="12"/>
    </row>
    <row r="675" spans="1:26" ht="14.25" hidden="1" customHeight="1" x14ac:dyDescent="0.3">
      <c r="A675" s="155">
        <v>25</v>
      </c>
      <c r="B675" s="156" t="s">
        <v>318</v>
      </c>
      <c r="C675" s="3"/>
      <c r="D675" s="3"/>
      <c r="E675" s="156" t="s">
        <v>920</v>
      </c>
      <c r="F675" s="3"/>
      <c r="G675" s="158">
        <v>78.5</v>
      </c>
      <c r="H675" s="155">
        <v>1</v>
      </c>
      <c r="I675" s="155">
        <v>500</v>
      </c>
      <c r="J675" s="156" t="s">
        <v>39</v>
      </c>
      <c r="K675" s="5"/>
      <c r="L675" s="3"/>
      <c r="M675" s="6"/>
      <c r="N675" s="9"/>
      <c r="O675" s="158">
        <v>78.5</v>
      </c>
      <c r="P675" s="44"/>
      <c r="Q675" s="12"/>
      <c r="R675" s="12"/>
      <c r="S675" s="12"/>
      <c r="T675" s="12"/>
      <c r="U675" s="12"/>
      <c r="V675" s="12"/>
      <c r="W675" s="12"/>
      <c r="X675" s="12"/>
      <c r="Y675" s="12"/>
      <c r="Z675" s="12"/>
    </row>
    <row r="676" spans="1:26" ht="14.25" hidden="1" customHeight="1" x14ac:dyDescent="0.3">
      <c r="A676" s="155">
        <v>25</v>
      </c>
      <c r="B676" s="156" t="s">
        <v>318</v>
      </c>
      <c r="C676" s="3"/>
      <c r="D676" s="3"/>
      <c r="E676" s="156" t="s">
        <v>912</v>
      </c>
      <c r="F676" s="3"/>
      <c r="G676" s="158">
        <v>45</v>
      </c>
      <c r="H676" s="155">
        <v>7</v>
      </c>
      <c r="I676" s="155">
        <v>500</v>
      </c>
      <c r="J676" s="156" t="s">
        <v>39</v>
      </c>
      <c r="K676" s="5"/>
      <c r="L676" s="3"/>
      <c r="M676" s="6"/>
      <c r="N676" s="9"/>
      <c r="O676" s="158">
        <v>315</v>
      </c>
      <c r="P676" s="44"/>
      <c r="Q676" s="12"/>
      <c r="R676" s="12"/>
      <c r="S676" s="12"/>
      <c r="T676" s="12"/>
      <c r="U676" s="12"/>
      <c r="V676" s="12"/>
      <c r="W676" s="12"/>
      <c r="X676" s="12"/>
      <c r="Y676" s="12"/>
      <c r="Z676" s="12"/>
    </row>
    <row r="677" spans="1:26" ht="14.25" hidden="1" customHeight="1" x14ac:dyDescent="0.3">
      <c r="A677" s="155">
        <v>489</v>
      </c>
      <c r="B677" s="156" t="s">
        <v>921</v>
      </c>
      <c r="C677" s="3"/>
      <c r="D677" s="3"/>
      <c r="E677" s="156" t="s">
        <v>922</v>
      </c>
      <c r="F677" s="3"/>
      <c r="G677" s="158">
        <v>12.1</v>
      </c>
      <c r="H677" s="155">
        <v>1</v>
      </c>
      <c r="I677" s="155">
        <v>1</v>
      </c>
      <c r="J677" s="156" t="s">
        <v>92</v>
      </c>
      <c r="K677" s="5"/>
      <c r="L677" s="3"/>
      <c r="M677" s="6"/>
      <c r="N677" s="9"/>
      <c r="O677" s="158">
        <v>12.1</v>
      </c>
      <c r="P677" s="44"/>
      <c r="Q677" s="12"/>
      <c r="R677" s="12"/>
      <c r="S677" s="12"/>
      <c r="T677" s="12"/>
      <c r="U677" s="12"/>
      <c r="V677" s="12"/>
      <c r="W677" s="12"/>
      <c r="X677" s="12"/>
      <c r="Y677" s="12"/>
      <c r="Z677" s="12"/>
    </row>
    <row r="678" spans="1:26" ht="14.25" hidden="1" customHeight="1" x14ac:dyDescent="0.3">
      <c r="A678" s="155">
        <v>489</v>
      </c>
      <c r="B678" s="156" t="s">
        <v>921</v>
      </c>
      <c r="C678" s="3"/>
      <c r="D678" s="3"/>
      <c r="E678" s="156" t="s">
        <v>724</v>
      </c>
      <c r="F678" s="3"/>
      <c r="G678" s="158">
        <v>25.52</v>
      </c>
      <c r="H678" s="155">
        <v>2</v>
      </c>
      <c r="I678" s="155">
        <v>1</v>
      </c>
      <c r="J678" s="156" t="s">
        <v>39</v>
      </c>
      <c r="K678" s="5"/>
      <c r="L678" s="3"/>
      <c r="M678" s="6"/>
      <c r="N678" s="9"/>
      <c r="O678" s="158">
        <v>51.04</v>
      </c>
      <c r="P678" s="44"/>
      <c r="Q678" s="12"/>
      <c r="R678" s="12"/>
      <c r="S678" s="12"/>
      <c r="T678" s="12"/>
      <c r="U678" s="12"/>
      <c r="V678" s="12"/>
      <c r="W678" s="12"/>
      <c r="X678" s="12"/>
      <c r="Y678" s="12"/>
      <c r="Z678" s="12"/>
    </row>
    <row r="679" spans="1:26" ht="14.25" hidden="1" customHeight="1" x14ac:dyDescent="0.3">
      <c r="A679" s="155">
        <v>490</v>
      </c>
      <c r="B679" s="156" t="s">
        <v>923</v>
      </c>
      <c r="C679" s="3"/>
      <c r="D679" s="3"/>
      <c r="E679" s="156" t="s">
        <v>724</v>
      </c>
      <c r="F679" s="3"/>
      <c r="G679" s="158">
        <v>25.52</v>
      </c>
      <c r="H679" s="155">
        <v>3</v>
      </c>
      <c r="I679" s="155">
        <v>19</v>
      </c>
      <c r="J679" s="156" t="s">
        <v>39</v>
      </c>
      <c r="K679" s="5"/>
      <c r="L679" s="3"/>
      <c r="M679" s="6"/>
      <c r="N679" s="9"/>
      <c r="O679" s="158">
        <v>76.56</v>
      </c>
      <c r="P679" s="44"/>
      <c r="Q679" s="12"/>
      <c r="R679" s="12"/>
      <c r="S679" s="12"/>
      <c r="T679" s="12"/>
      <c r="U679" s="12"/>
      <c r="V679" s="12"/>
      <c r="W679" s="12"/>
      <c r="X679" s="12"/>
      <c r="Y679" s="12"/>
      <c r="Z679" s="12"/>
    </row>
    <row r="680" spans="1:26" ht="14.25" hidden="1" customHeight="1" x14ac:dyDescent="0.3">
      <c r="A680" s="155">
        <v>491</v>
      </c>
      <c r="B680" s="156" t="s">
        <v>924</v>
      </c>
      <c r="C680" s="3"/>
      <c r="D680" s="3"/>
      <c r="E680" s="156" t="s">
        <v>925</v>
      </c>
      <c r="F680" s="3"/>
      <c r="G680" s="158">
        <v>6</v>
      </c>
      <c r="H680" s="155">
        <v>154</v>
      </c>
      <c r="I680" s="155">
        <v>10</v>
      </c>
      <c r="J680" s="156" t="s">
        <v>92</v>
      </c>
      <c r="K680" s="5"/>
      <c r="L680" s="3"/>
      <c r="M680" s="6"/>
      <c r="N680" s="9"/>
      <c r="O680" s="158">
        <v>924</v>
      </c>
      <c r="P680" s="44"/>
      <c r="Q680" s="12"/>
      <c r="R680" s="12"/>
      <c r="S680" s="12"/>
      <c r="T680" s="12"/>
      <c r="U680" s="12"/>
      <c r="V680" s="12"/>
      <c r="W680" s="12"/>
      <c r="X680" s="12"/>
      <c r="Y680" s="12"/>
      <c r="Z680" s="12"/>
    </row>
    <row r="681" spans="1:26" ht="14.25" hidden="1" customHeight="1" x14ac:dyDescent="0.3">
      <c r="A681" s="155">
        <v>491</v>
      </c>
      <c r="B681" s="156" t="s">
        <v>924</v>
      </c>
      <c r="C681" s="3"/>
      <c r="D681" s="3"/>
      <c r="E681" s="156" t="s">
        <v>926</v>
      </c>
      <c r="F681" s="3"/>
      <c r="G681" s="158">
        <v>6</v>
      </c>
      <c r="H681" s="155">
        <v>100</v>
      </c>
      <c r="I681" s="155">
        <v>10</v>
      </c>
      <c r="J681" s="156" t="s">
        <v>92</v>
      </c>
      <c r="K681" s="5"/>
      <c r="L681" s="3"/>
      <c r="M681" s="6"/>
      <c r="N681" s="9"/>
      <c r="O681" s="158">
        <v>600</v>
      </c>
      <c r="P681" s="44"/>
      <c r="Q681" s="12"/>
      <c r="R681" s="12"/>
      <c r="S681" s="12"/>
      <c r="T681" s="12"/>
      <c r="U681" s="12"/>
      <c r="V681" s="12"/>
      <c r="W681" s="12"/>
      <c r="X681" s="12"/>
      <c r="Y681" s="12"/>
      <c r="Z681" s="12"/>
    </row>
    <row r="682" spans="1:26" ht="14.25" hidden="1" customHeight="1" x14ac:dyDescent="0.3">
      <c r="A682" s="155">
        <v>491</v>
      </c>
      <c r="B682" s="156" t="s">
        <v>924</v>
      </c>
      <c r="C682" s="3"/>
      <c r="D682" s="3"/>
      <c r="E682" s="156" t="s">
        <v>927</v>
      </c>
      <c r="F682" s="3"/>
      <c r="G682" s="158">
        <v>6.8</v>
      </c>
      <c r="H682" s="155">
        <v>3</v>
      </c>
      <c r="I682" s="155">
        <v>10</v>
      </c>
      <c r="J682" s="156" t="s">
        <v>39</v>
      </c>
      <c r="K682" s="5"/>
      <c r="L682" s="3"/>
      <c r="M682" s="6"/>
      <c r="N682" s="9"/>
      <c r="O682" s="158">
        <v>20.399999999999999</v>
      </c>
      <c r="P682" s="44"/>
      <c r="Q682" s="12"/>
      <c r="R682" s="12"/>
      <c r="S682" s="12"/>
      <c r="T682" s="12"/>
      <c r="U682" s="12"/>
      <c r="V682" s="12"/>
      <c r="W682" s="12"/>
      <c r="X682" s="12"/>
      <c r="Y682" s="12"/>
      <c r="Z682" s="12"/>
    </row>
    <row r="683" spans="1:26" ht="14.25" hidden="1" customHeight="1" x14ac:dyDescent="0.3">
      <c r="A683" s="155">
        <v>491</v>
      </c>
      <c r="B683" s="156" t="s">
        <v>924</v>
      </c>
      <c r="C683" s="3"/>
      <c r="D683" s="3"/>
      <c r="E683" s="156" t="s">
        <v>928</v>
      </c>
      <c r="F683" s="3"/>
      <c r="G683" s="158">
        <v>6.05</v>
      </c>
      <c r="H683" s="155">
        <v>30</v>
      </c>
      <c r="I683" s="155">
        <v>10</v>
      </c>
      <c r="J683" s="156" t="s">
        <v>39</v>
      </c>
      <c r="K683" s="5"/>
      <c r="L683" s="3"/>
      <c r="M683" s="6"/>
      <c r="N683" s="9"/>
      <c r="O683" s="158">
        <v>181.5</v>
      </c>
      <c r="P683" s="44"/>
      <c r="Q683" s="12"/>
      <c r="R683" s="12"/>
      <c r="S683" s="12"/>
      <c r="T683" s="12"/>
      <c r="U683" s="12"/>
      <c r="V683" s="12"/>
      <c r="W683" s="12"/>
      <c r="X683" s="12"/>
      <c r="Y683" s="12"/>
      <c r="Z683" s="12"/>
    </row>
    <row r="684" spans="1:26" ht="14.25" hidden="1" customHeight="1" x14ac:dyDescent="0.3">
      <c r="A684" s="155">
        <v>491</v>
      </c>
      <c r="B684" s="156" t="s">
        <v>924</v>
      </c>
      <c r="C684" s="3"/>
      <c r="D684" s="3"/>
      <c r="E684" s="156" t="s">
        <v>925</v>
      </c>
      <c r="F684" s="3"/>
      <c r="G684" s="158">
        <v>6.05</v>
      </c>
      <c r="H684" s="155">
        <v>60</v>
      </c>
      <c r="I684" s="155">
        <v>10</v>
      </c>
      <c r="J684" s="156" t="s">
        <v>39</v>
      </c>
      <c r="K684" s="5"/>
      <c r="L684" s="3"/>
      <c r="M684" s="6"/>
      <c r="N684" s="9"/>
      <c r="O684" s="158">
        <v>363</v>
      </c>
      <c r="P684" s="44"/>
      <c r="Q684" s="12"/>
      <c r="R684" s="12"/>
      <c r="S684" s="12"/>
      <c r="T684" s="12"/>
      <c r="U684" s="12"/>
      <c r="V684" s="12"/>
      <c r="W684" s="12"/>
      <c r="X684" s="12"/>
      <c r="Y684" s="12"/>
      <c r="Z684" s="12"/>
    </row>
    <row r="685" spans="1:26" ht="14.25" hidden="1" customHeight="1" x14ac:dyDescent="0.3">
      <c r="A685" s="155">
        <v>491</v>
      </c>
      <c r="B685" s="156" t="s">
        <v>924</v>
      </c>
      <c r="C685" s="3"/>
      <c r="D685" s="3"/>
      <c r="E685" s="156" t="s">
        <v>929</v>
      </c>
      <c r="F685" s="3"/>
      <c r="G685" s="158">
        <v>24.588889999999999</v>
      </c>
      <c r="H685" s="155">
        <v>27</v>
      </c>
      <c r="I685" s="155">
        <v>10</v>
      </c>
      <c r="J685" s="156" t="s">
        <v>39</v>
      </c>
      <c r="K685" s="5"/>
      <c r="L685" s="3"/>
      <c r="M685" s="6"/>
      <c r="N685" s="9"/>
      <c r="O685" s="158">
        <v>663.9</v>
      </c>
      <c r="P685" s="44"/>
      <c r="Q685" s="12"/>
      <c r="R685" s="12"/>
      <c r="S685" s="12"/>
      <c r="T685" s="12"/>
      <c r="U685" s="12"/>
      <c r="V685" s="12"/>
      <c r="W685" s="12"/>
      <c r="X685" s="12"/>
      <c r="Y685" s="12"/>
      <c r="Z685" s="12"/>
    </row>
    <row r="686" spans="1:26" ht="14.25" hidden="1" customHeight="1" x14ac:dyDescent="0.3">
      <c r="A686" s="155">
        <v>491</v>
      </c>
      <c r="B686" s="156" t="s">
        <v>924</v>
      </c>
      <c r="C686" s="3"/>
      <c r="D686" s="3"/>
      <c r="E686" s="156" t="s">
        <v>930</v>
      </c>
      <c r="F686" s="3"/>
      <c r="G686" s="158">
        <v>36.9</v>
      </c>
      <c r="H686" s="155">
        <v>3</v>
      </c>
      <c r="I686" s="155">
        <v>10</v>
      </c>
      <c r="J686" s="156" t="s">
        <v>39</v>
      </c>
      <c r="K686" s="5"/>
      <c r="L686" s="3"/>
      <c r="M686" s="6"/>
      <c r="N686" s="9"/>
      <c r="O686" s="158">
        <v>110.7</v>
      </c>
      <c r="P686" s="44"/>
      <c r="Q686" s="12"/>
      <c r="R686" s="12"/>
      <c r="S686" s="12"/>
      <c r="T686" s="12"/>
      <c r="U686" s="12"/>
      <c r="V686" s="12"/>
      <c r="W686" s="12"/>
      <c r="X686" s="12"/>
      <c r="Y686" s="12"/>
      <c r="Z686" s="12"/>
    </row>
    <row r="687" spans="1:26" ht="14.25" hidden="1" customHeight="1" x14ac:dyDescent="0.3">
      <c r="A687" s="155">
        <v>491</v>
      </c>
      <c r="B687" s="156" t="s">
        <v>924</v>
      </c>
      <c r="C687" s="3"/>
      <c r="D687" s="3"/>
      <c r="E687" s="156" t="s">
        <v>931</v>
      </c>
      <c r="F687" s="3"/>
      <c r="G687" s="158">
        <v>7.07</v>
      </c>
      <c r="H687" s="155">
        <v>80</v>
      </c>
      <c r="I687" s="155">
        <v>10</v>
      </c>
      <c r="J687" s="156" t="s">
        <v>39</v>
      </c>
      <c r="K687" s="5"/>
      <c r="L687" s="3"/>
      <c r="M687" s="6"/>
      <c r="N687" s="9"/>
      <c r="O687" s="158">
        <v>565.6</v>
      </c>
      <c r="P687" s="44"/>
      <c r="Q687" s="12"/>
      <c r="R687" s="12"/>
      <c r="S687" s="12"/>
      <c r="T687" s="12"/>
      <c r="U687" s="12"/>
      <c r="V687" s="12"/>
      <c r="W687" s="12"/>
      <c r="X687" s="12"/>
      <c r="Y687" s="12"/>
      <c r="Z687" s="12"/>
    </row>
    <row r="688" spans="1:26" ht="14.25" hidden="1" customHeight="1" x14ac:dyDescent="0.3">
      <c r="A688" s="155">
        <v>491</v>
      </c>
      <c r="B688" s="156" t="s">
        <v>924</v>
      </c>
      <c r="C688" s="3"/>
      <c r="D688" s="3"/>
      <c r="E688" s="156" t="s">
        <v>932</v>
      </c>
      <c r="F688" s="3"/>
      <c r="G688" s="158">
        <v>6.71</v>
      </c>
      <c r="H688" s="155">
        <v>80</v>
      </c>
      <c r="I688" s="155">
        <v>10</v>
      </c>
      <c r="J688" s="156" t="s">
        <v>92</v>
      </c>
      <c r="K688" s="5"/>
      <c r="L688" s="3"/>
      <c r="M688" s="6"/>
      <c r="N688" s="9"/>
      <c r="O688" s="158">
        <v>536.79999999999995</v>
      </c>
      <c r="P688" s="44"/>
      <c r="Q688" s="12"/>
      <c r="R688" s="12"/>
      <c r="S688" s="12"/>
      <c r="T688" s="12"/>
      <c r="U688" s="12"/>
      <c r="V688" s="12"/>
      <c r="W688" s="12"/>
      <c r="X688" s="12"/>
      <c r="Y688" s="12"/>
      <c r="Z688" s="12"/>
    </row>
    <row r="689" spans="1:26" ht="14.25" hidden="1" customHeight="1" x14ac:dyDescent="0.3">
      <c r="A689" s="155">
        <v>491</v>
      </c>
      <c r="B689" s="156" t="s">
        <v>924</v>
      </c>
      <c r="C689" s="3"/>
      <c r="D689" s="3"/>
      <c r="E689" s="156" t="s">
        <v>933</v>
      </c>
      <c r="F689" s="3"/>
      <c r="G689" s="158">
        <v>12.635999999999999</v>
      </c>
      <c r="H689" s="155">
        <v>100</v>
      </c>
      <c r="I689" s="155">
        <v>10</v>
      </c>
      <c r="J689" s="156" t="s">
        <v>92</v>
      </c>
      <c r="K689" s="5"/>
      <c r="L689" s="3"/>
      <c r="M689" s="6"/>
      <c r="N689" s="9"/>
      <c r="O689" s="158">
        <v>1263.5999999999999</v>
      </c>
      <c r="P689" s="44"/>
      <c r="Q689" s="12"/>
      <c r="R689" s="12"/>
      <c r="S689" s="12"/>
      <c r="T689" s="12"/>
      <c r="U689" s="12"/>
      <c r="V689" s="12"/>
      <c r="W689" s="12"/>
      <c r="X689" s="12"/>
      <c r="Y689" s="12"/>
      <c r="Z689" s="12"/>
    </row>
    <row r="690" spans="1:26" ht="14.25" hidden="1" customHeight="1" x14ac:dyDescent="0.3">
      <c r="A690" s="155">
        <v>491</v>
      </c>
      <c r="B690" s="156" t="s">
        <v>924</v>
      </c>
      <c r="C690" s="3"/>
      <c r="D690" s="3"/>
      <c r="E690" s="156" t="s">
        <v>934</v>
      </c>
      <c r="F690" s="3"/>
      <c r="G690" s="158">
        <v>6.13</v>
      </c>
      <c r="H690" s="155">
        <v>30</v>
      </c>
      <c r="I690" s="155">
        <v>10</v>
      </c>
      <c r="J690" s="156" t="s">
        <v>39</v>
      </c>
      <c r="K690" s="5"/>
      <c r="L690" s="3"/>
      <c r="M690" s="6"/>
      <c r="N690" s="9"/>
      <c r="O690" s="158">
        <v>183.9</v>
      </c>
      <c r="P690" s="44"/>
      <c r="Q690" s="12"/>
      <c r="R690" s="12"/>
      <c r="S690" s="12"/>
      <c r="T690" s="12"/>
      <c r="U690" s="12"/>
      <c r="V690" s="12"/>
      <c r="W690" s="12"/>
      <c r="X690" s="12"/>
      <c r="Y690" s="12"/>
      <c r="Z690" s="12"/>
    </row>
    <row r="691" spans="1:26" ht="14.25" hidden="1" customHeight="1" x14ac:dyDescent="0.3">
      <c r="A691" s="155">
        <v>491</v>
      </c>
      <c r="B691" s="156" t="s">
        <v>924</v>
      </c>
      <c r="C691" s="3"/>
      <c r="D691" s="3"/>
      <c r="E691" s="156" t="s">
        <v>935</v>
      </c>
      <c r="F691" s="3"/>
      <c r="G691" s="158">
        <v>6.5611110000000004</v>
      </c>
      <c r="H691" s="155">
        <v>108</v>
      </c>
      <c r="I691" s="155">
        <v>10</v>
      </c>
      <c r="J691" s="156" t="s">
        <v>39</v>
      </c>
      <c r="K691" s="5"/>
      <c r="L691" s="3"/>
      <c r="M691" s="6"/>
      <c r="N691" s="9"/>
      <c r="O691" s="158">
        <v>708.6</v>
      </c>
      <c r="P691" s="44"/>
      <c r="Q691" s="12"/>
      <c r="R691" s="12"/>
      <c r="S691" s="12"/>
      <c r="T691" s="12"/>
      <c r="U691" s="12"/>
      <c r="V691" s="12"/>
      <c r="W691" s="12"/>
      <c r="X691" s="12"/>
      <c r="Y691" s="12"/>
      <c r="Z691" s="12"/>
    </row>
    <row r="692" spans="1:26" ht="14.25" hidden="1" customHeight="1" x14ac:dyDescent="0.3">
      <c r="A692" s="155">
        <v>491</v>
      </c>
      <c r="B692" s="156" t="s">
        <v>924</v>
      </c>
      <c r="C692" s="3"/>
      <c r="D692" s="3"/>
      <c r="E692" s="156" t="s">
        <v>936</v>
      </c>
      <c r="F692" s="3"/>
      <c r="G692" s="158">
        <v>6.17</v>
      </c>
      <c r="H692" s="155">
        <v>30</v>
      </c>
      <c r="I692" s="155">
        <v>10</v>
      </c>
      <c r="J692" s="156" t="s">
        <v>39</v>
      </c>
      <c r="K692" s="5"/>
      <c r="L692" s="3"/>
      <c r="M692" s="6"/>
      <c r="N692" s="9"/>
      <c r="O692" s="158">
        <v>185.1</v>
      </c>
      <c r="P692" s="44"/>
      <c r="Q692" s="12"/>
      <c r="R692" s="12"/>
      <c r="S692" s="12"/>
      <c r="T692" s="12"/>
      <c r="U692" s="12"/>
      <c r="V692" s="12"/>
      <c r="W692" s="12"/>
      <c r="X692" s="12"/>
      <c r="Y692" s="12"/>
      <c r="Z692" s="12"/>
    </row>
    <row r="693" spans="1:26" ht="14.25" hidden="1" customHeight="1" x14ac:dyDescent="0.3">
      <c r="A693" s="155">
        <v>491</v>
      </c>
      <c r="B693" s="156" t="s">
        <v>924</v>
      </c>
      <c r="C693" s="3"/>
      <c r="D693" s="3"/>
      <c r="E693" s="156" t="s">
        <v>937</v>
      </c>
      <c r="F693" s="3"/>
      <c r="G693" s="158">
        <v>17.899999999999999</v>
      </c>
      <c r="H693" s="155">
        <v>3</v>
      </c>
      <c r="I693" s="155">
        <v>10</v>
      </c>
      <c r="J693" s="156" t="s">
        <v>39</v>
      </c>
      <c r="K693" s="5"/>
      <c r="L693" s="3"/>
      <c r="M693" s="6"/>
      <c r="N693" s="9"/>
      <c r="O693" s="158">
        <v>53.7</v>
      </c>
      <c r="P693" s="44"/>
      <c r="Q693" s="12"/>
      <c r="R693" s="12"/>
      <c r="S693" s="12"/>
      <c r="T693" s="12"/>
      <c r="U693" s="12"/>
      <c r="V693" s="12"/>
      <c r="W693" s="12"/>
      <c r="X693" s="12"/>
      <c r="Y693" s="12"/>
      <c r="Z693" s="12"/>
    </row>
    <row r="694" spans="1:26" ht="14.25" hidden="1" customHeight="1" x14ac:dyDescent="0.3">
      <c r="A694" s="155">
        <v>491</v>
      </c>
      <c r="B694" s="156" t="s">
        <v>924</v>
      </c>
      <c r="C694" s="3"/>
      <c r="D694" s="3"/>
      <c r="E694" s="156" t="s">
        <v>933</v>
      </c>
      <c r="F694" s="3"/>
      <c r="G694" s="158">
        <v>5.7853149999999998</v>
      </c>
      <c r="H694" s="155">
        <v>143</v>
      </c>
      <c r="I694" s="155">
        <v>10</v>
      </c>
      <c r="J694" s="156" t="s">
        <v>39</v>
      </c>
      <c r="K694" s="5"/>
      <c r="L694" s="3"/>
      <c r="M694" s="6"/>
      <c r="N694" s="9"/>
      <c r="O694" s="158">
        <v>827.3</v>
      </c>
      <c r="P694" s="44"/>
      <c r="Q694" s="12"/>
      <c r="R694" s="12"/>
      <c r="S694" s="12"/>
      <c r="T694" s="12"/>
      <c r="U694" s="12"/>
      <c r="V694" s="12"/>
      <c r="W694" s="12"/>
      <c r="X694" s="12"/>
      <c r="Y694" s="12"/>
      <c r="Z694" s="12"/>
    </row>
    <row r="695" spans="1:26" ht="14.25" hidden="1" customHeight="1" x14ac:dyDescent="0.3">
      <c r="A695" s="155">
        <v>491</v>
      </c>
      <c r="B695" s="156" t="s">
        <v>924</v>
      </c>
      <c r="C695" s="3"/>
      <c r="D695" s="3"/>
      <c r="E695" s="156" t="s">
        <v>938</v>
      </c>
      <c r="F695" s="3"/>
      <c r="G695" s="158">
        <v>5.9789469999999998</v>
      </c>
      <c r="H695" s="155">
        <v>114</v>
      </c>
      <c r="I695" s="155">
        <v>10</v>
      </c>
      <c r="J695" s="156" t="s">
        <v>92</v>
      </c>
      <c r="K695" s="5"/>
      <c r="L695" s="3"/>
      <c r="M695" s="6"/>
      <c r="N695" s="9"/>
      <c r="O695" s="158">
        <v>681.6</v>
      </c>
      <c r="P695" s="44"/>
      <c r="Q695" s="12"/>
      <c r="R695" s="12"/>
      <c r="S695" s="12"/>
      <c r="T695" s="12"/>
      <c r="U695" s="12"/>
      <c r="V695" s="12"/>
      <c r="W695" s="12"/>
      <c r="X695" s="12"/>
      <c r="Y695" s="12"/>
      <c r="Z695" s="12"/>
    </row>
    <row r="696" spans="1:26" ht="14.25" hidden="1" customHeight="1" x14ac:dyDescent="0.3">
      <c r="A696" s="155">
        <v>491</v>
      </c>
      <c r="B696" s="156" t="s">
        <v>924</v>
      </c>
      <c r="C696" s="3"/>
      <c r="D696" s="3"/>
      <c r="E696" s="156" t="s">
        <v>939</v>
      </c>
      <c r="F696" s="3"/>
      <c r="G696" s="158">
        <v>8.0879999999999992</v>
      </c>
      <c r="H696" s="155">
        <v>55</v>
      </c>
      <c r="I696" s="155">
        <v>10</v>
      </c>
      <c r="J696" s="156" t="s">
        <v>39</v>
      </c>
      <c r="K696" s="5"/>
      <c r="L696" s="3"/>
      <c r="M696" s="6"/>
      <c r="N696" s="9"/>
      <c r="O696" s="158">
        <v>444.84</v>
      </c>
      <c r="P696" s="44"/>
      <c r="Q696" s="12"/>
      <c r="R696" s="12"/>
      <c r="S696" s="12"/>
      <c r="T696" s="12"/>
      <c r="U696" s="12"/>
      <c r="V696" s="12"/>
      <c r="W696" s="12"/>
      <c r="X696" s="12"/>
      <c r="Y696" s="12"/>
      <c r="Z696" s="12"/>
    </row>
    <row r="697" spans="1:26" ht="14.25" hidden="1" customHeight="1" x14ac:dyDescent="0.3">
      <c r="A697" s="155">
        <v>491</v>
      </c>
      <c r="B697" s="156" t="s">
        <v>924</v>
      </c>
      <c r="C697" s="3"/>
      <c r="D697" s="3"/>
      <c r="E697" s="156" t="s">
        <v>940</v>
      </c>
      <c r="F697" s="3"/>
      <c r="G697" s="158">
        <v>19.939060000000001</v>
      </c>
      <c r="H697" s="155">
        <v>53</v>
      </c>
      <c r="I697" s="155">
        <v>10</v>
      </c>
      <c r="J697" s="156" t="s">
        <v>39</v>
      </c>
      <c r="K697" s="5"/>
      <c r="L697" s="3"/>
      <c r="M697" s="6"/>
      <c r="N697" s="9"/>
      <c r="O697" s="158">
        <v>1056.77</v>
      </c>
      <c r="P697" s="44"/>
      <c r="Q697" s="12"/>
      <c r="R697" s="12"/>
      <c r="S697" s="12"/>
      <c r="T697" s="12"/>
      <c r="U697" s="12"/>
      <c r="V697" s="12"/>
      <c r="W697" s="12"/>
      <c r="X697" s="12"/>
      <c r="Y697" s="12"/>
      <c r="Z697" s="12"/>
    </row>
    <row r="698" spans="1:26" ht="14.25" hidden="1" customHeight="1" x14ac:dyDescent="0.3">
      <c r="A698" s="155">
        <v>491</v>
      </c>
      <c r="B698" s="156" t="s">
        <v>924</v>
      </c>
      <c r="C698" s="3"/>
      <c r="D698" s="3"/>
      <c r="E698" s="156" t="s">
        <v>941</v>
      </c>
      <c r="F698" s="3"/>
      <c r="G698" s="158">
        <v>7.3</v>
      </c>
      <c r="H698" s="155">
        <v>8</v>
      </c>
      <c r="I698" s="155">
        <v>10</v>
      </c>
      <c r="J698" s="156" t="s">
        <v>92</v>
      </c>
      <c r="K698" s="5"/>
      <c r="L698" s="3"/>
      <c r="M698" s="6"/>
      <c r="N698" s="9"/>
      <c r="O698" s="158">
        <v>58.4</v>
      </c>
      <c r="P698" s="44"/>
      <c r="Q698" s="12"/>
      <c r="R698" s="12"/>
      <c r="S698" s="12"/>
      <c r="T698" s="12"/>
      <c r="U698" s="12"/>
      <c r="V698" s="12"/>
      <c r="W698" s="12"/>
      <c r="X698" s="12"/>
      <c r="Y698" s="12"/>
      <c r="Z698" s="12"/>
    </row>
    <row r="699" spans="1:26" ht="14.25" hidden="1" customHeight="1" x14ac:dyDescent="0.3">
      <c r="A699" s="155">
        <v>491</v>
      </c>
      <c r="B699" s="156" t="s">
        <v>924</v>
      </c>
      <c r="C699" s="3"/>
      <c r="D699" s="3"/>
      <c r="E699" s="156" t="s">
        <v>942</v>
      </c>
      <c r="F699" s="3"/>
      <c r="G699" s="158">
        <v>7.77</v>
      </c>
      <c r="H699" s="155">
        <v>5</v>
      </c>
      <c r="I699" s="155">
        <v>10</v>
      </c>
      <c r="J699" s="156" t="s">
        <v>92</v>
      </c>
      <c r="K699" s="5"/>
      <c r="L699" s="3"/>
      <c r="M699" s="6"/>
      <c r="N699" s="9"/>
      <c r="O699" s="158">
        <v>38.85</v>
      </c>
      <c r="P699" s="44"/>
      <c r="Q699" s="12"/>
      <c r="R699" s="12"/>
      <c r="S699" s="12"/>
      <c r="T699" s="12"/>
      <c r="U699" s="12"/>
      <c r="V699" s="12"/>
      <c r="W699" s="12"/>
      <c r="X699" s="12"/>
      <c r="Y699" s="12"/>
      <c r="Z699" s="12"/>
    </row>
    <row r="700" spans="1:26" ht="14.25" hidden="1" customHeight="1" x14ac:dyDescent="0.3">
      <c r="A700" s="155">
        <v>491</v>
      </c>
      <c r="B700" s="156" t="s">
        <v>924</v>
      </c>
      <c r="C700" s="3"/>
      <c r="D700" s="3"/>
      <c r="E700" s="156" t="s">
        <v>943</v>
      </c>
      <c r="F700" s="3"/>
      <c r="G700" s="158">
        <v>7.77</v>
      </c>
      <c r="H700" s="155">
        <v>1</v>
      </c>
      <c r="I700" s="155">
        <v>10</v>
      </c>
      <c r="J700" s="156" t="s">
        <v>92</v>
      </c>
      <c r="K700" s="5"/>
      <c r="L700" s="3"/>
      <c r="M700" s="6"/>
      <c r="N700" s="9"/>
      <c r="O700" s="158">
        <v>7.77</v>
      </c>
      <c r="P700" s="44"/>
      <c r="Q700" s="12"/>
      <c r="R700" s="12"/>
      <c r="S700" s="12"/>
      <c r="T700" s="12"/>
      <c r="U700" s="12"/>
      <c r="V700" s="12"/>
      <c r="W700" s="12"/>
      <c r="X700" s="12"/>
      <c r="Y700" s="12"/>
      <c r="Z700" s="12"/>
    </row>
    <row r="701" spans="1:26" ht="14.25" hidden="1" customHeight="1" x14ac:dyDescent="0.3">
      <c r="A701" s="155">
        <v>491</v>
      </c>
      <c r="B701" s="156" t="s">
        <v>924</v>
      </c>
      <c r="C701" s="3"/>
      <c r="D701" s="3"/>
      <c r="E701" s="156" t="s">
        <v>944</v>
      </c>
      <c r="F701" s="3"/>
      <c r="G701" s="158">
        <v>8.42</v>
      </c>
      <c r="H701" s="155">
        <v>7</v>
      </c>
      <c r="I701" s="155">
        <v>10</v>
      </c>
      <c r="J701" s="156" t="s">
        <v>39</v>
      </c>
      <c r="K701" s="5"/>
      <c r="L701" s="3"/>
      <c r="M701" s="6"/>
      <c r="N701" s="9"/>
      <c r="O701" s="158">
        <v>58.94</v>
      </c>
      <c r="P701" s="44"/>
      <c r="Q701" s="12"/>
      <c r="R701" s="12"/>
      <c r="S701" s="12"/>
      <c r="T701" s="12"/>
      <c r="U701" s="12"/>
      <c r="V701" s="12"/>
      <c r="W701" s="12"/>
      <c r="X701" s="12"/>
      <c r="Y701" s="12"/>
      <c r="Z701" s="12"/>
    </row>
    <row r="702" spans="1:26" ht="14.25" hidden="1" customHeight="1" x14ac:dyDescent="0.3">
      <c r="A702" s="155">
        <v>491</v>
      </c>
      <c r="B702" s="156" t="s">
        <v>924</v>
      </c>
      <c r="C702" s="3"/>
      <c r="D702" s="3"/>
      <c r="E702" s="156" t="s">
        <v>945</v>
      </c>
      <c r="F702" s="3"/>
      <c r="G702" s="158">
        <v>7.19</v>
      </c>
      <c r="H702" s="155">
        <v>30</v>
      </c>
      <c r="I702" s="155">
        <v>10</v>
      </c>
      <c r="J702" s="156" t="s">
        <v>39</v>
      </c>
      <c r="K702" s="5"/>
      <c r="L702" s="3"/>
      <c r="M702" s="6"/>
      <c r="N702" s="9"/>
      <c r="O702" s="158">
        <v>215.7</v>
      </c>
      <c r="P702" s="44"/>
      <c r="Q702" s="12"/>
      <c r="R702" s="12"/>
      <c r="S702" s="12"/>
      <c r="T702" s="12"/>
      <c r="U702" s="12"/>
      <c r="V702" s="12"/>
      <c r="W702" s="12"/>
      <c r="X702" s="12"/>
      <c r="Y702" s="12"/>
      <c r="Z702" s="12"/>
    </row>
    <row r="703" spans="1:26" ht="14.25" hidden="1" customHeight="1" x14ac:dyDescent="0.3">
      <c r="A703" s="155">
        <v>491</v>
      </c>
      <c r="B703" s="156" t="s">
        <v>924</v>
      </c>
      <c r="C703" s="3"/>
      <c r="D703" s="3"/>
      <c r="E703" s="156" t="s">
        <v>946</v>
      </c>
      <c r="F703" s="3"/>
      <c r="G703" s="158">
        <v>16.12</v>
      </c>
      <c r="H703" s="155">
        <v>36</v>
      </c>
      <c r="I703" s="155">
        <v>10</v>
      </c>
      <c r="J703" s="156" t="s">
        <v>39</v>
      </c>
      <c r="K703" s="5"/>
      <c r="L703" s="3"/>
      <c r="M703" s="6"/>
      <c r="N703" s="9"/>
      <c r="O703" s="158">
        <v>580.32000000000005</v>
      </c>
      <c r="P703" s="44"/>
      <c r="Q703" s="12"/>
      <c r="R703" s="12"/>
      <c r="S703" s="12"/>
      <c r="T703" s="12"/>
      <c r="U703" s="12"/>
      <c r="V703" s="12"/>
      <c r="W703" s="12"/>
      <c r="X703" s="12"/>
      <c r="Y703" s="12"/>
      <c r="Z703" s="12"/>
    </row>
    <row r="704" spans="1:26" ht="14.25" hidden="1" customHeight="1" x14ac:dyDescent="0.3">
      <c r="A704" s="155">
        <v>491</v>
      </c>
      <c r="B704" s="156" t="s">
        <v>924</v>
      </c>
      <c r="C704" s="3"/>
      <c r="D704" s="3"/>
      <c r="E704" s="156" t="s">
        <v>947</v>
      </c>
      <c r="F704" s="3"/>
      <c r="G704" s="158">
        <v>7.07</v>
      </c>
      <c r="H704" s="155">
        <v>30</v>
      </c>
      <c r="I704" s="155">
        <v>10</v>
      </c>
      <c r="J704" s="156" t="s">
        <v>39</v>
      </c>
      <c r="K704" s="5"/>
      <c r="L704" s="3"/>
      <c r="M704" s="6"/>
      <c r="N704" s="9"/>
      <c r="O704" s="158">
        <v>212.1</v>
      </c>
      <c r="P704" s="44"/>
      <c r="Q704" s="12"/>
      <c r="R704" s="12"/>
      <c r="S704" s="12"/>
      <c r="T704" s="12"/>
      <c r="U704" s="12"/>
      <c r="V704" s="12"/>
      <c r="W704" s="12"/>
      <c r="X704" s="12"/>
      <c r="Y704" s="12"/>
      <c r="Z704" s="12"/>
    </row>
    <row r="705" spans="1:26" ht="14.25" hidden="1" customHeight="1" x14ac:dyDescent="0.3">
      <c r="A705" s="155">
        <v>491</v>
      </c>
      <c r="B705" s="156" t="s">
        <v>924</v>
      </c>
      <c r="C705" s="3"/>
      <c r="D705" s="3"/>
      <c r="E705" s="156" t="s">
        <v>948</v>
      </c>
      <c r="F705" s="3"/>
      <c r="G705" s="158">
        <v>8.17</v>
      </c>
      <c r="H705" s="155">
        <v>30</v>
      </c>
      <c r="I705" s="155">
        <v>10</v>
      </c>
      <c r="J705" s="156" t="s">
        <v>39</v>
      </c>
      <c r="K705" s="5"/>
      <c r="L705" s="3"/>
      <c r="M705" s="6"/>
      <c r="N705" s="9"/>
      <c r="O705" s="158">
        <v>245.1</v>
      </c>
      <c r="P705" s="44"/>
      <c r="Q705" s="12"/>
      <c r="R705" s="12"/>
      <c r="S705" s="12"/>
      <c r="T705" s="12"/>
      <c r="U705" s="12"/>
      <c r="V705" s="12"/>
      <c r="W705" s="12"/>
      <c r="X705" s="12"/>
      <c r="Y705" s="12"/>
      <c r="Z705" s="12"/>
    </row>
    <row r="706" spans="1:26" ht="14.25" hidden="1" customHeight="1" x14ac:dyDescent="0.3">
      <c r="A706" s="155">
        <v>491</v>
      </c>
      <c r="B706" s="156" t="s">
        <v>924</v>
      </c>
      <c r="C706" s="3"/>
      <c r="D706" s="3"/>
      <c r="E706" s="156" t="s">
        <v>949</v>
      </c>
      <c r="F706" s="3"/>
      <c r="G706" s="158">
        <v>8.0500000000000007</v>
      </c>
      <c r="H706" s="155">
        <v>30</v>
      </c>
      <c r="I706" s="155">
        <v>10</v>
      </c>
      <c r="J706" s="156" t="s">
        <v>39</v>
      </c>
      <c r="K706" s="5"/>
      <c r="L706" s="3"/>
      <c r="M706" s="6"/>
      <c r="N706" s="9"/>
      <c r="O706" s="158">
        <v>241.5</v>
      </c>
      <c r="P706" s="44"/>
      <c r="Q706" s="12"/>
      <c r="R706" s="12"/>
      <c r="S706" s="12"/>
      <c r="T706" s="12"/>
      <c r="U706" s="12"/>
      <c r="V706" s="12"/>
      <c r="W706" s="12"/>
      <c r="X706" s="12"/>
      <c r="Y706" s="12"/>
      <c r="Z706" s="12"/>
    </row>
    <row r="707" spans="1:26" ht="14.25" hidden="1" customHeight="1" x14ac:dyDescent="0.3">
      <c r="A707" s="155">
        <v>491</v>
      </c>
      <c r="B707" s="156" t="s">
        <v>924</v>
      </c>
      <c r="C707" s="3"/>
      <c r="D707" s="3"/>
      <c r="E707" s="156" t="s">
        <v>950</v>
      </c>
      <c r="F707" s="3"/>
      <c r="G707" s="158">
        <v>6.03</v>
      </c>
      <c r="H707" s="155">
        <v>50</v>
      </c>
      <c r="I707" s="155">
        <v>10</v>
      </c>
      <c r="J707" s="156" t="s">
        <v>39</v>
      </c>
      <c r="K707" s="5"/>
      <c r="L707" s="3"/>
      <c r="M707" s="6"/>
      <c r="N707" s="9"/>
      <c r="O707" s="158">
        <v>301.5</v>
      </c>
      <c r="P707" s="44"/>
      <c r="Q707" s="12"/>
      <c r="R707" s="12"/>
      <c r="S707" s="12"/>
      <c r="T707" s="12"/>
      <c r="U707" s="12"/>
      <c r="V707" s="12"/>
      <c r="W707" s="12"/>
      <c r="X707" s="12"/>
      <c r="Y707" s="12"/>
      <c r="Z707" s="12"/>
    </row>
    <row r="708" spans="1:26" ht="14.25" hidden="1" customHeight="1" x14ac:dyDescent="0.3">
      <c r="A708" s="155">
        <v>491</v>
      </c>
      <c r="B708" s="156" t="s">
        <v>924</v>
      </c>
      <c r="C708" s="3"/>
      <c r="D708" s="3"/>
      <c r="E708" s="156" t="s">
        <v>951</v>
      </c>
      <c r="F708" s="3"/>
      <c r="G708" s="158">
        <v>6.4171430000000003</v>
      </c>
      <c r="H708" s="155">
        <v>210</v>
      </c>
      <c r="I708" s="155">
        <v>10</v>
      </c>
      <c r="J708" s="156" t="s">
        <v>39</v>
      </c>
      <c r="K708" s="5"/>
      <c r="L708" s="3"/>
      <c r="M708" s="6"/>
      <c r="N708" s="9"/>
      <c r="O708" s="158">
        <v>1347.6</v>
      </c>
      <c r="P708" s="44"/>
      <c r="Q708" s="12"/>
      <c r="R708" s="12"/>
      <c r="S708" s="12"/>
      <c r="T708" s="12"/>
      <c r="U708" s="12"/>
      <c r="V708" s="12"/>
      <c r="W708" s="12"/>
      <c r="X708" s="12"/>
      <c r="Y708" s="12"/>
      <c r="Z708" s="12"/>
    </row>
    <row r="709" spans="1:26" ht="14.25" hidden="1" customHeight="1" x14ac:dyDescent="0.3">
      <c r="A709" s="155">
        <v>491</v>
      </c>
      <c r="B709" s="156" t="s">
        <v>924</v>
      </c>
      <c r="C709" s="3"/>
      <c r="D709" s="3"/>
      <c r="E709" s="156" t="s">
        <v>952</v>
      </c>
      <c r="F709" s="3"/>
      <c r="G709" s="158">
        <v>6.13</v>
      </c>
      <c r="H709" s="155">
        <v>10</v>
      </c>
      <c r="I709" s="155">
        <v>10</v>
      </c>
      <c r="J709" s="156" t="s">
        <v>39</v>
      </c>
      <c r="K709" s="5"/>
      <c r="L709" s="3"/>
      <c r="M709" s="6"/>
      <c r="N709" s="9"/>
      <c r="O709" s="158">
        <v>61.3</v>
      </c>
      <c r="P709" s="44"/>
      <c r="Q709" s="12"/>
      <c r="R709" s="12"/>
      <c r="S709" s="12"/>
      <c r="T709" s="12"/>
      <c r="U709" s="12"/>
      <c r="V709" s="12"/>
      <c r="W709" s="12"/>
      <c r="X709" s="12"/>
      <c r="Y709" s="12"/>
      <c r="Z709" s="12"/>
    </row>
    <row r="710" spans="1:26" ht="14.25" hidden="1" customHeight="1" x14ac:dyDescent="0.3">
      <c r="A710" s="155">
        <v>491</v>
      </c>
      <c r="B710" s="156" t="s">
        <v>924</v>
      </c>
      <c r="C710" s="3"/>
      <c r="D710" s="3"/>
      <c r="E710" s="156" t="s">
        <v>953</v>
      </c>
      <c r="F710" s="3"/>
      <c r="G710" s="158">
        <v>6</v>
      </c>
      <c r="H710" s="155">
        <v>60</v>
      </c>
      <c r="I710" s="155">
        <v>10</v>
      </c>
      <c r="J710" s="156" t="s">
        <v>39</v>
      </c>
      <c r="K710" s="5"/>
      <c r="L710" s="3"/>
      <c r="M710" s="6"/>
      <c r="N710" s="9"/>
      <c r="O710" s="158">
        <v>360</v>
      </c>
      <c r="P710" s="44"/>
      <c r="Q710" s="12"/>
      <c r="R710" s="12"/>
      <c r="S710" s="12"/>
      <c r="T710" s="12"/>
      <c r="U710" s="12"/>
      <c r="V710" s="12"/>
      <c r="W710" s="12"/>
      <c r="X710" s="12"/>
      <c r="Y710" s="12"/>
      <c r="Z710" s="12"/>
    </row>
    <row r="711" spans="1:26" ht="14.25" hidden="1" customHeight="1" x14ac:dyDescent="0.3">
      <c r="A711" s="155">
        <v>491</v>
      </c>
      <c r="B711" s="156" t="s">
        <v>924</v>
      </c>
      <c r="C711" s="3"/>
      <c r="D711" s="3"/>
      <c r="E711" s="156" t="s">
        <v>954</v>
      </c>
      <c r="F711" s="3"/>
      <c r="G711" s="158">
        <v>63.75</v>
      </c>
      <c r="H711" s="155">
        <v>2</v>
      </c>
      <c r="I711" s="155">
        <v>10</v>
      </c>
      <c r="J711" s="156" t="s">
        <v>304</v>
      </c>
      <c r="K711" s="5"/>
      <c r="L711" s="3"/>
      <c r="M711" s="6"/>
      <c r="N711" s="9"/>
      <c r="O711" s="158">
        <v>127.5</v>
      </c>
      <c r="P711" s="44"/>
      <c r="Q711" s="12"/>
      <c r="R711" s="12"/>
      <c r="S711" s="12"/>
      <c r="T711" s="12"/>
      <c r="U711" s="12"/>
      <c r="V711" s="12"/>
      <c r="W711" s="12"/>
      <c r="X711" s="12"/>
      <c r="Y711" s="12"/>
      <c r="Z711" s="12"/>
    </row>
    <row r="712" spans="1:26" ht="14.25" hidden="1" customHeight="1" x14ac:dyDescent="0.3">
      <c r="A712" s="155">
        <v>491</v>
      </c>
      <c r="B712" s="156" t="s">
        <v>924</v>
      </c>
      <c r="C712" s="3"/>
      <c r="D712" s="3"/>
      <c r="E712" s="156" t="s">
        <v>955</v>
      </c>
      <c r="F712" s="3"/>
      <c r="G712" s="158">
        <v>6.88</v>
      </c>
      <c r="H712" s="155">
        <v>100</v>
      </c>
      <c r="I712" s="155">
        <v>10</v>
      </c>
      <c r="J712" s="156" t="s">
        <v>39</v>
      </c>
      <c r="K712" s="5"/>
      <c r="L712" s="3"/>
      <c r="M712" s="6"/>
      <c r="N712" s="9"/>
      <c r="O712" s="158">
        <v>688</v>
      </c>
      <c r="P712" s="44"/>
      <c r="Q712" s="12"/>
      <c r="R712" s="12"/>
      <c r="S712" s="12"/>
      <c r="T712" s="12"/>
      <c r="U712" s="12"/>
      <c r="V712" s="12"/>
      <c r="W712" s="12"/>
      <c r="X712" s="12"/>
      <c r="Y712" s="12"/>
      <c r="Z712" s="12"/>
    </row>
    <row r="713" spans="1:26" ht="14.25" hidden="1" customHeight="1" x14ac:dyDescent="0.3">
      <c r="A713" s="155">
        <v>491</v>
      </c>
      <c r="B713" s="156" t="s">
        <v>924</v>
      </c>
      <c r="C713" s="3"/>
      <c r="D713" s="3"/>
      <c r="E713" s="156" t="s">
        <v>956</v>
      </c>
      <c r="F713" s="3"/>
      <c r="G713" s="158">
        <v>6.14</v>
      </c>
      <c r="H713" s="155">
        <v>30</v>
      </c>
      <c r="I713" s="155">
        <v>10</v>
      </c>
      <c r="J713" s="156" t="s">
        <v>39</v>
      </c>
      <c r="K713" s="5"/>
      <c r="L713" s="3"/>
      <c r="M713" s="6"/>
      <c r="N713" s="9"/>
      <c r="O713" s="158">
        <v>184.2</v>
      </c>
      <c r="P713" s="44"/>
      <c r="Q713" s="12"/>
      <c r="R713" s="12"/>
      <c r="S713" s="12"/>
      <c r="T713" s="12"/>
      <c r="U713" s="12"/>
      <c r="V713" s="12"/>
      <c r="W713" s="12"/>
      <c r="X713" s="12"/>
      <c r="Y713" s="12"/>
      <c r="Z713" s="12"/>
    </row>
    <row r="714" spans="1:26" ht="14.25" hidden="1" customHeight="1" x14ac:dyDescent="0.3">
      <c r="A714" s="155">
        <v>491</v>
      </c>
      <c r="B714" s="156" t="s">
        <v>924</v>
      </c>
      <c r="C714" s="3"/>
      <c r="D714" s="3"/>
      <c r="E714" s="156" t="s">
        <v>387</v>
      </c>
      <c r="F714" s="3"/>
      <c r="G714" s="158">
        <v>7.87</v>
      </c>
      <c r="H714" s="155">
        <v>5</v>
      </c>
      <c r="I714" s="155">
        <v>10</v>
      </c>
      <c r="J714" s="156" t="s">
        <v>39</v>
      </c>
      <c r="K714" s="5"/>
      <c r="L714" s="3"/>
      <c r="M714" s="6"/>
      <c r="N714" s="9"/>
      <c r="O714" s="158">
        <v>39.35</v>
      </c>
      <c r="P714" s="44"/>
      <c r="Q714" s="12"/>
      <c r="R714" s="12"/>
      <c r="S714" s="12"/>
      <c r="T714" s="12"/>
      <c r="U714" s="12"/>
      <c r="V714" s="12"/>
      <c r="W714" s="12"/>
      <c r="X714" s="12"/>
      <c r="Y714" s="12"/>
      <c r="Z714" s="12"/>
    </row>
    <row r="715" spans="1:26" ht="14.25" hidden="1" customHeight="1" x14ac:dyDescent="0.3">
      <c r="A715" s="155">
        <v>31</v>
      </c>
      <c r="B715" s="156" t="s">
        <v>503</v>
      </c>
      <c r="C715" s="3"/>
      <c r="D715" s="3"/>
      <c r="E715" s="156" t="s">
        <v>865</v>
      </c>
      <c r="F715" s="3"/>
      <c r="G715" s="158">
        <v>21.125</v>
      </c>
      <c r="H715" s="155">
        <v>8</v>
      </c>
      <c r="I715" s="155">
        <v>100</v>
      </c>
      <c r="J715" s="156" t="s">
        <v>39</v>
      </c>
      <c r="K715" s="5"/>
      <c r="L715" s="3"/>
      <c r="M715" s="6"/>
      <c r="N715" s="9"/>
      <c r="O715" s="158">
        <v>169</v>
      </c>
      <c r="P715" s="44"/>
      <c r="Q715" s="12"/>
      <c r="R715" s="12"/>
      <c r="S715" s="12"/>
      <c r="T715" s="12"/>
      <c r="U715" s="12"/>
      <c r="V715" s="12"/>
      <c r="W715" s="12"/>
      <c r="X715" s="12"/>
      <c r="Y715" s="12"/>
      <c r="Z715" s="12"/>
    </row>
    <row r="716" spans="1:26" ht="14.25" hidden="1" customHeight="1" x14ac:dyDescent="0.3">
      <c r="A716" s="155">
        <v>31</v>
      </c>
      <c r="B716" s="156" t="s">
        <v>503</v>
      </c>
      <c r="C716" s="3"/>
      <c r="D716" s="3"/>
      <c r="E716" s="156" t="s">
        <v>957</v>
      </c>
      <c r="F716" s="3"/>
      <c r="G716" s="158">
        <v>28</v>
      </c>
      <c r="H716" s="155">
        <v>1</v>
      </c>
      <c r="I716" s="155">
        <v>100</v>
      </c>
      <c r="J716" s="156" t="s">
        <v>39</v>
      </c>
      <c r="K716" s="5"/>
      <c r="L716" s="3"/>
      <c r="M716" s="6"/>
      <c r="N716" s="9"/>
      <c r="O716" s="158">
        <v>28</v>
      </c>
      <c r="P716" s="44"/>
      <c r="Q716" s="12"/>
      <c r="R716" s="12"/>
      <c r="S716" s="12"/>
      <c r="T716" s="12"/>
      <c r="U716" s="12"/>
      <c r="V716" s="12"/>
      <c r="W716" s="12"/>
      <c r="X716" s="12"/>
      <c r="Y716" s="12"/>
      <c r="Z716" s="12"/>
    </row>
    <row r="717" spans="1:26" ht="14.25" hidden="1" customHeight="1" x14ac:dyDescent="0.3">
      <c r="A717" s="155">
        <v>31</v>
      </c>
      <c r="B717" s="156" t="s">
        <v>503</v>
      </c>
      <c r="C717" s="3"/>
      <c r="D717" s="3"/>
      <c r="E717" s="156" t="s">
        <v>958</v>
      </c>
      <c r="F717" s="3"/>
      <c r="G717" s="158">
        <v>28.844439999999999</v>
      </c>
      <c r="H717" s="155">
        <v>18</v>
      </c>
      <c r="I717" s="155">
        <v>100</v>
      </c>
      <c r="J717" s="156" t="s">
        <v>39</v>
      </c>
      <c r="K717" s="5"/>
      <c r="L717" s="3"/>
      <c r="M717" s="6"/>
      <c r="N717" s="9"/>
      <c r="O717" s="158">
        <v>519.20000000000005</v>
      </c>
      <c r="P717" s="44"/>
      <c r="Q717" s="12"/>
      <c r="R717" s="12"/>
      <c r="S717" s="12"/>
      <c r="T717" s="12"/>
      <c r="U717" s="12"/>
      <c r="V717" s="12"/>
      <c r="W717" s="12"/>
      <c r="X717" s="12"/>
      <c r="Y717" s="12"/>
      <c r="Z717" s="12"/>
    </row>
    <row r="718" spans="1:26" ht="14.25" hidden="1" customHeight="1" x14ac:dyDescent="0.3">
      <c r="A718" s="155">
        <v>31</v>
      </c>
      <c r="B718" s="156" t="s">
        <v>503</v>
      </c>
      <c r="C718" s="3"/>
      <c r="D718" s="3"/>
      <c r="E718" s="156" t="s">
        <v>959</v>
      </c>
      <c r="F718" s="3"/>
      <c r="G718" s="158">
        <v>15.8</v>
      </c>
      <c r="H718" s="155">
        <v>2</v>
      </c>
      <c r="I718" s="155">
        <v>100</v>
      </c>
      <c r="J718" s="156" t="s">
        <v>39</v>
      </c>
      <c r="K718" s="5"/>
      <c r="L718" s="3"/>
      <c r="M718" s="6"/>
      <c r="N718" s="9"/>
      <c r="O718" s="158">
        <v>31.6</v>
      </c>
      <c r="P718" s="44"/>
      <c r="Q718" s="12"/>
      <c r="R718" s="12"/>
      <c r="S718" s="12"/>
      <c r="T718" s="12"/>
      <c r="U718" s="12"/>
      <c r="V718" s="12"/>
      <c r="W718" s="12"/>
      <c r="X718" s="12"/>
      <c r="Y718" s="12"/>
      <c r="Z718" s="12"/>
    </row>
    <row r="719" spans="1:26" ht="14.25" hidden="1" customHeight="1" x14ac:dyDescent="0.3">
      <c r="A719" s="155">
        <v>31</v>
      </c>
      <c r="B719" s="156" t="s">
        <v>503</v>
      </c>
      <c r="C719" s="3"/>
      <c r="D719" s="3"/>
      <c r="E719" s="156" t="s">
        <v>960</v>
      </c>
      <c r="F719" s="3"/>
      <c r="G719" s="158">
        <v>31.1</v>
      </c>
      <c r="H719" s="155">
        <v>10</v>
      </c>
      <c r="I719" s="155">
        <v>100</v>
      </c>
      <c r="J719" s="156" t="s">
        <v>39</v>
      </c>
      <c r="K719" s="5"/>
      <c r="L719" s="3"/>
      <c r="M719" s="6"/>
      <c r="N719" s="9"/>
      <c r="O719" s="158">
        <v>311</v>
      </c>
      <c r="P719" s="44"/>
      <c r="Q719" s="12"/>
      <c r="R719" s="12"/>
      <c r="S719" s="12"/>
      <c r="T719" s="12"/>
      <c r="U719" s="12"/>
      <c r="V719" s="12"/>
      <c r="W719" s="12"/>
      <c r="X719" s="12"/>
      <c r="Y719" s="12"/>
      <c r="Z719" s="12"/>
    </row>
    <row r="720" spans="1:26" ht="14.25" hidden="1" customHeight="1" x14ac:dyDescent="0.3">
      <c r="A720" s="155">
        <v>492</v>
      </c>
      <c r="B720" s="156" t="s">
        <v>961</v>
      </c>
      <c r="C720" s="3"/>
      <c r="D720" s="3"/>
      <c r="E720" s="156" t="s">
        <v>962</v>
      </c>
      <c r="F720" s="3"/>
      <c r="G720" s="158">
        <v>118</v>
      </c>
      <c r="H720" s="155">
        <v>1</v>
      </c>
      <c r="I720" s="155">
        <v>250</v>
      </c>
      <c r="J720" s="156" t="s">
        <v>39</v>
      </c>
      <c r="K720" s="5"/>
      <c r="L720" s="3"/>
      <c r="M720" s="6"/>
      <c r="N720" s="9"/>
      <c r="O720" s="158">
        <v>118</v>
      </c>
      <c r="P720" s="44"/>
      <c r="Q720" s="12"/>
      <c r="R720" s="12"/>
      <c r="S720" s="12"/>
      <c r="T720" s="12"/>
      <c r="U720" s="12"/>
      <c r="V720" s="12"/>
      <c r="W720" s="12"/>
      <c r="X720" s="12"/>
      <c r="Y720" s="12"/>
      <c r="Z720" s="12"/>
    </row>
    <row r="721" spans="1:26" ht="14.25" hidden="1" customHeight="1" x14ac:dyDescent="0.3">
      <c r="A721" s="155">
        <v>33</v>
      </c>
      <c r="B721" s="156" t="s">
        <v>506</v>
      </c>
      <c r="C721" s="3"/>
      <c r="D721" s="3"/>
      <c r="E721" s="156" t="s">
        <v>963</v>
      </c>
      <c r="F721" s="3"/>
      <c r="G721" s="158">
        <v>161</v>
      </c>
      <c r="H721" s="155">
        <v>2</v>
      </c>
      <c r="I721" s="155">
        <v>165</v>
      </c>
      <c r="J721" s="156" t="s">
        <v>519</v>
      </c>
      <c r="K721" s="5"/>
      <c r="L721" s="3"/>
      <c r="M721" s="6"/>
      <c r="N721" s="9"/>
      <c r="O721" s="158">
        <v>322</v>
      </c>
      <c r="P721" s="44"/>
      <c r="Q721" s="12"/>
      <c r="R721" s="12"/>
      <c r="S721" s="12"/>
      <c r="T721" s="12"/>
      <c r="U721" s="12"/>
      <c r="V721" s="12"/>
      <c r="W721" s="12"/>
      <c r="X721" s="12"/>
      <c r="Y721" s="12"/>
      <c r="Z721" s="12"/>
    </row>
    <row r="722" spans="1:26" ht="14.25" hidden="1" customHeight="1" x14ac:dyDescent="0.3">
      <c r="A722" s="155">
        <v>33</v>
      </c>
      <c r="B722" s="156" t="s">
        <v>506</v>
      </c>
      <c r="C722" s="3"/>
      <c r="D722" s="3"/>
      <c r="E722" s="156" t="s">
        <v>963</v>
      </c>
      <c r="F722" s="3"/>
      <c r="G722" s="158">
        <v>78</v>
      </c>
      <c r="H722" s="155">
        <v>1</v>
      </c>
      <c r="I722" s="155">
        <v>165</v>
      </c>
      <c r="J722" s="156" t="s">
        <v>39</v>
      </c>
      <c r="K722" s="5"/>
      <c r="L722" s="3"/>
      <c r="M722" s="6"/>
      <c r="N722" s="9"/>
      <c r="O722" s="158">
        <v>78</v>
      </c>
      <c r="P722" s="44"/>
      <c r="Q722" s="12"/>
      <c r="R722" s="12"/>
      <c r="S722" s="12"/>
      <c r="T722" s="12"/>
      <c r="U722" s="12"/>
      <c r="V722" s="12"/>
      <c r="W722" s="12"/>
      <c r="X722" s="12"/>
      <c r="Y722" s="12"/>
      <c r="Z722" s="12"/>
    </row>
    <row r="723" spans="1:26" ht="14.25" hidden="1" customHeight="1" x14ac:dyDescent="0.3">
      <c r="A723" s="155">
        <v>493</v>
      </c>
      <c r="B723" s="156" t="s">
        <v>964</v>
      </c>
      <c r="C723" s="3"/>
      <c r="D723" s="3"/>
      <c r="E723" s="156" t="s">
        <v>965</v>
      </c>
      <c r="F723" s="3"/>
      <c r="G723" s="158">
        <v>40.4</v>
      </c>
      <c r="H723" s="155">
        <v>3</v>
      </c>
      <c r="I723" s="155">
        <v>100</v>
      </c>
      <c r="J723" s="156" t="s">
        <v>39</v>
      </c>
      <c r="K723" s="5"/>
      <c r="L723" s="3"/>
      <c r="M723" s="6"/>
      <c r="N723" s="9"/>
      <c r="O723" s="158">
        <v>121.2</v>
      </c>
      <c r="P723" s="44"/>
      <c r="Q723" s="12"/>
      <c r="R723" s="12"/>
      <c r="S723" s="12"/>
      <c r="T723" s="12"/>
      <c r="U723" s="12"/>
      <c r="V723" s="12"/>
      <c r="W723" s="12"/>
      <c r="X723" s="12"/>
      <c r="Y723" s="12"/>
      <c r="Z723" s="12"/>
    </row>
    <row r="724" spans="1:26" ht="14.25" hidden="1" customHeight="1" x14ac:dyDescent="0.3">
      <c r="A724" s="155">
        <v>493</v>
      </c>
      <c r="B724" s="156" t="s">
        <v>964</v>
      </c>
      <c r="C724" s="3"/>
      <c r="D724" s="3"/>
      <c r="E724" s="156"/>
      <c r="F724" s="3"/>
      <c r="G724" s="158">
        <v>650</v>
      </c>
      <c r="H724" s="155">
        <v>3</v>
      </c>
      <c r="I724" s="155">
        <v>100</v>
      </c>
      <c r="J724" s="156" t="s">
        <v>39</v>
      </c>
      <c r="K724" s="5"/>
      <c r="L724" s="3"/>
      <c r="M724" s="6"/>
      <c r="N724" s="9"/>
      <c r="O724" s="158">
        <v>1950</v>
      </c>
      <c r="P724" s="44"/>
      <c r="Q724" s="12"/>
      <c r="R724" s="12"/>
      <c r="S724" s="12"/>
      <c r="T724" s="12"/>
      <c r="U724" s="12"/>
      <c r="V724" s="12"/>
      <c r="W724" s="12"/>
      <c r="X724" s="12"/>
      <c r="Y724" s="12"/>
      <c r="Z724" s="12"/>
    </row>
    <row r="725" spans="1:26" ht="14.25" hidden="1" customHeight="1" x14ac:dyDescent="0.3">
      <c r="A725" s="155">
        <v>494</v>
      </c>
      <c r="B725" s="156" t="s">
        <v>966</v>
      </c>
      <c r="C725" s="3"/>
      <c r="D725" s="3"/>
      <c r="E725" s="156" t="s">
        <v>967</v>
      </c>
      <c r="F725" s="3"/>
      <c r="G725" s="158">
        <v>590</v>
      </c>
      <c r="H725" s="155">
        <v>3</v>
      </c>
      <c r="I725" s="155">
        <v>1000</v>
      </c>
      <c r="J725" s="156" t="s">
        <v>39</v>
      </c>
      <c r="K725" s="5"/>
      <c r="L725" s="3"/>
      <c r="M725" s="6"/>
      <c r="N725" s="9"/>
      <c r="O725" s="158">
        <v>1770</v>
      </c>
      <c r="P725" s="44"/>
      <c r="Q725" s="12"/>
      <c r="R725" s="12"/>
      <c r="S725" s="12"/>
      <c r="T725" s="12"/>
      <c r="U725" s="12"/>
      <c r="V725" s="12"/>
      <c r="W725" s="12"/>
      <c r="X725" s="12"/>
      <c r="Y725" s="12"/>
      <c r="Z725" s="12"/>
    </row>
    <row r="726" spans="1:26" ht="14.25" hidden="1" customHeight="1" x14ac:dyDescent="0.3">
      <c r="A726" s="155">
        <v>494</v>
      </c>
      <c r="B726" s="156" t="s">
        <v>966</v>
      </c>
      <c r="C726" s="3"/>
      <c r="D726" s="3"/>
      <c r="E726" s="156" t="s">
        <v>962</v>
      </c>
      <c r="F726" s="3"/>
      <c r="G726" s="158">
        <v>250</v>
      </c>
      <c r="H726" s="155">
        <v>6</v>
      </c>
      <c r="I726" s="155">
        <v>1000</v>
      </c>
      <c r="J726" s="156" t="s">
        <v>39</v>
      </c>
      <c r="K726" s="5"/>
      <c r="L726" s="3"/>
      <c r="M726" s="6"/>
      <c r="N726" s="9"/>
      <c r="O726" s="158">
        <v>1500</v>
      </c>
      <c r="P726" s="44"/>
      <c r="Q726" s="12"/>
      <c r="R726" s="12"/>
      <c r="S726" s="12"/>
      <c r="T726" s="12"/>
      <c r="U726" s="12"/>
      <c r="V726" s="12"/>
      <c r="W726" s="12"/>
      <c r="X726" s="12"/>
      <c r="Y726" s="12"/>
      <c r="Z726" s="12"/>
    </row>
    <row r="727" spans="1:26" ht="14.25" hidden="1" customHeight="1" x14ac:dyDescent="0.3">
      <c r="A727" s="155">
        <v>495</v>
      </c>
      <c r="B727" s="156" t="s">
        <v>968</v>
      </c>
      <c r="C727" s="3"/>
      <c r="D727" s="3"/>
      <c r="E727" s="156" t="s">
        <v>969</v>
      </c>
      <c r="F727" s="3"/>
      <c r="G727" s="158">
        <v>350</v>
      </c>
      <c r="H727" s="155">
        <v>1</v>
      </c>
      <c r="I727" s="155">
        <v>500</v>
      </c>
      <c r="J727" s="156" t="s">
        <v>39</v>
      </c>
      <c r="K727" s="5"/>
      <c r="L727" s="3"/>
      <c r="M727" s="6"/>
      <c r="N727" s="9"/>
      <c r="O727" s="158">
        <v>350</v>
      </c>
      <c r="P727" s="44"/>
      <c r="Q727" s="12"/>
      <c r="R727" s="12"/>
      <c r="S727" s="12"/>
      <c r="T727" s="12"/>
      <c r="U727" s="12"/>
      <c r="V727" s="12"/>
      <c r="W727" s="12"/>
      <c r="X727" s="12"/>
      <c r="Y727" s="12"/>
      <c r="Z727" s="12"/>
    </row>
    <row r="728" spans="1:26" ht="14.25" hidden="1" customHeight="1" x14ac:dyDescent="0.3">
      <c r="A728" s="155">
        <v>496</v>
      </c>
      <c r="B728" s="156" t="s">
        <v>970</v>
      </c>
      <c r="C728" s="3"/>
      <c r="D728" s="3"/>
      <c r="E728" s="156" t="s">
        <v>971</v>
      </c>
      <c r="F728" s="3"/>
      <c r="G728" s="158">
        <v>45.256250000000001</v>
      </c>
      <c r="H728" s="155">
        <v>8</v>
      </c>
      <c r="I728" s="155">
        <v>240</v>
      </c>
      <c r="J728" s="156" t="s">
        <v>39</v>
      </c>
      <c r="K728" s="5"/>
      <c r="L728" s="3"/>
      <c r="M728" s="6"/>
      <c r="N728" s="9"/>
      <c r="O728" s="158">
        <v>362.05</v>
      </c>
      <c r="P728" s="44"/>
      <c r="Q728" s="12"/>
      <c r="R728" s="12"/>
      <c r="S728" s="12"/>
      <c r="T728" s="12"/>
      <c r="U728" s="12"/>
      <c r="V728" s="12"/>
      <c r="W728" s="12"/>
      <c r="X728" s="12"/>
      <c r="Y728" s="12"/>
      <c r="Z728" s="12"/>
    </row>
    <row r="729" spans="1:26" ht="14.25" hidden="1" customHeight="1" x14ac:dyDescent="0.3">
      <c r="A729" s="155">
        <v>497</v>
      </c>
      <c r="B729" s="156" t="s">
        <v>972</v>
      </c>
      <c r="C729" s="3"/>
      <c r="D729" s="3"/>
      <c r="E729" s="156" t="s">
        <v>971</v>
      </c>
      <c r="F729" s="3"/>
      <c r="G729" s="158">
        <v>47</v>
      </c>
      <c r="H729" s="155">
        <v>2</v>
      </c>
      <c r="I729" s="155">
        <v>240</v>
      </c>
      <c r="J729" s="156" t="s">
        <v>39</v>
      </c>
      <c r="K729" s="5"/>
      <c r="L729" s="3"/>
      <c r="M729" s="6"/>
      <c r="N729" s="9"/>
      <c r="O729" s="158">
        <v>94</v>
      </c>
      <c r="P729" s="44"/>
      <c r="Q729" s="12"/>
      <c r="R729" s="12"/>
      <c r="S729" s="12"/>
      <c r="T729" s="12"/>
      <c r="U729" s="12"/>
      <c r="V729" s="12"/>
      <c r="W729" s="12"/>
      <c r="X729" s="12"/>
      <c r="Y729" s="12"/>
      <c r="Z729" s="12"/>
    </row>
    <row r="730" spans="1:26" ht="14.25" hidden="1" customHeight="1" x14ac:dyDescent="0.3">
      <c r="A730" s="155">
        <v>498</v>
      </c>
      <c r="B730" s="156" t="s">
        <v>973</v>
      </c>
      <c r="C730" s="3"/>
      <c r="D730" s="3"/>
      <c r="E730" s="156" t="s">
        <v>974</v>
      </c>
      <c r="F730" s="3"/>
      <c r="G730" s="158">
        <v>21.73498</v>
      </c>
      <c r="H730" s="155">
        <v>281</v>
      </c>
      <c r="I730" s="155">
        <v>500</v>
      </c>
      <c r="J730" s="156" t="s">
        <v>32</v>
      </c>
      <c r="K730" s="5"/>
      <c r="L730" s="3"/>
      <c r="M730" s="6"/>
      <c r="N730" s="9"/>
      <c r="O730" s="158">
        <v>6107.53</v>
      </c>
      <c r="P730" s="44"/>
      <c r="Q730" s="12"/>
      <c r="R730" s="12"/>
      <c r="S730" s="12"/>
      <c r="T730" s="12"/>
      <c r="U730" s="12"/>
      <c r="V730" s="12"/>
      <c r="W730" s="12"/>
      <c r="X730" s="12"/>
      <c r="Y730" s="12"/>
      <c r="Z730" s="12"/>
    </row>
    <row r="731" spans="1:26" ht="14.25" hidden="1" customHeight="1" x14ac:dyDescent="0.3">
      <c r="A731" s="155">
        <v>499</v>
      </c>
      <c r="B731" s="156" t="s">
        <v>975</v>
      </c>
      <c r="C731" s="3"/>
      <c r="D731" s="3"/>
      <c r="E731" s="156" t="s">
        <v>976</v>
      </c>
      <c r="F731" s="3"/>
      <c r="G731" s="158">
        <v>4</v>
      </c>
      <c r="H731" s="155">
        <v>183</v>
      </c>
      <c r="I731" s="155">
        <v>1</v>
      </c>
      <c r="J731" s="156" t="s">
        <v>92</v>
      </c>
      <c r="K731" s="5"/>
      <c r="L731" s="3"/>
      <c r="M731" s="6"/>
      <c r="N731" s="9"/>
      <c r="O731" s="158">
        <v>732</v>
      </c>
      <c r="P731" s="44"/>
      <c r="Q731" s="12"/>
      <c r="R731" s="12"/>
      <c r="S731" s="12"/>
      <c r="T731" s="12"/>
      <c r="U731" s="12"/>
      <c r="V731" s="12"/>
      <c r="W731" s="12"/>
      <c r="X731" s="12"/>
      <c r="Y731" s="12"/>
      <c r="Z731" s="12"/>
    </row>
    <row r="732" spans="1:26" ht="14.25" hidden="1" customHeight="1" x14ac:dyDescent="0.3">
      <c r="A732" s="155">
        <v>499</v>
      </c>
      <c r="B732" s="156" t="s">
        <v>975</v>
      </c>
      <c r="C732" s="3"/>
      <c r="D732" s="3"/>
      <c r="E732" s="156" t="s">
        <v>977</v>
      </c>
      <c r="F732" s="3"/>
      <c r="G732" s="158">
        <v>6</v>
      </c>
      <c r="H732" s="155">
        <v>20</v>
      </c>
      <c r="I732" s="155">
        <v>1</v>
      </c>
      <c r="J732" s="156" t="s">
        <v>92</v>
      </c>
      <c r="K732" s="5"/>
      <c r="L732" s="3"/>
      <c r="M732" s="6"/>
      <c r="N732" s="9"/>
      <c r="O732" s="158">
        <v>120</v>
      </c>
      <c r="P732" s="44"/>
      <c r="Q732" s="12"/>
      <c r="R732" s="12"/>
      <c r="S732" s="12"/>
      <c r="T732" s="12"/>
      <c r="U732" s="12"/>
      <c r="V732" s="12"/>
      <c r="W732" s="12"/>
      <c r="X732" s="12"/>
      <c r="Y732" s="12"/>
      <c r="Z732" s="12"/>
    </row>
    <row r="733" spans="1:26" ht="14.25" hidden="1" customHeight="1" x14ac:dyDescent="0.3">
      <c r="A733" s="155">
        <v>499</v>
      </c>
      <c r="B733" s="156" t="s">
        <v>975</v>
      </c>
      <c r="C733" s="3"/>
      <c r="D733" s="3"/>
      <c r="E733" s="156" t="s">
        <v>978</v>
      </c>
      <c r="F733" s="3"/>
      <c r="G733" s="158">
        <v>5</v>
      </c>
      <c r="H733" s="155">
        <v>183</v>
      </c>
      <c r="I733" s="155">
        <v>1</v>
      </c>
      <c r="J733" s="156" t="s">
        <v>92</v>
      </c>
      <c r="K733" s="5"/>
      <c r="L733" s="3"/>
      <c r="M733" s="6"/>
      <c r="N733" s="9"/>
      <c r="O733" s="158">
        <v>915</v>
      </c>
      <c r="P733" s="44"/>
      <c r="Q733" s="12"/>
      <c r="R733" s="12"/>
      <c r="S733" s="12"/>
      <c r="T733" s="12"/>
      <c r="U733" s="12"/>
      <c r="V733" s="12"/>
      <c r="W733" s="12"/>
      <c r="X733" s="12"/>
      <c r="Y733" s="12"/>
      <c r="Z733" s="12"/>
    </row>
    <row r="734" spans="1:26" ht="14.25" hidden="1" customHeight="1" x14ac:dyDescent="0.3">
      <c r="A734" s="155">
        <v>38</v>
      </c>
      <c r="B734" s="156" t="s">
        <v>48</v>
      </c>
      <c r="C734" s="3"/>
      <c r="D734" s="3"/>
      <c r="E734" s="156" t="s">
        <v>959</v>
      </c>
      <c r="F734" s="3"/>
      <c r="G734" s="158">
        <v>145</v>
      </c>
      <c r="H734" s="155">
        <v>2</v>
      </c>
      <c r="I734" s="155">
        <v>1</v>
      </c>
      <c r="J734" s="156" t="s">
        <v>213</v>
      </c>
      <c r="K734" s="5"/>
      <c r="L734" s="3"/>
      <c r="M734" s="6"/>
      <c r="N734" s="9"/>
      <c r="O734" s="158">
        <v>290</v>
      </c>
      <c r="P734" s="44"/>
      <c r="Q734" s="12"/>
      <c r="R734" s="12"/>
      <c r="S734" s="12"/>
      <c r="T734" s="12"/>
      <c r="U734" s="12"/>
      <c r="V734" s="12"/>
      <c r="W734" s="12"/>
      <c r="X734" s="12"/>
      <c r="Y734" s="12"/>
      <c r="Z734" s="12"/>
    </row>
    <row r="735" spans="1:26" ht="14.25" hidden="1" customHeight="1" x14ac:dyDescent="0.3">
      <c r="A735" s="155">
        <v>38</v>
      </c>
      <c r="B735" s="156" t="s">
        <v>48</v>
      </c>
      <c r="C735" s="3"/>
      <c r="D735" s="3"/>
      <c r="E735" s="156" t="s">
        <v>979</v>
      </c>
      <c r="F735" s="3"/>
      <c r="G735" s="158">
        <v>79.3</v>
      </c>
      <c r="H735" s="155">
        <v>5</v>
      </c>
      <c r="I735" s="155">
        <v>1</v>
      </c>
      <c r="J735" s="156" t="s">
        <v>39</v>
      </c>
      <c r="K735" s="5"/>
      <c r="L735" s="3"/>
      <c r="M735" s="6"/>
      <c r="N735" s="9"/>
      <c r="O735" s="158">
        <v>396.5</v>
      </c>
      <c r="P735" s="44"/>
      <c r="Q735" s="12"/>
      <c r="R735" s="12"/>
      <c r="S735" s="12"/>
      <c r="T735" s="12"/>
      <c r="U735" s="12"/>
      <c r="V735" s="12"/>
      <c r="W735" s="12"/>
      <c r="X735" s="12"/>
      <c r="Y735" s="12"/>
      <c r="Z735" s="12"/>
    </row>
    <row r="736" spans="1:26" ht="14.25" hidden="1" customHeight="1" x14ac:dyDescent="0.3">
      <c r="A736" s="155">
        <v>38</v>
      </c>
      <c r="B736" s="156" t="s">
        <v>48</v>
      </c>
      <c r="C736" s="3"/>
      <c r="D736" s="3"/>
      <c r="E736" s="156" t="s">
        <v>980</v>
      </c>
      <c r="F736" s="3"/>
      <c r="G736" s="158">
        <v>38.85</v>
      </c>
      <c r="H736" s="155">
        <v>10</v>
      </c>
      <c r="I736" s="155">
        <v>1</v>
      </c>
      <c r="J736" s="156" t="s">
        <v>39</v>
      </c>
      <c r="K736" s="5"/>
      <c r="L736" s="3"/>
      <c r="M736" s="6"/>
      <c r="N736" s="9"/>
      <c r="O736" s="158">
        <v>388.5</v>
      </c>
      <c r="P736" s="44"/>
      <c r="Q736" s="12"/>
      <c r="R736" s="12"/>
      <c r="S736" s="12"/>
      <c r="T736" s="12"/>
      <c r="U736" s="12"/>
      <c r="V736" s="12"/>
      <c r="W736" s="12"/>
      <c r="X736" s="12"/>
      <c r="Y736" s="12"/>
      <c r="Z736" s="12"/>
    </row>
    <row r="737" spans="1:26" ht="14.25" customHeight="1" x14ac:dyDescent="0.3">
      <c r="A737" s="155">
        <v>38</v>
      </c>
      <c r="B737" s="156" t="s">
        <v>48</v>
      </c>
      <c r="C737" s="3"/>
      <c r="D737" s="3"/>
      <c r="E737" s="156" t="s">
        <v>981</v>
      </c>
      <c r="F737" s="3"/>
      <c r="G737" s="158">
        <v>42.823529999999998</v>
      </c>
      <c r="H737" s="155">
        <v>17</v>
      </c>
      <c r="I737" s="155">
        <v>1</v>
      </c>
      <c r="J737" s="156" t="s">
        <v>39</v>
      </c>
      <c r="K737" s="5"/>
      <c r="L737" s="3"/>
      <c r="M737" s="6"/>
      <c r="N737" s="9"/>
      <c r="O737" s="158">
        <v>728</v>
      </c>
      <c r="P737" s="12"/>
      <c r="Q737" s="12"/>
      <c r="R737" s="12"/>
      <c r="S737" s="12"/>
      <c r="T737" s="12"/>
      <c r="U737" s="12"/>
      <c r="V737" s="12"/>
      <c r="W737" s="12"/>
      <c r="X737" s="12"/>
      <c r="Y737" s="12"/>
      <c r="Z737" s="12"/>
    </row>
    <row r="738" spans="1:26" ht="14.25" customHeight="1" x14ac:dyDescent="0.3">
      <c r="A738" s="155">
        <v>38</v>
      </c>
      <c r="B738" s="156" t="s">
        <v>48</v>
      </c>
      <c r="C738" s="3"/>
      <c r="D738" s="3"/>
      <c r="E738" s="156" t="s">
        <v>981</v>
      </c>
      <c r="F738" s="3"/>
      <c r="G738" s="158">
        <v>152</v>
      </c>
      <c r="H738" s="155">
        <v>1</v>
      </c>
      <c r="I738" s="155">
        <v>1</v>
      </c>
      <c r="J738" s="156" t="s">
        <v>213</v>
      </c>
      <c r="K738" s="5"/>
      <c r="L738" s="3"/>
      <c r="M738" s="6"/>
      <c r="N738" s="9"/>
      <c r="O738" s="158">
        <v>152</v>
      </c>
      <c r="P738" s="12"/>
      <c r="Q738" s="12"/>
      <c r="R738" s="12"/>
      <c r="S738" s="12"/>
      <c r="T738" s="12"/>
      <c r="U738" s="12"/>
      <c r="V738" s="12"/>
      <c r="W738" s="12"/>
      <c r="X738" s="12"/>
      <c r="Y738" s="12"/>
      <c r="Z738" s="12"/>
    </row>
    <row r="739" spans="1:26" ht="14.25" customHeight="1" x14ac:dyDescent="0.3">
      <c r="A739" s="155">
        <v>38</v>
      </c>
      <c r="B739" s="156" t="s">
        <v>48</v>
      </c>
      <c r="C739" s="3"/>
      <c r="D739" s="3"/>
      <c r="E739" s="156" t="s">
        <v>982</v>
      </c>
      <c r="F739" s="3"/>
      <c r="G739" s="158">
        <v>31.66</v>
      </c>
      <c r="H739" s="155">
        <v>7</v>
      </c>
      <c r="I739" s="155">
        <v>1</v>
      </c>
      <c r="J739" s="156" t="s">
        <v>39</v>
      </c>
      <c r="K739" s="5"/>
      <c r="L739" s="3"/>
      <c r="M739" s="6"/>
      <c r="N739" s="9"/>
      <c r="O739" s="158">
        <v>221.62</v>
      </c>
      <c r="P739" s="12"/>
      <c r="Q739" s="12"/>
      <c r="R739" s="12"/>
      <c r="S739" s="12"/>
      <c r="T739" s="12"/>
      <c r="U739" s="12"/>
      <c r="V739" s="12"/>
      <c r="W739" s="12"/>
      <c r="X739" s="12"/>
      <c r="Y739" s="12"/>
      <c r="Z739" s="12"/>
    </row>
    <row r="740" spans="1:26" ht="14.25" customHeight="1" x14ac:dyDescent="0.3">
      <c r="A740" s="155">
        <v>38</v>
      </c>
      <c r="B740" s="156" t="s">
        <v>48</v>
      </c>
      <c r="C740" s="3"/>
      <c r="D740" s="3"/>
      <c r="E740" s="156" t="s">
        <v>983</v>
      </c>
      <c r="F740" s="3"/>
      <c r="G740" s="158">
        <v>21</v>
      </c>
      <c r="H740" s="155">
        <v>1</v>
      </c>
      <c r="I740" s="155">
        <v>1</v>
      </c>
      <c r="J740" s="156" t="s">
        <v>39</v>
      </c>
      <c r="K740" s="5"/>
      <c r="L740" s="3"/>
      <c r="M740" s="6"/>
      <c r="N740" s="9"/>
      <c r="O740" s="158">
        <v>21</v>
      </c>
      <c r="P740" s="12"/>
      <c r="Q740" s="12"/>
      <c r="R740" s="12"/>
      <c r="S740" s="12"/>
      <c r="T740" s="12"/>
      <c r="U740" s="12"/>
      <c r="V740" s="12"/>
      <c r="W740" s="12"/>
      <c r="X740" s="12"/>
      <c r="Y740" s="12"/>
      <c r="Z740" s="12"/>
    </row>
    <row r="741" spans="1:26" ht="14.25" customHeight="1" x14ac:dyDescent="0.3">
      <c r="A741" s="155">
        <v>500</v>
      </c>
      <c r="B741" s="156" t="s">
        <v>984</v>
      </c>
      <c r="C741" s="3"/>
      <c r="D741" s="3"/>
      <c r="E741" s="156" t="s">
        <v>985</v>
      </c>
      <c r="F741" s="3"/>
      <c r="G741" s="158">
        <v>0</v>
      </c>
      <c r="H741" s="155">
        <v>0</v>
      </c>
      <c r="I741" s="155">
        <v>62</v>
      </c>
      <c r="J741" s="156" t="s">
        <v>39</v>
      </c>
      <c r="K741" s="5"/>
      <c r="L741" s="3"/>
      <c r="M741" s="6"/>
      <c r="N741" s="9"/>
      <c r="O741" s="158">
        <v>0</v>
      </c>
      <c r="P741" s="12"/>
      <c r="Q741" s="12"/>
      <c r="R741" s="12"/>
      <c r="S741" s="12"/>
      <c r="T741" s="12"/>
      <c r="U741" s="12"/>
      <c r="V741" s="12"/>
      <c r="W741" s="12"/>
      <c r="X741" s="12"/>
      <c r="Y741" s="12"/>
      <c r="Z741" s="12"/>
    </row>
    <row r="742" spans="1:26" ht="14.25" customHeight="1" x14ac:dyDescent="0.3">
      <c r="A742" s="155">
        <v>501</v>
      </c>
      <c r="B742" s="156" t="s">
        <v>986</v>
      </c>
      <c r="C742" s="3"/>
      <c r="D742" s="3"/>
      <c r="E742" s="156"/>
      <c r="F742" s="3"/>
      <c r="G742" s="158">
        <v>216.66669999999999</v>
      </c>
      <c r="H742" s="155">
        <v>6</v>
      </c>
      <c r="I742" s="155">
        <v>1</v>
      </c>
      <c r="J742" s="156" t="s">
        <v>213</v>
      </c>
      <c r="K742" s="5"/>
      <c r="L742" s="3"/>
      <c r="M742" s="6"/>
      <c r="N742" s="9"/>
      <c r="O742" s="158">
        <v>1300</v>
      </c>
      <c r="P742" s="12"/>
      <c r="Q742" s="12"/>
      <c r="R742" s="12"/>
      <c r="S742" s="12"/>
      <c r="T742" s="12"/>
      <c r="U742" s="12"/>
      <c r="V742" s="12"/>
      <c r="W742" s="12"/>
      <c r="X742" s="12"/>
      <c r="Y742" s="12"/>
      <c r="Z742" s="12"/>
    </row>
    <row r="743" spans="1:26" ht="14.25" customHeight="1" x14ac:dyDescent="0.3">
      <c r="A743" s="155">
        <v>41</v>
      </c>
      <c r="B743" s="156" t="s">
        <v>235</v>
      </c>
      <c r="C743" s="3"/>
      <c r="D743" s="3"/>
      <c r="E743" s="156" t="s">
        <v>987</v>
      </c>
      <c r="F743" s="3"/>
      <c r="G743" s="158">
        <v>17.01333</v>
      </c>
      <c r="H743" s="155">
        <v>63</v>
      </c>
      <c r="I743" s="155">
        <v>120</v>
      </c>
      <c r="J743" s="156" t="s">
        <v>39</v>
      </c>
      <c r="K743" s="5"/>
      <c r="L743" s="3"/>
      <c r="M743" s="6"/>
      <c r="N743" s="9"/>
      <c r="O743" s="158">
        <v>1071.8399999999999</v>
      </c>
      <c r="P743" s="12"/>
      <c r="Q743" s="12"/>
      <c r="R743" s="12"/>
      <c r="S743" s="12"/>
      <c r="T743" s="12"/>
      <c r="U743" s="12"/>
      <c r="V743" s="12"/>
      <c r="W743" s="12"/>
      <c r="X743" s="12"/>
      <c r="Y743" s="12"/>
      <c r="Z743" s="12"/>
    </row>
    <row r="744" spans="1:26" ht="14.25" customHeight="1" x14ac:dyDescent="0.3">
      <c r="A744" s="155">
        <v>42</v>
      </c>
      <c r="B744" s="156" t="s">
        <v>237</v>
      </c>
      <c r="C744" s="3"/>
      <c r="D744" s="3"/>
      <c r="E744" s="156" t="s">
        <v>987</v>
      </c>
      <c r="F744" s="3"/>
      <c r="G744" s="158">
        <v>30.74541</v>
      </c>
      <c r="H744" s="155">
        <v>37</v>
      </c>
      <c r="I744" s="155">
        <v>10</v>
      </c>
      <c r="J744" s="156" t="s">
        <v>39</v>
      </c>
      <c r="K744" s="5"/>
      <c r="L744" s="3"/>
      <c r="M744" s="6"/>
      <c r="N744" s="9"/>
      <c r="O744" s="158">
        <v>1137.58</v>
      </c>
      <c r="P744" s="12"/>
      <c r="Q744" s="12"/>
      <c r="R744" s="12"/>
      <c r="S744" s="12"/>
      <c r="T744" s="12"/>
      <c r="U744" s="12"/>
      <c r="V744" s="12"/>
      <c r="W744" s="12"/>
      <c r="X744" s="12"/>
      <c r="Y744" s="12"/>
      <c r="Z744" s="12"/>
    </row>
    <row r="745" spans="1:26" ht="14.25" customHeight="1" x14ac:dyDescent="0.3">
      <c r="A745" s="155">
        <v>43</v>
      </c>
      <c r="B745" s="156" t="s">
        <v>518</v>
      </c>
      <c r="C745" s="3"/>
      <c r="D745" s="3"/>
      <c r="E745" s="156" t="s">
        <v>987</v>
      </c>
      <c r="F745" s="3"/>
      <c r="G745" s="158">
        <v>9.7656720000000004</v>
      </c>
      <c r="H745" s="155">
        <v>67</v>
      </c>
      <c r="I745" s="155">
        <v>60</v>
      </c>
      <c r="J745" s="156" t="s">
        <v>39</v>
      </c>
      <c r="K745" s="5"/>
      <c r="L745" s="3"/>
      <c r="M745" s="6"/>
      <c r="N745" s="9"/>
      <c r="O745" s="158">
        <v>654.29999999999995</v>
      </c>
      <c r="P745" s="12"/>
      <c r="Q745" s="12"/>
      <c r="R745" s="12"/>
      <c r="S745" s="12"/>
      <c r="T745" s="12"/>
      <c r="U745" s="12"/>
      <c r="V745" s="12"/>
      <c r="W745" s="12"/>
      <c r="X745" s="12"/>
      <c r="Y745" s="12"/>
      <c r="Z745" s="12"/>
    </row>
    <row r="746" spans="1:26" ht="14.25" customHeight="1" x14ac:dyDescent="0.3">
      <c r="A746" s="155">
        <v>502</v>
      </c>
      <c r="B746" s="156" t="s">
        <v>988</v>
      </c>
      <c r="C746" s="3"/>
      <c r="D746" s="3"/>
      <c r="E746" s="156" t="s">
        <v>989</v>
      </c>
      <c r="F746" s="3"/>
      <c r="G746" s="158">
        <v>0.35</v>
      </c>
      <c r="H746" s="155">
        <v>150</v>
      </c>
      <c r="I746" s="155">
        <v>1</v>
      </c>
      <c r="J746" s="156" t="s">
        <v>990</v>
      </c>
      <c r="K746" s="5"/>
      <c r="L746" s="3"/>
      <c r="M746" s="6"/>
      <c r="N746" s="9"/>
      <c r="O746" s="158">
        <v>52.5</v>
      </c>
      <c r="P746" s="12"/>
      <c r="Q746" s="12"/>
      <c r="R746" s="12"/>
      <c r="S746" s="12"/>
      <c r="T746" s="12"/>
      <c r="U746" s="12"/>
      <c r="V746" s="12"/>
      <c r="W746" s="12"/>
      <c r="X746" s="12"/>
      <c r="Y746" s="12"/>
      <c r="Z746" s="12"/>
    </row>
    <row r="747" spans="1:26" ht="14.25" customHeight="1" x14ac:dyDescent="0.3">
      <c r="A747" s="155">
        <v>502</v>
      </c>
      <c r="B747" s="156" t="s">
        <v>988</v>
      </c>
      <c r="C747" s="3"/>
      <c r="D747" s="3"/>
      <c r="E747" s="156" t="s">
        <v>991</v>
      </c>
      <c r="F747" s="3"/>
      <c r="G747" s="158">
        <v>25</v>
      </c>
      <c r="H747" s="155">
        <v>3</v>
      </c>
      <c r="I747" s="155">
        <v>1</v>
      </c>
      <c r="J747" s="156" t="s">
        <v>990</v>
      </c>
      <c r="K747" s="5"/>
      <c r="L747" s="3"/>
      <c r="M747" s="6"/>
      <c r="N747" s="9"/>
      <c r="O747" s="158">
        <v>75</v>
      </c>
      <c r="P747" s="12"/>
      <c r="Q747" s="12"/>
      <c r="R747" s="12"/>
      <c r="S747" s="12"/>
      <c r="T747" s="12"/>
      <c r="U747" s="12"/>
      <c r="V747" s="12"/>
      <c r="W747" s="12"/>
      <c r="X747" s="12"/>
      <c r="Y747" s="12"/>
      <c r="Z747" s="12"/>
    </row>
    <row r="748" spans="1:26" ht="14.25" customHeight="1" x14ac:dyDescent="0.3">
      <c r="A748" s="155">
        <v>503</v>
      </c>
      <c r="B748" s="156" t="s">
        <v>992</v>
      </c>
      <c r="C748" s="3"/>
      <c r="D748" s="3"/>
      <c r="E748" s="156"/>
      <c r="F748" s="3"/>
      <c r="G748" s="158">
        <v>11.307689999999999</v>
      </c>
      <c r="H748" s="155">
        <v>65</v>
      </c>
      <c r="I748" s="155">
        <v>1</v>
      </c>
      <c r="J748" s="156" t="s">
        <v>990</v>
      </c>
      <c r="K748" s="5"/>
      <c r="L748" s="3"/>
      <c r="M748" s="6"/>
      <c r="N748" s="9"/>
      <c r="O748" s="158">
        <v>735</v>
      </c>
      <c r="P748" s="12"/>
      <c r="Q748" s="12"/>
      <c r="R748" s="12"/>
      <c r="S748" s="12"/>
      <c r="T748" s="12"/>
      <c r="U748" s="12"/>
      <c r="V748" s="12"/>
      <c r="W748" s="12"/>
      <c r="X748" s="12"/>
      <c r="Y748" s="12"/>
      <c r="Z748" s="12"/>
    </row>
    <row r="749" spans="1:26" ht="14.25" customHeight="1" x14ac:dyDescent="0.3">
      <c r="A749" s="155">
        <v>504</v>
      </c>
      <c r="B749" s="156" t="s">
        <v>993</v>
      </c>
      <c r="C749" s="3"/>
      <c r="D749" s="3"/>
      <c r="E749" s="156" t="s">
        <v>989</v>
      </c>
      <c r="F749" s="3"/>
      <c r="G749" s="158">
        <v>1.2</v>
      </c>
      <c r="H749" s="155">
        <v>66</v>
      </c>
      <c r="I749" s="155">
        <v>1</v>
      </c>
      <c r="J749" s="156" t="s">
        <v>990</v>
      </c>
      <c r="K749" s="5"/>
      <c r="L749" s="3"/>
      <c r="M749" s="6"/>
      <c r="N749" s="9"/>
      <c r="O749" s="158">
        <v>79.2</v>
      </c>
      <c r="P749" s="12"/>
      <c r="Q749" s="12"/>
      <c r="R749" s="12"/>
      <c r="S749" s="12"/>
      <c r="T749" s="12"/>
      <c r="U749" s="12"/>
      <c r="V749" s="12"/>
      <c r="W749" s="12"/>
      <c r="X749" s="12"/>
      <c r="Y749" s="12"/>
      <c r="Z749" s="12"/>
    </row>
    <row r="750" spans="1:26" ht="14.25" customHeight="1" x14ac:dyDescent="0.3">
      <c r="A750" s="155">
        <v>505</v>
      </c>
      <c r="B750" s="156" t="s">
        <v>994</v>
      </c>
      <c r="C750" s="3"/>
      <c r="D750" s="3"/>
      <c r="E750" s="156" t="s">
        <v>989</v>
      </c>
      <c r="F750" s="3"/>
      <c r="G750" s="158">
        <v>0.4</v>
      </c>
      <c r="H750" s="155">
        <v>165</v>
      </c>
      <c r="I750" s="155">
        <v>1</v>
      </c>
      <c r="J750" s="156" t="s">
        <v>990</v>
      </c>
      <c r="K750" s="5"/>
      <c r="L750" s="3"/>
      <c r="M750" s="6"/>
      <c r="N750" s="9"/>
      <c r="O750" s="158">
        <v>66</v>
      </c>
      <c r="P750" s="12"/>
      <c r="Q750" s="12"/>
      <c r="R750" s="12"/>
      <c r="S750" s="12"/>
      <c r="T750" s="12"/>
      <c r="U750" s="12"/>
      <c r="V750" s="12"/>
      <c r="W750" s="12"/>
      <c r="X750" s="12"/>
      <c r="Y750" s="12"/>
      <c r="Z750" s="12"/>
    </row>
    <row r="751" spans="1:26" ht="14.25" customHeight="1" x14ac:dyDescent="0.3">
      <c r="A751" s="155">
        <v>506</v>
      </c>
      <c r="B751" s="156" t="s">
        <v>995</v>
      </c>
      <c r="C751" s="3"/>
      <c r="D751" s="3"/>
      <c r="E751" s="156" t="s">
        <v>989</v>
      </c>
      <c r="F751" s="3"/>
      <c r="G751" s="158">
        <v>55</v>
      </c>
      <c r="H751" s="155">
        <v>5</v>
      </c>
      <c r="I751" s="155">
        <v>1</v>
      </c>
      <c r="J751" s="156" t="s">
        <v>990</v>
      </c>
      <c r="K751" s="5"/>
      <c r="L751" s="3"/>
      <c r="M751" s="6"/>
      <c r="N751" s="9"/>
      <c r="O751" s="158">
        <v>275</v>
      </c>
      <c r="P751" s="12"/>
      <c r="Q751" s="12"/>
      <c r="R751" s="12"/>
      <c r="S751" s="12"/>
      <c r="T751" s="12"/>
      <c r="U751" s="12"/>
      <c r="V751" s="12"/>
      <c r="W751" s="12"/>
      <c r="X751" s="12"/>
      <c r="Y751" s="12"/>
      <c r="Z751" s="12"/>
    </row>
    <row r="752" spans="1:26" ht="14.25" customHeight="1" x14ac:dyDescent="0.3">
      <c r="A752" s="155">
        <v>507</v>
      </c>
      <c r="B752" s="156" t="s">
        <v>996</v>
      </c>
      <c r="C752" s="3"/>
      <c r="D752" s="3"/>
      <c r="E752" s="156" t="s">
        <v>989</v>
      </c>
      <c r="F752" s="3"/>
      <c r="G752" s="158">
        <v>0.5</v>
      </c>
      <c r="H752" s="155">
        <v>100</v>
      </c>
      <c r="I752" s="155">
        <v>1</v>
      </c>
      <c r="J752" s="156" t="s">
        <v>990</v>
      </c>
      <c r="K752" s="5"/>
      <c r="L752" s="3"/>
      <c r="M752" s="6"/>
      <c r="N752" s="9"/>
      <c r="O752" s="158">
        <v>50</v>
      </c>
      <c r="P752" s="12"/>
      <c r="Q752" s="12"/>
      <c r="R752" s="12"/>
      <c r="S752" s="12"/>
      <c r="T752" s="12"/>
      <c r="U752" s="12"/>
      <c r="V752" s="12"/>
      <c r="W752" s="12"/>
      <c r="X752" s="12"/>
      <c r="Y752" s="12"/>
      <c r="Z752" s="12"/>
    </row>
    <row r="753" spans="1:26" ht="14.25" customHeight="1" x14ac:dyDescent="0.3">
      <c r="A753" s="155">
        <v>507</v>
      </c>
      <c r="B753" s="156" t="s">
        <v>996</v>
      </c>
      <c r="C753" s="3"/>
      <c r="D753" s="3"/>
      <c r="E753" s="156" t="s">
        <v>991</v>
      </c>
      <c r="F753" s="3"/>
      <c r="G753" s="158">
        <v>44.6</v>
      </c>
      <c r="H753" s="155">
        <v>6</v>
      </c>
      <c r="I753" s="155">
        <v>1</v>
      </c>
      <c r="J753" s="156" t="s">
        <v>990</v>
      </c>
      <c r="K753" s="5"/>
      <c r="L753" s="3"/>
      <c r="M753" s="6"/>
      <c r="N753" s="9"/>
      <c r="O753" s="158">
        <v>267.60000000000002</v>
      </c>
      <c r="P753" s="12"/>
      <c r="Q753" s="12"/>
      <c r="R753" s="12"/>
      <c r="S753" s="12"/>
      <c r="T753" s="12"/>
      <c r="U753" s="12"/>
      <c r="V753" s="12"/>
      <c r="W753" s="12"/>
      <c r="X753" s="12"/>
      <c r="Y753" s="12"/>
      <c r="Z753" s="12"/>
    </row>
    <row r="754" spans="1:26" ht="14.25" customHeight="1" x14ac:dyDescent="0.3">
      <c r="A754" s="155">
        <v>508</v>
      </c>
      <c r="B754" s="156" t="s">
        <v>997</v>
      </c>
      <c r="C754" s="3"/>
      <c r="D754" s="3"/>
      <c r="E754" s="156" t="s">
        <v>989</v>
      </c>
      <c r="F754" s="3"/>
      <c r="G754" s="158">
        <v>75</v>
      </c>
      <c r="H754" s="155">
        <v>3</v>
      </c>
      <c r="I754" s="155">
        <v>1</v>
      </c>
      <c r="J754" s="156" t="s">
        <v>990</v>
      </c>
      <c r="K754" s="5"/>
      <c r="L754" s="3"/>
      <c r="M754" s="6"/>
      <c r="N754" s="9"/>
      <c r="O754" s="158">
        <v>225</v>
      </c>
      <c r="P754" s="12"/>
      <c r="Q754" s="12"/>
      <c r="R754" s="12"/>
      <c r="S754" s="12"/>
      <c r="T754" s="12"/>
      <c r="U754" s="12"/>
      <c r="V754" s="12"/>
      <c r="W754" s="12"/>
      <c r="X754" s="12"/>
      <c r="Y754" s="12"/>
      <c r="Z754" s="12"/>
    </row>
    <row r="755" spans="1:26" ht="14.25" customHeight="1" x14ac:dyDescent="0.3">
      <c r="A755" s="155">
        <v>509</v>
      </c>
      <c r="B755" s="156" t="s">
        <v>998</v>
      </c>
      <c r="C755" s="3"/>
      <c r="D755" s="3"/>
      <c r="E755" s="156" t="s">
        <v>999</v>
      </c>
      <c r="F755" s="3"/>
      <c r="G755" s="158">
        <v>115</v>
      </c>
      <c r="H755" s="155">
        <v>1</v>
      </c>
      <c r="I755" s="155">
        <v>1</v>
      </c>
      <c r="J755" s="156" t="s">
        <v>213</v>
      </c>
      <c r="K755" s="5"/>
      <c r="L755" s="3"/>
      <c r="M755" s="6"/>
      <c r="N755" s="9"/>
      <c r="O755" s="158">
        <v>115</v>
      </c>
      <c r="P755" s="12"/>
      <c r="Q755" s="12"/>
      <c r="R755" s="12"/>
      <c r="S755" s="12"/>
      <c r="T755" s="12"/>
      <c r="U755" s="12"/>
      <c r="V755" s="12"/>
      <c r="W755" s="12"/>
      <c r="X755" s="12"/>
      <c r="Y755" s="12"/>
      <c r="Z755" s="12"/>
    </row>
    <row r="756" spans="1:26" ht="14.25" customHeight="1" x14ac:dyDescent="0.3">
      <c r="A756" s="155">
        <v>509</v>
      </c>
      <c r="B756" s="156" t="s">
        <v>998</v>
      </c>
      <c r="C756" s="3"/>
      <c r="D756" s="3"/>
      <c r="E756" s="156" t="s">
        <v>1000</v>
      </c>
      <c r="F756" s="3"/>
      <c r="G756" s="158">
        <v>160</v>
      </c>
      <c r="H756" s="155">
        <v>2</v>
      </c>
      <c r="I756" s="155">
        <v>1</v>
      </c>
      <c r="J756" s="156" t="s">
        <v>213</v>
      </c>
      <c r="K756" s="5"/>
      <c r="L756" s="3"/>
      <c r="M756" s="6"/>
      <c r="N756" s="9"/>
      <c r="O756" s="158">
        <v>320</v>
      </c>
      <c r="P756" s="12"/>
      <c r="Q756" s="12"/>
      <c r="R756" s="12"/>
      <c r="S756" s="12"/>
      <c r="T756" s="12"/>
      <c r="U756" s="12"/>
      <c r="V756" s="12"/>
      <c r="W756" s="12"/>
      <c r="X756" s="12"/>
      <c r="Y756" s="12"/>
      <c r="Z756" s="12"/>
    </row>
    <row r="757" spans="1:26" ht="14.25" customHeight="1" x14ac:dyDescent="0.3">
      <c r="A757" s="155">
        <v>509</v>
      </c>
      <c r="B757" s="156" t="s">
        <v>998</v>
      </c>
      <c r="C757" s="3"/>
      <c r="D757" s="3"/>
      <c r="E757" s="156" t="s">
        <v>904</v>
      </c>
      <c r="F757" s="3"/>
      <c r="G757" s="158">
        <v>126</v>
      </c>
      <c r="H757" s="155">
        <v>1</v>
      </c>
      <c r="I757" s="155">
        <v>1</v>
      </c>
      <c r="J757" s="156" t="s">
        <v>39</v>
      </c>
      <c r="K757" s="5"/>
      <c r="L757" s="3"/>
      <c r="M757" s="6"/>
      <c r="N757" s="9"/>
      <c r="O757" s="158">
        <v>126</v>
      </c>
      <c r="P757" s="12"/>
      <c r="Q757" s="12"/>
      <c r="R757" s="12"/>
      <c r="S757" s="12"/>
      <c r="T757" s="12"/>
      <c r="U757" s="12"/>
      <c r="V757" s="12"/>
      <c r="W757" s="12"/>
      <c r="X757" s="12"/>
      <c r="Y757" s="12"/>
      <c r="Z757" s="12"/>
    </row>
    <row r="758" spans="1:26" ht="14.25" customHeight="1" x14ac:dyDescent="0.3">
      <c r="A758" s="155">
        <v>510</v>
      </c>
      <c r="B758" s="156" t="s">
        <v>1001</v>
      </c>
      <c r="C758" s="3"/>
      <c r="D758" s="3"/>
      <c r="E758" s="156"/>
      <c r="F758" s="3"/>
      <c r="G758" s="158">
        <v>46</v>
      </c>
      <c r="H758" s="155">
        <v>1</v>
      </c>
      <c r="I758" s="155">
        <v>1</v>
      </c>
      <c r="J758" s="156" t="s">
        <v>92</v>
      </c>
      <c r="K758" s="5"/>
      <c r="L758" s="3"/>
      <c r="M758" s="6"/>
      <c r="N758" s="9"/>
      <c r="O758" s="158">
        <v>46</v>
      </c>
      <c r="P758" s="12"/>
      <c r="Q758" s="12"/>
      <c r="R758" s="12"/>
      <c r="S758" s="12"/>
      <c r="T758" s="12"/>
      <c r="U758" s="12"/>
      <c r="V758" s="12"/>
      <c r="W758" s="12"/>
      <c r="X758" s="12"/>
      <c r="Y758" s="12"/>
      <c r="Z758" s="12"/>
    </row>
    <row r="759" spans="1:26" ht="14.25" customHeight="1" x14ac:dyDescent="0.3">
      <c r="A759" s="155">
        <v>511</v>
      </c>
      <c r="B759" s="156" t="s">
        <v>1002</v>
      </c>
      <c r="C759" s="3"/>
      <c r="D759" s="3"/>
      <c r="E759" s="156"/>
      <c r="F759" s="3"/>
      <c r="G759" s="158">
        <v>260</v>
      </c>
      <c r="H759" s="155">
        <v>1</v>
      </c>
      <c r="I759" s="155">
        <v>1</v>
      </c>
      <c r="J759" s="156" t="s">
        <v>213</v>
      </c>
      <c r="K759" s="5"/>
      <c r="L759" s="3"/>
      <c r="M759" s="6"/>
      <c r="N759" s="9"/>
      <c r="O759" s="158">
        <v>260</v>
      </c>
      <c r="P759" s="12"/>
      <c r="Q759" s="12"/>
      <c r="R759" s="12"/>
      <c r="S759" s="12"/>
      <c r="T759" s="12"/>
      <c r="U759" s="12"/>
      <c r="V759" s="12"/>
      <c r="W759" s="12"/>
      <c r="X759" s="12"/>
      <c r="Y759" s="12"/>
      <c r="Z759" s="12"/>
    </row>
    <row r="760" spans="1:26" ht="14.25" customHeight="1" x14ac:dyDescent="0.3">
      <c r="A760" s="155">
        <v>512</v>
      </c>
      <c r="B760" s="156" t="s">
        <v>1003</v>
      </c>
      <c r="C760" s="3"/>
      <c r="D760" s="3"/>
      <c r="E760" s="156" t="s">
        <v>1004</v>
      </c>
      <c r="F760" s="3"/>
      <c r="G760" s="158">
        <v>5</v>
      </c>
      <c r="H760" s="155">
        <v>120</v>
      </c>
      <c r="I760" s="155">
        <v>1</v>
      </c>
      <c r="J760" s="156" t="s">
        <v>92</v>
      </c>
      <c r="K760" s="5"/>
      <c r="L760" s="3"/>
      <c r="M760" s="6"/>
      <c r="N760" s="9"/>
      <c r="O760" s="158">
        <v>600</v>
      </c>
      <c r="P760" s="12"/>
      <c r="Q760" s="12"/>
      <c r="R760" s="12"/>
      <c r="S760" s="12"/>
      <c r="T760" s="12"/>
      <c r="U760" s="12"/>
      <c r="V760" s="12"/>
      <c r="W760" s="12"/>
      <c r="X760" s="12"/>
      <c r="Y760" s="12"/>
      <c r="Z760" s="12"/>
    </row>
    <row r="761" spans="1:26" ht="14.25" customHeight="1" x14ac:dyDescent="0.3">
      <c r="A761" s="155">
        <v>513</v>
      </c>
      <c r="B761" s="156" t="s">
        <v>1005</v>
      </c>
      <c r="C761" s="3"/>
      <c r="D761" s="3"/>
      <c r="E761" s="156" t="s">
        <v>1006</v>
      </c>
      <c r="F761" s="3"/>
      <c r="G761" s="158">
        <v>135.22219999999999</v>
      </c>
      <c r="H761" s="155">
        <v>9</v>
      </c>
      <c r="I761" s="155">
        <v>912</v>
      </c>
      <c r="J761" s="156" t="s">
        <v>39</v>
      </c>
      <c r="K761" s="5"/>
      <c r="L761" s="3"/>
      <c r="M761" s="6"/>
      <c r="N761" s="9"/>
      <c r="O761" s="158">
        <v>1217</v>
      </c>
      <c r="P761" s="12"/>
      <c r="Q761" s="12"/>
      <c r="R761" s="12"/>
      <c r="S761" s="12"/>
      <c r="T761" s="12"/>
      <c r="U761" s="12"/>
      <c r="V761" s="12"/>
      <c r="W761" s="12"/>
      <c r="X761" s="12"/>
      <c r="Y761" s="12"/>
      <c r="Z761" s="12"/>
    </row>
    <row r="762" spans="1:26" ht="14.25" customHeight="1" x14ac:dyDescent="0.3">
      <c r="A762" s="155">
        <v>514</v>
      </c>
      <c r="B762" s="156" t="s">
        <v>1007</v>
      </c>
      <c r="C762" s="3"/>
      <c r="D762" s="3"/>
      <c r="E762" s="156" t="s">
        <v>1008</v>
      </c>
      <c r="F762" s="3"/>
      <c r="G762" s="158">
        <v>54</v>
      </c>
      <c r="H762" s="155">
        <v>4</v>
      </c>
      <c r="I762" s="155">
        <v>200</v>
      </c>
      <c r="J762" s="156" t="s">
        <v>39</v>
      </c>
      <c r="K762" s="5"/>
      <c r="L762" s="3"/>
      <c r="M762" s="6"/>
      <c r="N762" s="9"/>
      <c r="O762" s="158">
        <v>216</v>
      </c>
      <c r="P762" s="12"/>
      <c r="Q762" s="12"/>
      <c r="R762" s="12"/>
      <c r="S762" s="12"/>
      <c r="T762" s="12"/>
      <c r="U762" s="12"/>
      <c r="V762" s="12"/>
      <c r="W762" s="12"/>
      <c r="X762" s="12"/>
      <c r="Y762" s="12"/>
      <c r="Z762" s="12"/>
    </row>
    <row r="763" spans="1:26" ht="14.25" customHeight="1" x14ac:dyDescent="0.3">
      <c r="A763" s="155">
        <v>514</v>
      </c>
      <c r="B763" s="156" t="s">
        <v>1007</v>
      </c>
      <c r="C763" s="3"/>
      <c r="D763" s="3"/>
      <c r="E763" s="156" t="s">
        <v>1009</v>
      </c>
      <c r="F763" s="3"/>
      <c r="G763" s="158">
        <v>52</v>
      </c>
      <c r="H763" s="155">
        <v>4</v>
      </c>
      <c r="I763" s="155">
        <v>200</v>
      </c>
      <c r="J763" s="156" t="s">
        <v>39</v>
      </c>
      <c r="K763" s="5"/>
      <c r="L763" s="3"/>
      <c r="M763" s="6"/>
      <c r="N763" s="9"/>
      <c r="O763" s="158">
        <v>208</v>
      </c>
      <c r="P763" s="12"/>
      <c r="Q763" s="12"/>
      <c r="R763" s="12"/>
      <c r="S763" s="12"/>
      <c r="T763" s="12"/>
      <c r="U763" s="12"/>
      <c r="V763" s="12"/>
      <c r="W763" s="12"/>
      <c r="X763" s="12"/>
      <c r="Y763" s="12"/>
      <c r="Z763" s="12"/>
    </row>
    <row r="764" spans="1:26" ht="14.25" customHeight="1" x14ac:dyDescent="0.3">
      <c r="A764" s="155">
        <v>515</v>
      </c>
      <c r="B764" s="156" t="s">
        <v>1010</v>
      </c>
      <c r="C764" s="3"/>
      <c r="D764" s="3"/>
      <c r="E764" s="156" t="s">
        <v>1011</v>
      </c>
      <c r="F764" s="3"/>
      <c r="G764" s="158">
        <v>62.5</v>
      </c>
      <c r="H764" s="155">
        <v>1</v>
      </c>
      <c r="I764" s="155">
        <v>400</v>
      </c>
      <c r="J764" s="156" t="s">
        <v>39</v>
      </c>
      <c r="K764" s="5"/>
      <c r="L764" s="3"/>
      <c r="M764" s="6"/>
      <c r="N764" s="9"/>
      <c r="O764" s="158">
        <v>62.5</v>
      </c>
      <c r="P764" s="12"/>
      <c r="Q764" s="12"/>
      <c r="R764" s="12"/>
      <c r="S764" s="12"/>
      <c r="T764" s="12"/>
      <c r="U764" s="12"/>
      <c r="V764" s="12"/>
      <c r="W764" s="12"/>
      <c r="X764" s="12"/>
      <c r="Y764" s="12"/>
      <c r="Z764" s="12"/>
    </row>
    <row r="765" spans="1:26" ht="14.25" customHeight="1" x14ac:dyDescent="0.3">
      <c r="A765" s="155">
        <v>47</v>
      </c>
      <c r="B765" s="156" t="s">
        <v>168</v>
      </c>
      <c r="C765" s="3"/>
      <c r="D765" s="3"/>
      <c r="E765" s="156" t="s">
        <v>865</v>
      </c>
      <c r="F765" s="3"/>
      <c r="G765" s="158">
        <v>56.9</v>
      </c>
      <c r="H765" s="155">
        <v>6</v>
      </c>
      <c r="I765" s="155">
        <v>156</v>
      </c>
      <c r="J765" s="156" t="s">
        <v>519</v>
      </c>
      <c r="K765" s="5"/>
      <c r="L765" s="3"/>
      <c r="M765" s="6"/>
      <c r="N765" s="9"/>
      <c r="O765" s="158">
        <v>341.4</v>
      </c>
      <c r="P765" s="12"/>
      <c r="Q765" s="12"/>
      <c r="R765" s="12"/>
      <c r="S765" s="12"/>
      <c r="T765" s="12"/>
      <c r="U765" s="12"/>
      <c r="V765" s="12"/>
      <c r="W765" s="12"/>
      <c r="X765" s="12"/>
      <c r="Y765" s="12"/>
      <c r="Z765" s="12"/>
    </row>
    <row r="766" spans="1:26" ht="14.25" customHeight="1" x14ac:dyDescent="0.3">
      <c r="A766" s="155">
        <v>47</v>
      </c>
      <c r="B766" s="156" t="s">
        <v>168</v>
      </c>
      <c r="C766" s="3"/>
      <c r="D766" s="3"/>
      <c r="E766" s="156" t="s">
        <v>982</v>
      </c>
      <c r="F766" s="3"/>
      <c r="G766" s="158">
        <v>50</v>
      </c>
      <c r="H766" s="155">
        <v>8</v>
      </c>
      <c r="I766" s="155">
        <v>156</v>
      </c>
      <c r="J766" s="156" t="s">
        <v>519</v>
      </c>
      <c r="K766" s="5"/>
      <c r="L766" s="3"/>
      <c r="M766" s="6"/>
      <c r="N766" s="9"/>
      <c r="O766" s="158">
        <v>400</v>
      </c>
      <c r="P766" s="12"/>
      <c r="Q766" s="12"/>
      <c r="R766" s="12"/>
      <c r="S766" s="12"/>
      <c r="T766" s="12"/>
      <c r="U766" s="12"/>
      <c r="V766" s="12"/>
      <c r="W766" s="12"/>
      <c r="X766" s="12"/>
      <c r="Y766" s="12"/>
      <c r="Z766" s="12"/>
    </row>
    <row r="767" spans="1:26" ht="14.25" customHeight="1" x14ac:dyDescent="0.3">
      <c r="A767" s="155">
        <v>47</v>
      </c>
      <c r="B767" s="156" t="s">
        <v>168</v>
      </c>
      <c r="C767" s="3"/>
      <c r="D767" s="3"/>
      <c r="E767" s="156" t="s">
        <v>982</v>
      </c>
      <c r="F767" s="3"/>
      <c r="G767" s="158">
        <v>50</v>
      </c>
      <c r="H767" s="155">
        <v>29</v>
      </c>
      <c r="I767" s="155">
        <v>156</v>
      </c>
      <c r="J767" s="156" t="s">
        <v>39</v>
      </c>
      <c r="K767" s="5"/>
      <c r="L767" s="3"/>
      <c r="M767" s="6"/>
      <c r="N767" s="9"/>
      <c r="O767" s="158">
        <v>1450</v>
      </c>
      <c r="P767" s="12"/>
      <c r="Q767" s="12"/>
      <c r="R767" s="12"/>
      <c r="S767" s="12"/>
      <c r="T767" s="12"/>
      <c r="U767" s="12"/>
      <c r="V767" s="12"/>
      <c r="W767" s="12"/>
      <c r="X767" s="12"/>
      <c r="Y767" s="12"/>
      <c r="Z767" s="12"/>
    </row>
    <row r="768" spans="1:26" ht="14.25" customHeight="1" x14ac:dyDescent="0.3">
      <c r="A768" s="155">
        <v>49</v>
      </c>
      <c r="B768" s="156" t="s">
        <v>450</v>
      </c>
      <c r="C768" s="3"/>
      <c r="D768" s="3"/>
      <c r="E768" s="156"/>
      <c r="F768" s="3"/>
      <c r="G768" s="158">
        <v>74.916669999999996</v>
      </c>
      <c r="H768" s="155">
        <v>12</v>
      </c>
      <c r="I768" s="155">
        <v>1</v>
      </c>
      <c r="J768" s="156" t="s">
        <v>213</v>
      </c>
      <c r="K768" s="5"/>
      <c r="L768" s="3"/>
      <c r="M768" s="6"/>
      <c r="N768" s="9"/>
      <c r="O768" s="158">
        <v>899</v>
      </c>
      <c r="P768" s="12"/>
      <c r="Q768" s="12"/>
      <c r="R768" s="12"/>
      <c r="S768" s="12"/>
      <c r="T768" s="12"/>
      <c r="U768" s="12"/>
      <c r="V768" s="12"/>
      <c r="W768" s="12"/>
      <c r="X768" s="12"/>
      <c r="Y768" s="12"/>
      <c r="Z768" s="12"/>
    </row>
    <row r="769" spans="1:26" ht="14.25" customHeight="1" x14ac:dyDescent="0.3">
      <c r="A769" s="155">
        <v>516</v>
      </c>
      <c r="B769" s="156" t="s">
        <v>1012</v>
      </c>
      <c r="C769" s="3"/>
      <c r="D769" s="3"/>
      <c r="E769" s="156" t="s">
        <v>1013</v>
      </c>
      <c r="F769" s="3"/>
      <c r="G769" s="158">
        <v>152.25</v>
      </c>
      <c r="H769" s="155">
        <v>1</v>
      </c>
      <c r="I769" s="155">
        <v>236</v>
      </c>
      <c r="J769" s="156" t="s">
        <v>32</v>
      </c>
      <c r="K769" s="5"/>
      <c r="L769" s="3"/>
      <c r="M769" s="6"/>
      <c r="N769" s="9"/>
      <c r="O769" s="158">
        <v>152.25</v>
      </c>
      <c r="P769" s="12"/>
      <c r="Q769" s="12"/>
      <c r="R769" s="12"/>
      <c r="S769" s="12"/>
      <c r="T769" s="12"/>
      <c r="U769" s="12"/>
      <c r="V769" s="12"/>
      <c r="W769" s="12"/>
      <c r="X769" s="12"/>
      <c r="Y769" s="12"/>
      <c r="Z769" s="12"/>
    </row>
    <row r="770" spans="1:26" ht="14.25" customHeight="1" x14ac:dyDescent="0.3">
      <c r="A770" s="155">
        <v>517</v>
      </c>
      <c r="B770" s="156" t="s">
        <v>1014</v>
      </c>
      <c r="C770" s="3"/>
      <c r="D770" s="3"/>
      <c r="E770" s="156" t="s">
        <v>854</v>
      </c>
      <c r="F770" s="3"/>
      <c r="G770" s="158">
        <v>51.125</v>
      </c>
      <c r="H770" s="155">
        <v>2</v>
      </c>
      <c r="I770" s="155">
        <v>45</v>
      </c>
      <c r="J770" s="156" t="s">
        <v>39</v>
      </c>
      <c r="K770" s="5"/>
      <c r="L770" s="3"/>
      <c r="M770" s="6"/>
      <c r="N770" s="9"/>
      <c r="O770" s="158">
        <v>102.25</v>
      </c>
      <c r="P770" s="12"/>
      <c r="Q770" s="12"/>
      <c r="R770" s="12"/>
      <c r="S770" s="12"/>
      <c r="T770" s="12"/>
      <c r="U770" s="12"/>
      <c r="V770" s="12"/>
      <c r="W770" s="12"/>
      <c r="X770" s="12"/>
      <c r="Y770" s="12"/>
      <c r="Z770" s="12"/>
    </row>
    <row r="771" spans="1:26" ht="14.25" customHeight="1" x14ac:dyDescent="0.3">
      <c r="A771" s="155">
        <v>518</v>
      </c>
      <c r="B771" s="156" t="s">
        <v>1015</v>
      </c>
      <c r="C771" s="3"/>
      <c r="D771" s="3"/>
      <c r="E771" s="156" t="s">
        <v>1016</v>
      </c>
      <c r="F771" s="3"/>
      <c r="G771" s="158">
        <v>7.43</v>
      </c>
      <c r="H771" s="155">
        <v>30</v>
      </c>
      <c r="I771" s="155">
        <v>38</v>
      </c>
      <c r="J771" s="156" t="s">
        <v>39</v>
      </c>
      <c r="K771" s="5"/>
      <c r="L771" s="3"/>
      <c r="M771" s="6"/>
      <c r="N771" s="9"/>
      <c r="O771" s="158">
        <v>222.9</v>
      </c>
      <c r="P771" s="12"/>
      <c r="Q771" s="12"/>
      <c r="R771" s="12"/>
      <c r="S771" s="12"/>
      <c r="T771" s="12"/>
      <c r="U771" s="12"/>
      <c r="V771" s="12"/>
      <c r="W771" s="12"/>
      <c r="X771" s="12"/>
      <c r="Y771" s="12"/>
      <c r="Z771" s="12"/>
    </row>
    <row r="772" spans="1:26" ht="14.25" customHeight="1" x14ac:dyDescent="0.3">
      <c r="A772" s="155">
        <v>518</v>
      </c>
      <c r="B772" s="156" t="s">
        <v>1015</v>
      </c>
      <c r="C772" s="3"/>
      <c r="D772" s="3"/>
      <c r="E772" s="156" t="s">
        <v>1017</v>
      </c>
      <c r="F772" s="3"/>
      <c r="G772" s="158">
        <v>7</v>
      </c>
      <c r="H772" s="155">
        <v>50</v>
      </c>
      <c r="I772" s="155">
        <v>38</v>
      </c>
      <c r="J772" s="156" t="s">
        <v>39</v>
      </c>
      <c r="K772" s="5"/>
      <c r="L772" s="3"/>
      <c r="M772" s="6"/>
      <c r="N772" s="9"/>
      <c r="O772" s="158">
        <v>350</v>
      </c>
      <c r="P772" s="12"/>
      <c r="Q772" s="12"/>
      <c r="R772" s="12"/>
      <c r="S772" s="12"/>
      <c r="T772" s="12"/>
      <c r="U772" s="12"/>
      <c r="V772" s="12"/>
      <c r="W772" s="12"/>
      <c r="X772" s="12"/>
      <c r="Y772" s="12"/>
      <c r="Z772" s="12"/>
    </row>
    <row r="773" spans="1:26" ht="14.25" customHeight="1" x14ac:dyDescent="0.3">
      <c r="A773" s="155">
        <v>518</v>
      </c>
      <c r="B773" s="156" t="s">
        <v>1015</v>
      </c>
      <c r="C773" s="3"/>
      <c r="D773" s="3"/>
      <c r="E773" s="156" t="s">
        <v>1018</v>
      </c>
      <c r="F773" s="3"/>
      <c r="G773" s="158">
        <v>8.42</v>
      </c>
      <c r="H773" s="155">
        <v>30</v>
      </c>
      <c r="I773" s="155">
        <v>38</v>
      </c>
      <c r="J773" s="156" t="s">
        <v>39</v>
      </c>
      <c r="K773" s="5"/>
      <c r="L773" s="3"/>
      <c r="M773" s="6"/>
      <c r="N773" s="9"/>
      <c r="O773" s="158">
        <v>252.6</v>
      </c>
      <c r="P773" s="12"/>
      <c r="Q773" s="12"/>
      <c r="R773" s="12"/>
      <c r="S773" s="12"/>
      <c r="T773" s="12"/>
      <c r="U773" s="12"/>
      <c r="V773" s="12"/>
      <c r="W773" s="12"/>
      <c r="X773" s="12"/>
      <c r="Y773" s="12"/>
      <c r="Z773" s="12"/>
    </row>
    <row r="774" spans="1:26" ht="14.25" customHeight="1" x14ac:dyDescent="0.3">
      <c r="A774" s="155">
        <v>518</v>
      </c>
      <c r="B774" s="156" t="s">
        <v>1015</v>
      </c>
      <c r="C774" s="3"/>
      <c r="D774" s="3"/>
      <c r="E774" s="156" t="s">
        <v>1019</v>
      </c>
      <c r="F774" s="3"/>
      <c r="G774" s="158">
        <v>7</v>
      </c>
      <c r="H774" s="155">
        <v>83</v>
      </c>
      <c r="I774" s="155">
        <v>38</v>
      </c>
      <c r="J774" s="156" t="s">
        <v>39</v>
      </c>
      <c r="K774" s="5"/>
      <c r="L774" s="3"/>
      <c r="M774" s="6"/>
      <c r="N774" s="9"/>
      <c r="O774" s="158">
        <v>581</v>
      </c>
      <c r="P774" s="12"/>
      <c r="Q774" s="12"/>
      <c r="R774" s="12"/>
      <c r="S774" s="12"/>
      <c r="T774" s="12"/>
      <c r="U774" s="12"/>
      <c r="V774" s="12"/>
      <c r="W774" s="12"/>
      <c r="X774" s="12"/>
      <c r="Y774" s="12"/>
      <c r="Z774" s="12"/>
    </row>
    <row r="775" spans="1:26" ht="14.25" customHeight="1" x14ac:dyDescent="0.3">
      <c r="A775" s="155">
        <v>518</v>
      </c>
      <c r="B775" s="156" t="s">
        <v>1015</v>
      </c>
      <c r="C775" s="3"/>
      <c r="D775" s="3"/>
      <c r="E775" s="156" t="s">
        <v>1020</v>
      </c>
      <c r="F775" s="3"/>
      <c r="G775" s="158">
        <v>7.43</v>
      </c>
      <c r="H775" s="155">
        <v>20</v>
      </c>
      <c r="I775" s="155">
        <v>38</v>
      </c>
      <c r="J775" s="156" t="s">
        <v>39</v>
      </c>
      <c r="K775" s="5"/>
      <c r="L775" s="3"/>
      <c r="M775" s="6"/>
      <c r="N775" s="9"/>
      <c r="O775" s="158">
        <v>148.6</v>
      </c>
      <c r="P775" s="12"/>
      <c r="Q775" s="12"/>
      <c r="R775" s="12"/>
      <c r="S775" s="12"/>
      <c r="T775" s="12"/>
      <c r="U775" s="12"/>
      <c r="V775" s="12"/>
      <c r="W775" s="12"/>
      <c r="X775" s="12"/>
      <c r="Y775" s="12"/>
      <c r="Z775" s="12"/>
    </row>
    <row r="776" spans="1:26" ht="14.25" customHeight="1" x14ac:dyDescent="0.3">
      <c r="A776" s="155">
        <v>51</v>
      </c>
      <c r="B776" s="156" t="s">
        <v>50</v>
      </c>
      <c r="C776" s="3"/>
      <c r="D776" s="3"/>
      <c r="E776" s="156" t="s">
        <v>991</v>
      </c>
      <c r="F776" s="3"/>
      <c r="G776" s="158">
        <v>50</v>
      </c>
      <c r="H776" s="155">
        <v>5</v>
      </c>
      <c r="I776" s="155">
        <v>1000</v>
      </c>
      <c r="J776" s="156" t="s">
        <v>213</v>
      </c>
      <c r="K776" s="5"/>
      <c r="L776" s="3"/>
      <c r="M776" s="6"/>
      <c r="N776" s="9"/>
      <c r="O776" s="158">
        <v>250</v>
      </c>
      <c r="P776" s="12"/>
      <c r="Q776" s="12"/>
      <c r="R776" s="12"/>
      <c r="S776" s="12"/>
      <c r="T776" s="12"/>
      <c r="U776" s="12"/>
      <c r="V776" s="12"/>
      <c r="W776" s="12"/>
      <c r="X776" s="12"/>
      <c r="Y776" s="12"/>
      <c r="Z776" s="12"/>
    </row>
    <row r="777" spans="1:26" ht="14.25" customHeight="1" x14ac:dyDescent="0.3">
      <c r="A777" s="155">
        <v>519</v>
      </c>
      <c r="B777" s="156" t="s">
        <v>1021</v>
      </c>
      <c r="C777" s="3"/>
      <c r="D777" s="3"/>
      <c r="E777" s="156"/>
      <c r="F777" s="3"/>
      <c r="G777" s="158">
        <v>90</v>
      </c>
      <c r="H777" s="155">
        <v>1</v>
      </c>
      <c r="I777" s="155">
        <v>1</v>
      </c>
      <c r="J777" s="156" t="s">
        <v>213</v>
      </c>
      <c r="K777" s="5"/>
      <c r="L777" s="3"/>
      <c r="M777" s="6"/>
      <c r="N777" s="9"/>
      <c r="O777" s="158">
        <v>90</v>
      </c>
      <c r="P777" s="12"/>
      <c r="Q777" s="12"/>
      <c r="R777" s="12"/>
      <c r="S777" s="12"/>
      <c r="T777" s="12"/>
      <c r="U777" s="12"/>
      <c r="V777" s="12"/>
      <c r="W777" s="12"/>
      <c r="X777" s="12"/>
      <c r="Y777" s="12"/>
      <c r="Z777" s="12"/>
    </row>
    <row r="778" spans="1:26" ht="14.25" customHeight="1" x14ac:dyDescent="0.3">
      <c r="A778" s="155">
        <v>519</v>
      </c>
      <c r="B778" s="156" t="s">
        <v>1021</v>
      </c>
      <c r="C778" s="3"/>
      <c r="D778" s="3"/>
      <c r="E778" s="156" t="s">
        <v>216</v>
      </c>
      <c r="F778" s="3"/>
      <c r="G778" s="158">
        <v>180</v>
      </c>
      <c r="H778" s="155">
        <v>3</v>
      </c>
      <c r="I778" s="155">
        <v>1</v>
      </c>
      <c r="J778" s="156" t="s">
        <v>39</v>
      </c>
      <c r="K778" s="5"/>
      <c r="L778" s="3"/>
      <c r="M778" s="6"/>
      <c r="N778" s="9"/>
      <c r="O778" s="158">
        <v>540</v>
      </c>
      <c r="P778" s="12"/>
      <c r="Q778" s="12"/>
      <c r="R778" s="12"/>
      <c r="S778" s="12"/>
      <c r="T778" s="12"/>
      <c r="U778" s="12"/>
      <c r="V778" s="12"/>
      <c r="W778" s="12"/>
      <c r="X778" s="12"/>
      <c r="Y778" s="12"/>
      <c r="Z778" s="12"/>
    </row>
    <row r="779" spans="1:26" ht="14.25" customHeight="1" x14ac:dyDescent="0.3">
      <c r="A779" s="155">
        <v>519</v>
      </c>
      <c r="B779" s="156" t="s">
        <v>1021</v>
      </c>
      <c r="C779" s="3"/>
      <c r="D779" s="3"/>
      <c r="E779" s="156"/>
      <c r="F779" s="3"/>
      <c r="G779" s="158">
        <v>45</v>
      </c>
      <c r="H779" s="155">
        <v>4</v>
      </c>
      <c r="I779" s="155">
        <v>1</v>
      </c>
      <c r="J779" s="156" t="s">
        <v>39</v>
      </c>
      <c r="K779" s="5"/>
      <c r="L779" s="3"/>
      <c r="M779" s="6"/>
      <c r="N779" s="9"/>
      <c r="O779" s="158">
        <v>180</v>
      </c>
      <c r="P779" s="12"/>
      <c r="Q779" s="12"/>
      <c r="R779" s="12"/>
      <c r="S779" s="12"/>
      <c r="T779" s="12"/>
      <c r="U779" s="12"/>
      <c r="V779" s="12"/>
      <c r="W779" s="12"/>
      <c r="X779" s="12"/>
      <c r="Y779" s="12"/>
      <c r="Z779" s="12"/>
    </row>
    <row r="780" spans="1:26" ht="14.25" customHeight="1" x14ac:dyDescent="0.3">
      <c r="A780" s="155">
        <v>520</v>
      </c>
      <c r="B780" s="156" t="s">
        <v>1022</v>
      </c>
      <c r="C780" s="3"/>
      <c r="D780" s="3"/>
      <c r="E780" s="156" t="s">
        <v>1023</v>
      </c>
      <c r="F780" s="3"/>
      <c r="G780" s="158">
        <v>0.71</v>
      </c>
      <c r="H780" s="155">
        <v>343</v>
      </c>
      <c r="I780" s="155">
        <v>1</v>
      </c>
      <c r="J780" s="156" t="s">
        <v>92</v>
      </c>
      <c r="K780" s="5"/>
      <c r="L780" s="3"/>
      <c r="M780" s="6"/>
      <c r="N780" s="9"/>
      <c r="O780" s="158">
        <v>243.53</v>
      </c>
      <c r="P780" s="12"/>
      <c r="Q780" s="12"/>
      <c r="R780" s="12"/>
      <c r="S780" s="12"/>
      <c r="T780" s="12"/>
      <c r="U780" s="12"/>
      <c r="V780" s="12"/>
      <c r="W780" s="12"/>
      <c r="X780" s="12"/>
      <c r="Y780" s="12"/>
      <c r="Z780" s="12"/>
    </row>
    <row r="781" spans="1:26" ht="14.25" customHeight="1" x14ac:dyDescent="0.3">
      <c r="A781" s="155">
        <v>521</v>
      </c>
      <c r="B781" s="156" t="s">
        <v>1024</v>
      </c>
      <c r="C781" s="3"/>
      <c r="D781" s="3"/>
      <c r="E781" s="156" t="s">
        <v>1025</v>
      </c>
      <c r="F781" s="3"/>
      <c r="G781" s="158">
        <v>0.78</v>
      </c>
      <c r="H781" s="155">
        <v>50</v>
      </c>
      <c r="I781" s="155">
        <v>1</v>
      </c>
      <c r="J781" s="156" t="s">
        <v>92</v>
      </c>
      <c r="K781" s="5"/>
      <c r="L781" s="3"/>
      <c r="M781" s="6"/>
      <c r="N781" s="9"/>
      <c r="O781" s="158">
        <v>39</v>
      </c>
      <c r="P781" s="12"/>
      <c r="Q781" s="12"/>
      <c r="R781" s="12"/>
      <c r="S781" s="12"/>
      <c r="T781" s="12"/>
      <c r="U781" s="12"/>
      <c r="V781" s="12"/>
      <c r="W781" s="12"/>
      <c r="X781" s="12"/>
      <c r="Y781" s="12"/>
      <c r="Z781" s="12"/>
    </row>
    <row r="782" spans="1:26" ht="14.25" customHeight="1" x14ac:dyDescent="0.3">
      <c r="A782" s="155">
        <v>522</v>
      </c>
      <c r="B782" s="156" t="s">
        <v>1026</v>
      </c>
      <c r="C782" s="3"/>
      <c r="D782" s="3"/>
      <c r="E782" s="156" t="s">
        <v>1027</v>
      </c>
      <c r="F782" s="3"/>
      <c r="G782" s="158">
        <v>0.79</v>
      </c>
      <c r="H782" s="155">
        <v>45</v>
      </c>
      <c r="I782" s="155">
        <v>1</v>
      </c>
      <c r="J782" s="156" t="s">
        <v>92</v>
      </c>
      <c r="K782" s="5"/>
      <c r="L782" s="3"/>
      <c r="M782" s="6"/>
      <c r="N782" s="9"/>
      <c r="O782" s="158">
        <v>35.549999999999997</v>
      </c>
      <c r="P782" s="12"/>
      <c r="Q782" s="12"/>
      <c r="R782" s="12"/>
      <c r="S782" s="12"/>
      <c r="T782" s="12"/>
      <c r="U782" s="12"/>
      <c r="V782" s="12"/>
      <c r="W782" s="12"/>
      <c r="X782" s="12"/>
      <c r="Y782" s="12"/>
      <c r="Z782" s="12"/>
    </row>
    <row r="783" spans="1:26" ht="14.25" customHeight="1" x14ac:dyDescent="0.3">
      <c r="A783" s="155">
        <v>523</v>
      </c>
      <c r="B783" s="156" t="s">
        <v>1028</v>
      </c>
      <c r="C783" s="3"/>
      <c r="D783" s="3"/>
      <c r="E783" s="156" t="s">
        <v>1029</v>
      </c>
      <c r="F783" s="3"/>
      <c r="G783" s="158">
        <v>36</v>
      </c>
      <c r="H783" s="155">
        <v>28</v>
      </c>
      <c r="I783" s="155">
        <v>24</v>
      </c>
      <c r="J783" s="156" t="s">
        <v>92</v>
      </c>
      <c r="K783" s="5"/>
      <c r="L783" s="3"/>
      <c r="M783" s="6"/>
      <c r="N783" s="9"/>
      <c r="O783" s="158">
        <v>1008</v>
      </c>
      <c r="P783" s="12"/>
      <c r="Q783" s="12"/>
      <c r="R783" s="12"/>
      <c r="S783" s="12"/>
      <c r="T783" s="12"/>
      <c r="U783" s="12"/>
      <c r="V783" s="12"/>
      <c r="W783" s="12"/>
      <c r="X783" s="12"/>
      <c r="Y783" s="12"/>
      <c r="Z783" s="12"/>
    </row>
    <row r="784" spans="1:26" ht="14.25" customHeight="1" x14ac:dyDescent="0.3">
      <c r="A784" s="155">
        <v>524</v>
      </c>
      <c r="B784" s="156" t="s">
        <v>1030</v>
      </c>
      <c r="C784" s="3"/>
      <c r="D784" s="3"/>
      <c r="E784" s="156" t="s">
        <v>1031</v>
      </c>
      <c r="F784" s="3"/>
      <c r="G784" s="158">
        <v>0.83</v>
      </c>
      <c r="H784" s="155">
        <v>74</v>
      </c>
      <c r="I784" s="155">
        <v>1</v>
      </c>
      <c r="J784" s="156" t="s">
        <v>92</v>
      </c>
      <c r="K784" s="5"/>
      <c r="L784" s="3"/>
      <c r="M784" s="6"/>
      <c r="N784" s="9"/>
      <c r="O784" s="158">
        <v>61.42</v>
      </c>
      <c r="P784" s="12"/>
      <c r="Q784" s="12"/>
      <c r="R784" s="12"/>
      <c r="S784" s="12"/>
      <c r="T784" s="12"/>
      <c r="U784" s="12"/>
      <c r="V784" s="12"/>
      <c r="W784" s="12"/>
      <c r="X784" s="12"/>
      <c r="Y784" s="12"/>
      <c r="Z784" s="12"/>
    </row>
    <row r="785" spans="1:26" ht="14.25" customHeight="1" x14ac:dyDescent="0.3">
      <c r="A785" s="155">
        <v>525</v>
      </c>
      <c r="B785" s="156" t="s">
        <v>1032</v>
      </c>
      <c r="C785" s="3"/>
      <c r="D785" s="3"/>
      <c r="E785" s="156" t="s">
        <v>1033</v>
      </c>
      <c r="F785" s="3"/>
      <c r="G785" s="158">
        <v>0.8</v>
      </c>
      <c r="H785" s="155">
        <v>62</v>
      </c>
      <c r="I785" s="155">
        <v>1</v>
      </c>
      <c r="J785" s="156" t="s">
        <v>92</v>
      </c>
      <c r="K785" s="5"/>
      <c r="L785" s="3"/>
      <c r="M785" s="6"/>
      <c r="N785" s="9"/>
      <c r="O785" s="158">
        <v>49.6</v>
      </c>
      <c r="P785" s="12"/>
      <c r="Q785" s="12"/>
      <c r="R785" s="12"/>
      <c r="S785" s="12"/>
      <c r="T785" s="12"/>
      <c r="U785" s="12"/>
      <c r="V785" s="12"/>
      <c r="W785" s="12"/>
      <c r="X785" s="12"/>
      <c r="Y785" s="12"/>
      <c r="Z785" s="12"/>
    </row>
    <row r="786" spans="1:26" ht="14.25" customHeight="1" x14ac:dyDescent="0.3">
      <c r="A786" s="155">
        <v>526</v>
      </c>
      <c r="B786" s="156" t="s">
        <v>1034</v>
      </c>
      <c r="C786" s="3"/>
      <c r="D786" s="3"/>
      <c r="E786" s="156" t="s">
        <v>1035</v>
      </c>
      <c r="F786" s="3"/>
      <c r="G786" s="158">
        <v>1.19</v>
      </c>
      <c r="H786" s="155">
        <v>28</v>
      </c>
      <c r="I786" s="155">
        <v>1</v>
      </c>
      <c r="J786" s="156" t="s">
        <v>92</v>
      </c>
      <c r="K786" s="5"/>
      <c r="L786" s="3"/>
      <c r="M786" s="6"/>
      <c r="N786" s="9"/>
      <c r="O786" s="158">
        <v>33.32</v>
      </c>
      <c r="P786" s="12"/>
      <c r="Q786" s="12"/>
      <c r="R786" s="12"/>
      <c r="S786" s="12"/>
      <c r="T786" s="12"/>
      <c r="U786" s="12"/>
      <c r="V786" s="12"/>
      <c r="W786" s="12"/>
      <c r="X786" s="12"/>
      <c r="Y786" s="12"/>
      <c r="Z786" s="12"/>
    </row>
    <row r="787" spans="1:26" ht="14.25" customHeight="1" x14ac:dyDescent="0.3">
      <c r="A787" s="155">
        <v>527</v>
      </c>
      <c r="B787" s="156" t="s">
        <v>1036</v>
      </c>
      <c r="C787" s="3"/>
      <c r="D787" s="3"/>
      <c r="E787" s="156" t="s">
        <v>1037</v>
      </c>
      <c r="F787" s="3"/>
      <c r="G787" s="158">
        <v>60.3</v>
      </c>
      <c r="H787" s="155">
        <v>8</v>
      </c>
      <c r="I787" s="155">
        <v>425</v>
      </c>
      <c r="J787" s="156" t="s">
        <v>39</v>
      </c>
      <c r="K787" s="5"/>
      <c r="L787" s="3"/>
      <c r="M787" s="6"/>
      <c r="N787" s="9"/>
      <c r="O787" s="158">
        <v>482.4</v>
      </c>
      <c r="P787" s="12"/>
      <c r="Q787" s="12"/>
      <c r="R787" s="12"/>
      <c r="S787" s="12"/>
      <c r="T787" s="12"/>
      <c r="U787" s="12"/>
      <c r="V787" s="12"/>
      <c r="W787" s="12"/>
      <c r="X787" s="12"/>
      <c r="Y787" s="12"/>
      <c r="Z787" s="12"/>
    </row>
    <row r="788" spans="1:26" ht="14.25" customHeight="1" x14ac:dyDescent="0.3">
      <c r="A788" s="155">
        <v>527</v>
      </c>
      <c r="B788" s="156" t="s">
        <v>1036</v>
      </c>
      <c r="C788" s="3"/>
      <c r="D788" s="3"/>
      <c r="E788" s="155">
        <v>555</v>
      </c>
      <c r="F788" s="3"/>
      <c r="G788" s="158">
        <v>53.4</v>
      </c>
      <c r="H788" s="155">
        <v>12</v>
      </c>
      <c r="I788" s="155">
        <v>425</v>
      </c>
      <c r="J788" s="156" t="s">
        <v>39</v>
      </c>
      <c r="K788" s="5"/>
      <c r="L788" s="3"/>
      <c r="M788" s="6"/>
      <c r="N788" s="9"/>
      <c r="O788" s="158">
        <v>640.79999999999995</v>
      </c>
      <c r="P788" s="12"/>
      <c r="Q788" s="12"/>
      <c r="R788" s="12"/>
      <c r="S788" s="12"/>
      <c r="T788" s="12"/>
      <c r="U788" s="12"/>
      <c r="V788" s="12"/>
      <c r="W788" s="12"/>
      <c r="X788" s="12"/>
      <c r="Y788" s="12"/>
      <c r="Z788" s="12"/>
    </row>
    <row r="789" spans="1:26" ht="14.25" customHeight="1" x14ac:dyDescent="0.3">
      <c r="A789" s="155">
        <v>527</v>
      </c>
      <c r="B789" s="156" t="s">
        <v>1036</v>
      </c>
      <c r="C789" s="3"/>
      <c r="D789" s="3"/>
      <c r="E789" s="156" t="s">
        <v>1038</v>
      </c>
      <c r="F789" s="3"/>
      <c r="G789" s="158">
        <v>64.400000000000006</v>
      </c>
      <c r="H789" s="155">
        <v>5</v>
      </c>
      <c r="I789" s="155">
        <v>425</v>
      </c>
      <c r="J789" s="156" t="s">
        <v>39</v>
      </c>
      <c r="K789" s="5"/>
      <c r="L789" s="3"/>
      <c r="M789" s="6"/>
      <c r="N789" s="9"/>
      <c r="O789" s="158">
        <v>322</v>
      </c>
      <c r="P789" s="12"/>
      <c r="Q789" s="12"/>
      <c r="R789" s="12"/>
      <c r="S789" s="12"/>
      <c r="T789" s="12"/>
      <c r="U789" s="12"/>
      <c r="V789" s="12"/>
      <c r="W789" s="12"/>
      <c r="X789" s="12"/>
      <c r="Y789" s="12"/>
      <c r="Z789" s="12"/>
    </row>
    <row r="790" spans="1:26" ht="14.25" customHeight="1" x14ac:dyDescent="0.3">
      <c r="A790" s="155">
        <v>528</v>
      </c>
      <c r="B790" s="156" t="s">
        <v>1039</v>
      </c>
      <c r="C790" s="3"/>
      <c r="D790" s="3"/>
      <c r="E790" s="155">
        <v>555</v>
      </c>
      <c r="F790" s="3"/>
      <c r="G790" s="158">
        <v>60.190379999999998</v>
      </c>
      <c r="H790" s="155">
        <v>52</v>
      </c>
      <c r="I790" s="155">
        <v>425</v>
      </c>
      <c r="J790" s="156" t="s">
        <v>39</v>
      </c>
      <c r="K790" s="5"/>
      <c r="L790" s="3"/>
      <c r="M790" s="6"/>
      <c r="N790" s="9"/>
      <c r="O790" s="158">
        <v>3129.9</v>
      </c>
      <c r="P790" s="12"/>
      <c r="Q790" s="12"/>
      <c r="R790" s="12"/>
      <c r="S790" s="12"/>
      <c r="T790" s="12"/>
      <c r="U790" s="12"/>
      <c r="V790" s="12"/>
      <c r="W790" s="12"/>
      <c r="X790" s="12"/>
      <c r="Y790" s="12"/>
      <c r="Z790" s="12"/>
    </row>
    <row r="791" spans="1:26" ht="14.25" customHeight="1" x14ac:dyDescent="0.3">
      <c r="A791" s="155">
        <v>528</v>
      </c>
      <c r="B791" s="156" t="s">
        <v>1039</v>
      </c>
      <c r="C791" s="3"/>
      <c r="D791" s="3"/>
      <c r="E791" s="156" t="s">
        <v>1040</v>
      </c>
      <c r="F791" s="3"/>
      <c r="G791" s="158">
        <v>59.9</v>
      </c>
      <c r="H791" s="155">
        <v>10</v>
      </c>
      <c r="I791" s="155">
        <v>425</v>
      </c>
      <c r="J791" s="156" t="s">
        <v>39</v>
      </c>
      <c r="K791" s="5"/>
      <c r="L791" s="3"/>
      <c r="M791" s="6"/>
      <c r="N791" s="9"/>
      <c r="O791" s="158">
        <v>599</v>
      </c>
      <c r="P791" s="12"/>
      <c r="Q791" s="12"/>
      <c r="R791" s="12"/>
      <c r="S791" s="12"/>
      <c r="T791" s="12"/>
      <c r="U791" s="12"/>
      <c r="V791" s="12"/>
      <c r="W791" s="12"/>
      <c r="X791" s="12"/>
      <c r="Y791" s="12"/>
      <c r="Z791" s="12"/>
    </row>
    <row r="792" spans="1:26" ht="14.25" customHeight="1" x14ac:dyDescent="0.3">
      <c r="A792" s="155">
        <v>529</v>
      </c>
      <c r="B792" s="156" t="s">
        <v>1041</v>
      </c>
      <c r="C792" s="3"/>
      <c r="D792" s="3"/>
      <c r="E792" s="156" t="s">
        <v>1042</v>
      </c>
      <c r="F792" s="3"/>
      <c r="G792" s="158">
        <v>258</v>
      </c>
      <c r="H792" s="155">
        <v>1</v>
      </c>
      <c r="I792" s="155">
        <v>595</v>
      </c>
      <c r="J792" s="156" t="s">
        <v>39</v>
      </c>
      <c r="K792" s="5"/>
      <c r="L792" s="3"/>
      <c r="M792" s="6"/>
      <c r="N792" s="9"/>
      <c r="O792" s="158">
        <v>258</v>
      </c>
      <c r="P792" s="12"/>
      <c r="Q792" s="12"/>
      <c r="R792" s="12"/>
      <c r="S792" s="12"/>
      <c r="T792" s="12"/>
      <c r="U792" s="12"/>
      <c r="V792" s="12"/>
      <c r="W792" s="12"/>
      <c r="X792" s="12"/>
      <c r="Y792" s="12"/>
      <c r="Z792" s="12"/>
    </row>
    <row r="793" spans="1:26" ht="14.25" customHeight="1" x14ac:dyDescent="0.3">
      <c r="A793" s="155">
        <v>530</v>
      </c>
      <c r="B793" s="156" t="s">
        <v>1043</v>
      </c>
      <c r="C793" s="3"/>
      <c r="D793" s="3"/>
      <c r="E793" s="156" t="s">
        <v>1044</v>
      </c>
      <c r="F793" s="3"/>
      <c r="G793" s="158">
        <v>102.5</v>
      </c>
      <c r="H793" s="155">
        <v>1</v>
      </c>
      <c r="I793" s="155">
        <v>425</v>
      </c>
      <c r="J793" s="156" t="s">
        <v>39</v>
      </c>
      <c r="K793" s="5"/>
      <c r="L793" s="3"/>
      <c r="M793" s="6"/>
      <c r="N793" s="9"/>
      <c r="O793" s="158">
        <v>102.5</v>
      </c>
      <c r="P793" s="12"/>
      <c r="Q793" s="12"/>
      <c r="R793" s="12"/>
      <c r="S793" s="12"/>
      <c r="T793" s="12"/>
      <c r="U793" s="12"/>
      <c r="V793" s="12"/>
      <c r="W793" s="12"/>
      <c r="X793" s="12"/>
      <c r="Y793" s="12"/>
      <c r="Z793" s="12"/>
    </row>
    <row r="794" spans="1:26" ht="14.25" customHeight="1" x14ac:dyDescent="0.3">
      <c r="A794" s="155">
        <v>531</v>
      </c>
      <c r="B794" s="156" t="s">
        <v>1045</v>
      </c>
      <c r="C794" s="3"/>
      <c r="D794" s="3"/>
      <c r="E794" s="155">
        <v>555</v>
      </c>
      <c r="F794" s="3"/>
      <c r="G794" s="158">
        <v>28.95</v>
      </c>
      <c r="H794" s="155">
        <v>4</v>
      </c>
      <c r="I794" s="155">
        <v>155</v>
      </c>
      <c r="J794" s="156" t="s">
        <v>39</v>
      </c>
      <c r="K794" s="5"/>
      <c r="L794" s="3"/>
      <c r="M794" s="6"/>
      <c r="N794" s="9"/>
      <c r="O794" s="158">
        <v>115.8</v>
      </c>
      <c r="P794" s="12"/>
      <c r="Q794" s="12"/>
      <c r="R794" s="12"/>
      <c r="S794" s="12"/>
      <c r="T794" s="12"/>
      <c r="U794" s="12"/>
      <c r="V794" s="12"/>
      <c r="W794" s="12"/>
      <c r="X794" s="12"/>
      <c r="Y794" s="12"/>
      <c r="Z794" s="12"/>
    </row>
    <row r="795" spans="1:26" ht="14.25" customHeight="1" x14ac:dyDescent="0.3">
      <c r="A795" s="155">
        <v>532</v>
      </c>
      <c r="B795" s="156" t="s">
        <v>1046</v>
      </c>
      <c r="C795" s="3"/>
      <c r="D795" s="3"/>
      <c r="E795" s="155">
        <v>555</v>
      </c>
      <c r="F795" s="3"/>
      <c r="G795" s="158">
        <v>27.148150000000001</v>
      </c>
      <c r="H795" s="155">
        <v>27</v>
      </c>
      <c r="I795" s="155">
        <v>155</v>
      </c>
      <c r="J795" s="156" t="s">
        <v>39</v>
      </c>
      <c r="K795" s="5"/>
      <c r="L795" s="3"/>
      <c r="M795" s="6"/>
      <c r="N795" s="9"/>
      <c r="O795" s="158">
        <v>733</v>
      </c>
      <c r="P795" s="12"/>
      <c r="Q795" s="12"/>
      <c r="R795" s="12"/>
      <c r="S795" s="12"/>
      <c r="T795" s="12"/>
      <c r="U795" s="12"/>
      <c r="V795" s="12"/>
      <c r="W795" s="12"/>
      <c r="X795" s="12"/>
      <c r="Y795" s="12"/>
      <c r="Z795" s="12"/>
    </row>
    <row r="796" spans="1:26" ht="14.25" customHeight="1" x14ac:dyDescent="0.3">
      <c r="A796" s="155">
        <v>533</v>
      </c>
      <c r="B796" s="156" t="s">
        <v>1047</v>
      </c>
      <c r="C796" s="3"/>
      <c r="D796" s="3"/>
      <c r="E796" s="155">
        <v>555</v>
      </c>
      <c r="F796" s="3"/>
      <c r="G796" s="158">
        <v>28.95</v>
      </c>
      <c r="H796" s="155">
        <v>5</v>
      </c>
      <c r="I796" s="155">
        <v>155</v>
      </c>
      <c r="J796" s="156" t="s">
        <v>39</v>
      </c>
      <c r="K796" s="5"/>
      <c r="L796" s="3"/>
      <c r="M796" s="6"/>
      <c r="N796" s="9"/>
      <c r="O796" s="158">
        <v>144.75</v>
      </c>
      <c r="P796" s="12"/>
      <c r="Q796" s="12"/>
      <c r="R796" s="12"/>
      <c r="S796" s="12"/>
      <c r="T796" s="12"/>
      <c r="U796" s="12"/>
      <c r="V796" s="12"/>
      <c r="W796" s="12"/>
      <c r="X796" s="12"/>
      <c r="Y796" s="12"/>
      <c r="Z796" s="12"/>
    </row>
    <row r="797" spans="1:26" ht="14.25" customHeight="1" x14ac:dyDescent="0.3">
      <c r="A797" s="155">
        <v>534</v>
      </c>
      <c r="B797" s="156" t="s">
        <v>1048</v>
      </c>
      <c r="C797" s="3"/>
      <c r="D797" s="3"/>
      <c r="E797" s="156" t="s">
        <v>1049</v>
      </c>
      <c r="F797" s="3"/>
      <c r="G797" s="158">
        <v>37.5</v>
      </c>
      <c r="H797" s="155">
        <v>7</v>
      </c>
      <c r="I797" s="155">
        <v>150</v>
      </c>
      <c r="J797" s="156" t="s">
        <v>39</v>
      </c>
      <c r="K797" s="5"/>
      <c r="L797" s="3"/>
      <c r="M797" s="6"/>
      <c r="N797" s="9"/>
      <c r="O797" s="158">
        <v>262.5</v>
      </c>
      <c r="P797" s="12"/>
      <c r="Q797" s="12"/>
      <c r="R797" s="12"/>
      <c r="S797" s="12"/>
      <c r="T797" s="12"/>
      <c r="U797" s="12"/>
      <c r="V797" s="12"/>
      <c r="W797" s="12"/>
      <c r="X797" s="12"/>
      <c r="Y797" s="12"/>
      <c r="Z797" s="12"/>
    </row>
    <row r="798" spans="1:26" ht="14.25" customHeight="1" x14ac:dyDescent="0.3">
      <c r="A798" s="155">
        <v>535</v>
      </c>
      <c r="B798" s="156" t="s">
        <v>1050</v>
      </c>
      <c r="C798" s="3"/>
      <c r="D798" s="3"/>
      <c r="E798" s="156" t="s">
        <v>1049</v>
      </c>
      <c r="F798" s="3"/>
      <c r="G798" s="158">
        <v>45.2</v>
      </c>
      <c r="H798" s="155">
        <v>8</v>
      </c>
      <c r="I798" s="155">
        <v>180</v>
      </c>
      <c r="J798" s="156" t="s">
        <v>39</v>
      </c>
      <c r="K798" s="5"/>
      <c r="L798" s="3"/>
      <c r="M798" s="6"/>
      <c r="N798" s="9"/>
      <c r="O798" s="158">
        <v>361.6</v>
      </c>
      <c r="P798" s="12"/>
      <c r="Q798" s="12"/>
      <c r="R798" s="12"/>
      <c r="S798" s="12"/>
      <c r="T798" s="12"/>
      <c r="U798" s="12"/>
      <c r="V798" s="12"/>
      <c r="W798" s="12"/>
      <c r="X798" s="12"/>
      <c r="Y798" s="12"/>
      <c r="Z798" s="12"/>
    </row>
    <row r="799" spans="1:26" ht="14.25" customHeight="1" x14ac:dyDescent="0.3">
      <c r="A799" s="155">
        <v>535</v>
      </c>
      <c r="B799" s="156" t="s">
        <v>1050</v>
      </c>
      <c r="C799" s="3"/>
      <c r="D799" s="3"/>
      <c r="E799" s="156" t="s">
        <v>1051</v>
      </c>
      <c r="F799" s="3"/>
      <c r="G799" s="158">
        <v>28.5</v>
      </c>
      <c r="H799" s="155">
        <v>33</v>
      </c>
      <c r="I799" s="155">
        <v>180</v>
      </c>
      <c r="J799" s="156" t="s">
        <v>39</v>
      </c>
      <c r="K799" s="5"/>
      <c r="L799" s="3"/>
      <c r="M799" s="6"/>
      <c r="N799" s="9"/>
      <c r="O799" s="158">
        <v>940.5</v>
      </c>
      <c r="P799" s="12"/>
      <c r="Q799" s="12"/>
      <c r="R799" s="12"/>
      <c r="S799" s="12"/>
      <c r="T799" s="12"/>
      <c r="U799" s="12"/>
      <c r="V799" s="12"/>
      <c r="W799" s="12"/>
      <c r="X799" s="12"/>
      <c r="Y799" s="12"/>
      <c r="Z799" s="12"/>
    </row>
    <row r="800" spans="1:26" ht="14.25" customHeight="1" x14ac:dyDescent="0.3">
      <c r="A800" s="155">
        <v>535</v>
      </c>
      <c r="B800" s="156" t="s">
        <v>1050</v>
      </c>
      <c r="C800" s="3"/>
      <c r="D800" s="3"/>
      <c r="E800" s="156" t="s">
        <v>1052</v>
      </c>
      <c r="F800" s="3"/>
      <c r="G800" s="158">
        <v>28.5</v>
      </c>
      <c r="H800" s="155">
        <v>18</v>
      </c>
      <c r="I800" s="155">
        <v>180</v>
      </c>
      <c r="J800" s="156" t="s">
        <v>39</v>
      </c>
      <c r="K800" s="5"/>
      <c r="L800" s="3"/>
      <c r="M800" s="6"/>
      <c r="N800" s="9"/>
      <c r="O800" s="158">
        <v>513</v>
      </c>
      <c r="P800" s="12"/>
      <c r="Q800" s="12"/>
      <c r="R800" s="12"/>
      <c r="S800" s="12"/>
      <c r="T800" s="12"/>
      <c r="U800" s="12"/>
      <c r="V800" s="12"/>
      <c r="W800" s="12"/>
      <c r="X800" s="12"/>
      <c r="Y800" s="12"/>
      <c r="Z800" s="12"/>
    </row>
    <row r="801" spans="1:26" ht="14.25" customHeight="1" x14ac:dyDescent="0.3">
      <c r="A801" s="155">
        <v>536</v>
      </c>
      <c r="B801" s="156" t="s">
        <v>1053</v>
      </c>
      <c r="C801" s="3"/>
      <c r="D801" s="3"/>
      <c r="E801" s="156" t="s">
        <v>1044</v>
      </c>
      <c r="F801" s="3"/>
      <c r="G801" s="158">
        <v>91.35</v>
      </c>
      <c r="H801" s="155">
        <v>44</v>
      </c>
      <c r="I801" s="155">
        <v>155</v>
      </c>
      <c r="J801" s="156" t="s">
        <v>39</v>
      </c>
      <c r="K801" s="5"/>
      <c r="L801" s="3"/>
      <c r="M801" s="6"/>
      <c r="N801" s="9"/>
      <c r="O801" s="158">
        <v>4019.4</v>
      </c>
      <c r="P801" s="12"/>
      <c r="Q801" s="12"/>
      <c r="R801" s="12"/>
      <c r="S801" s="12"/>
      <c r="T801" s="12"/>
      <c r="U801" s="12"/>
      <c r="V801" s="12"/>
      <c r="W801" s="12"/>
      <c r="X801" s="12"/>
      <c r="Y801" s="12"/>
      <c r="Z801" s="12"/>
    </row>
    <row r="802" spans="1:26" ht="14.25" customHeight="1" x14ac:dyDescent="0.3">
      <c r="A802" s="155">
        <v>537</v>
      </c>
      <c r="B802" s="156" t="s">
        <v>1054</v>
      </c>
      <c r="C802" s="3"/>
      <c r="D802" s="3"/>
      <c r="E802" s="156" t="s">
        <v>1044</v>
      </c>
      <c r="F802" s="3"/>
      <c r="G802" s="158">
        <v>36.200000000000003</v>
      </c>
      <c r="H802" s="155">
        <v>4</v>
      </c>
      <c r="I802" s="155">
        <v>155</v>
      </c>
      <c r="J802" s="156" t="s">
        <v>39</v>
      </c>
      <c r="K802" s="5"/>
      <c r="L802" s="3"/>
      <c r="M802" s="6"/>
      <c r="N802" s="9"/>
      <c r="O802" s="158">
        <v>144.80000000000001</v>
      </c>
      <c r="P802" s="12"/>
      <c r="Q802" s="12"/>
      <c r="R802" s="12"/>
      <c r="S802" s="12"/>
      <c r="T802" s="12"/>
      <c r="U802" s="12"/>
      <c r="V802" s="12"/>
      <c r="W802" s="12"/>
      <c r="X802" s="12"/>
      <c r="Y802" s="12"/>
      <c r="Z802" s="12"/>
    </row>
    <row r="803" spans="1:26" ht="14.25" customHeight="1" x14ac:dyDescent="0.3">
      <c r="A803" s="155">
        <v>538</v>
      </c>
      <c r="B803" s="156" t="s">
        <v>1055</v>
      </c>
      <c r="C803" s="3"/>
      <c r="D803" s="3"/>
      <c r="E803" s="155">
        <v>555</v>
      </c>
      <c r="F803" s="3"/>
      <c r="G803" s="158">
        <v>27.4</v>
      </c>
      <c r="H803" s="155">
        <v>2</v>
      </c>
      <c r="I803" s="155">
        <v>155</v>
      </c>
      <c r="J803" s="156" t="s">
        <v>39</v>
      </c>
      <c r="K803" s="5"/>
      <c r="L803" s="3"/>
      <c r="M803" s="6"/>
      <c r="N803" s="9"/>
      <c r="O803" s="158">
        <v>54.8</v>
      </c>
      <c r="P803" s="12"/>
      <c r="Q803" s="12"/>
      <c r="R803" s="12"/>
      <c r="S803" s="12"/>
      <c r="T803" s="12"/>
      <c r="U803" s="12"/>
      <c r="V803" s="12"/>
      <c r="W803" s="12"/>
      <c r="X803" s="12"/>
      <c r="Y803" s="12"/>
      <c r="Z803" s="12"/>
    </row>
    <row r="804" spans="1:26" ht="14.25" customHeight="1" x14ac:dyDescent="0.3">
      <c r="A804" s="155">
        <v>55</v>
      </c>
      <c r="B804" s="156" t="s">
        <v>320</v>
      </c>
      <c r="C804" s="3"/>
      <c r="D804" s="3"/>
      <c r="E804" s="156" t="s">
        <v>1056</v>
      </c>
      <c r="F804" s="3"/>
      <c r="G804" s="158">
        <v>134</v>
      </c>
      <c r="H804" s="155">
        <v>7</v>
      </c>
      <c r="I804" s="155">
        <v>500</v>
      </c>
      <c r="J804" s="156" t="s">
        <v>39</v>
      </c>
      <c r="K804" s="5"/>
      <c r="L804" s="3"/>
      <c r="M804" s="6"/>
      <c r="N804" s="9"/>
      <c r="O804" s="158">
        <v>938</v>
      </c>
      <c r="P804" s="12"/>
      <c r="Q804" s="12"/>
      <c r="R804" s="12"/>
      <c r="S804" s="12"/>
      <c r="T804" s="12"/>
      <c r="U804" s="12"/>
      <c r="V804" s="12"/>
      <c r="W804" s="12"/>
      <c r="X804" s="12"/>
      <c r="Y804" s="12"/>
      <c r="Z804" s="12"/>
    </row>
    <row r="805" spans="1:26" ht="14.25" customHeight="1" x14ac:dyDescent="0.3">
      <c r="A805" s="155">
        <v>55</v>
      </c>
      <c r="B805" s="156" t="s">
        <v>320</v>
      </c>
      <c r="C805" s="3"/>
      <c r="D805" s="3"/>
      <c r="E805" s="156" t="s">
        <v>1057</v>
      </c>
      <c r="F805" s="3"/>
      <c r="G805" s="158">
        <v>118.75</v>
      </c>
      <c r="H805" s="155">
        <v>2</v>
      </c>
      <c r="I805" s="155">
        <v>500</v>
      </c>
      <c r="J805" s="156" t="s">
        <v>39</v>
      </c>
      <c r="K805" s="5"/>
      <c r="L805" s="3"/>
      <c r="M805" s="6"/>
      <c r="N805" s="9"/>
      <c r="O805" s="158">
        <v>237.5</v>
      </c>
      <c r="P805" s="12"/>
      <c r="Q805" s="12"/>
      <c r="R805" s="12"/>
      <c r="S805" s="12"/>
      <c r="T805" s="12"/>
      <c r="U805" s="12"/>
      <c r="V805" s="12"/>
      <c r="W805" s="12"/>
      <c r="X805" s="12"/>
      <c r="Y805" s="12"/>
      <c r="Z805" s="12"/>
    </row>
    <row r="806" spans="1:26" ht="14.25" customHeight="1" x14ac:dyDescent="0.3">
      <c r="A806" s="155">
        <v>55</v>
      </c>
      <c r="B806" s="156" t="s">
        <v>320</v>
      </c>
      <c r="C806" s="3"/>
      <c r="D806" s="3"/>
      <c r="E806" s="156" t="s">
        <v>912</v>
      </c>
      <c r="F806" s="3"/>
      <c r="G806" s="158">
        <v>150</v>
      </c>
      <c r="H806" s="155">
        <v>1</v>
      </c>
      <c r="I806" s="155">
        <v>500</v>
      </c>
      <c r="J806" s="156" t="s">
        <v>213</v>
      </c>
      <c r="K806" s="5"/>
      <c r="L806" s="3"/>
      <c r="M806" s="6"/>
      <c r="N806" s="9"/>
      <c r="O806" s="158">
        <v>150</v>
      </c>
      <c r="P806" s="12"/>
      <c r="Q806" s="12"/>
      <c r="R806" s="12"/>
      <c r="S806" s="12"/>
      <c r="T806" s="12"/>
      <c r="U806" s="12"/>
      <c r="V806" s="12"/>
      <c r="W806" s="12"/>
      <c r="X806" s="12"/>
      <c r="Y806" s="12"/>
      <c r="Z806" s="12"/>
    </row>
    <row r="807" spans="1:26" ht="14.25" customHeight="1" x14ac:dyDescent="0.3">
      <c r="A807" s="155">
        <v>55</v>
      </c>
      <c r="B807" s="156" t="s">
        <v>320</v>
      </c>
      <c r="C807" s="3"/>
      <c r="D807" s="3"/>
      <c r="E807" s="156" t="s">
        <v>1058</v>
      </c>
      <c r="F807" s="3"/>
      <c r="G807" s="158">
        <v>125</v>
      </c>
      <c r="H807" s="155">
        <v>1</v>
      </c>
      <c r="I807" s="155">
        <v>500</v>
      </c>
      <c r="J807" s="156" t="s">
        <v>39</v>
      </c>
      <c r="K807" s="5"/>
      <c r="L807" s="3"/>
      <c r="M807" s="6"/>
      <c r="N807" s="9"/>
      <c r="O807" s="158">
        <v>125</v>
      </c>
      <c r="P807" s="12"/>
      <c r="Q807" s="12"/>
      <c r="R807" s="12"/>
      <c r="S807" s="12"/>
      <c r="T807" s="12"/>
      <c r="U807" s="12"/>
      <c r="V807" s="12"/>
      <c r="W807" s="12"/>
      <c r="X807" s="12"/>
      <c r="Y807" s="12"/>
      <c r="Z807" s="12"/>
    </row>
    <row r="808" spans="1:26" ht="14.25" customHeight="1" x14ac:dyDescent="0.3">
      <c r="A808" s="155">
        <v>55</v>
      </c>
      <c r="B808" s="156" t="s">
        <v>320</v>
      </c>
      <c r="C808" s="3"/>
      <c r="D808" s="3"/>
      <c r="E808" s="156" t="s">
        <v>1059</v>
      </c>
      <c r="F808" s="3"/>
      <c r="G808" s="158">
        <v>90.73</v>
      </c>
      <c r="H808" s="155">
        <v>33</v>
      </c>
      <c r="I808" s="155">
        <v>500</v>
      </c>
      <c r="J808" s="156" t="s">
        <v>39</v>
      </c>
      <c r="K808" s="5"/>
      <c r="L808" s="3"/>
      <c r="M808" s="6"/>
      <c r="N808" s="9"/>
      <c r="O808" s="158">
        <v>2994.09</v>
      </c>
      <c r="P808" s="12"/>
      <c r="Q808" s="12"/>
      <c r="R808" s="12"/>
      <c r="S808" s="12"/>
      <c r="T808" s="12"/>
      <c r="U808" s="12"/>
      <c r="V808" s="12"/>
      <c r="W808" s="12"/>
      <c r="X808" s="12"/>
      <c r="Y808" s="12"/>
      <c r="Z808" s="12"/>
    </row>
    <row r="809" spans="1:26" ht="14.25" customHeight="1" x14ac:dyDescent="0.3">
      <c r="A809" s="155">
        <v>58</v>
      </c>
      <c r="B809" s="156" t="s">
        <v>451</v>
      </c>
      <c r="C809" s="3"/>
      <c r="D809" s="3"/>
      <c r="E809" s="156"/>
      <c r="F809" s="3"/>
      <c r="G809" s="158">
        <v>70</v>
      </c>
      <c r="H809" s="155">
        <v>3</v>
      </c>
      <c r="I809" s="155">
        <v>1</v>
      </c>
      <c r="J809" s="156" t="s">
        <v>213</v>
      </c>
      <c r="K809" s="5"/>
      <c r="L809" s="3"/>
      <c r="M809" s="6"/>
      <c r="N809" s="9"/>
      <c r="O809" s="158">
        <v>210</v>
      </c>
      <c r="P809" s="12"/>
      <c r="Q809" s="12"/>
      <c r="R809" s="12"/>
      <c r="S809" s="12"/>
      <c r="T809" s="12"/>
      <c r="U809" s="12"/>
      <c r="V809" s="12"/>
      <c r="W809" s="12"/>
      <c r="X809" s="12"/>
      <c r="Y809" s="12"/>
      <c r="Z809" s="12"/>
    </row>
    <row r="810" spans="1:26" ht="14.25" customHeight="1" x14ac:dyDescent="0.3">
      <c r="A810" s="155">
        <v>58</v>
      </c>
      <c r="B810" s="156" t="s">
        <v>451</v>
      </c>
      <c r="C810" s="3"/>
      <c r="D810" s="3"/>
      <c r="E810" s="156"/>
      <c r="F810" s="3"/>
      <c r="G810" s="158">
        <v>95</v>
      </c>
      <c r="H810" s="155">
        <v>7</v>
      </c>
      <c r="I810" s="155">
        <v>1</v>
      </c>
      <c r="J810" s="156" t="s">
        <v>39</v>
      </c>
      <c r="K810" s="5"/>
      <c r="L810" s="3"/>
      <c r="M810" s="6"/>
      <c r="N810" s="9"/>
      <c r="O810" s="158">
        <v>665</v>
      </c>
      <c r="P810" s="12"/>
      <c r="Q810" s="12"/>
      <c r="R810" s="12"/>
      <c r="S810" s="12"/>
      <c r="T810" s="12"/>
      <c r="U810" s="12"/>
      <c r="V810" s="12"/>
      <c r="W810" s="12"/>
      <c r="X810" s="12"/>
      <c r="Y810" s="12"/>
      <c r="Z810" s="12"/>
    </row>
    <row r="811" spans="1:26" ht="14.25" customHeight="1" x14ac:dyDescent="0.3">
      <c r="A811" s="155">
        <v>58</v>
      </c>
      <c r="B811" s="156" t="s">
        <v>451</v>
      </c>
      <c r="C811" s="3"/>
      <c r="D811" s="3"/>
      <c r="E811" s="156" t="s">
        <v>1060</v>
      </c>
      <c r="F811" s="3"/>
      <c r="G811" s="158">
        <v>190</v>
      </c>
      <c r="H811" s="155">
        <v>4</v>
      </c>
      <c r="I811" s="155">
        <v>1</v>
      </c>
      <c r="J811" s="156" t="s">
        <v>213</v>
      </c>
      <c r="K811" s="5"/>
      <c r="L811" s="3"/>
      <c r="M811" s="6"/>
      <c r="N811" s="9"/>
      <c r="O811" s="158">
        <v>760</v>
      </c>
      <c r="P811" s="12"/>
      <c r="Q811" s="12"/>
      <c r="R811" s="12"/>
      <c r="S811" s="12"/>
      <c r="T811" s="12"/>
      <c r="U811" s="12"/>
      <c r="V811" s="12"/>
      <c r="W811" s="12"/>
      <c r="X811" s="12"/>
      <c r="Y811" s="12"/>
      <c r="Z811" s="12"/>
    </row>
    <row r="812" spans="1:26" ht="14.25" customHeight="1" x14ac:dyDescent="0.3">
      <c r="A812" s="155">
        <v>539</v>
      </c>
      <c r="B812" s="156" t="s">
        <v>1061</v>
      </c>
      <c r="C812" s="3"/>
      <c r="D812" s="3"/>
      <c r="E812" s="156" t="s">
        <v>1062</v>
      </c>
      <c r="F812" s="3"/>
      <c r="G812" s="158">
        <v>90</v>
      </c>
      <c r="H812" s="155">
        <v>4</v>
      </c>
      <c r="I812" s="155">
        <v>1</v>
      </c>
      <c r="J812" s="156" t="s">
        <v>1063</v>
      </c>
      <c r="K812" s="5"/>
      <c r="L812" s="3"/>
      <c r="M812" s="6"/>
      <c r="N812" s="9"/>
      <c r="O812" s="158">
        <v>360</v>
      </c>
      <c r="P812" s="12"/>
      <c r="Q812" s="12"/>
      <c r="R812" s="12"/>
      <c r="S812" s="12"/>
      <c r="T812" s="12"/>
      <c r="U812" s="12"/>
      <c r="V812" s="12"/>
      <c r="W812" s="12"/>
      <c r="X812" s="12"/>
      <c r="Y812" s="12"/>
      <c r="Z812" s="12"/>
    </row>
    <row r="813" spans="1:26" ht="14.25" customHeight="1" x14ac:dyDescent="0.3">
      <c r="A813" s="155">
        <v>539</v>
      </c>
      <c r="B813" s="156" t="s">
        <v>1061</v>
      </c>
      <c r="C813" s="3"/>
      <c r="D813" s="3"/>
      <c r="E813" s="156" t="s">
        <v>1062</v>
      </c>
      <c r="F813" s="3"/>
      <c r="G813" s="158">
        <v>245</v>
      </c>
      <c r="H813" s="155">
        <v>4</v>
      </c>
      <c r="I813" s="155">
        <v>1</v>
      </c>
      <c r="J813" s="156" t="s">
        <v>1064</v>
      </c>
      <c r="K813" s="5"/>
      <c r="L813" s="3"/>
      <c r="M813" s="6"/>
      <c r="N813" s="9"/>
      <c r="O813" s="158">
        <v>980</v>
      </c>
      <c r="P813" s="12"/>
      <c r="Q813" s="12"/>
      <c r="R813" s="12"/>
      <c r="S813" s="12"/>
      <c r="T813" s="12"/>
      <c r="U813" s="12"/>
      <c r="V813" s="12"/>
      <c r="W813" s="12"/>
      <c r="X813" s="12"/>
      <c r="Y813" s="12"/>
      <c r="Z813" s="12"/>
    </row>
    <row r="814" spans="1:26" ht="14.25" customHeight="1" x14ac:dyDescent="0.3">
      <c r="A814" s="155">
        <v>540</v>
      </c>
      <c r="B814" s="156" t="s">
        <v>1065</v>
      </c>
      <c r="C814" s="3"/>
      <c r="D814" s="3"/>
      <c r="E814" s="156" t="s">
        <v>1066</v>
      </c>
      <c r="F814" s="3"/>
      <c r="G814" s="158">
        <v>98</v>
      </c>
      <c r="H814" s="155">
        <v>5</v>
      </c>
      <c r="I814" s="155">
        <v>80</v>
      </c>
      <c r="J814" s="156" t="s">
        <v>39</v>
      </c>
      <c r="K814" s="5"/>
      <c r="L814" s="3"/>
      <c r="M814" s="6"/>
      <c r="N814" s="9"/>
      <c r="O814" s="158">
        <v>490</v>
      </c>
      <c r="P814" s="12"/>
      <c r="Q814" s="12"/>
      <c r="R814" s="12"/>
      <c r="S814" s="12"/>
      <c r="T814" s="12"/>
      <c r="U814" s="12"/>
      <c r="V814" s="12"/>
      <c r="W814" s="12"/>
      <c r="X814" s="12"/>
      <c r="Y814" s="12"/>
      <c r="Z814" s="12"/>
    </row>
    <row r="815" spans="1:26" ht="14.25" customHeight="1" x14ac:dyDescent="0.3">
      <c r="A815" s="155">
        <v>541</v>
      </c>
      <c r="B815" s="156" t="s">
        <v>1067</v>
      </c>
      <c r="C815" s="3"/>
      <c r="D815" s="3"/>
      <c r="E815" s="156" t="s">
        <v>47</v>
      </c>
      <c r="F815" s="3"/>
      <c r="G815" s="158">
        <v>65</v>
      </c>
      <c r="H815" s="155">
        <v>2</v>
      </c>
      <c r="I815" s="155">
        <v>1000</v>
      </c>
      <c r="J815" s="156" t="s">
        <v>213</v>
      </c>
      <c r="K815" s="5"/>
      <c r="L815" s="3"/>
      <c r="M815" s="6"/>
      <c r="N815" s="9"/>
      <c r="O815" s="158">
        <v>130</v>
      </c>
      <c r="P815" s="12"/>
      <c r="Q815" s="12"/>
      <c r="R815" s="12"/>
      <c r="S815" s="12"/>
      <c r="T815" s="12"/>
      <c r="U815" s="12"/>
      <c r="V815" s="12"/>
      <c r="W815" s="12"/>
      <c r="X815" s="12"/>
      <c r="Y815" s="12"/>
      <c r="Z815" s="12"/>
    </row>
    <row r="816" spans="1:26" ht="14.25" customHeight="1" x14ac:dyDescent="0.3">
      <c r="A816" s="155">
        <v>541</v>
      </c>
      <c r="B816" s="156" t="s">
        <v>1067</v>
      </c>
      <c r="C816" s="3"/>
      <c r="D816" s="3"/>
      <c r="E816" s="156" t="s">
        <v>1068</v>
      </c>
      <c r="F816" s="3"/>
      <c r="G816" s="158">
        <v>65</v>
      </c>
      <c r="H816" s="155">
        <v>5</v>
      </c>
      <c r="I816" s="155">
        <v>1000</v>
      </c>
      <c r="J816" s="156" t="s">
        <v>213</v>
      </c>
      <c r="K816" s="5"/>
      <c r="L816" s="3"/>
      <c r="M816" s="6"/>
      <c r="N816" s="9"/>
      <c r="O816" s="158">
        <v>325</v>
      </c>
      <c r="P816" s="12"/>
      <c r="Q816" s="12"/>
      <c r="R816" s="12"/>
      <c r="S816" s="12"/>
      <c r="T816" s="12"/>
      <c r="U816" s="12"/>
      <c r="V816" s="12"/>
      <c r="W816" s="12"/>
      <c r="X816" s="12"/>
      <c r="Y816" s="12"/>
      <c r="Z816" s="12"/>
    </row>
    <row r="817" spans="1:26" ht="14.25" customHeight="1" x14ac:dyDescent="0.3">
      <c r="A817" s="155">
        <v>59</v>
      </c>
      <c r="B817" s="156" t="s">
        <v>52</v>
      </c>
      <c r="C817" s="3"/>
      <c r="D817" s="3"/>
      <c r="E817" s="156"/>
      <c r="F817" s="3"/>
      <c r="G817" s="158">
        <v>44</v>
      </c>
      <c r="H817" s="155">
        <v>4</v>
      </c>
      <c r="I817" s="155">
        <v>1</v>
      </c>
      <c r="J817" s="156" t="s">
        <v>213</v>
      </c>
      <c r="K817" s="5"/>
      <c r="L817" s="3"/>
      <c r="M817" s="6"/>
      <c r="N817" s="9"/>
      <c r="O817" s="158">
        <v>176</v>
      </c>
      <c r="P817" s="12"/>
      <c r="Q817" s="12"/>
      <c r="R817" s="12"/>
      <c r="S817" s="12"/>
      <c r="T817" s="12"/>
      <c r="U817" s="12"/>
      <c r="V817" s="12"/>
      <c r="W817" s="12"/>
      <c r="X817" s="12"/>
      <c r="Y817" s="12"/>
      <c r="Z817" s="12"/>
    </row>
    <row r="818" spans="1:26" ht="14.25" customHeight="1" x14ac:dyDescent="0.3">
      <c r="A818" s="155">
        <v>59</v>
      </c>
      <c r="B818" s="156" t="s">
        <v>52</v>
      </c>
      <c r="C818" s="3"/>
      <c r="D818" s="3"/>
      <c r="E818" s="156"/>
      <c r="F818" s="3"/>
      <c r="G818" s="158">
        <v>65</v>
      </c>
      <c r="H818" s="155">
        <v>5</v>
      </c>
      <c r="I818" s="155">
        <v>1</v>
      </c>
      <c r="J818" s="156" t="s">
        <v>39</v>
      </c>
      <c r="K818" s="5"/>
      <c r="L818" s="3"/>
      <c r="M818" s="6"/>
      <c r="N818" s="9"/>
      <c r="O818" s="158">
        <v>325</v>
      </c>
      <c r="P818" s="12"/>
      <c r="Q818" s="12"/>
      <c r="R818" s="12"/>
      <c r="S818" s="12"/>
      <c r="T818" s="12"/>
      <c r="U818" s="12"/>
      <c r="V818" s="12"/>
      <c r="W818" s="12"/>
      <c r="X818" s="12"/>
      <c r="Y818" s="12"/>
      <c r="Z818" s="12"/>
    </row>
    <row r="819" spans="1:26" ht="14.25" customHeight="1" x14ac:dyDescent="0.3">
      <c r="A819" s="155">
        <v>60</v>
      </c>
      <c r="B819" s="156" t="s">
        <v>238</v>
      </c>
      <c r="C819" s="3"/>
      <c r="D819" s="3"/>
      <c r="E819" s="156" t="s">
        <v>1069</v>
      </c>
      <c r="F819" s="3"/>
      <c r="G819" s="158">
        <v>88</v>
      </c>
      <c r="H819" s="155">
        <v>13</v>
      </c>
      <c r="I819" s="155">
        <v>3500</v>
      </c>
      <c r="J819" s="156" t="s">
        <v>32</v>
      </c>
      <c r="K819" s="5"/>
      <c r="L819" s="3"/>
      <c r="M819" s="6"/>
      <c r="N819" s="9"/>
      <c r="O819" s="158">
        <v>1144</v>
      </c>
      <c r="P819" s="12"/>
      <c r="Q819" s="12"/>
      <c r="R819" s="12"/>
      <c r="S819" s="12"/>
      <c r="T819" s="12"/>
      <c r="U819" s="12"/>
      <c r="V819" s="12"/>
      <c r="W819" s="12"/>
      <c r="X819" s="12"/>
      <c r="Y819" s="12"/>
      <c r="Z819" s="12"/>
    </row>
    <row r="820" spans="1:26" ht="14.25" customHeight="1" x14ac:dyDescent="0.3">
      <c r="A820" s="155">
        <v>60</v>
      </c>
      <c r="B820" s="156" t="s">
        <v>238</v>
      </c>
      <c r="C820" s="3"/>
      <c r="D820" s="3"/>
      <c r="E820" s="156" t="s">
        <v>1070</v>
      </c>
      <c r="F820" s="3"/>
      <c r="G820" s="158">
        <v>228.7</v>
      </c>
      <c r="H820" s="155">
        <v>3</v>
      </c>
      <c r="I820" s="155">
        <v>3500</v>
      </c>
      <c r="J820" s="156" t="s">
        <v>773</v>
      </c>
      <c r="K820" s="5"/>
      <c r="L820" s="3"/>
      <c r="M820" s="6"/>
      <c r="N820" s="9"/>
      <c r="O820" s="158">
        <v>686.1</v>
      </c>
      <c r="P820" s="12"/>
      <c r="Q820" s="12"/>
      <c r="R820" s="12"/>
      <c r="S820" s="12"/>
      <c r="T820" s="12"/>
      <c r="U820" s="12"/>
      <c r="V820" s="12"/>
      <c r="W820" s="12"/>
      <c r="X820" s="12"/>
      <c r="Y820" s="12"/>
      <c r="Z820" s="12"/>
    </row>
    <row r="821" spans="1:26" ht="14.25" customHeight="1" x14ac:dyDescent="0.3">
      <c r="A821" s="155">
        <v>60</v>
      </c>
      <c r="B821" s="156" t="s">
        <v>238</v>
      </c>
      <c r="C821" s="3"/>
      <c r="D821" s="3"/>
      <c r="E821" s="156" t="s">
        <v>1069</v>
      </c>
      <c r="F821" s="3"/>
      <c r="G821" s="158">
        <v>79.047619999999995</v>
      </c>
      <c r="H821" s="155">
        <v>21</v>
      </c>
      <c r="I821" s="155">
        <v>3500</v>
      </c>
      <c r="J821" s="156" t="s">
        <v>200</v>
      </c>
      <c r="K821" s="5"/>
      <c r="L821" s="3"/>
      <c r="M821" s="6"/>
      <c r="N821" s="9"/>
      <c r="O821" s="158">
        <v>1660</v>
      </c>
      <c r="P821" s="12"/>
      <c r="Q821" s="12"/>
      <c r="R821" s="12"/>
      <c r="S821" s="12"/>
      <c r="T821" s="12"/>
      <c r="U821" s="12"/>
      <c r="V821" s="12"/>
      <c r="W821" s="12"/>
      <c r="X821" s="12"/>
      <c r="Y821" s="12"/>
      <c r="Z821" s="12"/>
    </row>
    <row r="822" spans="1:26" ht="14.25" customHeight="1" x14ac:dyDescent="0.3">
      <c r="A822" s="155">
        <v>60</v>
      </c>
      <c r="B822" s="156" t="s">
        <v>238</v>
      </c>
      <c r="C822" s="3"/>
      <c r="D822" s="3"/>
      <c r="E822" s="156" t="s">
        <v>1071</v>
      </c>
      <c r="F822" s="3"/>
      <c r="G822" s="158">
        <v>85</v>
      </c>
      <c r="H822" s="155">
        <v>8</v>
      </c>
      <c r="I822" s="155">
        <v>3500</v>
      </c>
      <c r="J822" s="156" t="s">
        <v>200</v>
      </c>
      <c r="K822" s="5"/>
      <c r="L822" s="3"/>
      <c r="M822" s="6"/>
      <c r="N822" s="9"/>
      <c r="O822" s="158">
        <v>680</v>
      </c>
      <c r="P822" s="12"/>
      <c r="Q822" s="12"/>
      <c r="R822" s="12"/>
      <c r="S822" s="12"/>
      <c r="T822" s="12"/>
      <c r="U822" s="12"/>
      <c r="V822" s="12"/>
      <c r="W822" s="12"/>
      <c r="X822" s="12"/>
      <c r="Y822" s="12"/>
      <c r="Z822" s="12"/>
    </row>
    <row r="823" spans="1:26" ht="14.25" customHeight="1" x14ac:dyDescent="0.3">
      <c r="A823" s="155">
        <v>542</v>
      </c>
      <c r="B823" s="156" t="s">
        <v>1072</v>
      </c>
      <c r="C823" s="3"/>
      <c r="D823" s="3"/>
      <c r="E823" s="156"/>
      <c r="F823" s="3"/>
      <c r="G823" s="158">
        <v>165</v>
      </c>
      <c r="H823" s="155">
        <v>3</v>
      </c>
      <c r="I823" s="155">
        <v>1000</v>
      </c>
      <c r="J823" s="156" t="s">
        <v>39</v>
      </c>
      <c r="K823" s="5"/>
      <c r="L823" s="3"/>
      <c r="M823" s="6"/>
      <c r="N823" s="9"/>
      <c r="O823" s="158">
        <v>495</v>
      </c>
      <c r="P823" s="12"/>
      <c r="Q823" s="12"/>
      <c r="R823" s="12"/>
      <c r="S823" s="12"/>
      <c r="T823" s="12"/>
      <c r="U823" s="12"/>
      <c r="V823" s="12"/>
      <c r="W823" s="12"/>
      <c r="X823" s="12"/>
      <c r="Y823" s="12"/>
      <c r="Z823" s="12"/>
    </row>
    <row r="824" spans="1:26" ht="14.25" customHeight="1" x14ac:dyDescent="0.3">
      <c r="A824" s="155">
        <v>543</v>
      </c>
      <c r="B824" s="156" t="s">
        <v>1073</v>
      </c>
      <c r="C824" s="3"/>
      <c r="D824" s="3"/>
      <c r="E824" s="156" t="s">
        <v>1074</v>
      </c>
      <c r="F824" s="3"/>
      <c r="G824" s="158">
        <v>18.5</v>
      </c>
      <c r="H824" s="155">
        <v>4</v>
      </c>
      <c r="I824" s="155">
        <v>30</v>
      </c>
      <c r="J824" s="156" t="s">
        <v>39</v>
      </c>
      <c r="K824" s="5"/>
      <c r="L824" s="3"/>
      <c r="M824" s="6"/>
      <c r="N824" s="9"/>
      <c r="O824" s="158">
        <v>74</v>
      </c>
      <c r="P824" s="12"/>
      <c r="Q824" s="12"/>
      <c r="R824" s="12"/>
      <c r="S824" s="12"/>
      <c r="T824" s="12"/>
      <c r="U824" s="12"/>
      <c r="V824" s="12"/>
      <c r="W824" s="12"/>
      <c r="X824" s="12"/>
      <c r="Y824" s="12"/>
      <c r="Z824" s="12"/>
    </row>
    <row r="825" spans="1:26" ht="14.25" customHeight="1" x14ac:dyDescent="0.3">
      <c r="A825" s="155">
        <v>61</v>
      </c>
      <c r="B825" s="156" t="s">
        <v>530</v>
      </c>
      <c r="C825" s="3"/>
      <c r="D825" s="3"/>
      <c r="E825" s="156" t="s">
        <v>854</v>
      </c>
      <c r="F825" s="3"/>
      <c r="G825" s="158">
        <v>66.666669999999996</v>
      </c>
      <c r="H825" s="155">
        <v>3</v>
      </c>
      <c r="I825" s="155">
        <v>26</v>
      </c>
      <c r="J825" s="156" t="s">
        <v>39</v>
      </c>
      <c r="K825" s="5"/>
      <c r="L825" s="3"/>
      <c r="M825" s="6"/>
      <c r="N825" s="9"/>
      <c r="O825" s="158">
        <v>200</v>
      </c>
      <c r="P825" s="12"/>
      <c r="Q825" s="12"/>
      <c r="R825" s="12"/>
      <c r="S825" s="12"/>
      <c r="T825" s="12"/>
      <c r="U825" s="12"/>
      <c r="V825" s="12"/>
      <c r="W825" s="12"/>
      <c r="X825" s="12"/>
      <c r="Y825" s="12"/>
      <c r="Z825" s="12"/>
    </row>
    <row r="826" spans="1:26" ht="14.25" customHeight="1" x14ac:dyDescent="0.3">
      <c r="A826" s="155">
        <v>544</v>
      </c>
      <c r="B826" s="156" t="s">
        <v>1075</v>
      </c>
      <c r="C826" s="3"/>
      <c r="D826" s="3"/>
      <c r="E826" s="156" t="s">
        <v>1076</v>
      </c>
      <c r="F826" s="3"/>
      <c r="G826" s="158">
        <v>8.6999999999999993</v>
      </c>
      <c r="H826" s="155">
        <v>31</v>
      </c>
      <c r="I826" s="155">
        <v>40</v>
      </c>
      <c r="J826" s="156" t="s">
        <v>39</v>
      </c>
      <c r="K826" s="5"/>
      <c r="L826" s="3"/>
      <c r="M826" s="6"/>
      <c r="N826" s="9"/>
      <c r="O826" s="158">
        <v>269.7</v>
      </c>
      <c r="P826" s="12"/>
      <c r="Q826" s="12"/>
      <c r="R826" s="12"/>
      <c r="S826" s="12"/>
      <c r="T826" s="12"/>
      <c r="U826" s="12"/>
      <c r="V826" s="12"/>
      <c r="W826" s="12"/>
      <c r="X826" s="12"/>
      <c r="Y826" s="12"/>
      <c r="Z826" s="12"/>
    </row>
    <row r="827" spans="1:26" ht="14.25" customHeight="1" x14ac:dyDescent="0.3">
      <c r="A827" s="155">
        <v>545</v>
      </c>
      <c r="B827" s="156" t="s">
        <v>1077</v>
      </c>
      <c r="C827" s="3"/>
      <c r="D827" s="3"/>
      <c r="E827" s="156" t="s">
        <v>1078</v>
      </c>
      <c r="F827" s="3"/>
      <c r="G827" s="158">
        <v>8.6999999999999993</v>
      </c>
      <c r="H827" s="155">
        <v>2</v>
      </c>
      <c r="I827" s="155">
        <v>40</v>
      </c>
      <c r="J827" s="156" t="s">
        <v>39</v>
      </c>
      <c r="K827" s="5"/>
      <c r="L827" s="3"/>
      <c r="M827" s="6"/>
      <c r="N827" s="9"/>
      <c r="O827" s="158">
        <v>17.399999999999999</v>
      </c>
      <c r="P827" s="12"/>
      <c r="Q827" s="12"/>
      <c r="R827" s="12"/>
      <c r="S827" s="12"/>
      <c r="T827" s="12"/>
      <c r="U827" s="12"/>
      <c r="V827" s="12"/>
      <c r="W827" s="12"/>
      <c r="X827" s="12"/>
      <c r="Y827" s="12"/>
      <c r="Z827" s="12"/>
    </row>
    <row r="828" spans="1:26" ht="14.25" customHeight="1" x14ac:dyDescent="0.3">
      <c r="A828" s="155">
        <v>546</v>
      </c>
      <c r="B828" s="156" t="s">
        <v>1079</v>
      </c>
      <c r="C828" s="3"/>
      <c r="D828" s="3"/>
      <c r="E828" s="156" t="s">
        <v>1080</v>
      </c>
      <c r="F828" s="3"/>
      <c r="G828" s="158">
        <v>8.6999999999999993</v>
      </c>
      <c r="H828" s="155">
        <v>103</v>
      </c>
      <c r="I828" s="155">
        <v>40</v>
      </c>
      <c r="J828" s="156" t="s">
        <v>39</v>
      </c>
      <c r="K828" s="5"/>
      <c r="L828" s="3"/>
      <c r="M828" s="6"/>
      <c r="N828" s="9"/>
      <c r="O828" s="158">
        <v>896.1</v>
      </c>
      <c r="P828" s="12"/>
      <c r="Q828" s="12"/>
      <c r="R828" s="12"/>
      <c r="S828" s="12"/>
      <c r="T828" s="12"/>
      <c r="U828" s="12"/>
      <c r="V828" s="12"/>
      <c r="W828" s="12"/>
      <c r="X828" s="12"/>
      <c r="Y828" s="12"/>
      <c r="Z828" s="12"/>
    </row>
    <row r="829" spans="1:26" ht="14.25" customHeight="1" x14ac:dyDescent="0.3">
      <c r="A829" s="155">
        <v>547</v>
      </c>
      <c r="B829" s="156" t="s">
        <v>1081</v>
      </c>
      <c r="C829" s="3"/>
      <c r="D829" s="3"/>
      <c r="E829" s="156" t="s">
        <v>1082</v>
      </c>
      <c r="F829" s="3"/>
      <c r="G829" s="158">
        <v>95</v>
      </c>
      <c r="H829" s="155">
        <v>2</v>
      </c>
      <c r="I829" s="155">
        <v>200</v>
      </c>
      <c r="J829" s="156" t="s">
        <v>39</v>
      </c>
      <c r="K829" s="5"/>
      <c r="L829" s="3"/>
      <c r="M829" s="6"/>
      <c r="N829" s="9"/>
      <c r="O829" s="158">
        <v>190</v>
      </c>
      <c r="P829" s="12"/>
      <c r="Q829" s="12"/>
      <c r="R829" s="12"/>
      <c r="S829" s="12"/>
      <c r="T829" s="12"/>
      <c r="U829" s="12"/>
      <c r="V829" s="12"/>
      <c r="W829" s="12"/>
      <c r="X829" s="12"/>
      <c r="Y829" s="12"/>
      <c r="Z829" s="12"/>
    </row>
    <row r="830" spans="1:26" ht="14.25" customHeight="1" x14ac:dyDescent="0.3">
      <c r="A830" s="155">
        <v>65</v>
      </c>
      <c r="B830" s="156" t="s">
        <v>53</v>
      </c>
      <c r="C830" s="3"/>
      <c r="D830" s="3"/>
      <c r="E830" s="156" t="s">
        <v>1083</v>
      </c>
      <c r="F830" s="3"/>
      <c r="G830" s="158">
        <v>40.785710000000002</v>
      </c>
      <c r="H830" s="155">
        <v>28</v>
      </c>
      <c r="I830" s="155">
        <v>160</v>
      </c>
      <c r="J830" s="156" t="s">
        <v>39</v>
      </c>
      <c r="K830" s="5"/>
      <c r="L830" s="3"/>
      <c r="M830" s="6"/>
      <c r="N830" s="9"/>
      <c r="O830" s="158">
        <v>1142</v>
      </c>
      <c r="P830" s="12"/>
      <c r="Q830" s="12"/>
      <c r="R830" s="12"/>
      <c r="S830" s="12"/>
      <c r="T830" s="12"/>
      <c r="U830" s="12"/>
      <c r="V830" s="12"/>
      <c r="W830" s="12"/>
      <c r="X830" s="12"/>
      <c r="Y830" s="12"/>
      <c r="Z830" s="12"/>
    </row>
    <row r="831" spans="1:26" ht="14.25" customHeight="1" x14ac:dyDescent="0.3">
      <c r="A831" s="155">
        <v>65</v>
      </c>
      <c r="B831" s="156" t="s">
        <v>53</v>
      </c>
      <c r="C831" s="3"/>
      <c r="D831" s="3"/>
      <c r="E831" s="156" t="s">
        <v>1084</v>
      </c>
      <c r="F831" s="3"/>
      <c r="G831" s="158">
        <v>101.3571</v>
      </c>
      <c r="H831" s="155">
        <v>7</v>
      </c>
      <c r="I831" s="155">
        <v>160</v>
      </c>
      <c r="J831" s="156" t="s">
        <v>39</v>
      </c>
      <c r="K831" s="5"/>
      <c r="L831" s="3"/>
      <c r="M831" s="6"/>
      <c r="N831" s="9"/>
      <c r="O831" s="158">
        <v>709.5</v>
      </c>
      <c r="P831" s="12"/>
      <c r="Q831" s="12"/>
      <c r="R831" s="12"/>
      <c r="S831" s="12"/>
      <c r="T831" s="12"/>
      <c r="U831" s="12"/>
      <c r="V831" s="12"/>
      <c r="W831" s="12"/>
      <c r="X831" s="12"/>
      <c r="Y831" s="12"/>
      <c r="Z831" s="12"/>
    </row>
    <row r="832" spans="1:26" ht="14.25" customHeight="1" x14ac:dyDescent="0.3">
      <c r="A832" s="155">
        <v>65</v>
      </c>
      <c r="B832" s="156" t="s">
        <v>53</v>
      </c>
      <c r="C832" s="3"/>
      <c r="D832" s="3"/>
      <c r="E832" s="156" t="s">
        <v>1085</v>
      </c>
      <c r="F832" s="3"/>
      <c r="G832" s="158">
        <v>36.700000000000003</v>
      </c>
      <c r="H832" s="155">
        <v>1</v>
      </c>
      <c r="I832" s="155">
        <v>160</v>
      </c>
      <c r="J832" s="156" t="s">
        <v>39</v>
      </c>
      <c r="K832" s="5"/>
      <c r="L832" s="3"/>
      <c r="M832" s="6"/>
      <c r="N832" s="9"/>
      <c r="O832" s="158">
        <v>36.700000000000003</v>
      </c>
      <c r="P832" s="12"/>
      <c r="Q832" s="12"/>
      <c r="R832" s="12"/>
      <c r="S832" s="12"/>
      <c r="T832" s="12"/>
      <c r="U832" s="12"/>
      <c r="V832" s="12"/>
      <c r="W832" s="12"/>
      <c r="X832" s="12"/>
      <c r="Y832" s="12"/>
      <c r="Z832" s="12"/>
    </row>
    <row r="833" spans="1:26" ht="14.25" customHeight="1" x14ac:dyDescent="0.3">
      <c r="A833" s="155">
        <v>548</v>
      </c>
      <c r="B833" s="156" t="s">
        <v>1086</v>
      </c>
      <c r="C833" s="3"/>
      <c r="D833" s="3"/>
      <c r="E833" s="156" t="s">
        <v>1084</v>
      </c>
      <c r="F833" s="3"/>
      <c r="G833" s="158">
        <v>120</v>
      </c>
      <c r="H833" s="155">
        <v>6</v>
      </c>
      <c r="I833" s="155">
        <v>200</v>
      </c>
      <c r="J833" s="156" t="s">
        <v>39</v>
      </c>
      <c r="K833" s="5"/>
      <c r="L833" s="3"/>
      <c r="M833" s="6"/>
      <c r="N833" s="9"/>
      <c r="O833" s="158">
        <v>720</v>
      </c>
      <c r="P833" s="12"/>
      <c r="Q833" s="12"/>
      <c r="R833" s="12"/>
      <c r="S833" s="12"/>
      <c r="T833" s="12"/>
      <c r="U833" s="12"/>
      <c r="V833" s="12"/>
      <c r="W833" s="12"/>
      <c r="X833" s="12"/>
      <c r="Y833" s="12"/>
      <c r="Z833" s="12"/>
    </row>
    <row r="834" spans="1:26" ht="14.25" customHeight="1" x14ac:dyDescent="0.3">
      <c r="A834" s="155">
        <v>548</v>
      </c>
      <c r="B834" s="156" t="s">
        <v>1086</v>
      </c>
      <c r="C834" s="3"/>
      <c r="D834" s="3"/>
      <c r="E834" s="156" t="s">
        <v>1087</v>
      </c>
      <c r="F834" s="3"/>
      <c r="G834" s="158">
        <v>79</v>
      </c>
      <c r="H834" s="155">
        <v>5</v>
      </c>
      <c r="I834" s="155">
        <v>200</v>
      </c>
      <c r="J834" s="156" t="s">
        <v>39</v>
      </c>
      <c r="K834" s="5"/>
      <c r="L834" s="3"/>
      <c r="M834" s="6"/>
      <c r="N834" s="9"/>
      <c r="O834" s="158">
        <v>395</v>
      </c>
      <c r="P834" s="12"/>
      <c r="Q834" s="12"/>
      <c r="R834" s="12"/>
      <c r="S834" s="12"/>
      <c r="T834" s="12"/>
      <c r="U834" s="12"/>
      <c r="V834" s="12"/>
      <c r="W834" s="12"/>
      <c r="X834" s="12"/>
      <c r="Y834" s="12"/>
      <c r="Z834" s="12"/>
    </row>
    <row r="835" spans="1:26" ht="14.25" customHeight="1" x14ac:dyDescent="0.3">
      <c r="A835" s="155">
        <v>68</v>
      </c>
      <c r="B835" s="156" t="s">
        <v>240</v>
      </c>
      <c r="C835" s="3"/>
      <c r="D835" s="3"/>
      <c r="E835" s="156" t="s">
        <v>1088</v>
      </c>
      <c r="F835" s="3"/>
      <c r="G835" s="158">
        <v>88</v>
      </c>
      <c r="H835" s="155">
        <v>2</v>
      </c>
      <c r="I835" s="155">
        <v>250</v>
      </c>
      <c r="J835" s="156" t="s">
        <v>39</v>
      </c>
      <c r="K835" s="5"/>
      <c r="L835" s="3"/>
      <c r="M835" s="6"/>
      <c r="N835" s="9"/>
      <c r="O835" s="158">
        <v>176</v>
      </c>
      <c r="P835" s="12"/>
      <c r="Q835" s="12"/>
      <c r="R835" s="12"/>
      <c r="S835" s="12"/>
      <c r="T835" s="12"/>
      <c r="U835" s="12"/>
      <c r="V835" s="12"/>
      <c r="W835" s="12"/>
      <c r="X835" s="12"/>
      <c r="Y835" s="12"/>
      <c r="Z835" s="12"/>
    </row>
    <row r="836" spans="1:26" ht="14.25" customHeight="1" x14ac:dyDescent="0.3">
      <c r="A836" s="155">
        <v>68</v>
      </c>
      <c r="B836" s="156" t="s">
        <v>240</v>
      </c>
      <c r="C836" s="3"/>
      <c r="D836" s="3"/>
      <c r="E836" s="156" t="s">
        <v>1089</v>
      </c>
      <c r="F836" s="3"/>
      <c r="G836" s="158">
        <v>40</v>
      </c>
      <c r="H836" s="155">
        <v>1</v>
      </c>
      <c r="I836" s="155">
        <v>250</v>
      </c>
      <c r="J836" s="156" t="s">
        <v>39</v>
      </c>
      <c r="K836" s="5"/>
      <c r="L836" s="3"/>
      <c r="M836" s="6"/>
      <c r="N836" s="9"/>
      <c r="O836" s="158">
        <v>40</v>
      </c>
      <c r="P836" s="12"/>
      <c r="Q836" s="12"/>
      <c r="R836" s="12"/>
      <c r="S836" s="12"/>
      <c r="T836" s="12"/>
      <c r="U836" s="12"/>
      <c r="V836" s="12"/>
      <c r="W836" s="12"/>
      <c r="X836" s="12"/>
      <c r="Y836" s="12"/>
      <c r="Z836" s="12"/>
    </row>
    <row r="837" spans="1:26" ht="14.25" customHeight="1" x14ac:dyDescent="0.3">
      <c r="A837" s="155">
        <v>549</v>
      </c>
      <c r="B837" s="156" t="s">
        <v>1090</v>
      </c>
      <c r="C837" s="3"/>
      <c r="D837" s="3"/>
      <c r="E837" s="156" t="s">
        <v>1068</v>
      </c>
      <c r="F837" s="3"/>
      <c r="G837" s="158">
        <v>15</v>
      </c>
      <c r="H837" s="155">
        <v>3</v>
      </c>
      <c r="I837" s="155">
        <v>30</v>
      </c>
      <c r="J837" s="156" t="s">
        <v>39</v>
      </c>
      <c r="K837" s="5"/>
      <c r="L837" s="3"/>
      <c r="M837" s="6"/>
      <c r="N837" s="9"/>
      <c r="O837" s="158">
        <v>45</v>
      </c>
      <c r="P837" s="12"/>
      <c r="Q837" s="12"/>
      <c r="R837" s="12"/>
      <c r="S837" s="12"/>
      <c r="T837" s="12"/>
      <c r="U837" s="12"/>
      <c r="V837" s="12"/>
      <c r="W837" s="12"/>
      <c r="X837" s="12"/>
      <c r="Y837" s="12"/>
      <c r="Z837" s="12"/>
    </row>
    <row r="838" spans="1:26" ht="14.25" customHeight="1" x14ac:dyDescent="0.3">
      <c r="A838" s="155">
        <v>549</v>
      </c>
      <c r="B838" s="156" t="s">
        <v>1090</v>
      </c>
      <c r="C838" s="3"/>
      <c r="D838" s="3"/>
      <c r="E838" s="156" t="s">
        <v>1004</v>
      </c>
      <c r="F838" s="3"/>
      <c r="G838" s="158">
        <v>55</v>
      </c>
      <c r="H838" s="155">
        <v>22</v>
      </c>
      <c r="I838" s="155">
        <v>30</v>
      </c>
      <c r="J838" s="156" t="s">
        <v>304</v>
      </c>
      <c r="K838" s="5"/>
      <c r="L838" s="3"/>
      <c r="M838" s="6"/>
      <c r="N838" s="9"/>
      <c r="O838" s="158">
        <v>1210</v>
      </c>
      <c r="P838" s="12"/>
      <c r="Q838" s="12"/>
      <c r="R838" s="12"/>
      <c r="S838" s="12"/>
      <c r="T838" s="12"/>
      <c r="U838" s="12"/>
      <c r="V838" s="12"/>
      <c r="W838" s="12"/>
      <c r="X838" s="12"/>
      <c r="Y838" s="12"/>
      <c r="Z838" s="12"/>
    </row>
    <row r="839" spans="1:26" ht="14.25" customHeight="1" x14ac:dyDescent="0.3">
      <c r="A839" s="155">
        <v>550</v>
      </c>
      <c r="B839" s="156" t="s">
        <v>1091</v>
      </c>
      <c r="C839" s="3"/>
      <c r="D839" s="3"/>
      <c r="E839" s="156" t="s">
        <v>1068</v>
      </c>
      <c r="F839" s="3"/>
      <c r="G839" s="158">
        <v>60</v>
      </c>
      <c r="H839" s="155">
        <v>1</v>
      </c>
      <c r="I839" s="155">
        <v>1</v>
      </c>
      <c r="J839" s="156" t="s">
        <v>213</v>
      </c>
      <c r="K839" s="5"/>
      <c r="L839" s="3"/>
      <c r="M839" s="6"/>
      <c r="N839" s="9"/>
      <c r="O839" s="158">
        <v>60</v>
      </c>
      <c r="P839" s="12"/>
      <c r="Q839" s="12"/>
      <c r="R839" s="12"/>
      <c r="S839" s="12"/>
      <c r="T839" s="12"/>
      <c r="U839" s="12"/>
      <c r="V839" s="12"/>
      <c r="W839" s="12"/>
      <c r="X839" s="12"/>
      <c r="Y839" s="12"/>
      <c r="Z839" s="12"/>
    </row>
    <row r="840" spans="1:26" ht="14.25" customHeight="1" x14ac:dyDescent="0.3">
      <c r="A840" s="155">
        <v>551</v>
      </c>
      <c r="B840" s="156" t="s">
        <v>1092</v>
      </c>
      <c r="C840" s="3"/>
      <c r="D840" s="3"/>
      <c r="E840" s="156"/>
      <c r="F840" s="3"/>
      <c r="G840" s="158">
        <v>220</v>
      </c>
      <c r="H840" s="155">
        <v>2</v>
      </c>
      <c r="I840" s="155">
        <v>1000</v>
      </c>
      <c r="J840" s="156" t="s">
        <v>39</v>
      </c>
      <c r="K840" s="5"/>
      <c r="L840" s="3"/>
      <c r="M840" s="6"/>
      <c r="N840" s="9"/>
      <c r="O840" s="158">
        <v>440</v>
      </c>
      <c r="P840" s="12"/>
      <c r="Q840" s="12"/>
      <c r="R840" s="12"/>
      <c r="S840" s="12"/>
      <c r="T840" s="12"/>
      <c r="U840" s="12"/>
      <c r="V840" s="12"/>
      <c r="W840" s="12"/>
      <c r="X840" s="12"/>
      <c r="Y840" s="12"/>
      <c r="Z840" s="12"/>
    </row>
    <row r="841" spans="1:26" ht="14.25" customHeight="1" x14ac:dyDescent="0.3">
      <c r="A841" s="155">
        <v>552</v>
      </c>
      <c r="B841" s="156" t="s">
        <v>1093</v>
      </c>
      <c r="C841" s="3"/>
      <c r="D841" s="3"/>
      <c r="E841" s="156"/>
      <c r="F841" s="3"/>
      <c r="G841" s="158">
        <v>280</v>
      </c>
      <c r="H841" s="155">
        <v>5</v>
      </c>
      <c r="I841" s="155">
        <v>1</v>
      </c>
      <c r="J841" s="156" t="s">
        <v>213</v>
      </c>
      <c r="K841" s="5"/>
      <c r="L841" s="3"/>
      <c r="M841" s="6"/>
      <c r="N841" s="9"/>
      <c r="O841" s="158">
        <v>1400</v>
      </c>
      <c r="P841" s="12"/>
      <c r="Q841" s="12"/>
      <c r="R841" s="12"/>
      <c r="S841" s="12"/>
      <c r="T841" s="12"/>
      <c r="U841" s="12"/>
      <c r="V841" s="12"/>
      <c r="W841" s="12"/>
      <c r="X841" s="12"/>
      <c r="Y841" s="12"/>
      <c r="Z841" s="12"/>
    </row>
    <row r="842" spans="1:26" ht="14.25" customHeight="1" x14ac:dyDescent="0.3">
      <c r="A842" s="155">
        <v>553</v>
      </c>
      <c r="B842" s="156" t="s">
        <v>1094</v>
      </c>
      <c r="C842" s="3"/>
      <c r="D842" s="3"/>
      <c r="E842" s="156"/>
      <c r="F842" s="3"/>
      <c r="G842" s="158">
        <v>184.72970000000001</v>
      </c>
      <c r="H842" s="155">
        <v>74</v>
      </c>
      <c r="I842" s="155">
        <v>1</v>
      </c>
      <c r="J842" s="156" t="s">
        <v>213</v>
      </c>
      <c r="K842" s="5"/>
      <c r="L842" s="3"/>
      <c r="M842" s="6"/>
      <c r="N842" s="9"/>
      <c r="O842" s="158">
        <v>13670</v>
      </c>
      <c r="P842" s="12"/>
      <c r="Q842" s="12"/>
      <c r="R842" s="12"/>
      <c r="S842" s="12"/>
      <c r="T842" s="12"/>
      <c r="U842" s="12"/>
      <c r="V842" s="12"/>
      <c r="W842" s="12"/>
      <c r="X842" s="12"/>
      <c r="Y842" s="12"/>
      <c r="Z842" s="12"/>
    </row>
    <row r="843" spans="1:26" ht="14.25" customHeight="1" x14ac:dyDescent="0.3">
      <c r="A843" s="155">
        <v>554</v>
      </c>
      <c r="B843" s="156" t="s">
        <v>1095</v>
      </c>
      <c r="C843" s="3"/>
      <c r="D843" s="3"/>
      <c r="E843" s="156" t="s">
        <v>850</v>
      </c>
      <c r="F843" s="3"/>
      <c r="G843" s="158">
        <v>265</v>
      </c>
      <c r="H843" s="155">
        <v>7</v>
      </c>
      <c r="I843" s="155">
        <v>1000</v>
      </c>
      <c r="J843" s="156" t="s">
        <v>39</v>
      </c>
      <c r="K843" s="5"/>
      <c r="L843" s="3"/>
      <c r="M843" s="6"/>
      <c r="N843" s="9"/>
      <c r="O843" s="158">
        <v>1855</v>
      </c>
      <c r="P843" s="12"/>
      <c r="Q843" s="12"/>
      <c r="R843" s="12"/>
      <c r="S843" s="12"/>
      <c r="T843" s="12"/>
      <c r="U843" s="12"/>
      <c r="V843" s="12"/>
      <c r="W843" s="12"/>
      <c r="X843" s="12"/>
      <c r="Y843" s="12"/>
      <c r="Z843" s="12"/>
    </row>
    <row r="844" spans="1:26" ht="14.25" customHeight="1" x14ac:dyDescent="0.3">
      <c r="A844" s="155">
        <v>555</v>
      </c>
      <c r="B844" s="156" t="s">
        <v>1096</v>
      </c>
      <c r="C844" s="3"/>
      <c r="D844" s="3"/>
      <c r="E844" s="156"/>
      <c r="F844" s="3"/>
      <c r="G844" s="158">
        <v>150</v>
      </c>
      <c r="H844" s="155">
        <v>56</v>
      </c>
      <c r="I844" s="155">
        <v>1</v>
      </c>
      <c r="J844" s="156" t="s">
        <v>213</v>
      </c>
      <c r="K844" s="5"/>
      <c r="L844" s="3"/>
      <c r="M844" s="6"/>
      <c r="N844" s="9"/>
      <c r="O844" s="158">
        <v>8400</v>
      </c>
      <c r="P844" s="12"/>
      <c r="Q844" s="12"/>
      <c r="R844" s="12"/>
      <c r="S844" s="12"/>
      <c r="T844" s="12"/>
      <c r="U844" s="12"/>
      <c r="V844" s="12"/>
      <c r="W844" s="12"/>
      <c r="X844" s="12"/>
      <c r="Y844" s="12"/>
      <c r="Z844" s="12"/>
    </row>
    <row r="845" spans="1:26" ht="14.25" customHeight="1" x14ac:dyDescent="0.3">
      <c r="A845" s="155">
        <v>556</v>
      </c>
      <c r="B845" s="156" t="s">
        <v>1097</v>
      </c>
      <c r="C845" s="3"/>
      <c r="D845" s="3"/>
      <c r="E845" s="156"/>
      <c r="F845" s="3"/>
      <c r="G845" s="158">
        <v>134</v>
      </c>
      <c r="H845" s="155">
        <v>221</v>
      </c>
      <c r="I845" s="155">
        <v>1</v>
      </c>
      <c r="J845" s="156" t="s">
        <v>213</v>
      </c>
      <c r="K845" s="5"/>
      <c r="L845" s="3"/>
      <c r="M845" s="6"/>
      <c r="N845" s="9"/>
      <c r="O845" s="158">
        <v>29614</v>
      </c>
      <c r="P845" s="12"/>
      <c r="Q845" s="12"/>
      <c r="R845" s="12"/>
      <c r="S845" s="12"/>
      <c r="T845" s="12"/>
      <c r="U845" s="12"/>
      <c r="V845" s="12"/>
      <c r="W845" s="12"/>
      <c r="X845" s="12"/>
      <c r="Y845" s="12"/>
      <c r="Z845" s="12"/>
    </row>
    <row r="846" spans="1:26" ht="14.25" customHeight="1" x14ac:dyDescent="0.3">
      <c r="A846" s="155">
        <v>556</v>
      </c>
      <c r="B846" s="156" t="s">
        <v>1097</v>
      </c>
      <c r="C846" s="3"/>
      <c r="D846" s="3"/>
      <c r="E846" s="156" t="s">
        <v>1098</v>
      </c>
      <c r="F846" s="3"/>
      <c r="G846" s="158">
        <v>145</v>
      </c>
      <c r="H846" s="155">
        <v>11</v>
      </c>
      <c r="I846" s="155">
        <v>1</v>
      </c>
      <c r="J846" s="156" t="s">
        <v>213</v>
      </c>
      <c r="K846" s="5"/>
      <c r="L846" s="3"/>
      <c r="M846" s="6"/>
      <c r="N846" s="9"/>
      <c r="O846" s="158">
        <v>1595</v>
      </c>
      <c r="P846" s="12"/>
      <c r="Q846" s="12"/>
      <c r="R846" s="12"/>
      <c r="S846" s="12"/>
      <c r="T846" s="12"/>
      <c r="U846" s="12"/>
      <c r="V846" s="12"/>
      <c r="W846" s="12"/>
      <c r="X846" s="12"/>
      <c r="Y846" s="12"/>
      <c r="Z846" s="12"/>
    </row>
    <row r="847" spans="1:26" ht="14.25" customHeight="1" x14ac:dyDescent="0.3">
      <c r="A847" s="155">
        <v>557</v>
      </c>
      <c r="B847" s="156" t="s">
        <v>1099</v>
      </c>
      <c r="C847" s="3"/>
      <c r="D847" s="3"/>
      <c r="E847" s="156" t="s">
        <v>850</v>
      </c>
      <c r="F847" s="3"/>
      <c r="G847" s="158">
        <v>190</v>
      </c>
      <c r="H847" s="155">
        <v>12</v>
      </c>
      <c r="I847" s="155">
        <v>1000</v>
      </c>
      <c r="J847" s="156" t="s">
        <v>39</v>
      </c>
      <c r="K847" s="5"/>
      <c r="L847" s="3"/>
      <c r="M847" s="6"/>
      <c r="N847" s="9"/>
      <c r="O847" s="158">
        <v>2280</v>
      </c>
      <c r="P847" s="12"/>
      <c r="Q847" s="12"/>
      <c r="R847" s="12"/>
      <c r="S847" s="12"/>
      <c r="T847" s="12"/>
      <c r="U847" s="12"/>
      <c r="V847" s="12"/>
      <c r="W847" s="12"/>
      <c r="X847" s="12"/>
      <c r="Y847" s="12"/>
      <c r="Z847" s="12"/>
    </row>
    <row r="848" spans="1:26" ht="14.25" customHeight="1" x14ac:dyDescent="0.3">
      <c r="A848" s="155">
        <v>553</v>
      </c>
      <c r="B848" s="156" t="s">
        <v>1094</v>
      </c>
      <c r="C848" s="3"/>
      <c r="D848" s="3"/>
      <c r="E848" s="156"/>
      <c r="F848" s="3"/>
      <c r="G848" s="158">
        <v>195</v>
      </c>
      <c r="H848" s="155">
        <v>78</v>
      </c>
      <c r="I848" s="155">
        <v>1</v>
      </c>
      <c r="J848" s="156" t="s">
        <v>39</v>
      </c>
      <c r="K848" s="5"/>
      <c r="L848" s="3"/>
      <c r="M848" s="6"/>
      <c r="N848" s="9"/>
      <c r="O848" s="158">
        <v>15210</v>
      </c>
      <c r="P848" s="12"/>
      <c r="Q848" s="12"/>
      <c r="R848" s="12"/>
      <c r="S848" s="12"/>
      <c r="T848" s="12"/>
      <c r="U848" s="12"/>
      <c r="V848" s="12"/>
      <c r="W848" s="12"/>
      <c r="X848" s="12"/>
      <c r="Y848" s="12"/>
      <c r="Z848" s="12"/>
    </row>
    <row r="849" spans="1:26" ht="14.25" customHeight="1" x14ac:dyDescent="0.3">
      <c r="A849" s="155">
        <v>73</v>
      </c>
      <c r="B849" s="156" t="s">
        <v>242</v>
      </c>
      <c r="C849" s="3"/>
      <c r="D849" s="3"/>
      <c r="E849" s="156" t="s">
        <v>987</v>
      </c>
      <c r="F849" s="3"/>
      <c r="G849" s="158">
        <v>55</v>
      </c>
      <c r="H849" s="155">
        <v>4</v>
      </c>
      <c r="I849" s="155">
        <v>60</v>
      </c>
      <c r="J849" s="156" t="s">
        <v>39</v>
      </c>
      <c r="K849" s="5"/>
      <c r="L849" s="3"/>
      <c r="M849" s="6"/>
      <c r="N849" s="9"/>
      <c r="O849" s="158">
        <v>220</v>
      </c>
      <c r="P849" s="12"/>
      <c r="Q849" s="12"/>
      <c r="R849" s="12"/>
      <c r="S849" s="12"/>
      <c r="T849" s="12"/>
      <c r="U849" s="12"/>
      <c r="V849" s="12"/>
      <c r="W849" s="12"/>
      <c r="X849" s="12"/>
      <c r="Y849" s="12"/>
      <c r="Z849" s="12"/>
    </row>
    <row r="850" spans="1:26" ht="14.25" customHeight="1" x14ac:dyDescent="0.3">
      <c r="A850" s="155">
        <v>558</v>
      </c>
      <c r="B850" s="156" t="s">
        <v>1100</v>
      </c>
      <c r="C850" s="3"/>
      <c r="D850" s="3"/>
      <c r="E850" s="156" t="s">
        <v>1101</v>
      </c>
      <c r="F850" s="3"/>
      <c r="G850" s="158">
        <v>0</v>
      </c>
      <c r="H850" s="155">
        <v>0</v>
      </c>
      <c r="I850" s="155">
        <v>1000</v>
      </c>
      <c r="J850" s="156" t="s">
        <v>39</v>
      </c>
      <c r="K850" s="5"/>
      <c r="L850" s="3"/>
      <c r="M850" s="6"/>
      <c r="N850" s="9"/>
      <c r="O850" s="158">
        <v>0</v>
      </c>
      <c r="P850" s="12"/>
      <c r="Q850" s="12"/>
      <c r="R850" s="12"/>
      <c r="S850" s="12"/>
      <c r="T850" s="12"/>
      <c r="U850" s="12"/>
      <c r="V850" s="12"/>
      <c r="W850" s="12"/>
      <c r="X850" s="12"/>
      <c r="Y850" s="12"/>
      <c r="Z850" s="12"/>
    </row>
    <row r="851" spans="1:26" ht="14.25" customHeight="1" x14ac:dyDescent="0.3">
      <c r="A851" s="155">
        <v>78</v>
      </c>
      <c r="B851" s="156" t="s">
        <v>244</v>
      </c>
      <c r="C851" s="3"/>
      <c r="D851" s="3"/>
      <c r="E851" s="156" t="s">
        <v>1102</v>
      </c>
      <c r="F851" s="3"/>
      <c r="G851" s="158">
        <v>157.5</v>
      </c>
      <c r="H851" s="155">
        <v>2</v>
      </c>
      <c r="I851" s="155">
        <v>226</v>
      </c>
      <c r="J851" s="156" t="s">
        <v>39</v>
      </c>
      <c r="K851" s="5"/>
      <c r="L851" s="3"/>
      <c r="M851" s="6"/>
      <c r="N851" s="9"/>
      <c r="O851" s="158">
        <v>315</v>
      </c>
      <c r="P851" s="12"/>
      <c r="Q851" s="12"/>
      <c r="R851" s="12"/>
      <c r="S851" s="12"/>
      <c r="T851" s="12"/>
      <c r="U851" s="12"/>
      <c r="V851" s="12"/>
      <c r="W851" s="12"/>
      <c r="X851" s="12"/>
      <c r="Y851" s="12"/>
      <c r="Z851" s="12"/>
    </row>
    <row r="852" spans="1:26" ht="14.25" customHeight="1" x14ac:dyDescent="0.3">
      <c r="A852" s="155">
        <v>559</v>
      </c>
      <c r="B852" s="156" t="s">
        <v>1103</v>
      </c>
      <c r="C852" s="3"/>
      <c r="D852" s="3"/>
      <c r="E852" s="156"/>
      <c r="F852" s="3"/>
      <c r="G852" s="158">
        <v>22</v>
      </c>
      <c r="H852" s="155">
        <v>1</v>
      </c>
      <c r="I852" s="155">
        <v>30</v>
      </c>
      <c r="J852" s="156" t="s">
        <v>39</v>
      </c>
      <c r="K852" s="5"/>
      <c r="L852" s="3"/>
      <c r="M852" s="6"/>
      <c r="N852" s="9"/>
      <c r="O852" s="158">
        <v>22</v>
      </c>
      <c r="P852" s="12"/>
      <c r="Q852" s="12"/>
      <c r="R852" s="12"/>
      <c r="S852" s="12"/>
      <c r="T852" s="12"/>
      <c r="U852" s="12"/>
      <c r="V852" s="12"/>
      <c r="W852" s="12"/>
      <c r="X852" s="12"/>
      <c r="Y852" s="12"/>
      <c r="Z852" s="12"/>
    </row>
    <row r="853" spans="1:26" ht="14.25" customHeight="1" x14ac:dyDescent="0.3">
      <c r="A853" s="155">
        <v>559</v>
      </c>
      <c r="B853" s="156" t="s">
        <v>1103</v>
      </c>
      <c r="C853" s="3"/>
      <c r="D853" s="3"/>
      <c r="E853" s="156" t="s">
        <v>854</v>
      </c>
      <c r="F853" s="3"/>
      <c r="G853" s="158">
        <v>87.5</v>
      </c>
      <c r="H853" s="155">
        <v>4</v>
      </c>
      <c r="I853" s="155">
        <v>30</v>
      </c>
      <c r="J853" s="156" t="s">
        <v>39</v>
      </c>
      <c r="K853" s="5"/>
      <c r="L853" s="3"/>
      <c r="M853" s="6"/>
      <c r="N853" s="9"/>
      <c r="O853" s="158">
        <v>350</v>
      </c>
      <c r="P853" s="12"/>
      <c r="Q853" s="12"/>
      <c r="R853" s="12"/>
      <c r="S853" s="12"/>
      <c r="T853" s="12"/>
      <c r="U853" s="12"/>
      <c r="V853" s="12"/>
      <c r="W853" s="12"/>
      <c r="X853" s="12"/>
      <c r="Y853" s="12"/>
      <c r="Z853" s="12"/>
    </row>
    <row r="854" spans="1:26" ht="14.25" customHeight="1" x14ac:dyDescent="0.3">
      <c r="A854" s="155">
        <v>560</v>
      </c>
      <c r="B854" s="156" t="s">
        <v>1104</v>
      </c>
      <c r="C854" s="3"/>
      <c r="D854" s="3"/>
      <c r="E854" s="156" t="s">
        <v>854</v>
      </c>
      <c r="F854" s="3"/>
      <c r="G854" s="158">
        <v>0</v>
      </c>
      <c r="H854" s="155">
        <v>0</v>
      </c>
      <c r="I854" s="155">
        <v>35</v>
      </c>
      <c r="J854" s="156" t="s">
        <v>39</v>
      </c>
      <c r="K854" s="5"/>
      <c r="L854" s="3"/>
      <c r="M854" s="6"/>
      <c r="N854" s="9"/>
      <c r="O854" s="158">
        <v>0</v>
      </c>
      <c r="P854" s="12"/>
      <c r="Q854" s="12"/>
      <c r="R854" s="12"/>
      <c r="S854" s="12"/>
      <c r="T854" s="12"/>
      <c r="U854" s="12"/>
      <c r="V854" s="12"/>
      <c r="W854" s="12"/>
      <c r="X854" s="12"/>
      <c r="Y854" s="12"/>
      <c r="Z854" s="12"/>
    </row>
    <row r="855" spans="1:26" ht="14.25" customHeight="1" x14ac:dyDescent="0.3">
      <c r="A855" s="155">
        <v>561</v>
      </c>
      <c r="B855" s="156" t="s">
        <v>1105</v>
      </c>
      <c r="C855" s="3"/>
      <c r="D855" s="3"/>
      <c r="E855" s="156" t="s">
        <v>1106</v>
      </c>
      <c r="F855" s="3"/>
      <c r="G855" s="158">
        <v>125</v>
      </c>
      <c r="H855" s="155">
        <v>1</v>
      </c>
      <c r="I855" s="155">
        <v>350</v>
      </c>
      <c r="J855" s="156" t="s">
        <v>39</v>
      </c>
      <c r="K855" s="5"/>
      <c r="L855" s="3"/>
      <c r="M855" s="6"/>
      <c r="N855" s="9"/>
      <c r="O855" s="158">
        <v>125</v>
      </c>
      <c r="P855" s="12"/>
      <c r="Q855" s="12"/>
      <c r="R855" s="12"/>
      <c r="S855" s="12"/>
      <c r="T855" s="12"/>
      <c r="U855" s="12"/>
      <c r="V855" s="12"/>
      <c r="W855" s="12"/>
      <c r="X855" s="12"/>
      <c r="Y855" s="12"/>
      <c r="Z855" s="12"/>
    </row>
    <row r="856" spans="1:26" ht="14.25" customHeight="1" x14ac:dyDescent="0.3">
      <c r="A856" s="155">
        <v>562</v>
      </c>
      <c r="B856" s="156" t="s">
        <v>1107</v>
      </c>
      <c r="C856" s="3"/>
      <c r="D856" s="3"/>
      <c r="E856" s="156" t="s">
        <v>1108</v>
      </c>
      <c r="F856" s="3"/>
      <c r="G856" s="158">
        <v>8.8714759999999995</v>
      </c>
      <c r="H856" s="155">
        <v>908</v>
      </c>
      <c r="I856" s="155">
        <v>24</v>
      </c>
      <c r="J856" s="156" t="s">
        <v>39</v>
      </c>
      <c r="K856" s="5"/>
      <c r="L856" s="3"/>
      <c r="M856" s="6"/>
      <c r="N856" s="9"/>
      <c r="O856" s="158">
        <v>8055.3</v>
      </c>
      <c r="P856" s="12"/>
      <c r="Q856" s="12"/>
      <c r="R856" s="12"/>
      <c r="S856" s="12"/>
      <c r="T856" s="12"/>
      <c r="U856" s="12"/>
      <c r="V856" s="12"/>
      <c r="W856" s="12"/>
      <c r="X856" s="12"/>
      <c r="Y856" s="12"/>
      <c r="Z856" s="12"/>
    </row>
    <row r="857" spans="1:26" ht="14.25" customHeight="1" x14ac:dyDescent="0.3">
      <c r="A857" s="155">
        <v>84</v>
      </c>
      <c r="B857" s="156" t="s">
        <v>549</v>
      </c>
      <c r="C857" s="3"/>
      <c r="D857" s="3"/>
      <c r="E857" s="156" t="s">
        <v>1109</v>
      </c>
      <c r="F857" s="3"/>
      <c r="G857" s="158">
        <v>274.5</v>
      </c>
      <c r="H857" s="155">
        <v>1</v>
      </c>
      <c r="I857" s="155">
        <v>623</v>
      </c>
      <c r="J857" s="156" t="s">
        <v>39</v>
      </c>
      <c r="K857" s="5"/>
      <c r="L857" s="3"/>
      <c r="M857" s="6"/>
      <c r="N857" s="9"/>
      <c r="O857" s="158">
        <v>274.5</v>
      </c>
      <c r="P857" s="12"/>
      <c r="Q857" s="12"/>
      <c r="R857" s="12"/>
      <c r="S857" s="12"/>
      <c r="T857" s="12"/>
      <c r="U857" s="12"/>
      <c r="V857" s="12"/>
      <c r="W857" s="12"/>
      <c r="X857" s="12"/>
      <c r="Y857" s="12"/>
      <c r="Z857" s="12"/>
    </row>
    <row r="858" spans="1:26" ht="14.25" customHeight="1" x14ac:dyDescent="0.3">
      <c r="A858" s="155">
        <v>563</v>
      </c>
      <c r="B858" s="156" t="s">
        <v>1110</v>
      </c>
      <c r="C858" s="3"/>
      <c r="D858" s="3"/>
      <c r="E858" s="156" t="s">
        <v>870</v>
      </c>
      <c r="F858" s="3"/>
      <c r="G858" s="158">
        <v>163.5</v>
      </c>
      <c r="H858" s="155">
        <v>1</v>
      </c>
      <c r="I858" s="155">
        <v>210</v>
      </c>
      <c r="J858" s="156" t="s">
        <v>39</v>
      </c>
      <c r="K858" s="5"/>
      <c r="L858" s="3"/>
      <c r="M858" s="6"/>
      <c r="N858" s="9"/>
      <c r="O858" s="158">
        <v>163.5</v>
      </c>
      <c r="P858" s="12"/>
      <c r="Q858" s="12"/>
      <c r="R858" s="12"/>
      <c r="S858" s="12"/>
      <c r="T858" s="12"/>
      <c r="U858" s="12"/>
      <c r="V858" s="12"/>
      <c r="W858" s="12"/>
      <c r="X858" s="12"/>
      <c r="Y858" s="12"/>
      <c r="Z858" s="12"/>
    </row>
    <row r="859" spans="1:26" ht="14.25" customHeight="1" x14ac:dyDescent="0.3">
      <c r="A859" s="155">
        <v>564</v>
      </c>
      <c r="B859" s="156" t="s">
        <v>1111</v>
      </c>
      <c r="C859" s="3"/>
      <c r="D859" s="3"/>
      <c r="E859" s="156" t="s">
        <v>912</v>
      </c>
      <c r="F859" s="3"/>
      <c r="G859" s="158">
        <v>185</v>
      </c>
      <c r="H859" s="155">
        <v>2</v>
      </c>
      <c r="I859" s="155">
        <v>500</v>
      </c>
      <c r="J859" s="156" t="s">
        <v>39</v>
      </c>
      <c r="K859" s="5"/>
      <c r="L859" s="3"/>
      <c r="M859" s="6"/>
      <c r="N859" s="9"/>
      <c r="O859" s="158">
        <v>370</v>
      </c>
      <c r="P859" s="12"/>
      <c r="Q859" s="12"/>
      <c r="R859" s="12"/>
      <c r="S859" s="12"/>
      <c r="T859" s="12"/>
      <c r="U859" s="12"/>
      <c r="V859" s="12"/>
      <c r="W859" s="12"/>
      <c r="X859" s="12"/>
      <c r="Y859" s="12"/>
      <c r="Z859" s="12"/>
    </row>
    <row r="860" spans="1:26" ht="14.25" customHeight="1" x14ac:dyDescent="0.3">
      <c r="A860" s="155">
        <v>565</v>
      </c>
      <c r="B860" s="156" t="s">
        <v>1112</v>
      </c>
      <c r="C860" s="3"/>
      <c r="D860" s="3"/>
      <c r="E860" s="156" t="s">
        <v>854</v>
      </c>
      <c r="F860" s="3"/>
      <c r="G860" s="158">
        <v>59</v>
      </c>
      <c r="H860" s="155">
        <v>3</v>
      </c>
      <c r="I860" s="155">
        <v>30</v>
      </c>
      <c r="J860" s="156" t="s">
        <v>39</v>
      </c>
      <c r="K860" s="5"/>
      <c r="L860" s="3"/>
      <c r="M860" s="6"/>
      <c r="N860" s="9"/>
      <c r="O860" s="158">
        <v>177</v>
      </c>
      <c r="P860" s="12"/>
      <c r="Q860" s="12"/>
      <c r="R860" s="12"/>
      <c r="S860" s="12"/>
      <c r="T860" s="12"/>
      <c r="U860" s="12"/>
      <c r="V860" s="12"/>
      <c r="W860" s="12"/>
      <c r="X860" s="12"/>
      <c r="Y860" s="12"/>
      <c r="Z860" s="12"/>
    </row>
    <row r="861" spans="1:26" ht="14.25" customHeight="1" x14ac:dyDescent="0.3">
      <c r="A861" s="155">
        <v>566</v>
      </c>
      <c r="B861" s="156" t="s">
        <v>1113</v>
      </c>
      <c r="C861" s="3"/>
      <c r="D861" s="3"/>
      <c r="E861" s="156" t="s">
        <v>1114</v>
      </c>
      <c r="F861" s="3"/>
      <c r="G861" s="158">
        <v>293.125</v>
      </c>
      <c r="H861" s="155">
        <v>4</v>
      </c>
      <c r="I861" s="155">
        <v>1</v>
      </c>
      <c r="J861" s="156" t="s">
        <v>210</v>
      </c>
      <c r="K861" s="5"/>
      <c r="L861" s="3"/>
      <c r="M861" s="6"/>
      <c r="N861" s="9"/>
      <c r="O861" s="158">
        <v>1172.5</v>
      </c>
      <c r="P861" s="12"/>
      <c r="Q861" s="12"/>
      <c r="R861" s="12"/>
      <c r="S861" s="12"/>
      <c r="T861" s="12"/>
      <c r="U861" s="12"/>
      <c r="V861" s="12"/>
      <c r="W861" s="12"/>
      <c r="X861" s="12"/>
      <c r="Y861" s="12"/>
      <c r="Z861" s="12"/>
    </row>
    <row r="862" spans="1:26" ht="14.25" customHeight="1" x14ac:dyDescent="0.3">
      <c r="A862" s="155">
        <v>566</v>
      </c>
      <c r="B862" s="156" t="s">
        <v>1113</v>
      </c>
      <c r="C862" s="3"/>
      <c r="D862" s="3"/>
      <c r="E862" s="156" t="s">
        <v>1114</v>
      </c>
      <c r="F862" s="3"/>
      <c r="G862" s="158">
        <v>262.66669999999999</v>
      </c>
      <c r="H862" s="155">
        <v>3</v>
      </c>
      <c r="I862" s="155">
        <v>1</v>
      </c>
      <c r="J862" s="156" t="s">
        <v>92</v>
      </c>
      <c r="K862" s="5"/>
      <c r="L862" s="3"/>
      <c r="M862" s="6"/>
      <c r="N862" s="9"/>
      <c r="O862" s="158">
        <v>788</v>
      </c>
      <c r="P862" s="12"/>
      <c r="Q862" s="12"/>
      <c r="R862" s="12"/>
      <c r="S862" s="12"/>
      <c r="T862" s="12"/>
      <c r="U862" s="12"/>
      <c r="V862" s="12"/>
      <c r="W862" s="12"/>
      <c r="X862" s="12"/>
      <c r="Y862" s="12"/>
      <c r="Z862" s="12"/>
    </row>
    <row r="863" spans="1:26" ht="14.25" customHeight="1" x14ac:dyDescent="0.3">
      <c r="A863" s="155">
        <v>566</v>
      </c>
      <c r="B863" s="156" t="s">
        <v>1113</v>
      </c>
      <c r="C863" s="3"/>
      <c r="D863" s="3"/>
      <c r="E863" s="156" t="s">
        <v>1115</v>
      </c>
      <c r="F863" s="3"/>
      <c r="G863" s="158">
        <v>384.28570000000002</v>
      </c>
      <c r="H863" s="155">
        <v>7</v>
      </c>
      <c r="I863" s="155">
        <v>1</v>
      </c>
      <c r="J863" s="156" t="s">
        <v>210</v>
      </c>
      <c r="K863" s="5"/>
      <c r="L863" s="3"/>
      <c r="M863" s="6"/>
      <c r="N863" s="9"/>
      <c r="O863" s="158">
        <v>2690</v>
      </c>
      <c r="P863" s="12"/>
      <c r="Q863" s="12"/>
      <c r="R863" s="12"/>
      <c r="S863" s="12"/>
      <c r="T863" s="12"/>
      <c r="U863" s="12"/>
      <c r="V863" s="12"/>
      <c r="W863" s="12"/>
      <c r="X863" s="12"/>
      <c r="Y863" s="12"/>
      <c r="Z863" s="12"/>
    </row>
    <row r="864" spans="1:26" ht="14.25" customHeight="1" x14ac:dyDescent="0.3">
      <c r="A864" s="155">
        <v>567</v>
      </c>
      <c r="B864" s="156" t="s">
        <v>1116</v>
      </c>
      <c r="C864" s="3"/>
      <c r="D864" s="3"/>
      <c r="E864" s="156" t="s">
        <v>1074</v>
      </c>
      <c r="F864" s="3"/>
      <c r="G864" s="158">
        <v>43.6</v>
      </c>
      <c r="H864" s="155">
        <v>4</v>
      </c>
      <c r="I864" s="155">
        <v>20</v>
      </c>
      <c r="J864" s="156" t="s">
        <v>39</v>
      </c>
      <c r="K864" s="5"/>
      <c r="L864" s="3"/>
      <c r="M864" s="6"/>
      <c r="N864" s="9"/>
      <c r="O864" s="158">
        <v>174.4</v>
      </c>
      <c r="P864" s="12"/>
      <c r="Q864" s="12"/>
      <c r="R864" s="12"/>
      <c r="S864" s="12"/>
      <c r="T864" s="12"/>
      <c r="U864" s="12"/>
      <c r="V864" s="12"/>
      <c r="W864" s="12"/>
      <c r="X864" s="12"/>
      <c r="Y864" s="12"/>
      <c r="Z864" s="12"/>
    </row>
    <row r="865" spans="1:26" ht="14.25" customHeight="1" x14ac:dyDescent="0.3">
      <c r="A865" s="155">
        <v>568</v>
      </c>
      <c r="B865" s="156" t="s">
        <v>1117</v>
      </c>
      <c r="C865" s="3"/>
      <c r="D865" s="3"/>
      <c r="E865" s="156"/>
      <c r="F865" s="3"/>
      <c r="G865" s="158">
        <v>50</v>
      </c>
      <c r="H865" s="155">
        <v>9</v>
      </c>
      <c r="I865" s="155">
        <v>100</v>
      </c>
      <c r="J865" s="156" t="s">
        <v>92</v>
      </c>
      <c r="K865" s="5"/>
      <c r="L865" s="3"/>
      <c r="M865" s="6"/>
      <c r="N865" s="9"/>
      <c r="O865" s="158">
        <v>450</v>
      </c>
      <c r="P865" s="12"/>
      <c r="Q865" s="12"/>
      <c r="R865" s="12"/>
      <c r="S865" s="12"/>
      <c r="T865" s="12"/>
      <c r="U865" s="12"/>
      <c r="V865" s="12"/>
      <c r="W865" s="12"/>
      <c r="X865" s="12"/>
      <c r="Y865" s="12"/>
      <c r="Z865" s="12"/>
    </row>
    <row r="866" spans="1:26" ht="14.25" customHeight="1" x14ac:dyDescent="0.3">
      <c r="A866" s="155">
        <v>568</v>
      </c>
      <c r="B866" s="156" t="s">
        <v>1117</v>
      </c>
      <c r="C866" s="3"/>
      <c r="D866" s="3"/>
      <c r="E866" s="156" t="s">
        <v>1118</v>
      </c>
      <c r="F866" s="3"/>
      <c r="G866" s="158">
        <v>25</v>
      </c>
      <c r="H866" s="155">
        <v>13</v>
      </c>
      <c r="I866" s="155">
        <v>100</v>
      </c>
      <c r="J866" s="156" t="s">
        <v>304</v>
      </c>
      <c r="K866" s="5"/>
      <c r="L866" s="3"/>
      <c r="M866" s="6"/>
      <c r="N866" s="9"/>
      <c r="O866" s="158">
        <v>325</v>
      </c>
      <c r="P866" s="12"/>
      <c r="Q866" s="12"/>
      <c r="R866" s="12"/>
      <c r="S866" s="12"/>
      <c r="T866" s="12"/>
      <c r="U866" s="12"/>
      <c r="V866" s="12"/>
      <c r="W866" s="12"/>
      <c r="X866" s="12"/>
      <c r="Y866" s="12"/>
      <c r="Z866" s="12"/>
    </row>
    <row r="867" spans="1:26" ht="14.25" customHeight="1" x14ac:dyDescent="0.3">
      <c r="A867" s="155">
        <v>569</v>
      </c>
      <c r="B867" s="156" t="s">
        <v>1119</v>
      </c>
      <c r="C867" s="3"/>
      <c r="D867" s="3"/>
      <c r="E867" s="156" t="s">
        <v>1120</v>
      </c>
      <c r="F867" s="3"/>
      <c r="G867" s="158">
        <v>60.2</v>
      </c>
      <c r="H867" s="155">
        <v>5</v>
      </c>
      <c r="I867" s="155">
        <v>70</v>
      </c>
      <c r="J867" s="156" t="s">
        <v>39</v>
      </c>
      <c r="K867" s="5"/>
      <c r="L867" s="3"/>
      <c r="M867" s="6"/>
      <c r="N867" s="9"/>
      <c r="O867" s="158">
        <v>301</v>
      </c>
      <c r="P867" s="12"/>
      <c r="Q867" s="12"/>
      <c r="R867" s="12"/>
      <c r="S867" s="12"/>
      <c r="T867" s="12"/>
      <c r="U867" s="12"/>
      <c r="V867" s="12"/>
      <c r="W867" s="12"/>
      <c r="X867" s="12"/>
      <c r="Y867" s="12"/>
      <c r="Z867" s="12"/>
    </row>
    <row r="868" spans="1:26" ht="14.25" customHeight="1" x14ac:dyDescent="0.3">
      <c r="A868" s="155">
        <v>569</v>
      </c>
      <c r="B868" s="156" t="s">
        <v>1119</v>
      </c>
      <c r="C868" s="3"/>
      <c r="D868" s="3"/>
      <c r="E868" s="156" t="s">
        <v>1121</v>
      </c>
      <c r="F868" s="3"/>
      <c r="G868" s="158">
        <v>340</v>
      </c>
      <c r="H868" s="155">
        <v>1</v>
      </c>
      <c r="I868" s="155">
        <v>70</v>
      </c>
      <c r="J868" s="156" t="s">
        <v>39</v>
      </c>
      <c r="K868" s="5"/>
      <c r="L868" s="3"/>
      <c r="M868" s="6"/>
      <c r="N868" s="9"/>
      <c r="O868" s="158">
        <v>340</v>
      </c>
      <c r="P868" s="12"/>
      <c r="Q868" s="12"/>
      <c r="R868" s="12"/>
      <c r="S868" s="12"/>
      <c r="T868" s="12"/>
      <c r="U868" s="12"/>
      <c r="V868" s="12"/>
      <c r="W868" s="12"/>
      <c r="X868" s="12"/>
      <c r="Y868" s="12"/>
      <c r="Z868" s="12"/>
    </row>
    <row r="869" spans="1:26" ht="14.25" customHeight="1" x14ac:dyDescent="0.3">
      <c r="A869" s="155">
        <v>569</v>
      </c>
      <c r="B869" s="156" t="s">
        <v>1119</v>
      </c>
      <c r="C869" s="3"/>
      <c r="D869" s="3"/>
      <c r="E869" s="156" t="s">
        <v>1106</v>
      </c>
      <c r="F869" s="3"/>
      <c r="G869" s="158">
        <v>262</v>
      </c>
      <c r="H869" s="155">
        <v>1</v>
      </c>
      <c r="I869" s="155">
        <v>70</v>
      </c>
      <c r="J869" s="156" t="s">
        <v>39</v>
      </c>
      <c r="K869" s="5"/>
      <c r="L869" s="3"/>
      <c r="M869" s="6"/>
      <c r="N869" s="9"/>
      <c r="O869" s="158">
        <v>262</v>
      </c>
      <c r="P869" s="12"/>
      <c r="Q869" s="12"/>
      <c r="R869" s="12"/>
      <c r="S869" s="12"/>
      <c r="T869" s="12"/>
      <c r="U869" s="12"/>
      <c r="V869" s="12"/>
      <c r="W869" s="12"/>
      <c r="X869" s="12"/>
      <c r="Y869" s="12"/>
      <c r="Z869" s="12"/>
    </row>
    <row r="870" spans="1:26" ht="14.25" customHeight="1" x14ac:dyDescent="0.3">
      <c r="A870" s="155">
        <v>570</v>
      </c>
      <c r="B870" s="156" t="s">
        <v>1122</v>
      </c>
      <c r="C870" s="3"/>
      <c r="D870" s="3"/>
      <c r="E870" s="156" t="s">
        <v>1123</v>
      </c>
      <c r="F870" s="3"/>
      <c r="G870" s="158">
        <v>46</v>
      </c>
      <c r="H870" s="155">
        <v>1</v>
      </c>
      <c r="I870" s="155">
        <v>200</v>
      </c>
      <c r="J870" s="156" t="s">
        <v>39</v>
      </c>
      <c r="K870" s="5"/>
      <c r="L870" s="3"/>
      <c r="M870" s="6"/>
      <c r="N870" s="9"/>
      <c r="O870" s="158">
        <v>46</v>
      </c>
      <c r="P870" s="12"/>
      <c r="Q870" s="12"/>
      <c r="R870" s="12"/>
      <c r="S870" s="12"/>
      <c r="T870" s="12"/>
      <c r="U870" s="12"/>
      <c r="V870" s="12"/>
      <c r="W870" s="12"/>
      <c r="X870" s="12"/>
      <c r="Y870" s="12"/>
      <c r="Z870" s="12"/>
    </row>
    <row r="871" spans="1:26" ht="14.25" customHeight="1" x14ac:dyDescent="0.3">
      <c r="A871" s="155">
        <v>91</v>
      </c>
      <c r="B871" s="156" t="s">
        <v>555</v>
      </c>
      <c r="C871" s="3"/>
      <c r="D871" s="3"/>
      <c r="E871" s="156" t="s">
        <v>1124</v>
      </c>
      <c r="F871" s="3"/>
      <c r="G871" s="158">
        <v>535.04480000000001</v>
      </c>
      <c r="H871" s="155">
        <v>96</v>
      </c>
      <c r="I871" s="155">
        <v>50</v>
      </c>
      <c r="J871" s="156" t="s">
        <v>39</v>
      </c>
      <c r="K871" s="5"/>
      <c r="L871" s="3"/>
      <c r="M871" s="6"/>
      <c r="N871" s="9"/>
      <c r="O871" s="158">
        <v>51364.3</v>
      </c>
      <c r="P871" s="12"/>
      <c r="Q871" s="12"/>
      <c r="R871" s="12"/>
      <c r="S871" s="12"/>
      <c r="T871" s="12"/>
      <c r="U871" s="12"/>
      <c r="V871" s="12"/>
      <c r="W871" s="12"/>
      <c r="X871" s="12"/>
      <c r="Y871" s="12"/>
      <c r="Z871" s="12"/>
    </row>
    <row r="872" spans="1:26" ht="14.25" customHeight="1" x14ac:dyDescent="0.3">
      <c r="A872" s="155">
        <v>92</v>
      </c>
      <c r="B872" s="156" t="s">
        <v>556</v>
      </c>
      <c r="C872" s="3"/>
      <c r="D872" s="3"/>
      <c r="E872" s="156" t="s">
        <v>1124</v>
      </c>
      <c r="F872" s="3"/>
      <c r="G872" s="158">
        <v>26.15</v>
      </c>
      <c r="H872" s="155">
        <v>47</v>
      </c>
      <c r="I872" s="155">
        <v>50</v>
      </c>
      <c r="J872" s="156" t="s">
        <v>39</v>
      </c>
      <c r="K872" s="5"/>
      <c r="L872" s="3"/>
      <c r="M872" s="6"/>
      <c r="N872" s="9"/>
      <c r="O872" s="158">
        <v>1229.05</v>
      </c>
      <c r="P872" s="12"/>
      <c r="Q872" s="12"/>
      <c r="R872" s="12"/>
      <c r="S872" s="12"/>
      <c r="T872" s="12"/>
      <c r="U872" s="12"/>
      <c r="V872" s="12"/>
      <c r="W872" s="12"/>
      <c r="X872" s="12"/>
      <c r="Y872" s="12"/>
      <c r="Z872" s="12"/>
    </row>
    <row r="873" spans="1:26" ht="14.25" customHeight="1" x14ac:dyDescent="0.3">
      <c r="A873" s="155">
        <v>571</v>
      </c>
      <c r="B873" s="156" t="s">
        <v>1125</v>
      </c>
      <c r="C873" s="3"/>
      <c r="D873" s="3"/>
      <c r="E873" s="156" t="s">
        <v>1126</v>
      </c>
      <c r="F873" s="3"/>
      <c r="G873" s="158">
        <v>840</v>
      </c>
      <c r="H873" s="155">
        <v>4</v>
      </c>
      <c r="I873" s="155">
        <v>1000</v>
      </c>
      <c r="J873" s="156" t="s">
        <v>213</v>
      </c>
      <c r="K873" s="5"/>
      <c r="L873" s="3"/>
      <c r="M873" s="6"/>
      <c r="N873" s="9"/>
      <c r="O873" s="158">
        <v>3360</v>
      </c>
      <c r="P873" s="12"/>
      <c r="Q873" s="12"/>
      <c r="R873" s="12"/>
      <c r="S873" s="12"/>
      <c r="T873" s="12"/>
      <c r="U873" s="12"/>
      <c r="V873" s="12"/>
      <c r="W873" s="12"/>
      <c r="X873" s="12"/>
      <c r="Y873" s="12"/>
      <c r="Z873" s="12"/>
    </row>
    <row r="874" spans="1:26" ht="14.25" customHeight="1" x14ac:dyDescent="0.3">
      <c r="A874" s="155">
        <v>572</v>
      </c>
      <c r="B874" s="156" t="s">
        <v>1127</v>
      </c>
      <c r="C874" s="3"/>
      <c r="D874" s="3"/>
      <c r="E874" s="156" t="s">
        <v>1128</v>
      </c>
      <c r="F874" s="3"/>
      <c r="G874" s="158">
        <v>1.9573849999999999</v>
      </c>
      <c r="H874" s="155">
        <v>715</v>
      </c>
      <c r="I874" s="155">
        <v>5</v>
      </c>
      <c r="J874" s="156" t="s">
        <v>39</v>
      </c>
      <c r="K874" s="5"/>
      <c r="L874" s="3"/>
      <c r="M874" s="6"/>
      <c r="N874" s="9"/>
      <c r="O874" s="158">
        <v>1399.53</v>
      </c>
      <c r="P874" s="12"/>
      <c r="Q874" s="12"/>
      <c r="R874" s="12"/>
      <c r="S874" s="12"/>
      <c r="T874" s="12"/>
      <c r="U874" s="12"/>
      <c r="V874" s="12"/>
      <c r="W874" s="12"/>
      <c r="X874" s="12"/>
      <c r="Y874" s="12"/>
      <c r="Z874" s="12"/>
    </row>
    <row r="875" spans="1:26" ht="14.25" customHeight="1" x14ac:dyDescent="0.3">
      <c r="A875" s="155">
        <v>572</v>
      </c>
      <c r="B875" s="156" t="s">
        <v>1127</v>
      </c>
      <c r="C875" s="3"/>
      <c r="D875" s="3"/>
      <c r="E875" s="156" t="s">
        <v>1129</v>
      </c>
      <c r="F875" s="3"/>
      <c r="G875" s="158">
        <v>58.75</v>
      </c>
      <c r="H875" s="155">
        <v>2</v>
      </c>
      <c r="I875" s="155">
        <v>5</v>
      </c>
      <c r="J875" s="156" t="s">
        <v>39</v>
      </c>
      <c r="K875" s="5"/>
      <c r="L875" s="3"/>
      <c r="M875" s="6"/>
      <c r="N875" s="9"/>
      <c r="O875" s="158">
        <v>117.5</v>
      </c>
      <c r="P875" s="12"/>
      <c r="Q875" s="12"/>
      <c r="R875" s="12"/>
      <c r="S875" s="12"/>
      <c r="T875" s="12"/>
      <c r="U875" s="12"/>
      <c r="V875" s="12"/>
      <c r="W875" s="12"/>
      <c r="X875" s="12"/>
      <c r="Y875" s="12"/>
      <c r="Z875" s="12"/>
    </row>
    <row r="876" spans="1:26" ht="14.25" customHeight="1" x14ac:dyDescent="0.3">
      <c r="A876" s="155">
        <v>573</v>
      </c>
      <c r="B876" s="156" t="s">
        <v>1130</v>
      </c>
      <c r="C876" s="3"/>
      <c r="D876" s="3"/>
      <c r="E876" s="156" t="s">
        <v>1131</v>
      </c>
      <c r="F876" s="3"/>
      <c r="G876" s="158">
        <v>486</v>
      </c>
      <c r="H876" s="155">
        <v>1</v>
      </c>
      <c r="I876" s="155">
        <v>100</v>
      </c>
      <c r="J876" s="156" t="s">
        <v>92</v>
      </c>
      <c r="K876" s="5"/>
      <c r="L876" s="3"/>
      <c r="M876" s="6"/>
      <c r="N876" s="9"/>
      <c r="O876" s="158">
        <v>486</v>
      </c>
      <c r="P876" s="12"/>
      <c r="Q876" s="12"/>
      <c r="R876" s="12"/>
      <c r="S876" s="12"/>
      <c r="T876" s="12"/>
      <c r="U876" s="12"/>
      <c r="V876" s="12"/>
      <c r="W876" s="12"/>
      <c r="X876" s="12"/>
      <c r="Y876" s="12"/>
      <c r="Z876" s="12"/>
    </row>
    <row r="877" spans="1:26" ht="14.25" customHeight="1" x14ac:dyDescent="0.3">
      <c r="A877" s="155">
        <v>573</v>
      </c>
      <c r="B877" s="156" t="s">
        <v>1130</v>
      </c>
      <c r="C877" s="3"/>
      <c r="D877" s="3"/>
      <c r="E877" s="156" t="s">
        <v>1132</v>
      </c>
      <c r="F877" s="3"/>
      <c r="G877" s="158">
        <v>5.6</v>
      </c>
      <c r="H877" s="155">
        <v>300</v>
      </c>
      <c r="I877" s="155">
        <v>100</v>
      </c>
      <c r="J877" s="156" t="s">
        <v>92</v>
      </c>
      <c r="K877" s="5"/>
      <c r="L877" s="3"/>
      <c r="M877" s="6"/>
      <c r="N877" s="9"/>
      <c r="O877" s="158">
        <v>1680</v>
      </c>
      <c r="P877" s="12"/>
      <c r="Q877" s="12"/>
      <c r="R877" s="12"/>
      <c r="S877" s="12"/>
      <c r="T877" s="12"/>
      <c r="U877" s="12"/>
      <c r="V877" s="12"/>
      <c r="W877" s="12"/>
      <c r="X877" s="12"/>
      <c r="Y877" s="12"/>
      <c r="Z877" s="12"/>
    </row>
    <row r="878" spans="1:26" ht="14.25" customHeight="1" x14ac:dyDescent="0.3">
      <c r="A878" s="155">
        <v>97</v>
      </c>
      <c r="B878" s="156" t="s">
        <v>131</v>
      </c>
      <c r="C878" s="3"/>
      <c r="D878" s="3"/>
      <c r="E878" s="156" t="s">
        <v>1133</v>
      </c>
      <c r="F878" s="3"/>
      <c r="G878" s="158">
        <v>2.75</v>
      </c>
      <c r="H878" s="155">
        <v>32</v>
      </c>
      <c r="I878" s="155">
        <v>1</v>
      </c>
      <c r="J878" s="156" t="s">
        <v>92</v>
      </c>
      <c r="K878" s="5"/>
      <c r="L878" s="3"/>
      <c r="M878" s="6"/>
      <c r="N878" s="9"/>
      <c r="O878" s="158">
        <v>88</v>
      </c>
      <c r="P878" s="12"/>
      <c r="Q878" s="12"/>
      <c r="R878" s="12"/>
      <c r="S878" s="12"/>
      <c r="T878" s="12"/>
      <c r="U878" s="12"/>
      <c r="V878" s="12"/>
      <c r="W878" s="12"/>
      <c r="X878" s="12"/>
      <c r="Y878" s="12"/>
      <c r="Z878" s="12"/>
    </row>
    <row r="879" spans="1:26" ht="14.25" customHeight="1" x14ac:dyDescent="0.3">
      <c r="A879" s="155">
        <v>97</v>
      </c>
      <c r="B879" s="156" t="s">
        <v>131</v>
      </c>
      <c r="C879" s="3"/>
      <c r="D879" s="3"/>
      <c r="E879" s="156" t="s">
        <v>1134</v>
      </c>
      <c r="F879" s="3"/>
      <c r="G879" s="158">
        <v>132</v>
      </c>
      <c r="H879" s="155">
        <v>1</v>
      </c>
      <c r="I879" s="155">
        <v>1</v>
      </c>
      <c r="J879" s="156" t="s">
        <v>92</v>
      </c>
      <c r="K879" s="5"/>
      <c r="L879" s="3"/>
      <c r="M879" s="6"/>
      <c r="N879" s="9"/>
      <c r="O879" s="158">
        <v>132</v>
      </c>
      <c r="P879" s="12"/>
      <c r="Q879" s="12"/>
      <c r="R879" s="12"/>
      <c r="S879" s="12"/>
      <c r="T879" s="12"/>
      <c r="U879" s="12"/>
      <c r="V879" s="12"/>
      <c r="W879" s="12"/>
      <c r="X879" s="12"/>
      <c r="Y879" s="12"/>
      <c r="Z879" s="12"/>
    </row>
    <row r="880" spans="1:26" ht="14.25" customHeight="1" x14ac:dyDescent="0.3">
      <c r="A880" s="155">
        <v>97</v>
      </c>
      <c r="B880" s="156" t="s">
        <v>131</v>
      </c>
      <c r="C880" s="3"/>
      <c r="D880" s="3"/>
      <c r="E880" s="156" t="s">
        <v>1133</v>
      </c>
      <c r="F880" s="3"/>
      <c r="G880" s="158">
        <v>3.0922649999999998</v>
      </c>
      <c r="H880" s="155">
        <v>1810</v>
      </c>
      <c r="I880" s="155">
        <v>1</v>
      </c>
      <c r="J880" s="156" t="s">
        <v>39</v>
      </c>
      <c r="K880" s="5"/>
      <c r="L880" s="3"/>
      <c r="M880" s="6"/>
      <c r="N880" s="9"/>
      <c r="O880" s="158">
        <v>5597</v>
      </c>
      <c r="P880" s="12"/>
      <c r="Q880" s="12"/>
      <c r="R880" s="12"/>
      <c r="S880" s="12"/>
      <c r="T880" s="12"/>
      <c r="U880" s="12"/>
      <c r="V880" s="12"/>
      <c r="W880" s="12"/>
      <c r="X880" s="12"/>
      <c r="Y880" s="12"/>
      <c r="Z880" s="12"/>
    </row>
    <row r="881" spans="1:26" ht="14.25" customHeight="1" x14ac:dyDescent="0.3">
      <c r="A881" s="155">
        <v>97</v>
      </c>
      <c r="B881" s="156" t="s">
        <v>131</v>
      </c>
      <c r="C881" s="3"/>
      <c r="D881" s="3"/>
      <c r="E881" s="156" t="s">
        <v>1135</v>
      </c>
      <c r="F881" s="3"/>
      <c r="G881" s="158">
        <v>3.2</v>
      </c>
      <c r="H881" s="155">
        <v>31</v>
      </c>
      <c r="I881" s="155">
        <v>1</v>
      </c>
      <c r="J881" s="156" t="s">
        <v>39</v>
      </c>
      <c r="K881" s="5"/>
      <c r="L881" s="3"/>
      <c r="M881" s="6"/>
      <c r="N881" s="9"/>
      <c r="O881" s="158">
        <v>99.2</v>
      </c>
      <c r="P881" s="12"/>
      <c r="Q881" s="12"/>
      <c r="R881" s="12"/>
      <c r="S881" s="12"/>
      <c r="T881" s="12"/>
      <c r="U881" s="12"/>
      <c r="V881" s="12"/>
      <c r="W881" s="12"/>
      <c r="X881" s="12"/>
      <c r="Y881" s="12"/>
      <c r="Z881" s="12"/>
    </row>
    <row r="882" spans="1:26" ht="14.25" customHeight="1" x14ac:dyDescent="0.3">
      <c r="A882" s="155">
        <v>102</v>
      </c>
      <c r="B882" s="156" t="s">
        <v>56</v>
      </c>
      <c r="C882" s="3"/>
      <c r="D882" s="3"/>
      <c r="E882" s="156" t="s">
        <v>35</v>
      </c>
      <c r="F882" s="3"/>
      <c r="G882" s="158">
        <v>60.9</v>
      </c>
      <c r="H882" s="155">
        <v>21</v>
      </c>
      <c r="I882" s="155">
        <v>370</v>
      </c>
      <c r="J882" s="156" t="s">
        <v>32</v>
      </c>
      <c r="K882" s="5"/>
      <c r="L882" s="3"/>
      <c r="M882" s="6"/>
      <c r="N882" s="9"/>
      <c r="O882" s="158">
        <v>1278.9000000000001</v>
      </c>
      <c r="P882" s="12"/>
      <c r="Q882" s="12"/>
      <c r="R882" s="12"/>
      <c r="S882" s="12"/>
      <c r="T882" s="12"/>
      <c r="U882" s="12"/>
      <c r="V882" s="12"/>
      <c r="W882" s="12"/>
      <c r="X882" s="12"/>
      <c r="Y882" s="12"/>
      <c r="Z882" s="12"/>
    </row>
    <row r="883" spans="1:26" ht="14.25" customHeight="1" x14ac:dyDescent="0.3">
      <c r="A883" s="155">
        <v>102</v>
      </c>
      <c r="B883" s="156" t="s">
        <v>56</v>
      </c>
      <c r="C883" s="3"/>
      <c r="D883" s="3"/>
      <c r="E883" s="156" t="s">
        <v>1136</v>
      </c>
      <c r="F883" s="3"/>
      <c r="G883" s="158">
        <v>52.5</v>
      </c>
      <c r="H883" s="155">
        <v>4</v>
      </c>
      <c r="I883" s="155">
        <v>370</v>
      </c>
      <c r="J883" s="156" t="s">
        <v>32</v>
      </c>
      <c r="K883" s="5"/>
      <c r="L883" s="3"/>
      <c r="M883" s="6"/>
      <c r="N883" s="9"/>
      <c r="O883" s="158">
        <v>210</v>
      </c>
      <c r="P883" s="12"/>
      <c r="Q883" s="12"/>
      <c r="R883" s="12"/>
      <c r="S883" s="12"/>
      <c r="T883" s="12"/>
      <c r="U883" s="12"/>
      <c r="V883" s="12"/>
      <c r="W883" s="12"/>
      <c r="X883" s="12"/>
      <c r="Y883" s="12"/>
      <c r="Z883" s="12"/>
    </row>
    <row r="884" spans="1:26" ht="14.25" customHeight="1" x14ac:dyDescent="0.3">
      <c r="A884" s="155">
        <v>102</v>
      </c>
      <c r="B884" s="156" t="s">
        <v>56</v>
      </c>
      <c r="C884" s="3"/>
      <c r="D884" s="3"/>
      <c r="E884" s="156" t="s">
        <v>1137</v>
      </c>
      <c r="F884" s="3"/>
      <c r="G884" s="158">
        <v>41.796880000000002</v>
      </c>
      <c r="H884" s="155">
        <v>32</v>
      </c>
      <c r="I884" s="155">
        <v>370</v>
      </c>
      <c r="J884" s="156" t="s">
        <v>32</v>
      </c>
      <c r="K884" s="5"/>
      <c r="L884" s="3"/>
      <c r="M884" s="6"/>
      <c r="N884" s="9"/>
      <c r="O884" s="158">
        <v>1337.5</v>
      </c>
      <c r="P884" s="12"/>
      <c r="Q884" s="12"/>
      <c r="R884" s="12"/>
      <c r="S884" s="12"/>
      <c r="T884" s="12"/>
      <c r="U884" s="12"/>
      <c r="V884" s="12"/>
      <c r="W884" s="12"/>
      <c r="X884" s="12"/>
      <c r="Y884" s="12"/>
      <c r="Z884" s="12"/>
    </row>
    <row r="885" spans="1:26" ht="14.25" customHeight="1" x14ac:dyDescent="0.3">
      <c r="A885" s="155">
        <v>102</v>
      </c>
      <c r="B885" s="156" t="s">
        <v>56</v>
      </c>
      <c r="C885" s="3"/>
      <c r="D885" s="3"/>
      <c r="E885" s="156" t="s">
        <v>36</v>
      </c>
      <c r="F885" s="3"/>
      <c r="G885" s="158">
        <v>52.7</v>
      </c>
      <c r="H885" s="155">
        <v>26</v>
      </c>
      <c r="I885" s="155">
        <v>370</v>
      </c>
      <c r="J885" s="156" t="s">
        <v>32</v>
      </c>
      <c r="K885" s="5"/>
      <c r="L885" s="3"/>
      <c r="M885" s="6"/>
      <c r="N885" s="9"/>
      <c r="O885" s="158">
        <v>1370.2</v>
      </c>
      <c r="P885" s="12"/>
      <c r="Q885" s="12"/>
      <c r="R885" s="12"/>
      <c r="S885" s="12"/>
      <c r="T885" s="12"/>
      <c r="U885" s="12"/>
      <c r="V885" s="12"/>
      <c r="W885" s="12"/>
      <c r="X885" s="12"/>
      <c r="Y885" s="12"/>
      <c r="Z885" s="12"/>
    </row>
    <row r="886" spans="1:26" ht="14.25" customHeight="1" x14ac:dyDescent="0.3">
      <c r="A886" s="155">
        <v>102</v>
      </c>
      <c r="B886" s="156" t="s">
        <v>56</v>
      </c>
      <c r="C886" s="3"/>
      <c r="D886" s="3"/>
      <c r="E886" s="156" t="s">
        <v>1138</v>
      </c>
      <c r="F886" s="3"/>
      <c r="G886" s="158">
        <v>41.66</v>
      </c>
      <c r="H886" s="155">
        <v>28</v>
      </c>
      <c r="I886" s="155">
        <v>370</v>
      </c>
      <c r="J886" s="156" t="s">
        <v>32</v>
      </c>
      <c r="K886" s="5"/>
      <c r="L886" s="3"/>
      <c r="M886" s="6"/>
      <c r="N886" s="9"/>
      <c r="O886" s="158">
        <v>1166.48</v>
      </c>
      <c r="P886" s="12"/>
      <c r="Q886" s="12"/>
      <c r="R886" s="12"/>
      <c r="S886" s="12"/>
      <c r="T886" s="12"/>
      <c r="U886" s="12"/>
      <c r="V886" s="12"/>
      <c r="W886" s="12"/>
      <c r="X886" s="12"/>
      <c r="Y886" s="12"/>
      <c r="Z886" s="12"/>
    </row>
    <row r="887" spans="1:26" ht="14.25" customHeight="1" x14ac:dyDescent="0.3">
      <c r="A887" s="155">
        <v>102</v>
      </c>
      <c r="B887" s="156" t="s">
        <v>56</v>
      </c>
      <c r="C887" s="3"/>
      <c r="D887" s="3"/>
      <c r="E887" s="156" t="s">
        <v>1139</v>
      </c>
      <c r="F887" s="3"/>
      <c r="G887" s="158">
        <v>54</v>
      </c>
      <c r="H887" s="155">
        <v>1</v>
      </c>
      <c r="I887" s="155">
        <v>370</v>
      </c>
      <c r="J887" s="156" t="s">
        <v>32</v>
      </c>
      <c r="K887" s="5"/>
      <c r="L887" s="3"/>
      <c r="M887" s="6"/>
      <c r="N887" s="9"/>
      <c r="O887" s="158">
        <v>54</v>
      </c>
      <c r="P887" s="12"/>
      <c r="Q887" s="12"/>
      <c r="R887" s="12"/>
      <c r="S887" s="12"/>
      <c r="T887" s="12"/>
      <c r="U887" s="12"/>
      <c r="V887" s="12"/>
      <c r="W887" s="12"/>
      <c r="X887" s="12"/>
      <c r="Y887" s="12"/>
      <c r="Z887" s="12"/>
    </row>
    <row r="888" spans="1:26" ht="14.25" customHeight="1" x14ac:dyDescent="0.3">
      <c r="A888" s="155">
        <v>102</v>
      </c>
      <c r="B888" s="156" t="s">
        <v>56</v>
      </c>
      <c r="C888" s="3"/>
      <c r="D888" s="3"/>
      <c r="E888" s="156" t="s">
        <v>1140</v>
      </c>
      <c r="F888" s="3"/>
      <c r="G888" s="158">
        <v>57.75</v>
      </c>
      <c r="H888" s="155">
        <v>1</v>
      </c>
      <c r="I888" s="155">
        <v>370</v>
      </c>
      <c r="J888" s="156" t="s">
        <v>32</v>
      </c>
      <c r="K888" s="5"/>
      <c r="L888" s="3"/>
      <c r="M888" s="6"/>
      <c r="N888" s="9"/>
      <c r="O888" s="158">
        <v>57.75</v>
      </c>
      <c r="P888" s="12"/>
      <c r="Q888" s="12"/>
      <c r="R888" s="12"/>
      <c r="S888" s="12"/>
      <c r="T888" s="12"/>
      <c r="U888" s="12"/>
      <c r="V888" s="12"/>
      <c r="W888" s="12"/>
      <c r="X888" s="12"/>
      <c r="Y888" s="12"/>
      <c r="Z888" s="12"/>
    </row>
    <row r="889" spans="1:26" ht="14.25" customHeight="1" x14ac:dyDescent="0.3">
      <c r="A889" s="155">
        <v>574</v>
      </c>
      <c r="B889" s="156" t="s">
        <v>1141</v>
      </c>
      <c r="C889" s="3"/>
      <c r="D889" s="3"/>
      <c r="E889" s="156" t="s">
        <v>1142</v>
      </c>
      <c r="F889" s="3"/>
      <c r="G889" s="158">
        <v>6.1</v>
      </c>
      <c r="H889" s="155">
        <v>11</v>
      </c>
      <c r="I889" s="155">
        <v>13</v>
      </c>
      <c r="J889" s="156" t="s">
        <v>32</v>
      </c>
      <c r="K889" s="5"/>
      <c r="L889" s="3"/>
      <c r="M889" s="6"/>
      <c r="N889" s="9"/>
      <c r="O889" s="158">
        <v>67.099999999999994</v>
      </c>
      <c r="P889" s="12"/>
      <c r="Q889" s="12"/>
      <c r="R889" s="12"/>
      <c r="S889" s="12"/>
      <c r="T889" s="12"/>
      <c r="U889" s="12"/>
      <c r="V889" s="12"/>
      <c r="W889" s="12"/>
      <c r="X889" s="12"/>
      <c r="Y889" s="12"/>
      <c r="Z889" s="12"/>
    </row>
    <row r="890" spans="1:26" ht="14.25" customHeight="1" x14ac:dyDescent="0.3">
      <c r="A890" s="155">
        <v>575</v>
      </c>
      <c r="B890" s="156" t="s">
        <v>1143</v>
      </c>
      <c r="C890" s="3"/>
      <c r="D890" s="3"/>
      <c r="E890" s="156" t="s">
        <v>1144</v>
      </c>
      <c r="F890" s="3"/>
      <c r="G890" s="158">
        <v>116.66670000000001</v>
      </c>
      <c r="H890" s="155">
        <v>3</v>
      </c>
      <c r="I890" s="155">
        <v>2272</v>
      </c>
      <c r="J890" s="156" t="s">
        <v>39</v>
      </c>
      <c r="K890" s="5"/>
      <c r="L890" s="3"/>
      <c r="M890" s="6"/>
      <c r="N890" s="9"/>
      <c r="O890" s="158">
        <v>350</v>
      </c>
      <c r="P890" s="12"/>
      <c r="Q890" s="12"/>
      <c r="R890" s="12"/>
      <c r="S890" s="12"/>
      <c r="T890" s="12"/>
      <c r="U890" s="12"/>
      <c r="V890" s="12"/>
      <c r="W890" s="12"/>
      <c r="X890" s="12"/>
      <c r="Y890" s="12"/>
      <c r="Z890" s="12"/>
    </row>
    <row r="891" spans="1:26" ht="14.25" customHeight="1" x14ac:dyDescent="0.3">
      <c r="A891" s="155">
        <v>107</v>
      </c>
      <c r="B891" s="156" t="s">
        <v>217</v>
      </c>
      <c r="C891" s="3"/>
      <c r="D891" s="3"/>
      <c r="E891" s="156" t="s">
        <v>1145</v>
      </c>
      <c r="F891" s="3"/>
      <c r="G891" s="158">
        <v>69</v>
      </c>
      <c r="H891" s="155">
        <v>7</v>
      </c>
      <c r="I891" s="155">
        <v>250</v>
      </c>
      <c r="J891" s="156" t="s">
        <v>39</v>
      </c>
      <c r="K891" s="5"/>
      <c r="L891" s="3"/>
      <c r="M891" s="6"/>
      <c r="N891" s="9"/>
      <c r="O891" s="158">
        <v>483</v>
      </c>
      <c r="P891" s="12"/>
      <c r="Q891" s="12"/>
      <c r="R891" s="12"/>
      <c r="S891" s="12"/>
      <c r="T891" s="12"/>
      <c r="U891" s="12"/>
      <c r="V891" s="12"/>
      <c r="W891" s="12"/>
      <c r="X891" s="12"/>
      <c r="Y891" s="12"/>
      <c r="Z891" s="12"/>
    </row>
    <row r="892" spans="1:26" ht="14.25" customHeight="1" x14ac:dyDescent="0.3">
      <c r="A892" s="155">
        <v>576</v>
      </c>
      <c r="B892" s="156" t="s">
        <v>1146</v>
      </c>
      <c r="C892" s="3"/>
      <c r="D892" s="3"/>
      <c r="E892" s="156" t="s">
        <v>1147</v>
      </c>
      <c r="F892" s="3"/>
      <c r="G892" s="158">
        <v>83.3</v>
      </c>
      <c r="H892" s="155">
        <v>4</v>
      </c>
      <c r="I892" s="155">
        <v>143</v>
      </c>
      <c r="J892" s="156" t="s">
        <v>39</v>
      </c>
      <c r="K892" s="5"/>
      <c r="L892" s="3"/>
      <c r="M892" s="6"/>
      <c r="N892" s="9"/>
      <c r="O892" s="158">
        <v>333.2</v>
      </c>
      <c r="P892" s="12"/>
      <c r="Q892" s="12"/>
      <c r="R892" s="12"/>
      <c r="S892" s="12"/>
      <c r="T892" s="12"/>
      <c r="U892" s="12"/>
      <c r="V892" s="12"/>
      <c r="W892" s="12"/>
      <c r="X892" s="12"/>
      <c r="Y892" s="12"/>
      <c r="Z892" s="12"/>
    </row>
    <row r="893" spans="1:26" ht="14.25" customHeight="1" x14ac:dyDescent="0.3">
      <c r="A893" s="155">
        <v>576</v>
      </c>
      <c r="B893" s="156" t="s">
        <v>1146</v>
      </c>
      <c r="C893" s="3"/>
      <c r="D893" s="3"/>
      <c r="E893" s="156" t="s">
        <v>1148</v>
      </c>
      <c r="F893" s="3"/>
      <c r="G893" s="158">
        <v>56.2</v>
      </c>
      <c r="H893" s="155">
        <v>2</v>
      </c>
      <c r="I893" s="155">
        <v>143</v>
      </c>
      <c r="J893" s="156" t="s">
        <v>39</v>
      </c>
      <c r="K893" s="5"/>
      <c r="L893" s="3"/>
      <c r="M893" s="6"/>
      <c r="N893" s="9"/>
      <c r="O893" s="158">
        <v>112.4</v>
      </c>
      <c r="P893" s="12"/>
      <c r="Q893" s="12"/>
      <c r="R893" s="12"/>
      <c r="S893" s="12"/>
      <c r="T893" s="12"/>
      <c r="U893" s="12"/>
      <c r="V893" s="12"/>
      <c r="W893" s="12"/>
      <c r="X893" s="12"/>
      <c r="Y893" s="12"/>
      <c r="Z893" s="12"/>
    </row>
    <row r="894" spans="1:26" ht="14.25" customHeight="1" x14ac:dyDescent="0.3">
      <c r="A894" s="155">
        <v>576</v>
      </c>
      <c r="B894" s="156" t="s">
        <v>1146</v>
      </c>
      <c r="C894" s="3"/>
      <c r="D894" s="3"/>
      <c r="E894" s="156" t="s">
        <v>1149</v>
      </c>
      <c r="F894" s="3"/>
      <c r="G894" s="158">
        <v>16.635000000000002</v>
      </c>
      <c r="H894" s="155">
        <v>80</v>
      </c>
      <c r="I894" s="155">
        <v>143</v>
      </c>
      <c r="J894" s="156" t="s">
        <v>39</v>
      </c>
      <c r="K894" s="5"/>
      <c r="L894" s="3"/>
      <c r="M894" s="6"/>
      <c r="N894" s="9"/>
      <c r="O894" s="158">
        <v>1330.8</v>
      </c>
      <c r="P894" s="12"/>
      <c r="Q894" s="12"/>
      <c r="R894" s="12"/>
      <c r="S894" s="12"/>
      <c r="T894" s="12"/>
      <c r="U894" s="12"/>
      <c r="V894" s="12"/>
      <c r="W894" s="12"/>
      <c r="X894" s="12"/>
      <c r="Y894" s="12"/>
      <c r="Z894" s="12"/>
    </row>
    <row r="895" spans="1:26" ht="14.25" customHeight="1" x14ac:dyDescent="0.3">
      <c r="A895" s="155">
        <v>108</v>
      </c>
      <c r="B895" s="156" t="s">
        <v>569</v>
      </c>
      <c r="C895" s="3"/>
      <c r="D895" s="3"/>
      <c r="E895" s="156" t="s">
        <v>1150</v>
      </c>
      <c r="F895" s="3"/>
      <c r="G895" s="158">
        <v>1708.2629999999999</v>
      </c>
      <c r="H895" s="155">
        <v>8</v>
      </c>
      <c r="I895" s="155">
        <v>3500</v>
      </c>
      <c r="J895" s="156" t="s">
        <v>773</v>
      </c>
      <c r="K895" s="5"/>
      <c r="L895" s="3"/>
      <c r="M895" s="6"/>
      <c r="N895" s="9"/>
      <c r="O895" s="158">
        <v>13666.1</v>
      </c>
      <c r="P895" s="12"/>
      <c r="Q895" s="12"/>
      <c r="R895" s="12"/>
      <c r="S895" s="12"/>
      <c r="T895" s="12"/>
      <c r="U895" s="12"/>
      <c r="V895" s="12"/>
      <c r="W895" s="12"/>
      <c r="X895" s="12"/>
      <c r="Y895" s="12"/>
      <c r="Z895" s="12"/>
    </row>
    <row r="896" spans="1:26" ht="14.25" customHeight="1" x14ac:dyDescent="0.3">
      <c r="A896" s="155">
        <v>108</v>
      </c>
      <c r="B896" s="156" t="s">
        <v>569</v>
      </c>
      <c r="C896" s="3"/>
      <c r="D896" s="3"/>
      <c r="E896" s="156" t="s">
        <v>1151</v>
      </c>
      <c r="F896" s="3"/>
      <c r="G896" s="158">
        <v>318</v>
      </c>
      <c r="H896" s="155">
        <v>7</v>
      </c>
      <c r="I896" s="155">
        <v>3500</v>
      </c>
      <c r="J896" s="156" t="s">
        <v>213</v>
      </c>
      <c r="K896" s="5"/>
      <c r="L896" s="3"/>
      <c r="M896" s="6"/>
      <c r="N896" s="9"/>
      <c r="O896" s="158">
        <v>2226</v>
      </c>
      <c r="P896" s="12"/>
      <c r="Q896" s="12"/>
      <c r="R896" s="12"/>
      <c r="S896" s="12"/>
      <c r="T896" s="12"/>
      <c r="U896" s="12"/>
      <c r="V896" s="12"/>
      <c r="W896" s="12"/>
      <c r="X896" s="12"/>
      <c r="Y896" s="12"/>
      <c r="Z896" s="12"/>
    </row>
    <row r="897" spans="1:26" ht="14.25" customHeight="1" x14ac:dyDescent="0.3">
      <c r="A897" s="155">
        <v>108</v>
      </c>
      <c r="B897" s="156" t="s">
        <v>569</v>
      </c>
      <c r="C897" s="3"/>
      <c r="D897" s="3"/>
      <c r="E897" s="156"/>
      <c r="F897" s="3"/>
      <c r="G897" s="158">
        <v>340</v>
      </c>
      <c r="H897" s="155">
        <v>6</v>
      </c>
      <c r="I897" s="155">
        <v>3500</v>
      </c>
      <c r="J897" s="156" t="s">
        <v>200</v>
      </c>
      <c r="K897" s="5"/>
      <c r="L897" s="3"/>
      <c r="M897" s="6"/>
      <c r="N897" s="9"/>
      <c r="O897" s="158">
        <v>2040</v>
      </c>
      <c r="P897" s="12"/>
      <c r="Q897" s="12"/>
      <c r="R897" s="12"/>
      <c r="S897" s="12"/>
      <c r="T897" s="12"/>
      <c r="U897" s="12"/>
      <c r="V897" s="12"/>
      <c r="W897" s="12"/>
      <c r="X897" s="12"/>
      <c r="Y897" s="12"/>
      <c r="Z897" s="12"/>
    </row>
    <row r="898" spans="1:26" ht="14.25" customHeight="1" x14ac:dyDescent="0.3">
      <c r="A898" s="155">
        <v>108</v>
      </c>
      <c r="B898" s="156" t="s">
        <v>569</v>
      </c>
      <c r="C898" s="3"/>
      <c r="D898" s="3"/>
      <c r="E898" s="156" t="s">
        <v>1071</v>
      </c>
      <c r="F898" s="3"/>
      <c r="G898" s="158">
        <v>1560</v>
      </c>
      <c r="H898" s="155">
        <v>4</v>
      </c>
      <c r="I898" s="155">
        <v>3500</v>
      </c>
      <c r="J898" s="156" t="s">
        <v>773</v>
      </c>
      <c r="K898" s="5"/>
      <c r="L898" s="3"/>
      <c r="M898" s="6"/>
      <c r="N898" s="9"/>
      <c r="O898" s="158">
        <v>6240</v>
      </c>
      <c r="P898" s="12"/>
      <c r="Q898" s="12"/>
      <c r="R898" s="12"/>
      <c r="S898" s="12"/>
      <c r="T898" s="12"/>
      <c r="U898" s="12"/>
      <c r="V898" s="12"/>
      <c r="W898" s="12"/>
      <c r="X898" s="12"/>
      <c r="Y898" s="12"/>
      <c r="Z898" s="12"/>
    </row>
    <row r="899" spans="1:26" ht="14.25" customHeight="1" x14ac:dyDescent="0.3">
      <c r="A899" s="155">
        <v>577</v>
      </c>
      <c r="B899" s="156" t="s">
        <v>1152</v>
      </c>
      <c r="C899" s="3"/>
      <c r="D899" s="3"/>
      <c r="E899" s="156" t="s">
        <v>1153</v>
      </c>
      <c r="F899" s="3"/>
      <c r="G899" s="158">
        <v>78</v>
      </c>
      <c r="H899" s="155">
        <v>1</v>
      </c>
      <c r="I899" s="155">
        <v>350</v>
      </c>
      <c r="J899" s="156" t="s">
        <v>32</v>
      </c>
      <c r="K899" s="5"/>
      <c r="L899" s="3"/>
      <c r="M899" s="6"/>
      <c r="N899" s="9"/>
      <c r="O899" s="158">
        <v>78</v>
      </c>
      <c r="P899" s="12"/>
      <c r="Q899" s="12"/>
      <c r="R899" s="12"/>
      <c r="S899" s="12"/>
      <c r="T899" s="12"/>
      <c r="U899" s="12"/>
      <c r="V899" s="12"/>
      <c r="W899" s="12"/>
      <c r="X899" s="12"/>
      <c r="Y899" s="12"/>
      <c r="Z899" s="12"/>
    </row>
    <row r="900" spans="1:26" ht="14.25" customHeight="1" x14ac:dyDescent="0.3">
      <c r="A900" s="155">
        <v>578</v>
      </c>
      <c r="B900" s="156" t="s">
        <v>1154</v>
      </c>
      <c r="C900" s="3"/>
      <c r="D900" s="3"/>
      <c r="E900" s="156" t="s">
        <v>1074</v>
      </c>
      <c r="F900" s="3"/>
      <c r="G900" s="158">
        <v>11.3</v>
      </c>
      <c r="H900" s="155">
        <v>3</v>
      </c>
      <c r="I900" s="155">
        <v>30</v>
      </c>
      <c r="J900" s="156" t="s">
        <v>39</v>
      </c>
      <c r="K900" s="5"/>
      <c r="L900" s="3"/>
      <c r="M900" s="6"/>
      <c r="N900" s="9"/>
      <c r="O900" s="158">
        <v>33.9</v>
      </c>
      <c r="P900" s="12"/>
      <c r="Q900" s="12"/>
      <c r="R900" s="12"/>
      <c r="S900" s="12"/>
      <c r="T900" s="12"/>
      <c r="U900" s="12"/>
      <c r="V900" s="12"/>
      <c r="W900" s="12"/>
      <c r="X900" s="12"/>
      <c r="Y900" s="12"/>
      <c r="Z900" s="12"/>
    </row>
    <row r="901" spans="1:26" ht="14.25" customHeight="1" x14ac:dyDescent="0.3">
      <c r="A901" s="155">
        <v>579</v>
      </c>
      <c r="B901" s="156" t="s">
        <v>1155</v>
      </c>
      <c r="C901" s="3"/>
      <c r="D901" s="3"/>
      <c r="E901" s="156" t="s">
        <v>1156</v>
      </c>
      <c r="F901" s="3"/>
      <c r="G901" s="158">
        <v>102</v>
      </c>
      <c r="H901" s="155">
        <v>1</v>
      </c>
      <c r="I901" s="155">
        <v>500</v>
      </c>
      <c r="J901" s="156" t="s">
        <v>32</v>
      </c>
      <c r="K901" s="5"/>
      <c r="L901" s="3"/>
      <c r="M901" s="6"/>
      <c r="N901" s="9"/>
      <c r="O901" s="158">
        <v>102</v>
      </c>
      <c r="P901" s="12"/>
      <c r="Q901" s="12"/>
      <c r="R901" s="12"/>
      <c r="S901" s="12"/>
      <c r="T901" s="12"/>
      <c r="U901" s="12"/>
      <c r="V901" s="12"/>
      <c r="W901" s="12"/>
      <c r="X901" s="12"/>
      <c r="Y901" s="12"/>
      <c r="Z901" s="12"/>
    </row>
    <row r="902" spans="1:26" ht="14.25" customHeight="1" x14ac:dyDescent="0.3">
      <c r="A902" s="155">
        <v>111</v>
      </c>
      <c r="B902" s="156" t="s">
        <v>171</v>
      </c>
      <c r="C902" s="3"/>
      <c r="D902" s="3"/>
      <c r="E902" s="156" t="s">
        <v>1157</v>
      </c>
      <c r="F902" s="3"/>
      <c r="G902" s="158">
        <v>56.1</v>
      </c>
      <c r="H902" s="155">
        <v>6</v>
      </c>
      <c r="I902" s="155">
        <v>260</v>
      </c>
      <c r="J902" s="156" t="s">
        <v>39</v>
      </c>
      <c r="K902" s="5"/>
      <c r="L902" s="3"/>
      <c r="M902" s="6"/>
      <c r="N902" s="9"/>
      <c r="O902" s="158">
        <v>336.6</v>
      </c>
      <c r="P902" s="12"/>
      <c r="Q902" s="12"/>
      <c r="R902" s="12"/>
      <c r="S902" s="12"/>
      <c r="T902" s="12"/>
      <c r="U902" s="12"/>
      <c r="V902" s="12"/>
      <c r="W902" s="12"/>
      <c r="X902" s="12"/>
      <c r="Y902" s="12"/>
      <c r="Z902" s="12"/>
    </row>
    <row r="903" spans="1:26" ht="14.25" customHeight="1" x14ac:dyDescent="0.3">
      <c r="A903" s="155">
        <v>114</v>
      </c>
      <c r="B903" s="156" t="s">
        <v>62</v>
      </c>
      <c r="C903" s="3"/>
      <c r="D903" s="3"/>
      <c r="E903" s="156" t="s">
        <v>1068</v>
      </c>
      <c r="F903" s="3"/>
      <c r="G903" s="158">
        <v>65</v>
      </c>
      <c r="H903" s="155">
        <v>5</v>
      </c>
      <c r="I903" s="155">
        <v>1</v>
      </c>
      <c r="J903" s="156" t="s">
        <v>213</v>
      </c>
      <c r="K903" s="5"/>
      <c r="L903" s="3"/>
      <c r="M903" s="6"/>
      <c r="N903" s="9"/>
      <c r="O903" s="158">
        <v>325</v>
      </c>
      <c r="P903" s="12"/>
      <c r="Q903" s="12"/>
      <c r="R903" s="12"/>
      <c r="S903" s="12"/>
      <c r="T903" s="12"/>
      <c r="U903" s="12"/>
      <c r="V903" s="12"/>
      <c r="W903" s="12"/>
      <c r="X903" s="12"/>
      <c r="Y903" s="12"/>
      <c r="Z903" s="12"/>
    </row>
    <row r="904" spans="1:26" ht="14.25" customHeight="1" x14ac:dyDescent="0.3">
      <c r="A904" s="155">
        <v>114</v>
      </c>
      <c r="B904" s="156" t="s">
        <v>62</v>
      </c>
      <c r="C904" s="3"/>
      <c r="D904" s="3"/>
      <c r="E904" s="156" t="s">
        <v>38</v>
      </c>
      <c r="F904" s="3"/>
      <c r="G904" s="158">
        <v>947.15</v>
      </c>
      <c r="H904" s="155">
        <v>1</v>
      </c>
      <c r="I904" s="155">
        <v>1</v>
      </c>
      <c r="J904" s="156" t="s">
        <v>39</v>
      </c>
      <c r="K904" s="5"/>
      <c r="L904" s="3"/>
      <c r="M904" s="6"/>
      <c r="N904" s="9"/>
      <c r="O904" s="158">
        <v>947.15</v>
      </c>
      <c r="P904" s="12"/>
      <c r="Q904" s="12"/>
      <c r="R904" s="12"/>
      <c r="S904" s="12"/>
      <c r="T904" s="12"/>
      <c r="U904" s="12"/>
      <c r="V904" s="12"/>
      <c r="W904" s="12"/>
      <c r="X904" s="12"/>
      <c r="Y904" s="12"/>
      <c r="Z904" s="12"/>
    </row>
    <row r="905" spans="1:26" ht="14.25" customHeight="1" x14ac:dyDescent="0.3">
      <c r="A905" s="155">
        <v>114</v>
      </c>
      <c r="B905" s="156" t="s">
        <v>62</v>
      </c>
      <c r="C905" s="3"/>
      <c r="D905" s="3"/>
      <c r="E905" s="156"/>
      <c r="F905" s="3"/>
      <c r="G905" s="158">
        <v>54</v>
      </c>
      <c r="H905" s="155">
        <v>3</v>
      </c>
      <c r="I905" s="155">
        <v>1</v>
      </c>
      <c r="J905" s="156" t="s">
        <v>213</v>
      </c>
      <c r="K905" s="5"/>
      <c r="L905" s="3"/>
      <c r="M905" s="6"/>
      <c r="N905" s="9"/>
      <c r="O905" s="158">
        <v>162</v>
      </c>
      <c r="P905" s="12"/>
      <c r="Q905" s="12"/>
      <c r="R905" s="12"/>
      <c r="S905" s="12"/>
      <c r="T905" s="12"/>
      <c r="U905" s="12"/>
      <c r="V905" s="12"/>
      <c r="W905" s="12"/>
      <c r="X905" s="12"/>
      <c r="Y905" s="12"/>
      <c r="Z905" s="12"/>
    </row>
    <row r="906" spans="1:26" ht="14.25" customHeight="1" x14ac:dyDescent="0.3">
      <c r="A906" s="155">
        <v>114</v>
      </c>
      <c r="B906" s="156" t="s">
        <v>62</v>
      </c>
      <c r="C906" s="3"/>
      <c r="D906" s="3"/>
      <c r="E906" s="156" t="s">
        <v>851</v>
      </c>
      <c r="F906" s="3"/>
      <c r="G906" s="158">
        <v>60</v>
      </c>
      <c r="H906" s="155">
        <v>1</v>
      </c>
      <c r="I906" s="155">
        <v>1</v>
      </c>
      <c r="J906" s="156" t="s">
        <v>39</v>
      </c>
      <c r="K906" s="5"/>
      <c r="L906" s="3"/>
      <c r="M906" s="6"/>
      <c r="N906" s="9"/>
      <c r="O906" s="158">
        <v>60</v>
      </c>
      <c r="P906" s="12"/>
      <c r="Q906" s="12"/>
      <c r="R906" s="12"/>
      <c r="S906" s="12"/>
      <c r="T906" s="12"/>
      <c r="U906" s="12"/>
      <c r="V906" s="12"/>
      <c r="W906" s="12"/>
      <c r="X906" s="12"/>
      <c r="Y906" s="12"/>
      <c r="Z906" s="12"/>
    </row>
    <row r="907" spans="1:26" ht="14.25" customHeight="1" x14ac:dyDescent="0.3">
      <c r="A907" s="155">
        <v>114</v>
      </c>
      <c r="B907" s="156" t="s">
        <v>62</v>
      </c>
      <c r="C907" s="3"/>
      <c r="D907" s="3"/>
      <c r="E907" s="156" t="s">
        <v>47</v>
      </c>
      <c r="F907" s="3"/>
      <c r="G907" s="158">
        <v>48.7</v>
      </c>
      <c r="H907" s="155">
        <v>4</v>
      </c>
      <c r="I907" s="155">
        <v>1</v>
      </c>
      <c r="J907" s="156" t="s">
        <v>39</v>
      </c>
      <c r="K907" s="5"/>
      <c r="L907" s="3"/>
      <c r="M907" s="6"/>
      <c r="N907" s="9"/>
      <c r="O907" s="158">
        <v>194.8</v>
      </c>
      <c r="P907" s="12"/>
      <c r="Q907" s="12"/>
      <c r="R907" s="12"/>
      <c r="S907" s="12"/>
      <c r="T907" s="12"/>
      <c r="U907" s="12"/>
      <c r="V907" s="12"/>
      <c r="W907" s="12"/>
      <c r="X907" s="12"/>
      <c r="Y907" s="12"/>
      <c r="Z907" s="12"/>
    </row>
    <row r="908" spans="1:26" ht="14.25" customHeight="1" x14ac:dyDescent="0.3">
      <c r="A908" s="155">
        <v>114</v>
      </c>
      <c r="B908" s="156" t="s">
        <v>62</v>
      </c>
      <c r="C908" s="3"/>
      <c r="D908" s="3"/>
      <c r="E908" s="156"/>
      <c r="F908" s="3"/>
      <c r="G908" s="158">
        <v>56</v>
      </c>
      <c r="H908" s="155">
        <v>15</v>
      </c>
      <c r="I908" s="155">
        <v>1</v>
      </c>
      <c r="J908" s="156" t="s">
        <v>39</v>
      </c>
      <c r="K908" s="5"/>
      <c r="L908" s="3"/>
      <c r="M908" s="6"/>
      <c r="N908" s="9"/>
      <c r="O908" s="158">
        <v>840</v>
      </c>
      <c r="P908" s="12"/>
      <c r="Q908" s="12"/>
      <c r="R908" s="12"/>
      <c r="S908" s="12"/>
      <c r="T908" s="12"/>
      <c r="U908" s="12"/>
      <c r="V908" s="12"/>
      <c r="W908" s="12"/>
      <c r="X908" s="12"/>
      <c r="Y908" s="12"/>
      <c r="Z908" s="12"/>
    </row>
    <row r="909" spans="1:26" ht="14.25" customHeight="1" x14ac:dyDescent="0.3">
      <c r="A909" s="155">
        <v>114</v>
      </c>
      <c r="B909" s="156" t="s">
        <v>62</v>
      </c>
      <c r="C909" s="3"/>
      <c r="D909" s="3"/>
      <c r="E909" s="156" t="s">
        <v>47</v>
      </c>
      <c r="F909" s="3"/>
      <c r="G909" s="158">
        <v>55</v>
      </c>
      <c r="H909" s="155">
        <v>5</v>
      </c>
      <c r="I909" s="155">
        <v>1</v>
      </c>
      <c r="J909" s="156" t="s">
        <v>213</v>
      </c>
      <c r="K909" s="5"/>
      <c r="L909" s="3"/>
      <c r="M909" s="6"/>
      <c r="N909" s="9"/>
      <c r="O909" s="158">
        <v>275</v>
      </c>
      <c r="P909" s="12"/>
      <c r="Q909" s="12"/>
      <c r="R909" s="12"/>
      <c r="S909" s="12"/>
      <c r="T909" s="12"/>
      <c r="U909" s="12"/>
      <c r="V909" s="12"/>
      <c r="W909" s="12"/>
      <c r="X909" s="12"/>
      <c r="Y909" s="12"/>
      <c r="Z909" s="12"/>
    </row>
    <row r="910" spans="1:26" ht="14.25" customHeight="1" x14ac:dyDescent="0.3">
      <c r="A910" s="155">
        <v>580</v>
      </c>
      <c r="B910" s="156" t="s">
        <v>1158</v>
      </c>
      <c r="C910" s="3"/>
      <c r="D910" s="3"/>
      <c r="E910" s="156"/>
      <c r="F910" s="3"/>
      <c r="G910" s="158">
        <v>0</v>
      </c>
      <c r="H910" s="155">
        <v>0</v>
      </c>
      <c r="I910" s="155">
        <v>500</v>
      </c>
      <c r="J910" s="156" t="s">
        <v>39</v>
      </c>
      <c r="K910" s="5"/>
      <c r="L910" s="3"/>
      <c r="M910" s="6"/>
      <c r="N910" s="9"/>
      <c r="O910" s="158">
        <v>0</v>
      </c>
      <c r="P910" s="12"/>
      <c r="Q910" s="12"/>
      <c r="R910" s="12"/>
      <c r="S910" s="12"/>
      <c r="T910" s="12"/>
      <c r="U910" s="12"/>
      <c r="V910" s="12"/>
      <c r="W910" s="12"/>
      <c r="X910" s="12"/>
      <c r="Y910" s="12"/>
      <c r="Z910" s="12"/>
    </row>
    <row r="911" spans="1:26" ht="14.25" customHeight="1" x14ac:dyDescent="0.3">
      <c r="A911" s="155">
        <v>115</v>
      </c>
      <c r="B911" s="156" t="s">
        <v>248</v>
      </c>
      <c r="C911" s="3"/>
      <c r="D911" s="3"/>
      <c r="E911" s="156" t="s">
        <v>987</v>
      </c>
      <c r="F911" s="3"/>
      <c r="G911" s="158">
        <v>53.3</v>
      </c>
      <c r="H911" s="155">
        <v>3</v>
      </c>
      <c r="I911" s="155">
        <v>37</v>
      </c>
      <c r="J911" s="156" t="s">
        <v>39</v>
      </c>
      <c r="K911" s="5"/>
      <c r="L911" s="3"/>
      <c r="M911" s="6"/>
      <c r="N911" s="9"/>
      <c r="O911" s="158">
        <v>159.9</v>
      </c>
      <c r="P911" s="12"/>
      <c r="Q911" s="12"/>
      <c r="R911" s="12"/>
      <c r="S911" s="12"/>
      <c r="T911" s="12"/>
      <c r="U911" s="12"/>
      <c r="V911" s="12"/>
      <c r="W911" s="12"/>
      <c r="X911" s="12"/>
      <c r="Y911" s="12"/>
      <c r="Z911" s="12"/>
    </row>
    <row r="912" spans="1:26" ht="14.25" customHeight="1" x14ac:dyDescent="0.3">
      <c r="A912" s="155">
        <v>581</v>
      </c>
      <c r="B912" s="156" t="s">
        <v>1159</v>
      </c>
      <c r="C912" s="3"/>
      <c r="D912" s="3"/>
      <c r="E912" s="156" t="s">
        <v>1160</v>
      </c>
      <c r="F912" s="3"/>
      <c r="G912" s="158">
        <v>0</v>
      </c>
      <c r="H912" s="155">
        <v>0</v>
      </c>
      <c r="I912" s="155">
        <v>500</v>
      </c>
      <c r="J912" s="156" t="s">
        <v>39</v>
      </c>
      <c r="K912" s="5"/>
      <c r="L912" s="3"/>
      <c r="M912" s="6"/>
      <c r="N912" s="9"/>
      <c r="O912" s="158">
        <v>0</v>
      </c>
      <c r="P912" s="12"/>
      <c r="Q912" s="12"/>
      <c r="R912" s="12"/>
      <c r="S912" s="12"/>
      <c r="T912" s="12"/>
      <c r="U912" s="12"/>
      <c r="V912" s="12"/>
      <c r="W912" s="12"/>
      <c r="X912" s="12"/>
      <c r="Y912" s="12"/>
      <c r="Z912" s="12"/>
    </row>
    <row r="913" spans="1:26" ht="14.25" customHeight="1" x14ac:dyDescent="0.3">
      <c r="A913" s="155">
        <v>582</v>
      </c>
      <c r="B913" s="156" t="s">
        <v>1161</v>
      </c>
      <c r="C913" s="3"/>
      <c r="D913" s="3"/>
      <c r="E913" s="156" t="s">
        <v>1162</v>
      </c>
      <c r="F913" s="3"/>
      <c r="G913" s="158">
        <v>6.13</v>
      </c>
      <c r="H913" s="155">
        <v>50</v>
      </c>
      <c r="I913" s="155">
        <v>30</v>
      </c>
      <c r="J913" s="156" t="s">
        <v>39</v>
      </c>
      <c r="K913" s="5"/>
      <c r="L913" s="3"/>
      <c r="M913" s="6"/>
      <c r="N913" s="9"/>
      <c r="O913" s="158">
        <v>306.5</v>
      </c>
      <c r="P913" s="12"/>
      <c r="Q913" s="12"/>
      <c r="R913" s="12"/>
      <c r="S913" s="12"/>
      <c r="T913" s="12"/>
      <c r="U913" s="12"/>
      <c r="V913" s="12"/>
      <c r="W913" s="12"/>
      <c r="X913" s="12"/>
      <c r="Y913" s="12"/>
      <c r="Z913" s="12"/>
    </row>
    <row r="914" spans="1:26" ht="14.25" customHeight="1" x14ac:dyDescent="0.3">
      <c r="A914" s="155">
        <v>582</v>
      </c>
      <c r="B914" s="156" t="s">
        <v>1161</v>
      </c>
      <c r="C914" s="3"/>
      <c r="D914" s="3"/>
      <c r="E914" s="156" t="s">
        <v>1163</v>
      </c>
      <c r="F914" s="3"/>
      <c r="G914" s="158">
        <v>5.71</v>
      </c>
      <c r="H914" s="155">
        <v>30</v>
      </c>
      <c r="I914" s="155">
        <v>30</v>
      </c>
      <c r="J914" s="156" t="s">
        <v>39</v>
      </c>
      <c r="K914" s="5"/>
      <c r="L914" s="3"/>
      <c r="M914" s="6"/>
      <c r="N914" s="9"/>
      <c r="O914" s="158">
        <v>171.3</v>
      </c>
      <c r="P914" s="12"/>
      <c r="Q914" s="12"/>
      <c r="R914" s="12"/>
      <c r="S914" s="12"/>
      <c r="T914" s="12"/>
      <c r="U914" s="12"/>
      <c r="V914" s="12"/>
      <c r="W914" s="12"/>
      <c r="X914" s="12"/>
      <c r="Y914" s="12"/>
      <c r="Z914" s="12"/>
    </row>
    <row r="915" spans="1:26" ht="14.25" customHeight="1" x14ac:dyDescent="0.3">
      <c r="A915" s="155">
        <v>582</v>
      </c>
      <c r="B915" s="156" t="s">
        <v>1161</v>
      </c>
      <c r="C915" s="3"/>
      <c r="D915" s="3"/>
      <c r="E915" s="156" t="s">
        <v>1164</v>
      </c>
      <c r="F915" s="3"/>
      <c r="G915" s="158">
        <v>16.324290000000001</v>
      </c>
      <c r="H915" s="155">
        <v>98</v>
      </c>
      <c r="I915" s="155">
        <v>30</v>
      </c>
      <c r="J915" s="156" t="s">
        <v>39</v>
      </c>
      <c r="K915" s="5"/>
      <c r="L915" s="3"/>
      <c r="M915" s="6"/>
      <c r="N915" s="9"/>
      <c r="O915" s="158">
        <v>1599.78</v>
      </c>
      <c r="P915" s="12"/>
      <c r="Q915" s="12"/>
      <c r="R915" s="12"/>
      <c r="S915" s="12"/>
      <c r="T915" s="12"/>
      <c r="U915" s="12"/>
      <c r="V915" s="12"/>
      <c r="W915" s="12"/>
      <c r="X915" s="12"/>
      <c r="Y915" s="12"/>
      <c r="Z915" s="12"/>
    </row>
    <row r="916" spans="1:26" ht="14.25" customHeight="1" x14ac:dyDescent="0.3">
      <c r="A916" s="155">
        <v>582</v>
      </c>
      <c r="B916" s="156" t="s">
        <v>1161</v>
      </c>
      <c r="C916" s="3"/>
      <c r="D916" s="3"/>
      <c r="E916" s="156" t="s">
        <v>1164</v>
      </c>
      <c r="F916" s="3"/>
      <c r="G916" s="158">
        <v>201</v>
      </c>
      <c r="H916" s="155">
        <v>2</v>
      </c>
      <c r="I916" s="155">
        <v>30</v>
      </c>
      <c r="J916" s="156" t="s">
        <v>1165</v>
      </c>
      <c r="K916" s="5"/>
      <c r="L916" s="3"/>
      <c r="M916" s="6"/>
      <c r="N916" s="9"/>
      <c r="O916" s="158">
        <v>402</v>
      </c>
      <c r="P916" s="12"/>
      <c r="Q916" s="12"/>
      <c r="R916" s="12"/>
      <c r="S916" s="12"/>
      <c r="T916" s="12"/>
      <c r="U916" s="12"/>
      <c r="V916" s="12"/>
      <c r="W916" s="12"/>
      <c r="X916" s="12"/>
      <c r="Y916" s="12"/>
      <c r="Z916" s="12"/>
    </row>
    <row r="917" spans="1:26" ht="14.25" customHeight="1" x14ac:dyDescent="0.3">
      <c r="A917" s="155">
        <v>582</v>
      </c>
      <c r="B917" s="156" t="s">
        <v>1161</v>
      </c>
      <c r="C917" s="3"/>
      <c r="D917" s="3"/>
      <c r="E917" s="156" t="s">
        <v>1164</v>
      </c>
      <c r="F917" s="3"/>
      <c r="G917" s="158">
        <v>5.85</v>
      </c>
      <c r="H917" s="155">
        <v>20</v>
      </c>
      <c r="I917" s="155">
        <v>30</v>
      </c>
      <c r="J917" s="156" t="s">
        <v>92</v>
      </c>
      <c r="K917" s="5"/>
      <c r="L917" s="3"/>
      <c r="M917" s="6"/>
      <c r="N917" s="9"/>
      <c r="O917" s="158">
        <v>117</v>
      </c>
      <c r="P917" s="12"/>
      <c r="Q917" s="12"/>
      <c r="R917" s="12"/>
      <c r="S917" s="12"/>
      <c r="T917" s="12"/>
      <c r="U917" s="12"/>
      <c r="V917" s="12"/>
      <c r="W917" s="12"/>
      <c r="X917" s="12"/>
      <c r="Y917" s="12"/>
      <c r="Z917" s="12"/>
    </row>
    <row r="918" spans="1:26" ht="14.25" customHeight="1" x14ac:dyDescent="0.3">
      <c r="A918" s="155">
        <v>582</v>
      </c>
      <c r="B918" s="156" t="s">
        <v>1161</v>
      </c>
      <c r="C918" s="3"/>
      <c r="D918" s="3"/>
      <c r="E918" s="156" t="s">
        <v>1166</v>
      </c>
      <c r="F918" s="3"/>
      <c r="G918" s="158">
        <v>6.66</v>
      </c>
      <c r="H918" s="155">
        <v>30</v>
      </c>
      <c r="I918" s="155">
        <v>30</v>
      </c>
      <c r="J918" s="156" t="s">
        <v>92</v>
      </c>
      <c r="K918" s="5"/>
      <c r="L918" s="3"/>
      <c r="M918" s="6"/>
      <c r="N918" s="9"/>
      <c r="O918" s="158">
        <v>199.8</v>
      </c>
      <c r="P918" s="12"/>
      <c r="Q918" s="12"/>
      <c r="R918" s="12"/>
      <c r="S918" s="12"/>
      <c r="T918" s="12"/>
      <c r="U918" s="12"/>
      <c r="V918" s="12"/>
      <c r="W918" s="12"/>
      <c r="X918" s="12"/>
      <c r="Y918" s="12"/>
      <c r="Z918" s="12"/>
    </row>
    <row r="919" spans="1:26" ht="14.25" customHeight="1" x14ac:dyDescent="0.3">
      <c r="A919" s="155">
        <v>582</v>
      </c>
      <c r="B919" s="156" t="s">
        <v>1161</v>
      </c>
      <c r="C919" s="3"/>
      <c r="D919" s="3"/>
      <c r="E919" s="156" t="s">
        <v>1167</v>
      </c>
      <c r="F919" s="3"/>
      <c r="G919" s="158">
        <v>6.66</v>
      </c>
      <c r="H919" s="155">
        <v>16</v>
      </c>
      <c r="I919" s="155">
        <v>30</v>
      </c>
      <c r="J919" s="156" t="s">
        <v>92</v>
      </c>
      <c r="K919" s="5"/>
      <c r="L919" s="3"/>
      <c r="M919" s="6"/>
      <c r="N919" s="9"/>
      <c r="O919" s="158">
        <v>106.56</v>
      </c>
      <c r="P919" s="12"/>
      <c r="Q919" s="12"/>
      <c r="R919" s="12"/>
      <c r="S919" s="12"/>
      <c r="T919" s="12"/>
      <c r="U919" s="12"/>
      <c r="V919" s="12"/>
      <c r="W919" s="12"/>
      <c r="X919" s="12"/>
      <c r="Y919" s="12"/>
      <c r="Z919" s="12"/>
    </row>
    <row r="920" spans="1:26" ht="14.25" customHeight="1" x14ac:dyDescent="0.3">
      <c r="A920" s="155">
        <v>582</v>
      </c>
      <c r="B920" s="156" t="s">
        <v>1161</v>
      </c>
      <c r="C920" s="3"/>
      <c r="D920" s="3"/>
      <c r="E920" s="156" t="s">
        <v>1168</v>
      </c>
      <c r="F920" s="3"/>
      <c r="G920" s="158">
        <v>5.7</v>
      </c>
      <c r="H920" s="155">
        <v>6</v>
      </c>
      <c r="I920" s="155">
        <v>30</v>
      </c>
      <c r="J920" s="156" t="s">
        <v>39</v>
      </c>
      <c r="K920" s="5"/>
      <c r="L920" s="3"/>
      <c r="M920" s="6"/>
      <c r="N920" s="9"/>
      <c r="O920" s="158">
        <v>34.200000000000003</v>
      </c>
      <c r="P920" s="12"/>
      <c r="Q920" s="12"/>
      <c r="R920" s="12"/>
      <c r="S920" s="12"/>
      <c r="T920" s="12"/>
      <c r="U920" s="12"/>
      <c r="V920" s="12"/>
      <c r="W920" s="12"/>
      <c r="X920" s="12"/>
      <c r="Y920" s="12"/>
      <c r="Z920" s="12"/>
    </row>
    <row r="921" spans="1:26" ht="14.25" customHeight="1" x14ac:dyDescent="0.3">
      <c r="A921" s="155">
        <v>582</v>
      </c>
      <c r="B921" s="156" t="s">
        <v>1161</v>
      </c>
      <c r="C921" s="3"/>
      <c r="D921" s="3"/>
      <c r="E921" s="156" t="s">
        <v>1169</v>
      </c>
      <c r="F921" s="3"/>
      <c r="G921" s="158">
        <v>5.6</v>
      </c>
      <c r="H921" s="155">
        <v>7</v>
      </c>
      <c r="I921" s="155">
        <v>30</v>
      </c>
      <c r="J921" s="156" t="s">
        <v>39</v>
      </c>
      <c r="K921" s="5"/>
      <c r="L921" s="3"/>
      <c r="M921" s="6"/>
      <c r="N921" s="9"/>
      <c r="O921" s="158">
        <v>39.200000000000003</v>
      </c>
      <c r="P921" s="12"/>
      <c r="Q921" s="12"/>
      <c r="R921" s="12"/>
      <c r="S921" s="12"/>
      <c r="T921" s="12"/>
      <c r="U921" s="12"/>
      <c r="V921" s="12"/>
      <c r="W921" s="12"/>
      <c r="X921" s="12"/>
      <c r="Y921" s="12"/>
      <c r="Z921" s="12"/>
    </row>
    <row r="922" spans="1:26" ht="14.25" customHeight="1" x14ac:dyDescent="0.3">
      <c r="A922" s="155">
        <v>582</v>
      </c>
      <c r="B922" s="156" t="s">
        <v>1161</v>
      </c>
      <c r="C922" s="3"/>
      <c r="D922" s="3"/>
      <c r="E922" s="156" t="s">
        <v>1170</v>
      </c>
      <c r="F922" s="3"/>
      <c r="G922" s="158">
        <v>5.71</v>
      </c>
      <c r="H922" s="155">
        <v>30</v>
      </c>
      <c r="I922" s="155">
        <v>30</v>
      </c>
      <c r="J922" s="156" t="s">
        <v>92</v>
      </c>
      <c r="K922" s="5"/>
      <c r="L922" s="3"/>
      <c r="M922" s="6"/>
      <c r="N922" s="9"/>
      <c r="O922" s="158">
        <v>171.3</v>
      </c>
      <c r="P922" s="12"/>
      <c r="Q922" s="12"/>
      <c r="R922" s="12"/>
      <c r="S922" s="12"/>
      <c r="T922" s="12"/>
      <c r="U922" s="12"/>
      <c r="V922" s="12"/>
      <c r="W922" s="12"/>
      <c r="X922" s="12"/>
      <c r="Y922" s="12"/>
      <c r="Z922" s="12"/>
    </row>
    <row r="923" spans="1:26" ht="14.25" customHeight="1" x14ac:dyDescent="0.3">
      <c r="A923" s="155">
        <v>582</v>
      </c>
      <c r="B923" s="156" t="s">
        <v>1161</v>
      </c>
      <c r="C923" s="3"/>
      <c r="D923" s="3"/>
      <c r="E923" s="156" t="s">
        <v>1171</v>
      </c>
      <c r="F923" s="3"/>
      <c r="G923" s="158">
        <v>5.71</v>
      </c>
      <c r="H923" s="155">
        <v>30</v>
      </c>
      <c r="I923" s="155">
        <v>30</v>
      </c>
      <c r="J923" s="156" t="s">
        <v>92</v>
      </c>
      <c r="K923" s="5"/>
      <c r="L923" s="3"/>
      <c r="M923" s="6"/>
      <c r="N923" s="9"/>
      <c r="O923" s="158">
        <v>171.3</v>
      </c>
      <c r="P923" s="12"/>
      <c r="Q923" s="12"/>
      <c r="R923" s="12"/>
      <c r="S923" s="12"/>
      <c r="T923" s="12"/>
      <c r="U923" s="12"/>
      <c r="V923" s="12"/>
      <c r="W923" s="12"/>
      <c r="X923" s="12"/>
      <c r="Y923" s="12"/>
      <c r="Z923" s="12"/>
    </row>
    <row r="924" spans="1:26" ht="14.25" customHeight="1" x14ac:dyDescent="0.3">
      <c r="A924" s="155">
        <v>582</v>
      </c>
      <c r="B924" s="156" t="s">
        <v>1161</v>
      </c>
      <c r="C924" s="3"/>
      <c r="D924" s="3"/>
      <c r="E924" s="156" t="s">
        <v>1172</v>
      </c>
      <c r="F924" s="3"/>
      <c r="G924" s="158">
        <v>5.71</v>
      </c>
      <c r="H924" s="155">
        <v>60</v>
      </c>
      <c r="I924" s="155">
        <v>30</v>
      </c>
      <c r="J924" s="156" t="s">
        <v>92</v>
      </c>
      <c r="K924" s="5"/>
      <c r="L924" s="3"/>
      <c r="M924" s="6"/>
      <c r="N924" s="9"/>
      <c r="O924" s="158">
        <v>342.6</v>
      </c>
      <c r="P924" s="12"/>
      <c r="Q924" s="12"/>
      <c r="R924" s="12"/>
      <c r="S924" s="12"/>
      <c r="T924" s="12"/>
      <c r="U924" s="12"/>
      <c r="V924" s="12"/>
      <c r="W924" s="12"/>
      <c r="X924" s="12"/>
      <c r="Y924" s="12"/>
      <c r="Z924" s="12"/>
    </row>
    <row r="925" spans="1:26" ht="14.25" customHeight="1" x14ac:dyDescent="0.3">
      <c r="A925" s="155">
        <v>582</v>
      </c>
      <c r="B925" s="156" t="s">
        <v>1161</v>
      </c>
      <c r="C925" s="3"/>
      <c r="D925" s="3"/>
      <c r="E925" s="156" t="s">
        <v>1173</v>
      </c>
      <c r="F925" s="3"/>
      <c r="G925" s="158">
        <v>5.6</v>
      </c>
      <c r="H925" s="155">
        <v>60</v>
      </c>
      <c r="I925" s="155">
        <v>30</v>
      </c>
      <c r="J925" s="156" t="s">
        <v>92</v>
      </c>
      <c r="K925" s="5"/>
      <c r="L925" s="3"/>
      <c r="M925" s="6"/>
      <c r="N925" s="9"/>
      <c r="O925" s="158">
        <v>336</v>
      </c>
      <c r="P925" s="12"/>
      <c r="Q925" s="12"/>
      <c r="R925" s="12"/>
      <c r="S925" s="12"/>
      <c r="T925" s="12"/>
      <c r="U925" s="12"/>
      <c r="V925" s="12"/>
      <c r="W925" s="12"/>
      <c r="X925" s="12"/>
      <c r="Y925" s="12"/>
      <c r="Z925" s="12"/>
    </row>
    <row r="926" spans="1:26" ht="14.25" customHeight="1" x14ac:dyDescent="0.3">
      <c r="A926" s="155">
        <v>582</v>
      </c>
      <c r="B926" s="156" t="s">
        <v>1161</v>
      </c>
      <c r="C926" s="3"/>
      <c r="D926" s="3"/>
      <c r="E926" s="156" t="s">
        <v>1174</v>
      </c>
      <c r="F926" s="3"/>
      <c r="G926" s="158">
        <v>5.6</v>
      </c>
      <c r="H926" s="155">
        <v>10</v>
      </c>
      <c r="I926" s="155">
        <v>30</v>
      </c>
      <c r="J926" s="156" t="s">
        <v>92</v>
      </c>
      <c r="K926" s="5"/>
      <c r="L926" s="3"/>
      <c r="M926" s="6"/>
      <c r="N926" s="9"/>
      <c r="O926" s="158">
        <v>56</v>
      </c>
      <c r="P926" s="12"/>
      <c r="Q926" s="12"/>
      <c r="R926" s="12"/>
      <c r="S926" s="12"/>
      <c r="T926" s="12"/>
      <c r="U926" s="12"/>
      <c r="V926" s="12"/>
      <c r="W926" s="12"/>
      <c r="X926" s="12"/>
      <c r="Y926" s="12"/>
      <c r="Z926" s="12"/>
    </row>
    <row r="927" spans="1:26" ht="14.25" customHeight="1" x14ac:dyDescent="0.3">
      <c r="A927" s="155">
        <v>582</v>
      </c>
      <c r="B927" s="156" t="s">
        <v>1161</v>
      </c>
      <c r="C927" s="3"/>
      <c r="D927" s="3"/>
      <c r="E927" s="156" t="s">
        <v>1175</v>
      </c>
      <c r="F927" s="3"/>
      <c r="G927" s="158">
        <v>5.9</v>
      </c>
      <c r="H927" s="155">
        <v>10</v>
      </c>
      <c r="I927" s="155">
        <v>30</v>
      </c>
      <c r="J927" s="156" t="s">
        <v>39</v>
      </c>
      <c r="K927" s="5"/>
      <c r="L927" s="3"/>
      <c r="M927" s="6"/>
      <c r="N927" s="9"/>
      <c r="O927" s="158">
        <v>59</v>
      </c>
      <c r="P927" s="12"/>
      <c r="Q927" s="12"/>
      <c r="R927" s="12"/>
      <c r="S927" s="12"/>
      <c r="T927" s="12"/>
      <c r="U927" s="12"/>
      <c r="V927" s="12"/>
      <c r="W927" s="12"/>
      <c r="X927" s="12"/>
      <c r="Y927" s="12"/>
      <c r="Z927" s="12"/>
    </row>
    <row r="928" spans="1:26" ht="14.25" customHeight="1" x14ac:dyDescent="0.3">
      <c r="A928" s="155">
        <v>583</v>
      </c>
      <c r="B928" s="156" t="s">
        <v>1176</v>
      </c>
      <c r="C928" s="3"/>
      <c r="D928" s="3"/>
      <c r="E928" s="156" t="s">
        <v>865</v>
      </c>
      <c r="F928" s="3"/>
      <c r="G928" s="158">
        <v>51.35</v>
      </c>
      <c r="H928" s="155">
        <v>7</v>
      </c>
      <c r="I928" s="155">
        <v>425</v>
      </c>
      <c r="J928" s="156" t="s">
        <v>39</v>
      </c>
      <c r="K928" s="5"/>
      <c r="L928" s="3"/>
      <c r="M928" s="6"/>
      <c r="N928" s="9"/>
      <c r="O928" s="158">
        <v>359.45</v>
      </c>
      <c r="P928" s="12"/>
      <c r="Q928" s="12"/>
      <c r="R928" s="12"/>
      <c r="S928" s="12"/>
      <c r="T928" s="12"/>
      <c r="U928" s="12"/>
      <c r="V928" s="12"/>
      <c r="W928" s="12"/>
      <c r="X928" s="12"/>
      <c r="Y928" s="12"/>
      <c r="Z928" s="12"/>
    </row>
    <row r="929" spans="1:26" ht="14.25" customHeight="1" x14ac:dyDescent="0.3">
      <c r="A929" s="155">
        <v>583</v>
      </c>
      <c r="B929" s="156" t="s">
        <v>1176</v>
      </c>
      <c r="C929" s="3"/>
      <c r="D929" s="3"/>
      <c r="E929" s="156" t="s">
        <v>1177</v>
      </c>
      <c r="F929" s="3"/>
      <c r="G929" s="158">
        <v>52.6</v>
      </c>
      <c r="H929" s="155">
        <v>5</v>
      </c>
      <c r="I929" s="155">
        <v>425</v>
      </c>
      <c r="J929" s="156" t="s">
        <v>39</v>
      </c>
      <c r="K929" s="5"/>
      <c r="L929" s="3"/>
      <c r="M929" s="6"/>
      <c r="N929" s="9"/>
      <c r="O929" s="158">
        <v>263</v>
      </c>
      <c r="P929" s="12"/>
      <c r="Q929" s="12"/>
      <c r="R929" s="12"/>
      <c r="S929" s="12"/>
      <c r="T929" s="12"/>
      <c r="U929" s="12"/>
      <c r="V929" s="12"/>
      <c r="W929" s="12"/>
      <c r="X929" s="12"/>
      <c r="Y929" s="12"/>
      <c r="Z929" s="12"/>
    </row>
    <row r="930" spans="1:26" ht="14.25" customHeight="1" x14ac:dyDescent="0.3">
      <c r="A930" s="155">
        <v>121</v>
      </c>
      <c r="B930" s="156" t="s">
        <v>250</v>
      </c>
      <c r="C930" s="3"/>
      <c r="D930" s="3"/>
      <c r="E930" s="156" t="s">
        <v>987</v>
      </c>
      <c r="F930" s="3"/>
      <c r="G930" s="158">
        <v>52.881480000000003</v>
      </c>
      <c r="H930" s="155">
        <v>81</v>
      </c>
      <c r="I930" s="155">
        <v>62</v>
      </c>
      <c r="J930" s="156" t="s">
        <v>39</v>
      </c>
      <c r="K930" s="5"/>
      <c r="L930" s="3"/>
      <c r="M930" s="6"/>
      <c r="N930" s="9"/>
      <c r="O930" s="158">
        <v>4283.3999999999996</v>
      </c>
      <c r="P930" s="12"/>
      <c r="Q930" s="12"/>
      <c r="R930" s="12"/>
      <c r="S930" s="12"/>
      <c r="T930" s="12"/>
      <c r="U930" s="12"/>
      <c r="V930" s="12"/>
      <c r="W930" s="12"/>
      <c r="X930" s="12"/>
      <c r="Y930" s="12"/>
      <c r="Z930" s="12"/>
    </row>
    <row r="931" spans="1:26" ht="14.25" customHeight="1" x14ac:dyDescent="0.3">
      <c r="A931" s="155">
        <v>584</v>
      </c>
      <c r="B931" s="156" t="s">
        <v>1178</v>
      </c>
      <c r="C931" s="3"/>
      <c r="D931" s="3"/>
      <c r="E931" s="156" t="s">
        <v>987</v>
      </c>
      <c r="F931" s="3"/>
      <c r="G931" s="158">
        <v>55</v>
      </c>
      <c r="H931" s="155">
        <v>1</v>
      </c>
      <c r="I931" s="155">
        <v>55</v>
      </c>
      <c r="J931" s="156" t="s">
        <v>39</v>
      </c>
      <c r="K931" s="5"/>
      <c r="L931" s="3"/>
      <c r="M931" s="6"/>
      <c r="N931" s="9"/>
      <c r="O931" s="158">
        <v>55</v>
      </c>
      <c r="P931" s="12"/>
      <c r="Q931" s="12"/>
      <c r="R931" s="12"/>
      <c r="S931" s="12"/>
      <c r="T931" s="12"/>
      <c r="U931" s="12"/>
      <c r="V931" s="12"/>
      <c r="W931" s="12"/>
      <c r="X931" s="12"/>
      <c r="Y931" s="12"/>
      <c r="Z931" s="12"/>
    </row>
    <row r="932" spans="1:26" ht="14.25" customHeight="1" x14ac:dyDescent="0.3">
      <c r="A932" s="155">
        <v>585</v>
      </c>
      <c r="B932" s="156" t="s">
        <v>1179</v>
      </c>
      <c r="C932" s="3"/>
      <c r="D932" s="3"/>
      <c r="E932" s="156" t="s">
        <v>1074</v>
      </c>
      <c r="F932" s="3"/>
      <c r="G932" s="158">
        <v>17.75</v>
      </c>
      <c r="H932" s="155">
        <v>2</v>
      </c>
      <c r="I932" s="155">
        <v>30</v>
      </c>
      <c r="J932" s="156" t="s">
        <v>39</v>
      </c>
      <c r="K932" s="5"/>
      <c r="L932" s="3"/>
      <c r="M932" s="6"/>
      <c r="N932" s="9"/>
      <c r="O932" s="158">
        <v>35.5</v>
      </c>
      <c r="P932" s="12"/>
      <c r="Q932" s="12"/>
      <c r="R932" s="12"/>
      <c r="S932" s="12"/>
      <c r="T932" s="12"/>
      <c r="U932" s="12"/>
      <c r="V932" s="12"/>
      <c r="W932" s="12"/>
      <c r="X932" s="12"/>
      <c r="Y932" s="12"/>
      <c r="Z932" s="12"/>
    </row>
    <row r="933" spans="1:26" ht="14.25" customHeight="1" x14ac:dyDescent="0.3">
      <c r="A933" s="155">
        <v>585</v>
      </c>
      <c r="B933" s="156" t="s">
        <v>1179</v>
      </c>
      <c r="C933" s="3"/>
      <c r="D933" s="3"/>
      <c r="E933" s="156" t="s">
        <v>854</v>
      </c>
      <c r="F933" s="3"/>
      <c r="G933" s="158">
        <v>102.375</v>
      </c>
      <c r="H933" s="155">
        <v>4</v>
      </c>
      <c r="I933" s="155">
        <v>30</v>
      </c>
      <c r="J933" s="156" t="s">
        <v>39</v>
      </c>
      <c r="K933" s="5"/>
      <c r="L933" s="3"/>
      <c r="M933" s="6"/>
      <c r="N933" s="9"/>
      <c r="O933" s="158">
        <v>409.5</v>
      </c>
      <c r="P933" s="12"/>
      <c r="Q933" s="12"/>
      <c r="R933" s="12"/>
      <c r="S933" s="12"/>
      <c r="T933" s="12"/>
      <c r="U933" s="12"/>
      <c r="V933" s="12"/>
      <c r="W933" s="12"/>
      <c r="X933" s="12"/>
      <c r="Y933" s="12"/>
      <c r="Z933" s="12"/>
    </row>
    <row r="934" spans="1:26" ht="14.25" customHeight="1" x14ac:dyDescent="0.3">
      <c r="A934" s="155">
        <v>586</v>
      </c>
      <c r="B934" s="156" t="s">
        <v>1180</v>
      </c>
      <c r="C934" s="3"/>
      <c r="D934" s="3"/>
      <c r="E934" s="156" t="s">
        <v>1181</v>
      </c>
      <c r="F934" s="3"/>
      <c r="G934" s="158">
        <v>45.587499999999999</v>
      </c>
      <c r="H934" s="155">
        <v>8</v>
      </c>
      <c r="I934" s="155">
        <v>200</v>
      </c>
      <c r="J934" s="156" t="s">
        <v>39</v>
      </c>
      <c r="K934" s="5"/>
      <c r="L934" s="3"/>
      <c r="M934" s="6"/>
      <c r="N934" s="9"/>
      <c r="O934" s="158">
        <v>364.7</v>
      </c>
      <c r="P934" s="12"/>
      <c r="Q934" s="12"/>
      <c r="R934" s="12"/>
      <c r="S934" s="12"/>
      <c r="T934" s="12"/>
      <c r="U934" s="12"/>
      <c r="V934" s="12"/>
      <c r="W934" s="12"/>
      <c r="X934" s="12"/>
      <c r="Y934" s="12"/>
      <c r="Z934" s="12"/>
    </row>
    <row r="935" spans="1:26" ht="14.25" customHeight="1" x14ac:dyDescent="0.3">
      <c r="A935" s="155">
        <v>131</v>
      </c>
      <c r="B935" s="156" t="s">
        <v>252</v>
      </c>
      <c r="C935" s="3"/>
      <c r="D935" s="3"/>
      <c r="E935" s="156" t="s">
        <v>1182</v>
      </c>
      <c r="F935" s="3"/>
      <c r="G935" s="158">
        <v>26.5</v>
      </c>
      <c r="H935" s="155">
        <v>1</v>
      </c>
      <c r="I935" s="155">
        <v>20</v>
      </c>
      <c r="J935" s="156" t="s">
        <v>39</v>
      </c>
      <c r="K935" s="5"/>
      <c r="L935" s="3"/>
      <c r="M935" s="6"/>
      <c r="N935" s="9"/>
      <c r="O935" s="158">
        <v>26.5</v>
      </c>
      <c r="P935" s="12"/>
      <c r="Q935" s="12"/>
      <c r="R935" s="12"/>
      <c r="S935" s="12"/>
      <c r="T935" s="12"/>
      <c r="U935" s="12"/>
      <c r="V935" s="12"/>
      <c r="W935" s="12"/>
      <c r="X935" s="12"/>
      <c r="Y935" s="12"/>
      <c r="Z935" s="12"/>
    </row>
    <row r="936" spans="1:26" ht="14.25" customHeight="1" x14ac:dyDescent="0.3">
      <c r="A936" s="155">
        <v>136</v>
      </c>
      <c r="B936" s="156" t="s">
        <v>254</v>
      </c>
      <c r="C936" s="3"/>
      <c r="D936" s="3"/>
      <c r="E936" s="156" t="s">
        <v>1183</v>
      </c>
      <c r="F936" s="3"/>
      <c r="G936" s="158">
        <v>113</v>
      </c>
      <c r="H936" s="155">
        <v>1</v>
      </c>
      <c r="I936" s="155">
        <v>50</v>
      </c>
      <c r="J936" s="156" t="s">
        <v>39</v>
      </c>
      <c r="K936" s="5"/>
      <c r="L936" s="3"/>
      <c r="M936" s="6"/>
      <c r="N936" s="9"/>
      <c r="O936" s="158">
        <v>113</v>
      </c>
      <c r="P936" s="12"/>
      <c r="Q936" s="12"/>
      <c r="R936" s="12"/>
      <c r="S936" s="12"/>
      <c r="T936" s="12"/>
      <c r="U936" s="12"/>
      <c r="V936" s="12"/>
      <c r="W936" s="12"/>
      <c r="X936" s="12"/>
      <c r="Y936" s="12"/>
      <c r="Z936" s="12"/>
    </row>
    <row r="937" spans="1:26" ht="14.25" customHeight="1" x14ac:dyDescent="0.3">
      <c r="A937" s="155">
        <v>136</v>
      </c>
      <c r="B937" s="156" t="s">
        <v>254</v>
      </c>
      <c r="C937" s="3"/>
      <c r="D937" s="3"/>
      <c r="E937" s="156" t="s">
        <v>1184</v>
      </c>
      <c r="F937" s="3"/>
      <c r="G937" s="158">
        <v>33.583329999999997</v>
      </c>
      <c r="H937" s="155">
        <v>3</v>
      </c>
      <c r="I937" s="155">
        <v>50</v>
      </c>
      <c r="J937" s="156" t="s">
        <v>39</v>
      </c>
      <c r="K937" s="5"/>
      <c r="L937" s="3"/>
      <c r="M937" s="6"/>
      <c r="N937" s="9"/>
      <c r="O937" s="158">
        <v>100.75</v>
      </c>
      <c r="P937" s="12"/>
      <c r="Q937" s="12"/>
      <c r="R937" s="12"/>
      <c r="S937" s="12"/>
      <c r="T937" s="12"/>
      <c r="U937" s="12"/>
      <c r="V937" s="12"/>
      <c r="W937" s="12"/>
      <c r="X937" s="12"/>
      <c r="Y937" s="12"/>
      <c r="Z937" s="12"/>
    </row>
    <row r="938" spans="1:26" ht="14.25" customHeight="1" x14ac:dyDescent="0.3">
      <c r="A938" s="155">
        <v>136</v>
      </c>
      <c r="B938" s="156" t="s">
        <v>254</v>
      </c>
      <c r="C938" s="3"/>
      <c r="D938" s="3"/>
      <c r="E938" s="156" t="s">
        <v>867</v>
      </c>
      <c r="F938" s="3"/>
      <c r="G938" s="158">
        <v>250</v>
      </c>
      <c r="H938" s="155">
        <v>2</v>
      </c>
      <c r="I938" s="155">
        <v>50</v>
      </c>
      <c r="J938" s="156" t="s">
        <v>39</v>
      </c>
      <c r="K938" s="5"/>
      <c r="L938" s="3"/>
      <c r="M938" s="6"/>
      <c r="N938" s="9"/>
      <c r="O938" s="158">
        <v>500</v>
      </c>
      <c r="P938" s="12"/>
      <c r="Q938" s="12"/>
      <c r="R938" s="12"/>
      <c r="S938" s="12"/>
      <c r="T938" s="12"/>
      <c r="U938" s="12"/>
      <c r="V938" s="12"/>
      <c r="W938" s="12"/>
      <c r="X938" s="12"/>
      <c r="Y938" s="12"/>
      <c r="Z938" s="12"/>
    </row>
    <row r="939" spans="1:26" ht="14.25" customHeight="1" x14ac:dyDescent="0.3">
      <c r="A939" s="155">
        <v>587</v>
      </c>
      <c r="B939" s="156" t="s">
        <v>1185</v>
      </c>
      <c r="C939" s="3"/>
      <c r="D939" s="3"/>
      <c r="E939" s="156"/>
      <c r="F939" s="3"/>
      <c r="G939" s="158">
        <v>90</v>
      </c>
      <c r="H939" s="155">
        <v>1</v>
      </c>
      <c r="I939" s="155">
        <v>1000</v>
      </c>
      <c r="J939" s="156" t="s">
        <v>39</v>
      </c>
      <c r="K939" s="5"/>
      <c r="L939" s="3"/>
      <c r="M939" s="6"/>
      <c r="N939" s="9"/>
      <c r="O939" s="158">
        <v>90</v>
      </c>
      <c r="P939" s="12"/>
      <c r="Q939" s="12"/>
      <c r="R939" s="12"/>
      <c r="S939" s="12"/>
      <c r="T939" s="12"/>
      <c r="U939" s="12"/>
      <c r="V939" s="12"/>
      <c r="W939" s="12"/>
      <c r="X939" s="12"/>
      <c r="Y939" s="12"/>
      <c r="Z939" s="12"/>
    </row>
    <row r="940" spans="1:26" ht="14.25" customHeight="1" x14ac:dyDescent="0.3">
      <c r="A940" s="155">
        <v>588</v>
      </c>
      <c r="B940" s="156" t="s">
        <v>1186</v>
      </c>
      <c r="C940" s="3"/>
      <c r="D940" s="3"/>
      <c r="E940" s="156"/>
      <c r="F940" s="3"/>
      <c r="G940" s="158">
        <v>310</v>
      </c>
      <c r="H940" s="155">
        <v>3</v>
      </c>
      <c r="I940" s="155">
        <v>1</v>
      </c>
      <c r="J940" s="156" t="s">
        <v>213</v>
      </c>
      <c r="K940" s="5"/>
      <c r="L940" s="3"/>
      <c r="M940" s="6"/>
      <c r="N940" s="9"/>
      <c r="O940" s="158">
        <v>930</v>
      </c>
      <c r="P940" s="12"/>
      <c r="Q940" s="12"/>
      <c r="R940" s="12"/>
      <c r="S940" s="12"/>
      <c r="T940" s="12"/>
      <c r="U940" s="12"/>
      <c r="V940" s="12"/>
      <c r="W940" s="12"/>
      <c r="X940" s="12"/>
      <c r="Y940" s="12"/>
      <c r="Z940" s="12"/>
    </row>
    <row r="941" spans="1:26" ht="14.25" customHeight="1" x14ac:dyDescent="0.3">
      <c r="A941" s="155">
        <v>589</v>
      </c>
      <c r="B941" s="156" t="s">
        <v>1187</v>
      </c>
      <c r="C941" s="3"/>
      <c r="D941" s="3"/>
      <c r="E941" s="156" t="s">
        <v>1068</v>
      </c>
      <c r="F941" s="3"/>
      <c r="G941" s="158">
        <v>1300</v>
      </c>
      <c r="H941" s="155">
        <v>1</v>
      </c>
      <c r="I941" s="155">
        <v>1</v>
      </c>
      <c r="J941" s="156" t="s">
        <v>213</v>
      </c>
      <c r="K941" s="5"/>
      <c r="L941" s="3"/>
      <c r="M941" s="6"/>
      <c r="N941" s="9"/>
      <c r="O941" s="158">
        <v>1300</v>
      </c>
      <c r="P941" s="12"/>
      <c r="Q941" s="12"/>
      <c r="R941" s="12"/>
      <c r="S941" s="12"/>
      <c r="T941" s="12"/>
      <c r="U941" s="12"/>
      <c r="V941" s="12"/>
      <c r="W941" s="12"/>
      <c r="X941" s="12"/>
      <c r="Y941" s="12"/>
      <c r="Z941" s="12"/>
    </row>
    <row r="942" spans="1:26" ht="14.25" customHeight="1" x14ac:dyDescent="0.3">
      <c r="A942" s="155">
        <v>590</v>
      </c>
      <c r="B942" s="156" t="s">
        <v>1188</v>
      </c>
      <c r="C942" s="3"/>
      <c r="D942" s="3"/>
      <c r="E942" s="156" t="s">
        <v>1042</v>
      </c>
      <c r="F942" s="3"/>
      <c r="G942" s="158">
        <v>69.75</v>
      </c>
      <c r="H942" s="155">
        <v>2</v>
      </c>
      <c r="I942" s="155">
        <v>230</v>
      </c>
      <c r="J942" s="156" t="s">
        <v>519</v>
      </c>
      <c r="K942" s="5"/>
      <c r="L942" s="3"/>
      <c r="M942" s="6"/>
      <c r="N942" s="9"/>
      <c r="O942" s="158">
        <v>139.5</v>
      </c>
      <c r="P942" s="12"/>
      <c r="Q942" s="12"/>
      <c r="R942" s="12"/>
      <c r="S942" s="12"/>
      <c r="T942" s="12"/>
      <c r="U942" s="12"/>
      <c r="V942" s="12"/>
      <c r="W942" s="12"/>
      <c r="X942" s="12"/>
      <c r="Y942" s="12"/>
      <c r="Z942" s="12"/>
    </row>
    <row r="943" spans="1:26" ht="14.25" customHeight="1" x14ac:dyDescent="0.3">
      <c r="A943" s="155">
        <v>591</v>
      </c>
      <c r="B943" s="156" t="s">
        <v>1189</v>
      </c>
      <c r="C943" s="3"/>
      <c r="D943" s="3"/>
      <c r="E943" s="156"/>
      <c r="F943" s="3"/>
      <c r="G943" s="158">
        <v>190</v>
      </c>
      <c r="H943" s="155">
        <v>4</v>
      </c>
      <c r="I943" s="155">
        <v>1</v>
      </c>
      <c r="J943" s="156" t="s">
        <v>213</v>
      </c>
      <c r="K943" s="5"/>
      <c r="L943" s="3"/>
      <c r="M943" s="6"/>
      <c r="N943" s="9"/>
      <c r="O943" s="158">
        <v>760</v>
      </c>
      <c r="P943" s="12"/>
      <c r="Q943" s="12"/>
      <c r="R943" s="12"/>
      <c r="S943" s="12"/>
      <c r="T943" s="12"/>
      <c r="U943" s="12"/>
      <c r="V943" s="12"/>
      <c r="W943" s="12"/>
      <c r="X943" s="12"/>
      <c r="Y943" s="12"/>
      <c r="Z943" s="12"/>
    </row>
    <row r="944" spans="1:26" ht="14.25" customHeight="1" x14ac:dyDescent="0.3">
      <c r="A944" s="155">
        <v>591</v>
      </c>
      <c r="B944" s="156" t="s">
        <v>1189</v>
      </c>
      <c r="C944" s="3"/>
      <c r="D944" s="3"/>
      <c r="E944" s="156"/>
      <c r="F944" s="3"/>
      <c r="G944" s="158">
        <v>0</v>
      </c>
      <c r="H944" s="155">
        <v>0</v>
      </c>
      <c r="I944" s="155">
        <v>1</v>
      </c>
      <c r="J944" s="156" t="s">
        <v>39</v>
      </c>
      <c r="K944" s="5"/>
      <c r="L944" s="3"/>
      <c r="M944" s="6"/>
      <c r="N944" s="9"/>
      <c r="O944" s="158">
        <v>0</v>
      </c>
      <c r="P944" s="12"/>
      <c r="Q944" s="12"/>
      <c r="R944" s="12"/>
      <c r="S944" s="12"/>
      <c r="T944" s="12"/>
      <c r="U944" s="12"/>
      <c r="V944" s="12"/>
      <c r="W944" s="12"/>
      <c r="X944" s="12"/>
      <c r="Y944" s="12"/>
      <c r="Z944" s="12"/>
    </row>
    <row r="945" spans="1:26" ht="14.25" customHeight="1" x14ac:dyDescent="0.3">
      <c r="A945" s="155">
        <v>592</v>
      </c>
      <c r="B945" s="156" t="s">
        <v>1190</v>
      </c>
      <c r="C945" s="3"/>
      <c r="D945" s="3"/>
      <c r="E945" s="156" t="s">
        <v>1191</v>
      </c>
      <c r="F945" s="3"/>
      <c r="G945" s="158">
        <v>0</v>
      </c>
      <c r="H945" s="155">
        <v>0</v>
      </c>
      <c r="I945" s="155">
        <v>1</v>
      </c>
      <c r="J945" s="156" t="s">
        <v>213</v>
      </c>
      <c r="K945" s="5"/>
      <c r="L945" s="3"/>
      <c r="M945" s="6"/>
      <c r="N945" s="9"/>
      <c r="O945" s="158">
        <v>0</v>
      </c>
      <c r="P945" s="12"/>
      <c r="Q945" s="12"/>
      <c r="R945" s="12"/>
      <c r="S945" s="12"/>
      <c r="T945" s="12"/>
      <c r="U945" s="12"/>
      <c r="V945" s="12"/>
      <c r="W945" s="12"/>
      <c r="X945" s="12"/>
      <c r="Y945" s="12"/>
      <c r="Z945" s="12"/>
    </row>
    <row r="946" spans="1:26" ht="14.25" customHeight="1" x14ac:dyDescent="0.3">
      <c r="A946" s="155">
        <v>593</v>
      </c>
      <c r="B946" s="156" t="s">
        <v>1192</v>
      </c>
      <c r="C946" s="3"/>
      <c r="D946" s="3"/>
      <c r="E946" s="156"/>
      <c r="F946" s="3"/>
      <c r="G946" s="158">
        <v>0.64</v>
      </c>
      <c r="H946" s="155">
        <v>39</v>
      </c>
      <c r="I946" s="155">
        <v>156</v>
      </c>
      <c r="J946" s="156" t="s">
        <v>92</v>
      </c>
      <c r="K946" s="5"/>
      <c r="L946" s="3"/>
      <c r="M946" s="6"/>
      <c r="N946" s="9"/>
      <c r="O946" s="158">
        <v>24.96</v>
      </c>
      <c r="P946" s="12"/>
      <c r="Q946" s="12"/>
      <c r="R946" s="12"/>
      <c r="S946" s="12"/>
      <c r="T946" s="12"/>
      <c r="U946" s="12"/>
      <c r="V946" s="12"/>
      <c r="W946" s="12"/>
      <c r="X946" s="12"/>
      <c r="Y946" s="12"/>
      <c r="Z946" s="12"/>
    </row>
    <row r="947" spans="1:26" ht="14.25" customHeight="1" x14ac:dyDescent="0.3">
      <c r="A947" s="155">
        <v>594</v>
      </c>
      <c r="B947" s="156" t="s">
        <v>1193</v>
      </c>
      <c r="C947" s="3"/>
      <c r="D947" s="3"/>
      <c r="E947" s="156" t="s">
        <v>1194</v>
      </c>
      <c r="F947" s="3"/>
      <c r="G947" s="158">
        <v>52</v>
      </c>
      <c r="H947" s="155">
        <v>3</v>
      </c>
      <c r="I947" s="155">
        <v>1</v>
      </c>
      <c r="J947" s="156" t="s">
        <v>304</v>
      </c>
      <c r="K947" s="5"/>
      <c r="L947" s="3"/>
      <c r="M947" s="6"/>
      <c r="N947" s="9"/>
      <c r="O947" s="158">
        <v>156</v>
      </c>
      <c r="P947" s="12"/>
      <c r="Q947" s="12"/>
      <c r="R947" s="12"/>
      <c r="S947" s="12"/>
      <c r="T947" s="12"/>
      <c r="U947" s="12"/>
      <c r="V947" s="12"/>
      <c r="W947" s="12"/>
      <c r="X947" s="12"/>
      <c r="Y947" s="12"/>
      <c r="Z947" s="12"/>
    </row>
    <row r="948" spans="1:26" ht="14.25" customHeight="1" x14ac:dyDescent="0.3">
      <c r="A948" s="155">
        <v>594</v>
      </c>
      <c r="B948" s="156" t="s">
        <v>1193</v>
      </c>
      <c r="C948" s="3"/>
      <c r="D948" s="3"/>
      <c r="E948" s="156" t="s">
        <v>1195</v>
      </c>
      <c r="F948" s="3"/>
      <c r="G948" s="158">
        <v>40</v>
      </c>
      <c r="H948" s="155">
        <v>1</v>
      </c>
      <c r="I948" s="155">
        <v>1</v>
      </c>
      <c r="J948" s="156" t="s">
        <v>304</v>
      </c>
      <c r="K948" s="5"/>
      <c r="L948" s="3"/>
      <c r="M948" s="6"/>
      <c r="N948" s="9"/>
      <c r="O948" s="158">
        <v>40</v>
      </c>
      <c r="P948" s="12"/>
      <c r="Q948" s="12"/>
      <c r="R948" s="12"/>
      <c r="S948" s="12"/>
      <c r="T948" s="12"/>
      <c r="U948" s="12"/>
      <c r="V948" s="12"/>
      <c r="W948" s="12"/>
      <c r="X948" s="12"/>
      <c r="Y948" s="12"/>
      <c r="Z948" s="12"/>
    </row>
    <row r="949" spans="1:26" ht="14.25" customHeight="1" x14ac:dyDescent="0.3">
      <c r="A949" s="155">
        <v>594</v>
      </c>
      <c r="B949" s="156" t="s">
        <v>1193</v>
      </c>
      <c r="C949" s="3"/>
      <c r="D949" s="3"/>
      <c r="E949" s="156" t="s">
        <v>1196</v>
      </c>
      <c r="F949" s="3"/>
      <c r="G949" s="158">
        <v>50</v>
      </c>
      <c r="H949" s="155">
        <v>2</v>
      </c>
      <c r="I949" s="155">
        <v>1</v>
      </c>
      <c r="J949" s="156" t="s">
        <v>304</v>
      </c>
      <c r="K949" s="5"/>
      <c r="L949" s="3"/>
      <c r="M949" s="6"/>
      <c r="N949" s="9"/>
      <c r="O949" s="158">
        <v>100</v>
      </c>
      <c r="P949" s="12"/>
      <c r="Q949" s="12"/>
      <c r="R949" s="12"/>
      <c r="S949" s="12"/>
      <c r="T949" s="12"/>
      <c r="U949" s="12"/>
      <c r="V949" s="12"/>
      <c r="W949" s="12"/>
      <c r="X949" s="12"/>
      <c r="Y949" s="12"/>
      <c r="Z949" s="12"/>
    </row>
    <row r="950" spans="1:26" ht="14.25" customHeight="1" x14ac:dyDescent="0.3">
      <c r="A950" s="155">
        <v>595</v>
      </c>
      <c r="B950" s="156" t="s">
        <v>1197</v>
      </c>
      <c r="C950" s="3"/>
      <c r="D950" s="3"/>
      <c r="E950" s="156"/>
      <c r="F950" s="3"/>
      <c r="G950" s="158">
        <v>2.2400000000000002</v>
      </c>
      <c r="H950" s="155">
        <v>20</v>
      </c>
      <c r="I950" s="155">
        <v>1</v>
      </c>
      <c r="J950" s="156" t="s">
        <v>92</v>
      </c>
      <c r="K950" s="5"/>
      <c r="L950" s="3"/>
      <c r="M950" s="6"/>
      <c r="N950" s="9"/>
      <c r="O950" s="158">
        <v>44.8</v>
      </c>
      <c r="P950" s="12"/>
      <c r="Q950" s="12"/>
      <c r="R950" s="12"/>
      <c r="S950" s="12"/>
      <c r="T950" s="12"/>
      <c r="U950" s="12"/>
      <c r="V950" s="12"/>
      <c r="W950" s="12"/>
      <c r="X950" s="12"/>
      <c r="Y950" s="12"/>
      <c r="Z950" s="12"/>
    </row>
    <row r="951" spans="1:26" ht="14.25" customHeight="1" x14ac:dyDescent="0.3">
      <c r="A951" s="155">
        <v>596</v>
      </c>
      <c r="B951" s="156" t="s">
        <v>1198</v>
      </c>
      <c r="C951" s="3"/>
      <c r="D951" s="3"/>
      <c r="E951" s="156" t="s">
        <v>1199</v>
      </c>
      <c r="F951" s="3"/>
      <c r="G951" s="158">
        <v>35</v>
      </c>
      <c r="H951" s="155">
        <v>2</v>
      </c>
      <c r="I951" s="155">
        <v>1</v>
      </c>
      <c r="J951" s="156" t="s">
        <v>304</v>
      </c>
      <c r="K951" s="5"/>
      <c r="L951" s="3"/>
      <c r="M951" s="6"/>
      <c r="N951" s="9"/>
      <c r="O951" s="158">
        <v>70</v>
      </c>
      <c r="P951" s="12"/>
      <c r="Q951" s="12"/>
      <c r="R951" s="12"/>
      <c r="S951" s="12"/>
      <c r="T951" s="12"/>
      <c r="U951" s="12"/>
      <c r="V951" s="12"/>
      <c r="W951" s="12"/>
      <c r="X951" s="12"/>
      <c r="Y951" s="12"/>
      <c r="Z951" s="12"/>
    </row>
    <row r="952" spans="1:26" ht="14.25" customHeight="1" x14ac:dyDescent="0.3">
      <c r="A952" s="155">
        <v>596</v>
      </c>
      <c r="B952" s="156" t="s">
        <v>1198</v>
      </c>
      <c r="C952" s="3"/>
      <c r="D952" s="3"/>
      <c r="E952" s="156"/>
      <c r="F952" s="3"/>
      <c r="G952" s="158">
        <v>0.82</v>
      </c>
      <c r="H952" s="155">
        <v>208</v>
      </c>
      <c r="I952" s="155">
        <v>1</v>
      </c>
      <c r="J952" s="156" t="s">
        <v>92</v>
      </c>
      <c r="K952" s="5"/>
      <c r="L952" s="3"/>
      <c r="M952" s="6"/>
      <c r="N952" s="9"/>
      <c r="O952" s="158">
        <v>170.56</v>
      </c>
      <c r="P952" s="12"/>
      <c r="Q952" s="12"/>
      <c r="R952" s="12"/>
      <c r="S952" s="12"/>
      <c r="T952" s="12"/>
      <c r="U952" s="12"/>
      <c r="V952" s="12"/>
      <c r="W952" s="12"/>
      <c r="X952" s="12"/>
      <c r="Y952" s="12"/>
      <c r="Z952" s="12"/>
    </row>
    <row r="953" spans="1:26" ht="14.25" customHeight="1" x14ac:dyDescent="0.3">
      <c r="A953" s="155">
        <v>597</v>
      </c>
      <c r="B953" s="156" t="s">
        <v>1200</v>
      </c>
      <c r="C953" s="3"/>
      <c r="D953" s="3"/>
      <c r="E953" s="156" t="s">
        <v>1201</v>
      </c>
      <c r="F953" s="3"/>
      <c r="G953" s="158">
        <v>10</v>
      </c>
      <c r="H953" s="155">
        <v>200</v>
      </c>
      <c r="I953" s="155">
        <v>1</v>
      </c>
      <c r="J953" s="156" t="s">
        <v>92</v>
      </c>
      <c r="K953" s="5"/>
      <c r="L953" s="3"/>
      <c r="M953" s="6"/>
      <c r="N953" s="9"/>
      <c r="O953" s="158">
        <v>2000</v>
      </c>
      <c r="P953" s="12"/>
      <c r="Q953" s="12"/>
      <c r="R953" s="12"/>
      <c r="S953" s="12"/>
      <c r="T953" s="12"/>
      <c r="U953" s="12"/>
      <c r="V953" s="12"/>
      <c r="W953" s="12"/>
      <c r="X953" s="12"/>
      <c r="Y953" s="12"/>
      <c r="Z953" s="12"/>
    </row>
    <row r="954" spans="1:26" ht="14.25" customHeight="1" x14ac:dyDescent="0.3">
      <c r="A954" s="155">
        <v>598</v>
      </c>
      <c r="B954" s="156" t="s">
        <v>1202</v>
      </c>
      <c r="C954" s="3"/>
      <c r="D954" s="3"/>
      <c r="E954" s="156" t="s">
        <v>1203</v>
      </c>
      <c r="F954" s="3"/>
      <c r="G954" s="158">
        <v>2.7</v>
      </c>
      <c r="H954" s="155">
        <v>125</v>
      </c>
      <c r="I954" s="155">
        <v>1</v>
      </c>
      <c r="J954" s="156" t="s">
        <v>92</v>
      </c>
      <c r="K954" s="5"/>
      <c r="L954" s="3"/>
      <c r="M954" s="6"/>
      <c r="N954" s="9"/>
      <c r="O954" s="158">
        <v>337.5</v>
      </c>
      <c r="P954" s="12"/>
      <c r="Q954" s="12"/>
      <c r="R954" s="12"/>
      <c r="S954" s="12"/>
      <c r="T954" s="12"/>
      <c r="U954" s="12"/>
      <c r="V954" s="12"/>
      <c r="W954" s="12"/>
      <c r="X954" s="12"/>
      <c r="Y954" s="12"/>
      <c r="Z954" s="12"/>
    </row>
    <row r="955" spans="1:26" ht="14.25" customHeight="1" x14ac:dyDescent="0.3">
      <c r="A955" s="155">
        <v>599</v>
      </c>
      <c r="B955" s="156" t="s">
        <v>1204</v>
      </c>
      <c r="C955" s="3"/>
      <c r="D955" s="3"/>
      <c r="E955" s="156" t="s">
        <v>1074</v>
      </c>
      <c r="F955" s="3"/>
      <c r="G955" s="158">
        <v>25</v>
      </c>
      <c r="H955" s="155">
        <v>2</v>
      </c>
      <c r="I955" s="155">
        <v>10</v>
      </c>
      <c r="J955" s="156" t="s">
        <v>39</v>
      </c>
      <c r="K955" s="5"/>
      <c r="L955" s="3"/>
      <c r="M955" s="6"/>
      <c r="N955" s="9"/>
      <c r="O955" s="158">
        <v>50</v>
      </c>
      <c r="P955" s="12"/>
      <c r="Q955" s="12"/>
      <c r="R955" s="12"/>
      <c r="S955" s="12"/>
      <c r="T955" s="12"/>
      <c r="U955" s="12"/>
      <c r="V955" s="12"/>
      <c r="W955" s="12"/>
      <c r="X955" s="12"/>
      <c r="Y955" s="12"/>
      <c r="Z955" s="12"/>
    </row>
    <row r="956" spans="1:26" ht="14.25" customHeight="1" x14ac:dyDescent="0.3">
      <c r="A956" s="155">
        <v>600</v>
      </c>
      <c r="B956" s="156" t="s">
        <v>1205</v>
      </c>
      <c r="C956" s="3"/>
      <c r="D956" s="3"/>
      <c r="E956" s="156" t="s">
        <v>1206</v>
      </c>
      <c r="F956" s="3"/>
      <c r="G956" s="158">
        <v>120</v>
      </c>
      <c r="H956" s="155">
        <v>1</v>
      </c>
      <c r="I956" s="155">
        <v>1000</v>
      </c>
      <c r="J956" s="156" t="s">
        <v>39</v>
      </c>
      <c r="K956" s="5"/>
      <c r="L956" s="3"/>
      <c r="M956" s="6"/>
      <c r="N956" s="9"/>
      <c r="O956" s="158">
        <v>120</v>
      </c>
      <c r="P956" s="12"/>
      <c r="Q956" s="12"/>
      <c r="R956" s="12"/>
      <c r="S956" s="12"/>
      <c r="T956" s="12"/>
      <c r="U956" s="12"/>
      <c r="V956" s="12"/>
      <c r="W956" s="12"/>
      <c r="X956" s="12"/>
      <c r="Y956" s="12"/>
      <c r="Z956" s="12"/>
    </row>
    <row r="957" spans="1:26" ht="14.25" customHeight="1" x14ac:dyDescent="0.3">
      <c r="A957" s="155">
        <v>600</v>
      </c>
      <c r="B957" s="156" t="s">
        <v>1205</v>
      </c>
      <c r="C957" s="3"/>
      <c r="D957" s="3"/>
      <c r="E957" s="156" t="s">
        <v>36</v>
      </c>
      <c r="F957" s="3"/>
      <c r="G957" s="158">
        <v>140</v>
      </c>
      <c r="H957" s="155">
        <v>1</v>
      </c>
      <c r="I957" s="155">
        <v>1000</v>
      </c>
      <c r="J957" s="156" t="s">
        <v>39</v>
      </c>
      <c r="K957" s="5"/>
      <c r="L957" s="3"/>
      <c r="M957" s="6"/>
      <c r="N957" s="9"/>
      <c r="O957" s="158">
        <v>140</v>
      </c>
      <c r="P957" s="12"/>
      <c r="Q957" s="12"/>
      <c r="R957" s="12"/>
      <c r="S957" s="12"/>
      <c r="T957" s="12"/>
      <c r="U957" s="12"/>
      <c r="V957" s="12"/>
      <c r="W957" s="12"/>
      <c r="X957" s="12"/>
      <c r="Y957" s="12"/>
      <c r="Z957" s="12"/>
    </row>
    <row r="958" spans="1:26" ht="14.25" customHeight="1" x14ac:dyDescent="0.3">
      <c r="A958" s="155">
        <v>143</v>
      </c>
      <c r="B958" s="156" t="s">
        <v>591</v>
      </c>
      <c r="C958" s="3"/>
      <c r="D958" s="3"/>
      <c r="E958" s="156"/>
      <c r="F958" s="3"/>
      <c r="G958" s="158">
        <v>190</v>
      </c>
      <c r="H958" s="155">
        <v>1</v>
      </c>
      <c r="I958" s="155">
        <v>1</v>
      </c>
      <c r="J958" s="156" t="s">
        <v>213</v>
      </c>
      <c r="K958" s="5"/>
      <c r="L958" s="3"/>
      <c r="M958" s="6"/>
      <c r="N958" s="9"/>
      <c r="O958" s="158">
        <v>190</v>
      </c>
      <c r="P958" s="12"/>
      <c r="Q958" s="12"/>
      <c r="R958" s="12"/>
      <c r="S958" s="12"/>
      <c r="T958" s="12"/>
      <c r="U958" s="12"/>
      <c r="V958" s="12"/>
      <c r="W958" s="12"/>
      <c r="X958" s="12"/>
      <c r="Y958" s="12"/>
      <c r="Z958" s="12"/>
    </row>
    <row r="959" spans="1:26" ht="14.25" customHeight="1" x14ac:dyDescent="0.3">
      <c r="A959" s="155">
        <v>601</v>
      </c>
      <c r="B959" s="156" t="s">
        <v>1207</v>
      </c>
      <c r="C959" s="3"/>
      <c r="D959" s="3"/>
      <c r="E959" s="156"/>
      <c r="F959" s="3"/>
      <c r="G959" s="158">
        <v>7</v>
      </c>
      <c r="H959" s="155">
        <v>66</v>
      </c>
      <c r="I959" s="155">
        <v>1</v>
      </c>
      <c r="J959" s="156" t="s">
        <v>92</v>
      </c>
      <c r="K959" s="5"/>
      <c r="L959" s="3"/>
      <c r="M959" s="6"/>
      <c r="N959" s="9"/>
      <c r="O959" s="158">
        <v>462</v>
      </c>
      <c r="P959" s="12"/>
      <c r="Q959" s="12"/>
      <c r="R959" s="12"/>
      <c r="S959" s="12"/>
      <c r="T959" s="12"/>
      <c r="U959" s="12"/>
      <c r="V959" s="12"/>
      <c r="W959" s="12"/>
      <c r="X959" s="12"/>
      <c r="Y959" s="12"/>
      <c r="Z959" s="12"/>
    </row>
    <row r="960" spans="1:26" ht="14.25" customHeight="1" x14ac:dyDescent="0.3">
      <c r="A960" s="155">
        <v>602</v>
      </c>
      <c r="B960" s="156" t="s">
        <v>1208</v>
      </c>
      <c r="C960" s="3"/>
      <c r="D960" s="3"/>
      <c r="E960" s="156" t="s">
        <v>1209</v>
      </c>
      <c r="F960" s="3"/>
      <c r="G960" s="158">
        <v>10.82</v>
      </c>
      <c r="H960" s="155">
        <v>25</v>
      </c>
      <c r="I960" s="155">
        <v>25</v>
      </c>
      <c r="J960" s="156" t="s">
        <v>92</v>
      </c>
      <c r="K960" s="5"/>
      <c r="L960" s="3"/>
      <c r="M960" s="6"/>
      <c r="N960" s="9"/>
      <c r="O960" s="158">
        <v>270.5</v>
      </c>
      <c r="P960" s="12"/>
      <c r="Q960" s="12"/>
      <c r="R960" s="12"/>
      <c r="S960" s="12"/>
      <c r="T960" s="12"/>
      <c r="U960" s="12"/>
      <c r="V960" s="12"/>
      <c r="W960" s="12"/>
      <c r="X960" s="12"/>
      <c r="Y960" s="12"/>
      <c r="Z960" s="12"/>
    </row>
    <row r="961" spans="1:26" ht="14.25" customHeight="1" x14ac:dyDescent="0.3">
      <c r="A961" s="155">
        <v>147</v>
      </c>
      <c r="B961" s="156" t="s">
        <v>293</v>
      </c>
      <c r="C961" s="3"/>
      <c r="D961" s="3"/>
      <c r="E961" s="156" t="s">
        <v>1210</v>
      </c>
      <c r="F961" s="3"/>
      <c r="G961" s="158">
        <v>18.02694</v>
      </c>
      <c r="H961" s="155">
        <v>631</v>
      </c>
      <c r="I961" s="155">
        <v>1</v>
      </c>
      <c r="J961" s="156" t="s">
        <v>92</v>
      </c>
      <c r="K961" s="5"/>
      <c r="L961" s="3"/>
      <c r="M961" s="6"/>
      <c r="N961" s="9"/>
      <c r="O961" s="158">
        <v>11375</v>
      </c>
      <c r="P961" s="12"/>
      <c r="Q961" s="12"/>
      <c r="R961" s="12"/>
      <c r="S961" s="12"/>
      <c r="T961" s="12"/>
      <c r="U961" s="12"/>
      <c r="V961" s="12"/>
      <c r="W961" s="12"/>
      <c r="X961" s="12"/>
      <c r="Y961" s="12"/>
      <c r="Z961" s="12"/>
    </row>
    <row r="962" spans="1:26" ht="14.25" customHeight="1" x14ac:dyDescent="0.3">
      <c r="A962" s="155">
        <v>147</v>
      </c>
      <c r="B962" s="156" t="s">
        <v>293</v>
      </c>
      <c r="C962" s="3"/>
      <c r="D962" s="3"/>
      <c r="E962" s="156" t="s">
        <v>1211</v>
      </c>
      <c r="F962" s="3"/>
      <c r="G962" s="158">
        <v>230</v>
      </c>
      <c r="H962" s="155">
        <v>12</v>
      </c>
      <c r="I962" s="155">
        <v>1</v>
      </c>
      <c r="J962" s="156" t="s">
        <v>1212</v>
      </c>
      <c r="K962" s="5"/>
      <c r="L962" s="3"/>
      <c r="M962" s="6"/>
      <c r="N962" s="9"/>
      <c r="O962" s="158">
        <v>2760</v>
      </c>
      <c r="P962" s="12"/>
      <c r="Q962" s="12"/>
      <c r="R962" s="12"/>
      <c r="S962" s="12"/>
      <c r="T962" s="12"/>
      <c r="U962" s="12"/>
      <c r="V962" s="12"/>
      <c r="W962" s="12"/>
      <c r="X962" s="12"/>
      <c r="Y962" s="12"/>
      <c r="Z962" s="12"/>
    </row>
    <row r="963" spans="1:26" ht="14.25" customHeight="1" x14ac:dyDescent="0.3">
      <c r="A963" s="155">
        <v>147</v>
      </c>
      <c r="B963" s="156" t="s">
        <v>293</v>
      </c>
      <c r="C963" s="3"/>
      <c r="D963" s="3"/>
      <c r="E963" s="156" t="s">
        <v>1213</v>
      </c>
      <c r="F963" s="3"/>
      <c r="G963" s="158">
        <v>8.33</v>
      </c>
      <c r="H963" s="155">
        <v>159</v>
      </c>
      <c r="I963" s="155">
        <v>1</v>
      </c>
      <c r="J963" s="156" t="s">
        <v>92</v>
      </c>
      <c r="K963" s="5"/>
      <c r="L963" s="3"/>
      <c r="M963" s="6"/>
      <c r="N963" s="9"/>
      <c r="O963" s="158">
        <v>1324.47</v>
      </c>
      <c r="P963" s="12"/>
      <c r="Q963" s="12"/>
      <c r="R963" s="12"/>
      <c r="S963" s="12"/>
      <c r="T963" s="12"/>
      <c r="U963" s="12"/>
      <c r="V963" s="12"/>
      <c r="W963" s="12"/>
      <c r="X963" s="12"/>
      <c r="Y963" s="12"/>
      <c r="Z963" s="12"/>
    </row>
    <row r="964" spans="1:26" ht="14.25" customHeight="1" x14ac:dyDescent="0.3">
      <c r="A964" s="155">
        <v>147</v>
      </c>
      <c r="B964" s="156" t="s">
        <v>293</v>
      </c>
      <c r="C964" s="3"/>
      <c r="D964" s="3"/>
      <c r="E964" s="156"/>
      <c r="F964" s="3"/>
      <c r="G964" s="158">
        <v>240</v>
      </c>
      <c r="H964" s="155">
        <v>14</v>
      </c>
      <c r="I964" s="155">
        <v>1</v>
      </c>
      <c r="J964" s="156" t="s">
        <v>1212</v>
      </c>
      <c r="K964" s="5"/>
      <c r="L964" s="3"/>
      <c r="M964" s="6"/>
      <c r="N964" s="9"/>
      <c r="O964" s="158">
        <v>3360</v>
      </c>
      <c r="P964" s="12"/>
      <c r="Q964" s="12"/>
      <c r="R964" s="12"/>
      <c r="S964" s="12"/>
      <c r="T964" s="12"/>
      <c r="U964" s="12"/>
      <c r="V964" s="12"/>
      <c r="W964" s="12"/>
      <c r="X964" s="12"/>
      <c r="Y964" s="12"/>
      <c r="Z964" s="12"/>
    </row>
    <row r="965" spans="1:26" ht="14.25" customHeight="1" x14ac:dyDescent="0.3">
      <c r="A965" s="155">
        <v>603</v>
      </c>
      <c r="B965" s="156" t="s">
        <v>1214</v>
      </c>
      <c r="C965" s="3"/>
      <c r="D965" s="3"/>
      <c r="E965" s="156" t="s">
        <v>1215</v>
      </c>
      <c r="F965" s="3"/>
      <c r="G965" s="158">
        <v>34</v>
      </c>
      <c r="H965" s="155">
        <v>174</v>
      </c>
      <c r="I965" s="155">
        <v>1</v>
      </c>
      <c r="J965" s="156" t="s">
        <v>92</v>
      </c>
      <c r="K965" s="5"/>
      <c r="L965" s="3"/>
      <c r="M965" s="6"/>
      <c r="N965" s="9"/>
      <c r="O965" s="158">
        <v>5916</v>
      </c>
      <c r="P965" s="12"/>
      <c r="Q965" s="12"/>
      <c r="R965" s="12"/>
      <c r="S965" s="12"/>
      <c r="T965" s="12"/>
      <c r="U965" s="12"/>
      <c r="V965" s="12"/>
      <c r="W965" s="12"/>
      <c r="X965" s="12"/>
      <c r="Y965" s="12"/>
      <c r="Z965" s="12"/>
    </row>
    <row r="966" spans="1:26" ht="14.25" customHeight="1" x14ac:dyDescent="0.3">
      <c r="A966" s="155">
        <v>603</v>
      </c>
      <c r="B966" s="156" t="s">
        <v>1214</v>
      </c>
      <c r="C966" s="3"/>
      <c r="D966" s="3"/>
      <c r="E966" s="156" t="s">
        <v>1215</v>
      </c>
      <c r="F966" s="3"/>
      <c r="G966" s="158">
        <v>364.02089999999998</v>
      </c>
      <c r="H966" s="155">
        <v>182</v>
      </c>
      <c r="I966" s="155">
        <v>1</v>
      </c>
      <c r="J966" s="156" t="s">
        <v>32</v>
      </c>
      <c r="K966" s="5"/>
      <c r="L966" s="3"/>
      <c r="M966" s="6"/>
      <c r="N966" s="9"/>
      <c r="O966" s="158">
        <v>66251.8</v>
      </c>
      <c r="P966" s="12"/>
      <c r="Q966" s="12"/>
      <c r="R966" s="12"/>
      <c r="S966" s="12"/>
      <c r="T966" s="12"/>
      <c r="U966" s="12"/>
      <c r="V966" s="12"/>
      <c r="W966" s="12"/>
      <c r="X966" s="12"/>
      <c r="Y966" s="12"/>
      <c r="Z966" s="12"/>
    </row>
    <row r="967" spans="1:26" ht="14.25" customHeight="1" x14ac:dyDescent="0.3">
      <c r="A967" s="155">
        <v>603</v>
      </c>
      <c r="B967" s="156" t="s">
        <v>1214</v>
      </c>
      <c r="C967" s="3"/>
      <c r="D967" s="3"/>
      <c r="E967" s="156" t="s">
        <v>1216</v>
      </c>
      <c r="F967" s="3"/>
      <c r="G967" s="158">
        <v>36.03</v>
      </c>
      <c r="H967" s="155">
        <v>14</v>
      </c>
      <c r="I967" s="155">
        <v>1</v>
      </c>
      <c r="J967" s="156" t="s">
        <v>32</v>
      </c>
      <c r="K967" s="5"/>
      <c r="L967" s="3"/>
      <c r="M967" s="6"/>
      <c r="N967" s="9"/>
      <c r="O967" s="158">
        <v>504.42</v>
      </c>
      <c r="P967" s="12"/>
      <c r="Q967" s="12"/>
      <c r="R967" s="12"/>
      <c r="S967" s="12"/>
      <c r="T967" s="12"/>
      <c r="U967" s="12"/>
      <c r="V967" s="12"/>
      <c r="W967" s="12"/>
      <c r="X967" s="12"/>
      <c r="Y967" s="12"/>
      <c r="Z967" s="12"/>
    </row>
    <row r="968" spans="1:26" ht="14.25" customHeight="1" x14ac:dyDescent="0.3">
      <c r="A968" s="155">
        <v>603</v>
      </c>
      <c r="B968" s="156" t="s">
        <v>1214</v>
      </c>
      <c r="C968" s="3"/>
      <c r="D968" s="3"/>
      <c r="E968" s="156" t="s">
        <v>1217</v>
      </c>
      <c r="F968" s="3"/>
      <c r="G968" s="158">
        <v>33.317239999999998</v>
      </c>
      <c r="H968" s="155">
        <v>29</v>
      </c>
      <c r="I968" s="155">
        <v>1</v>
      </c>
      <c r="J968" s="156" t="s">
        <v>32</v>
      </c>
      <c r="K968" s="5"/>
      <c r="L968" s="3"/>
      <c r="M968" s="6"/>
      <c r="N968" s="9"/>
      <c r="O968" s="158">
        <v>966.2</v>
      </c>
      <c r="P968" s="12"/>
      <c r="Q968" s="12"/>
      <c r="R968" s="12"/>
      <c r="S968" s="12"/>
      <c r="T968" s="12"/>
      <c r="U968" s="12"/>
      <c r="V968" s="12"/>
      <c r="W968" s="12"/>
      <c r="X968" s="12"/>
      <c r="Y968" s="12"/>
      <c r="Z968" s="12"/>
    </row>
    <row r="969" spans="1:26" ht="14.25" customHeight="1" x14ac:dyDescent="0.3">
      <c r="A969" s="155">
        <v>152</v>
      </c>
      <c r="B969" s="156" t="s">
        <v>64</v>
      </c>
      <c r="C969" s="3"/>
      <c r="D969" s="3"/>
      <c r="E969" s="156" t="s">
        <v>35</v>
      </c>
      <c r="F969" s="3"/>
      <c r="G969" s="158">
        <v>36.55556</v>
      </c>
      <c r="H969" s="155">
        <v>81</v>
      </c>
      <c r="I969" s="155">
        <v>360</v>
      </c>
      <c r="J969" s="156" t="s">
        <v>32</v>
      </c>
      <c r="K969" s="5"/>
      <c r="L969" s="3"/>
      <c r="M969" s="6"/>
      <c r="N969" s="9"/>
      <c r="O969" s="158">
        <v>2961</v>
      </c>
      <c r="P969" s="12"/>
      <c r="Q969" s="12"/>
      <c r="R969" s="12"/>
      <c r="S969" s="12"/>
      <c r="T969" s="12"/>
      <c r="U969" s="12"/>
      <c r="V969" s="12"/>
      <c r="W969" s="12"/>
      <c r="X969" s="12"/>
      <c r="Y969" s="12"/>
      <c r="Z969" s="12"/>
    </row>
    <row r="970" spans="1:26" ht="14.25" customHeight="1" x14ac:dyDescent="0.3">
      <c r="A970" s="155">
        <v>152</v>
      </c>
      <c r="B970" s="156" t="s">
        <v>64</v>
      </c>
      <c r="C970" s="3"/>
      <c r="D970" s="3"/>
      <c r="E970" s="156" t="s">
        <v>1137</v>
      </c>
      <c r="F970" s="3"/>
      <c r="G970" s="158">
        <v>30.3</v>
      </c>
      <c r="H970" s="155">
        <v>3</v>
      </c>
      <c r="I970" s="155">
        <v>360</v>
      </c>
      <c r="J970" s="156" t="s">
        <v>32</v>
      </c>
      <c r="K970" s="5"/>
      <c r="L970" s="3"/>
      <c r="M970" s="6"/>
      <c r="N970" s="9"/>
      <c r="O970" s="158">
        <v>90.9</v>
      </c>
      <c r="P970" s="12"/>
      <c r="Q970" s="12"/>
      <c r="R970" s="12"/>
      <c r="S970" s="12"/>
      <c r="T970" s="12"/>
      <c r="U970" s="12"/>
      <c r="V970" s="12"/>
      <c r="W970" s="12"/>
      <c r="X970" s="12"/>
      <c r="Y970" s="12"/>
      <c r="Z970" s="12"/>
    </row>
    <row r="971" spans="1:26" ht="14.25" customHeight="1" x14ac:dyDescent="0.3">
      <c r="A971" s="155">
        <v>152</v>
      </c>
      <c r="B971" s="156" t="s">
        <v>64</v>
      </c>
      <c r="C971" s="3"/>
      <c r="D971" s="3"/>
      <c r="E971" s="156" t="s">
        <v>36</v>
      </c>
      <c r="F971" s="3"/>
      <c r="G971" s="158">
        <v>32.307139999999997</v>
      </c>
      <c r="H971" s="155">
        <v>49</v>
      </c>
      <c r="I971" s="155">
        <v>360</v>
      </c>
      <c r="J971" s="156" t="s">
        <v>32</v>
      </c>
      <c r="K971" s="5"/>
      <c r="L971" s="3"/>
      <c r="M971" s="6"/>
      <c r="N971" s="9"/>
      <c r="O971" s="158">
        <v>1583.05</v>
      </c>
      <c r="P971" s="12"/>
      <c r="Q971" s="12"/>
      <c r="R971" s="12"/>
      <c r="S971" s="12"/>
      <c r="T971" s="12"/>
      <c r="U971" s="12"/>
      <c r="V971" s="12"/>
      <c r="W971" s="12"/>
      <c r="X971" s="12"/>
      <c r="Y971" s="12"/>
      <c r="Z971" s="12"/>
    </row>
    <row r="972" spans="1:26" ht="14.25" customHeight="1" x14ac:dyDescent="0.3">
      <c r="A972" s="155">
        <v>604</v>
      </c>
      <c r="B972" s="156" t="s">
        <v>1218</v>
      </c>
      <c r="C972" s="3"/>
      <c r="D972" s="3"/>
      <c r="E972" s="156" t="s">
        <v>1219</v>
      </c>
      <c r="F972" s="3"/>
      <c r="G972" s="158">
        <v>78</v>
      </c>
      <c r="H972" s="155">
        <v>2</v>
      </c>
      <c r="I972" s="155">
        <v>500</v>
      </c>
      <c r="J972" s="156" t="s">
        <v>39</v>
      </c>
      <c r="K972" s="5"/>
      <c r="L972" s="3"/>
      <c r="M972" s="6"/>
      <c r="N972" s="9"/>
      <c r="O972" s="158">
        <v>156</v>
      </c>
      <c r="P972" s="12"/>
      <c r="Q972" s="12"/>
      <c r="R972" s="12"/>
      <c r="S972" s="12"/>
      <c r="T972" s="12"/>
      <c r="U972" s="12"/>
      <c r="V972" s="12"/>
      <c r="W972" s="12"/>
      <c r="X972" s="12"/>
      <c r="Y972" s="12"/>
      <c r="Z972" s="12"/>
    </row>
    <row r="973" spans="1:26" ht="14.25" customHeight="1" x14ac:dyDescent="0.3">
      <c r="A973" s="155">
        <v>605</v>
      </c>
      <c r="B973" s="156" t="s">
        <v>1220</v>
      </c>
      <c r="C973" s="3"/>
      <c r="D973" s="3"/>
      <c r="E973" s="156" t="s">
        <v>1221</v>
      </c>
      <c r="F973" s="3"/>
      <c r="G973" s="158">
        <v>88.5</v>
      </c>
      <c r="H973" s="155">
        <v>2</v>
      </c>
      <c r="I973" s="155">
        <v>1000</v>
      </c>
      <c r="J973" s="156" t="s">
        <v>39</v>
      </c>
      <c r="K973" s="5"/>
      <c r="L973" s="3"/>
      <c r="M973" s="6"/>
      <c r="N973" s="9"/>
      <c r="O973" s="158">
        <v>177</v>
      </c>
      <c r="P973" s="12"/>
      <c r="Q973" s="12"/>
      <c r="R973" s="12"/>
      <c r="S973" s="12"/>
      <c r="T973" s="12"/>
      <c r="U973" s="12"/>
      <c r="V973" s="12"/>
      <c r="W973" s="12"/>
      <c r="X973" s="12"/>
      <c r="Y973" s="12"/>
      <c r="Z973" s="12"/>
    </row>
    <row r="974" spans="1:26" ht="14.25" customHeight="1" x14ac:dyDescent="0.3">
      <c r="A974" s="155">
        <v>154</v>
      </c>
      <c r="B974" s="156" t="s">
        <v>256</v>
      </c>
      <c r="C974" s="3"/>
      <c r="D974" s="3"/>
      <c r="E974" s="156" t="s">
        <v>1069</v>
      </c>
      <c r="F974" s="3"/>
      <c r="G974" s="158">
        <v>71.666669999999996</v>
      </c>
      <c r="H974" s="155">
        <v>12</v>
      </c>
      <c r="I974" s="155">
        <v>3500</v>
      </c>
      <c r="J974" s="156" t="s">
        <v>32</v>
      </c>
      <c r="K974" s="5"/>
      <c r="L974" s="3"/>
      <c r="M974" s="6"/>
      <c r="N974" s="9"/>
      <c r="O974" s="158">
        <v>860</v>
      </c>
      <c r="P974" s="12"/>
      <c r="Q974" s="12"/>
      <c r="R974" s="12"/>
      <c r="S974" s="12"/>
      <c r="T974" s="12"/>
      <c r="U974" s="12"/>
      <c r="V974" s="12"/>
      <c r="W974" s="12"/>
      <c r="X974" s="12"/>
      <c r="Y974" s="12"/>
      <c r="Z974" s="12"/>
    </row>
    <row r="975" spans="1:26" ht="14.25" customHeight="1" x14ac:dyDescent="0.3">
      <c r="A975" s="155">
        <v>154</v>
      </c>
      <c r="B975" s="156" t="s">
        <v>256</v>
      </c>
      <c r="C975" s="3"/>
      <c r="D975" s="3"/>
      <c r="E975" s="156" t="s">
        <v>1222</v>
      </c>
      <c r="F975" s="3"/>
      <c r="G975" s="158">
        <v>24.75</v>
      </c>
      <c r="H975" s="155">
        <v>2</v>
      </c>
      <c r="I975" s="155">
        <v>3500</v>
      </c>
      <c r="J975" s="156" t="s">
        <v>32</v>
      </c>
      <c r="K975" s="5"/>
      <c r="L975" s="3"/>
      <c r="M975" s="6"/>
      <c r="N975" s="9"/>
      <c r="O975" s="158">
        <v>49.5</v>
      </c>
      <c r="P975" s="12"/>
      <c r="Q975" s="12"/>
      <c r="R975" s="12"/>
      <c r="S975" s="12"/>
      <c r="T975" s="12"/>
      <c r="U975" s="12"/>
      <c r="V975" s="12"/>
      <c r="W975" s="12"/>
      <c r="X975" s="12"/>
      <c r="Y975" s="12"/>
      <c r="Z975" s="12"/>
    </row>
    <row r="976" spans="1:26" ht="14.25" customHeight="1" x14ac:dyDescent="0.3">
      <c r="A976" s="155">
        <v>154</v>
      </c>
      <c r="B976" s="156" t="s">
        <v>256</v>
      </c>
      <c r="C976" s="3"/>
      <c r="D976" s="3"/>
      <c r="E976" s="156" t="s">
        <v>1223</v>
      </c>
      <c r="F976" s="3"/>
      <c r="G976" s="158">
        <v>32</v>
      </c>
      <c r="H976" s="155">
        <v>1</v>
      </c>
      <c r="I976" s="155">
        <v>3500</v>
      </c>
      <c r="J976" s="156" t="s">
        <v>1224</v>
      </c>
      <c r="K976" s="5"/>
      <c r="L976" s="3"/>
      <c r="M976" s="6"/>
      <c r="N976" s="9"/>
      <c r="O976" s="158">
        <v>32</v>
      </c>
      <c r="P976" s="12"/>
      <c r="Q976" s="12"/>
      <c r="R976" s="12"/>
      <c r="S976" s="12"/>
      <c r="T976" s="12"/>
      <c r="U976" s="12"/>
      <c r="V976" s="12"/>
      <c r="W976" s="12"/>
      <c r="X976" s="12"/>
      <c r="Y976" s="12"/>
      <c r="Z976" s="12"/>
    </row>
    <row r="977" spans="1:26" ht="14.25" customHeight="1" x14ac:dyDescent="0.3">
      <c r="A977" s="155">
        <v>159</v>
      </c>
      <c r="B977" s="156" t="s">
        <v>606</v>
      </c>
      <c r="C977" s="3"/>
      <c r="D977" s="3"/>
      <c r="E977" s="156" t="s">
        <v>1225</v>
      </c>
      <c r="F977" s="3"/>
      <c r="G977" s="158">
        <v>120</v>
      </c>
      <c r="H977" s="155">
        <v>1</v>
      </c>
      <c r="I977" s="155">
        <v>454</v>
      </c>
      <c r="J977" s="156" t="s">
        <v>39</v>
      </c>
      <c r="K977" s="5"/>
      <c r="L977" s="3"/>
      <c r="M977" s="6"/>
      <c r="N977" s="9"/>
      <c r="O977" s="158">
        <v>120</v>
      </c>
      <c r="P977" s="12"/>
      <c r="Q977" s="12"/>
      <c r="R977" s="12"/>
      <c r="S977" s="12"/>
      <c r="T977" s="12"/>
      <c r="U977" s="12"/>
      <c r="V977" s="12"/>
      <c r="W977" s="12"/>
      <c r="X977" s="12"/>
      <c r="Y977" s="12"/>
      <c r="Z977" s="12"/>
    </row>
    <row r="978" spans="1:26" ht="14.25" customHeight="1" x14ac:dyDescent="0.3">
      <c r="A978" s="155">
        <v>606</v>
      </c>
      <c r="B978" s="156" t="s">
        <v>1226</v>
      </c>
      <c r="C978" s="3"/>
      <c r="D978" s="3"/>
      <c r="E978" s="156" t="s">
        <v>1227</v>
      </c>
      <c r="F978" s="3"/>
      <c r="G978" s="158">
        <v>32.5</v>
      </c>
      <c r="H978" s="155">
        <v>2</v>
      </c>
      <c r="I978" s="155">
        <v>20</v>
      </c>
      <c r="J978" s="156" t="s">
        <v>32</v>
      </c>
      <c r="K978" s="5"/>
      <c r="L978" s="3"/>
      <c r="M978" s="6"/>
      <c r="N978" s="9"/>
      <c r="O978" s="158">
        <v>65</v>
      </c>
      <c r="P978" s="12"/>
      <c r="Q978" s="12"/>
      <c r="R978" s="12"/>
      <c r="S978" s="12"/>
      <c r="T978" s="12"/>
      <c r="U978" s="12"/>
      <c r="V978" s="12"/>
      <c r="W978" s="12"/>
      <c r="X978" s="12"/>
      <c r="Y978" s="12"/>
      <c r="Z978" s="12"/>
    </row>
    <row r="979" spans="1:26" ht="14.25" customHeight="1" x14ac:dyDescent="0.3">
      <c r="A979" s="155">
        <v>607</v>
      </c>
      <c r="B979" s="156" t="s">
        <v>1228</v>
      </c>
      <c r="C979" s="3"/>
      <c r="D979" s="3"/>
      <c r="E979" s="156" t="s">
        <v>854</v>
      </c>
      <c r="F979" s="3"/>
      <c r="G979" s="158">
        <v>162.875</v>
      </c>
      <c r="H979" s="155">
        <v>4</v>
      </c>
      <c r="I979" s="155">
        <v>20</v>
      </c>
      <c r="J979" s="156" t="s">
        <v>32</v>
      </c>
      <c r="K979" s="5"/>
      <c r="L979" s="3"/>
      <c r="M979" s="6"/>
      <c r="N979" s="9"/>
      <c r="O979" s="158">
        <v>651.5</v>
      </c>
      <c r="P979" s="12"/>
      <c r="Q979" s="12"/>
      <c r="R979" s="12"/>
      <c r="S979" s="12"/>
      <c r="T979" s="12"/>
      <c r="U979" s="12"/>
      <c r="V979" s="12"/>
      <c r="W979" s="12"/>
      <c r="X979" s="12"/>
      <c r="Y979" s="12"/>
      <c r="Z979" s="12"/>
    </row>
    <row r="980" spans="1:26" ht="14.25" customHeight="1" x14ac:dyDescent="0.3">
      <c r="A980" s="155">
        <v>608</v>
      </c>
      <c r="B980" s="156" t="s">
        <v>1229</v>
      </c>
      <c r="C980" s="3"/>
      <c r="D980" s="3"/>
      <c r="E980" s="156" t="s">
        <v>854</v>
      </c>
      <c r="F980" s="3"/>
      <c r="G980" s="158">
        <v>47.1875</v>
      </c>
      <c r="H980" s="155">
        <v>8</v>
      </c>
      <c r="I980" s="155">
        <v>20</v>
      </c>
      <c r="J980" s="156" t="s">
        <v>32</v>
      </c>
      <c r="K980" s="5"/>
      <c r="L980" s="3"/>
      <c r="M980" s="6"/>
      <c r="N980" s="9"/>
      <c r="O980" s="158">
        <v>377.5</v>
      </c>
      <c r="P980" s="12"/>
      <c r="Q980" s="12"/>
      <c r="R980" s="12"/>
      <c r="S980" s="12"/>
      <c r="T980" s="12"/>
      <c r="U980" s="12"/>
      <c r="V980" s="12"/>
      <c r="W980" s="12"/>
      <c r="X980" s="12"/>
      <c r="Y980" s="12"/>
      <c r="Z980" s="12"/>
    </row>
    <row r="981" spans="1:26" ht="14.25" customHeight="1" x14ac:dyDescent="0.3">
      <c r="A981" s="155">
        <v>609</v>
      </c>
      <c r="B981" s="156" t="s">
        <v>1230</v>
      </c>
      <c r="C981" s="3"/>
      <c r="D981" s="3"/>
      <c r="E981" s="156" t="s">
        <v>854</v>
      </c>
      <c r="F981" s="3"/>
      <c r="G981" s="158">
        <v>43.5</v>
      </c>
      <c r="H981" s="155">
        <v>2</v>
      </c>
      <c r="I981" s="155">
        <v>20</v>
      </c>
      <c r="J981" s="156" t="s">
        <v>32</v>
      </c>
      <c r="K981" s="5"/>
      <c r="L981" s="3"/>
      <c r="M981" s="6"/>
      <c r="N981" s="9"/>
      <c r="O981" s="158">
        <v>87</v>
      </c>
      <c r="P981" s="12"/>
      <c r="Q981" s="12"/>
      <c r="R981" s="12"/>
      <c r="S981" s="12"/>
      <c r="T981" s="12"/>
      <c r="U981" s="12"/>
      <c r="V981" s="12"/>
      <c r="W981" s="12"/>
      <c r="X981" s="12"/>
      <c r="Y981" s="12"/>
      <c r="Z981" s="12"/>
    </row>
    <row r="982" spans="1:26" ht="14.25" customHeight="1" x14ac:dyDescent="0.3">
      <c r="A982" s="155">
        <v>610</v>
      </c>
      <c r="B982" s="156" t="s">
        <v>1231</v>
      </c>
      <c r="C982" s="3"/>
      <c r="D982" s="3"/>
      <c r="E982" s="156" t="s">
        <v>854</v>
      </c>
      <c r="F982" s="3"/>
      <c r="G982" s="158">
        <v>53</v>
      </c>
      <c r="H982" s="155">
        <v>2</v>
      </c>
      <c r="I982" s="155">
        <v>60</v>
      </c>
      <c r="J982" s="156" t="s">
        <v>32</v>
      </c>
      <c r="K982" s="5"/>
      <c r="L982" s="3"/>
      <c r="M982" s="6"/>
      <c r="N982" s="9"/>
      <c r="O982" s="158">
        <v>106</v>
      </c>
      <c r="P982" s="12"/>
      <c r="Q982" s="12"/>
      <c r="R982" s="12"/>
      <c r="S982" s="12"/>
      <c r="T982" s="12"/>
      <c r="U982" s="12"/>
      <c r="V982" s="12"/>
      <c r="W982" s="12"/>
      <c r="X982" s="12"/>
      <c r="Y982" s="12"/>
      <c r="Z982" s="12"/>
    </row>
    <row r="983" spans="1:26" ht="14.25" customHeight="1" x14ac:dyDescent="0.3">
      <c r="A983" s="155">
        <v>611</v>
      </c>
      <c r="B983" s="156" t="s">
        <v>1232</v>
      </c>
      <c r="C983" s="3"/>
      <c r="D983" s="3"/>
      <c r="E983" s="156" t="s">
        <v>854</v>
      </c>
      <c r="F983" s="3"/>
      <c r="G983" s="158">
        <v>60</v>
      </c>
      <c r="H983" s="155">
        <v>1</v>
      </c>
      <c r="I983" s="155">
        <v>20</v>
      </c>
      <c r="J983" s="156" t="s">
        <v>32</v>
      </c>
      <c r="K983" s="5"/>
      <c r="L983" s="3"/>
      <c r="M983" s="6"/>
      <c r="N983" s="9"/>
      <c r="O983" s="158">
        <v>60</v>
      </c>
      <c r="P983" s="12"/>
      <c r="Q983" s="12"/>
      <c r="R983" s="12"/>
      <c r="S983" s="12"/>
      <c r="T983" s="12"/>
      <c r="U983" s="12"/>
      <c r="V983" s="12"/>
      <c r="W983" s="12"/>
      <c r="X983" s="12"/>
      <c r="Y983" s="12"/>
      <c r="Z983" s="12"/>
    </row>
    <row r="984" spans="1:26" ht="14.25" customHeight="1" x14ac:dyDescent="0.3">
      <c r="A984" s="155">
        <v>612</v>
      </c>
      <c r="B984" s="156" t="s">
        <v>1233</v>
      </c>
      <c r="C984" s="3"/>
      <c r="D984" s="3"/>
      <c r="E984" s="156" t="s">
        <v>1234</v>
      </c>
      <c r="F984" s="3"/>
      <c r="G984" s="158">
        <v>329</v>
      </c>
      <c r="H984" s="155">
        <v>1</v>
      </c>
      <c r="I984" s="155">
        <v>500</v>
      </c>
      <c r="J984" s="156" t="s">
        <v>39</v>
      </c>
      <c r="K984" s="5"/>
      <c r="L984" s="3"/>
      <c r="M984" s="6"/>
      <c r="N984" s="9"/>
      <c r="O984" s="158">
        <v>329</v>
      </c>
      <c r="P984" s="12"/>
      <c r="Q984" s="12"/>
      <c r="R984" s="12"/>
      <c r="S984" s="12"/>
      <c r="T984" s="12"/>
      <c r="U984" s="12"/>
      <c r="V984" s="12"/>
      <c r="W984" s="12"/>
      <c r="X984" s="12"/>
      <c r="Y984" s="12"/>
      <c r="Z984" s="12"/>
    </row>
    <row r="985" spans="1:26" ht="14.25" customHeight="1" x14ac:dyDescent="0.3">
      <c r="A985" s="155">
        <v>612</v>
      </c>
      <c r="B985" s="156" t="s">
        <v>1233</v>
      </c>
      <c r="C985" s="3"/>
      <c r="D985" s="3"/>
      <c r="E985" s="156" t="s">
        <v>854</v>
      </c>
      <c r="F985" s="3"/>
      <c r="G985" s="158">
        <v>48.333329999999997</v>
      </c>
      <c r="H985" s="155">
        <v>3</v>
      </c>
      <c r="I985" s="155">
        <v>500</v>
      </c>
      <c r="J985" s="156" t="s">
        <v>32</v>
      </c>
      <c r="K985" s="5"/>
      <c r="L985" s="3"/>
      <c r="M985" s="6"/>
      <c r="N985" s="9"/>
      <c r="O985" s="158">
        <v>145</v>
      </c>
      <c r="P985" s="12"/>
      <c r="Q985" s="12"/>
      <c r="R985" s="12"/>
      <c r="S985" s="12"/>
      <c r="T985" s="12"/>
      <c r="U985" s="12"/>
      <c r="V985" s="12"/>
      <c r="W985" s="12"/>
      <c r="X985" s="12"/>
      <c r="Y985" s="12"/>
      <c r="Z985" s="12"/>
    </row>
    <row r="986" spans="1:26" ht="14.25" customHeight="1" x14ac:dyDescent="0.3">
      <c r="A986" s="155">
        <v>613</v>
      </c>
      <c r="B986" s="156" t="s">
        <v>1235</v>
      </c>
      <c r="C986" s="3"/>
      <c r="D986" s="3"/>
      <c r="E986" s="156" t="s">
        <v>1236</v>
      </c>
      <c r="F986" s="3"/>
      <c r="G986" s="158">
        <v>177.4</v>
      </c>
      <c r="H986" s="155">
        <v>5</v>
      </c>
      <c r="I986" s="155">
        <v>1000</v>
      </c>
      <c r="J986" s="156" t="s">
        <v>39</v>
      </c>
      <c r="K986" s="5"/>
      <c r="L986" s="3"/>
      <c r="M986" s="6"/>
      <c r="N986" s="9"/>
      <c r="O986" s="158">
        <v>887</v>
      </c>
      <c r="P986" s="12"/>
      <c r="Q986" s="12"/>
      <c r="R986" s="12"/>
      <c r="S986" s="12"/>
      <c r="T986" s="12"/>
      <c r="U986" s="12"/>
      <c r="V986" s="12"/>
      <c r="W986" s="12"/>
      <c r="X986" s="12"/>
      <c r="Y986" s="12"/>
      <c r="Z986" s="12"/>
    </row>
    <row r="987" spans="1:26" ht="14.25" customHeight="1" x14ac:dyDescent="0.3">
      <c r="A987" s="155">
        <v>614</v>
      </c>
      <c r="B987" s="156" t="s">
        <v>1237</v>
      </c>
      <c r="C987" s="3"/>
      <c r="D987" s="3"/>
      <c r="E987" s="156" t="s">
        <v>1238</v>
      </c>
      <c r="F987" s="3"/>
      <c r="G987" s="158">
        <v>193</v>
      </c>
      <c r="H987" s="155">
        <v>2</v>
      </c>
      <c r="I987" s="155">
        <v>1000</v>
      </c>
      <c r="J987" s="156" t="s">
        <v>39</v>
      </c>
      <c r="K987" s="5"/>
      <c r="L987" s="3"/>
      <c r="M987" s="6"/>
      <c r="N987" s="9"/>
      <c r="O987" s="158">
        <v>386</v>
      </c>
      <c r="P987" s="12"/>
      <c r="Q987" s="12"/>
      <c r="R987" s="12"/>
      <c r="S987" s="12"/>
      <c r="T987" s="12"/>
      <c r="U987" s="12"/>
      <c r="V987" s="12"/>
      <c r="W987" s="12"/>
      <c r="X987" s="12"/>
      <c r="Y987" s="12"/>
      <c r="Z987" s="12"/>
    </row>
    <row r="988" spans="1:26" ht="14.25" customHeight="1" x14ac:dyDescent="0.3">
      <c r="A988" s="155">
        <v>615</v>
      </c>
      <c r="B988" s="156" t="s">
        <v>1239</v>
      </c>
      <c r="C988" s="3"/>
      <c r="D988" s="3"/>
      <c r="E988" s="156"/>
      <c r="F988" s="3"/>
      <c r="G988" s="158">
        <v>145</v>
      </c>
      <c r="H988" s="155">
        <v>1</v>
      </c>
      <c r="I988" s="155">
        <v>1</v>
      </c>
      <c r="J988" s="156" t="s">
        <v>213</v>
      </c>
      <c r="K988" s="5"/>
      <c r="L988" s="3"/>
      <c r="M988" s="6"/>
      <c r="N988" s="9"/>
      <c r="O988" s="158">
        <v>145</v>
      </c>
      <c r="P988" s="12"/>
      <c r="Q988" s="12"/>
      <c r="R988" s="12"/>
      <c r="S988" s="12"/>
      <c r="T988" s="12"/>
      <c r="U988" s="12"/>
      <c r="V988" s="12"/>
      <c r="W988" s="12"/>
      <c r="X988" s="12"/>
      <c r="Y988" s="12"/>
      <c r="Z988" s="12"/>
    </row>
    <row r="989" spans="1:26" ht="14.25" customHeight="1" x14ac:dyDescent="0.3">
      <c r="A989" s="155">
        <v>615</v>
      </c>
      <c r="B989" s="156" t="s">
        <v>1239</v>
      </c>
      <c r="C989" s="3"/>
      <c r="D989" s="3"/>
      <c r="E989" s="156" t="s">
        <v>912</v>
      </c>
      <c r="F989" s="3"/>
      <c r="G989" s="158">
        <v>180</v>
      </c>
      <c r="H989" s="155">
        <v>1</v>
      </c>
      <c r="I989" s="155">
        <v>1</v>
      </c>
      <c r="J989" s="156" t="s">
        <v>39</v>
      </c>
      <c r="K989" s="5"/>
      <c r="L989" s="3"/>
      <c r="M989" s="6"/>
      <c r="N989" s="9"/>
      <c r="O989" s="158">
        <v>180</v>
      </c>
      <c r="P989" s="12"/>
      <c r="Q989" s="12"/>
      <c r="R989" s="12"/>
      <c r="S989" s="12"/>
      <c r="T989" s="12"/>
      <c r="U989" s="12"/>
      <c r="V989" s="12"/>
      <c r="W989" s="12"/>
      <c r="X989" s="12"/>
      <c r="Y989" s="12"/>
      <c r="Z989" s="12"/>
    </row>
    <row r="990" spans="1:26" ht="14.25" customHeight="1" x14ac:dyDescent="0.3">
      <c r="A990" s="155">
        <v>162</v>
      </c>
      <c r="B990" s="156" t="s">
        <v>175</v>
      </c>
      <c r="C990" s="3"/>
      <c r="D990" s="3"/>
      <c r="E990" s="156" t="s">
        <v>1240</v>
      </c>
      <c r="F990" s="3"/>
      <c r="G990" s="158">
        <v>166.49</v>
      </c>
      <c r="H990" s="155">
        <v>3</v>
      </c>
      <c r="I990" s="155">
        <v>3033</v>
      </c>
      <c r="J990" s="156" t="s">
        <v>39</v>
      </c>
      <c r="K990" s="5"/>
      <c r="L990" s="3"/>
      <c r="M990" s="6"/>
      <c r="N990" s="9"/>
      <c r="O990" s="158">
        <v>499.47</v>
      </c>
      <c r="P990" s="12"/>
      <c r="Q990" s="12"/>
      <c r="R990" s="12"/>
      <c r="S990" s="12"/>
      <c r="T990" s="12"/>
      <c r="U990" s="12"/>
      <c r="V990" s="12"/>
      <c r="W990" s="12"/>
      <c r="X990" s="12"/>
      <c r="Y990" s="12"/>
      <c r="Z990" s="12"/>
    </row>
    <row r="991" spans="1:26" ht="14.25" customHeight="1" x14ac:dyDescent="0.3">
      <c r="A991" s="155">
        <v>162</v>
      </c>
      <c r="B991" s="156" t="s">
        <v>175</v>
      </c>
      <c r="C991" s="3"/>
      <c r="D991" s="3"/>
      <c r="E991" s="156" t="s">
        <v>1240</v>
      </c>
      <c r="F991" s="3"/>
      <c r="G991" s="158">
        <v>89.5</v>
      </c>
      <c r="H991" s="155">
        <v>2</v>
      </c>
      <c r="I991" s="155">
        <v>3033</v>
      </c>
      <c r="J991" s="156" t="s">
        <v>519</v>
      </c>
      <c r="K991" s="5"/>
      <c r="L991" s="3"/>
      <c r="M991" s="6"/>
      <c r="N991" s="9"/>
      <c r="O991" s="158">
        <v>179</v>
      </c>
      <c r="P991" s="12"/>
      <c r="Q991" s="12"/>
      <c r="R991" s="12"/>
      <c r="S991" s="12"/>
      <c r="T991" s="12"/>
      <c r="U991" s="12"/>
      <c r="V991" s="12"/>
      <c r="W991" s="12"/>
      <c r="X991" s="12"/>
      <c r="Y991" s="12"/>
      <c r="Z991" s="12"/>
    </row>
    <row r="992" spans="1:26" ht="14.25" customHeight="1" x14ac:dyDescent="0.3">
      <c r="A992" s="155">
        <v>162</v>
      </c>
      <c r="B992" s="156" t="s">
        <v>175</v>
      </c>
      <c r="C992" s="3"/>
      <c r="D992" s="3"/>
      <c r="E992" s="156" t="s">
        <v>1241</v>
      </c>
      <c r="F992" s="3"/>
      <c r="G992" s="158">
        <v>199.9091</v>
      </c>
      <c r="H992" s="155">
        <v>11</v>
      </c>
      <c r="I992" s="155">
        <v>3033</v>
      </c>
      <c r="J992" s="156" t="s">
        <v>39</v>
      </c>
      <c r="K992" s="5"/>
      <c r="L992" s="3"/>
      <c r="M992" s="6"/>
      <c r="N992" s="9"/>
      <c r="O992" s="158">
        <v>2199</v>
      </c>
      <c r="P992" s="12"/>
      <c r="Q992" s="12"/>
      <c r="R992" s="12"/>
      <c r="S992" s="12"/>
      <c r="T992" s="12"/>
      <c r="U992" s="12"/>
      <c r="V992" s="12"/>
      <c r="W992" s="12"/>
      <c r="X992" s="12"/>
      <c r="Y992" s="12"/>
      <c r="Z992" s="12"/>
    </row>
    <row r="993" spans="1:26" ht="14.25" customHeight="1" x14ac:dyDescent="0.3">
      <c r="A993" s="155">
        <v>616</v>
      </c>
      <c r="B993" s="156" t="s">
        <v>1242</v>
      </c>
      <c r="C993" s="3"/>
      <c r="D993" s="3"/>
      <c r="E993" s="156"/>
      <c r="F993" s="3"/>
      <c r="G993" s="158">
        <v>35</v>
      </c>
      <c r="H993" s="155">
        <v>3</v>
      </c>
      <c r="I993" s="155">
        <v>1000</v>
      </c>
      <c r="J993" s="156" t="s">
        <v>39</v>
      </c>
      <c r="K993" s="5"/>
      <c r="L993" s="3"/>
      <c r="M993" s="6"/>
      <c r="N993" s="9"/>
      <c r="O993" s="158">
        <v>105</v>
      </c>
      <c r="P993" s="12"/>
      <c r="Q993" s="12"/>
      <c r="R993" s="12"/>
      <c r="S993" s="12"/>
      <c r="T993" s="12"/>
      <c r="U993" s="12"/>
      <c r="V993" s="12"/>
      <c r="W993" s="12"/>
      <c r="X993" s="12"/>
      <c r="Y993" s="12"/>
      <c r="Z993" s="12"/>
    </row>
    <row r="994" spans="1:26" ht="14.25" customHeight="1" x14ac:dyDescent="0.3">
      <c r="A994" s="155">
        <v>617</v>
      </c>
      <c r="B994" s="156" t="s">
        <v>1243</v>
      </c>
      <c r="C994" s="3"/>
      <c r="D994" s="3"/>
      <c r="E994" s="156"/>
      <c r="F994" s="3"/>
      <c r="G994" s="158">
        <v>320</v>
      </c>
      <c r="H994" s="155">
        <v>11</v>
      </c>
      <c r="I994" s="155">
        <v>1</v>
      </c>
      <c r="J994" s="156" t="s">
        <v>213</v>
      </c>
      <c r="K994" s="5"/>
      <c r="L994" s="3"/>
      <c r="M994" s="6"/>
      <c r="N994" s="9"/>
      <c r="O994" s="158">
        <v>3520</v>
      </c>
      <c r="P994" s="12"/>
      <c r="Q994" s="12"/>
      <c r="R994" s="12"/>
      <c r="S994" s="12"/>
      <c r="T994" s="12"/>
      <c r="U994" s="12"/>
      <c r="V994" s="12"/>
      <c r="W994" s="12"/>
      <c r="X994" s="12"/>
      <c r="Y994" s="12"/>
      <c r="Z994" s="12"/>
    </row>
    <row r="995" spans="1:26" ht="14.25" customHeight="1" x14ac:dyDescent="0.3">
      <c r="A995" s="155">
        <v>617</v>
      </c>
      <c r="B995" s="156" t="s">
        <v>1243</v>
      </c>
      <c r="C995" s="3"/>
      <c r="D995" s="3"/>
      <c r="E995" s="156"/>
      <c r="F995" s="3"/>
      <c r="G995" s="158">
        <v>250</v>
      </c>
      <c r="H995" s="155">
        <v>2</v>
      </c>
      <c r="I995" s="155">
        <v>1</v>
      </c>
      <c r="J995" s="156" t="s">
        <v>39</v>
      </c>
      <c r="K995" s="5"/>
      <c r="L995" s="3"/>
      <c r="M995" s="6"/>
      <c r="N995" s="9"/>
      <c r="O995" s="158">
        <v>500</v>
      </c>
      <c r="P995" s="12"/>
      <c r="Q995" s="12"/>
      <c r="R995" s="12"/>
      <c r="S995" s="12"/>
      <c r="T995" s="12"/>
      <c r="U995" s="12"/>
      <c r="V995" s="12"/>
      <c r="W995" s="12"/>
      <c r="X995" s="12"/>
      <c r="Y995" s="12"/>
      <c r="Z995" s="12"/>
    </row>
    <row r="996" spans="1:26" ht="14.25" customHeight="1" x14ac:dyDescent="0.3">
      <c r="A996" s="155">
        <v>169</v>
      </c>
      <c r="B996" s="156" t="s">
        <v>177</v>
      </c>
      <c r="C996" s="3"/>
      <c r="D996" s="3"/>
      <c r="E996" s="156" t="s">
        <v>959</v>
      </c>
      <c r="F996" s="3"/>
      <c r="G996" s="158">
        <v>38.628570000000003</v>
      </c>
      <c r="H996" s="155">
        <v>7</v>
      </c>
      <c r="I996" s="155">
        <v>113</v>
      </c>
      <c r="J996" s="156" t="s">
        <v>39</v>
      </c>
      <c r="K996" s="5"/>
      <c r="L996" s="3"/>
      <c r="M996" s="6"/>
      <c r="N996" s="9"/>
      <c r="O996" s="158">
        <v>270.39999999999998</v>
      </c>
      <c r="P996" s="12"/>
      <c r="Q996" s="12"/>
      <c r="R996" s="12"/>
      <c r="S996" s="12"/>
      <c r="T996" s="12"/>
      <c r="U996" s="12"/>
      <c r="V996" s="12"/>
      <c r="W996" s="12"/>
      <c r="X996" s="12"/>
      <c r="Y996" s="12"/>
      <c r="Z996" s="12"/>
    </row>
    <row r="997" spans="1:26" ht="14.25" customHeight="1" x14ac:dyDescent="0.3">
      <c r="A997" s="155">
        <v>169</v>
      </c>
      <c r="B997" s="156" t="s">
        <v>177</v>
      </c>
      <c r="C997" s="3"/>
      <c r="D997" s="3"/>
      <c r="E997" s="156" t="s">
        <v>959</v>
      </c>
      <c r="F997" s="3"/>
      <c r="G997" s="158">
        <v>42.2</v>
      </c>
      <c r="H997" s="155">
        <v>8</v>
      </c>
      <c r="I997" s="155">
        <v>113</v>
      </c>
      <c r="J997" s="156" t="s">
        <v>519</v>
      </c>
      <c r="K997" s="5"/>
      <c r="L997" s="3"/>
      <c r="M997" s="6"/>
      <c r="N997" s="9"/>
      <c r="O997" s="158">
        <v>337.6</v>
      </c>
      <c r="P997" s="12"/>
      <c r="Q997" s="12"/>
      <c r="R997" s="12"/>
      <c r="S997" s="12"/>
      <c r="T997" s="12"/>
      <c r="U997" s="12"/>
      <c r="V997" s="12"/>
      <c r="W997" s="12"/>
      <c r="X997" s="12"/>
      <c r="Y997" s="12"/>
      <c r="Z997" s="12"/>
    </row>
    <row r="998" spans="1:26" ht="14.25" customHeight="1" x14ac:dyDescent="0.3">
      <c r="A998" s="155">
        <v>169</v>
      </c>
      <c r="B998" s="156" t="s">
        <v>177</v>
      </c>
      <c r="C998" s="3"/>
      <c r="D998" s="3"/>
      <c r="E998" s="156" t="s">
        <v>1244</v>
      </c>
      <c r="F998" s="3"/>
      <c r="G998" s="158">
        <v>48</v>
      </c>
      <c r="H998" s="155">
        <v>17</v>
      </c>
      <c r="I998" s="155">
        <v>113</v>
      </c>
      <c r="J998" s="156" t="s">
        <v>519</v>
      </c>
      <c r="K998" s="5"/>
      <c r="L998" s="3"/>
      <c r="M998" s="6"/>
      <c r="N998" s="9"/>
      <c r="O998" s="158">
        <v>816</v>
      </c>
      <c r="P998" s="12"/>
      <c r="Q998" s="12"/>
      <c r="R998" s="12"/>
      <c r="S998" s="12"/>
      <c r="T998" s="12"/>
      <c r="U998" s="12"/>
      <c r="V998" s="12"/>
      <c r="W998" s="12"/>
      <c r="X998" s="12"/>
      <c r="Y998" s="12"/>
      <c r="Z998" s="12"/>
    </row>
    <row r="999" spans="1:26" ht="14.25" customHeight="1" x14ac:dyDescent="0.3">
      <c r="A999" s="155">
        <v>169</v>
      </c>
      <c r="B999" s="156" t="s">
        <v>177</v>
      </c>
      <c r="C999" s="3"/>
      <c r="D999" s="3"/>
      <c r="E999" s="156" t="s">
        <v>865</v>
      </c>
      <c r="F999" s="3"/>
      <c r="G999" s="158">
        <v>28.5</v>
      </c>
      <c r="H999" s="155">
        <v>3</v>
      </c>
      <c r="I999" s="155">
        <v>113</v>
      </c>
      <c r="J999" s="156" t="s">
        <v>39</v>
      </c>
      <c r="K999" s="5"/>
      <c r="L999" s="3"/>
      <c r="M999" s="6"/>
      <c r="N999" s="9"/>
      <c r="O999" s="158">
        <v>85.5</v>
      </c>
      <c r="P999" s="12"/>
      <c r="Q999" s="12"/>
      <c r="R999" s="12"/>
      <c r="S999" s="12"/>
      <c r="T999" s="12"/>
      <c r="U999" s="12"/>
      <c r="V999" s="12"/>
      <c r="W999" s="12"/>
      <c r="X999" s="12"/>
      <c r="Y999" s="12"/>
      <c r="Z999" s="12"/>
    </row>
    <row r="1000" spans="1:26" ht="14.25" customHeight="1" x14ac:dyDescent="0.3">
      <c r="A1000" s="155">
        <v>170</v>
      </c>
      <c r="B1000" s="156" t="s">
        <v>452</v>
      </c>
      <c r="C1000" s="3"/>
      <c r="D1000" s="3"/>
      <c r="E1000" s="156"/>
      <c r="F1000" s="3"/>
      <c r="G1000" s="158">
        <v>140</v>
      </c>
      <c r="H1000" s="155">
        <v>1</v>
      </c>
      <c r="I1000" s="155">
        <v>1</v>
      </c>
      <c r="J1000" s="156" t="s">
        <v>213</v>
      </c>
      <c r="K1000" s="5"/>
      <c r="L1000" s="3"/>
      <c r="M1000" s="6"/>
      <c r="N1000" s="9"/>
      <c r="O1000" s="158">
        <v>140</v>
      </c>
      <c r="P1000" s="12"/>
      <c r="Q1000" s="12"/>
      <c r="R1000" s="12"/>
      <c r="S1000" s="12"/>
      <c r="T1000" s="12"/>
      <c r="U1000" s="12"/>
      <c r="V1000" s="12"/>
      <c r="W1000" s="12"/>
      <c r="X1000" s="12"/>
      <c r="Y1000" s="12"/>
      <c r="Z1000" s="12"/>
    </row>
    <row r="1001" spans="1:26" ht="14.25" customHeight="1" x14ac:dyDescent="0.3">
      <c r="A1001" s="155">
        <v>170</v>
      </c>
      <c r="B1001" s="156" t="s">
        <v>452</v>
      </c>
      <c r="C1001" s="3"/>
      <c r="D1001" s="3"/>
      <c r="E1001" s="156"/>
      <c r="F1001" s="3"/>
      <c r="G1001" s="158">
        <v>170</v>
      </c>
      <c r="H1001" s="155">
        <v>1</v>
      </c>
      <c r="I1001" s="155">
        <v>1</v>
      </c>
      <c r="J1001" s="156" t="s">
        <v>39</v>
      </c>
      <c r="K1001" s="5"/>
      <c r="L1001" s="3"/>
      <c r="M1001" s="6"/>
      <c r="N1001" s="9"/>
      <c r="O1001" s="158">
        <v>170</v>
      </c>
      <c r="P1001" s="12"/>
      <c r="Q1001" s="12"/>
      <c r="R1001" s="12"/>
      <c r="S1001" s="12"/>
      <c r="T1001" s="12"/>
      <c r="U1001" s="12"/>
      <c r="V1001" s="12"/>
      <c r="W1001" s="12"/>
      <c r="X1001" s="12"/>
      <c r="Y1001" s="12"/>
      <c r="Z1001" s="12"/>
    </row>
    <row r="1002" spans="1:26" ht="14.25" customHeight="1" x14ac:dyDescent="0.3">
      <c r="A1002" s="155">
        <v>618</v>
      </c>
      <c r="B1002" s="156" t="s">
        <v>1245</v>
      </c>
      <c r="C1002" s="3"/>
      <c r="D1002" s="3"/>
      <c r="E1002" s="156" t="s">
        <v>854</v>
      </c>
      <c r="F1002" s="3"/>
      <c r="G1002" s="158">
        <v>6</v>
      </c>
      <c r="H1002" s="155">
        <v>5</v>
      </c>
      <c r="I1002" s="155">
        <v>1</v>
      </c>
      <c r="J1002" s="156" t="s">
        <v>92</v>
      </c>
      <c r="K1002" s="5"/>
      <c r="L1002" s="3"/>
      <c r="M1002" s="6"/>
      <c r="N1002" s="9"/>
      <c r="O1002" s="158">
        <v>30</v>
      </c>
      <c r="P1002" s="12"/>
      <c r="Q1002" s="12"/>
      <c r="R1002" s="12"/>
      <c r="S1002" s="12"/>
      <c r="T1002" s="12"/>
      <c r="U1002" s="12"/>
      <c r="V1002" s="12"/>
      <c r="W1002" s="12"/>
      <c r="X1002" s="12"/>
      <c r="Y1002" s="12"/>
      <c r="Z1002" s="12"/>
    </row>
    <row r="1003" spans="1:26" ht="14.25" customHeight="1" x14ac:dyDescent="0.3">
      <c r="A1003" s="155">
        <v>172</v>
      </c>
      <c r="B1003" s="156" t="s">
        <v>257</v>
      </c>
      <c r="C1003" s="3"/>
      <c r="D1003" s="3"/>
      <c r="E1003" s="156" t="s">
        <v>854</v>
      </c>
      <c r="F1003" s="3"/>
      <c r="G1003" s="158">
        <v>780</v>
      </c>
      <c r="H1003" s="155">
        <v>1</v>
      </c>
      <c r="I1003" s="155">
        <v>1000</v>
      </c>
      <c r="J1003" s="156" t="s">
        <v>213</v>
      </c>
      <c r="K1003" s="5"/>
      <c r="L1003" s="3"/>
      <c r="M1003" s="6"/>
      <c r="N1003" s="9"/>
      <c r="O1003" s="158">
        <v>780</v>
      </c>
      <c r="P1003" s="12"/>
      <c r="Q1003" s="12"/>
      <c r="R1003" s="12"/>
      <c r="S1003" s="12"/>
      <c r="T1003" s="12"/>
      <c r="U1003" s="12"/>
      <c r="V1003" s="12"/>
      <c r="W1003" s="12"/>
      <c r="X1003" s="12"/>
      <c r="Y1003" s="12"/>
      <c r="Z1003" s="12"/>
    </row>
    <row r="1004" spans="1:26" ht="14.25" customHeight="1" x14ac:dyDescent="0.3">
      <c r="A1004" s="155">
        <v>619</v>
      </c>
      <c r="B1004" s="156" t="s">
        <v>1246</v>
      </c>
      <c r="C1004" s="3"/>
      <c r="D1004" s="3"/>
      <c r="E1004" s="156" t="s">
        <v>1247</v>
      </c>
      <c r="F1004" s="3"/>
      <c r="G1004" s="158">
        <v>15.55</v>
      </c>
      <c r="H1004" s="155">
        <v>33</v>
      </c>
      <c r="I1004" s="155">
        <v>50</v>
      </c>
      <c r="J1004" s="156" t="s">
        <v>39</v>
      </c>
      <c r="K1004" s="5"/>
      <c r="L1004" s="3"/>
      <c r="M1004" s="6"/>
      <c r="N1004" s="9"/>
      <c r="O1004" s="158">
        <v>513.15</v>
      </c>
      <c r="P1004" s="12"/>
      <c r="Q1004" s="12"/>
      <c r="R1004" s="12"/>
      <c r="S1004" s="12"/>
      <c r="T1004" s="12"/>
      <c r="U1004" s="12"/>
      <c r="V1004" s="12"/>
      <c r="W1004" s="12"/>
      <c r="X1004" s="12"/>
      <c r="Y1004" s="12"/>
      <c r="Z1004" s="12"/>
    </row>
    <row r="1005" spans="1:26" ht="14.25" customHeight="1" x14ac:dyDescent="0.3">
      <c r="A1005" s="155">
        <v>174</v>
      </c>
      <c r="B1005" s="156" t="s">
        <v>617</v>
      </c>
      <c r="C1005" s="3"/>
      <c r="D1005" s="3"/>
      <c r="E1005" s="156" t="s">
        <v>199</v>
      </c>
      <c r="F1005" s="3"/>
      <c r="G1005" s="158">
        <v>372</v>
      </c>
      <c r="H1005" s="155">
        <v>3</v>
      </c>
      <c r="I1005" s="155">
        <v>1</v>
      </c>
      <c r="J1005" s="156" t="s">
        <v>200</v>
      </c>
      <c r="K1005" s="5"/>
      <c r="L1005" s="3"/>
      <c r="M1005" s="6"/>
      <c r="N1005" s="9"/>
      <c r="O1005" s="158">
        <v>1116</v>
      </c>
      <c r="P1005" s="12"/>
      <c r="Q1005" s="12"/>
      <c r="R1005" s="12"/>
      <c r="S1005" s="12"/>
      <c r="T1005" s="12"/>
      <c r="U1005" s="12"/>
      <c r="V1005" s="12"/>
      <c r="W1005" s="12"/>
      <c r="X1005" s="12"/>
      <c r="Y1005" s="12"/>
      <c r="Z1005" s="12"/>
    </row>
    <row r="1006" spans="1:26" ht="14.25" customHeight="1" x14ac:dyDescent="0.3">
      <c r="A1006" s="155">
        <v>620</v>
      </c>
      <c r="B1006" s="156" t="s">
        <v>1248</v>
      </c>
      <c r="C1006" s="3"/>
      <c r="D1006" s="3"/>
      <c r="E1006" s="156" t="s">
        <v>1249</v>
      </c>
      <c r="F1006" s="3"/>
      <c r="G1006" s="158">
        <v>0</v>
      </c>
      <c r="H1006" s="155">
        <v>0</v>
      </c>
      <c r="I1006" s="155">
        <v>750</v>
      </c>
      <c r="J1006" s="156" t="s">
        <v>39</v>
      </c>
      <c r="K1006" s="5"/>
      <c r="L1006" s="3"/>
      <c r="M1006" s="6"/>
      <c r="N1006" s="9"/>
      <c r="O1006" s="158">
        <v>0</v>
      </c>
      <c r="P1006" s="12"/>
      <c r="Q1006" s="12"/>
      <c r="R1006" s="12"/>
      <c r="S1006" s="12"/>
      <c r="T1006" s="12"/>
      <c r="U1006" s="12"/>
      <c r="V1006" s="12"/>
      <c r="W1006" s="12"/>
      <c r="X1006" s="12"/>
      <c r="Y1006" s="12"/>
      <c r="Z1006" s="12"/>
    </row>
    <row r="1007" spans="1:26" ht="14.25" customHeight="1" x14ac:dyDescent="0.3">
      <c r="A1007" s="155">
        <v>175</v>
      </c>
      <c r="B1007" s="156" t="s">
        <v>453</v>
      </c>
      <c r="C1007" s="3"/>
      <c r="D1007" s="3"/>
      <c r="E1007" s="156" t="s">
        <v>216</v>
      </c>
      <c r="F1007" s="3"/>
      <c r="G1007" s="158">
        <v>45</v>
      </c>
      <c r="H1007" s="155">
        <v>1</v>
      </c>
      <c r="I1007" s="155">
        <v>1</v>
      </c>
      <c r="J1007" s="156" t="s">
        <v>213</v>
      </c>
      <c r="K1007" s="5"/>
      <c r="L1007" s="3"/>
      <c r="M1007" s="6"/>
      <c r="N1007" s="9"/>
      <c r="O1007" s="158">
        <v>45</v>
      </c>
      <c r="P1007" s="12"/>
      <c r="Q1007" s="12"/>
      <c r="R1007" s="12"/>
      <c r="S1007" s="12"/>
      <c r="T1007" s="12"/>
      <c r="U1007" s="12"/>
      <c r="V1007" s="12"/>
      <c r="W1007" s="12"/>
      <c r="X1007" s="12"/>
      <c r="Y1007" s="12"/>
      <c r="Z1007" s="12"/>
    </row>
    <row r="1008" spans="1:26" ht="14.25" customHeight="1" x14ac:dyDescent="0.3">
      <c r="A1008" s="155">
        <v>175</v>
      </c>
      <c r="B1008" s="156" t="s">
        <v>453</v>
      </c>
      <c r="C1008" s="3"/>
      <c r="D1008" s="3"/>
      <c r="E1008" s="156" t="s">
        <v>912</v>
      </c>
      <c r="F1008" s="3"/>
      <c r="G1008" s="158">
        <v>0</v>
      </c>
      <c r="H1008" s="155">
        <v>0</v>
      </c>
      <c r="I1008" s="155">
        <v>1</v>
      </c>
      <c r="J1008" s="156" t="s">
        <v>213</v>
      </c>
      <c r="K1008" s="5"/>
      <c r="L1008" s="3"/>
      <c r="M1008" s="6"/>
      <c r="N1008" s="9"/>
      <c r="O1008" s="158">
        <v>0</v>
      </c>
      <c r="P1008" s="12"/>
      <c r="Q1008" s="12"/>
      <c r="R1008" s="12"/>
      <c r="S1008" s="12"/>
      <c r="T1008" s="12"/>
      <c r="U1008" s="12"/>
      <c r="V1008" s="12"/>
      <c r="W1008" s="12"/>
      <c r="X1008" s="12"/>
      <c r="Y1008" s="12"/>
      <c r="Z1008" s="12"/>
    </row>
    <row r="1009" spans="1:26" ht="14.25" customHeight="1" x14ac:dyDescent="0.3">
      <c r="A1009" s="155">
        <v>176</v>
      </c>
      <c r="B1009" s="156" t="s">
        <v>618</v>
      </c>
      <c r="C1009" s="3"/>
      <c r="D1009" s="3"/>
      <c r="E1009" s="156" t="s">
        <v>1250</v>
      </c>
      <c r="F1009" s="3"/>
      <c r="G1009" s="158">
        <v>28.2</v>
      </c>
      <c r="H1009" s="155">
        <v>1</v>
      </c>
      <c r="I1009" s="155">
        <v>150</v>
      </c>
      <c r="J1009" s="156" t="s">
        <v>39</v>
      </c>
      <c r="K1009" s="5"/>
      <c r="L1009" s="3"/>
      <c r="M1009" s="6"/>
      <c r="N1009" s="9"/>
      <c r="O1009" s="158">
        <v>28.2</v>
      </c>
      <c r="P1009" s="12"/>
      <c r="Q1009" s="12"/>
      <c r="R1009" s="12"/>
      <c r="S1009" s="12"/>
      <c r="T1009" s="12"/>
      <c r="U1009" s="12"/>
      <c r="V1009" s="12"/>
      <c r="W1009" s="12"/>
      <c r="X1009" s="12"/>
      <c r="Y1009" s="12"/>
      <c r="Z1009" s="12"/>
    </row>
    <row r="1010" spans="1:26" ht="14.25" customHeight="1" x14ac:dyDescent="0.3">
      <c r="A1010" s="155">
        <v>176</v>
      </c>
      <c r="B1010" s="156" t="s">
        <v>618</v>
      </c>
      <c r="C1010" s="3"/>
      <c r="D1010" s="3"/>
      <c r="E1010" s="156" t="s">
        <v>165</v>
      </c>
      <c r="F1010" s="3"/>
      <c r="G1010" s="158">
        <v>41.6</v>
      </c>
      <c r="H1010" s="155">
        <v>10</v>
      </c>
      <c r="I1010" s="155">
        <v>150</v>
      </c>
      <c r="J1010" s="156" t="s">
        <v>39</v>
      </c>
      <c r="K1010" s="5"/>
      <c r="L1010" s="3"/>
      <c r="M1010" s="6"/>
      <c r="N1010" s="9"/>
      <c r="O1010" s="158">
        <v>416</v>
      </c>
      <c r="P1010" s="12"/>
      <c r="Q1010" s="12"/>
      <c r="R1010" s="12"/>
      <c r="S1010" s="12"/>
      <c r="T1010" s="12"/>
      <c r="U1010" s="12"/>
      <c r="V1010" s="12"/>
      <c r="W1010" s="12"/>
      <c r="X1010" s="12"/>
      <c r="Y1010" s="12"/>
      <c r="Z1010" s="12"/>
    </row>
    <row r="1011" spans="1:26" ht="14.25" customHeight="1" x14ac:dyDescent="0.3">
      <c r="A1011" s="155">
        <v>177</v>
      </c>
      <c r="B1011" s="156" t="s">
        <v>66</v>
      </c>
      <c r="C1011" s="3"/>
      <c r="D1011" s="3"/>
      <c r="E1011" s="156" t="s">
        <v>1251</v>
      </c>
      <c r="F1011" s="3"/>
      <c r="G1011" s="158">
        <v>58.1</v>
      </c>
      <c r="H1011" s="155">
        <v>5</v>
      </c>
      <c r="I1011" s="155">
        <v>500</v>
      </c>
      <c r="J1011" s="156" t="s">
        <v>39</v>
      </c>
      <c r="K1011" s="5"/>
      <c r="L1011" s="3"/>
      <c r="M1011" s="6"/>
      <c r="N1011" s="9"/>
      <c r="O1011" s="158">
        <v>290.5</v>
      </c>
      <c r="P1011" s="12"/>
      <c r="Q1011" s="12"/>
      <c r="R1011" s="12"/>
      <c r="S1011" s="12"/>
      <c r="T1011" s="12"/>
      <c r="U1011" s="12"/>
      <c r="V1011" s="12"/>
      <c r="W1011" s="12"/>
      <c r="X1011" s="12"/>
      <c r="Y1011" s="12"/>
      <c r="Z1011" s="12"/>
    </row>
    <row r="1012" spans="1:26" ht="14.25" customHeight="1" x14ac:dyDescent="0.3">
      <c r="A1012" s="155">
        <v>177</v>
      </c>
      <c r="B1012" s="156" t="s">
        <v>66</v>
      </c>
      <c r="C1012" s="3"/>
      <c r="D1012" s="3"/>
      <c r="E1012" s="156" t="s">
        <v>1252</v>
      </c>
      <c r="F1012" s="3"/>
      <c r="G1012" s="158">
        <v>50.588239999999999</v>
      </c>
      <c r="H1012" s="155">
        <v>17</v>
      </c>
      <c r="I1012" s="155">
        <v>500</v>
      </c>
      <c r="J1012" s="156" t="s">
        <v>39</v>
      </c>
      <c r="K1012" s="5"/>
      <c r="L1012" s="3"/>
      <c r="M1012" s="6"/>
      <c r="N1012" s="9"/>
      <c r="O1012" s="158">
        <v>860</v>
      </c>
      <c r="P1012" s="12"/>
      <c r="Q1012" s="12"/>
      <c r="R1012" s="12"/>
      <c r="S1012" s="12"/>
      <c r="T1012" s="12"/>
      <c r="U1012" s="12"/>
      <c r="V1012" s="12"/>
      <c r="W1012" s="12"/>
      <c r="X1012" s="12"/>
      <c r="Y1012" s="12"/>
      <c r="Z1012" s="12"/>
    </row>
    <row r="1013" spans="1:26" ht="14.25" customHeight="1" x14ac:dyDescent="0.3">
      <c r="A1013" s="155">
        <v>177</v>
      </c>
      <c r="B1013" s="156" t="s">
        <v>66</v>
      </c>
      <c r="C1013" s="3"/>
      <c r="D1013" s="3"/>
      <c r="E1013" s="156" t="s">
        <v>1253</v>
      </c>
      <c r="F1013" s="3"/>
      <c r="G1013" s="158">
        <v>47.5</v>
      </c>
      <c r="H1013" s="155">
        <v>5</v>
      </c>
      <c r="I1013" s="155">
        <v>500</v>
      </c>
      <c r="J1013" s="156" t="s">
        <v>39</v>
      </c>
      <c r="K1013" s="5"/>
      <c r="L1013" s="3"/>
      <c r="M1013" s="6"/>
      <c r="N1013" s="9"/>
      <c r="O1013" s="158">
        <v>237.5</v>
      </c>
      <c r="P1013" s="12"/>
      <c r="Q1013" s="12"/>
      <c r="R1013" s="12"/>
      <c r="S1013" s="12"/>
      <c r="T1013" s="12"/>
      <c r="U1013" s="12"/>
      <c r="V1013" s="12"/>
      <c r="W1013" s="12"/>
      <c r="X1013" s="12"/>
      <c r="Y1013" s="12"/>
      <c r="Z1013" s="12"/>
    </row>
    <row r="1014" spans="1:26" ht="14.25" customHeight="1" x14ac:dyDescent="0.3">
      <c r="A1014" s="155">
        <v>177</v>
      </c>
      <c r="B1014" s="156" t="s">
        <v>66</v>
      </c>
      <c r="C1014" s="3"/>
      <c r="D1014" s="3"/>
      <c r="E1014" s="156" t="s">
        <v>1254</v>
      </c>
      <c r="F1014" s="3"/>
      <c r="G1014" s="158">
        <v>32.5</v>
      </c>
      <c r="H1014" s="155">
        <v>2</v>
      </c>
      <c r="I1014" s="155">
        <v>500</v>
      </c>
      <c r="J1014" s="156" t="s">
        <v>39</v>
      </c>
      <c r="K1014" s="5"/>
      <c r="L1014" s="3"/>
      <c r="M1014" s="6"/>
      <c r="N1014" s="9"/>
      <c r="O1014" s="158">
        <v>65</v>
      </c>
      <c r="P1014" s="12"/>
      <c r="Q1014" s="12"/>
      <c r="R1014" s="12"/>
      <c r="S1014" s="12"/>
      <c r="T1014" s="12"/>
      <c r="U1014" s="12"/>
      <c r="V1014" s="12"/>
      <c r="W1014" s="12"/>
      <c r="X1014" s="12"/>
      <c r="Y1014" s="12"/>
      <c r="Z1014" s="12"/>
    </row>
    <row r="1015" spans="1:26" ht="14.25" customHeight="1" x14ac:dyDescent="0.3">
      <c r="A1015" s="155">
        <v>181</v>
      </c>
      <c r="B1015" s="156" t="s">
        <v>400</v>
      </c>
      <c r="C1015" s="3"/>
      <c r="D1015" s="3"/>
      <c r="E1015" s="156" t="s">
        <v>1181</v>
      </c>
      <c r="F1015" s="3"/>
      <c r="G1015" s="158">
        <v>42.155560000000001</v>
      </c>
      <c r="H1015" s="155">
        <v>9</v>
      </c>
      <c r="I1015" s="155">
        <v>210</v>
      </c>
      <c r="J1015" s="156" t="s">
        <v>39</v>
      </c>
      <c r="K1015" s="5"/>
      <c r="L1015" s="3"/>
      <c r="M1015" s="6"/>
      <c r="N1015" s="9"/>
      <c r="O1015" s="158">
        <v>379.4</v>
      </c>
      <c r="P1015" s="12"/>
      <c r="Q1015" s="12"/>
      <c r="R1015" s="12"/>
      <c r="S1015" s="12"/>
      <c r="T1015" s="12"/>
      <c r="U1015" s="12"/>
      <c r="V1015" s="12"/>
      <c r="W1015" s="12"/>
      <c r="X1015" s="12"/>
      <c r="Y1015" s="12"/>
      <c r="Z1015" s="12"/>
    </row>
    <row r="1016" spans="1:26" ht="14.25" customHeight="1" x14ac:dyDescent="0.3">
      <c r="A1016" s="155">
        <v>621</v>
      </c>
      <c r="B1016" s="156" t="s">
        <v>1255</v>
      </c>
      <c r="C1016" s="3"/>
      <c r="D1016" s="3"/>
      <c r="E1016" s="156"/>
      <c r="F1016" s="3"/>
      <c r="G1016" s="158">
        <v>0</v>
      </c>
      <c r="H1016" s="155">
        <v>0</v>
      </c>
      <c r="I1016" s="155">
        <v>1</v>
      </c>
      <c r="J1016" s="156" t="s">
        <v>213</v>
      </c>
      <c r="K1016" s="5"/>
      <c r="L1016" s="3"/>
      <c r="M1016" s="6"/>
      <c r="N1016" s="9"/>
      <c r="O1016" s="158">
        <v>0</v>
      </c>
      <c r="P1016" s="12"/>
      <c r="Q1016" s="12"/>
      <c r="R1016" s="12"/>
      <c r="S1016" s="12"/>
      <c r="T1016" s="12"/>
      <c r="U1016" s="12"/>
      <c r="V1016" s="12"/>
      <c r="W1016" s="12"/>
      <c r="X1016" s="12"/>
      <c r="Y1016" s="12"/>
      <c r="Z1016" s="12"/>
    </row>
    <row r="1017" spans="1:26" ht="14.25" customHeight="1" x14ac:dyDescent="0.3">
      <c r="A1017" s="155">
        <v>622</v>
      </c>
      <c r="B1017" s="156" t="s">
        <v>1256</v>
      </c>
      <c r="C1017" s="3"/>
      <c r="D1017" s="3"/>
      <c r="E1017" s="156"/>
      <c r="F1017" s="3"/>
      <c r="G1017" s="158">
        <v>0</v>
      </c>
      <c r="H1017" s="155">
        <v>0</v>
      </c>
      <c r="I1017" s="155">
        <v>1000</v>
      </c>
      <c r="J1017" s="156" t="s">
        <v>39</v>
      </c>
      <c r="K1017" s="5"/>
      <c r="L1017" s="3"/>
      <c r="M1017" s="6"/>
      <c r="N1017" s="9"/>
      <c r="O1017" s="158">
        <v>0</v>
      </c>
      <c r="P1017" s="12"/>
      <c r="Q1017" s="12"/>
      <c r="R1017" s="12"/>
      <c r="S1017" s="12"/>
      <c r="T1017" s="12"/>
      <c r="U1017" s="12"/>
      <c r="V1017" s="12"/>
      <c r="W1017" s="12"/>
      <c r="X1017" s="12"/>
      <c r="Y1017" s="12"/>
      <c r="Z1017" s="12"/>
    </row>
    <row r="1018" spans="1:26" ht="14.25" customHeight="1" x14ac:dyDescent="0.3">
      <c r="A1018" s="155">
        <v>183</v>
      </c>
      <c r="B1018" s="156" t="s">
        <v>623</v>
      </c>
      <c r="C1018" s="3"/>
      <c r="D1018" s="3"/>
      <c r="E1018" s="156" t="s">
        <v>865</v>
      </c>
      <c r="F1018" s="3"/>
      <c r="G1018" s="158">
        <v>48</v>
      </c>
      <c r="H1018" s="155">
        <v>1</v>
      </c>
      <c r="I1018" s="155">
        <v>540</v>
      </c>
      <c r="J1018" s="156" t="s">
        <v>39</v>
      </c>
      <c r="K1018" s="5"/>
      <c r="L1018" s="3"/>
      <c r="M1018" s="6"/>
      <c r="N1018" s="9"/>
      <c r="O1018" s="158">
        <v>48</v>
      </c>
      <c r="P1018" s="12"/>
      <c r="Q1018" s="12"/>
      <c r="R1018" s="12"/>
      <c r="S1018" s="12"/>
      <c r="T1018" s="12"/>
      <c r="U1018" s="12"/>
      <c r="V1018" s="12"/>
      <c r="W1018" s="12"/>
      <c r="X1018" s="12"/>
      <c r="Y1018" s="12"/>
      <c r="Z1018" s="12"/>
    </row>
    <row r="1019" spans="1:26" ht="14.25" customHeight="1" x14ac:dyDescent="0.3">
      <c r="A1019" s="155">
        <v>623</v>
      </c>
      <c r="B1019" s="156" t="s">
        <v>1257</v>
      </c>
      <c r="C1019" s="3"/>
      <c r="D1019" s="3"/>
      <c r="E1019" s="156"/>
      <c r="F1019" s="3"/>
      <c r="G1019" s="158">
        <v>1</v>
      </c>
      <c r="H1019" s="155">
        <v>9</v>
      </c>
      <c r="I1019" s="155">
        <v>1</v>
      </c>
      <c r="J1019" s="156" t="s">
        <v>92</v>
      </c>
      <c r="K1019" s="5"/>
      <c r="L1019" s="3"/>
      <c r="M1019" s="6"/>
      <c r="N1019" s="9"/>
      <c r="O1019" s="158">
        <v>9</v>
      </c>
      <c r="P1019" s="12"/>
      <c r="Q1019" s="12"/>
      <c r="R1019" s="12"/>
      <c r="S1019" s="12"/>
      <c r="T1019" s="12"/>
      <c r="U1019" s="12"/>
      <c r="V1019" s="12"/>
      <c r="W1019" s="12"/>
      <c r="X1019" s="12"/>
      <c r="Y1019" s="12"/>
      <c r="Z1019" s="12"/>
    </row>
    <row r="1020" spans="1:26" ht="14.25" customHeight="1" x14ac:dyDescent="0.3">
      <c r="A1020" s="155">
        <v>624</v>
      </c>
      <c r="B1020" s="156" t="s">
        <v>1258</v>
      </c>
      <c r="C1020" s="3"/>
      <c r="D1020" s="3"/>
      <c r="E1020" s="156" t="s">
        <v>963</v>
      </c>
      <c r="F1020" s="3"/>
      <c r="G1020" s="158">
        <v>159.80000000000001</v>
      </c>
      <c r="H1020" s="155">
        <v>4</v>
      </c>
      <c r="I1020" s="155">
        <v>160</v>
      </c>
      <c r="J1020" s="156" t="s">
        <v>519</v>
      </c>
      <c r="K1020" s="5"/>
      <c r="L1020" s="3"/>
      <c r="M1020" s="6"/>
      <c r="N1020" s="9"/>
      <c r="O1020" s="158">
        <v>639.20000000000005</v>
      </c>
      <c r="P1020" s="12"/>
      <c r="Q1020" s="12"/>
      <c r="R1020" s="12"/>
      <c r="S1020" s="12"/>
      <c r="T1020" s="12"/>
      <c r="U1020" s="12"/>
      <c r="V1020" s="12"/>
      <c r="W1020" s="12"/>
      <c r="X1020" s="12"/>
      <c r="Y1020" s="12"/>
      <c r="Z1020" s="12"/>
    </row>
    <row r="1021" spans="1:26" ht="14.25" customHeight="1" x14ac:dyDescent="0.3">
      <c r="A1021" s="155">
        <v>624</v>
      </c>
      <c r="B1021" s="156" t="s">
        <v>1258</v>
      </c>
      <c r="C1021" s="3"/>
      <c r="D1021" s="3"/>
      <c r="E1021" s="156" t="s">
        <v>881</v>
      </c>
      <c r="F1021" s="3"/>
      <c r="G1021" s="158">
        <v>198</v>
      </c>
      <c r="H1021" s="155">
        <v>2</v>
      </c>
      <c r="I1021" s="155">
        <v>160</v>
      </c>
      <c r="J1021" s="156" t="s">
        <v>39</v>
      </c>
      <c r="K1021" s="5"/>
      <c r="L1021" s="3"/>
      <c r="M1021" s="6"/>
      <c r="N1021" s="9"/>
      <c r="O1021" s="158">
        <v>396</v>
      </c>
      <c r="P1021" s="12"/>
      <c r="Q1021" s="12"/>
      <c r="R1021" s="12"/>
      <c r="S1021" s="12"/>
      <c r="T1021" s="12"/>
      <c r="U1021" s="12"/>
      <c r="V1021" s="12"/>
      <c r="W1021" s="12"/>
      <c r="X1021" s="12"/>
      <c r="Y1021" s="12"/>
      <c r="Z1021" s="12"/>
    </row>
    <row r="1022" spans="1:26" ht="14.25" customHeight="1" x14ac:dyDescent="0.3">
      <c r="A1022" s="155">
        <v>625</v>
      </c>
      <c r="B1022" s="156" t="s">
        <v>1259</v>
      </c>
      <c r="C1022" s="3"/>
      <c r="D1022" s="3"/>
      <c r="E1022" s="156" t="s">
        <v>1184</v>
      </c>
      <c r="F1022" s="3"/>
      <c r="G1022" s="158">
        <v>29</v>
      </c>
      <c r="H1022" s="155">
        <v>2</v>
      </c>
      <c r="I1022" s="155">
        <v>400</v>
      </c>
      <c r="J1022" s="156" t="s">
        <v>39</v>
      </c>
      <c r="K1022" s="5"/>
      <c r="L1022" s="3"/>
      <c r="M1022" s="6"/>
      <c r="N1022" s="9"/>
      <c r="O1022" s="158">
        <v>58</v>
      </c>
      <c r="P1022" s="12"/>
      <c r="Q1022" s="12"/>
      <c r="R1022" s="12"/>
      <c r="S1022" s="12"/>
      <c r="T1022" s="12"/>
      <c r="U1022" s="12"/>
      <c r="V1022" s="12"/>
      <c r="W1022" s="12"/>
      <c r="X1022" s="12"/>
      <c r="Y1022" s="12"/>
      <c r="Z1022" s="12"/>
    </row>
    <row r="1023" spans="1:26" ht="14.25" customHeight="1" x14ac:dyDescent="0.3">
      <c r="A1023" s="155">
        <v>625</v>
      </c>
      <c r="B1023" s="156" t="s">
        <v>1259</v>
      </c>
      <c r="C1023" s="3"/>
      <c r="D1023" s="3"/>
      <c r="E1023" s="156" t="s">
        <v>959</v>
      </c>
      <c r="F1023" s="3"/>
      <c r="G1023" s="158">
        <v>23.9</v>
      </c>
      <c r="H1023" s="155">
        <v>10</v>
      </c>
      <c r="I1023" s="155">
        <v>400</v>
      </c>
      <c r="J1023" s="156" t="s">
        <v>519</v>
      </c>
      <c r="K1023" s="5"/>
      <c r="L1023" s="3"/>
      <c r="M1023" s="6"/>
      <c r="N1023" s="9"/>
      <c r="O1023" s="158">
        <v>239</v>
      </c>
      <c r="P1023" s="12"/>
      <c r="Q1023" s="12"/>
      <c r="R1023" s="12"/>
      <c r="S1023" s="12"/>
      <c r="T1023" s="12"/>
      <c r="U1023" s="12"/>
      <c r="V1023" s="12"/>
      <c r="W1023" s="12"/>
      <c r="X1023" s="12"/>
      <c r="Y1023" s="12"/>
      <c r="Z1023" s="12"/>
    </row>
    <row r="1024" spans="1:26" ht="14.25" customHeight="1" x14ac:dyDescent="0.3">
      <c r="A1024" s="155">
        <v>626</v>
      </c>
      <c r="B1024" s="156" t="s">
        <v>1260</v>
      </c>
      <c r="C1024" s="3"/>
      <c r="D1024" s="3"/>
      <c r="E1024" s="156" t="s">
        <v>1261</v>
      </c>
      <c r="F1024" s="3"/>
      <c r="G1024" s="158">
        <v>199.95</v>
      </c>
      <c r="H1024" s="155">
        <v>1</v>
      </c>
      <c r="I1024" s="155">
        <v>199</v>
      </c>
      <c r="J1024" s="156" t="s">
        <v>39</v>
      </c>
      <c r="K1024" s="5"/>
      <c r="L1024" s="3"/>
      <c r="M1024" s="6"/>
      <c r="N1024" s="9"/>
      <c r="O1024" s="158">
        <v>199.95</v>
      </c>
      <c r="P1024" s="12"/>
      <c r="Q1024" s="12"/>
      <c r="R1024" s="12"/>
      <c r="S1024" s="12"/>
      <c r="T1024" s="12"/>
      <c r="U1024" s="12"/>
      <c r="V1024" s="12"/>
      <c r="W1024" s="12"/>
      <c r="X1024" s="12"/>
      <c r="Y1024" s="12"/>
      <c r="Z1024" s="12"/>
    </row>
    <row r="1025" spans="1:26" ht="14.25" customHeight="1" x14ac:dyDescent="0.3">
      <c r="A1025" s="155">
        <v>626</v>
      </c>
      <c r="B1025" s="156" t="s">
        <v>1260</v>
      </c>
      <c r="C1025" s="3"/>
      <c r="D1025" s="3"/>
      <c r="E1025" s="156" t="s">
        <v>854</v>
      </c>
      <c r="F1025" s="3"/>
      <c r="G1025" s="158">
        <v>80.375</v>
      </c>
      <c r="H1025" s="155">
        <v>4</v>
      </c>
      <c r="I1025" s="155">
        <v>199</v>
      </c>
      <c r="J1025" s="156" t="s">
        <v>39</v>
      </c>
      <c r="K1025" s="5"/>
      <c r="L1025" s="3"/>
      <c r="M1025" s="6"/>
      <c r="N1025" s="9"/>
      <c r="O1025" s="158">
        <v>321.5</v>
      </c>
      <c r="P1025" s="12"/>
      <c r="Q1025" s="12"/>
      <c r="R1025" s="12"/>
      <c r="S1025" s="12"/>
      <c r="T1025" s="12"/>
      <c r="U1025" s="12"/>
      <c r="V1025" s="12"/>
      <c r="W1025" s="12"/>
      <c r="X1025" s="12"/>
      <c r="Y1025" s="12"/>
      <c r="Z1025" s="12"/>
    </row>
    <row r="1026" spans="1:26" ht="14.25" customHeight="1" x14ac:dyDescent="0.3">
      <c r="A1026" s="155">
        <v>627</v>
      </c>
      <c r="B1026" s="156" t="s">
        <v>1262</v>
      </c>
      <c r="C1026" s="3"/>
      <c r="D1026" s="3"/>
      <c r="E1026" s="156" t="s">
        <v>1263</v>
      </c>
      <c r="F1026" s="3"/>
      <c r="G1026" s="158">
        <v>9.5530000000000008</v>
      </c>
      <c r="H1026" s="155">
        <v>20</v>
      </c>
      <c r="I1026" s="155">
        <v>25</v>
      </c>
      <c r="J1026" s="156" t="s">
        <v>39</v>
      </c>
      <c r="K1026" s="5"/>
      <c r="L1026" s="3"/>
      <c r="M1026" s="6"/>
      <c r="N1026" s="9"/>
      <c r="O1026" s="158">
        <v>191.06</v>
      </c>
      <c r="P1026" s="12"/>
      <c r="Q1026" s="12"/>
      <c r="R1026" s="12"/>
      <c r="S1026" s="12"/>
      <c r="T1026" s="12"/>
      <c r="U1026" s="12"/>
      <c r="V1026" s="12"/>
      <c r="W1026" s="12"/>
      <c r="X1026" s="12"/>
      <c r="Y1026" s="12"/>
      <c r="Z1026" s="12"/>
    </row>
    <row r="1027" spans="1:26" ht="14.25" customHeight="1" x14ac:dyDescent="0.3">
      <c r="A1027" s="155">
        <v>627</v>
      </c>
      <c r="B1027" s="156" t="s">
        <v>1262</v>
      </c>
      <c r="C1027" s="3"/>
      <c r="D1027" s="3"/>
      <c r="E1027" s="156" t="s">
        <v>1264</v>
      </c>
      <c r="F1027" s="3"/>
      <c r="G1027" s="158">
        <v>12.76</v>
      </c>
      <c r="H1027" s="155">
        <v>6</v>
      </c>
      <c r="I1027" s="155">
        <v>25</v>
      </c>
      <c r="J1027" s="156" t="s">
        <v>39</v>
      </c>
      <c r="K1027" s="5"/>
      <c r="L1027" s="3"/>
      <c r="M1027" s="6"/>
      <c r="N1027" s="9"/>
      <c r="O1027" s="158">
        <v>76.56</v>
      </c>
      <c r="P1027" s="12"/>
      <c r="Q1027" s="12"/>
      <c r="R1027" s="12"/>
      <c r="S1027" s="12"/>
      <c r="T1027" s="12"/>
      <c r="U1027" s="12"/>
      <c r="V1027" s="12"/>
      <c r="W1027" s="12"/>
      <c r="X1027" s="12"/>
      <c r="Y1027" s="12"/>
      <c r="Z1027" s="12"/>
    </row>
    <row r="1028" spans="1:26" ht="14.25" customHeight="1" x14ac:dyDescent="0.3">
      <c r="A1028" s="155">
        <v>187</v>
      </c>
      <c r="B1028" s="156" t="s">
        <v>629</v>
      </c>
      <c r="C1028" s="3"/>
      <c r="D1028" s="3"/>
      <c r="E1028" s="156" t="s">
        <v>1264</v>
      </c>
      <c r="F1028" s="3"/>
      <c r="G1028" s="158">
        <v>11.58</v>
      </c>
      <c r="H1028" s="155">
        <v>20</v>
      </c>
      <c r="I1028" s="155">
        <v>25</v>
      </c>
      <c r="J1028" s="156" t="s">
        <v>39</v>
      </c>
      <c r="K1028" s="5"/>
      <c r="L1028" s="3"/>
      <c r="M1028" s="6"/>
      <c r="N1028" s="9"/>
      <c r="O1028" s="158">
        <v>231.6</v>
      </c>
      <c r="P1028" s="12"/>
      <c r="Q1028" s="12"/>
      <c r="R1028" s="12"/>
      <c r="S1028" s="12"/>
      <c r="T1028" s="12"/>
      <c r="U1028" s="12"/>
      <c r="V1028" s="12"/>
      <c r="W1028" s="12"/>
      <c r="X1028" s="12"/>
      <c r="Y1028" s="12"/>
      <c r="Z1028" s="12"/>
    </row>
    <row r="1029" spans="1:26" ht="14.25" customHeight="1" x14ac:dyDescent="0.3">
      <c r="A1029" s="155">
        <v>187</v>
      </c>
      <c r="B1029" s="156" t="s">
        <v>629</v>
      </c>
      <c r="C1029" s="3"/>
      <c r="D1029" s="3"/>
      <c r="E1029" s="156" t="s">
        <v>1263</v>
      </c>
      <c r="F1029" s="3"/>
      <c r="G1029" s="158">
        <v>12.64</v>
      </c>
      <c r="H1029" s="155">
        <v>3</v>
      </c>
      <c r="I1029" s="155">
        <v>25</v>
      </c>
      <c r="J1029" s="156" t="s">
        <v>39</v>
      </c>
      <c r="K1029" s="5"/>
      <c r="L1029" s="3"/>
      <c r="M1029" s="6"/>
      <c r="N1029" s="9"/>
      <c r="O1029" s="158">
        <v>37.92</v>
      </c>
      <c r="P1029" s="12"/>
      <c r="Q1029" s="12"/>
      <c r="R1029" s="12"/>
      <c r="S1029" s="12"/>
      <c r="T1029" s="12"/>
      <c r="U1029" s="12"/>
      <c r="V1029" s="12"/>
      <c r="W1029" s="12"/>
      <c r="X1029" s="12"/>
      <c r="Y1029" s="12"/>
      <c r="Z1029" s="12"/>
    </row>
    <row r="1030" spans="1:26" ht="14.25" customHeight="1" x14ac:dyDescent="0.3">
      <c r="A1030" s="155">
        <v>189</v>
      </c>
      <c r="B1030" s="156" t="s">
        <v>68</v>
      </c>
      <c r="C1030" s="3"/>
      <c r="D1030" s="3"/>
      <c r="E1030" s="156" t="s">
        <v>1263</v>
      </c>
      <c r="F1030" s="3"/>
      <c r="G1030" s="158">
        <v>14.577780000000001</v>
      </c>
      <c r="H1030" s="155">
        <v>27</v>
      </c>
      <c r="I1030" s="155">
        <v>25</v>
      </c>
      <c r="J1030" s="156" t="s">
        <v>39</v>
      </c>
      <c r="K1030" s="5"/>
      <c r="L1030" s="3"/>
      <c r="M1030" s="6"/>
      <c r="N1030" s="9"/>
      <c r="O1030" s="158">
        <v>393.6</v>
      </c>
      <c r="P1030" s="12"/>
      <c r="Q1030" s="12"/>
      <c r="R1030" s="12"/>
      <c r="S1030" s="12"/>
      <c r="T1030" s="12"/>
      <c r="U1030" s="12"/>
      <c r="V1030" s="12"/>
      <c r="W1030" s="12"/>
      <c r="X1030" s="12"/>
      <c r="Y1030" s="12"/>
      <c r="Z1030" s="12"/>
    </row>
    <row r="1031" spans="1:26" ht="14.25" customHeight="1" x14ac:dyDescent="0.3">
      <c r="A1031" s="155">
        <v>628</v>
      </c>
      <c r="B1031" s="156" t="s">
        <v>1265</v>
      </c>
      <c r="C1031" s="3"/>
      <c r="D1031" s="3"/>
      <c r="E1031" s="156" t="s">
        <v>1263</v>
      </c>
      <c r="F1031" s="3"/>
      <c r="G1031" s="158">
        <v>14.3</v>
      </c>
      <c r="H1031" s="155">
        <v>2</v>
      </c>
      <c r="I1031" s="155">
        <v>25</v>
      </c>
      <c r="J1031" s="156" t="s">
        <v>39</v>
      </c>
      <c r="K1031" s="5"/>
      <c r="L1031" s="3"/>
      <c r="M1031" s="6"/>
      <c r="N1031" s="9"/>
      <c r="O1031" s="158">
        <v>28.6</v>
      </c>
      <c r="P1031" s="12"/>
      <c r="Q1031" s="12"/>
      <c r="R1031" s="12"/>
      <c r="S1031" s="12"/>
      <c r="T1031" s="12"/>
      <c r="U1031" s="12"/>
      <c r="V1031" s="12"/>
      <c r="W1031" s="12"/>
      <c r="X1031" s="12"/>
      <c r="Y1031" s="12"/>
      <c r="Z1031" s="12"/>
    </row>
    <row r="1032" spans="1:26" ht="14.25" customHeight="1" x14ac:dyDescent="0.3">
      <c r="A1032" s="155">
        <v>191</v>
      </c>
      <c r="B1032" s="156" t="s">
        <v>71</v>
      </c>
      <c r="C1032" s="3"/>
      <c r="D1032" s="3"/>
      <c r="E1032" s="156" t="s">
        <v>1264</v>
      </c>
      <c r="F1032" s="3"/>
      <c r="G1032" s="158">
        <v>13.27</v>
      </c>
      <c r="H1032" s="155">
        <v>1</v>
      </c>
      <c r="I1032" s="155">
        <v>25</v>
      </c>
      <c r="J1032" s="156" t="s">
        <v>39</v>
      </c>
      <c r="K1032" s="5"/>
      <c r="L1032" s="3"/>
      <c r="M1032" s="6"/>
      <c r="N1032" s="9"/>
      <c r="O1032" s="158">
        <v>13.27</v>
      </c>
      <c r="P1032" s="12"/>
      <c r="Q1032" s="12"/>
      <c r="R1032" s="12"/>
      <c r="S1032" s="12"/>
      <c r="T1032" s="12"/>
      <c r="U1032" s="12"/>
      <c r="V1032" s="12"/>
      <c r="W1032" s="12"/>
      <c r="X1032" s="12"/>
      <c r="Y1032" s="12"/>
      <c r="Z1032" s="12"/>
    </row>
    <row r="1033" spans="1:26" ht="14.25" customHeight="1" x14ac:dyDescent="0.3">
      <c r="A1033" s="155">
        <v>191</v>
      </c>
      <c r="B1033" s="156" t="s">
        <v>71</v>
      </c>
      <c r="C1033" s="3"/>
      <c r="D1033" s="3"/>
      <c r="E1033" s="156" t="s">
        <v>1253</v>
      </c>
      <c r="F1033" s="3"/>
      <c r="G1033" s="158">
        <v>93.424999999999997</v>
      </c>
      <c r="H1033" s="155">
        <v>4</v>
      </c>
      <c r="I1033" s="155">
        <v>25</v>
      </c>
      <c r="J1033" s="156" t="s">
        <v>39</v>
      </c>
      <c r="K1033" s="5"/>
      <c r="L1033" s="3"/>
      <c r="M1033" s="6"/>
      <c r="N1033" s="9"/>
      <c r="O1033" s="158">
        <v>373.7</v>
      </c>
      <c r="P1033" s="12"/>
      <c r="Q1033" s="12"/>
      <c r="R1033" s="12"/>
      <c r="S1033" s="12"/>
      <c r="T1033" s="12"/>
      <c r="U1033" s="12"/>
      <c r="V1033" s="12"/>
      <c r="W1033" s="12"/>
      <c r="X1033" s="12"/>
      <c r="Y1033" s="12"/>
      <c r="Z1033" s="12"/>
    </row>
    <row r="1034" spans="1:26" ht="14.25" customHeight="1" x14ac:dyDescent="0.3">
      <c r="A1034" s="155">
        <v>191</v>
      </c>
      <c r="B1034" s="156" t="s">
        <v>71</v>
      </c>
      <c r="C1034" s="3"/>
      <c r="D1034" s="3"/>
      <c r="E1034" s="156" t="s">
        <v>1263</v>
      </c>
      <c r="F1034" s="3"/>
      <c r="G1034" s="158">
        <v>13.04364</v>
      </c>
      <c r="H1034" s="155">
        <v>11</v>
      </c>
      <c r="I1034" s="155">
        <v>25</v>
      </c>
      <c r="J1034" s="156" t="s">
        <v>39</v>
      </c>
      <c r="K1034" s="5"/>
      <c r="L1034" s="3"/>
      <c r="M1034" s="6"/>
      <c r="N1034" s="9"/>
      <c r="O1034" s="158">
        <v>143.47999999999999</v>
      </c>
      <c r="P1034" s="12"/>
      <c r="Q1034" s="12"/>
      <c r="R1034" s="12"/>
      <c r="S1034" s="12"/>
      <c r="T1034" s="12"/>
      <c r="U1034" s="12"/>
      <c r="V1034" s="12"/>
      <c r="W1034" s="12"/>
      <c r="X1034" s="12"/>
      <c r="Y1034" s="12"/>
      <c r="Z1034" s="12"/>
    </row>
    <row r="1035" spans="1:26" ht="14.25" customHeight="1" x14ac:dyDescent="0.3">
      <c r="A1035" s="155">
        <v>191</v>
      </c>
      <c r="B1035" s="156" t="s">
        <v>71</v>
      </c>
      <c r="C1035" s="3"/>
      <c r="D1035" s="3"/>
      <c r="E1035" s="156" t="s">
        <v>1266</v>
      </c>
      <c r="F1035" s="3"/>
      <c r="G1035" s="158">
        <v>12.64</v>
      </c>
      <c r="H1035" s="155">
        <v>13</v>
      </c>
      <c r="I1035" s="155">
        <v>25</v>
      </c>
      <c r="J1035" s="156" t="s">
        <v>39</v>
      </c>
      <c r="K1035" s="5"/>
      <c r="L1035" s="3"/>
      <c r="M1035" s="6"/>
      <c r="N1035" s="9"/>
      <c r="O1035" s="158">
        <v>164.32</v>
      </c>
      <c r="P1035" s="12"/>
      <c r="Q1035" s="12"/>
      <c r="R1035" s="12"/>
      <c r="S1035" s="12"/>
      <c r="T1035" s="12"/>
      <c r="U1035" s="12"/>
      <c r="V1035" s="12"/>
      <c r="W1035" s="12"/>
      <c r="X1035" s="12"/>
      <c r="Y1035" s="12"/>
      <c r="Z1035" s="12"/>
    </row>
    <row r="1036" spans="1:26" ht="14.25" customHeight="1" x14ac:dyDescent="0.3">
      <c r="A1036" s="155">
        <v>192</v>
      </c>
      <c r="B1036" s="156" t="s">
        <v>72</v>
      </c>
      <c r="C1036" s="3"/>
      <c r="D1036" s="3"/>
      <c r="E1036" s="156" t="s">
        <v>1264</v>
      </c>
      <c r="F1036" s="3"/>
      <c r="G1036" s="158">
        <v>11.58</v>
      </c>
      <c r="H1036" s="155">
        <v>14</v>
      </c>
      <c r="I1036" s="155">
        <v>25</v>
      </c>
      <c r="J1036" s="156" t="s">
        <v>39</v>
      </c>
      <c r="K1036" s="5"/>
      <c r="L1036" s="3"/>
      <c r="M1036" s="6"/>
      <c r="N1036" s="9"/>
      <c r="O1036" s="158">
        <v>162.12</v>
      </c>
      <c r="P1036" s="12"/>
      <c r="Q1036" s="12"/>
      <c r="R1036" s="12"/>
      <c r="S1036" s="12"/>
      <c r="T1036" s="12"/>
      <c r="U1036" s="12"/>
      <c r="V1036" s="12"/>
      <c r="W1036" s="12"/>
      <c r="X1036" s="12"/>
      <c r="Y1036" s="12"/>
      <c r="Z1036" s="12"/>
    </row>
    <row r="1037" spans="1:26" ht="14.25" customHeight="1" x14ac:dyDescent="0.3">
      <c r="A1037" s="155">
        <v>192</v>
      </c>
      <c r="B1037" s="156" t="s">
        <v>72</v>
      </c>
      <c r="C1037" s="3"/>
      <c r="D1037" s="3"/>
      <c r="E1037" s="156" t="s">
        <v>1253</v>
      </c>
      <c r="F1037" s="3"/>
      <c r="G1037" s="158">
        <v>115.8</v>
      </c>
      <c r="H1037" s="155">
        <v>6</v>
      </c>
      <c r="I1037" s="155">
        <v>25</v>
      </c>
      <c r="J1037" s="156" t="s">
        <v>39</v>
      </c>
      <c r="K1037" s="5"/>
      <c r="L1037" s="3"/>
      <c r="M1037" s="6"/>
      <c r="N1037" s="9"/>
      <c r="O1037" s="158">
        <v>694.8</v>
      </c>
      <c r="P1037" s="12"/>
      <c r="Q1037" s="12"/>
      <c r="R1037" s="12"/>
      <c r="S1037" s="12"/>
      <c r="T1037" s="12"/>
      <c r="U1037" s="12"/>
      <c r="V1037" s="12"/>
      <c r="W1037" s="12"/>
      <c r="X1037" s="12"/>
      <c r="Y1037" s="12"/>
      <c r="Z1037" s="12"/>
    </row>
    <row r="1038" spans="1:26" ht="14.25" customHeight="1" x14ac:dyDescent="0.3">
      <c r="A1038" s="155">
        <v>192</v>
      </c>
      <c r="B1038" s="156" t="s">
        <v>72</v>
      </c>
      <c r="C1038" s="3"/>
      <c r="D1038" s="3"/>
      <c r="E1038" s="156" t="s">
        <v>1267</v>
      </c>
      <c r="F1038" s="3"/>
      <c r="G1038" s="158">
        <v>18.80208</v>
      </c>
      <c r="H1038" s="155">
        <v>48</v>
      </c>
      <c r="I1038" s="155">
        <v>25</v>
      </c>
      <c r="J1038" s="156" t="s">
        <v>39</v>
      </c>
      <c r="K1038" s="5"/>
      <c r="L1038" s="3"/>
      <c r="M1038" s="6"/>
      <c r="N1038" s="9"/>
      <c r="O1038" s="158">
        <v>902.5</v>
      </c>
      <c r="P1038" s="12"/>
      <c r="Q1038" s="12"/>
      <c r="R1038" s="12"/>
      <c r="S1038" s="12"/>
      <c r="T1038" s="12"/>
      <c r="U1038" s="12"/>
      <c r="V1038" s="12"/>
      <c r="W1038" s="12"/>
      <c r="X1038" s="12"/>
      <c r="Y1038" s="12"/>
      <c r="Z1038" s="12"/>
    </row>
    <row r="1039" spans="1:26" ht="14.25" customHeight="1" x14ac:dyDescent="0.3">
      <c r="A1039" s="155">
        <v>192</v>
      </c>
      <c r="B1039" s="156" t="s">
        <v>72</v>
      </c>
      <c r="C1039" s="3"/>
      <c r="D1039" s="3"/>
      <c r="E1039" s="156" t="s">
        <v>1263</v>
      </c>
      <c r="F1039" s="3"/>
      <c r="G1039" s="158">
        <v>16</v>
      </c>
      <c r="H1039" s="155">
        <v>6</v>
      </c>
      <c r="I1039" s="155">
        <v>25</v>
      </c>
      <c r="J1039" s="156" t="s">
        <v>39</v>
      </c>
      <c r="K1039" s="5"/>
      <c r="L1039" s="3"/>
      <c r="M1039" s="6"/>
      <c r="N1039" s="9"/>
      <c r="O1039" s="158">
        <v>96</v>
      </c>
      <c r="P1039" s="12"/>
      <c r="Q1039" s="12"/>
      <c r="R1039" s="12"/>
      <c r="S1039" s="12"/>
      <c r="T1039" s="12"/>
      <c r="U1039" s="12"/>
      <c r="V1039" s="12"/>
      <c r="W1039" s="12"/>
      <c r="X1039" s="12"/>
      <c r="Y1039" s="12"/>
      <c r="Z1039" s="12"/>
    </row>
    <row r="1040" spans="1:26" ht="14.25" customHeight="1" x14ac:dyDescent="0.3">
      <c r="A1040" s="155">
        <v>193</v>
      </c>
      <c r="B1040" s="156" t="s">
        <v>631</v>
      </c>
      <c r="C1040" s="3"/>
      <c r="D1040" s="3"/>
      <c r="E1040" s="156" t="s">
        <v>1264</v>
      </c>
      <c r="F1040" s="3"/>
      <c r="G1040" s="158">
        <v>13.43</v>
      </c>
      <c r="H1040" s="155">
        <v>160</v>
      </c>
      <c r="I1040" s="155">
        <v>25</v>
      </c>
      <c r="J1040" s="156" t="s">
        <v>39</v>
      </c>
      <c r="K1040" s="5"/>
      <c r="L1040" s="3"/>
      <c r="M1040" s="6"/>
      <c r="N1040" s="9"/>
      <c r="O1040" s="158">
        <v>2148.8000000000002</v>
      </c>
      <c r="P1040" s="12"/>
      <c r="Q1040" s="12"/>
      <c r="R1040" s="12"/>
      <c r="S1040" s="12"/>
      <c r="T1040" s="12"/>
      <c r="U1040" s="12"/>
      <c r="V1040" s="12"/>
      <c r="W1040" s="12"/>
      <c r="X1040" s="12"/>
      <c r="Y1040" s="12"/>
      <c r="Z1040" s="12"/>
    </row>
    <row r="1041" spans="1:26" ht="14.25" customHeight="1" x14ac:dyDescent="0.3">
      <c r="A1041" s="155">
        <v>193</v>
      </c>
      <c r="B1041" s="156" t="s">
        <v>631</v>
      </c>
      <c r="C1041" s="3"/>
      <c r="D1041" s="3"/>
      <c r="E1041" s="156" t="s">
        <v>1263</v>
      </c>
      <c r="F1041" s="3"/>
      <c r="G1041" s="158">
        <v>13</v>
      </c>
      <c r="H1041" s="155">
        <v>7</v>
      </c>
      <c r="I1041" s="155">
        <v>25</v>
      </c>
      <c r="J1041" s="156" t="s">
        <v>39</v>
      </c>
      <c r="K1041" s="5"/>
      <c r="L1041" s="3"/>
      <c r="M1041" s="6"/>
      <c r="N1041" s="9"/>
      <c r="O1041" s="158">
        <v>91</v>
      </c>
      <c r="P1041" s="12"/>
      <c r="Q1041" s="12"/>
      <c r="R1041" s="12"/>
      <c r="S1041" s="12"/>
      <c r="T1041" s="12"/>
      <c r="U1041" s="12"/>
      <c r="V1041" s="12"/>
      <c r="W1041" s="12"/>
      <c r="X1041" s="12"/>
      <c r="Y1041" s="12"/>
      <c r="Z1041" s="12"/>
    </row>
    <row r="1042" spans="1:26" ht="14.25" customHeight="1" x14ac:dyDescent="0.3">
      <c r="A1042" s="155">
        <v>629</v>
      </c>
      <c r="B1042" s="156" t="s">
        <v>1268</v>
      </c>
      <c r="C1042" s="3"/>
      <c r="D1042" s="3"/>
      <c r="E1042" s="156" t="s">
        <v>1062</v>
      </c>
      <c r="F1042" s="3"/>
      <c r="G1042" s="158">
        <v>75</v>
      </c>
      <c r="H1042" s="155">
        <v>12</v>
      </c>
      <c r="I1042" s="155">
        <v>1</v>
      </c>
      <c r="J1042" s="156" t="s">
        <v>1064</v>
      </c>
      <c r="K1042" s="5"/>
      <c r="L1042" s="3"/>
      <c r="M1042" s="6"/>
      <c r="N1042" s="9"/>
      <c r="O1042" s="158">
        <v>900</v>
      </c>
      <c r="P1042" s="12"/>
      <c r="Q1042" s="12"/>
      <c r="R1042" s="12"/>
      <c r="S1042" s="12"/>
      <c r="T1042" s="12"/>
      <c r="U1042" s="12"/>
      <c r="V1042" s="12"/>
      <c r="W1042" s="12"/>
      <c r="X1042" s="12"/>
      <c r="Y1042" s="12"/>
      <c r="Z1042" s="12"/>
    </row>
    <row r="1043" spans="1:26" ht="14.25" customHeight="1" x14ac:dyDescent="0.3">
      <c r="A1043" s="155">
        <v>630</v>
      </c>
      <c r="B1043" s="156" t="s">
        <v>1269</v>
      </c>
      <c r="C1043" s="3"/>
      <c r="D1043" s="3"/>
      <c r="E1043" s="156" t="s">
        <v>869</v>
      </c>
      <c r="F1043" s="3"/>
      <c r="G1043" s="158">
        <v>57</v>
      </c>
      <c r="H1043" s="155">
        <v>5</v>
      </c>
      <c r="I1043" s="155">
        <v>150</v>
      </c>
      <c r="J1043" s="156" t="s">
        <v>39</v>
      </c>
      <c r="K1043" s="5"/>
      <c r="L1043" s="3"/>
      <c r="M1043" s="6"/>
      <c r="N1043" s="9"/>
      <c r="O1043" s="158">
        <v>285</v>
      </c>
      <c r="P1043" s="12"/>
      <c r="Q1043" s="12"/>
      <c r="R1043" s="12"/>
      <c r="S1043" s="12"/>
      <c r="T1043" s="12"/>
      <c r="U1043" s="12"/>
      <c r="V1043" s="12"/>
      <c r="W1043" s="12"/>
      <c r="X1043" s="12"/>
      <c r="Y1043" s="12"/>
      <c r="Z1043" s="12"/>
    </row>
    <row r="1044" spans="1:26" ht="14.25" customHeight="1" x14ac:dyDescent="0.3">
      <c r="A1044" s="155">
        <v>630</v>
      </c>
      <c r="B1044" s="156" t="s">
        <v>1269</v>
      </c>
      <c r="C1044" s="3"/>
      <c r="D1044" s="3"/>
      <c r="E1044" s="156" t="s">
        <v>1270</v>
      </c>
      <c r="F1044" s="3"/>
      <c r="G1044" s="158">
        <v>61.7</v>
      </c>
      <c r="H1044" s="155">
        <v>11</v>
      </c>
      <c r="I1044" s="155">
        <v>150</v>
      </c>
      <c r="J1044" s="156" t="s">
        <v>39</v>
      </c>
      <c r="K1044" s="5"/>
      <c r="L1044" s="3"/>
      <c r="M1044" s="6"/>
      <c r="N1044" s="9"/>
      <c r="O1044" s="158">
        <v>678.7</v>
      </c>
      <c r="P1044" s="12"/>
      <c r="Q1044" s="12"/>
      <c r="R1044" s="12"/>
      <c r="S1044" s="12"/>
      <c r="T1044" s="12"/>
      <c r="U1044" s="12"/>
      <c r="V1044" s="12"/>
      <c r="W1044" s="12"/>
      <c r="X1044" s="12"/>
      <c r="Y1044" s="12"/>
      <c r="Z1044" s="12"/>
    </row>
    <row r="1045" spans="1:26" ht="14.25" customHeight="1" x14ac:dyDescent="0.3">
      <c r="A1045" s="155">
        <v>195</v>
      </c>
      <c r="B1045" s="156" t="s">
        <v>201</v>
      </c>
      <c r="C1045" s="3"/>
      <c r="D1045" s="3"/>
      <c r="E1045" s="156" t="s">
        <v>858</v>
      </c>
      <c r="F1045" s="3"/>
      <c r="G1045" s="158">
        <v>65</v>
      </c>
      <c r="H1045" s="155">
        <v>14</v>
      </c>
      <c r="I1045" s="155">
        <v>100</v>
      </c>
      <c r="J1045" s="156" t="s">
        <v>92</v>
      </c>
      <c r="K1045" s="5"/>
      <c r="L1045" s="3"/>
      <c r="M1045" s="6"/>
      <c r="N1045" s="9"/>
      <c r="O1045" s="158">
        <v>910</v>
      </c>
      <c r="P1045" s="12"/>
      <c r="Q1045" s="12"/>
      <c r="R1045" s="12"/>
      <c r="S1045" s="12"/>
      <c r="T1045" s="12"/>
      <c r="U1045" s="12"/>
      <c r="V1045" s="12"/>
      <c r="W1045" s="12"/>
      <c r="X1045" s="12"/>
      <c r="Y1045" s="12"/>
      <c r="Z1045" s="12"/>
    </row>
    <row r="1046" spans="1:26" ht="14.25" customHeight="1" x14ac:dyDescent="0.3">
      <c r="A1046" s="155">
        <v>195</v>
      </c>
      <c r="B1046" s="156" t="s">
        <v>201</v>
      </c>
      <c r="C1046" s="3"/>
      <c r="D1046" s="3"/>
      <c r="E1046" s="156" t="s">
        <v>858</v>
      </c>
      <c r="F1046" s="3"/>
      <c r="G1046" s="158">
        <v>45.521740000000001</v>
      </c>
      <c r="H1046" s="155">
        <v>23</v>
      </c>
      <c r="I1046" s="155">
        <v>100</v>
      </c>
      <c r="J1046" s="156" t="s">
        <v>304</v>
      </c>
      <c r="K1046" s="5"/>
      <c r="L1046" s="3"/>
      <c r="M1046" s="6"/>
      <c r="N1046" s="9"/>
      <c r="O1046" s="158">
        <v>1047</v>
      </c>
      <c r="P1046" s="12"/>
      <c r="Q1046" s="12"/>
      <c r="R1046" s="12"/>
      <c r="S1046" s="12"/>
      <c r="T1046" s="12"/>
      <c r="U1046" s="12"/>
      <c r="V1046" s="12"/>
      <c r="W1046" s="12"/>
      <c r="X1046" s="12"/>
      <c r="Y1046" s="12"/>
      <c r="Z1046" s="12"/>
    </row>
    <row r="1047" spans="1:26" ht="14.25" customHeight="1" x14ac:dyDescent="0.3">
      <c r="A1047" s="155">
        <v>195</v>
      </c>
      <c r="B1047" s="156" t="s">
        <v>201</v>
      </c>
      <c r="C1047" s="3"/>
      <c r="D1047" s="3"/>
      <c r="E1047" s="156" t="s">
        <v>1199</v>
      </c>
      <c r="F1047" s="3"/>
      <c r="G1047" s="158">
        <v>45</v>
      </c>
      <c r="H1047" s="155">
        <v>2</v>
      </c>
      <c r="I1047" s="155">
        <v>100</v>
      </c>
      <c r="J1047" s="156" t="s">
        <v>304</v>
      </c>
      <c r="K1047" s="5"/>
      <c r="L1047" s="3"/>
      <c r="M1047" s="6"/>
      <c r="N1047" s="9"/>
      <c r="O1047" s="158">
        <v>90</v>
      </c>
      <c r="P1047" s="12"/>
      <c r="Q1047" s="12"/>
      <c r="R1047" s="12"/>
      <c r="S1047" s="12"/>
      <c r="T1047" s="12"/>
      <c r="U1047" s="12"/>
      <c r="V1047" s="12"/>
      <c r="W1047" s="12"/>
      <c r="X1047" s="12"/>
      <c r="Y1047" s="12"/>
      <c r="Z1047" s="12"/>
    </row>
    <row r="1048" spans="1:26" ht="14.25" customHeight="1" x14ac:dyDescent="0.3">
      <c r="A1048" s="155">
        <v>631</v>
      </c>
      <c r="B1048" s="156" t="s">
        <v>1271</v>
      </c>
      <c r="C1048" s="3"/>
      <c r="D1048" s="3"/>
      <c r="E1048" s="156" t="s">
        <v>1272</v>
      </c>
      <c r="F1048" s="3"/>
      <c r="G1048" s="158">
        <v>172</v>
      </c>
      <c r="H1048" s="155">
        <v>2</v>
      </c>
      <c r="I1048" s="155">
        <v>1</v>
      </c>
      <c r="J1048" s="156" t="s">
        <v>92</v>
      </c>
      <c r="K1048" s="5"/>
      <c r="L1048" s="3"/>
      <c r="M1048" s="6"/>
      <c r="N1048" s="9"/>
      <c r="O1048" s="158">
        <v>344</v>
      </c>
      <c r="P1048" s="12"/>
      <c r="Q1048" s="12"/>
      <c r="R1048" s="12"/>
      <c r="S1048" s="12"/>
      <c r="T1048" s="12"/>
      <c r="U1048" s="12"/>
      <c r="V1048" s="12"/>
      <c r="W1048" s="12"/>
      <c r="X1048" s="12"/>
      <c r="Y1048" s="12"/>
      <c r="Z1048" s="12"/>
    </row>
    <row r="1049" spans="1:26" ht="14.25" customHeight="1" x14ac:dyDescent="0.3">
      <c r="A1049" s="155">
        <v>632</v>
      </c>
      <c r="B1049" s="156" t="s">
        <v>1273</v>
      </c>
      <c r="C1049" s="3"/>
      <c r="D1049" s="3"/>
      <c r="E1049" s="156"/>
      <c r="F1049" s="3"/>
      <c r="G1049" s="158">
        <v>200</v>
      </c>
      <c r="H1049" s="155">
        <v>5</v>
      </c>
      <c r="I1049" s="155">
        <v>1000</v>
      </c>
      <c r="J1049" s="156" t="s">
        <v>39</v>
      </c>
      <c r="K1049" s="5"/>
      <c r="L1049" s="3"/>
      <c r="M1049" s="6"/>
      <c r="N1049" s="9"/>
      <c r="O1049" s="158">
        <v>1000</v>
      </c>
      <c r="P1049" s="12"/>
      <c r="Q1049" s="12"/>
      <c r="R1049" s="12"/>
      <c r="S1049" s="12"/>
      <c r="T1049" s="12"/>
      <c r="U1049" s="12"/>
      <c r="V1049" s="12"/>
      <c r="W1049" s="12"/>
      <c r="X1049" s="12"/>
      <c r="Y1049" s="12"/>
      <c r="Z1049" s="12"/>
    </row>
    <row r="1050" spans="1:26" ht="14.25" customHeight="1" x14ac:dyDescent="0.3">
      <c r="A1050" s="155">
        <v>633</v>
      </c>
      <c r="B1050" s="156" t="s">
        <v>1274</v>
      </c>
      <c r="C1050" s="3"/>
      <c r="D1050" s="3"/>
      <c r="E1050" s="156"/>
      <c r="F1050" s="3"/>
      <c r="G1050" s="158">
        <v>530</v>
      </c>
      <c r="H1050" s="155">
        <v>1</v>
      </c>
      <c r="I1050" s="155">
        <v>1000</v>
      </c>
      <c r="J1050" s="156" t="s">
        <v>39</v>
      </c>
      <c r="K1050" s="5"/>
      <c r="L1050" s="3"/>
      <c r="M1050" s="6"/>
      <c r="N1050" s="9"/>
      <c r="O1050" s="158">
        <v>530</v>
      </c>
      <c r="P1050" s="12"/>
      <c r="Q1050" s="12"/>
      <c r="R1050" s="12"/>
      <c r="S1050" s="12"/>
      <c r="T1050" s="12"/>
      <c r="U1050" s="12"/>
      <c r="V1050" s="12"/>
      <c r="W1050" s="12"/>
      <c r="X1050" s="12"/>
      <c r="Y1050" s="12"/>
      <c r="Z1050" s="12"/>
    </row>
    <row r="1051" spans="1:26" ht="14.25" customHeight="1" x14ac:dyDescent="0.3">
      <c r="A1051" s="155">
        <v>634</v>
      </c>
      <c r="B1051" s="156" t="s">
        <v>1275</v>
      </c>
      <c r="C1051" s="3"/>
      <c r="D1051" s="3"/>
      <c r="E1051" s="156" t="s">
        <v>1276</v>
      </c>
      <c r="F1051" s="3"/>
      <c r="G1051" s="158">
        <v>116.5</v>
      </c>
      <c r="H1051" s="155">
        <v>1</v>
      </c>
      <c r="I1051" s="155">
        <v>400</v>
      </c>
      <c r="J1051" s="156" t="s">
        <v>39</v>
      </c>
      <c r="K1051" s="5"/>
      <c r="L1051" s="3"/>
      <c r="M1051" s="6"/>
      <c r="N1051" s="9"/>
      <c r="O1051" s="158">
        <v>116.5</v>
      </c>
      <c r="P1051" s="12"/>
      <c r="Q1051" s="12"/>
      <c r="R1051" s="12"/>
      <c r="S1051" s="12"/>
      <c r="T1051" s="12"/>
      <c r="U1051" s="12"/>
      <c r="V1051" s="12"/>
      <c r="W1051" s="12"/>
      <c r="X1051" s="12"/>
      <c r="Y1051" s="12"/>
      <c r="Z1051" s="12"/>
    </row>
    <row r="1052" spans="1:26" ht="14.25" customHeight="1" x14ac:dyDescent="0.3">
      <c r="A1052" s="155">
        <v>635</v>
      </c>
      <c r="B1052" s="156" t="s">
        <v>1277</v>
      </c>
      <c r="C1052" s="3"/>
      <c r="D1052" s="3"/>
      <c r="E1052" s="156" t="s">
        <v>1102</v>
      </c>
      <c r="F1052" s="3"/>
      <c r="G1052" s="158">
        <v>191.8</v>
      </c>
      <c r="H1052" s="155">
        <v>5</v>
      </c>
      <c r="I1052" s="155">
        <v>240</v>
      </c>
      <c r="J1052" s="156" t="s">
        <v>39</v>
      </c>
      <c r="K1052" s="5"/>
      <c r="L1052" s="3"/>
      <c r="M1052" s="6"/>
      <c r="N1052" s="9"/>
      <c r="O1052" s="158">
        <v>959</v>
      </c>
      <c r="P1052" s="12"/>
      <c r="Q1052" s="12"/>
      <c r="R1052" s="12"/>
      <c r="S1052" s="12"/>
      <c r="T1052" s="12"/>
      <c r="U1052" s="12"/>
      <c r="V1052" s="12"/>
      <c r="W1052" s="12"/>
      <c r="X1052" s="12"/>
      <c r="Y1052" s="12"/>
      <c r="Z1052" s="12"/>
    </row>
    <row r="1053" spans="1:26" ht="14.25" customHeight="1" x14ac:dyDescent="0.3">
      <c r="A1053" s="155">
        <v>636</v>
      </c>
      <c r="B1053" s="156" t="s">
        <v>1278</v>
      </c>
      <c r="C1053" s="3"/>
      <c r="D1053" s="3"/>
      <c r="E1053" s="156" t="s">
        <v>1279</v>
      </c>
      <c r="F1053" s="3"/>
      <c r="G1053" s="158">
        <v>330</v>
      </c>
      <c r="H1053" s="155">
        <v>1</v>
      </c>
      <c r="I1053" s="155">
        <v>750</v>
      </c>
      <c r="J1053" s="156" t="s">
        <v>213</v>
      </c>
      <c r="K1053" s="5"/>
      <c r="L1053" s="3"/>
      <c r="M1053" s="6"/>
      <c r="N1053" s="9"/>
      <c r="O1053" s="158">
        <v>330</v>
      </c>
      <c r="P1053" s="12"/>
      <c r="Q1053" s="12"/>
      <c r="R1053" s="12"/>
      <c r="S1053" s="12"/>
      <c r="T1053" s="12"/>
      <c r="U1053" s="12"/>
      <c r="V1053" s="12"/>
      <c r="W1053" s="12"/>
      <c r="X1053" s="12"/>
      <c r="Y1053" s="12"/>
      <c r="Z1053" s="12"/>
    </row>
    <row r="1054" spans="1:26" ht="14.25" customHeight="1" x14ac:dyDescent="0.3">
      <c r="A1054" s="155">
        <v>637</v>
      </c>
      <c r="B1054" s="156" t="s">
        <v>1280</v>
      </c>
      <c r="C1054" s="3"/>
      <c r="D1054" s="3"/>
      <c r="E1054" s="156" t="s">
        <v>1281</v>
      </c>
      <c r="F1054" s="3"/>
      <c r="G1054" s="158">
        <v>5.5</v>
      </c>
      <c r="H1054" s="155">
        <v>7</v>
      </c>
      <c r="I1054" s="155">
        <v>40</v>
      </c>
      <c r="J1054" s="156" t="s">
        <v>39</v>
      </c>
      <c r="K1054" s="5"/>
      <c r="L1054" s="3"/>
      <c r="M1054" s="6"/>
      <c r="N1054" s="9"/>
      <c r="O1054" s="158">
        <v>38.5</v>
      </c>
      <c r="P1054" s="12"/>
      <c r="Q1054" s="12"/>
      <c r="R1054" s="12"/>
      <c r="S1054" s="12"/>
      <c r="T1054" s="12"/>
      <c r="U1054" s="12"/>
      <c r="V1054" s="12"/>
      <c r="W1054" s="12"/>
      <c r="X1054" s="12"/>
      <c r="Y1054" s="12"/>
      <c r="Z1054" s="12"/>
    </row>
    <row r="1055" spans="1:26" ht="14.25" customHeight="1" x14ac:dyDescent="0.3">
      <c r="A1055" s="155">
        <v>638</v>
      </c>
      <c r="B1055" s="156" t="s">
        <v>1282</v>
      </c>
      <c r="C1055" s="3"/>
      <c r="D1055" s="3"/>
      <c r="E1055" s="156" t="s">
        <v>1281</v>
      </c>
      <c r="F1055" s="3"/>
      <c r="G1055" s="158">
        <v>6</v>
      </c>
      <c r="H1055" s="155">
        <v>6</v>
      </c>
      <c r="I1055" s="155">
        <v>40</v>
      </c>
      <c r="J1055" s="156" t="s">
        <v>39</v>
      </c>
      <c r="K1055" s="5"/>
      <c r="L1055" s="3"/>
      <c r="M1055" s="6"/>
      <c r="N1055" s="9"/>
      <c r="O1055" s="158">
        <v>36</v>
      </c>
      <c r="P1055" s="12"/>
      <c r="Q1055" s="12"/>
      <c r="R1055" s="12"/>
      <c r="S1055" s="12"/>
      <c r="T1055" s="12"/>
      <c r="U1055" s="12"/>
      <c r="V1055" s="12"/>
      <c r="W1055" s="12"/>
      <c r="X1055" s="12"/>
      <c r="Y1055" s="12"/>
      <c r="Z1055" s="12"/>
    </row>
    <row r="1056" spans="1:26" ht="14.25" customHeight="1" x14ac:dyDescent="0.3">
      <c r="A1056" s="155">
        <v>639</v>
      </c>
      <c r="B1056" s="156" t="s">
        <v>1283</v>
      </c>
      <c r="C1056" s="3"/>
      <c r="D1056" s="3"/>
      <c r="E1056" s="156" t="s">
        <v>1284</v>
      </c>
      <c r="F1056" s="3"/>
      <c r="G1056" s="158">
        <v>114.5</v>
      </c>
      <c r="H1056" s="155">
        <v>2</v>
      </c>
      <c r="I1056" s="155">
        <v>60</v>
      </c>
      <c r="J1056" s="156" t="s">
        <v>32</v>
      </c>
      <c r="K1056" s="5"/>
      <c r="L1056" s="3"/>
      <c r="M1056" s="6"/>
      <c r="N1056" s="9"/>
      <c r="O1056" s="158">
        <v>229</v>
      </c>
      <c r="P1056" s="12"/>
      <c r="Q1056" s="12"/>
      <c r="R1056" s="12"/>
      <c r="S1056" s="12"/>
      <c r="T1056" s="12"/>
      <c r="U1056" s="12"/>
      <c r="V1056" s="12"/>
      <c r="W1056" s="12"/>
      <c r="X1056" s="12"/>
      <c r="Y1056" s="12"/>
      <c r="Z1056" s="12"/>
    </row>
    <row r="1057" spans="1:26" ht="14.25" customHeight="1" x14ac:dyDescent="0.3">
      <c r="A1057" s="155">
        <v>640</v>
      </c>
      <c r="B1057" s="156" t="s">
        <v>1285</v>
      </c>
      <c r="C1057" s="3"/>
      <c r="D1057" s="3"/>
      <c r="E1057" s="156" t="s">
        <v>1286</v>
      </c>
      <c r="F1057" s="3"/>
      <c r="G1057" s="158">
        <v>22</v>
      </c>
      <c r="H1057" s="155">
        <v>3</v>
      </c>
      <c r="I1057" s="155">
        <v>50</v>
      </c>
      <c r="J1057" s="156" t="s">
        <v>39</v>
      </c>
      <c r="K1057" s="5"/>
      <c r="L1057" s="3"/>
      <c r="M1057" s="6"/>
      <c r="N1057" s="9"/>
      <c r="O1057" s="158">
        <v>66</v>
      </c>
      <c r="P1057" s="12"/>
      <c r="Q1057" s="12"/>
      <c r="R1057" s="12"/>
      <c r="S1057" s="12"/>
      <c r="T1057" s="12"/>
      <c r="U1057" s="12"/>
      <c r="V1057" s="12"/>
      <c r="W1057" s="12"/>
      <c r="X1057" s="12"/>
      <c r="Y1057" s="12"/>
      <c r="Z1057" s="12"/>
    </row>
    <row r="1058" spans="1:26" ht="14.25" customHeight="1" x14ac:dyDescent="0.3">
      <c r="A1058" s="155">
        <v>207</v>
      </c>
      <c r="B1058" s="156" t="s">
        <v>73</v>
      </c>
      <c r="C1058" s="3"/>
      <c r="D1058" s="3"/>
      <c r="E1058" s="156" t="s">
        <v>38</v>
      </c>
      <c r="F1058" s="3"/>
      <c r="G1058" s="158">
        <v>56.045900000000003</v>
      </c>
      <c r="H1058" s="155">
        <v>61</v>
      </c>
      <c r="I1058" s="155">
        <v>400</v>
      </c>
      <c r="J1058" s="156" t="s">
        <v>39</v>
      </c>
      <c r="K1058" s="5"/>
      <c r="L1058" s="3"/>
      <c r="M1058" s="6"/>
      <c r="N1058" s="9"/>
      <c r="O1058" s="158">
        <v>3418.8</v>
      </c>
      <c r="P1058" s="12"/>
      <c r="Q1058" s="12"/>
      <c r="R1058" s="12"/>
      <c r="S1058" s="12"/>
      <c r="T1058" s="12"/>
      <c r="U1058" s="12"/>
      <c r="V1058" s="12"/>
      <c r="W1058" s="12"/>
      <c r="X1058" s="12"/>
      <c r="Y1058" s="12"/>
      <c r="Z1058" s="12"/>
    </row>
    <row r="1059" spans="1:26" ht="14.25" customHeight="1" x14ac:dyDescent="0.3">
      <c r="A1059" s="155">
        <v>641</v>
      </c>
      <c r="B1059" s="156" t="s">
        <v>1287</v>
      </c>
      <c r="C1059" s="3"/>
      <c r="D1059" s="3"/>
      <c r="E1059" s="156" t="s">
        <v>870</v>
      </c>
      <c r="F1059" s="3"/>
      <c r="G1059" s="158">
        <v>195</v>
      </c>
      <c r="H1059" s="155">
        <v>6</v>
      </c>
      <c r="I1059" s="155">
        <v>1000</v>
      </c>
      <c r="J1059" s="156" t="s">
        <v>213</v>
      </c>
      <c r="K1059" s="5"/>
      <c r="L1059" s="3"/>
      <c r="M1059" s="6"/>
      <c r="N1059" s="9"/>
      <c r="O1059" s="158">
        <v>1170</v>
      </c>
      <c r="P1059" s="12"/>
      <c r="Q1059" s="12"/>
      <c r="R1059" s="12"/>
      <c r="S1059" s="12"/>
      <c r="T1059" s="12"/>
      <c r="U1059" s="12"/>
      <c r="V1059" s="12"/>
      <c r="W1059" s="12"/>
      <c r="X1059" s="12"/>
      <c r="Y1059" s="12"/>
      <c r="Z1059" s="12"/>
    </row>
    <row r="1060" spans="1:26" ht="14.25" customHeight="1" x14ac:dyDescent="0.3">
      <c r="A1060" s="155">
        <v>642</v>
      </c>
      <c r="B1060" s="156" t="s">
        <v>1288</v>
      </c>
      <c r="C1060" s="3"/>
      <c r="D1060" s="3"/>
      <c r="E1060" s="156" t="s">
        <v>1289</v>
      </c>
      <c r="F1060" s="3"/>
      <c r="G1060" s="158">
        <v>218</v>
      </c>
      <c r="H1060" s="155">
        <v>2</v>
      </c>
      <c r="I1060" s="155">
        <v>1000</v>
      </c>
      <c r="J1060" s="156" t="s">
        <v>39</v>
      </c>
      <c r="K1060" s="5"/>
      <c r="L1060" s="3"/>
      <c r="M1060" s="6"/>
      <c r="N1060" s="9"/>
      <c r="O1060" s="158">
        <v>436</v>
      </c>
      <c r="P1060" s="12"/>
      <c r="Q1060" s="12"/>
      <c r="R1060" s="12"/>
      <c r="S1060" s="12"/>
      <c r="T1060" s="12"/>
      <c r="U1060" s="12"/>
      <c r="V1060" s="12"/>
      <c r="W1060" s="12"/>
      <c r="X1060" s="12"/>
      <c r="Y1060" s="12"/>
      <c r="Z1060" s="12"/>
    </row>
    <row r="1061" spans="1:26" ht="14.25" customHeight="1" x14ac:dyDescent="0.3">
      <c r="A1061" s="155">
        <v>642</v>
      </c>
      <c r="B1061" s="156" t="s">
        <v>1288</v>
      </c>
      <c r="C1061" s="3"/>
      <c r="D1061" s="3"/>
      <c r="E1061" s="156" t="s">
        <v>1290</v>
      </c>
      <c r="F1061" s="3"/>
      <c r="G1061" s="158">
        <v>289</v>
      </c>
      <c r="H1061" s="155">
        <v>1</v>
      </c>
      <c r="I1061" s="155">
        <v>1000</v>
      </c>
      <c r="J1061" s="156" t="s">
        <v>39</v>
      </c>
      <c r="K1061" s="5"/>
      <c r="L1061" s="3"/>
      <c r="M1061" s="6"/>
      <c r="N1061" s="9"/>
      <c r="O1061" s="158">
        <v>289</v>
      </c>
      <c r="P1061" s="12"/>
      <c r="Q1061" s="12"/>
      <c r="R1061" s="12"/>
      <c r="S1061" s="12"/>
      <c r="T1061" s="12"/>
      <c r="U1061" s="12"/>
      <c r="V1061" s="12"/>
      <c r="W1061" s="12"/>
      <c r="X1061" s="12"/>
      <c r="Y1061" s="12"/>
      <c r="Z1061" s="12"/>
    </row>
    <row r="1062" spans="1:26" ht="14.25" customHeight="1" x14ac:dyDescent="0.3">
      <c r="A1062" s="155">
        <v>643</v>
      </c>
      <c r="B1062" s="156" t="s">
        <v>1291</v>
      </c>
      <c r="C1062" s="3"/>
      <c r="D1062" s="3"/>
      <c r="E1062" s="156" t="s">
        <v>870</v>
      </c>
      <c r="F1062" s="3"/>
      <c r="G1062" s="158">
        <v>215</v>
      </c>
      <c r="H1062" s="155">
        <v>2</v>
      </c>
      <c r="I1062" s="155">
        <v>1000</v>
      </c>
      <c r="J1062" s="156" t="s">
        <v>39</v>
      </c>
      <c r="K1062" s="5"/>
      <c r="L1062" s="3"/>
      <c r="M1062" s="6"/>
      <c r="N1062" s="9"/>
      <c r="O1062" s="158">
        <v>430</v>
      </c>
      <c r="P1062" s="12"/>
      <c r="Q1062" s="12"/>
      <c r="R1062" s="12"/>
      <c r="S1062" s="12"/>
      <c r="T1062" s="12"/>
      <c r="U1062" s="12"/>
      <c r="V1062" s="12"/>
      <c r="W1062" s="12"/>
      <c r="X1062" s="12"/>
      <c r="Y1062" s="12"/>
      <c r="Z1062" s="12"/>
    </row>
    <row r="1063" spans="1:26" ht="14.25" customHeight="1" x14ac:dyDescent="0.3">
      <c r="A1063" s="155">
        <v>644</v>
      </c>
      <c r="B1063" s="156" t="s">
        <v>1292</v>
      </c>
      <c r="C1063" s="3"/>
      <c r="D1063" s="3"/>
      <c r="E1063" s="156" t="s">
        <v>870</v>
      </c>
      <c r="F1063" s="3"/>
      <c r="G1063" s="158">
        <v>189.28129999999999</v>
      </c>
      <c r="H1063" s="155">
        <v>16</v>
      </c>
      <c r="I1063" s="155">
        <v>1000</v>
      </c>
      <c r="J1063" s="156" t="s">
        <v>39</v>
      </c>
      <c r="K1063" s="5"/>
      <c r="L1063" s="3"/>
      <c r="M1063" s="6"/>
      <c r="N1063" s="9"/>
      <c r="O1063" s="158">
        <v>3028.5</v>
      </c>
      <c r="P1063" s="12"/>
      <c r="Q1063" s="12"/>
      <c r="R1063" s="12"/>
      <c r="S1063" s="12"/>
      <c r="T1063" s="12"/>
      <c r="U1063" s="12"/>
      <c r="V1063" s="12"/>
      <c r="W1063" s="12"/>
      <c r="X1063" s="12"/>
      <c r="Y1063" s="12"/>
      <c r="Z1063" s="12"/>
    </row>
    <row r="1064" spans="1:26" ht="14.25" customHeight="1" x14ac:dyDescent="0.3">
      <c r="A1064" s="155">
        <v>644</v>
      </c>
      <c r="B1064" s="156" t="s">
        <v>1292</v>
      </c>
      <c r="C1064" s="3"/>
      <c r="D1064" s="3"/>
      <c r="E1064" s="156" t="s">
        <v>1289</v>
      </c>
      <c r="F1064" s="3"/>
      <c r="G1064" s="158">
        <v>208</v>
      </c>
      <c r="H1064" s="155">
        <v>2</v>
      </c>
      <c r="I1064" s="155">
        <v>1000</v>
      </c>
      <c r="J1064" s="156" t="s">
        <v>39</v>
      </c>
      <c r="K1064" s="5"/>
      <c r="L1064" s="3"/>
      <c r="M1064" s="6"/>
      <c r="N1064" s="9"/>
      <c r="O1064" s="158">
        <v>416</v>
      </c>
      <c r="P1064" s="12"/>
      <c r="Q1064" s="12"/>
      <c r="R1064" s="12"/>
      <c r="S1064" s="12"/>
      <c r="T1064" s="12"/>
      <c r="U1064" s="12"/>
      <c r="V1064" s="12"/>
      <c r="W1064" s="12"/>
      <c r="X1064" s="12"/>
      <c r="Y1064" s="12"/>
      <c r="Z1064" s="12"/>
    </row>
    <row r="1065" spans="1:26" ht="14.25" customHeight="1" x14ac:dyDescent="0.3">
      <c r="A1065" s="155">
        <v>645</v>
      </c>
      <c r="B1065" s="156" t="s">
        <v>1293</v>
      </c>
      <c r="C1065" s="3"/>
      <c r="D1065" s="3"/>
      <c r="E1065" s="156" t="s">
        <v>870</v>
      </c>
      <c r="F1065" s="3"/>
      <c r="G1065" s="158">
        <v>202.5</v>
      </c>
      <c r="H1065" s="155">
        <v>8</v>
      </c>
      <c r="I1065" s="155">
        <v>1000</v>
      </c>
      <c r="J1065" s="156" t="s">
        <v>39</v>
      </c>
      <c r="K1065" s="5"/>
      <c r="L1065" s="3"/>
      <c r="M1065" s="6"/>
      <c r="N1065" s="9"/>
      <c r="O1065" s="158">
        <v>1620</v>
      </c>
      <c r="P1065" s="12"/>
      <c r="Q1065" s="12"/>
      <c r="R1065" s="12"/>
      <c r="S1065" s="12"/>
      <c r="T1065" s="12"/>
      <c r="U1065" s="12"/>
      <c r="V1065" s="12"/>
      <c r="W1065" s="12"/>
      <c r="X1065" s="12"/>
      <c r="Y1065" s="12"/>
      <c r="Z1065" s="12"/>
    </row>
    <row r="1066" spans="1:26" ht="14.25" customHeight="1" x14ac:dyDescent="0.3">
      <c r="A1066" s="155">
        <v>646</v>
      </c>
      <c r="B1066" s="156" t="s">
        <v>1294</v>
      </c>
      <c r="C1066" s="3"/>
      <c r="D1066" s="3"/>
      <c r="E1066" s="156" t="s">
        <v>1157</v>
      </c>
      <c r="F1066" s="3"/>
      <c r="G1066" s="158">
        <v>192</v>
      </c>
      <c r="H1066" s="155">
        <v>1</v>
      </c>
      <c r="I1066" s="155">
        <v>1</v>
      </c>
      <c r="J1066" s="156" t="s">
        <v>213</v>
      </c>
      <c r="K1066" s="5"/>
      <c r="L1066" s="3"/>
      <c r="M1066" s="6"/>
      <c r="N1066" s="9"/>
      <c r="O1066" s="158">
        <v>192</v>
      </c>
      <c r="P1066" s="12"/>
      <c r="Q1066" s="12"/>
      <c r="R1066" s="12"/>
      <c r="S1066" s="12"/>
      <c r="T1066" s="12"/>
      <c r="U1066" s="12"/>
      <c r="V1066" s="12"/>
      <c r="W1066" s="12"/>
      <c r="X1066" s="12"/>
      <c r="Y1066" s="12"/>
      <c r="Z1066" s="12"/>
    </row>
    <row r="1067" spans="1:26" ht="14.25" customHeight="1" x14ac:dyDescent="0.3">
      <c r="A1067" s="155">
        <v>647</v>
      </c>
      <c r="B1067" s="156" t="s">
        <v>1295</v>
      </c>
      <c r="C1067" s="3"/>
      <c r="D1067" s="3"/>
      <c r="E1067" s="156" t="s">
        <v>871</v>
      </c>
      <c r="F1067" s="3"/>
      <c r="G1067" s="158">
        <v>165</v>
      </c>
      <c r="H1067" s="155">
        <v>1</v>
      </c>
      <c r="I1067" s="155">
        <v>500</v>
      </c>
      <c r="J1067" s="156" t="s">
        <v>39</v>
      </c>
      <c r="K1067" s="5"/>
      <c r="L1067" s="3"/>
      <c r="M1067" s="6"/>
      <c r="N1067" s="9"/>
      <c r="O1067" s="158">
        <v>165</v>
      </c>
      <c r="P1067" s="12"/>
      <c r="Q1067" s="12"/>
      <c r="R1067" s="12"/>
      <c r="S1067" s="12"/>
      <c r="T1067" s="12"/>
      <c r="U1067" s="12"/>
      <c r="V1067" s="12"/>
      <c r="W1067" s="12"/>
      <c r="X1067" s="12"/>
      <c r="Y1067" s="12"/>
      <c r="Z1067" s="12"/>
    </row>
    <row r="1068" spans="1:26" ht="14.25" customHeight="1" x14ac:dyDescent="0.3">
      <c r="A1068" s="155">
        <v>648</v>
      </c>
      <c r="B1068" s="156" t="s">
        <v>1296</v>
      </c>
      <c r="C1068" s="3"/>
      <c r="D1068" s="3"/>
      <c r="E1068" s="156" t="s">
        <v>1297</v>
      </c>
      <c r="F1068" s="3"/>
      <c r="G1068" s="158">
        <v>22</v>
      </c>
      <c r="H1068" s="155">
        <v>2</v>
      </c>
      <c r="I1068" s="155">
        <v>1</v>
      </c>
      <c r="J1068" s="156" t="s">
        <v>304</v>
      </c>
      <c r="K1068" s="5"/>
      <c r="L1068" s="3"/>
      <c r="M1068" s="6"/>
      <c r="N1068" s="9"/>
      <c r="O1068" s="158">
        <v>44</v>
      </c>
      <c r="P1068" s="12"/>
      <c r="Q1068" s="12"/>
      <c r="R1068" s="12"/>
      <c r="S1068" s="12"/>
      <c r="T1068" s="12"/>
      <c r="U1068" s="12"/>
      <c r="V1068" s="12"/>
      <c r="W1068" s="12"/>
      <c r="X1068" s="12"/>
      <c r="Y1068" s="12"/>
      <c r="Z1068" s="12"/>
    </row>
    <row r="1069" spans="1:26" ht="14.25" customHeight="1" x14ac:dyDescent="0.3">
      <c r="A1069" s="155">
        <v>648</v>
      </c>
      <c r="B1069" s="156" t="s">
        <v>1296</v>
      </c>
      <c r="C1069" s="3"/>
      <c r="D1069" s="3"/>
      <c r="E1069" s="156" t="s">
        <v>1298</v>
      </c>
      <c r="F1069" s="3"/>
      <c r="G1069" s="158">
        <v>25</v>
      </c>
      <c r="H1069" s="155">
        <v>7</v>
      </c>
      <c r="I1069" s="155">
        <v>1</v>
      </c>
      <c r="J1069" s="156" t="s">
        <v>304</v>
      </c>
      <c r="K1069" s="5"/>
      <c r="L1069" s="3"/>
      <c r="M1069" s="6"/>
      <c r="N1069" s="9"/>
      <c r="O1069" s="158">
        <v>175</v>
      </c>
      <c r="P1069" s="12"/>
      <c r="Q1069" s="12"/>
      <c r="R1069" s="12"/>
      <c r="S1069" s="12"/>
      <c r="T1069" s="12"/>
      <c r="U1069" s="12"/>
      <c r="V1069" s="12"/>
      <c r="W1069" s="12"/>
      <c r="X1069" s="12"/>
      <c r="Y1069" s="12"/>
      <c r="Z1069" s="12"/>
    </row>
    <row r="1070" spans="1:26" ht="14.25" customHeight="1" x14ac:dyDescent="0.3">
      <c r="A1070" s="155">
        <v>648</v>
      </c>
      <c r="B1070" s="156" t="s">
        <v>1299</v>
      </c>
      <c r="C1070" s="3"/>
      <c r="D1070" s="3"/>
      <c r="E1070" s="156" t="s">
        <v>1300</v>
      </c>
      <c r="F1070" s="3"/>
      <c r="G1070" s="158">
        <v>25</v>
      </c>
      <c r="H1070" s="155">
        <v>6</v>
      </c>
      <c r="I1070" s="155">
        <v>1</v>
      </c>
      <c r="J1070" s="156" t="s">
        <v>92</v>
      </c>
      <c r="K1070" s="5"/>
      <c r="L1070" s="3"/>
      <c r="M1070" s="6"/>
      <c r="N1070" s="9"/>
      <c r="O1070" s="158">
        <v>150</v>
      </c>
      <c r="P1070" s="12"/>
      <c r="Q1070" s="12"/>
      <c r="R1070" s="12"/>
      <c r="S1070" s="12"/>
      <c r="T1070" s="12"/>
      <c r="U1070" s="12"/>
      <c r="V1070" s="12"/>
      <c r="W1070" s="12"/>
      <c r="X1070" s="12"/>
      <c r="Y1070" s="12"/>
      <c r="Z1070" s="12"/>
    </row>
    <row r="1071" spans="1:26" ht="14.25" customHeight="1" x14ac:dyDescent="0.3">
      <c r="A1071" s="155">
        <v>649</v>
      </c>
      <c r="B1071" s="156" t="s">
        <v>1301</v>
      </c>
      <c r="C1071" s="3"/>
      <c r="D1071" s="3"/>
      <c r="E1071" s="156" t="s">
        <v>719</v>
      </c>
      <c r="F1071" s="3"/>
      <c r="G1071" s="158">
        <v>21.5</v>
      </c>
      <c r="H1071" s="155">
        <v>1</v>
      </c>
      <c r="I1071" s="155">
        <v>19</v>
      </c>
      <c r="J1071" s="156" t="s">
        <v>39</v>
      </c>
      <c r="K1071" s="5"/>
      <c r="L1071" s="3"/>
      <c r="M1071" s="6"/>
      <c r="N1071" s="9"/>
      <c r="O1071" s="158">
        <v>21.5</v>
      </c>
      <c r="P1071" s="12"/>
      <c r="Q1071" s="12"/>
      <c r="R1071" s="12"/>
      <c r="S1071" s="12"/>
      <c r="T1071" s="12"/>
      <c r="U1071" s="12"/>
      <c r="V1071" s="12"/>
      <c r="W1071" s="12"/>
      <c r="X1071" s="12"/>
      <c r="Y1071" s="12"/>
      <c r="Z1071" s="12"/>
    </row>
    <row r="1072" spans="1:26" ht="14.25" customHeight="1" x14ac:dyDescent="0.3">
      <c r="A1072" s="155">
        <v>650</v>
      </c>
      <c r="B1072" s="156" t="s">
        <v>1302</v>
      </c>
      <c r="C1072" s="3"/>
      <c r="D1072" s="3"/>
      <c r="E1072" s="156" t="s">
        <v>1303</v>
      </c>
      <c r="F1072" s="3"/>
      <c r="G1072" s="158">
        <v>21.65</v>
      </c>
      <c r="H1072" s="155">
        <v>8</v>
      </c>
      <c r="I1072" s="155">
        <v>40</v>
      </c>
      <c r="J1072" s="156" t="s">
        <v>39</v>
      </c>
      <c r="K1072" s="5"/>
      <c r="L1072" s="3"/>
      <c r="M1072" s="6"/>
      <c r="N1072" s="9"/>
      <c r="O1072" s="158">
        <v>173.2</v>
      </c>
      <c r="P1072" s="12"/>
      <c r="Q1072" s="12"/>
      <c r="R1072" s="12"/>
      <c r="S1072" s="12"/>
      <c r="T1072" s="12"/>
      <c r="U1072" s="12"/>
      <c r="V1072" s="12"/>
      <c r="W1072" s="12"/>
      <c r="X1072" s="12"/>
      <c r="Y1072" s="12"/>
      <c r="Z1072" s="12"/>
    </row>
    <row r="1073" spans="1:26" ht="14.25" customHeight="1" x14ac:dyDescent="0.3">
      <c r="A1073" s="155">
        <v>650</v>
      </c>
      <c r="B1073" s="156" t="s">
        <v>1302</v>
      </c>
      <c r="C1073" s="3"/>
      <c r="D1073" s="3"/>
      <c r="E1073" s="156" t="s">
        <v>1304</v>
      </c>
      <c r="F1073" s="3"/>
      <c r="G1073" s="158">
        <v>21.65</v>
      </c>
      <c r="H1073" s="155">
        <v>10</v>
      </c>
      <c r="I1073" s="155">
        <v>40</v>
      </c>
      <c r="J1073" s="156" t="s">
        <v>39</v>
      </c>
      <c r="K1073" s="5"/>
      <c r="L1073" s="3"/>
      <c r="M1073" s="6"/>
      <c r="N1073" s="9"/>
      <c r="O1073" s="158">
        <v>216.5</v>
      </c>
      <c r="P1073" s="12"/>
      <c r="Q1073" s="12"/>
      <c r="R1073" s="12"/>
      <c r="S1073" s="12"/>
      <c r="T1073" s="12"/>
      <c r="U1073" s="12"/>
      <c r="V1073" s="12"/>
      <c r="W1073" s="12"/>
      <c r="X1073" s="12"/>
      <c r="Y1073" s="12"/>
      <c r="Z1073" s="12"/>
    </row>
    <row r="1074" spans="1:26" ht="14.25" customHeight="1" x14ac:dyDescent="0.3">
      <c r="A1074" s="155">
        <v>650</v>
      </c>
      <c r="B1074" s="156" t="s">
        <v>1302</v>
      </c>
      <c r="C1074" s="3"/>
      <c r="D1074" s="3"/>
      <c r="E1074" s="156" t="s">
        <v>1305</v>
      </c>
      <c r="F1074" s="3"/>
      <c r="G1074" s="158">
        <v>21.65</v>
      </c>
      <c r="H1074" s="155">
        <v>17</v>
      </c>
      <c r="I1074" s="155">
        <v>40</v>
      </c>
      <c r="J1074" s="156" t="s">
        <v>39</v>
      </c>
      <c r="K1074" s="5"/>
      <c r="L1074" s="3"/>
      <c r="M1074" s="6"/>
      <c r="N1074" s="9"/>
      <c r="O1074" s="158">
        <v>368.05</v>
      </c>
      <c r="P1074" s="12"/>
      <c r="Q1074" s="12"/>
      <c r="R1074" s="12"/>
      <c r="S1074" s="12"/>
      <c r="T1074" s="12"/>
      <c r="U1074" s="12"/>
      <c r="V1074" s="12"/>
      <c r="W1074" s="12"/>
      <c r="X1074" s="12"/>
      <c r="Y1074" s="12"/>
      <c r="Z1074" s="12"/>
    </row>
    <row r="1075" spans="1:26" ht="14.25" customHeight="1" x14ac:dyDescent="0.3">
      <c r="A1075" s="155">
        <v>650</v>
      </c>
      <c r="B1075" s="156" t="s">
        <v>1302</v>
      </c>
      <c r="C1075" s="3"/>
      <c r="D1075" s="3"/>
      <c r="E1075" s="156" t="s">
        <v>1306</v>
      </c>
      <c r="F1075" s="3"/>
      <c r="G1075" s="158">
        <v>25.55</v>
      </c>
      <c r="H1075" s="155">
        <v>10</v>
      </c>
      <c r="I1075" s="155">
        <v>40</v>
      </c>
      <c r="J1075" s="156" t="s">
        <v>39</v>
      </c>
      <c r="K1075" s="5"/>
      <c r="L1075" s="3"/>
      <c r="M1075" s="6"/>
      <c r="N1075" s="9"/>
      <c r="O1075" s="158">
        <v>255.5</v>
      </c>
      <c r="P1075" s="12"/>
      <c r="Q1075" s="12"/>
      <c r="R1075" s="12"/>
      <c r="S1075" s="12"/>
      <c r="T1075" s="12"/>
      <c r="U1075" s="12"/>
      <c r="V1075" s="12"/>
      <c r="W1075" s="12"/>
      <c r="X1075" s="12"/>
      <c r="Y1075" s="12"/>
      <c r="Z1075" s="12"/>
    </row>
    <row r="1076" spans="1:26" ht="14.25" customHeight="1" x14ac:dyDescent="0.3">
      <c r="A1076" s="155">
        <v>650</v>
      </c>
      <c r="B1076" s="156" t="s">
        <v>1302</v>
      </c>
      <c r="C1076" s="3"/>
      <c r="D1076" s="3"/>
      <c r="E1076" s="156" t="s">
        <v>1307</v>
      </c>
      <c r="F1076" s="3"/>
      <c r="G1076" s="158">
        <v>21.65</v>
      </c>
      <c r="H1076" s="155">
        <v>5</v>
      </c>
      <c r="I1076" s="155">
        <v>40</v>
      </c>
      <c r="J1076" s="156" t="s">
        <v>39</v>
      </c>
      <c r="K1076" s="5"/>
      <c r="L1076" s="3"/>
      <c r="M1076" s="6"/>
      <c r="N1076" s="9"/>
      <c r="O1076" s="158">
        <v>108.25</v>
      </c>
      <c r="P1076" s="12"/>
      <c r="Q1076" s="12"/>
      <c r="R1076" s="12"/>
      <c r="S1076" s="12"/>
      <c r="T1076" s="12"/>
      <c r="U1076" s="12"/>
      <c r="V1076" s="12"/>
      <c r="W1076" s="12"/>
      <c r="X1076" s="12"/>
      <c r="Y1076" s="12"/>
      <c r="Z1076" s="12"/>
    </row>
    <row r="1077" spans="1:26" ht="14.25" customHeight="1" x14ac:dyDescent="0.3">
      <c r="A1077" s="155">
        <v>650</v>
      </c>
      <c r="B1077" s="156" t="s">
        <v>1302</v>
      </c>
      <c r="C1077" s="3"/>
      <c r="D1077" s="3"/>
      <c r="E1077" s="156" t="s">
        <v>1308</v>
      </c>
      <c r="F1077" s="3"/>
      <c r="G1077" s="158">
        <v>25.55</v>
      </c>
      <c r="H1077" s="155">
        <v>7</v>
      </c>
      <c r="I1077" s="155">
        <v>40</v>
      </c>
      <c r="J1077" s="156" t="s">
        <v>39</v>
      </c>
      <c r="K1077" s="5"/>
      <c r="L1077" s="3"/>
      <c r="M1077" s="6"/>
      <c r="N1077" s="9"/>
      <c r="O1077" s="158">
        <v>178.85</v>
      </c>
      <c r="P1077" s="12"/>
      <c r="Q1077" s="12"/>
      <c r="R1077" s="12"/>
      <c r="S1077" s="12"/>
      <c r="T1077" s="12"/>
      <c r="U1077" s="12"/>
      <c r="V1077" s="12"/>
      <c r="W1077" s="12"/>
      <c r="X1077" s="12"/>
      <c r="Y1077" s="12"/>
      <c r="Z1077" s="12"/>
    </row>
    <row r="1078" spans="1:26" ht="14.25" customHeight="1" x14ac:dyDescent="0.3">
      <c r="A1078" s="155">
        <v>650</v>
      </c>
      <c r="B1078" s="156" t="s">
        <v>1302</v>
      </c>
      <c r="C1078" s="3"/>
      <c r="D1078" s="3"/>
      <c r="E1078" s="156" t="s">
        <v>1309</v>
      </c>
      <c r="F1078" s="3"/>
      <c r="G1078" s="158">
        <v>21.65</v>
      </c>
      <c r="H1078" s="155">
        <v>10</v>
      </c>
      <c r="I1078" s="155">
        <v>40</v>
      </c>
      <c r="J1078" s="156" t="s">
        <v>39</v>
      </c>
      <c r="K1078" s="5"/>
      <c r="L1078" s="3"/>
      <c r="M1078" s="6"/>
      <c r="N1078" s="9"/>
      <c r="O1078" s="158">
        <v>216.5</v>
      </c>
      <c r="P1078" s="12"/>
      <c r="Q1078" s="12"/>
      <c r="R1078" s="12"/>
      <c r="S1078" s="12"/>
      <c r="T1078" s="12"/>
      <c r="U1078" s="12"/>
      <c r="V1078" s="12"/>
      <c r="W1078" s="12"/>
      <c r="X1078" s="12"/>
      <c r="Y1078" s="12"/>
      <c r="Z1078" s="12"/>
    </row>
    <row r="1079" spans="1:26" ht="14.25" customHeight="1" x14ac:dyDescent="0.3">
      <c r="A1079" s="155">
        <v>650</v>
      </c>
      <c r="B1079" s="156" t="s">
        <v>1302</v>
      </c>
      <c r="C1079" s="3"/>
      <c r="D1079" s="3"/>
      <c r="E1079" s="156" t="s">
        <v>1310</v>
      </c>
      <c r="F1079" s="3"/>
      <c r="G1079" s="158">
        <v>21.22</v>
      </c>
      <c r="H1079" s="155">
        <v>63</v>
      </c>
      <c r="I1079" s="155">
        <v>40</v>
      </c>
      <c r="J1079" s="156" t="s">
        <v>39</v>
      </c>
      <c r="K1079" s="5"/>
      <c r="L1079" s="3"/>
      <c r="M1079" s="6"/>
      <c r="N1079" s="9"/>
      <c r="O1079" s="158">
        <v>1336.86</v>
      </c>
      <c r="P1079" s="12"/>
      <c r="Q1079" s="12"/>
      <c r="R1079" s="12"/>
      <c r="S1079" s="12"/>
      <c r="T1079" s="12"/>
      <c r="U1079" s="12"/>
      <c r="V1079" s="12"/>
      <c r="W1079" s="12"/>
      <c r="X1079" s="12"/>
      <c r="Y1079" s="12"/>
      <c r="Z1079" s="12"/>
    </row>
    <row r="1080" spans="1:26" ht="14.25" customHeight="1" x14ac:dyDescent="0.3">
      <c r="A1080" s="155">
        <v>650</v>
      </c>
      <c r="B1080" s="156" t="s">
        <v>1302</v>
      </c>
      <c r="C1080" s="3"/>
      <c r="D1080" s="3"/>
      <c r="E1080" s="156" t="s">
        <v>1311</v>
      </c>
      <c r="F1080" s="3"/>
      <c r="G1080" s="158">
        <v>32.6</v>
      </c>
      <c r="H1080" s="155">
        <v>10</v>
      </c>
      <c r="I1080" s="155">
        <v>40</v>
      </c>
      <c r="J1080" s="156" t="s">
        <v>39</v>
      </c>
      <c r="K1080" s="5"/>
      <c r="L1080" s="3"/>
      <c r="M1080" s="6"/>
      <c r="N1080" s="9"/>
      <c r="O1080" s="158">
        <v>326</v>
      </c>
      <c r="P1080" s="12"/>
      <c r="Q1080" s="12"/>
      <c r="R1080" s="12"/>
      <c r="S1080" s="12"/>
      <c r="T1080" s="12"/>
      <c r="U1080" s="12"/>
      <c r="V1080" s="12"/>
      <c r="W1080" s="12"/>
      <c r="X1080" s="12"/>
      <c r="Y1080" s="12"/>
      <c r="Z1080" s="12"/>
    </row>
    <row r="1081" spans="1:26" ht="14.25" customHeight="1" x14ac:dyDescent="0.3">
      <c r="A1081" s="155">
        <v>650</v>
      </c>
      <c r="B1081" s="156" t="s">
        <v>1302</v>
      </c>
      <c r="C1081" s="3"/>
      <c r="D1081" s="3"/>
      <c r="E1081" s="156" t="s">
        <v>1312</v>
      </c>
      <c r="F1081" s="3"/>
      <c r="G1081" s="158">
        <v>21.5</v>
      </c>
      <c r="H1081" s="155">
        <v>7</v>
      </c>
      <c r="I1081" s="155">
        <v>40</v>
      </c>
      <c r="J1081" s="156" t="s">
        <v>39</v>
      </c>
      <c r="K1081" s="5"/>
      <c r="L1081" s="3"/>
      <c r="M1081" s="6"/>
      <c r="N1081" s="9"/>
      <c r="O1081" s="158">
        <v>150.5</v>
      </c>
      <c r="P1081" s="12"/>
      <c r="Q1081" s="12"/>
      <c r="R1081" s="12"/>
      <c r="S1081" s="12"/>
      <c r="T1081" s="12"/>
      <c r="U1081" s="12"/>
      <c r="V1081" s="12"/>
      <c r="W1081" s="12"/>
      <c r="X1081" s="12"/>
      <c r="Y1081" s="12"/>
      <c r="Z1081" s="12"/>
    </row>
    <row r="1082" spans="1:26" ht="14.25" customHeight="1" x14ac:dyDescent="0.3">
      <c r="A1082" s="155">
        <v>650</v>
      </c>
      <c r="B1082" s="156" t="s">
        <v>1302</v>
      </c>
      <c r="C1082" s="3"/>
      <c r="D1082" s="3"/>
      <c r="E1082" s="156" t="s">
        <v>1313</v>
      </c>
      <c r="F1082" s="3"/>
      <c r="G1082" s="158">
        <v>21.03</v>
      </c>
      <c r="H1082" s="155">
        <v>32</v>
      </c>
      <c r="I1082" s="155">
        <v>40</v>
      </c>
      <c r="J1082" s="156" t="s">
        <v>39</v>
      </c>
      <c r="K1082" s="5"/>
      <c r="L1082" s="3"/>
      <c r="M1082" s="6"/>
      <c r="N1082" s="9"/>
      <c r="O1082" s="158">
        <v>672.96</v>
      </c>
      <c r="P1082" s="12"/>
      <c r="Q1082" s="12"/>
      <c r="R1082" s="12"/>
      <c r="S1082" s="12"/>
      <c r="T1082" s="12"/>
      <c r="U1082" s="12"/>
      <c r="V1082" s="12"/>
      <c r="W1082" s="12"/>
      <c r="X1082" s="12"/>
      <c r="Y1082" s="12"/>
      <c r="Z1082" s="12"/>
    </row>
    <row r="1083" spans="1:26" ht="14.25" customHeight="1" x14ac:dyDescent="0.3">
      <c r="A1083" s="155">
        <v>650</v>
      </c>
      <c r="B1083" s="156" t="s">
        <v>1302</v>
      </c>
      <c r="C1083" s="3"/>
      <c r="D1083" s="3"/>
      <c r="E1083" s="156" t="s">
        <v>1314</v>
      </c>
      <c r="F1083" s="3"/>
      <c r="G1083" s="158">
        <v>21.22</v>
      </c>
      <c r="H1083" s="155">
        <v>37</v>
      </c>
      <c r="I1083" s="155">
        <v>40</v>
      </c>
      <c r="J1083" s="156" t="s">
        <v>39</v>
      </c>
      <c r="K1083" s="5"/>
      <c r="L1083" s="3"/>
      <c r="M1083" s="6"/>
      <c r="N1083" s="9"/>
      <c r="O1083" s="158">
        <v>785.14</v>
      </c>
      <c r="P1083" s="12"/>
      <c r="Q1083" s="12"/>
      <c r="R1083" s="12"/>
      <c r="S1083" s="12"/>
      <c r="T1083" s="12"/>
      <c r="U1083" s="12"/>
      <c r="V1083" s="12"/>
      <c r="W1083" s="12"/>
      <c r="X1083" s="12"/>
      <c r="Y1083" s="12"/>
      <c r="Z1083" s="12"/>
    </row>
    <row r="1084" spans="1:26" ht="14.25" customHeight="1" x14ac:dyDescent="0.3">
      <c r="A1084" s="155">
        <v>650</v>
      </c>
      <c r="B1084" s="156" t="s">
        <v>1302</v>
      </c>
      <c r="C1084" s="3"/>
      <c r="D1084" s="3"/>
      <c r="E1084" s="156" t="s">
        <v>1315</v>
      </c>
      <c r="F1084" s="3"/>
      <c r="G1084" s="158">
        <v>25.3</v>
      </c>
      <c r="H1084" s="155">
        <v>36</v>
      </c>
      <c r="I1084" s="155">
        <v>40</v>
      </c>
      <c r="J1084" s="156" t="s">
        <v>39</v>
      </c>
      <c r="K1084" s="5"/>
      <c r="L1084" s="3"/>
      <c r="M1084" s="6"/>
      <c r="N1084" s="9"/>
      <c r="O1084" s="158">
        <v>910.8</v>
      </c>
      <c r="P1084" s="12"/>
      <c r="Q1084" s="12"/>
      <c r="R1084" s="12"/>
      <c r="S1084" s="12"/>
      <c r="T1084" s="12"/>
      <c r="U1084" s="12"/>
      <c r="V1084" s="12"/>
      <c r="W1084" s="12"/>
      <c r="X1084" s="12"/>
      <c r="Y1084" s="12"/>
      <c r="Z1084" s="12"/>
    </row>
    <row r="1085" spans="1:26" ht="14.25" customHeight="1" x14ac:dyDescent="0.3">
      <c r="A1085" s="155">
        <v>651</v>
      </c>
      <c r="B1085" s="156" t="s">
        <v>1316</v>
      </c>
      <c r="C1085" s="3"/>
      <c r="D1085" s="3"/>
      <c r="E1085" s="156" t="s">
        <v>1317</v>
      </c>
      <c r="F1085" s="3"/>
      <c r="G1085" s="158">
        <v>88.1</v>
      </c>
      <c r="H1085" s="155">
        <v>1</v>
      </c>
      <c r="I1085" s="155">
        <v>500</v>
      </c>
      <c r="J1085" s="156" t="s">
        <v>39</v>
      </c>
      <c r="K1085" s="5"/>
      <c r="L1085" s="3"/>
      <c r="M1085" s="6"/>
      <c r="N1085" s="9"/>
      <c r="O1085" s="158">
        <v>88.1</v>
      </c>
      <c r="P1085" s="12"/>
      <c r="Q1085" s="12"/>
      <c r="R1085" s="12"/>
      <c r="S1085" s="12"/>
      <c r="T1085" s="12"/>
      <c r="U1085" s="12"/>
      <c r="V1085" s="12"/>
      <c r="W1085" s="12"/>
      <c r="X1085" s="12"/>
      <c r="Y1085" s="12"/>
      <c r="Z1085" s="12"/>
    </row>
    <row r="1086" spans="1:26" ht="14.25" customHeight="1" x14ac:dyDescent="0.3">
      <c r="A1086" s="155">
        <v>652</v>
      </c>
      <c r="B1086" s="156" t="s">
        <v>1318</v>
      </c>
      <c r="C1086" s="3"/>
      <c r="D1086" s="3"/>
      <c r="E1086" s="156" t="s">
        <v>1319</v>
      </c>
      <c r="F1086" s="3"/>
      <c r="G1086" s="158">
        <v>10.83</v>
      </c>
      <c r="H1086" s="155">
        <v>10</v>
      </c>
      <c r="I1086" s="155">
        <v>33</v>
      </c>
      <c r="J1086" s="156" t="s">
        <v>39</v>
      </c>
      <c r="K1086" s="5"/>
      <c r="L1086" s="3"/>
      <c r="M1086" s="6"/>
      <c r="N1086" s="9"/>
      <c r="O1086" s="158">
        <v>108.3</v>
      </c>
      <c r="P1086" s="12"/>
      <c r="Q1086" s="12"/>
      <c r="R1086" s="12"/>
      <c r="S1086" s="12"/>
      <c r="T1086" s="12"/>
      <c r="U1086" s="12"/>
      <c r="V1086" s="12"/>
      <c r="W1086" s="12"/>
      <c r="X1086" s="12"/>
      <c r="Y1086" s="12"/>
      <c r="Z1086" s="12"/>
    </row>
    <row r="1087" spans="1:26" ht="14.25" customHeight="1" x14ac:dyDescent="0.3">
      <c r="A1087" s="155">
        <v>652</v>
      </c>
      <c r="B1087" s="156" t="s">
        <v>1318</v>
      </c>
      <c r="C1087" s="3"/>
      <c r="D1087" s="3"/>
      <c r="E1087" s="156" t="s">
        <v>1320</v>
      </c>
      <c r="F1087" s="3"/>
      <c r="G1087" s="158">
        <v>64.875</v>
      </c>
      <c r="H1087" s="155">
        <v>4</v>
      </c>
      <c r="I1087" s="155">
        <v>33</v>
      </c>
      <c r="J1087" s="156" t="s">
        <v>92</v>
      </c>
      <c r="K1087" s="5"/>
      <c r="L1087" s="3"/>
      <c r="M1087" s="6"/>
      <c r="N1087" s="9"/>
      <c r="O1087" s="158">
        <v>259.5</v>
      </c>
      <c r="P1087" s="12"/>
      <c r="Q1087" s="12"/>
      <c r="R1087" s="12"/>
      <c r="S1087" s="12"/>
      <c r="T1087" s="12"/>
      <c r="U1087" s="12"/>
      <c r="V1087" s="12"/>
      <c r="W1087" s="12"/>
      <c r="X1087" s="12"/>
      <c r="Y1087" s="12"/>
      <c r="Z1087" s="12"/>
    </row>
    <row r="1088" spans="1:26" ht="14.25" customHeight="1" x14ac:dyDescent="0.3">
      <c r="A1088" s="155">
        <v>653</v>
      </c>
      <c r="B1088" s="156" t="s">
        <v>1321</v>
      </c>
      <c r="C1088" s="3"/>
      <c r="D1088" s="3"/>
      <c r="E1088" s="156" t="s">
        <v>1319</v>
      </c>
      <c r="F1088" s="3"/>
      <c r="G1088" s="158">
        <v>10.83</v>
      </c>
      <c r="H1088" s="155">
        <v>11</v>
      </c>
      <c r="I1088" s="155">
        <v>33</v>
      </c>
      <c r="J1088" s="156" t="s">
        <v>39</v>
      </c>
      <c r="K1088" s="5"/>
      <c r="L1088" s="3"/>
      <c r="M1088" s="6"/>
      <c r="N1088" s="9"/>
      <c r="O1088" s="158">
        <v>119.13</v>
      </c>
      <c r="P1088" s="12"/>
      <c r="Q1088" s="12"/>
      <c r="R1088" s="12"/>
      <c r="S1088" s="12"/>
      <c r="T1088" s="12"/>
      <c r="U1088" s="12"/>
      <c r="V1088" s="12"/>
      <c r="W1088" s="12"/>
      <c r="X1088" s="12"/>
      <c r="Y1088" s="12"/>
      <c r="Z1088" s="12"/>
    </row>
    <row r="1089" spans="1:26" ht="14.25" customHeight="1" x14ac:dyDescent="0.3">
      <c r="A1089" s="155">
        <v>654</v>
      </c>
      <c r="B1089" s="156" t="s">
        <v>1322</v>
      </c>
      <c r="C1089" s="3"/>
      <c r="D1089" s="3"/>
      <c r="E1089" s="156" t="s">
        <v>1323</v>
      </c>
      <c r="F1089" s="3"/>
      <c r="G1089" s="158">
        <v>71</v>
      </c>
      <c r="H1089" s="155">
        <v>1</v>
      </c>
      <c r="I1089" s="155">
        <v>13</v>
      </c>
      <c r="J1089" s="156" t="s">
        <v>39</v>
      </c>
      <c r="K1089" s="5"/>
      <c r="L1089" s="3"/>
      <c r="M1089" s="6"/>
      <c r="N1089" s="9"/>
      <c r="O1089" s="158">
        <v>71</v>
      </c>
      <c r="P1089" s="12"/>
      <c r="Q1089" s="12"/>
      <c r="R1089" s="12"/>
      <c r="S1089" s="12"/>
      <c r="T1089" s="12"/>
      <c r="U1089" s="12"/>
      <c r="V1089" s="12"/>
      <c r="W1089" s="12"/>
      <c r="X1089" s="12"/>
      <c r="Y1089" s="12"/>
      <c r="Z1089" s="12"/>
    </row>
    <row r="1090" spans="1:26" ht="14.25" customHeight="1" x14ac:dyDescent="0.3">
      <c r="A1090" s="155">
        <v>654</v>
      </c>
      <c r="B1090" s="156" t="s">
        <v>1322</v>
      </c>
      <c r="C1090" s="3"/>
      <c r="D1090" s="3"/>
      <c r="E1090" s="156" t="s">
        <v>854</v>
      </c>
      <c r="F1090" s="3"/>
      <c r="G1090" s="158">
        <v>59.25</v>
      </c>
      <c r="H1090" s="155">
        <v>6</v>
      </c>
      <c r="I1090" s="155">
        <v>13</v>
      </c>
      <c r="J1090" s="156" t="s">
        <v>39</v>
      </c>
      <c r="K1090" s="5"/>
      <c r="L1090" s="3"/>
      <c r="M1090" s="6"/>
      <c r="N1090" s="9"/>
      <c r="O1090" s="158">
        <v>355.5</v>
      </c>
      <c r="P1090" s="12"/>
      <c r="Q1090" s="12"/>
      <c r="R1090" s="12"/>
      <c r="S1090" s="12"/>
      <c r="T1090" s="12"/>
      <c r="U1090" s="12"/>
      <c r="V1090" s="12"/>
      <c r="W1090" s="12"/>
      <c r="X1090" s="12"/>
      <c r="Y1090" s="12"/>
      <c r="Z1090" s="12"/>
    </row>
    <row r="1091" spans="1:26" ht="14.25" customHeight="1" x14ac:dyDescent="0.3">
      <c r="A1091" s="155">
        <v>211</v>
      </c>
      <c r="B1091" s="156" t="s">
        <v>640</v>
      </c>
      <c r="C1091" s="3"/>
      <c r="D1091" s="3"/>
      <c r="E1091" s="156" t="s">
        <v>1241</v>
      </c>
      <c r="F1091" s="3"/>
      <c r="G1091" s="158">
        <v>98</v>
      </c>
      <c r="H1091" s="155">
        <v>5</v>
      </c>
      <c r="I1091" s="155">
        <v>900</v>
      </c>
      <c r="J1091" s="156" t="s">
        <v>39</v>
      </c>
      <c r="K1091" s="5"/>
      <c r="L1091" s="3"/>
      <c r="M1091" s="6"/>
      <c r="N1091" s="9"/>
      <c r="O1091" s="158">
        <v>490</v>
      </c>
      <c r="P1091" s="12"/>
      <c r="Q1091" s="12"/>
      <c r="R1091" s="12"/>
      <c r="S1091" s="12"/>
      <c r="T1091" s="12"/>
      <c r="U1091" s="12"/>
      <c r="V1091" s="12"/>
      <c r="W1091" s="12"/>
      <c r="X1091" s="12"/>
      <c r="Y1091" s="12"/>
      <c r="Z1091" s="12"/>
    </row>
    <row r="1092" spans="1:26" ht="14.25" customHeight="1" x14ac:dyDescent="0.3">
      <c r="A1092" s="155">
        <v>655</v>
      </c>
      <c r="B1092" s="156" t="s">
        <v>1324</v>
      </c>
      <c r="C1092" s="3"/>
      <c r="D1092" s="3"/>
      <c r="E1092" s="156" t="s">
        <v>1325</v>
      </c>
      <c r="F1092" s="3"/>
      <c r="G1092" s="158">
        <v>285</v>
      </c>
      <c r="H1092" s="155">
        <v>2</v>
      </c>
      <c r="I1092" s="155">
        <v>1000</v>
      </c>
      <c r="J1092" s="156" t="s">
        <v>304</v>
      </c>
      <c r="K1092" s="5"/>
      <c r="L1092" s="3"/>
      <c r="M1092" s="6"/>
      <c r="N1092" s="9"/>
      <c r="O1092" s="158">
        <v>570</v>
      </c>
      <c r="P1092" s="12"/>
      <c r="Q1092" s="12"/>
      <c r="R1092" s="12"/>
      <c r="S1092" s="12"/>
      <c r="T1092" s="12"/>
      <c r="U1092" s="12"/>
      <c r="V1092" s="12"/>
      <c r="W1092" s="12"/>
      <c r="X1092" s="12"/>
      <c r="Y1092" s="12"/>
      <c r="Z1092" s="12"/>
    </row>
    <row r="1093" spans="1:26" ht="14.25" customHeight="1" x14ac:dyDescent="0.3">
      <c r="A1093" s="155">
        <v>220</v>
      </c>
      <c r="B1093" s="156" t="s">
        <v>364</v>
      </c>
      <c r="C1093" s="3"/>
      <c r="D1093" s="3"/>
      <c r="E1093" s="156" t="s">
        <v>1326</v>
      </c>
      <c r="F1093" s="3"/>
      <c r="G1093" s="158">
        <v>80</v>
      </c>
      <c r="H1093" s="155">
        <v>3</v>
      </c>
      <c r="I1093" s="155">
        <v>5</v>
      </c>
      <c r="J1093" s="156" t="s">
        <v>213</v>
      </c>
      <c r="K1093" s="5"/>
      <c r="L1093" s="3"/>
      <c r="M1093" s="6"/>
      <c r="N1093" s="9"/>
      <c r="O1093" s="158">
        <v>240</v>
      </c>
      <c r="P1093" s="12"/>
      <c r="Q1093" s="12"/>
      <c r="R1093" s="12"/>
      <c r="S1093" s="12"/>
      <c r="T1093" s="12"/>
      <c r="U1093" s="12"/>
      <c r="V1093" s="12"/>
      <c r="W1093" s="12"/>
      <c r="X1093" s="12"/>
      <c r="Y1093" s="12"/>
      <c r="Z1093" s="12"/>
    </row>
    <row r="1094" spans="1:26" ht="14.25" customHeight="1" x14ac:dyDescent="0.3">
      <c r="A1094" s="155">
        <v>656</v>
      </c>
      <c r="B1094" s="156" t="s">
        <v>1327</v>
      </c>
      <c r="C1094" s="3"/>
      <c r="D1094" s="3"/>
      <c r="E1094" s="156"/>
      <c r="F1094" s="3"/>
      <c r="G1094" s="158">
        <v>55</v>
      </c>
      <c r="H1094" s="155">
        <v>7</v>
      </c>
      <c r="I1094" s="155">
        <v>1</v>
      </c>
      <c r="J1094" s="156" t="s">
        <v>213</v>
      </c>
      <c r="K1094" s="5"/>
      <c r="L1094" s="3"/>
      <c r="M1094" s="6"/>
      <c r="N1094" s="9"/>
      <c r="O1094" s="158">
        <v>385</v>
      </c>
      <c r="P1094" s="12"/>
      <c r="Q1094" s="12"/>
      <c r="R1094" s="12"/>
      <c r="S1094" s="12"/>
      <c r="T1094" s="12"/>
      <c r="U1094" s="12"/>
      <c r="V1094" s="12"/>
      <c r="W1094" s="12"/>
      <c r="X1094" s="12"/>
      <c r="Y1094" s="12"/>
      <c r="Z1094" s="12"/>
    </row>
    <row r="1095" spans="1:26" ht="14.25" customHeight="1" x14ac:dyDescent="0.3">
      <c r="A1095" s="155">
        <v>656</v>
      </c>
      <c r="B1095" s="156" t="s">
        <v>1327</v>
      </c>
      <c r="C1095" s="3"/>
      <c r="D1095" s="3"/>
      <c r="E1095" s="156"/>
      <c r="F1095" s="3"/>
      <c r="G1095" s="158">
        <v>20</v>
      </c>
      <c r="H1095" s="155">
        <v>29</v>
      </c>
      <c r="I1095" s="155">
        <v>1</v>
      </c>
      <c r="J1095" s="156" t="s">
        <v>39</v>
      </c>
      <c r="K1095" s="5"/>
      <c r="L1095" s="3"/>
      <c r="M1095" s="6"/>
      <c r="N1095" s="9"/>
      <c r="O1095" s="158">
        <v>580</v>
      </c>
      <c r="P1095" s="12"/>
      <c r="Q1095" s="12"/>
      <c r="R1095" s="12"/>
      <c r="S1095" s="12"/>
      <c r="T1095" s="12"/>
      <c r="U1095" s="12"/>
      <c r="V1095" s="12"/>
      <c r="W1095" s="12"/>
      <c r="X1095" s="12"/>
      <c r="Y1095" s="12"/>
      <c r="Z1095" s="12"/>
    </row>
    <row r="1096" spans="1:26" ht="14.25" customHeight="1" x14ac:dyDescent="0.3">
      <c r="A1096" s="155">
        <v>657</v>
      </c>
      <c r="B1096" s="156" t="s">
        <v>1328</v>
      </c>
      <c r="C1096" s="3"/>
      <c r="D1096" s="3"/>
      <c r="E1096" s="156"/>
      <c r="F1096" s="3"/>
      <c r="G1096" s="158">
        <v>55</v>
      </c>
      <c r="H1096" s="155">
        <v>1</v>
      </c>
      <c r="I1096" s="155">
        <v>1000</v>
      </c>
      <c r="J1096" s="156" t="s">
        <v>39</v>
      </c>
      <c r="K1096" s="5"/>
      <c r="L1096" s="3"/>
      <c r="M1096" s="6"/>
      <c r="N1096" s="9"/>
      <c r="O1096" s="158">
        <v>55</v>
      </c>
      <c r="P1096" s="12"/>
      <c r="Q1096" s="12"/>
      <c r="R1096" s="12"/>
      <c r="S1096" s="12"/>
      <c r="T1096" s="12"/>
      <c r="U1096" s="12"/>
      <c r="V1096" s="12"/>
      <c r="W1096" s="12"/>
      <c r="X1096" s="12"/>
      <c r="Y1096" s="12"/>
      <c r="Z1096" s="12"/>
    </row>
    <row r="1097" spans="1:26" ht="14.25" customHeight="1" x14ac:dyDescent="0.3">
      <c r="A1097" s="155">
        <v>657</v>
      </c>
      <c r="B1097" s="156" t="s">
        <v>1328</v>
      </c>
      <c r="C1097" s="3"/>
      <c r="D1097" s="3"/>
      <c r="E1097" s="156" t="s">
        <v>912</v>
      </c>
      <c r="F1097" s="3"/>
      <c r="G1097" s="158">
        <v>175</v>
      </c>
      <c r="H1097" s="155">
        <v>1</v>
      </c>
      <c r="I1097" s="155">
        <v>1000</v>
      </c>
      <c r="J1097" s="156" t="s">
        <v>39</v>
      </c>
      <c r="K1097" s="5"/>
      <c r="L1097" s="3"/>
      <c r="M1097" s="6"/>
      <c r="N1097" s="9"/>
      <c r="O1097" s="158">
        <v>175</v>
      </c>
      <c r="P1097" s="12"/>
      <c r="Q1097" s="12"/>
      <c r="R1097" s="12"/>
      <c r="S1097" s="12"/>
      <c r="T1097" s="12"/>
      <c r="U1097" s="12"/>
      <c r="V1097" s="12"/>
      <c r="W1097" s="12"/>
      <c r="X1097" s="12"/>
      <c r="Y1097" s="12"/>
      <c r="Z1097" s="12"/>
    </row>
    <row r="1098" spans="1:26" ht="14.25" customHeight="1" x14ac:dyDescent="0.3">
      <c r="A1098" s="155">
        <v>658</v>
      </c>
      <c r="B1098" s="156" t="s">
        <v>1329</v>
      </c>
      <c r="C1098" s="3"/>
      <c r="D1098" s="3"/>
      <c r="E1098" s="156"/>
      <c r="F1098" s="3"/>
      <c r="G1098" s="158">
        <v>35</v>
      </c>
      <c r="H1098" s="155">
        <v>1</v>
      </c>
      <c r="I1098" s="155">
        <v>1000</v>
      </c>
      <c r="J1098" s="156" t="s">
        <v>39</v>
      </c>
      <c r="K1098" s="5"/>
      <c r="L1098" s="3"/>
      <c r="M1098" s="6"/>
      <c r="N1098" s="9"/>
      <c r="O1098" s="158">
        <v>35</v>
      </c>
      <c r="P1098" s="12"/>
      <c r="Q1098" s="12"/>
      <c r="R1098" s="12"/>
      <c r="S1098" s="12"/>
      <c r="T1098" s="12"/>
      <c r="U1098" s="12"/>
      <c r="V1098" s="12"/>
      <c r="W1098" s="12"/>
      <c r="X1098" s="12"/>
      <c r="Y1098" s="12"/>
      <c r="Z1098" s="12"/>
    </row>
    <row r="1099" spans="1:26" ht="14.25" customHeight="1" x14ac:dyDescent="0.3">
      <c r="A1099" s="155">
        <v>659</v>
      </c>
      <c r="B1099" s="156" t="s">
        <v>1330</v>
      </c>
      <c r="C1099" s="3"/>
      <c r="D1099" s="3"/>
      <c r="E1099" s="156"/>
      <c r="F1099" s="3"/>
      <c r="G1099" s="158">
        <v>10</v>
      </c>
      <c r="H1099" s="155">
        <v>1</v>
      </c>
      <c r="I1099" s="155">
        <v>1</v>
      </c>
      <c r="J1099" s="156" t="s">
        <v>1331</v>
      </c>
      <c r="K1099" s="5"/>
      <c r="L1099" s="3"/>
      <c r="M1099" s="6"/>
      <c r="N1099" s="9"/>
      <c r="O1099" s="158">
        <v>10</v>
      </c>
      <c r="P1099" s="12"/>
      <c r="Q1099" s="12"/>
      <c r="R1099" s="12"/>
      <c r="S1099" s="12"/>
      <c r="T1099" s="12"/>
      <c r="U1099" s="12"/>
      <c r="V1099" s="12"/>
      <c r="W1099" s="12"/>
      <c r="X1099" s="12"/>
      <c r="Y1099" s="12"/>
      <c r="Z1099" s="12"/>
    </row>
    <row r="1100" spans="1:26" ht="14.25" customHeight="1" x14ac:dyDescent="0.3">
      <c r="A1100" s="155">
        <v>659</v>
      </c>
      <c r="B1100" s="156" t="s">
        <v>1330</v>
      </c>
      <c r="C1100" s="3"/>
      <c r="D1100" s="3"/>
      <c r="E1100" s="156" t="s">
        <v>216</v>
      </c>
      <c r="F1100" s="3"/>
      <c r="G1100" s="158">
        <v>75</v>
      </c>
      <c r="H1100" s="155">
        <v>2</v>
      </c>
      <c r="I1100" s="155">
        <v>1</v>
      </c>
      <c r="J1100" s="156" t="s">
        <v>39</v>
      </c>
      <c r="K1100" s="5"/>
      <c r="L1100" s="3"/>
      <c r="M1100" s="6"/>
      <c r="N1100" s="9"/>
      <c r="O1100" s="158">
        <v>150</v>
      </c>
      <c r="P1100" s="12"/>
      <c r="Q1100" s="12"/>
      <c r="R1100" s="12"/>
      <c r="S1100" s="12"/>
      <c r="T1100" s="12"/>
      <c r="U1100" s="12"/>
      <c r="V1100" s="12"/>
      <c r="W1100" s="12"/>
      <c r="X1100" s="12"/>
      <c r="Y1100" s="12"/>
      <c r="Z1100" s="12"/>
    </row>
    <row r="1101" spans="1:26" ht="14.25" customHeight="1" x14ac:dyDescent="0.3">
      <c r="A1101" s="155">
        <v>659</v>
      </c>
      <c r="B1101" s="156" t="s">
        <v>1330</v>
      </c>
      <c r="C1101" s="3"/>
      <c r="D1101" s="3"/>
      <c r="E1101" s="156" t="s">
        <v>216</v>
      </c>
      <c r="F1101" s="3"/>
      <c r="G1101" s="158">
        <v>95</v>
      </c>
      <c r="H1101" s="155">
        <v>2</v>
      </c>
      <c r="I1101" s="155">
        <v>1</v>
      </c>
      <c r="J1101" s="156" t="s">
        <v>1331</v>
      </c>
      <c r="K1101" s="5"/>
      <c r="L1101" s="3"/>
      <c r="M1101" s="6"/>
      <c r="N1101" s="9"/>
      <c r="O1101" s="158">
        <v>190</v>
      </c>
      <c r="P1101" s="12"/>
      <c r="Q1101" s="12"/>
      <c r="R1101" s="12"/>
      <c r="S1101" s="12"/>
      <c r="T1101" s="12"/>
      <c r="U1101" s="12"/>
      <c r="V1101" s="12"/>
      <c r="W1101" s="12"/>
      <c r="X1101" s="12"/>
      <c r="Y1101" s="12"/>
      <c r="Z1101" s="12"/>
    </row>
    <row r="1102" spans="1:26" ht="14.25" customHeight="1" x14ac:dyDescent="0.3">
      <c r="A1102" s="155">
        <v>660</v>
      </c>
      <c r="B1102" s="156" t="s">
        <v>1332</v>
      </c>
      <c r="C1102" s="3"/>
      <c r="D1102" s="3"/>
      <c r="E1102" s="156" t="s">
        <v>1333</v>
      </c>
      <c r="F1102" s="3"/>
      <c r="G1102" s="158">
        <v>84.1</v>
      </c>
      <c r="H1102" s="155">
        <v>2</v>
      </c>
      <c r="I1102" s="155">
        <v>340</v>
      </c>
      <c r="J1102" s="156" t="s">
        <v>39</v>
      </c>
      <c r="K1102" s="5"/>
      <c r="L1102" s="3"/>
      <c r="M1102" s="6"/>
      <c r="N1102" s="9"/>
      <c r="O1102" s="158">
        <v>168.2</v>
      </c>
      <c r="P1102" s="12"/>
      <c r="Q1102" s="12"/>
      <c r="R1102" s="12"/>
      <c r="S1102" s="12"/>
      <c r="T1102" s="12"/>
      <c r="U1102" s="12"/>
      <c r="V1102" s="12"/>
      <c r="W1102" s="12"/>
      <c r="X1102" s="12"/>
      <c r="Y1102" s="12"/>
      <c r="Z1102" s="12"/>
    </row>
    <row r="1103" spans="1:26" ht="14.25" customHeight="1" x14ac:dyDescent="0.3">
      <c r="A1103" s="155">
        <v>661</v>
      </c>
      <c r="B1103" s="156" t="s">
        <v>1334</v>
      </c>
      <c r="C1103" s="3"/>
      <c r="D1103" s="3"/>
      <c r="E1103" s="156" t="s">
        <v>1335</v>
      </c>
      <c r="F1103" s="3"/>
      <c r="G1103" s="158">
        <v>340</v>
      </c>
      <c r="H1103" s="155">
        <v>2</v>
      </c>
      <c r="I1103" s="155">
        <v>500</v>
      </c>
      <c r="J1103" s="156" t="s">
        <v>39</v>
      </c>
      <c r="K1103" s="5"/>
      <c r="L1103" s="3"/>
      <c r="M1103" s="6"/>
      <c r="N1103" s="9"/>
      <c r="O1103" s="158">
        <v>680</v>
      </c>
      <c r="P1103" s="12"/>
      <c r="Q1103" s="12"/>
      <c r="R1103" s="12"/>
      <c r="S1103" s="12"/>
      <c r="T1103" s="12"/>
      <c r="U1103" s="12"/>
      <c r="V1103" s="12"/>
      <c r="W1103" s="12"/>
      <c r="X1103" s="12"/>
      <c r="Y1103" s="12"/>
      <c r="Z1103" s="12"/>
    </row>
    <row r="1104" spans="1:26" ht="14.25" customHeight="1" x14ac:dyDescent="0.3">
      <c r="A1104" s="155">
        <v>223</v>
      </c>
      <c r="B1104" s="156" t="s">
        <v>182</v>
      </c>
      <c r="C1104" s="3"/>
      <c r="D1104" s="3"/>
      <c r="E1104" s="156" t="s">
        <v>865</v>
      </c>
      <c r="F1104" s="3"/>
      <c r="G1104" s="158">
        <v>42.3</v>
      </c>
      <c r="H1104" s="155">
        <v>12</v>
      </c>
      <c r="I1104" s="155">
        <v>250</v>
      </c>
      <c r="J1104" s="156" t="s">
        <v>39</v>
      </c>
      <c r="K1104" s="5"/>
      <c r="L1104" s="3"/>
      <c r="M1104" s="6"/>
      <c r="N1104" s="9"/>
      <c r="O1104" s="158">
        <v>507.6</v>
      </c>
      <c r="P1104" s="12"/>
      <c r="Q1104" s="12"/>
      <c r="R1104" s="12"/>
      <c r="S1104" s="12"/>
      <c r="T1104" s="12"/>
      <c r="U1104" s="12"/>
      <c r="V1104" s="12"/>
      <c r="W1104" s="12"/>
      <c r="X1104" s="12"/>
      <c r="Y1104" s="12"/>
      <c r="Z1104" s="12"/>
    </row>
    <row r="1105" spans="1:26" ht="14.25" customHeight="1" x14ac:dyDescent="0.3">
      <c r="A1105" s="155">
        <v>223</v>
      </c>
      <c r="B1105" s="156" t="s">
        <v>182</v>
      </c>
      <c r="C1105" s="3"/>
      <c r="D1105" s="3"/>
      <c r="E1105" s="156" t="s">
        <v>1336</v>
      </c>
      <c r="F1105" s="3"/>
      <c r="G1105" s="158">
        <v>40.200000000000003</v>
      </c>
      <c r="H1105" s="155">
        <v>10</v>
      </c>
      <c r="I1105" s="155">
        <v>250</v>
      </c>
      <c r="J1105" s="156" t="s">
        <v>519</v>
      </c>
      <c r="K1105" s="5"/>
      <c r="L1105" s="3"/>
      <c r="M1105" s="6"/>
      <c r="N1105" s="9"/>
      <c r="O1105" s="158">
        <v>402</v>
      </c>
      <c r="P1105" s="12"/>
      <c r="Q1105" s="12"/>
      <c r="R1105" s="12"/>
      <c r="S1105" s="12"/>
      <c r="T1105" s="12"/>
      <c r="U1105" s="12"/>
      <c r="V1105" s="12"/>
      <c r="W1105" s="12"/>
      <c r="X1105" s="12"/>
      <c r="Y1105" s="12"/>
      <c r="Z1105" s="12"/>
    </row>
    <row r="1106" spans="1:26" ht="14.25" customHeight="1" x14ac:dyDescent="0.3">
      <c r="A1106" s="155">
        <v>223</v>
      </c>
      <c r="B1106" s="156" t="s">
        <v>182</v>
      </c>
      <c r="C1106" s="3"/>
      <c r="D1106" s="3"/>
      <c r="E1106" s="156" t="s">
        <v>1337</v>
      </c>
      <c r="F1106" s="3"/>
      <c r="G1106" s="158">
        <v>56.2</v>
      </c>
      <c r="H1106" s="155">
        <v>26</v>
      </c>
      <c r="I1106" s="155">
        <v>250</v>
      </c>
      <c r="J1106" s="156" t="s">
        <v>39</v>
      </c>
      <c r="K1106" s="5"/>
      <c r="L1106" s="3"/>
      <c r="M1106" s="6"/>
      <c r="N1106" s="9"/>
      <c r="O1106" s="158">
        <v>1461.2</v>
      </c>
      <c r="P1106" s="12"/>
      <c r="Q1106" s="12"/>
      <c r="R1106" s="12"/>
      <c r="S1106" s="12"/>
      <c r="T1106" s="12"/>
      <c r="U1106" s="12"/>
      <c r="V1106" s="12"/>
      <c r="W1106" s="12"/>
      <c r="X1106" s="12"/>
      <c r="Y1106" s="12"/>
      <c r="Z1106" s="12"/>
    </row>
    <row r="1107" spans="1:26" ht="14.25" customHeight="1" x14ac:dyDescent="0.3">
      <c r="A1107" s="155">
        <v>223</v>
      </c>
      <c r="B1107" s="156" t="s">
        <v>182</v>
      </c>
      <c r="C1107" s="3"/>
      <c r="D1107" s="3"/>
      <c r="E1107" s="156" t="s">
        <v>1338</v>
      </c>
      <c r="F1107" s="3"/>
      <c r="G1107" s="158">
        <v>50</v>
      </c>
      <c r="H1107" s="155">
        <v>3</v>
      </c>
      <c r="I1107" s="155">
        <v>250</v>
      </c>
      <c r="J1107" s="156" t="s">
        <v>39</v>
      </c>
      <c r="K1107" s="5"/>
      <c r="L1107" s="3"/>
      <c r="M1107" s="6"/>
      <c r="N1107" s="9"/>
      <c r="O1107" s="158">
        <v>150</v>
      </c>
      <c r="P1107" s="12"/>
      <c r="Q1107" s="12"/>
      <c r="R1107" s="12"/>
      <c r="S1107" s="12"/>
      <c r="T1107" s="12"/>
      <c r="U1107" s="12"/>
      <c r="V1107" s="12"/>
      <c r="W1107" s="12"/>
      <c r="X1107" s="12"/>
      <c r="Y1107" s="12"/>
      <c r="Z1107" s="12"/>
    </row>
    <row r="1108" spans="1:26" ht="14.25" customHeight="1" x14ac:dyDescent="0.3">
      <c r="A1108" s="155">
        <v>223</v>
      </c>
      <c r="B1108" s="156" t="s">
        <v>182</v>
      </c>
      <c r="C1108" s="3"/>
      <c r="D1108" s="3"/>
      <c r="E1108" s="156" t="s">
        <v>1336</v>
      </c>
      <c r="F1108" s="3"/>
      <c r="G1108" s="158">
        <v>42.5</v>
      </c>
      <c r="H1108" s="155">
        <v>1</v>
      </c>
      <c r="I1108" s="155">
        <v>250</v>
      </c>
      <c r="J1108" s="156" t="s">
        <v>39</v>
      </c>
      <c r="K1108" s="5"/>
      <c r="L1108" s="3"/>
      <c r="M1108" s="6"/>
      <c r="N1108" s="9"/>
      <c r="O1108" s="158">
        <v>42.5</v>
      </c>
      <c r="P1108" s="12"/>
      <c r="Q1108" s="12"/>
      <c r="R1108" s="12"/>
      <c r="S1108" s="12"/>
      <c r="T1108" s="12"/>
      <c r="U1108" s="12"/>
      <c r="V1108" s="12"/>
      <c r="W1108" s="12"/>
      <c r="X1108" s="12"/>
      <c r="Y1108" s="12"/>
      <c r="Z1108" s="12"/>
    </row>
    <row r="1109" spans="1:26" ht="14.25" customHeight="1" x14ac:dyDescent="0.3">
      <c r="A1109" s="155">
        <v>662</v>
      </c>
      <c r="B1109" s="156" t="s">
        <v>1339</v>
      </c>
      <c r="C1109" s="3"/>
      <c r="D1109" s="3"/>
      <c r="E1109" s="156" t="s">
        <v>1340</v>
      </c>
      <c r="F1109" s="3"/>
      <c r="G1109" s="158">
        <v>106.75</v>
      </c>
      <c r="H1109" s="155">
        <v>10</v>
      </c>
      <c r="I1109" s="155">
        <v>1</v>
      </c>
      <c r="J1109" s="156" t="s">
        <v>200</v>
      </c>
      <c r="K1109" s="5"/>
      <c r="L1109" s="3"/>
      <c r="M1109" s="6"/>
      <c r="N1109" s="9"/>
      <c r="O1109" s="158">
        <v>1067.5</v>
      </c>
      <c r="P1109" s="12"/>
      <c r="Q1109" s="12"/>
      <c r="R1109" s="12"/>
      <c r="S1109" s="12"/>
      <c r="T1109" s="12"/>
      <c r="U1109" s="12"/>
      <c r="V1109" s="12"/>
      <c r="W1109" s="12"/>
      <c r="X1109" s="12"/>
      <c r="Y1109" s="12"/>
      <c r="Z1109" s="12"/>
    </row>
    <row r="1110" spans="1:26" ht="14.25" customHeight="1" x14ac:dyDescent="0.3">
      <c r="A1110" s="155">
        <v>662</v>
      </c>
      <c r="B1110" s="156" t="s">
        <v>1339</v>
      </c>
      <c r="C1110" s="3"/>
      <c r="D1110" s="3"/>
      <c r="E1110" s="156" t="s">
        <v>1069</v>
      </c>
      <c r="F1110" s="3"/>
      <c r="G1110" s="158">
        <v>76</v>
      </c>
      <c r="H1110" s="155">
        <v>6</v>
      </c>
      <c r="I1110" s="155">
        <v>1</v>
      </c>
      <c r="J1110" s="156" t="s">
        <v>200</v>
      </c>
      <c r="K1110" s="5"/>
      <c r="L1110" s="3"/>
      <c r="M1110" s="6"/>
      <c r="N1110" s="9"/>
      <c r="O1110" s="158">
        <v>456</v>
      </c>
      <c r="P1110" s="12"/>
      <c r="Q1110" s="12"/>
      <c r="R1110" s="12"/>
      <c r="S1110" s="12"/>
      <c r="T1110" s="12"/>
      <c r="U1110" s="12"/>
      <c r="V1110" s="12"/>
      <c r="W1110" s="12"/>
      <c r="X1110" s="12"/>
      <c r="Y1110" s="12"/>
      <c r="Z1110" s="12"/>
    </row>
    <row r="1111" spans="1:26" ht="14.25" customHeight="1" x14ac:dyDescent="0.3">
      <c r="A1111" s="155">
        <v>224</v>
      </c>
      <c r="B1111" s="156" t="s">
        <v>223</v>
      </c>
      <c r="C1111" s="3"/>
      <c r="D1111" s="3"/>
      <c r="E1111" s="156" t="s">
        <v>1341</v>
      </c>
      <c r="F1111" s="3"/>
      <c r="G1111" s="158">
        <v>120</v>
      </c>
      <c r="H1111" s="155">
        <v>3</v>
      </c>
      <c r="I1111" s="155">
        <v>1000</v>
      </c>
      <c r="J1111" s="156" t="s">
        <v>39</v>
      </c>
      <c r="K1111" s="5"/>
      <c r="L1111" s="3"/>
      <c r="M1111" s="6"/>
      <c r="N1111" s="9"/>
      <c r="O1111" s="158">
        <v>360</v>
      </c>
      <c r="P1111" s="12"/>
      <c r="Q1111" s="12"/>
      <c r="R1111" s="12"/>
      <c r="S1111" s="12"/>
      <c r="T1111" s="12"/>
      <c r="U1111" s="12"/>
      <c r="V1111" s="12"/>
      <c r="W1111" s="12"/>
      <c r="X1111" s="12"/>
      <c r="Y1111" s="12"/>
      <c r="Z1111" s="12"/>
    </row>
    <row r="1112" spans="1:26" ht="14.25" customHeight="1" x14ac:dyDescent="0.3">
      <c r="A1112" s="155">
        <v>224</v>
      </c>
      <c r="B1112" s="156" t="s">
        <v>223</v>
      </c>
      <c r="C1112" s="3"/>
      <c r="D1112" s="3"/>
      <c r="E1112" s="156" t="s">
        <v>1098</v>
      </c>
      <c r="F1112" s="3"/>
      <c r="G1112" s="158">
        <v>55</v>
      </c>
      <c r="H1112" s="155">
        <v>2</v>
      </c>
      <c r="I1112" s="155">
        <v>1000</v>
      </c>
      <c r="J1112" s="156" t="s">
        <v>39</v>
      </c>
      <c r="K1112" s="5"/>
      <c r="L1112" s="3"/>
      <c r="M1112" s="6"/>
      <c r="N1112" s="9"/>
      <c r="O1112" s="158">
        <v>110</v>
      </c>
      <c r="P1112" s="12"/>
      <c r="Q1112" s="12"/>
      <c r="R1112" s="12"/>
      <c r="S1112" s="12"/>
      <c r="T1112" s="12"/>
      <c r="U1112" s="12"/>
      <c r="V1112" s="12"/>
      <c r="W1112" s="12"/>
      <c r="X1112" s="12"/>
      <c r="Y1112" s="12"/>
      <c r="Z1112" s="12"/>
    </row>
    <row r="1113" spans="1:26" ht="14.25" customHeight="1" x14ac:dyDescent="0.3">
      <c r="A1113" s="155">
        <v>224</v>
      </c>
      <c r="B1113" s="156" t="s">
        <v>223</v>
      </c>
      <c r="C1113" s="3"/>
      <c r="D1113" s="3"/>
      <c r="E1113" s="156" t="s">
        <v>1236</v>
      </c>
      <c r="F1113" s="3"/>
      <c r="G1113" s="158">
        <v>56.35</v>
      </c>
      <c r="H1113" s="155">
        <v>9</v>
      </c>
      <c r="I1113" s="155">
        <v>1000</v>
      </c>
      <c r="J1113" s="156" t="s">
        <v>39</v>
      </c>
      <c r="K1113" s="5"/>
      <c r="L1113" s="3"/>
      <c r="M1113" s="6"/>
      <c r="N1113" s="9"/>
      <c r="O1113" s="158">
        <v>507.15</v>
      </c>
      <c r="P1113" s="12"/>
      <c r="Q1113" s="12"/>
      <c r="R1113" s="12"/>
      <c r="S1113" s="12"/>
      <c r="T1113" s="12"/>
      <c r="U1113" s="12"/>
      <c r="V1113" s="12"/>
      <c r="W1113" s="12"/>
      <c r="X1113" s="12"/>
      <c r="Y1113" s="12"/>
      <c r="Z1113" s="12"/>
    </row>
    <row r="1114" spans="1:26" ht="14.25" customHeight="1" x14ac:dyDescent="0.3">
      <c r="A1114" s="155">
        <v>663</v>
      </c>
      <c r="B1114" s="156" t="s">
        <v>1342</v>
      </c>
      <c r="C1114" s="3"/>
      <c r="D1114" s="3"/>
      <c r="E1114" s="156"/>
      <c r="F1114" s="3"/>
      <c r="G1114" s="158">
        <v>200</v>
      </c>
      <c r="H1114" s="155">
        <v>5</v>
      </c>
      <c r="I1114" s="155">
        <v>1000</v>
      </c>
      <c r="J1114" s="156" t="s">
        <v>39</v>
      </c>
      <c r="K1114" s="5"/>
      <c r="L1114" s="3"/>
      <c r="M1114" s="6"/>
      <c r="N1114" s="9"/>
      <c r="O1114" s="158">
        <v>1000</v>
      </c>
      <c r="P1114" s="12"/>
      <c r="Q1114" s="12"/>
      <c r="R1114" s="12"/>
      <c r="S1114" s="12"/>
      <c r="T1114" s="12"/>
      <c r="U1114" s="12"/>
      <c r="V1114" s="12"/>
      <c r="W1114" s="12"/>
      <c r="X1114" s="12"/>
      <c r="Y1114" s="12"/>
      <c r="Z1114" s="12"/>
    </row>
    <row r="1115" spans="1:26" ht="14.25" customHeight="1" x14ac:dyDescent="0.3">
      <c r="A1115" s="155">
        <v>664</v>
      </c>
      <c r="B1115" s="156" t="s">
        <v>1343</v>
      </c>
      <c r="C1115" s="3"/>
      <c r="D1115" s="3"/>
      <c r="E1115" s="156"/>
      <c r="F1115" s="3"/>
      <c r="G1115" s="158">
        <v>70</v>
      </c>
      <c r="H1115" s="155">
        <v>1</v>
      </c>
      <c r="I1115" s="155">
        <v>1000</v>
      </c>
      <c r="J1115" s="156" t="s">
        <v>39</v>
      </c>
      <c r="K1115" s="5"/>
      <c r="L1115" s="3"/>
      <c r="M1115" s="6"/>
      <c r="N1115" s="9"/>
      <c r="O1115" s="158">
        <v>70</v>
      </c>
      <c r="P1115" s="12"/>
      <c r="Q1115" s="12"/>
      <c r="R1115" s="12"/>
      <c r="S1115" s="12"/>
      <c r="T1115" s="12"/>
      <c r="U1115" s="12"/>
      <c r="V1115" s="12"/>
      <c r="W1115" s="12"/>
      <c r="X1115" s="12"/>
      <c r="Y1115" s="12"/>
      <c r="Z1115" s="12"/>
    </row>
    <row r="1116" spans="1:26" ht="14.25" customHeight="1" x14ac:dyDescent="0.3">
      <c r="A1116" s="155">
        <v>664</v>
      </c>
      <c r="B1116" s="156" t="s">
        <v>1343</v>
      </c>
      <c r="C1116" s="3"/>
      <c r="D1116" s="3"/>
      <c r="E1116" s="156" t="s">
        <v>216</v>
      </c>
      <c r="F1116" s="3"/>
      <c r="G1116" s="158">
        <v>46</v>
      </c>
      <c r="H1116" s="155">
        <v>2</v>
      </c>
      <c r="I1116" s="155">
        <v>1000</v>
      </c>
      <c r="J1116" s="156" t="s">
        <v>39</v>
      </c>
      <c r="K1116" s="5"/>
      <c r="L1116" s="3"/>
      <c r="M1116" s="6"/>
      <c r="N1116" s="9"/>
      <c r="O1116" s="158">
        <v>92</v>
      </c>
      <c r="P1116" s="12"/>
      <c r="Q1116" s="12"/>
      <c r="R1116" s="12"/>
      <c r="S1116" s="12"/>
      <c r="T1116" s="12"/>
      <c r="U1116" s="12"/>
      <c r="V1116" s="12"/>
      <c r="W1116" s="12"/>
      <c r="X1116" s="12"/>
      <c r="Y1116" s="12"/>
      <c r="Z1116" s="12"/>
    </row>
    <row r="1117" spans="1:26" ht="14.25" customHeight="1" x14ac:dyDescent="0.3">
      <c r="A1117" s="155">
        <v>665</v>
      </c>
      <c r="B1117" s="156" t="s">
        <v>1344</v>
      </c>
      <c r="C1117" s="3"/>
      <c r="D1117" s="3"/>
      <c r="E1117" s="156"/>
      <c r="F1117" s="3"/>
      <c r="G1117" s="158">
        <v>95</v>
      </c>
      <c r="H1117" s="155">
        <v>2</v>
      </c>
      <c r="I1117" s="155">
        <v>1</v>
      </c>
      <c r="J1117" s="156" t="s">
        <v>213</v>
      </c>
      <c r="K1117" s="5"/>
      <c r="L1117" s="3"/>
      <c r="M1117" s="6"/>
      <c r="N1117" s="9"/>
      <c r="O1117" s="158">
        <v>190</v>
      </c>
      <c r="P1117" s="12"/>
      <c r="Q1117" s="12"/>
      <c r="R1117" s="12"/>
      <c r="S1117" s="12"/>
      <c r="T1117" s="12"/>
      <c r="U1117" s="12"/>
      <c r="V1117" s="12"/>
      <c r="W1117" s="12"/>
      <c r="X1117" s="12"/>
      <c r="Y1117" s="12"/>
      <c r="Z1117" s="12"/>
    </row>
    <row r="1118" spans="1:26" ht="14.25" customHeight="1" x14ac:dyDescent="0.3">
      <c r="A1118" s="155">
        <v>665</v>
      </c>
      <c r="B1118" s="156" t="s">
        <v>1344</v>
      </c>
      <c r="C1118" s="3"/>
      <c r="D1118" s="3"/>
      <c r="E1118" s="156"/>
      <c r="F1118" s="3"/>
      <c r="G1118" s="158">
        <v>60</v>
      </c>
      <c r="H1118" s="155">
        <v>12</v>
      </c>
      <c r="I1118" s="155">
        <v>1</v>
      </c>
      <c r="J1118" s="156" t="s">
        <v>39</v>
      </c>
      <c r="K1118" s="5"/>
      <c r="L1118" s="3"/>
      <c r="M1118" s="6"/>
      <c r="N1118" s="9"/>
      <c r="O1118" s="158">
        <v>720</v>
      </c>
      <c r="P1118" s="12"/>
      <c r="Q1118" s="12"/>
      <c r="R1118" s="12"/>
      <c r="S1118" s="12"/>
      <c r="T1118" s="12"/>
      <c r="U1118" s="12"/>
      <c r="V1118" s="12"/>
      <c r="W1118" s="12"/>
      <c r="X1118" s="12"/>
      <c r="Y1118" s="12"/>
      <c r="Z1118" s="12"/>
    </row>
    <row r="1119" spans="1:26" ht="14.25" customHeight="1" x14ac:dyDescent="0.3">
      <c r="A1119" s="155">
        <v>666</v>
      </c>
      <c r="B1119" s="156" t="s">
        <v>1345</v>
      </c>
      <c r="C1119" s="3"/>
      <c r="D1119" s="3"/>
      <c r="E1119" s="156" t="s">
        <v>1346</v>
      </c>
      <c r="F1119" s="3"/>
      <c r="G1119" s="158">
        <v>130</v>
      </c>
      <c r="H1119" s="155">
        <v>1</v>
      </c>
      <c r="I1119" s="155">
        <v>340</v>
      </c>
      <c r="J1119" s="156" t="s">
        <v>39</v>
      </c>
      <c r="K1119" s="5"/>
      <c r="L1119" s="3"/>
      <c r="M1119" s="6"/>
      <c r="N1119" s="9"/>
      <c r="O1119" s="158">
        <v>130</v>
      </c>
      <c r="P1119" s="12"/>
      <c r="Q1119" s="12"/>
      <c r="R1119" s="12"/>
      <c r="S1119" s="12"/>
      <c r="T1119" s="12"/>
      <c r="U1119" s="12"/>
      <c r="V1119" s="12"/>
      <c r="W1119" s="12"/>
      <c r="X1119" s="12"/>
      <c r="Y1119" s="12"/>
      <c r="Z1119" s="12"/>
    </row>
    <row r="1120" spans="1:26" ht="14.25" customHeight="1" x14ac:dyDescent="0.3">
      <c r="A1120" s="155">
        <v>230</v>
      </c>
      <c r="B1120" s="156" t="s">
        <v>75</v>
      </c>
      <c r="C1120" s="3"/>
      <c r="D1120" s="3"/>
      <c r="E1120" s="156" t="s">
        <v>1347</v>
      </c>
      <c r="F1120" s="3"/>
      <c r="G1120" s="158">
        <v>860</v>
      </c>
      <c r="H1120" s="155">
        <v>1</v>
      </c>
      <c r="I1120" s="155">
        <v>6800</v>
      </c>
      <c r="J1120" s="156" t="s">
        <v>39</v>
      </c>
      <c r="K1120" s="5"/>
      <c r="L1120" s="3"/>
      <c r="M1120" s="6"/>
      <c r="N1120" s="9"/>
      <c r="O1120" s="158">
        <v>860</v>
      </c>
      <c r="P1120" s="12"/>
      <c r="Q1120" s="12"/>
      <c r="R1120" s="12"/>
      <c r="S1120" s="12"/>
      <c r="T1120" s="12"/>
      <c r="U1120" s="12"/>
      <c r="V1120" s="12"/>
      <c r="W1120" s="12"/>
      <c r="X1120" s="12"/>
      <c r="Y1120" s="12"/>
      <c r="Z1120" s="12"/>
    </row>
    <row r="1121" spans="1:26" ht="14.25" customHeight="1" x14ac:dyDescent="0.3">
      <c r="A1121" s="155">
        <v>667</v>
      </c>
      <c r="B1121" s="156" t="s">
        <v>1348</v>
      </c>
      <c r="C1121" s="3"/>
      <c r="D1121" s="3"/>
      <c r="E1121" s="156" t="s">
        <v>1349</v>
      </c>
      <c r="F1121" s="3"/>
      <c r="G1121" s="158">
        <v>131.66669999999999</v>
      </c>
      <c r="H1121" s="155">
        <v>3</v>
      </c>
      <c r="I1121" s="155">
        <v>454</v>
      </c>
      <c r="J1121" s="156" t="s">
        <v>39</v>
      </c>
      <c r="K1121" s="5"/>
      <c r="L1121" s="3"/>
      <c r="M1121" s="6"/>
      <c r="N1121" s="9"/>
      <c r="O1121" s="158">
        <v>395</v>
      </c>
      <c r="P1121" s="12"/>
      <c r="Q1121" s="12"/>
      <c r="R1121" s="12"/>
      <c r="S1121" s="12"/>
      <c r="T1121" s="12"/>
      <c r="U1121" s="12"/>
      <c r="V1121" s="12"/>
      <c r="W1121" s="12"/>
      <c r="X1121" s="12"/>
      <c r="Y1121" s="12"/>
      <c r="Z1121" s="12"/>
    </row>
    <row r="1122" spans="1:26" ht="14.25" customHeight="1" x14ac:dyDescent="0.3">
      <c r="A1122" s="155">
        <v>667</v>
      </c>
      <c r="B1122" s="156" t="s">
        <v>1348</v>
      </c>
      <c r="C1122" s="3"/>
      <c r="D1122" s="3"/>
      <c r="E1122" s="156" t="s">
        <v>963</v>
      </c>
      <c r="F1122" s="3"/>
      <c r="G1122" s="158">
        <v>134.83330000000001</v>
      </c>
      <c r="H1122" s="155">
        <v>3</v>
      </c>
      <c r="I1122" s="155">
        <v>454</v>
      </c>
      <c r="J1122" s="156" t="s">
        <v>39</v>
      </c>
      <c r="K1122" s="5"/>
      <c r="L1122" s="3"/>
      <c r="M1122" s="6"/>
      <c r="N1122" s="9"/>
      <c r="O1122" s="158">
        <v>404.5</v>
      </c>
      <c r="P1122" s="12"/>
      <c r="Q1122" s="12"/>
      <c r="R1122" s="12"/>
      <c r="S1122" s="12"/>
      <c r="T1122" s="12"/>
      <c r="U1122" s="12"/>
      <c r="V1122" s="12"/>
      <c r="W1122" s="12"/>
      <c r="X1122" s="12"/>
      <c r="Y1122" s="12"/>
      <c r="Z1122" s="12"/>
    </row>
    <row r="1123" spans="1:26" ht="14.25" customHeight="1" x14ac:dyDescent="0.3">
      <c r="A1123" s="155">
        <v>232</v>
      </c>
      <c r="B1123" s="156" t="s">
        <v>656</v>
      </c>
      <c r="C1123" s="3"/>
      <c r="D1123" s="3"/>
      <c r="E1123" s="156" t="s">
        <v>962</v>
      </c>
      <c r="F1123" s="3"/>
      <c r="G1123" s="158">
        <v>0</v>
      </c>
      <c r="H1123" s="155">
        <v>0</v>
      </c>
      <c r="I1123" s="155">
        <v>1</v>
      </c>
      <c r="J1123" s="156" t="s">
        <v>213</v>
      </c>
      <c r="K1123" s="5"/>
      <c r="L1123" s="3"/>
      <c r="M1123" s="6"/>
      <c r="N1123" s="9"/>
      <c r="O1123" s="158">
        <v>0</v>
      </c>
      <c r="P1123" s="12"/>
      <c r="Q1123" s="12"/>
      <c r="R1123" s="12"/>
      <c r="S1123" s="12"/>
      <c r="T1123" s="12"/>
      <c r="U1123" s="12"/>
      <c r="V1123" s="12"/>
      <c r="W1123" s="12"/>
      <c r="X1123" s="12"/>
      <c r="Y1123" s="12"/>
      <c r="Z1123" s="12"/>
    </row>
    <row r="1124" spans="1:26" ht="14.25" customHeight="1" x14ac:dyDescent="0.3">
      <c r="A1124" s="155">
        <v>232</v>
      </c>
      <c r="B1124" s="156" t="s">
        <v>656</v>
      </c>
      <c r="C1124" s="3"/>
      <c r="D1124" s="3"/>
      <c r="E1124" s="156" t="s">
        <v>851</v>
      </c>
      <c r="F1124" s="3"/>
      <c r="G1124" s="158">
        <v>125</v>
      </c>
      <c r="H1124" s="155">
        <v>1</v>
      </c>
      <c r="I1124" s="155">
        <v>1</v>
      </c>
      <c r="J1124" s="156" t="s">
        <v>39</v>
      </c>
      <c r="K1124" s="5"/>
      <c r="L1124" s="3"/>
      <c r="M1124" s="6"/>
      <c r="N1124" s="9"/>
      <c r="O1124" s="158">
        <v>125</v>
      </c>
      <c r="P1124" s="12"/>
      <c r="Q1124" s="12"/>
      <c r="R1124" s="12"/>
      <c r="S1124" s="12"/>
      <c r="T1124" s="12"/>
      <c r="U1124" s="12"/>
      <c r="V1124" s="12"/>
      <c r="W1124" s="12"/>
      <c r="X1124" s="12"/>
      <c r="Y1124" s="12"/>
      <c r="Z1124" s="12"/>
    </row>
    <row r="1125" spans="1:26" ht="14.25" customHeight="1" x14ac:dyDescent="0.3">
      <c r="A1125" s="155">
        <v>232</v>
      </c>
      <c r="B1125" s="156" t="s">
        <v>656</v>
      </c>
      <c r="C1125" s="3"/>
      <c r="D1125" s="3"/>
      <c r="E1125" s="156" t="s">
        <v>790</v>
      </c>
      <c r="F1125" s="3"/>
      <c r="G1125" s="158">
        <v>98</v>
      </c>
      <c r="H1125" s="155">
        <v>1</v>
      </c>
      <c r="I1125" s="155">
        <v>1</v>
      </c>
      <c r="J1125" s="156" t="s">
        <v>39</v>
      </c>
      <c r="K1125" s="5"/>
      <c r="L1125" s="3"/>
      <c r="M1125" s="6"/>
      <c r="N1125" s="9"/>
      <c r="O1125" s="158">
        <v>98</v>
      </c>
      <c r="P1125" s="12"/>
      <c r="Q1125" s="12"/>
      <c r="R1125" s="12"/>
      <c r="S1125" s="12"/>
      <c r="T1125" s="12"/>
      <c r="U1125" s="12"/>
      <c r="V1125" s="12"/>
      <c r="W1125" s="12"/>
      <c r="X1125" s="12"/>
      <c r="Y1125" s="12"/>
      <c r="Z1125" s="12"/>
    </row>
    <row r="1126" spans="1:26" ht="14.25" customHeight="1" x14ac:dyDescent="0.3">
      <c r="A1126" s="155">
        <v>233</v>
      </c>
      <c r="B1126" s="156" t="s">
        <v>259</v>
      </c>
      <c r="C1126" s="3"/>
      <c r="D1126" s="3"/>
      <c r="E1126" s="156" t="s">
        <v>1350</v>
      </c>
      <c r="F1126" s="3"/>
      <c r="G1126" s="158">
        <v>35.1</v>
      </c>
      <c r="H1126" s="155">
        <v>1</v>
      </c>
      <c r="I1126" s="155">
        <v>550</v>
      </c>
      <c r="J1126" s="156" t="s">
        <v>39</v>
      </c>
      <c r="K1126" s="5"/>
      <c r="L1126" s="3"/>
      <c r="M1126" s="6"/>
      <c r="N1126" s="9"/>
      <c r="O1126" s="158">
        <v>35.1</v>
      </c>
      <c r="P1126" s="12"/>
      <c r="Q1126" s="12"/>
      <c r="R1126" s="12"/>
      <c r="S1126" s="12"/>
      <c r="T1126" s="12"/>
      <c r="U1126" s="12"/>
      <c r="V1126" s="12"/>
      <c r="W1126" s="12"/>
      <c r="X1126" s="12"/>
      <c r="Y1126" s="12"/>
      <c r="Z1126" s="12"/>
    </row>
    <row r="1127" spans="1:26" ht="14.25" customHeight="1" x14ac:dyDescent="0.3">
      <c r="A1127" s="155">
        <v>233</v>
      </c>
      <c r="B1127" s="156" t="s">
        <v>259</v>
      </c>
      <c r="C1127" s="3"/>
      <c r="D1127" s="3"/>
      <c r="E1127" s="156" t="s">
        <v>1351</v>
      </c>
      <c r="F1127" s="3"/>
      <c r="G1127" s="158">
        <v>77.3</v>
      </c>
      <c r="H1127" s="155">
        <v>5</v>
      </c>
      <c r="I1127" s="155">
        <v>550</v>
      </c>
      <c r="J1127" s="156" t="s">
        <v>213</v>
      </c>
      <c r="K1127" s="5"/>
      <c r="L1127" s="3"/>
      <c r="M1127" s="6"/>
      <c r="N1127" s="9"/>
      <c r="O1127" s="158">
        <v>386.5</v>
      </c>
      <c r="P1127" s="12"/>
      <c r="Q1127" s="12"/>
      <c r="R1127" s="12"/>
      <c r="S1127" s="12"/>
      <c r="T1127" s="12"/>
      <c r="U1127" s="12"/>
      <c r="V1127" s="12"/>
      <c r="W1127" s="12"/>
      <c r="X1127" s="12"/>
      <c r="Y1127" s="12"/>
      <c r="Z1127" s="12"/>
    </row>
    <row r="1128" spans="1:26" ht="14.25" customHeight="1" x14ac:dyDescent="0.3">
      <c r="A1128" s="155">
        <v>233</v>
      </c>
      <c r="B1128" s="156" t="s">
        <v>259</v>
      </c>
      <c r="C1128" s="3"/>
      <c r="D1128" s="3"/>
      <c r="E1128" s="156" t="s">
        <v>1352</v>
      </c>
      <c r="F1128" s="3"/>
      <c r="G1128" s="158">
        <v>251</v>
      </c>
      <c r="H1128" s="155">
        <v>4</v>
      </c>
      <c r="I1128" s="155">
        <v>550</v>
      </c>
      <c r="J1128" s="156" t="s">
        <v>200</v>
      </c>
      <c r="K1128" s="5"/>
      <c r="L1128" s="3"/>
      <c r="M1128" s="6"/>
      <c r="N1128" s="9"/>
      <c r="O1128" s="158">
        <v>1004</v>
      </c>
      <c r="P1128" s="12"/>
      <c r="Q1128" s="12"/>
      <c r="R1128" s="12"/>
      <c r="S1128" s="12"/>
      <c r="T1128" s="12"/>
      <c r="U1128" s="12"/>
      <c r="V1128" s="12"/>
      <c r="W1128" s="12"/>
      <c r="X1128" s="12"/>
      <c r="Y1128" s="12"/>
      <c r="Z1128" s="12"/>
    </row>
    <row r="1129" spans="1:26" ht="14.25" customHeight="1" x14ac:dyDescent="0.3">
      <c r="A1129" s="155">
        <v>233</v>
      </c>
      <c r="B1129" s="156" t="s">
        <v>259</v>
      </c>
      <c r="C1129" s="3"/>
      <c r="D1129" s="3"/>
      <c r="E1129" s="156" t="s">
        <v>1351</v>
      </c>
      <c r="F1129" s="3"/>
      <c r="G1129" s="158">
        <v>36.25</v>
      </c>
      <c r="H1129" s="155">
        <v>4</v>
      </c>
      <c r="I1129" s="155">
        <v>550</v>
      </c>
      <c r="J1129" s="156" t="s">
        <v>39</v>
      </c>
      <c r="K1129" s="5"/>
      <c r="L1129" s="3"/>
      <c r="M1129" s="6"/>
      <c r="N1129" s="9"/>
      <c r="O1129" s="158">
        <v>145</v>
      </c>
      <c r="P1129" s="12"/>
      <c r="Q1129" s="12"/>
      <c r="R1129" s="12"/>
      <c r="S1129" s="12"/>
      <c r="T1129" s="12"/>
      <c r="U1129" s="12"/>
      <c r="V1129" s="12"/>
      <c r="W1129" s="12"/>
      <c r="X1129" s="12"/>
      <c r="Y1129" s="12"/>
      <c r="Z1129" s="12"/>
    </row>
    <row r="1130" spans="1:26" ht="14.25" customHeight="1" x14ac:dyDescent="0.3">
      <c r="A1130" s="155">
        <v>233</v>
      </c>
      <c r="B1130" s="156" t="s">
        <v>259</v>
      </c>
      <c r="C1130" s="3"/>
      <c r="D1130" s="3"/>
      <c r="E1130" s="156" t="s">
        <v>1351</v>
      </c>
      <c r="F1130" s="3"/>
      <c r="G1130" s="158">
        <v>48.7</v>
      </c>
      <c r="H1130" s="155">
        <v>1</v>
      </c>
      <c r="I1130" s="155">
        <v>550</v>
      </c>
      <c r="J1130" s="156" t="s">
        <v>773</v>
      </c>
      <c r="K1130" s="5"/>
      <c r="L1130" s="3"/>
      <c r="M1130" s="6"/>
      <c r="N1130" s="9"/>
      <c r="O1130" s="158">
        <v>48.7</v>
      </c>
      <c r="P1130" s="12"/>
      <c r="Q1130" s="12"/>
      <c r="R1130" s="12"/>
      <c r="S1130" s="12"/>
      <c r="T1130" s="12"/>
      <c r="U1130" s="12"/>
      <c r="V1130" s="12"/>
      <c r="W1130" s="12"/>
      <c r="X1130" s="12"/>
      <c r="Y1130" s="12"/>
      <c r="Z1130" s="12"/>
    </row>
    <row r="1131" spans="1:26" ht="14.25" customHeight="1" x14ac:dyDescent="0.3">
      <c r="A1131" s="155">
        <v>668</v>
      </c>
      <c r="B1131" s="156" t="s">
        <v>1353</v>
      </c>
      <c r="C1131" s="3"/>
      <c r="D1131" s="3"/>
      <c r="E1131" s="156"/>
      <c r="F1131" s="3"/>
      <c r="G1131" s="158">
        <v>25.6</v>
      </c>
      <c r="H1131" s="155">
        <v>5</v>
      </c>
      <c r="I1131" s="155">
        <v>1</v>
      </c>
      <c r="J1131" s="156" t="s">
        <v>92</v>
      </c>
      <c r="K1131" s="5"/>
      <c r="L1131" s="3"/>
      <c r="M1131" s="6"/>
      <c r="N1131" s="9"/>
      <c r="O1131" s="158">
        <v>128</v>
      </c>
      <c r="P1131" s="12"/>
      <c r="Q1131" s="12"/>
      <c r="R1131" s="12"/>
      <c r="S1131" s="12"/>
      <c r="T1131" s="12"/>
      <c r="U1131" s="12"/>
      <c r="V1131" s="12"/>
      <c r="W1131" s="12"/>
      <c r="X1131" s="12"/>
      <c r="Y1131" s="12"/>
      <c r="Z1131" s="12"/>
    </row>
    <row r="1132" spans="1:26" ht="14.25" customHeight="1" x14ac:dyDescent="0.3">
      <c r="A1132" s="155">
        <v>668</v>
      </c>
      <c r="B1132" s="156" t="s">
        <v>1353</v>
      </c>
      <c r="C1132" s="3"/>
      <c r="D1132" s="3"/>
      <c r="E1132" s="156" t="s">
        <v>1354</v>
      </c>
      <c r="F1132" s="3"/>
      <c r="G1132" s="158">
        <v>25</v>
      </c>
      <c r="H1132" s="155">
        <v>2</v>
      </c>
      <c r="I1132" s="155">
        <v>1</v>
      </c>
      <c r="J1132" s="156" t="s">
        <v>39</v>
      </c>
      <c r="K1132" s="5"/>
      <c r="L1132" s="3"/>
      <c r="M1132" s="6"/>
      <c r="N1132" s="9"/>
      <c r="O1132" s="158">
        <v>50</v>
      </c>
      <c r="P1132" s="12"/>
      <c r="Q1132" s="12"/>
      <c r="R1132" s="12"/>
      <c r="S1132" s="12"/>
      <c r="T1132" s="12"/>
      <c r="U1132" s="12"/>
      <c r="V1132" s="12"/>
      <c r="W1132" s="12"/>
      <c r="X1132" s="12"/>
      <c r="Y1132" s="12"/>
      <c r="Z1132" s="12"/>
    </row>
    <row r="1133" spans="1:26" ht="14.25" customHeight="1" x14ac:dyDescent="0.3">
      <c r="A1133" s="155">
        <v>669</v>
      </c>
      <c r="B1133" s="156" t="s">
        <v>1355</v>
      </c>
      <c r="C1133" s="3"/>
      <c r="D1133" s="3"/>
      <c r="E1133" s="156" t="s">
        <v>30</v>
      </c>
      <c r="F1133" s="3"/>
      <c r="G1133" s="158">
        <v>180</v>
      </c>
      <c r="H1133" s="155">
        <v>12</v>
      </c>
      <c r="I1133" s="155">
        <v>200</v>
      </c>
      <c r="J1133" s="156" t="s">
        <v>39</v>
      </c>
      <c r="K1133" s="5"/>
      <c r="L1133" s="3"/>
      <c r="M1133" s="6"/>
      <c r="N1133" s="9"/>
      <c r="O1133" s="158">
        <v>2160</v>
      </c>
      <c r="P1133" s="12"/>
      <c r="Q1133" s="12"/>
      <c r="R1133" s="12"/>
      <c r="S1133" s="12"/>
      <c r="T1133" s="12"/>
      <c r="U1133" s="12"/>
      <c r="V1133" s="12"/>
      <c r="W1133" s="12"/>
      <c r="X1133" s="12"/>
      <c r="Y1133" s="12"/>
      <c r="Z1133" s="12"/>
    </row>
    <row r="1134" spans="1:26" ht="14.25" customHeight="1" x14ac:dyDescent="0.3">
      <c r="A1134" s="155">
        <v>670</v>
      </c>
      <c r="B1134" s="156" t="s">
        <v>1356</v>
      </c>
      <c r="C1134" s="3"/>
      <c r="D1134" s="3"/>
      <c r="E1134" s="156" t="s">
        <v>30</v>
      </c>
      <c r="F1134" s="3"/>
      <c r="G1134" s="158">
        <v>180</v>
      </c>
      <c r="H1134" s="155">
        <v>24</v>
      </c>
      <c r="I1134" s="155">
        <v>200</v>
      </c>
      <c r="J1134" s="156" t="s">
        <v>39</v>
      </c>
      <c r="K1134" s="5"/>
      <c r="L1134" s="3"/>
      <c r="M1134" s="6"/>
      <c r="N1134" s="9"/>
      <c r="O1134" s="158">
        <v>4320</v>
      </c>
      <c r="P1134" s="12"/>
      <c r="Q1134" s="12"/>
      <c r="R1134" s="12"/>
      <c r="S1134" s="12"/>
      <c r="T1134" s="12"/>
      <c r="U1134" s="12"/>
      <c r="V1134" s="12"/>
      <c r="W1134" s="12"/>
      <c r="X1134" s="12"/>
      <c r="Y1134" s="12"/>
      <c r="Z1134" s="12"/>
    </row>
    <row r="1135" spans="1:26" ht="14.25" customHeight="1" x14ac:dyDescent="0.3">
      <c r="A1135" s="155">
        <v>671</v>
      </c>
      <c r="B1135" s="156" t="s">
        <v>1357</v>
      </c>
      <c r="C1135" s="3"/>
      <c r="D1135" s="3"/>
      <c r="E1135" s="156" t="s">
        <v>216</v>
      </c>
      <c r="F1135" s="3"/>
      <c r="G1135" s="158">
        <v>195</v>
      </c>
      <c r="H1135" s="155">
        <v>1</v>
      </c>
      <c r="I1135" s="155">
        <v>1000</v>
      </c>
      <c r="J1135" s="156" t="s">
        <v>39</v>
      </c>
      <c r="K1135" s="5"/>
      <c r="L1135" s="3"/>
      <c r="M1135" s="6"/>
      <c r="N1135" s="9"/>
      <c r="O1135" s="158">
        <v>195</v>
      </c>
      <c r="P1135" s="12"/>
      <c r="Q1135" s="12"/>
      <c r="R1135" s="12"/>
      <c r="S1135" s="12"/>
      <c r="T1135" s="12"/>
      <c r="U1135" s="12"/>
      <c r="V1135" s="12"/>
      <c r="W1135" s="12"/>
      <c r="X1135" s="12"/>
      <c r="Y1135" s="12"/>
      <c r="Z1135" s="12"/>
    </row>
    <row r="1136" spans="1:26" ht="14.25" customHeight="1" x14ac:dyDescent="0.3">
      <c r="A1136" s="155">
        <v>672</v>
      </c>
      <c r="B1136" s="156" t="s">
        <v>1358</v>
      </c>
      <c r="C1136" s="3"/>
      <c r="D1136" s="3"/>
      <c r="E1136" s="156" t="s">
        <v>1359</v>
      </c>
      <c r="F1136" s="3"/>
      <c r="G1136" s="158">
        <v>0</v>
      </c>
      <c r="H1136" s="155">
        <v>0</v>
      </c>
      <c r="I1136" s="155">
        <v>1</v>
      </c>
      <c r="J1136" s="156" t="s">
        <v>773</v>
      </c>
      <c r="K1136" s="5"/>
      <c r="L1136" s="3"/>
      <c r="M1136" s="6"/>
      <c r="N1136" s="9"/>
      <c r="O1136" s="158">
        <v>0</v>
      </c>
      <c r="P1136" s="12"/>
      <c r="Q1136" s="12"/>
      <c r="R1136" s="12"/>
      <c r="S1136" s="12"/>
      <c r="T1136" s="12"/>
      <c r="U1136" s="12"/>
      <c r="V1136" s="12"/>
      <c r="W1136" s="12"/>
      <c r="X1136" s="12"/>
      <c r="Y1136" s="12"/>
      <c r="Z1136" s="12"/>
    </row>
    <row r="1137" spans="1:26" ht="14.25" customHeight="1" x14ac:dyDescent="0.3">
      <c r="A1137" s="155">
        <v>672</v>
      </c>
      <c r="B1137" s="156" t="s">
        <v>1360</v>
      </c>
      <c r="C1137" s="3"/>
      <c r="D1137" s="3"/>
      <c r="E1137" s="156" t="s">
        <v>1361</v>
      </c>
      <c r="F1137" s="3"/>
      <c r="G1137" s="158">
        <v>310</v>
      </c>
      <c r="H1137" s="155">
        <v>1</v>
      </c>
      <c r="I1137" s="155">
        <v>1</v>
      </c>
      <c r="J1137" s="156" t="s">
        <v>32</v>
      </c>
      <c r="K1137" s="5"/>
      <c r="L1137" s="3"/>
      <c r="M1137" s="6"/>
      <c r="N1137" s="9"/>
      <c r="O1137" s="158">
        <v>310</v>
      </c>
      <c r="P1137" s="12"/>
      <c r="Q1137" s="12"/>
      <c r="R1137" s="12"/>
      <c r="S1137" s="12"/>
      <c r="T1137" s="12"/>
      <c r="U1137" s="12"/>
      <c r="V1137" s="12"/>
      <c r="W1137" s="12"/>
      <c r="X1137" s="12"/>
      <c r="Y1137" s="12"/>
      <c r="Z1137" s="12"/>
    </row>
    <row r="1138" spans="1:26" ht="14.25" customHeight="1" x14ac:dyDescent="0.3">
      <c r="A1138" s="155">
        <v>234</v>
      </c>
      <c r="B1138" s="156" t="s">
        <v>77</v>
      </c>
      <c r="C1138" s="3"/>
      <c r="D1138" s="3"/>
      <c r="E1138" s="156" t="s">
        <v>1362</v>
      </c>
      <c r="F1138" s="3"/>
      <c r="G1138" s="158">
        <v>65</v>
      </c>
      <c r="H1138" s="155">
        <v>1</v>
      </c>
      <c r="I1138" s="155">
        <v>350</v>
      </c>
      <c r="J1138" s="156" t="s">
        <v>32</v>
      </c>
      <c r="K1138" s="5"/>
      <c r="L1138" s="3"/>
      <c r="M1138" s="6"/>
      <c r="N1138" s="9"/>
      <c r="O1138" s="158">
        <v>65</v>
      </c>
      <c r="P1138" s="12"/>
      <c r="Q1138" s="12"/>
      <c r="R1138" s="12"/>
      <c r="S1138" s="12"/>
      <c r="T1138" s="12"/>
      <c r="U1138" s="12"/>
      <c r="V1138" s="12"/>
      <c r="W1138" s="12"/>
      <c r="X1138" s="12"/>
      <c r="Y1138" s="12"/>
      <c r="Z1138" s="12"/>
    </row>
    <row r="1139" spans="1:26" ht="14.25" customHeight="1" x14ac:dyDescent="0.3">
      <c r="A1139" s="155">
        <v>673</v>
      </c>
      <c r="B1139" s="156" t="s">
        <v>1363</v>
      </c>
      <c r="C1139" s="3"/>
      <c r="D1139" s="3"/>
      <c r="E1139" s="156"/>
      <c r="F1139" s="3"/>
      <c r="G1139" s="158">
        <v>45</v>
      </c>
      <c r="H1139" s="155">
        <v>1</v>
      </c>
      <c r="I1139" s="155">
        <v>350</v>
      </c>
      <c r="J1139" s="156" t="s">
        <v>32</v>
      </c>
      <c r="K1139" s="5"/>
      <c r="L1139" s="3"/>
      <c r="M1139" s="6"/>
      <c r="N1139" s="9"/>
      <c r="O1139" s="158">
        <v>45</v>
      </c>
      <c r="P1139" s="12"/>
      <c r="Q1139" s="12"/>
      <c r="R1139" s="12"/>
      <c r="S1139" s="12"/>
      <c r="T1139" s="12"/>
      <c r="U1139" s="12"/>
      <c r="V1139" s="12"/>
      <c r="W1139" s="12"/>
      <c r="X1139" s="12"/>
      <c r="Y1139" s="12"/>
      <c r="Z1139" s="12"/>
    </row>
    <row r="1140" spans="1:26" ht="14.25" customHeight="1" x14ac:dyDescent="0.3">
      <c r="A1140" s="155">
        <v>674</v>
      </c>
      <c r="B1140" s="156" t="s">
        <v>1364</v>
      </c>
      <c r="C1140" s="3"/>
      <c r="D1140" s="3"/>
      <c r="E1140" s="156" t="s">
        <v>854</v>
      </c>
      <c r="F1140" s="3"/>
      <c r="G1140" s="158">
        <v>22</v>
      </c>
      <c r="H1140" s="155">
        <v>2</v>
      </c>
      <c r="I1140" s="155">
        <v>1</v>
      </c>
      <c r="J1140" s="156" t="s">
        <v>92</v>
      </c>
      <c r="K1140" s="5"/>
      <c r="L1140" s="3"/>
      <c r="M1140" s="6"/>
      <c r="N1140" s="9"/>
      <c r="O1140" s="158">
        <v>44</v>
      </c>
      <c r="P1140" s="12"/>
      <c r="Q1140" s="12"/>
      <c r="R1140" s="12"/>
      <c r="S1140" s="12"/>
      <c r="T1140" s="12"/>
      <c r="U1140" s="12"/>
      <c r="V1140" s="12"/>
      <c r="W1140" s="12"/>
      <c r="X1140" s="12"/>
      <c r="Y1140" s="12"/>
      <c r="Z1140" s="12"/>
    </row>
    <row r="1141" spans="1:26" ht="14.25" customHeight="1" x14ac:dyDescent="0.3">
      <c r="A1141" s="155">
        <v>675</v>
      </c>
      <c r="B1141" s="156" t="s">
        <v>1365</v>
      </c>
      <c r="C1141" s="3"/>
      <c r="D1141" s="3"/>
      <c r="E1141" s="156" t="s">
        <v>1366</v>
      </c>
      <c r="F1141" s="3"/>
      <c r="G1141" s="158">
        <v>100</v>
      </c>
      <c r="H1141" s="155">
        <v>1</v>
      </c>
      <c r="I1141" s="155">
        <v>1000</v>
      </c>
      <c r="J1141" s="156" t="s">
        <v>32</v>
      </c>
      <c r="K1141" s="5"/>
      <c r="L1141" s="3"/>
      <c r="M1141" s="6"/>
      <c r="N1141" s="9"/>
      <c r="O1141" s="158">
        <v>100</v>
      </c>
      <c r="P1141" s="12"/>
      <c r="Q1141" s="12"/>
      <c r="R1141" s="12"/>
      <c r="S1141" s="12"/>
      <c r="T1141" s="12"/>
      <c r="U1141" s="12"/>
      <c r="V1141" s="12"/>
      <c r="W1141" s="12"/>
      <c r="X1141" s="12"/>
      <c r="Y1141" s="12"/>
      <c r="Z1141" s="12"/>
    </row>
    <row r="1142" spans="1:26" ht="14.25" customHeight="1" x14ac:dyDescent="0.3">
      <c r="A1142" s="155">
        <v>237</v>
      </c>
      <c r="B1142" s="156" t="s">
        <v>1367</v>
      </c>
      <c r="C1142" s="3"/>
      <c r="D1142" s="3"/>
      <c r="E1142" s="156" t="s">
        <v>987</v>
      </c>
      <c r="F1142" s="3"/>
      <c r="G1142" s="158">
        <v>0</v>
      </c>
      <c r="H1142" s="155">
        <v>0</v>
      </c>
      <c r="I1142" s="155">
        <v>1</v>
      </c>
      <c r="J1142" s="156" t="s">
        <v>773</v>
      </c>
      <c r="K1142" s="5"/>
      <c r="L1142" s="3"/>
      <c r="M1142" s="6"/>
      <c r="N1142" s="9"/>
      <c r="O1142" s="158">
        <v>0</v>
      </c>
      <c r="P1142" s="12"/>
      <c r="Q1142" s="12"/>
      <c r="R1142" s="12"/>
      <c r="S1142" s="12"/>
      <c r="T1142" s="12"/>
      <c r="U1142" s="12"/>
      <c r="V1142" s="12"/>
      <c r="W1142" s="12"/>
      <c r="X1142" s="12"/>
      <c r="Y1142" s="12"/>
      <c r="Z1142" s="12"/>
    </row>
    <row r="1143" spans="1:26" ht="14.25" customHeight="1" x14ac:dyDescent="0.3">
      <c r="A1143" s="155">
        <v>238</v>
      </c>
      <c r="B1143" s="156" t="s">
        <v>184</v>
      </c>
      <c r="C1143" s="3"/>
      <c r="D1143" s="3"/>
      <c r="E1143" s="156" t="s">
        <v>1368</v>
      </c>
      <c r="F1143" s="3"/>
      <c r="G1143" s="158">
        <v>22.9</v>
      </c>
      <c r="H1143" s="155">
        <v>6</v>
      </c>
      <c r="I1143" s="155">
        <v>85</v>
      </c>
      <c r="J1143" s="156" t="s">
        <v>39</v>
      </c>
      <c r="K1143" s="5"/>
      <c r="L1143" s="3"/>
      <c r="M1143" s="6"/>
      <c r="N1143" s="9"/>
      <c r="O1143" s="158">
        <v>137.4</v>
      </c>
      <c r="P1143" s="12"/>
      <c r="Q1143" s="12"/>
      <c r="R1143" s="12"/>
      <c r="S1143" s="12"/>
      <c r="T1143" s="12"/>
      <c r="U1143" s="12"/>
      <c r="V1143" s="12"/>
      <c r="W1143" s="12"/>
      <c r="X1143" s="12"/>
      <c r="Y1143" s="12"/>
      <c r="Z1143" s="12"/>
    </row>
    <row r="1144" spans="1:26" ht="14.25" customHeight="1" x14ac:dyDescent="0.3">
      <c r="A1144" s="155">
        <v>238</v>
      </c>
      <c r="B1144" s="156" t="s">
        <v>184</v>
      </c>
      <c r="C1144" s="3"/>
      <c r="D1144" s="3"/>
      <c r="E1144" s="156" t="s">
        <v>1250</v>
      </c>
      <c r="F1144" s="3"/>
      <c r="G1144" s="158">
        <v>23.7</v>
      </c>
      <c r="H1144" s="155">
        <v>10</v>
      </c>
      <c r="I1144" s="155">
        <v>85</v>
      </c>
      <c r="J1144" s="156" t="s">
        <v>39</v>
      </c>
      <c r="K1144" s="5"/>
      <c r="L1144" s="3"/>
      <c r="M1144" s="6"/>
      <c r="N1144" s="9"/>
      <c r="O1144" s="158">
        <v>237</v>
      </c>
      <c r="P1144" s="12"/>
      <c r="Q1144" s="12"/>
      <c r="R1144" s="12"/>
      <c r="S1144" s="12"/>
      <c r="T1144" s="12"/>
      <c r="U1144" s="12"/>
      <c r="V1144" s="12"/>
      <c r="W1144" s="12"/>
      <c r="X1144" s="12"/>
      <c r="Y1144" s="12"/>
      <c r="Z1144" s="12"/>
    </row>
    <row r="1145" spans="1:26" ht="14.25" customHeight="1" x14ac:dyDescent="0.3">
      <c r="A1145" s="155">
        <v>238</v>
      </c>
      <c r="B1145" s="156" t="s">
        <v>184</v>
      </c>
      <c r="C1145" s="3"/>
      <c r="D1145" s="3"/>
      <c r="E1145" s="156" t="s">
        <v>1369</v>
      </c>
      <c r="F1145" s="3"/>
      <c r="G1145" s="158">
        <v>26.9</v>
      </c>
      <c r="H1145" s="155">
        <v>22</v>
      </c>
      <c r="I1145" s="155">
        <v>85</v>
      </c>
      <c r="J1145" s="156" t="s">
        <v>39</v>
      </c>
      <c r="K1145" s="5"/>
      <c r="L1145" s="3"/>
      <c r="M1145" s="6"/>
      <c r="N1145" s="9"/>
      <c r="O1145" s="158">
        <v>591.79999999999995</v>
      </c>
      <c r="P1145" s="12"/>
      <c r="Q1145" s="12"/>
      <c r="R1145" s="12"/>
      <c r="S1145" s="12"/>
      <c r="T1145" s="12"/>
      <c r="U1145" s="12"/>
      <c r="V1145" s="12"/>
      <c r="W1145" s="12"/>
      <c r="X1145" s="12"/>
      <c r="Y1145" s="12"/>
      <c r="Z1145" s="12"/>
    </row>
    <row r="1146" spans="1:26" ht="14.25" customHeight="1" x14ac:dyDescent="0.3">
      <c r="A1146" s="155">
        <v>238</v>
      </c>
      <c r="B1146" s="156" t="s">
        <v>184</v>
      </c>
      <c r="C1146" s="3"/>
      <c r="D1146" s="3"/>
      <c r="E1146" s="156" t="s">
        <v>1370</v>
      </c>
      <c r="F1146" s="3"/>
      <c r="G1146" s="158">
        <v>24.726320000000001</v>
      </c>
      <c r="H1146" s="155">
        <v>19</v>
      </c>
      <c r="I1146" s="155">
        <v>85</v>
      </c>
      <c r="J1146" s="156" t="s">
        <v>39</v>
      </c>
      <c r="K1146" s="5"/>
      <c r="L1146" s="3"/>
      <c r="M1146" s="6"/>
      <c r="N1146" s="9"/>
      <c r="O1146" s="158">
        <v>469.8</v>
      </c>
      <c r="P1146" s="12"/>
      <c r="Q1146" s="12"/>
      <c r="R1146" s="12"/>
      <c r="S1146" s="12"/>
      <c r="T1146" s="12"/>
      <c r="U1146" s="12"/>
      <c r="V1146" s="12"/>
      <c r="W1146" s="12"/>
      <c r="X1146" s="12"/>
      <c r="Y1146" s="12"/>
      <c r="Z1146" s="12"/>
    </row>
    <row r="1147" spans="1:26" ht="14.25" customHeight="1" x14ac:dyDescent="0.3">
      <c r="A1147" s="155">
        <v>676</v>
      </c>
      <c r="B1147" s="156" t="s">
        <v>1371</v>
      </c>
      <c r="C1147" s="3"/>
      <c r="D1147" s="3"/>
      <c r="E1147" s="156" t="s">
        <v>1372</v>
      </c>
      <c r="F1147" s="3"/>
      <c r="G1147" s="158">
        <v>50</v>
      </c>
      <c r="H1147" s="155">
        <v>3</v>
      </c>
      <c r="I1147" s="155">
        <v>500</v>
      </c>
      <c r="J1147" s="156" t="s">
        <v>39</v>
      </c>
      <c r="K1147" s="5"/>
      <c r="L1147" s="3"/>
      <c r="M1147" s="6"/>
      <c r="N1147" s="9"/>
      <c r="O1147" s="158">
        <v>150</v>
      </c>
      <c r="P1147" s="12"/>
      <c r="Q1147" s="12"/>
      <c r="R1147" s="12"/>
      <c r="S1147" s="12"/>
      <c r="T1147" s="12"/>
      <c r="U1147" s="12"/>
      <c r="V1147" s="12"/>
      <c r="W1147" s="12"/>
      <c r="X1147" s="12"/>
      <c r="Y1147" s="12"/>
      <c r="Z1147" s="12"/>
    </row>
    <row r="1148" spans="1:26" ht="14.25" customHeight="1" x14ac:dyDescent="0.3">
      <c r="A1148" s="155">
        <v>677</v>
      </c>
      <c r="B1148" s="156" t="s">
        <v>1373</v>
      </c>
      <c r="C1148" s="3"/>
      <c r="D1148" s="3"/>
      <c r="E1148" s="156"/>
      <c r="F1148" s="3"/>
      <c r="G1148" s="158">
        <v>47</v>
      </c>
      <c r="H1148" s="155">
        <v>2</v>
      </c>
      <c r="I1148" s="155">
        <v>800</v>
      </c>
      <c r="J1148" s="156" t="s">
        <v>39</v>
      </c>
      <c r="K1148" s="5"/>
      <c r="L1148" s="3"/>
      <c r="M1148" s="6"/>
      <c r="N1148" s="9"/>
      <c r="O1148" s="158">
        <v>94</v>
      </c>
      <c r="P1148" s="12"/>
      <c r="Q1148" s="12"/>
      <c r="R1148" s="12"/>
      <c r="S1148" s="12"/>
      <c r="T1148" s="12"/>
      <c r="U1148" s="12"/>
      <c r="V1148" s="12"/>
      <c r="W1148" s="12"/>
      <c r="X1148" s="12"/>
      <c r="Y1148" s="12"/>
      <c r="Z1148" s="12"/>
    </row>
    <row r="1149" spans="1:26" ht="14.25" customHeight="1" x14ac:dyDescent="0.3">
      <c r="A1149" s="155">
        <v>678</v>
      </c>
      <c r="B1149" s="156" t="s">
        <v>1374</v>
      </c>
      <c r="C1149" s="3"/>
      <c r="D1149" s="3"/>
      <c r="E1149" s="156"/>
      <c r="F1149" s="3"/>
      <c r="G1149" s="158">
        <v>4497</v>
      </c>
      <c r="H1149" s="155">
        <v>1</v>
      </c>
      <c r="I1149" s="155">
        <v>50</v>
      </c>
      <c r="J1149" s="156" t="s">
        <v>213</v>
      </c>
      <c r="K1149" s="5"/>
      <c r="L1149" s="3"/>
      <c r="M1149" s="6"/>
      <c r="N1149" s="9"/>
      <c r="O1149" s="158">
        <v>4497</v>
      </c>
      <c r="P1149" s="12"/>
      <c r="Q1149" s="12"/>
      <c r="R1149" s="12"/>
      <c r="S1149" s="12"/>
      <c r="T1149" s="12"/>
      <c r="U1149" s="12"/>
      <c r="V1149" s="12"/>
      <c r="W1149" s="12"/>
      <c r="X1149" s="12"/>
      <c r="Y1149" s="12"/>
      <c r="Z1149" s="12"/>
    </row>
    <row r="1150" spans="1:26" ht="14.25" customHeight="1" x14ac:dyDescent="0.3">
      <c r="A1150" s="155">
        <v>678</v>
      </c>
      <c r="B1150" s="156" t="s">
        <v>1374</v>
      </c>
      <c r="C1150" s="3"/>
      <c r="D1150" s="3"/>
      <c r="E1150" s="156" t="s">
        <v>1375</v>
      </c>
      <c r="F1150" s="3"/>
      <c r="G1150" s="158">
        <v>4134</v>
      </c>
      <c r="H1150" s="155">
        <v>3</v>
      </c>
      <c r="I1150" s="155">
        <v>50</v>
      </c>
      <c r="J1150" s="156" t="s">
        <v>1376</v>
      </c>
      <c r="K1150" s="5"/>
      <c r="L1150" s="3"/>
      <c r="M1150" s="6"/>
      <c r="N1150" s="9"/>
      <c r="O1150" s="158">
        <v>12402</v>
      </c>
      <c r="P1150" s="12"/>
      <c r="Q1150" s="12"/>
      <c r="R1150" s="12"/>
      <c r="S1150" s="12"/>
      <c r="T1150" s="12"/>
      <c r="U1150" s="12"/>
      <c r="V1150" s="12"/>
      <c r="W1150" s="12"/>
      <c r="X1150" s="12"/>
      <c r="Y1150" s="12"/>
      <c r="Z1150" s="12"/>
    </row>
    <row r="1151" spans="1:26" ht="14.25" customHeight="1" x14ac:dyDescent="0.3">
      <c r="A1151" s="155">
        <v>679</v>
      </c>
      <c r="B1151" s="156" t="s">
        <v>1377</v>
      </c>
      <c r="C1151" s="3"/>
      <c r="D1151" s="3"/>
      <c r="E1151" s="156"/>
      <c r="F1151" s="3"/>
      <c r="G1151" s="158">
        <v>20</v>
      </c>
      <c r="H1151" s="155">
        <v>15</v>
      </c>
      <c r="I1151" s="155">
        <v>1000</v>
      </c>
      <c r="J1151" s="156" t="s">
        <v>39</v>
      </c>
      <c r="K1151" s="5"/>
      <c r="L1151" s="3"/>
      <c r="M1151" s="6"/>
      <c r="N1151" s="9"/>
      <c r="O1151" s="158">
        <v>300</v>
      </c>
      <c r="P1151" s="12"/>
      <c r="Q1151" s="12"/>
      <c r="R1151" s="12"/>
      <c r="S1151" s="12"/>
      <c r="T1151" s="12"/>
      <c r="U1151" s="12"/>
      <c r="V1151" s="12"/>
      <c r="W1151" s="12"/>
      <c r="X1151" s="12"/>
      <c r="Y1151" s="12"/>
      <c r="Z1151" s="12"/>
    </row>
    <row r="1152" spans="1:26" ht="14.25" customHeight="1" x14ac:dyDescent="0.3">
      <c r="A1152" s="155">
        <v>680</v>
      </c>
      <c r="B1152" s="156" t="s">
        <v>1378</v>
      </c>
      <c r="C1152" s="3"/>
      <c r="D1152" s="3"/>
      <c r="E1152" s="156" t="s">
        <v>1379</v>
      </c>
      <c r="F1152" s="3"/>
      <c r="G1152" s="158">
        <v>55.2</v>
      </c>
      <c r="H1152" s="155">
        <v>1</v>
      </c>
      <c r="I1152" s="155">
        <v>10</v>
      </c>
      <c r="J1152" s="156" t="s">
        <v>92</v>
      </c>
      <c r="K1152" s="5"/>
      <c r="L1152" s="3"/>
      <c r="M1152" s="6"/>
      <c r="N1152" s="9"/>
      <c r="O1152" s="158">
        <v>55.2</v>
      </c>
      <c r="P1152" s="12"/>
      <c r="Q1152" s="12"/>
      <c r="R1152" s="12"/>
      <c r="S1152" s="12"/>
      <c r="T1152" s="12"/>
      <c r="U1152" s="12"/>
      <c r="V1152" s="12"/>
      <c r="W1152" s="12"/>
      <c r="X1152" s="12"/>
      <c r="Y1152" s="12"/>
      <c r="Z1152" s="12"/>
    </row>
    <row r="1153" spans="1:26" ht="14.25" customHeight="1" x14ac:dyDescent="0.3">
      <c r="A1153" s="155">
        <v>681</v>
      </c>
      <c r="B1153" s="156" t="s">
        <v>1380</v>
      </c>
      <c r="C1153" s="3"/>
      <c r="D1153" s="3"/>
      <c r="E1153" s="156"/>
      <c r="F1153" s="3"/>
      <c r="G1153" s="158">
        <v>20</v>
      </c>
      <c r="H1153" s="155">
        <v>21</v>
      </c>
      <c r="I1153" s="155">
        <v>1000</v>
      </c>
      <c r="J1153" s="156" t="s">
        <v>39</v>
      </c>
      <c r="K1153" s="5"/>
      <c r="L1153" s="3"/>
      <c r="M1153" s="6"/>
      <c r="N1153" s="9"/>
      <c r="O1153" s="158">
        <v>420</v>
      </c>
      <c r="P1153" s="12"/>
      <c r="Q1153" s="12"/>
      <c r="R1153" s="12"/>
      <c r="S1153" s="12"/>
      <c r="T1153" s="12"/>
      <c r="U1153" s="12"/>
      <c r="V1153" s="12"/>
      <c r="W1153" s="12"/>
      <c r="X1153" s="12"/>
      <c r="Y1153" s="12"/>
      <c r="Z1153" s="12"/>
    </row>
    <row r="1154" spans="1:26" ht="14.25" customHeight="1" x14ac:dyDescent="0.3">
      <c r="A1154" s="155">
        <v>681</v>
      </c>
      <c r="B1154" s="156" t="s">
        <v>1380</v>
      </c>
      <c r="C1154" s="3"/>
      <c r="D1154" s="3"/>
      <c r="E1154" s="156"/>
      <c r="F1154" s="3"/>
      <c r="G1154" s="158">
        <v>1</v>
      </c>
      <c r="H1154" s="155">
        <v>900</v>
      </c>
      <c r="I1154" s="155">
        <v>1000</v>
      </c>
      <c r="J1154" s="156" t="s">
        <v>92</v>
      </c>
      <c r="K1154" s="5"/>
      <c r="L1154" s="3"/>
      <c r="M1154" s="6"/>
      <c r="N1154" s="9"/>
      <c r="O1154" s="158">
        <v>900</v>
      </c>
      <c r="P1154" s="12"/>
      <c r="Q1154" s="12"/>
      <c r="R1154" s="12"/>
      <c r="S1154" s="12"/>
      <c r="T1154" s="12"/>
      <c r="U1154" s="12"/>
      <c r="V1154" s="12"/>
      <c r="W1154" s="12"/>
      <c r="X1154" s="12"/>
      <c r="Y1154" s="12"/>
      <c r="Z1154" s="12"/>
    </row>
    <row r="1155" spans="1:26" ht="14.25" customHeight="1" x14ac:dyDescent="0.3">
      <c r="A1155" s="155">
        <v>681</v>
      </c>
      <c r="B1155" s="156" t="s">
        <v>1380</v>
      </c>
      <c r="C1155" s="3"/>
      <c r="D1155" s="3"/>
      <c r="E1155" s="156" t="s">
        <v>912</v>
      </c>
      <c r="F1155" s="3"/>
      <c r="G1155" s="158">
        <v>61.714289999999998</v>
      </c>
      <c r="H1155" s="155">
        <v>7</v>
      </c>
      <c r="I1155" s="155">
        <v>1000</v>
      </c>
      <c r="J1155" s="156" t="s">
        <v>39</v>
      </c>
      <c r="K1155" s="5"/>
      <c r="L1155" s="3"/>
      <c r="M1155" s="6"/>
      <c r="N1155" s="9"/>
      <c r="O1155" s="158">
        <v>432</v>
      </c>
      <c r="P1155" s="12"/>
      <c r="Q1155" s="12"/>
      <c r="R1155" s="12"/>
      <c r="S1155" s="12"/>
      <c r="T1155" s="12"/>
      <c r="U1155" s="12"/>
      <c r="V1155" s="12"/>
      <c r="W1155" s="12"/>
      <c r="X1155" s="12"/>
      <c r="Y1155" s="12"/>
      <c r="Z1155" s="12"/>
    </row>
    <row r="1156" spans="1:26" ht="14.25" customHeight="1" x14ac:dyDescent="0.3">
      <c r="A1156" s="155">
        <v>682</v>
      </c>
      <c r="B1156" s="156" t="s">
        <v>1381</v>
      </c>
      <c r="C1156" s="3"/>
      <c r="D1156" s="3"/>
      <c r="E1156" s="156" t="s">
        <v>1382</v>
      </c>
      <c r="F1156" s="3"/>
      <c r="G1156" s="158">
        <v>45</v>
      </c>
      <c r="H1156" s="155">
        <v>1</v>
      </c>
      <c r="I1156" s="155">
        <v>1</v>
      </c>
      <c r="J1156" s="156" t="s">
        <v>304</v>
      </c>
      <c r="K1156" s="5"/>
      <c r="L1156" s="3"/>
      <c r="M1156" s="6"/>
      <c r="N1156" s="9"/>
      <c r="O1156" s="158">
        <v>45</v>
      </c>
      <c r="P1156" s="12"/>
      <c r="Q1156" s="12"/>
      <c r="R1156" s="12"/>
      <c r="S1156" s="12"/>
      <c r="T1156" s="12"/>
      <c r="U1156" s="12"/>
      <c r="V1156" s="12"/>
      <c r="W1156" s="12"/>
      <c r="X1156" s="12"/>
      <c r="Y1156" s="12"/>
      <c r="Z1156" s="12"/>
    </row>
    <row r="1157" spans="1:26" ht="14.25" customHeight="1" x14ac:dyDescent="0.3">
      <c r="A1157" s="155">
        <v>682</v>
      </c>
      <c r="B1157" s="156" t="s">
        <v>1381</v>
      </c>
      <c r="C1157" s="3"/>
      <c r="D1157" s="3"/>
      <c r="E1157" s="156" t="s">
        <v>1383</v>
      </c>
      <c r="F1157" s="3"/>
      <c r="G1157" s="158">
        <v>1.8</v>
      </c>
      <c r="H1157" s="155">
        <v>50</v>
      </c>
      <c r="I1157" s="155">
        <v>1</v>
      </c>
      <c r="J1157" s="156" t="s">
        <v>92</v>
      </c>
      <c r="K1157" s="5"/>
      <c r="L1157" s="3"/>
      <c r="M1157" s="6"/>
      <c r="N1157" s="9"/>
      <c r="O1157" s="158">
        <v>90</v>
      </c>
      <c r="P1157" s="12"/>
      <c r="Q1157" s="12"/>
      <c r="R1157" s="12"/>
      <c r="S1157" s="12"/>
      <c r="T1157" s="12"/>
      <c r="U1157" s="12"/>
      <c r="V1157" s="12"/>
      <c r="W1157" s="12"/>
      <c r="X1157" s="12"/>
      <c r="Y1157" s="12"/>
      <c r="Z1157" s="12"/>
    </row>
    <row r="1158" spans="1:26" ht="14.25" customHeight="1" x14ac:dyDescent="0.3">
      <c r="A1158" s="155">
        <v>683</v>
      </c>
      <c r="B1158" s="156" t="s">
        <v>1384</v>
      </c>
      <c r="C1158" s="3"/>
      <c r="D1158" s="3"/>
      <c r="E1158" s="156" t="s">
        <v>301</v>
      </c>
      <c r="F1158" s="3"/>
      <c r="G1158" s="158">
        <v>25</v>
      </c>
      <c r="H1158" s="155">
        <v>2</v>
      </c>
      <c r="I1158" s="155">
        <v>1</v>
      </c>
      <c r="J1158" s="156" t="s">
        <v>304</v>
      </c>
      <c r="K1158" s="5"/>
      <c r="L1158" s="3"/>
      <c r="M1158" s="6"/>
      <c r="N1158" s="9"/>
      <c r="O1158" s="158">
        <v>50</v>
      </c>
      <c r="P1158" s="12"/>
      <c r="Q1158" s="12"/>
      <c r="R1158" s="12"/>
      <c r="S1158" s="12"/>
      <c r="T1158" s="12"/>
      <c r="U1158" s="12"/>
      <c r="V1158" s="12"/>
      <c r="W1158" s="12"/>
      <c r="X1158" s="12"/>
      <c r="Y1158" s="12"/>
      <c r="Z1158" s="12"/>
    </row>
    <row r="1159" spans="1:26" ht="14.25" customHeight="1" x14ac:dyDescent="0.3">
      <c r="A1159" s="155">
        <v>239</v>
      </c>
      <c r="B1159" s="156" t="s">
        <v>186</v>
      </c>
      <c r="C1159" s="3"/>
      <c r="D1159" s="3"/>
      <c r="E1159" s="156" t="s">
        <v>1385</v>
      </c>
      <c r="F1159" s="3"/>
      <c r="G1159" s="158">
        <v>185</v>
      </c>
      <c r="H1159" s="155">
        <v>2</v>
      </c>
      <c r="I1159" s="155">
        <v>340</v>
      </c>
      <c r="J1159" s="156" t="s">
        <v>39</v>
      </c>
      <c r="K1159" s="5"/>
      <c r="L1159" s="3"/>
      <c r="M1159" s="6"/>
      <c r="N1159" s="9"/>
      <c r="O1159" s="158">
        <v>370</v>
      </c>
      <c r="P1159" s="12"/>
      <c r="Q1159" s="12"/>
      <c r="R1159" s="12"/>
      <c r="S1159" s="12"/>
      <c r="T1159" s="12"/>
      <c r="U1159" s="12"/>
      <c r="V1159" s="12"/>
      <c r="W1159" s="12"/>
      <c r="X1159" s="12"/>
      <c r="Y1159" s="12"/>
      <c r="Z1159" s="12"/>
    </row>
    <row r="1160" spans="1:26" ht="14.25" customHeight="1" x14ac:dyDescent="0.3">
      <c r="A1160" s="155">
        <v>239</v>
      </c>
      <c r="B1160" s="156" t="s">
        <v>186</v>
      </c>
      <c r="C1160" s="3"/>
      <c r="D1160" s="3"/>
      <c r="E1160" s="156" t="s">
        <v>1386</v>
      </c>
      <c r="F1160" s="3"/>
      <c r="G1160" s="158">
        <v>109.9</v>
      </c>
      <c r="H1160" s="155">
        <v>5</v>
      </c>
      <c r="I1160" s="155">
        <v>340</v>
      </c>
      <c r="J1160" s="156" t="s">
        <v>39</v>
      </c>
      <c r="K1160" s="5"/>
      <c r="L1160" s="3"/>
      <c r="M1160" s="6"/>
      <c r="N1160" s="9"/>
      <c r="O1160" s="158">
        <v>549.5</v>
      </c>
      <c r="P1160" s="12"/>
      <c r="Q1160" s="12"/>
      <c r="R1160" s="12"/>
      <c r="S1160" s="12"/>
      <c r="T1160" s="12"/>
      <c r="U1160" s="12"/>
      <c r="V1160" s="12"/>
      <c r="W1160" s="12"/>
      <c r="X1160" s="12"/>
      <c r="Y1160" s="12"/>
      <c r="Z1160" s="12"/>
    </row>
    <row r="1161" spans="1:26" ht="14.25" customHeight="1" x14ac:dyDescent="0.3">
      <c r="A1161" s="155">
        <v>239</v>
      </c>
      <c r="B1161" s="156" t="s">
        <v>186</v>
      </c>
      <c r="C1161" s="3"/>
      <c r="D1161" s="3"/>
      <c r="E1161" s="156" t="s">
        <v>1387</v>
      </c>
      <c r="F1161" s="3"/>
      <c r="G1161" s="158">
        <v>218</v>
      </c>
      <c r="H1161" s="155">
        <v>11</v>
      </c>
      <c r="I1161" s="155">
        <v>340</v>
      </c>
      <c r="J1161" s="156" t="s">
        <v>39</v>
      </c>
      <c r="K1161" s="5"/>
      <c r="L1161" s="3"/>
      <c r="M1161" s="6"/>
      <c r="N1161" s="9"/>
      <c r="O1161" s="158">
        <v>2398</v>
      </c>
      <c r="P1161" s="12"/>
      <c r="Q1161" s="12"/>
      <c r="R1161" s="12"/>
      <c r="S1161" s="12"/>
      <c r="T1161" s="12"/>
      <c r="U1161" s="12"/>
      <c r="V1161" s="12"/>
      <c r="W1161" s="12"/>
      <c r="X1161" s="12"/>
      <c r="Y1161" s="12"/>
      <c r="Z1161" s="12"/>
    </row>
    <row r="1162" spans="1:26" ht="14.25" customHeight="1" x14ac:dyDescent="0.3">
      <c r="A1162" s="155">
        <v>239</v>
      </c>
      <c r="B1162" s="156" t="s">
        <v>186</v>
      </c>
      <c r="C1162" s="3"/>
      <c r="D1162" s="3"/>
      <c r="E1162" s="156" t="s">
        <v>1388</v>
      </c>
      <c r="F1162" s="3"/>
      <c r="G1162" s="158">
        <v>208</v>
      </c>
      <c r="H1162" s="155">
        <v>2</v>
      </c>
      <c r="I1162" s="155">
        <v>340</v>
      </c>
      <c r="J1162" s="156" t="s">
        <v>39</v>
      </c>
      <c r="K1162" s="5"/>
      <c r="L1162" s="3"/>
      <c r="M1162" s="6"/>
      <c r="N1162" s="9"/>
      <c r="O1162" s="158">
        <v>416</v>
      </c>
      <c r="P1162" s="12"/>
      <c r="Q1162" s="12"/>
      <c r="R1162" s="12"/>
      <c r="S1162" s="12"/>
      <c r="T1162" s="12"/>
      <c r="U1162" s="12"/>
      <c r="V1162" s="12"/>
      <c r="W1162" s="12"/>
      <c r="X1162" s="12"/>
      <c r="Y1162" s="12"/>
      <c r="Z1162" s="12"/>
    </row>
    <row r="1163" spans="1:26" ht="14.25" customHeight="1" x14ac:dyDescent="0.3">
      <c r="A1163" s="155">
        <v>240</v>
      </c>
      <c r="B1163" s="156" t="s">
        <v>662</v>
      </c>
      <c r="C1163" s="3"/>
      <c r="D1163" s="3"/>
      <c r="E1163" s="156" t="s">
        <v>1389</v>
      </c>
      <c r="F1163" s="3"/>
      <c r="G1163" s="158">
        <v>144.80000000000001</v>
      </c>
      <c r="H1163" s="155">
        <v>4</v>
      </c>
      <c r="I1163" s="155">
        <v>340</v>
      </c>
      <c r="J1163" s="156" t="s">
        <v>39</v>
      </c>
      <c r="K1163" s="5"/>
      <c r="L1163" s="3"/>
      <c r="M1163" s="6"/>
      <c r="N1163" s="9"/>
      <c r="O1163" s="158">
        <v>579.20000000000005</v>
      </c>
      <c r="P1163" s="12"/>
      <c r="Q1163" s="12"/>
      <c r="R1163" s="12"/>
      <c r="S1163" s="12"/>
      <c r="T1163" s="12"/>
      <c r="U1163" s="12"/>
      <c r="V1163" s="12"/>
      <c r="W1163" s="12"/>
      <c r="X1163" s="12"/>
      <c r="Y1163" s="12"/>
      <c r="Z1163" s="12"/>
    </row>
    <row r="1164" spans="1:26" ht="14.25" customHeight="1" x14ac:dyDescent="0.3">
      <c r="A1164" s="155">
        <v>240</v>
      </c>
      <c r="B1164" s="156" t="s">
        <v>662</v>
      </c>
      <c r="C1164" s="3"/>
      <c r="D1164" s="3"/>
      <c r="E1164" s="156" t="s">
        <v>1390</v>
      </c>
      <c r="F1164" s="3"/>
      <c r="G1164" s="158">
        <v>89.8</v>
      </c>
      <c r="H1164" s="155">
        <v>17</v>
      </c>
      <c r="I1164" s="155">
        <v>340</v>
      </c>
      <c r="J1164" s="156" t="s">
        <v>39</v>
      </c>
      <c r="K1164" s="5"/>
      <c r="L1164" s="3"/>
      <c r="M1164" s="6"/>
      <c r="N1164" s="9"/>
      <c r="O1164" s="158">
        <v>1526.6</v>
      </c>
      <c r="P1164" s="12"/>
      <c r="Q1164" s="12"/>
      <c r="R1164" s="12"/>
      <c r="S1164" s="12"/>
      <c r="T1164" s="12"/>
      <c r="U1164" s="12"/>
      <c r="V1164" s="12"/>
      <c r="W1164" s="12"/>
      <c r="X1164" s="12"/>
      <c r="Y1164" s="12"/>
      <c r="Z1164" s="12"/>
    </row>
    <row r="1165" spans="1:26" ht="14.25" customHeight="1" x14ac:dyDescent="0.3">
      <c r="A1165" s="155">
        <v>240</v>
      </c>
      <c r="B1165" s="156" t="s">
        <v>662</v>
      </c>
      <c r="C1165" s="3"/>
      <c r="D1165" s="3"/>
      <c r="E1165" s="156" t="s">
        <v>1391</v>
      </c>
      <c r="F1165" s="3"/>
      <c r="G1165" s="158">
        <v>115.1</v>
      </c>
      <c r="H1165" s="155">
        <v>8</v>
      </c>
      <c r="I1165" s="155">
        <v>340</v>
      </c>
      <c r="J1165" s="156" t="s">
        <v>39</v>
      </c>
      <c r="K1165" s="5"/>
      <c r="L1165" s="3"/>
      <c r="M1165" s="6"/>
      <c r="N1165" s="9"/>
      <c r="O1165" s="158">
        <v>920.8</v>
      </c>
      <c r="P1165" s="12"/>
      <c r="Q1165" s="12"/>
      <c r="R1165" s="12"/>
      <c r="S1165" s="12"/>
      <c r="T1165" s="12"/>
      <c r="U1165" s="12"/>
      <c r="V1165" s="12"/>
      <c r="W1165" s="12"/>
      <c r="X1165" s="12"/>
      <c r="Y1165" s="12"/>
      <c r="Z1165" s="12"/>
    </row>
    <row r="1166" spans="1:26" ht="14.25" customHeight="1" x14ac:dyDescent="0.3">
      <c r="A1166" s="155">
        <v>240</v>
      </c>
      <c r="B1166" s="156" t="s">
        <v>662</v>
      </c>
      <c r="C1166" s="3"/>
      <c r="D1166" s="3"/>
      <c r="E1166" s="156" t="s">
        <v>1392</v>
      </c>
      <c r="F1166" s="3"/>
      <c r="G1166" s="158">
        <v>142.30000000000001</v>
      </c>
      <c r="H1166" s="155">
        <v>6</v>
      </c>
      <c r="I1166" s="155">
        <v>340</v>
      </c>
      <c r="J1166" s="156" t="s">
        <v>39</v>
      </c>
      <c r="K1166" s="5"/>
      <c r="L1166" s="3"/>
      <c r="M1166" s="6"/>
      <c r="N1166" s="9"/>
      <c r="O1166" s="158">
        <v>853.8</v>
      </c>
      <c r="P1166" s="12"/>
      <c r="Q1166" s="12"/>
      <c r="R1166" s="12"/>
      <c r="S1166" s="12"/>
      <c r="T1166" s="12"/>
      <c r="U1166" s="12"/>
      <c r="V1166" s="12"/>
      <c r="W1166" s="12"/>
      <c r="X1166" s="12"/>
      <c r="Y1166" s="12"/>
      <c r="Z1166" s="12"/>
    </row>
    <row r="1167" spans="1:26" ht="14.25" customHeight="1" x14ac:dyDescent="0.3">
      <c r="A1167" s="155">
        <v>240</v>
      </c>
      <c r="B1167" s="156" t="s">
        <v>662</v>
      </c>
      <c r="C1167" s="3"/>
      <c r="D1167" s="3"/>
      <c r="E1167" s="156" t="s">
        <v>1393</v>
      </c>
      <c r="F1167" s="3"/>
      <c r="G1167" s="158">
        <v>88.8</v>
      </c>
      <c r="H1167" s="155">
        <v>2</v>
      </c>
      <c r="I1167" s="155">
        <v>340</v>
      </c>
      <c r="J1167" s="156" t="s">
        <v>39</v>
      </c>
      <c r="K1167" s="5"/>
      <c r="L1167" s="3"/>
      <c r="M1167" s="6"/>
      <c r="N1167" s="9"/>
      <c r="O1167" s="158">
        <v>177.6</v>
      </c>
      <c r="P1167" s="12"/>
      <c r="Q1167" s="12"/>
      <c r="R1167" s="12"/>
      <c r="S1167" s="12"/>
      <c r="T1167" s="12"/>
      <c r="U1167" s="12"/>
      <c r="V1167" s="12"/>
      <c r="W1167" s="12"/>
      <c r="X1167" s="12"/>
      <c r="Y1167" s="12"/>
      <c r="Z1167" s="12"/>
    </row>
    <row r="1168" spans="1:26" ht="14.25" customHeight="1" x14ac:dyDescent="0.3">
      <c r="A1168" s="155">
        <v>684</v>
      </c>
      <c r="B1168" s="156" t="s">
        <v>1394</v>
      </c>
      <c r="C1168" s="3"/>
      <c r="D1168" s="3"/>
      <c r="E1168" s="156" t="s">
        <v>870</v>
      </c>
      <c r="F1168" s="3"/>
      <c r="G1168" s="158">
        <v>85.1</v>
      </c>
      <c r="H1168" s="155">
        <v>8</v>
      </c>
      <c r="I1168" s="155">
        <v>350</v>
      </c>
      <c r="J1168" s="156" t="s">
        <v>39</v>
      </c>
      <c r="K1168" s="5"/>
      <c r="L1168" s="3"/>
      <c r="M1168" s="6"/>
      <c r="N1168" s="9"/>
      <c r="O1168" s="158">
        <v>680.8</v>
      </c>
      <c r="P1168" s="12"/>
      <c r="Q1168" s="12"/>
      <c r="R1168" s="12"/>
      <c r="S1168" s="12"/>
      <c r="T1168" s="12"/>
      <c r="U1168" s="12"/>
      <c r="V1168" s="12"/>
      <c r="W1168" s="12"/>
      <c r="X1168" s="12"/>
      <c r="Y1168" s="12"/>
      <c r="Z1168" s="12"/>
    </row>
    <row r="1169" spans="1:26" ht="14.25" customHeight="1" x14ac:dyDescent="0.3">
      <c r="A1169" s="155">
        <v>684</v>
      </c>
      <c r="B1169" s="156" t="s">
        <v>1394</v>
      </c>
      <c r="C1169" s="3"/>
      <c r="D1169" s="3"/>
      <c r="E1169" s="156" t="s">
        <v>1368</v>
      </c>
      <c r="F1169" s="3"/>
      <c r="G1169" s="158">
        <v>82.5</v>
      </c>
      <c r="H1169" s="155">
        <v>6</v>
      </c>
      <c r="I1169" s="155">
        <v>350</v>
      </c>
      <c r="J1169" s="156" t="s">
        <v>39</v>
      </c>
      <c r="K1169" s="5"/>
      <c r="L1169" s="3"/>
      <c r="M1169" s="6"/>
      <c r="N1169" s="9"/>
      <c r="O1169" s="158">
        <v>495</v>
      </c>
      <c r="P1169" s="12"/>
      <c r="Q1169" s="12"/>
      <c r="R1169" s="12"/>
      <c r="S1169" s="12"/>
      <c r="T1169" s="12"/>
      <c r="U1169" s="12"/>
      <c r="V1169" s="12"/>
      <c r="W1169" s="12"/>
      <c r="X1169" s="12"/>
      <c r="Y1169" s="12"/>
      <c r="Z1169" s="12"/>
    </row>
    <row r="1170" spans="1:26" ht="14.25" customHeight="1" x14ac:dyDescent="0.3">
      <c r="A1170" s="155">
        <v>684</v>
      </c>
      <c r="B1170" s="156" t="s">
        <v>1394</v>
      </c>
      <c r="C1170" s="3"/>
      <c r="D1170" s="3"/>
      <c r="E1170" s="156" t="s">
        <v>1395</v>
      </c>
      <c r="F1170" s="3"/>
      <c r="G1170" s="158">
        <v>85.1</v>
      </c>
      <c r="H1170" s="155">
        <v>1</v>
      </c>
      <c r="I1170" s="155">
        <v>350</v>
      </c>
      <c r="J1170" s="156" t="s">
        <v>39</v>
      </c>
      <c r="K1170" s="5"/>
      <c r="L1170" s="3"/>
      <c r="M1170" s="6"/>
      <c r="N1170" s="9"/>
      <c r="O1170" s="158">
        <v>85.1</v>
      </c>
      <c r="P1170" s="12"/>
      <c r="Q1170" s="12"/>
      <c r="R1170" s="12"/>
      <c r="S1170" s="12"/>
      <c r="T1170" s="12"/>
      <c r="U1170" s="12"/>
      <c r="V1170" s="12"/>
      <c r="W1170" s="12"/>
      <c r="X1170" s="12"/>
      <c r="Y1170" s="12"/>
      <c r="Z1170" s="12"/>
    </row>
    <row r="1171" spans="1:26" ht="14.25" customHeight="1" x14ac:dyDescent="0.3">
      <c r="A1171" s="155">
        <v>242</v>
      </c>
      <c r="B1171" s="156" t="s">
        <v>664</v>
      </c>
      <c r="C1171" s="3"/>
      <c r="D1171" s="3"/>
      <c r="E1171" s="156"/>
      <c r="F1171" s="3"/>
      <c r="G1171" s="158">
        <v>140</v>
      </c>
      <c r="H1171" s="155">
        <v>1</v>
      </c>
      <c r="I1171" s="155">
        <v>1</v>
      </c>
      <c r="J1171" s="156" t="s">
        <v>213</v>
      </c>
      <c r="K1171" s="5"/>
      <c r="L1171" s="3"/>
      <c r="M1171" s="6"/>
      <c r="N1171" s="9"/>
      <c r="O1171" s="158">
        <v>140</v>
      </c>
      <c r="P1171" s="12"/>
      <c r="Q1171" s="12"/>
      <c r="R1171" s="12"/>
      <c r="S1171" s="12"/>
      <c r="T1171" s="12"/>
      <c r="U1171" s="12"/>
      <c r="V1171" s="12"/>
      <c r="W1171" s="12"/>
      <c r="X1171" s="12"/>
      <c r="Y1171" s="12"/>
      <c r="Z1171" s="12"/>
    </row>
    <row r="1172" spans="1:26" ht="14.25" customHeight="1" x14ac:dyDescent="0.3">
      <c r="A1172" s="155">
        <v>685</v>
      </c>
      <c r="B1172" s="156" t="s">
        <v>1396</v>
      </c>
      <c r="C1172" s="3"/>
      <c r="D1172" s="3"/>
      <c r="E1172" s="156" t="s">
        <v>1397</v>
      </c>
      <c r="F1172" s="3"/>
      <c r="G1172" s="158">
        <v>106.5</v>
      </c>
      <c r="H1172" s="155">
        <v>1</v>
      </c>
      <c r="I1172" s="155">
        <v>230</v>
      </c>
      <c r="J1172" s="156" t="s">
        <v>519</v>
      </c>
      <c r="K1172" s="5"/>
      <c r="L1172" s="3"/>
      <c r="M1172" s="6"/>
      <c r="N1172" s="9"/>
      <c r="O1172" s="158">
        <v>106.5</v>
      </c>
      <c r="P1172" s="12"/>
      <c r="Q1172" s="12"/>
      <c r="R1172" s="12"/>
      <c r="S1172" s="12"/>
      <c r="T1172" s="12"/>
      <c r="U1172" s="12"/>
      <c r="V1172" s="12"/>
      <c r="W1172" s="12"/>
      <c r="X1172" s="12"/>
      <c r="Y1172" s="12"/>
      <c r="Z1172" s="12"/>
    </row>
    <row r="1173" spans="1:26" ht="14.25" customHeight="1" x14ac:dyDescent="0.3">
      <c r="A1173" s="155">
        <v>243</v>
      </c>
      <c r="B1173" s="156" t="s">
        <v>665</v>
      </c>
      <c r="C1173" s="3"/>
      <c r="D1173" s="3"/>
      <c r="E1173" s="156" t="s">
        <v>865</v>
      </c>
      <c r="F1173" s="3"/>
      <c r="G1173" s="158">
        <v>97.75</v>
      </c>
      <c r="H1173" s="155">
        <v>3</v>
      </c>
      <c r="I1173" s="155">
        <v>230</v>
      </c>
      <c r="J1173" s="156" t="s">
        <v>39</v>
      </c>
      <c r="K1173" s="5"/>
      <c r="L1173" s="3"/>
      <c r="M1173" s="6"/>
      <c r="N1173" s="9"/>
      <c r="O1173" s="158">
        <v>293.25</v>
      </c>
      <c r="P1173" s="12"/>
      <c r="Q1173" s="12"/>
      <c r="R1173" s="12"/>
      <c r="S1173" s="12"/>
      <c r="T1173" s="12"/>
      <c r="U1173" s="12"/>
      <c r="V1173" s="12"/>
      <c r="W1173" s="12"/>
      <c r="X1173" s="12"/>
      <c r="Y1173" s="12"/>
      <c r="Z1173" s="12"/>
    </row>
    <row r="1174" spans="1:26" ht="14.25" customHeight="1" x14ac:dyDescent="0.3">
      <c r="A1174" s="155">
        <v>243</v>
      </c>
      <c r="B1174" s="156" t="s">
        <v>665</v>
      </c>
      <c r="C1174" s="3"/>
      <c r="D1174" s="3"/>
      <c r="E1174" s="156" t="s">
        <v>1398</v>
      </c>
      <c r="F1174" s="3"/>
      <c r="G1174" s="158">
        <v>138.5</v>
      </c>
      <c r="H1174" s="155">
        <v>1</v>
      </c>
      <c r="I1174" s="155">
        <v>230</v>
      </c>
      <c r="J1174" s="156" t="s">
        <v>39</v>
      </c>
      <c r="K1174" s="5"/>
      <c r="L1174" s="3"/>
      <c r="M1174" s="6"/>
      <c r="N1174" s="9"/>
      <c r="O1174" s="158">
        <v>138.5</v>
      </c>
      <c r="P1174" s="12"/>
      <c r="Q1174" s="12"/>
      <c r="R1174" s="12"/>
      <c r="S1174" s="12"/>
      <c r="T1174" s="12"/>
      <c r="U1174" s="12"/>
      <c r="V1174" s="12"/>
      <c r="W1174" s="12"/>
      <c r="X1174" s="12"/>
      <c r="Y1174" s="12"/>
      <c r="Z1174" s="12"/>
    </row>
    <row r="1175" spans="1:26" ht="14.25" customHeight="1" x14ac:dyDescent="0.3">
      <c r="A1175" s="155">
        <v>686</v>
      </c>
      <c r="B1175" s="156" t="s">
        <v>1399</v>
      </c>
      <c r="C1175" s="3"/>
      <c r="D1175" s="3"/>
      <c r="E1175" s="156" t="s">
        <v>1227</v>
      </c>
      <c r="F1175" s="3"/>
      <c r="G1175" s="158">
        <v>35</v>
      </c>
      <c r="H1175" s="155">
        <v>1</v>
      </c>
      <c r="I1175" s="155">
        <v>375</v>
      </c>
      <c r="J1175" s="156" t="s">
        <v>32</v>
      </c>
      <c r="K1175" s="5"/>
      <c r="L1175" s="3"/>
      <c r="M1175" s="6"/>
      <c r="N1175" s="9"/>
      <c r="O1175" s="158">
        <v>35</v>
      </c>
      <c r="P1175" s="12"/>
      <c r="Q1175" s="12"/>
      <c r="R1175" s="12"/>
      <c r="S1175" s="12"/>
      <c r="T1175" s="12"/>
      <c r="U1175" s="12"/>
      <c r="V1175" s="12"/>
      <c r="W1175" s="12"/>
      <c r="X1175" s="12"/>
      <c r="Y1175" s="12"/>
      <c r="Z1175" s="12"/>
    </row>
    <row r="1176" spans="1:26" ht="14.25" customHeight="1" x14ac:dyDescent="0.3">
      <c r="A1176" s="155">
        <v>687</v>
      </c>
      <c r="B1176" s="156" t="s">
        <v>1400</v>
      </c>
      <c r="C1176" s="3"/>
      <c r="D1176" s="3"/>
      <c r="E1176" s="156" t="s">
        <v>1401</v>
      </c>
      <c r="F1176" s="3"/>
      <c r="G1176" s="158">
        <v>154</v>
      </c>
      <c r="H1176" s="155">
        <v>1</v>
      </c>
      <c r="I1176" s="155">
        <v>340</v>
      </c>
      <c r="J1176" s="156" t="s">
        <v>39</v>
      </c>
      <c r="K1176" s="5"/>
      <c r="L1176" s="3"/>
      <c r="M1176" s="6"/>
      <c r="N1176" s="9"/>
      <c r="O1176" s="158">
        <v>154</v>
      </c>
      <c r="P1176" s="12"/>
      <c r="Q1176" s="12"/>
      <c r="R1176" s="12"/>
      <c r="S1176" s="12"/>
      <c r="T1176" s="12"/>
      <c r="U1176" s="12"/>
      <c r="V1176" s="12"/>
      <c r="W1176" s="12"/>
      <c r="X1176" s="12"/>
      <c r="Y1176" s="12"/>
      <c r="Z1176" s="12"/>
    </row>
    <row r="1177" spans="1:26" ht="14.25" customHeight="1" x14ac:dyDescent="0.3">
      <c r="A1177" s="155">
        <v>688</v>
      </c>
      <c r="B1177" s="156" t="s">
        <v>1402</v>
      </c>
      <c r="C1177" s="3"/>
      <c r="D1177" s="3"/>
      <c r="E1177" s="156" t="s">
        <v>1349</v>
      </c>
      <c r="F1177" s="3"/>
      <c r="G1177" s="158">
        <v>366.11669999999998</v>
      </c>
      <c r="H1177" s="155">
        <v>6</v>
      </c>
      <c r="I1177" s="155">
        <v>1</v>
      </c>
      <c r="J1177" s="156" t="s">
        <v>213</v>
      </c>
      <c r="K1177" s="5"/>
      <c r="L1177" s="3"/>
      <c r="M1177" s="6"/>
      <c r="N1177" s="9"/>
      <c r="O1177" s="158">
        <v>2196.6999999999998</v>
      </c>
      <c r="P1177" s="12"/>
      <c r="Q1177" s="12"/>
      <c r="R1177" s="12"/>
      <c r="S1177" s="12"/>
      <c r="T1177" s="12"/>
      <c r="U1177" s="12"/>
      <c r="V1177" s="12"/>
      <c r="W1177" s="12"/>
      <c r="X1177" s="12"/>
      <c r="Y1177" s="12"/>
      <c r="Z1177" s="12"/>
    </row>
    <row r="1178" spans="1:26" ht="14.25" customHeight="1" x14ac:dyDescent="0.3">
      <c r="A1178" s="155">
        <v>688</v>
      </c>
      <c r="B1178" s="156" t="s">
        <v>1402</v>
      </c>
      <c r="C1178" s="3"/>
      <c r="D1178" s="3"/>
      <c r="E1178" s="156" t="s">
        <v>1349</v>
      </c>
      <c r="F1178" s="3"/>
      <c r="G1178" s="158">
        <v>60.348799999999997</v>
      </c>
      <c r="H1178" s="155">
        <v>25</v>
      </c>
      <c r="I1178" s="155">
        <v>1</v>
      </c>
      <c r="J1178" s="156" t="s">
        <v>39</v>
      </c>
      <c r="K1178" s="5"/>
      <c r="L1178" s="3"/>
      <c r="M1178" s="6"/>
      <c r="N1178" s="9"/>
      <c r="O1178" s="158">
        <v>1508.72</v>
      </c>
      <c r="P1178" s="12"/>
      <c r="Q1178" s="12"/>
      <c r="R1178" s="12"/>
      <c r="S1178" s="12"/>
      <c r="T1178" s="12"/>
      <c r="U1178" s="12"/>
      <c r="V1178" s="12"/>
      <c r="W1178" s="12"/>
      <c r="X1178" s="12"/>
      <c r="Y1178" s="12"/>
      <c r="Z1178" s="12"/>
    </row>
    <row r="1179" spans="1:26" ht="14.25" customHeight="1" x14ac:dyDescent="0.3">
      <c r="A1179" s="155">
        <v>689</v>
      </c>
      <c r="B1179" s="156" t="s">
        <v>1403</v>
      </c>
      <c r="C1179" s="3"/>
      <c r="D1179" s="3"/>
      <c r="E1179" s="156" t="s">
        <v>1404</v>
      </c>
      <c r="F1179" s="3"/>
      <c r="G1179" s="158">
        <v>87</v>
      </c>
      <c r="H1179" s="155">
        <v>1</v>
      </c>
      <c r="I1179" s="155">
        <v>1000</v>
      </c>
      <c r="J1179" s="156" t="s">
        <v>39</v>
      </c>
      <c r="K1179" s="5"/>
      <c r="L1179" s="3"/>
      <c r="M1179" s="6"/>
      <c r="N1179" s="9"/>
      <c r="O1179" s="158">
        <v>87</v>
      </c>
      <c r="P1179" s="12"/>
      <c r="Q1179" s="12"/>
      <c r="R1179" s="12"/>
      <c r="S1179" s="12"/>
      <c r="T1179" s="12"/>
      <c r="U1179" s="12"/>
      <c r="V1179" s="12"/>
      <c r="W1179" s="12"/>
      <c r="X1179" s="12"/>
      <c r="Y1179" s="12"/>
      <c r="Z1179" s="12"/>
    </row>
    <row r="1180" spans="1:26" ht="14.25" customHeight="1" x14ac:dyDescent="0.3">
      <c r="A1180" s="155">
        <v>689</v>
      </c>
      <c r="B1180" s="156" t="s">
        <v>1403</v>
      </c>
      <c r="C1180" s="3"/>
      <c r="D1180" s="3"/>
      <c r="E1180" s="156" t="s">
        <v>1405</v>
      </c>
      <c r="F1180" s="3"/>
      <c r="G1180" s="158">
        <v>39.700000000000003</v>
      </c>
      <c r="H1180" s="155">
        <v>2</v>
      </c>
      <c r="I1180" s="155">
        <v>1000</v>
      </c>
      <c r="J1180" s="156" t="s">
        <v>39</v>
      </c>
      <c r="K1180" s="5"/>
      <c r="L1180" s="3"/>
      <c r="M1180" s="6"/>
      <c r="N1180" s="9"/>
      <c r="O1180" s="158">
        <v>79.400000000000006</v>
      </c>
      <c r="P1180" s="12"/>
      <c r="Q1180" s="12"/>
      <c r="R1180" s="12"/>
      <c r="S1180" s="12"/>
      <c r="T1180" s="12"/>
      <c r="U1180" s="12"/>
      <c r="V1180" s="12"/>
      <c r="W1180" s="12"/>
      <c r="X1180" s="12"/>
      <c r="Y1180" s="12"/>
      <c r="Z1180" s="12"/>
    </row>
    <row r="1181" spans="1:26" ht="14.25" customHeight="1" x14ac:dyDescent="0.3">
      <c r="A1181" s="155">
        <v>690</v>
      </c>
      <c r="B1181" s="156" t="s">
        <v>1406</v>
      </c>
      <c r="C1181" s="3"/>
      <c r="D1181" s="3"/>
      <c r="E1181" s="156" t="s">
        <v>1407</v>
      </c>
      <c r="F1181" s="3"/>
      <c r="G1181" s="158">
        <v>73.5</v>
      </c>
      <c r="H1181" s="155">
        <v>1</v>
      </c>
      <c r="I1181" s="155">
        <v>425</v>
      </c>
      <c r="J1181" s="156" t="s">
        <v>39</v>
      </c>
      <c r="K1181" s="5"/>
      <c r="L1181" s="3"/>
      <c r="M1181" s="6"/>
      <c r="N1181" s="9"/>
      <c r="O1181" s="158">
        <v>73.5</v>
      </c>
      <c r="P1181" s="12"/>
      <c r="Q1181" s="12"/>
      <c r="R1181" s="12"/>
      <c r="S1181" s="12"/>
      <c r="T1181" s="12"/>
      <c r="U1181" s="12"/>
      <c r="V1181" s="12"/>
      <c r="W1181" s="12"/>
      <c r="X1181" s="12"/>
      <c r="Y1181" s="12"/>
      <c r="Z1181" s="12"/>
    </row>
    <row r="1182" spans="1:26" ht="14.25" customHeight="1" x14ac:dyDescent="0.3">
      <c r="A1182" s="155">
        <v>690</v>
      </c>
      <c r="B1182" s="156" t="s">
        <v>1406</v>
      </c>
      <c r="C1182" s="3"/>
      <c r="D1182" s="3"/>
      <c r="E1182" s="156" t="s">
        <v>1408</v>
      </c>
      <c r="F1182" s="3"/>
      <c r="G1182" s="158">
        <v>64.400000000000006</v>
      </c>
      <c r="H1182" s="155">
        <v>5</v>
      </c>
      <c r="I1182" s="155">
        <v>425</v>
      </c>
      <c r="J1182" s="156" t="s">
        <v>39</v>
      </c>
      <c r="K1182" s="5"/>
      <c r="L1182" s="3"/>
      <c r="M1182" s="6"/>
      <c r="N1182" s="9"/>
      <c r="O1182" s="158">
        <v>322</v>
      </c>
      <c r="P1182" s="12"/>
      <c r="Q1182" s="12"/>
      <c r="R1182" s="12"/>
      <c r="S1182" s="12"/>
      <c r="T1182" s="12"/>
      <c r="U1182" s="12"/>
      <c r="V1182" s="12"/>
      <c r="W1182" s="12"/>
      <c r="X1182" s="12"/>
      <c r="Y1182" s="12"/>
      <c r="Z1182" s="12"/>
    </row>
    <row r="1183" spans="1:26" ht="14.25" customHeight="1" x14ac:dyDescent="0.3">
      <c r="A1183" s="155">
        <v>690</v>
      </c>
      <c r="B1183" s="156" t="s">
        <v>1406</v>
      </c>
      <c r="C1183" s="3"/>
      <c r="D1183" s="3"/>
      <c r="E1183" s="156" t="s">
        <v>1409</v>
      </c>
      <c r="F1183" s="3"/>
      <c r="G1183" s="158">
        <v>73.599999999999994</v>
      </c>
      <c r="H1183" s="155">
        <v>6</v>
      </c>
      <c r="I1183" s="155">
        <v>425</v>
      </c>
      <c r="J1183" s="156" t="s">
        <v>39</v>
      </c>
      <c r="K1183" s="5"/>
      <c r="L1183" s="3"/>
      <c r="M1183" s="6"/>
      <c r="N1183" s="9"/>
      <c r="O1183" s="158">
        <v>441.6</v>
      </c>
      <c r="P1183" s="12"/>
      <c r="Q1183" s="12"/>
      <c r="R1183" s="12"/>
      <c r="S1183" s="12"/>
      <c r="T1183" s="12"/>
      <c r="U1183" s="12"/>
      <c r="V1183" s="12"/>
      <c r="W1183" s="12"/>
      <c r="X1183" s="12"/>
      <c r="Y1183" s="12"/>
      <c r="Z1183" s="12"/>
    </row>
    <row r="1184" spans="1:26" ht="14.25" customHeight="1" x14ac:dyDescent="0.3">
      <c r="A1184" s="155">
        <v>246</v>
      </c>
      <c r="B1184" s="156" t="s">
        <v>188</v>
      </c>
      <c r="C1184" s="3"/>
      <c r="D1184" s="3"/>
      <c r="E1184" s="156" t="s">
        <v>1410</v>
      </c>
      <c r="F1184" s="3"/>
      <c r="G1184" s="158">
        <v>67.400000000000006</v>
      </c>
      <c r="H1184" s="155">
        <v>10</v>
      </c>
      <c r="I1184" s="155">
        <v>425</v>
      </c>
      <c r="J1184" s="156" t="s">
        <v>39</v>
      </c>
      <c r="K1184" s="5"/>
      <c r="L1184" s="3"/>
      <c r="M1184" s="6"/>
      <c r="N1184" s="9"/>
      <c r="O1184" s="158">
        <v>674</v>
      </c>
      <c r="P1184" s="12"/>
      <c r="Q1184" s="12"/>
      <c r="R1184" s="12"/>
      <c r="S1184" s="12"/>
      <c r="T1184" s="12"/>
      <c r="U1184" s="12"/>
      <c r="V1184" s="12"/>
      <c r="W1184" s="12"/>
      <c r="X1184" s="12"/>
      <c r="Y1184" s="12"/>
      <c r="Z1184" s="12"/>
    </row>
    <row r="1185" spans="1:26" ht="14.25" customHeight="1" x14ac:dyDescent="0.3">
      <c r="A1185" s="155">
        <v>246</v>
      </c>
      <c r="B1185" s="156" t="s">
        <v>188</v>
      </c>
      <c r="C1185" s="3"/>
      <c r="D1185" s="3"/>
      <c r="E1185" s="156" t="s">
        <v>1408</v>
      </c>
      <c r="F1185" s="3"/>
      <c r="G1185" s="158">
        <v>72</v>
      </c>
      <c r="H1185" s="155">
        <v>10</v>
      </c>
      <c r="I1185" s="155">
        <v>425</v>
      </c>
      <c r="J1185" s="156" t="s">
        <v>39</v>
      </c>
      <c r="K1185" s="5"/>
      <c r="L1185" s="3"/>
      <c r="M1185" s="6"/>
      <c r="N1185" s="9"/>
      <c r="O1185" s="158">
        <v>720</v>
      </c>
      <c r="P1185" s="12"/>
      <c r="Q1185" s="12"/>
      <c r="R1185" s="12"/>
      <c r="S1185" s="12"/>
      <c r="T1185" s="12"/>
      <c r="U1185" s="12"/>
      <c r="V1185" s="12"/>
      <c r="W1185" s="12"/>
      <c r="X1185" s="12"/>
      <c r="Y1185" s="12"/>
      <c r="Z1185" s="12"/>
    </row>
    <row r="1186" spans="1:26" ht="14.25" customHeight="1" x14ac:dyDescent="0.3">
      <c r="A1186" s="155">
        <v>246</v>
      </c>
      <c r="B1186" s="156" t="s">
        <v>188</v>
      </c>
      <c r="C1186" s="3"/>
      <c r="D1186" s="3"/>
      <c r="E1186" s="156" t="s">
        <v>1411</v>
      </c>
      <c r="F1186" s="3"/>
      <c r="G1186" s="158">
        <v>73.099999999999994</v>
      </c>
      <c r="H1186" s="155">
        <v>3</v>
      </c>
      <c r="I1186" s="155">
        <v>425</v>
      </c>
      <c r="J1186" s="156" t="s">
        <v>39</v>
      </c>
      <c r="K1186" s="5"/>
      <c r="L1186" s="3"/>
      <c r="M1186" s="6"/>
      <c r="N1186" s="9"/>
      <c r="O1186" s="158">
        <v>219.3</v>
      </c>
      <c r="P1186" s="12"/>
      <c r="Q1186" s="12"/>
      <c r="R1186" s="12"/>
      <c r="S1186" s="12"/>
      <c r="T1186" s="12"/>
      <c r="U1186" s="12"/>
      <c r="V1186" s="12"/>
      <c r="W1186" s="12"/>
      <c r="X1186" s="12"/>
      <c r="Y1186" s="12"/>
      <c r="Z1186" s="12"/>
    </row>
    <row r="1187" spans="1:26" ht="14.25" customHeight="1" x14ac:dyDescent="0.3">
      <c r="A1187" s="155">
        <v>250</v>
      </c>
      <c r="B1187" s="156" t="s">
        <v>263</v>
      </c>
      <c r="C1187" s="3"/>
      <c r="D1187" s="3"/>
      <c r="E1187" s="156" t="s">
        <v>1412</v>
      </c>
      <c r="F1187" s="3"/>
      <c r="G1187" s="158">
        <v>6.2245350000000004</v>
      </c>
      <c r="H1187" s="155">
        <v>763</v>
      </c>
      <c r="I1187" s="155">
        <v>8</v>
      </c>
      <c r="J1187" s="156" t="s">
        <v>39</v>
      </c>
      <c r="K1187" s="5"/>
      <c r="L1187" s="3"/>
      <c r="M1187" s="6"/>
      <c r="N1187" s="9"/>
      <c r="O1187" s="158">
        <v>4749.32</v>
      </c>
      <c r="P1187" s="12"/>
      <c r="Q1187" s="12"/>
      <c r="R1187" s="12"/>
      <c r="S1187" s="12"/>
      <c r="T1187" s="12"/>
      <c r="U1187" s="12"/>
      <c r="V1187" s="12"/>
      <c r="W1187" s="12"/>
      <c r="X1187" s="12"/>
      <c r="Y1187" s="12"/>
      <c r="Z1187" s="12"/>
    </row>
    <row r="1188" spans="1:26" ht="14.25" customHeight="1" x14ac:dyDescent="0.3">
      <c r="A1188" s="155">
        <v>691</v>
      </c>
      <c r="B1188" s="156" t="s">
        <v>1413</v>
      </c>
      <c r="C1188" s="3"/>
      <c r="D1188" s="3"/>
      <c r="E1188" s="156" t="s">
        <v>1372</v>
      </c>
      <c r="F1188" s="3"/>
      <c r="G1188" s="158">
        <v>90</v>
      </c>
      <c r="H1188" s="155">
        <v>3</v>
      </c>
      <c r="I1188" s="155">
        <v>1</v>
      </c>
      <c r="J1188" s="156" t="s">
        <v>213</v>
      </c>
      <c r="K1188" s="5"/>
      <c r="L1188" s="3"/>
      <c r="M1188" s="6"/>
      <c r="N1188" s="9"/>
      <c r="O1188" s="158">
        <v>270</v>
      </c>
      <c r="P1188" s="12"/>
      <c r="Q1188" s="12"/>
      <c r="R1188" s="12"/>
      <c r="S1188" s="12"/>
      <c r="T1188" s="12"/>
      <c r="U1188" s="12"/>
      <c r="V1188" s="12"/>
      <c r="W1188" s="12"/>
      <c r="X1188" s="12"/>
      <c r="Y1188" s="12"/>
      <c r="Z1188" s="12"/>
    </row>
    <row r="1189" spans="1:26" ht="14.25" customHeight="1" x14ac:dyDescent="0.3">
      <c r="A1189" s="155">
        <v>251</v>
      </c>
      <c r="B1189" s="156" t="s">
        <v>366</v>
      </c>
      <c r="C1189" s="3"/>
      <c r="D1189" s="3"/>
      <c r="E1189" s="156" t="s">
        <v>1335</v>
      </c>
      <c r="F1189" s="3"/>
      <c r="G1189" s="158">
        <v>88</v>
      </c>
      <c r="H1189" s="155">
        <v>5</v>
      </c>
      <c r="I1189" s="155">
        <v>1</v>
      </c>
      <c r="J1189" s="156" t="s">
        <v>213</v>
      </c>
      <c r="K1189" s="5"/>
      <c r="L1189" s="3"/>
      <c r="M1189" s="6"/>
      <c r="N1189" s="9"/>
      <c r="O1189" s="158">
        <v>440</v>
      </c>
      <c r="P1189" s="12"/>
      <c r="Q1189" s="12"/>
      <c r="R1189" s="12"/>
      <c r="S1189" s="12"/>
      <c r="T1189" s="12"/>
      <c r="U1189" s="12"/>
      <c r="V1189" s="12"/>
      <c r="W1189" s="12"/>
      <c r="X1189" s="12"/>
      <c r="Y1189" s="12"/>
      <c r="Z1189" s="12"/>
    </row>
    <row r="1190" spans="1:26" ht="14.25" customHeight="1" x14ac:dyDescent="0.3">
      <c r="A1190" s="155">
        <v>251</v>
      </c>
      <c r="B1190" s="156" t="s">
        <v>366</v>
      </c>
      <c r="C1190" s="3"/>
      <c r="D1190" s="3"/>
      <c r="E1190" s="156" t="s">
        <v>867</v>
      </c>
      <c r="F1190" s="3"/>
      <c r="G1190" s="158">
        <v>120</v>
      </c>
      <c r="H1190" s="155">
        <v>3</v>
      </c>
      <c r="I1190" s="155">
        <v>1</v>
      </c>
      <c r="J1190" s="156" t="s">
        <v>39</v>
      </c>
      <c r="K1190" s="5"/>
      <c r="L1190" s="3"/>
      <c r="M1190" s="6"/>
      <c r="N1190" s="9"/>
      <c r="O1190" s="158">
        <v>360</v>
      </c>
      <c r="P1190" s="12"/>
      <c r="Q1190" s="12"/>
      <c r="R1190" s="12"/>
      <c r="S1190" s="12"/>
      <c r="T1190" s="12"/>
      <c r="U1190" s="12"/>
      <c r="V1190" s="12"/>
      <c r="W1190" s="12"/>
      <c r="X1190" s="12"/>
      <c r="Y1190" s="12"/>
      <c r="Z1190" s="12"/>
    </row>
    <row r="1191" spans="1:26" ht="14.25" customHeight="1" x14ac:dyDescent="0.3">
      <c r="A1191" s="155">
        <v>251</v>
      </c>
      <c r="B1191" s="156" t="s">
        <v>366</v>
      </c>
      <c r="C1191" s="3"/>
      <c r="D1191" s="3"/>
      <c r="E1191" s="156" t="s">
        <v>1414</v>
      </c>
      <c r="F1191" s="3"/>
      <c r="G1191" s="158">
        <v>85</v>
      </c>
      <c r="H1191" s="155">
        <v>2</v>
      </c>
      <c r="I1191" s="155">
        <v>1</v>
      </c>
      <c r="J1191" s="156" t="s">
        <v>213</v>
      </c>
      <c r="K1191" s="5"/>
      <c r="L1191" s="3"/>
      <c r="M1191" s="6"/>
      <c r="N1191" s="9"/>
      <c r="O1191" s="158">
        <v>170</v>
      </c>
      <c r="P1191" s="12"/>
      <c r="Q1191" s="12"/>
      <c r="R1191" s="12"/>
      <c r="S1191" s="12"/>
      <c r="T1191" s="12"/>
      <c r="U1191" s="12"/>
      <c r="V1191" s="12"/>
      <c r="W1191" s="12"/>
      <c r="X1191" s="12"/>
      <c r="Y1191" s="12"/>
      <c r="Z1191" s="12"/>
    </row>
    <row r="1192" spans="1:26" ht="14.25" customHeight="1" x14ac:dyDescent="0.3">
      <c r="A1192" s="155">
        <v>692</v>
      </c>
      <c r="B1192" s="156" t="s">
        <v>1415</v>
      </c>
      <c r="C1192" s="3"/>
      <c r="D1192" s="3"/>
      <c r="E1192" s="156"/>
      <c r="F1192" s="3"/>
      <c r="G1192" s="158">
        <v>35</v>
      </c>
      <c r="H1192" s="155">
        <v>1</v>
      </c>
      <c r="I1192" s="155">
        <v>1000</v>
      </c>
      <c r="J1192" s="156" t="s">
        <v>39</v>
      </c>
      <c r="K1192" s="5"/>
      <c r="L1192" s="3"/>
      <c r="M1192" s="6"/>
      <c r="N1192" s="9"/>
      <c r="O1192" s="158">
        <v>35</v>
      </c>
      <c r="P1192" s="12"/>
      <c r="Q1192" s="12"/>
      <c r="R1192" s="12"/>
      <c r="S1192" s="12"/>
      <c r="T1192" s="12"/>
      <c r="U1192" s="12"/>
      <c r="V1192" s="12"/>
      <c r="W1192" s="12"/>
      <c r="X1192" s="12"/>
      <c r="Y1192" s="12"/>
      <c r="Z1192" s="12"/>
    </row>
    <row r="1193" spans="1:26" ht="14.25" customHeight="1" x14ac:dyDescent="0.3">
      <c r="A1193" s="155">
        <v>693</v>
      </c>
      <c r="B1193" s="156" t="s">
        <v>1416</v>
      </c>
      <c r="C1193" s="3"/>
      <c r="D1193" s="3"/>
      <c r="E1193" s="156" t="s">
        <v>1417</v>
      </c>
      <c r="F1193" s="3"/>
      <c r="G1193" s="158">
        <v>47</v>
      </c>
      <c r="H1193" s="155">
        <v>1</v>
      </c>
      <c r="I1193" s="155">
        <v>1000</v>
      </c>
      <c r="J1193" s="156" t="s">
        <v>39</v>
      </c>
      <c r="K1193" s="5"/>
      <c r="L1193" s="3"/>
      <c r="M1193" s="6"/>
      <c r="N1193" s="9"/>
      <c r="O1193" s="158">
        <v>47</v>
      </c>
      <c r="P1193" s="12"/>
      <c r="Q1193" s="12"/>
      <c r="R1193" s="12"/>
      <c r="S1193" s="12"/>
      <c r="T1193" s="12"/>
      <c r="U1193" s="12"/>
      <c r="V1193" s="12"/>
      <c r="W1193" s="12"/>
      <c r="X1193" s="12"/>
      <c r="Y1193" s="12"/>
      <c r="Z1193" s="12"/>
    </row>
    <row r="1194" spans="1:26" ht="14.25" customHeight="1" x14ac:dyDescent="0.3">
      <c r="A1194" s="155">
        <v>694</v>
      </c>
      <c r="B1194" s="156" t="s">
        <v>1418</v>
      </c>
      <c r="C1194" s="3"/>
      <c r="D1194" s="3"/>
      <c r="E1194" s="156"/>
      <c r="F1194" s="3"/>
      <c r="G1194" s="158">
        <v>100</v>
      </c>
      <c r="H1194" s="155">
        <v>1</v>
      </c>
      <c r="I1194" s="155">
        <v>1000</v>
      </c>
      <c r="J1194" s="156" t="s">
        <v>39</v>
      </c>
      <c r="K1194" s="5"/>
      <c r="L1194" s="3"/>
      <c r="M1194" s="6"/>
      <c r="N1194" s="9"/>
      <c r="O1194" s="158">
        <v>100</v>
      </c>
      <c r="P1194" s="12"/>
      <c r="Q1194" s="12"/>
      <c r="R1194" s="12"/>
      <c r="S1194" s="12"/>
      <c r="T1194" s="12"/>
      <c r="U1194" s="12"/>
      <c r="V1194" s="12"/>
      <c r="W1194" s="12"/>
      <c r="X1194" s="12"/>
      <c r="Y1194" s="12"/>
      <c r="Z1194" s="12"/>
    </row>
    <row r="1195" spans="1:26" ht="14.25" customHeight="1" x14ac:dyDescent="0.3">
      <c r="A1195" s="155">
        <v>255</v>
      </c>
      <c r="B1195" s="156" t="s">
        <v>79</v>
      </c>
      <c r="C1195" s="3"/>
      <c r="D1195" s="3"/>
      <c r="E1195" s="156" t="s">
        <v>1157</v>
      </c>
      <c r="F1195" s="3"/>
      <c r="G1195" s="158">
        <v>317.8</v>
      </c>
      <c r="H1195" s="155">
        <v>1</v>
      </c>
      <c r="I1195" s="155">
        <v>1000</v>
      </c>
      <c r="J1195" s="156" t="s">
        <v>39</v>
      </c>
      <c r="K1195" s="5"/>
      <c r="L1195" s="3"/>
      <c r="M1195" s="6"/>
      <c r="N1195" s="9"/>
      <c r="O1195" s="158">
        <v>317.8</v>
      </c>
      <c r="P1195" s="12"/>
      <c r="Q1195" s="12"/>
      <c r="R1195" s="12"/>
      <c r="S1195" s="12"/>
      <c r="T1195" s="12"/>
      <c r="U1195" s="12"/>
      <c r="V1195" s="12"/>
      <c r="W1195" s="12"/>
      <c r="X1195" s="12"/>
      <c r="Y1195" s="12"/>
      <c r="Z1195" s="12"/>
    </row>
    <row r="1196" spans="1:26" ht="14.25" customHeight="1" x14ac:dyDescent="0.3">
      <c r="A1196" s="155">
        <v>255</v>
      </c>
      <c r="B1196" s="156" t="s">
        <v>79</v>
      </c>
      <c r="C1196" s="3"/>
      <c r="D1196" s="3"/>
      <c r="E1196" s="156" t="s">
        <v>1157</v>
      </c>
      <c r="F1196" s="3"/>
      <c r="G1196" s="158">
        <v>371.95</v>
      </c>
      <c r="H1196" s="155">
        <v>3</v>
      </c>
      <c r="I1196" s="155">
        <v>1000</v>
      </c>
      <c r="J1196" s="156" t="s">
        <v>213</v>
      </c>
      <c r="K1196" s="5"/>
      <c r="L1196" s="3"/>
      <c r="M1196" s="6"/>
      <c r="N1196" s="9"/>
      <c r="O1196" s="158">
        <v>1115.8499999999999</v>
      </c>
      <c r="P1196" s="12"/>
      <c r="Q1196" s="12"/>
      <c r="R1196" s="12"/>
      <c r="S1196" s="12"/>
      <c r="T1196" s="12"/>
      <c r="U1196" s="12"/>
      <c r="V1196" s="12"/>
      <c r="W1196" s="12"/>
      <c r="X1196" s="12"/>
      <c r="Y1196" s="12"/>
      <c r="Z1196" s="12"/>
    </row>
    <row r="1197" spans="1:26" ht="14.25" customHeight="1" x14ac:dyDescent="0.3">
      <c r="A1197" s="155">
        <v>255</v>
      </c>
      <c r="B1197" s="156" t="s">
        <v>79</v>
      </c>
      <c r="C1197" s="3"/>
      <c r="D1197" s="3"/>
      <c r="E1197" s="156" t="s">
        <v>538</v>
      </c>
      <c r="F1197" s="3"/>
      <c r="G1197" s="158">
        <v>317.8</v>
      </c>
      <c r="H1197" s="155">
        <v>1</v>
      </c>
      <c r="I1197" s="155">
        <v>1000</v>
      </c>
      <c r="J1197" s="156" t="s">
        <v>39</v>
      </c>
      <c r="K1197" s="5"/>
      <c r="L1197" s="3"/>
      <c r="M1197" s="6"/>
      <c r="N1197" s="9"/>
      <c r="O1197" s="158">
        <v>317.8</v>
      </c>
      <c r="P1197" s="12"/>
      <c r="Q1197" s="12"/>
      <c r="R1197" s="12"/>
      <c r="S1197" s="12"/>
      <c r="T1197" s="12"/>
      <c r="U1197" s="12"/>
      <c r="V1197" s="12"/>
      <c r="W1197" s="12"/>
      <c r="X1197" s="12"/>
      <c r="Y1197" s="12"/>
      <c r="Z1197" s="12"/>
    </row>
    <row r="1198" spans="1:26" ht="14.25" customHeight="1" x14ac:dyDescent="0.3">
      <c r="A1198" s="155">
        <v>255</v>
      </c>
      <c r="B1198" s="156" t="s">
        <v>79</v>
      </c>
      <c r="C1198" s="3"/>
      <c r="D1198" s="3"/>
      <c r="E1198" s="156" t="s">
        <v>1419</v>
      </c>
      <c r="F1198" s="3"/>
      <c r="G1198" s="158">
        <v>65</v>
      </c>
      <c r="H1198" s="155">
        <v>2</v>
      </c>
      <c r="I1198" s="155">
        <v>1000</v>
      </c>
      <c r="J1198" s="156" t="s">
        <v>39</v>
      </c>
      <c r="K1198" s="5"/>
      <c r="L1198" s="3"/>
      <c r="M1198" s="6"/>
      <c r="N1198" s="9"/>
      <c r="O1198" s="158">
        <v>130</v>
      </c>
      <c r="P1198" s="12"/>
      <c r="Q1198" s="12"/>
      <c r="R1198" s="12"/>
      <c r="S1198" s="12"/>
      <c r="T1198" s="12"/>
      <c r="U1198" s="12"/>
      <c r="V1198" s="12"/>
      <c r="W1198" s="12"/>
      <c r="X1198" s="12"/>
      <c r="Y1198" s="12"/>
      <c r="Z1198" s="12"/>
    </row>
    <row r="1199" spans="1:26" ht="14.25" customHeight="1" x14ac:dyDescent="0.3">
      <c r="A1199" s="155">
        <v>255</v>
      </c>
      <c r="B1199" s="156" t="s">
        <v>79</v>
      </c>
      <c r="C1199" s="3"/>
      <c r="D1199" s="3"/>
      <c r="E1199" s="156" t="s">
        <v>792</v>
      </c>
      <c r="F1199" s="3"/>
      <c r="G1199" s="158">
        <v>0</v>
      </c>
      <c r="H1199" s="155">
        <v>0</v>
      </c>
      <c r="I1199" s="155">
        <v>1000</v>
      </c>
      <c r="J1199" s="156" t="s">
        <v>213</v>
      </c>
      <c r="K1199" s="5"/>
      <c r="L1199" s="3"/>
      <c r="M1199" s="6"/>
      <c r="N1199" s="9"/>
      <c r="O1199" s="158">
        <v>0</v>
      </c>
      <c r="P1199" s="12"/>
      <c r="Q1199" s="12"/>
      <c r="R1199" s="12"/>
      <c r="S1199" s="12"/>
      <c r="T1199" s="12"/>
      <c r="U1199" s="12"/>
      <c r="V1199" s="12"/>
      <c r="W1199" s="12"/>
      <c r="X1199" s="12"/>
      <c r="Y1199" s="12"/>
      <c r="Z1199" s="12"/>
    </row>
    <row r="1200" spans="1:26" ht="14.25" customHeight="1" x14ac:dyDescent="0.3">
      <c r="A1200" s="155">
        <v>255</v>
      </c>
      <c r="B1200" s="156" t="s">
        <v>79</v>
      </c>
      <c r="C1200" s="3"/>
      <c r="D1200" s="3"/>
      <c r="E1200" s="156" t="s">
        <v>1420</v>
      </c>
      <c r="F1200" s="3"/>
      <c r="G1200" s="158">
        <v>47</v>
      </c>
      <c r="H1200" s="155">
        <v>1</v>
      </c>
      <c r="I1200" s="155">
        <v>1000</v>
      </c>
      <c r="J1200" s="156" t="s">
        <v>39</v>
      </c>
      <c r="K1200" s="5"/>
      <c r="L1200" s="3"/>
      <c r="M1200" s="6"/>
      <c r="N1200" s="9"/>
      <c r="O1200" s="158">
        <v>47</v>
      </c>
      <c r="P1200" s="12"/>
      <c r="Q1200" s="12"/>
      <c r="R1200" s="12"/>
      <c r="S1200" s="12"/>
      <c r="T1200" s="12"/>
      <c r="U1200" s="12"/>
      <c r="V1200" s="12"/>
      <c r="W1200" s="12"/>
      <c r="X1200" s="12"/>
      <c r="Y1200" s="12"/>
      <c r="Z1200" s="12"/>
    </row>
    <row r="1201" spans="1:26" ht="14.25" customHeight="1" x14ac:dyDescent="0.3">
      <c r="A1201" s="155">
        <v>255</v>
      </c>
      <c r="B1201" s="156" t="s">
        <v>79</v>
      </c>
      <c r="C1201" s="3"/>
      <c r="D1201" s="3"/>
      <c r="E1201" s="156" t="s">
        <v>1421</v>
      </c>
      <c r="F1201" s="3"/>
      <c r="G1201" s="158">
        <v>49.09</v>
      </c>
      <c r="H1201" s="155">
        <v>9</v>
      </c>
      <c r="I1201" s="155">
        <v>1000</v>
      </c>
      <c r="J1201" s="156" t="s">
        <v>39</v>
      </c>
      <c r="K1201" s="5"/>
      <c r="L1201" s="3"/>
      <c r="M1201" s="6"/>
      <c r="N1201" s="9"/>
      <c r="O1201" s="158">
        <v>441.81</v>
      </c>
      <c r="P1201" s="12"/>
      <c r="Q1201" s="12"/>
      <c r="R1201" s="12"/>
      <c r="S1201" s="12"/>
      <c r="T1201" s="12"/>
      <c r="U1201" s="12"/>
      <c r="V1201" s="12"/>
      <c r="W1201" s="12"/>
      <c r="X1201" s="12"/>
      <c r="Y1201" s="12"/>
      <c r="Z1201" s="12"/>
    </row>
    <row r="1202" spans="1:26" ht="14.25" customHeight="1" x14ac:dyDescent="0.3">
      <c r="A1202" s="155">
        <v>695</v>
      </c>
      <c r="B1202" s="156" t="s">
        <v>1422</v>
      </c>
      <c r="C1202" s="3"/>
      <c r="D1202" s="3"/>
      <c r="E1202" s="156" t="s">
        <v>854</v>
      </c>
      <c r="F1202" s="3"/>
      <c r="G1202" s="158">
        <v>57.1</v>
      </c>
      <c r="H1202" s="155">
        <v>2</v>
      </c>
      <c r="I1202" s="155">
        <v>7</v>
      </c>
      <c r="J1202" s="156" t="s">
        <v>39</v>
      </c>
      <c r="K1202" s="5"/>
      <c r="L1202" s="3"/>
      <c r="M1202" s="6"/>
      <c r="N1202" s="9"/>
      <c r="O1202" s="158">
        <v>114.2</v>
      </c>
      <c r="P1202" s="12"/>
      <c r="Q1202" s="12"/>
      <c r="R1202" s="12"/>
      <c r="S1202" s="12"/>
      <c r="T1202" s="12"/>
      <c r="U1202" s="12"/>
      <c r="V1202" s="12"/>
      <c r="W1202" s="12"/>
      <c r="X1202" s="12"/>
      <c r="Y1202" s="12"/>
      <c r="Z1202" s="12"/>
    </row>
    <row r="1203" spans="1:26" ht="14.25" customHeight="1" x14ac:dyDescent="0.3">
      <c r="A1203" s="155">
        <v>696</v>
      </c>
      <c r="B1203" s="156" t="s">
        <v>1423</v>
      </c>
      <c r="C1203" s="3"/>
      <c r="D1203" s="3"/>
      <c r="E1203" s="156" t="s">
        <v>1424</v>
      </c>
      <c r="F1203" s="3"/>
      <c r="G1203" s="158">
        <v>24.6</v>
      </c>
      <c r="H1203" s="155">
        <v>8</v>
      </c>
      <c r="I1203" s="155">
        <v>84</v>
      </c>
      <c r="J1203" s="156" t="s">
        <v>39</v>
      </c>
      <c r="K1203" s="5"/>
      <c r="L1203" s="3"/>
      <c r="M1203" s="6"/>
      <c r="N1203" s="9"/>
      <c r="O1203" s="158">
        <v>196.8</v>
      </c>
      <c r="P1203" s="12"/>
      <c r="Q1203" s="12"/>
      <c r="R1203" s="12"/>
      <c r="S1203" s="12"/>
      <c r="T1203" s="12"/>
      <c r="U1203" s="12"/>
      <c r="V1203" s="12"/>
      <c r="W1203" s="12"/>
      <c r="X1203" s="12"/>
      <c r="Y1203" s="12"/>
      <c r="Z1203" s="12"/>
    </row>
    <row r="1204" spans="1:26" ht="14.25" customHeight="1" x14ac:dyDescent="0.3">
      <c r="A1204" s="155">
        <v>257</v>
      </c>
      <c r="B1204" s="156" t="s">
        <v>673</v>
      </c>
      <c r="C1204" s="3"/>
      <c r="D1204" s="3"/>
      <c r="E1204" s="156" t="s">
        <v>1425</v>
      </c>
      <c r="F1204" s="3"/>
      <c r="G1204" s="158">
        <v>11.9</v>
      </c>
      <c r="H1204" s="155">
        <v>13</v>
      </c>
      <c r="I1204" s="155">
        <v>24</v>
      </c>
      <c r="J1204" s="156" t="s">
        <v>39</v>
      </c>
      <c r="K1204" s="5"/>
      <c r="L1204" s="3"/>
      <c r="M1204" s="6"/>
      <c r="N1204" s="9"/>
      <c r="O1204" s="158">
        <v>154.69999999999999</v>
      </c>
      <c r="P1204" s="12"/>
      <c r="Q1204" s="12"/>
      <c r="R1204" s="12"/>
      <c r="S1204" s="12"/>
      <c r="T1204" s="12"/>
      <c r="U1204" s="12"/>
      <c r="V1204" s="12"/>
      <c r="W1204" s="12"/>
      <c r="X1204" s="12"/>
      <c r="Y1204" s="12"/>
      <c r="Z1204" s="12"/>
    </row>
    <row r="1205" spans="1:26" ht="14.25" customHeight="1" x14ac:dyDescent="0.3">
      <c r="A1205" s="155">
        <v>697</v>
      </c>
      <c r="B1205" s="156" t="s">
        <v>1426</v>
      </c>
      <c r="C1205" s="3"/>
      <c r="D1205" s="3"/>
      <c r="E1205" s="156" t="s">
        <v>1427</v>
      </c>
      <c r="F1205" s="3"/>
      <c r="G1205" s="158">
        <v>230.27269999999999</v>
      </c>
      <c r="H1205" s="155">
        <v>11</v>
      </c>
      <c r="I1205" s="155">
        <v>27</v>
      </c>
      <c r="J1205" s="156" t="s">
        <v>32</v>
      </c>
      <c r="K1205" s="5"/>
      <c r="L1205" s="3"/>
      <c r="M1205" s="6"/>
      <c r="N1205" s="9"/>
      <c r="O1205" s="158">
        <v>2533</v>
      </c>
      <c r="P1205" s="12"/>
      <c r="Q1205" s="12"/>
      <c r="R1205" s="12"/>
      <c r="S1205" s="12"/>
      <c r="T1205" s="12"/>
      <c r="U1205" s="12"/>
      <c r="V1205" s="12"/>
      <c r="W1205" s="12"/>
      <c r="X1205" s="12"/>
      <c r="Y1205" s="12"/>
      <c r="Z1205" s="12"/>
    </row>
    <row r="1206" spans="1:26" ht="14.25" customHeight="1" x14ac:dyDescent="0.3">
      <c r="A1206" s="155">
        <v>697</v>
      </c>
      <c r="B1206" s="156" t="s">
        <v>1426</v>
      </c>
      <c r="C1206" s="3"/>
      <c r="D1206" s="3"/>
      <c r="E1206" s="156" t="s">
        <v>1428</v>
      </c>
      <c r="F1206" s="3"/>
      <c r="G1206" s="158">
        <v>444.31</v>
      </c>
      <c r="H1206" s="155">
        <v>10</v>
      </c>
      <c r="I1206" s="155">
        <v>27</v>
      </c>
      <c r="J1206" s="156" t="s">
        <v>32</v>
      </c>
      <c r="K1206" s="5"/>
      <c r="L1206" s="3"/>
      <c r="M1206" s="6"/>
      <c r="N1206" s="9"/>
      <c r="O1206" s="158">
        <v>4443.1000000000004</v>
      </c>
      <c r="P1206" s="12"/>
      <c r="Q1206" s="12"/>
      <c r="R1206" s="12"/>
      <c r="S1206" s="12"/>
      <c r="T1206" s="12"/>
      <c r="U1206" s="12"/>
      <c r="V1206" s="12"/>
      <c r="W1206" s="12"/>
      <c r="X1206" s="12"/>
      <c r="Y1206" s="12"/>
      <c r="Z1206" s="12"/>
    </row>
    <row r="1207" spans="1:26" ht="14.25" customHeight="1" x14ac:dyDescent="0.3">
      <c r="A1207" s="155">
        <v>698</v>
      </c>
      <c r="B1207" s="156" t="s">
        <v>1429</v>
      </c>
      <c r="C1207" s="3"/>
      <c r="D1207" s="3"/>
      <c r="E1207" s="156" t="s">
        <v>1430</v>
      </c>
      <c r="F1207" s="3"/>
      <c r="G1207" s="158">
        <v>7.33</v>
      </c>
      <c r="H1207" s="155">
        <v>370</v>
      </c>
      <c r="I1207" s="155">
        <v>0</v>
      </c>
      <c r="J1207" s="156" t="s">
        <v>92</v>
      </c>
      <c r="K1207" s="5"/>
      <c r="L1207" s="3"/>
      <c r="M1207" s="6"/>
      <c r="N1207" s="9"/>
      <c r="O1207" s="158">
        <v>2712.1</v>
      </c>
      <c r="P1207" s="12"/>
      <c r="Q1207" s="12"/>
      <c r="R1207" s="12"/>
      <c r="S1207" s="12"/>
      <c r="T1207" s="12"/>
      <c r="U1207" s="12"/>
      <c r="V1207" s="12"/>
      <c r="W1207" s="12"/>
      <c r="X1207" s="12"/>
      <c r="Y1207" s="12"/>
      <c r="Z1207" s="12"/>
    </row>
    <row r="1208" spans="1:26" ht="14.25" customHeight="1" x14ac:dyDescent="0.3">
      <c r="A1208" s="155">
        <v>698</v>
      </c>
      <c r="B1208" s="156" t="s">
        <v>1429</v>
      </c>
      <c r="C1208" s="3"/>
      <c r="D1208" s="3"/>
      <c r="E1208" s="156" t="s">
        <v>1431</v>
      </c>
      <c r="F1208" s="3"/>
      <c r="G1208" s="158">
        <v>7.9</v>
      </c>
      <c r="H1208" s="155">
        <v>250</v>
      </c>
      <c r="I1208" s="155">
        <v>0</v>
      </c>
      <c r="J1208" s="156" t="s">
        <v>92</v>
      </c>
      <c r="K1208" s="5"/>
      <c r="L1208" s="3"/>
      <c r="M1208" s="6"/>
      <c r="N1208" s="9"/>
      <c r="O1208" s="158">
        <v>1975</v>
      </c>
      <c r="P1208" s="12"/>
      <c r="Q1208" s="12"/>
      <c r="R1208" s="12"/>
      <c r="S1208" s="12"/>
      <c r="T1208" s="12"/>
      <c r="U1208" s="12"/>
      <c r="V1208" s="12"/>
      <c r="W1208" s="12"/>
      <c r="X1208" s="12"/>
      <c r="Y1208" s="12"/>
      <c r="Z1208" s="12"/>
    </row>
    <row r="1209" spans="1:26" ht="14.25" customHeight="1" x14ac:dyDescent="0.3">
      <c r="A1209" s="155">
        <v>268</v>
      </c>
      <c r="B1209" s="156" t="s">
        <v>1432</v>
      </c>
      <c r="C1209" s="3"/>
      <c r="D1209" s="3"/>
      <c r="E1209" s="156" t="s">
        <v>1368</v>
      </c>
      <c r="F1209" s="3"/>
      <c r="G1209" s="158">
        <v>31</v>
      </c>
      <c r="H1209" s="155">
        <v>4</v>
      </c>
      <c r="I1209" s="155">
        <v>210</v>
      </c>
      <c r="J1209" s="156" t="s">
        <v>39</v>
      </c>
      <c r="K1209" s="5"/>
      <c r="L1209" s="3"/>
      <c r="M1209" s="6"/>
      <c r="N1209" s="9"/>
      <c r="O1209" s="158">
        <v>124</v>
      </c>
      <c r="P1209" s="12"/>
      <c r="Q1209" s="12"/>
      <c r="R1209" s="12"/>
      <c r="S1209" s="12"/>
      <c r="T1209" s="12"/>
      <c r="U1209" s="12"/>
      <c r="V1209" s="12"/>
      <c r="W1209" s="12"/>
      <c r="X1209" s="12"/>
      <c r="Y1209" s="12"/>
      <c r="Z1209" s="12"/>
    </row>
    <row r="1210" spans="1:26" ht="14.25" customHeight="1" x14ac:dyDescent="0.3">
      <c r="A1210" s="155">
        <v>268</v>
      </c>
      <c r="B1210" s="156" t="s">
        <v>1432</v>
      </c>
      <c r="C1210" s="3"/>
      <c r="D1210" s="3"/>
      <c r="E1210" s="156" t="s">
        <v>910</v>
      </c>
      <c r="F1210" s="3"/>
      <c r="G1210" s="158">
        <v>33.380769999999998</v>
      </c>
      <c r="H1210" s="155">
        <v>26</v>
      </c>
      <c r="I1210" s="155">
        <v>210</v>
      </c>
      <c r="J1210" s="156" t="s">
        <v>39</v>
      </c>
      <c r="K1210" s="5"/>
      <c r="L1210" s="3"/>
      <c r="M1210" s="6"/>
      <c r="N1210" s="9"/>
      <c r="O1210" s="158">
        <v>867.9</v>
      </c>
      <c r="P1210" s="12"/>
      <c r="Q1210" s="12"/>
      <c r="R1210" s="12"/>
      <c r="S1210" s="12"/>
      <c r="T1210" s="12"/>
      <c r="U1210" s="12"/>
      <c r="V1210" s="12"/>
      <c r="W1210" s="12"/>
      <c r="X1210" s="12"/>
      <c r="Y1210" s="12"/>
      <c r="Z1210" s="12"/>
    </row>
    <row r="1211" spans="1:26" ht="14.25" customHeight="1" x14ac:dyDescent="0.3">
      <c r="A1211" s="155">
        <v>699</v>
      </c>
      <c r="B1211" s="156" t="s">
        <v>1433</v>
      </c>
      <c r="C1211" s="3"/>
      <c r="D1211" s="3"/>
      <c r="E1211" s="156" t="s">
        <v>854</v>
      </c>
      <c r="F1211" s="3"/>
      <c r="G1211" s="158">
        <v>89</v>
      </c>
      <c r="H1211" s="155">
        <v>1</v>
      </c>
      <c r="I1211" s="155">
        <v>60</v>
      </c>
      <c r="J1211" s="156" t="s">
        <v>39</v>
      </c>
      <c r="K1211" s="5"/>
      <c r="L1211" s="3"/>
      <c r="M1211" s="6"/>
      <c r="N1211" s="9"/>
      <c r="O1211" s="158">
        <v>89</v>
      </c>
      <c r="P1211" s="12"/>
      <c r="Q1211" s="12"/>
      <c r="R1211" s="12"/>
      <c r="S1211" s="12"/>
      <c r="T1211" s="12"/>
      <c r="U1211" s="12"/>
      <c r="V1211" s="12"/>
      <c r="W1211" s="12"/>
      <c r="X1211" s="12"/>
      <c r="Y1211" s="12"/>
      <c r="Z1211" s="12"/>
    </row>
    <row r="1212" spans="1:26" ht="14.25" customHeight="1" x14ac:dyDescent="0.3">
      <c r="A1212" s="155">
        <v>700</v>
      </c>
      <c r="B1212" s="156" t="s">
        <v>1434</v>
      </c>
      <c r="C1212" s="3"/>
      <c r="D1212" s="3"/>
      <c r="E1212" s="156"/>
      <c r="F1212" s="3"/>
      <c r="G1212" s="158">
        <v>80</v>
      </c>
      <c r="H1212" s="155">
        <v>5</v>
      </c>
      <c r="I1212" s="155">
        <v>1000</v>
      </c>
      <c r="J1212" s="156" t="s">
        <v>39</v>
      </c>
      <c r="K1212" s="5"/>
      <c r="L1212" s="3"/>
      <c r="M1212" s="6"/>
      <c r="N1212" s="9"/>
      <c r="O1212" s="158">
        <v>400</v>
      </c>
      <c r="P1212" s="12"/>
      <c r="Q1212" s="12"/>
      <c r="R1212" s="12"/>
      <c r="S1212" s="12"/>
      <c r="T1212" s="12"/>
      <c r="U1212" s="12"/>
      <c r="V1212" s="12"/>
      <c r="W1212" s="12"/>
      <c r="X1212" s="12"/>
      <c r="Y1212" s="12"/>
      <c r="Z1212" s="12"/>
    </row>
    <row r="1213" spans="1:26" ht="14.25" customHeight="1" x14ac:dyDescent="0.3">
      <c r="A1213" s="155">
        <v>701</v>
      </c>
      <c r="B1213" s="156" t="s">
        <v>1435</v>
      </c>
      <c r="C1213" s="3"/>
      <c r="D1213" s="3"/>
      <c r="E1213" s="156" t="s">
        <v>1436</v>
      </c>
      <c r="F1213" s="3"/>
      <c r="G1213" s="158">
        <v>11.30692</v>
      </c>
      <c r="H1213" s="155">
        <v>130</v>
      </c>
      <c r="I1213" s="155">
        <v>1</v>
      </c>
      <c r="J1213" s="156" t="s">
        <v>92</v>
      </c>
      <c r="K1213" s="5"/>
      <c r="L1213" s="3"/>
      <c r="M1213" s="6"/>
      <c r="N1213" s="9"/>
      <c r="O1213" s="158">
        <v>1469.9</v>
      </c>
      <c r="P1213" s="12"/>
      <c r="Q1213" s="12"/>
      <c r="R1213" s="12"/>
      <c r="S1213" s="12"/>
      <c r="T1213" s="12"/>
      <c r="U1213" s="12"/>
      <c r="V1213" s="12"/>
      <c r="W1213" s="12"/>
      <c r="X1213" s="12"/>
      <c r="Y1213" s="12"/>
      <c r="Z1213" s="12"/>
    </row>
    <row r="1214" spans="1:26" ht="14.25" customHeight="1" x14ac:dyDescent="0.3">
      <c r="A1214" s="155">
        <v>701</v>
      </c>
      <c r="B1214" s="156" t="s">
        <v>1435</v>
      </c>
      <c r="C1214" s="3"/>
      <c r="D1214" s="3"/>
      <c r="E1214" s="156" t="s">
        <v>1437</v>
      </c>
      <c r="F1214" s="3"/>
      <c r="G1214" s="158">
        <v>6.16</v>
      </c>
      <c r="H1214" s="155">
        <v>20</v>
      </c>
      <c r="I1214" s="155">
        <v>1</v>
      </c>
      <c r="J1214" s="156" t="s">
        <v>92</v>
      </c>
      <c r="K1214" s="5"/>
      <c r="L1214" s="3"/>
      <c r="M1214" s="6"/>
      <c r="N1214" s="9"/>
      <c r="O1214" s="158">
        <v>123.2</v>
      </c>
      <c r="P1214" s="12"/>
      <c r="Q1214" s="12"/>
      <c r="R1214" s="12"/>
      <c r="S1214" s="12"/>
      <c r="T1214" s="12"/>
      <c r="U1214" s="12"/>
      <c r="V1214" s="12"/>
      <c r="W1214" s="12"/>
      <c r="X1214" s="12"/>
      <c r="Y1214" s="12"/>
      <c r="Z1214" s="12"/>
    </row>
    <row r="1215" spans="1:26" ht="14.25" customHeight="1" x14ac:dyDescent="0.3">
      <c r="A1215" s="155">
        <v>701</v>
      </c>
      <c r="B1215" s="156" t="s">
        <v>1435</v>
      </c>
      <c r="C1215" s="3"/>
      <c r="D1215" s="3"/>
      <c r="E1215" s="156" t="s">
        <v>1438</v>
      </c>
      <c r="F1215" s="3"/>
      <c r="G1215" s="158">
        <v>36.5</v>
      </c>
      <c r="H1215" s="155">
        <v>4</v>
      </c>
      <c r="I1215" s="155">
        <v>1</v>
      </c>
      <c r="J1215" s="156" t="s">
        <v>304</v>
      </c>
      <c r="K1215" s="5"/>
      <c r="L1215" s="3"/>
      <c r="M1215" s="6"/>
      <c r="N1215" s="9"/>
      <c r="O1215" s="158">
        <v>146</v>
      </c>
      <c r="P1215" s="12"/>
      <c r="Q1215" s="12"/>
      <c r="R1215" s="12"/>
      <c r="S1215" s="12"/>
      <c r="T1215" s="12"/>
      <c r="U1215" s="12"/>
      <c r="V1215" s="12"/>
      <c r="W1215" s="12"/>
      <c r="X1215" s="12"/>
      <c r="Y1215" s="12"/>
      <c r="Z1215" s="12"/>
    </row>
    <row r="1216" spans="1:26" ht="14.25" customHeight="1" x14ac:dyDescent="0.3">
      <c r="A1216" s="155">
        <v>701</v>
      </c>
      <c r="B1216" s="156" t="s">
        <v>1435</v>
      </c>
      <c r="C1216" s="3"/>
      <c r="D1216" s="3"/>
      <c r="E1216" s="156" t="s">
        <v>1439</v>
      </c>
      <c r="F1216" s="3"/>
      <c r="G1216" s="158">
        <v>3.65</v>
      </c>
      <c r="H1216" s="155">
        <v>15</v>
      </c>
      <c r="I1216" s="155">
        <v>1</v>
      </c>
      <c r="J1216" s="156" t="s">
        <v>92</v>
      </c>
      <c r="K1216" s="5"/>
      <c r="L1216" s="3"/>
      <c r="M1216" s="6"/>
      <c r="N1216" s="9"/>
      <c r="O1216" s="158">
        <v>54.75</v>
      </c>
      <c r="P1216" s="12"/>
      <c r="Q1216" s="12"/>
      <c r="R1216" s="12"/>
      <c r="S1216" s="12"/>
      <c r="T1216" s="12"/>
      <c r="U1216" s="12"/>
      <c r="V1216" s="12"/>
      <c r="W1216" s="12"/>
      <c r="X1216" s="12"/>
      <c r="Y1216" s="12"/>
      <c r="Z1216" s="12"/>
    </row>
    <row r="1217" spans="1:26" ht="14.25" customHeight="1" x14ac:dyDescent="0.3">
      <c r="A1217" s="155">
        <v>701</v>
      </c>
      <c r="B1217" s="156" t="s">
        <v>1435</v>
      </c>
      <c r="C1217" s="3"/>
      <c r="D1217" s="3"/>
      <c r="E1217" s="156" t="s">
        <v>1440</v>
      </c>
      <c r="F1217" s="3"/>
      <c r="G1217" s="158">
        <v>3.46</v>
      </c>
      <c r="H1217" s="155">
        <v>100</v>
      </c>
      <c r="I1217" s="155">
        <v>1</v>
      </c>
      <c r="J1217" s="156" t="s">
        <v>92</v>
      </c>
      <c r="K1217" s="5"/>
      <c r="L1217" s="3"/>
      <c r="M1217" s="6"/>
      <c r="N1217" s="9"/>
      <c r="O1217" s="158">
        <v>346</v>
      </c>
      <c r="P1217" s="12"/>
      <c r="Q1217" s="12"/>
      <c r="R1217" s="12"/>
      <c r="S1217" s="12"/>
      <c r="T1217" s="12"/>
      <c r="U1217" s="12"/>
      <c r="V1217" s="12"/>
      <c r="W1217" s="12"/>
      <c r="X1217" s="12"/>
      <c r="Y1217" s="12"/>
      <c r="Z1217" s="12"/>
    </row>
    <row r="1218" spans="1:26" ht="14.25" customHeight="1" x14ac:dyDescent="0.3">
      <c r="A1218" s="155">
        <v>701</v>
      </c>
      <c r="B1218" s="156" t="s">
        <v>1435</v>
      </c>
      <c r="C1218" s="3"/>
      <c r="D1218" s="3"/>
      <c r="E1218" s="156" t="s">
        <v>1441</v>
      </c>
      <c r="F1218" s="3"/>
      <c r="G1218" s="158">
        <v>2.6</v>
      </c>
      <c r="H1218" s="155">
        <v>13</v>
      </c>
      <c r="I1218" s="155">
        <v>1</v>
      </c>
      <c r="J1218" s="156" t="s">
        <v>92</v>
      </c>
      <c r="K1218" s="5"/>
      <c r="L1218" s="3"/>
      <c r="M1218" s="6"/>
      <c r="N1218" s="9"/>
      <c r="O1218" s="158">
        <v>33.799999999999997</v>
      </c>
      <c r="P1218" s="12"/>
      <c r="Q1218" s="12"/>
      <c r="R1218" s="12"/>
      <c r="S1218" s="12"/>
      <c r="T1218" s="12"/>
      <c r="U1218" s="12"/>
      <c r="V1218" s="12"/>
      <c r="W1218" s="12"/>
      <c r="X1218" s="12"/>
      <c r="Y1218" s="12"/>
      <c r="Z1218" s="12"/>
    </row>
    <row r="1219" spans="1:26" ht="14.25" customHeight="1" x14ac:dyDescent="0.3">
      <c r="A1219" s="155">
        <v>701</v>
      </c>
      <c r="B1219" s="156" t="s">
        <v>1435</v>
      </c>
      <c r="C1219" s="3"/>
      <c r="D1219" s="3"/>
      <c r="E1219" s="156" t="s">
        <v>1442</v>
      </c>
      <c r="F1219" s="3"/>
      <c r="G1219" s="158">
        <v>9.1999999999999993</v>
      </c>
      <c r="H1219" s="155">
        <v>77</v>
      </c>
      <c r="I1219" s="155">
        <v>1</v>
      </c>
      <c r="J1219" s="156" t="s">
        <v>92</v>
      </c>
      <c r="K1219" s="5"/>
      <c r="L1219" s="3"/>
      <c r="M1219" s="6"/>
      <c r="N1219" s="9"/>
      <c r="O1219" s="158">
        <v>708.4</v>
      </c>
      <c r="P1219" s="12"/>
      <c r="Q1219" s="12"/>
      <c r="R1219" s="12"/>
      <c r="S1219" s="12"/>
      <c r="T1219" s="12"/>
      <c r="U1219" s="12"/>
      <c r="V1219" s="12"/>
      <c r="W1219" s="12"/>
      <c r="X1219" s="12"/>
      <c r="Y1219" s="12"/>
      <c r="Z1219" s="12"/>
    </row>
    <row r="1220" spans="1:26" ht="14.25" customHeight="1" x14ac:dyDescent="0.3">
      <c r="A1220" s="155">
        <v>701</v>
      </c>
      <c r="B1220" s="156" t="s">
        <v>1435</v>
      </c>
      <c r="C1220" s="3"/>
      <c r="D1220" s="3"/>
      <c r="E1220" s="156" t="s">
        <v>1443</v>
      </c>
      <c r="F1220" s="3"/>
      <c r="G1220" s="158">
        <v>10</v>
      </c>
      <c r="H1220" s="155">
        <v>48</v>
      </c>
      <c r="I1220" s="155">
        <v>1</v>
      </c>
      <c r="J1220" s="156" t="s">
        <v>92</v>
      </c>
      <c r="K1220" s="5"/>
      <c r="L1220" s="3"/>
      <c r="M1220" s="6"/>
      <c r="N1220" s="9"/>
      <c r="O1220" s="158">
        <v>480</v>
      </c>
      <c r="P1220" s="12"/>
      <c r="Q1220" s="12"/>
      <c r="R1220" s="12"/>
      <c r="S1220" s="12"/>
      <c r="T1220" s="12"/>
      <c r="U1220" s="12"/>
      <c r="V1220" s="12"/>
      <c r="W1220" s="12"/>
      <c r="X1220" s="12"/>
      <c r="Y1220" s="12"/>
      <c r="Z1220" s="12"/>
    </row>
    <row r="1221" spans="1:26" ht="14.25" customHeight="1" x14ac:dyDescent="0.3">
      <c r="A1221" s="155">
        <v>701</v>
      </c>
      <c r="B1221" s="156" t="s">
        <v>1435</v>
      </c>
      <c r="C1221" s="3"/>
      <c r="D1221" s="3"/>
      <c r="E1221" s="156" t="s">
        <v>1444</v>
      </c>
      <c r="F1221" s="3"/>
      <c r="G1221" s="158">
        <v>10.199999999999999</v>
      </c>
      <c r="H1221" s="155">
        <v>130</v>
      </c>
      <c r="I1221" s="155">
        <v>1</v>
      </c>
      <c r="J1221" s="156" t="s">
        <v>92</v>
      </c>
      <c r="K1221" s="5"/>
      <c r="L1221" s="3"/>
      <c r="M1221" s="6"/>
      <c r="N1221" s="9"/>
      <c r="O1221" s="158">
        <v>1326</v>
      </c>
      <c r="P1221" s="12"/>
      <c r="Q1221" s="12"/>
      <c r="R1221" s="12"/>
      <c r="S1221" s="12"/>
      <c r="T1221" s="12"/>
      <c r="U1221" s="12"/>
      <c r="V1221" s="12"/>
      <c r="W1221" s="12"/>
      <c r="X1221" s="12"/>
      <c r="Y1221" s="12"/>
      <c r="Z1221" s="12"/>
    </row>
    <row r="1222" spans="1:26" ht="14.25" customHeight="1" x14ac:dyDescent="0.3">
      <c r="A1222" s="155">
        <v>701</v>
      </c>
      <c r="B1222" s="156" t="s">
        <v>1435</v>
      </c>
      <c r="C1222" s="3"/>
      <c r="D1222" s="3"/>
      <c r="E1222" s="156" t="s">
        <v>1445</v>
      </c>
      <c r="F1222" s="3"/>
      <c r="G1222" s="158">
        <v>7</v>
      </c>
      <c r="H1222" s="155">
        <v>10</v>
      </c>
      <c r="I1222" s="155">
        <v>1</v>
      </c>
      <c r="J1222" s="156" t="s">
        <v>92</v>
      </c>
      <c r="K1222" s="5"/>
      <c r="L1222" s="3"/>
      <c r="M1222" s="6"/>
      <c r="N1222" s="9"/>
      <c r="O1222" s="158">
        <v>70</v>
      </c>
      <c r="P1222" s="12"/>
      <c r="Q1222" s="12"/>
      <c r="R1222" s="12"/>
      <c r="S1222" s="12"/>
      <c r="T1222" s="12"/>
      <c r="U1222" s="12"/>
      <c r="V1222" s="12"/>
      <c r="W1222" s="12"/>
      <c r="X1222" s="12"/>
      <c r="Y1222" s="12"/>
      <c r="Z1222" s="12"/>
    </row>
    <row r="1223" spans="1:26" ht="14.25" customHeight="1" x14ac:dyDescent="0.3">
      <c r="A1223" s="155">
        <v>702</v>
      </c>
      <c r="B1223" s="156" t="s">
        <v>1446</v>
      </c>
      <c r="C1223" s="3"/>
      <c r="D1223" s="3"/>
      <c r="E1223" s="156" t="s">
        <v>1447</v>
      </c>
      <c r="F1223" s="3"/>
      <c r="G1223" s="158">
        <v>10</v>
      </c>
      <c r="H1223" s="155">
        <v>5</v>
      </c>
      <c r="I1223" s="155">
        <v>1</v>
      </c>
      <c r="J1223" s="156" t="s">
        <v>92</v>
      </c>
      <c r="K1223" s="5"/>
      <c r="L1223" s="3"/>
      <c r="M1223" s="6"/>
      <c r="N1223" s="9"/>
      <c r="O1223" s="158">
        <v>50</v>
      </c>
      <c r="P1223" s="12"/>
      <c r="Q1223" s="12"/>
      <c r="R1223" s="12"/>
      <c r="S1223" s="12"/>
      <c r="T1223" s="12"/>
      <c r="U1223" s="12"/>
      <c r="V1223" s="12"/>
      <c r="W1223" s="12"/>
      <c r="X1223" s="12"/>
      <c r="Y1223" s="12"/>
      <c r="Z1223" s="12"/>
    </row>
    <row r="1224" spans="1:26" ht="14.25" customHeight="1" x14ac:dyDescent="0.3">
      <c r="A1224" s="155">
        <v>702</v>
      </c>
      <c r="B1224" s="156" t="s">
        <v>1446</v>
      </c>
      <c r="C1224" s="3"/>
      <c r="D1224" s="3"/>
      <c r="E1224" s="156" t="s">
        <v>1448</v>
      </c>
      <c r="F1224" s="3"/>
      <c r="G1224" s="158">
        <v>3.65</v>
      </c>
      <c r="H1224" s="155">
        <v>50</v>
      </c>
      <c r="I1224" s="155">
        <v>1</v>
      </c>
      <c r="J1224" s="156" t="s">
        <v>92</v>
      </c>
      <c r="K1224" s="5"/>
      <c r="L1224" s="3"/>
      <c r="M1224" s="6"/>
      <c r="N1224" s="9"/>
      <c r="O1224" s="158">
        <v>182.5</v>
      </c>
      <c r="P1224" s="12"/>
      <c r="Q1224" s="12"/>
      <c r="R1224" s="12"/>
      <c r="S1224" s="12"/>
      <c r="T1224" s="12"/>
      <c r="U1224" s="12"/>
      <c r="V1224" s="12"/>
      <c r="W1224" s="12"/>
      <c r="X1224" s="12"/>
      <c r="Y1224" s="12"/>
      <c r="Z1224" s="12"/>
    </row>
    <row r="1225" spans="1:26" ht="14.25" customHeight="1" x14ac:dyDescent="0.3">
      <c r="A1225" s="155">
        <v>702</v>
      </c>
      <c r="B1225" s="156" t="s">
        <v>1446</v>
      </c>
      <c r="C1225" s="3"/>
      <c r="D1225" s="3"/>
      <c r="E1225" s="156" t="s">
        <v>1449</v>
      </c>
      <c r="F1225" s="3"/>
      <c r="G1225" s="158">
        <v>4.7833329999999998</v>
      </c>
      <c r="H1225" s="155">
        <v>270</v>
      </c>
      <c r="I1225" s="155">
        <v>1</v>
      </c>
      <c r="J1225" s="156" t="s">
        <v>92</v>
      </c>
      <c r="K1225" s="5"/>
      <c r="L1225" s="3"/>
      <c r="M1225" s="6"/>
      <c r="N1225" s="9"/>
      <c r="O1225" s="158">
        <v>1291.5</v>
      </c>
      <c r="P1225" s="12"/>
      <c r="Q1225" s="12"/>
      <c r="R1225" s="12"/>
      <c r="S1225" s="12"/>
      <c r="T1225" s="12"/>
      <c r="U1225" s="12"/>
      <c r="V1225" s="12"/>
      <c r="W1225" s="12"/>
      <c r="X1225" s="12"/>
      <c r="Y1225" s="12"/>
      <c r="Z1225" s="12"/>
    </row>
    <row r="1226" spans="1:26" ht="14.25" customHeight="1" x14ac:dyDescent="0.3">
      <c r="A1226" s="155">
        <v>702</v>
      </c>
      <c r="B1226" s="156" t="s">
        <v>1446</v>
      </c>
      <c r="C1226" s="3"/>
      <c r="D1226" s="3"/>
      <c r="E1226" s="156" t="s">
        <v>1450</v>
      </c>
      <c r="F1226" s="3"/>
      <c r="G1226" s="158">
        <v>2.5</v>
      </c>
      <c r="H1226" s="155">
        <v>561</v>
      </c>
      <c r="I1226" s="155">
        <v>1</v>
      </c>
      <c r="J1226" s="156" t="s">
        <v>92</v>
      </c>
      <c r="K1226" s="5"/>
      <c r="L1226" s="3"/>
      <c r="M1226" s="6"/>
      <c r="N1226" s="9"/>
      <c r="O1226" s="158">
        <v>1402.5</v>
      </c>
      <c r="P1226" s="12"/>
      <c r="Q1226" s="12"/>
      <c r="R1226" s="12"/>
      <c r="S1226" s="12"/>
      <c r="T1226" s="12"/>
      <c r="U1226" s="12"/>
      <c r="V1226" s="12"/>
      <c r="W1226" s="12"/>
      <c r="X1226" s="12"/>
      <c r="Y1226" s="12"/>
      <c r="Z1226" s="12"/>
    </row>
    <row r="1227" spans="1:26" ht="14.25" customHeight="1" x14ac:dyDescent="0.3">
      <c r="A1227" s="155">
        <v>702</v>
      </c>
      <c r="B1227" s="156" t="s">
        <v>1446</v>
      </c>
      <c r="C1227" s="3"/>
      <c r="D1227" s="3"/>
      <c r="E1227" s="156" t="s">
        <v>1451</v>
      </c>
      <c r="F1227" s="3"/>
      <c r="G1227" s="158">
        <v>2.96</v>
      </c>
      <c r="H1227" s="155">
        <v>567</v>
      </c>
      <c r="I1227" s="155">
        <v>1</v>
      </c>
      <c r="J1227" s="156" t="s">
        <v>92</v>
      </c>
      <c r="K1227" s="5"/>
      <c r="L1227" s="3"/>
      <c r="M1227" s="6"/>
      <c r="N1227" s="9"/>
      <c r="O1227" s="158">
        <v>1678.32</v>
      </c>
      <c r="P1227" s="12"/>
      <c r="Q1227" s="12"/>
      <c r="R1227" s="12"/>
      <c r="S1227" s="12"/>
      <c r="T1227" s="12"/>
      <c r="U1227" s="12"/>
      <c r="V1227" s="12"/>
      <c r="W1227" s="12"/>
      <c r="X1227" s="12"/>
      <c r="Y1227" s="12"/>
      <c r="Z1227" s="12"/>
    </row>
    <row r="1228" spans="1:26" ht="14.25" customHeight="1" x14ac:dyDescent="0.3">
      <c r="A1228" s="155">
        <v>703</v>
      </c>
      <c r="B1228" s="156" t="s">
        <v>1452</v>
      </c>
      <c r="C1228" s="3"/>
      <c r="D1228" s="3"/>
      <c r="E1228" s="156"/>
      <c r="F1228" s="3"/>
      <c r="G1228" s="158">
        <v>36</v>
      </c>
      <c r="H1228" s="155">
        <v>6</v>
      </c>
      <c r="I1228" s="155">
        <v>1</v>
      </c>
      <c r="J1228" s="156" t="s">
        <v>213</v>
      </c>
      <c r="K1228" s="5"/>
      <c r="L1228" s="3"/>
      <c r="M1228" s="6"/>
      <c r="N1228" s="9"/>
      <c r="O1228" s="158">
        <v>216</v>
      </c>
      <c r="P1228" s="12"/>
      <c r="Q1228" s="12"/>
      <c r="R1228" s="12"/>
      <c r="S1228" s="12"/>
      <c r="T1228" s="12"/>
      <c r="U1228" s="12"/>
      <c r="V1228" s="12"/>
      <c r="W1228" s="12"/>
      <c r="X1228" s="12"/>
      <c r="Y1228" s="12"/>
      <c r="Z1228" s="12"/>
    </row>
    <row r="1229" spans="1:26" ht="14.25" customHeight="1" x14ac:dyDescent="0.3">
      <c r="A1229" s="155">
        <v>704</v>
      </c>
      <c r="B1229" s="156" t="s">
        <v>1453</v>
      </c>
      <c r="C1229" s="3"/>
      <c r="D1229" s="3"/>
      <c r="E1229" s="156" t="s">
        <v>1454</v>
      </c>
      <c r="F1229" s="3"/>
      <c r="G1229" s="158">
        <v>38</v>
      </c>
      <c r="H1229" s="155">
        <v>98</v>
      </c>
      <c r="I1229" s="155">
        <v>250</v>
      </c>
      <c r="J1229" s="156" t="s">
        <v>32</v>
      </c>
      <c r="K1229" s="5"/>
      <c r="L1229" s="3"/>
      <c r="M1229" s="6"/>
      <c r="N1229" s="9"/>
      <c r="O1229" s="158">
        <v>3724</v>
      </c>
      <c r="P1229" s="12"/>
      <c r="Q1229" s="12"/>
      <c r="R1229" s="12"/>
      <c r="S1229" s="12"/>
      <c r="T1229" s="12"/>
      <c r="U1229" s="12"/>
      <c r="V1229" s="12"/>
      <c r="W1229" s="12"/>
      <c r="X1229" s="12"/>
      <c r="Y1229" s="12"/>
      <c r="Z1229" s="12"/>
    </row>
    <row r="1230" spans="1:26" ht="14.25" customHeight="1" x14ac:dyDescent="0.3">
      <c r="A1230" s="155">
        <v>704</v>
      </c>
      <c r="B1230" s="156" t="s">
        <v>1453</v>
      </c>
      <c r="C1230" s="3"/>
      <c r="D1230" s="3"/>
      <c r="E1230" s="156" t="s">
        <v>1455</v>
      </c>
      <c r="F1230" s="3"/>
      <c r="G1230" s="158">
        <v>99</v>
      </c>
      <c r="H1230" s="155">
        <v>1</v>
      </c>
      <c r="I1230" s="155">
        <v>250</v>
      </c>
      <c r="J1230" s="156" t="s">
        <v>773</v>
      </c>
      <c r="K1230" s="5"/>
      <c r="L1230" s="3"/>
      <c r="M1230" s="6"/>
      <c r="N1230" s="9"/>
      <c r="O1230" s="158">
        <v>99</v>
      </c>
      <c r="P1230" s="12"/>
      <c r="Q1230" s="12"/>
      <c r="R1230" s="12"/>
      <c r="S1230" s="12"/>
      <c r="T1230" s="12"/>
      <c r="U1230" s="12"/>
      <c r="V1230" s="12"/>
      <c r="W1230" s="12"/>
      <c r="X1230" s="12"/>
      <c r="Y1230" s="12"/>
      <c r="Z1230" s="12"/>
    </row>
    <row r="1231" spans="1:26" ht="14.25" customHeight="1" x14ac:dyDescent="0.3">
      <c r="A1231" s="155">
        <v>705</v>
      </c>
      <c r="B1231" s="156" t="s">
        <v>1456</v>
      </c>
      <c r="C1231" s="3"/>
      <c r="D1231" s="3"/>
      <c r="E1231" s="156" t="s">
        <v>125</v>
      </c>
      <c r="F1231" s="3"/>
      <c r="G1231" s="158">
        <v>12.9</v>
      </c>
      <c r="H1231" s="155">
        <v>34</v>
      </c>
      <c r="I1231" s="155">
        <v>33</v>
      </c>
      <c r="J1231" s="156" t="s">
        <v>39</v>
      </c>
      <c r="K1231" s="5"/>
      <c r="L1231" s="3"/>
      <c r="M1231" s="6"/>
      <c r="N1231" s="9"/>
      <c r="O1231" s="158">
        <v>438.6</v>
      </c>
      <c r="P1231" s="12"/>
      <c r="Q1231" s="12"/>
      <c r="R1231" s="12"/>
      <c r="S1231" s="12"/>
      <c r="T1231" s="12"/>
      <c r="U1231" s="12"/>
      <c r="V1231" s="12"/>
      <c r="W1231" s="12"/>
      <c r="X1231" s="12"/>
      <c r="Y1231" s="12"/>
      <c r="Z1231" s="12"/>
    </row>
    <row r="1232" spans="1:26" ht="14.25" customHeight="1" x14ac:dyDescent="0.3">
      <c r="A1232" s="155">
        <v>705</v>
      </c>
      <c r="B1232" s="156" t="s">
        <v>1456</v>
      </c>
      <c r="C1232" s="3"/>
      <c r="D1232" s="3"/>
      <c r="E1232" s="156" t="s">
        <v>1457</v>
      </c>
      <c r="F1232" s="3"/>
      <c r="G1232" s="158">
        <v>11.1</v>
      </c>
      <c r="H1232" s="155">
        <v>330</v>
      </c>
      <c r="I1232" s="155">
        <v>33</v>
      </c>
      <c r="J1232" s="156" t="s">
        <v>39</v>
      </c>
      <c r="K1232" s="5"/>
      <c r="L1232" s="3"/>
      <c r="M1232" s="6"/>
      <c r="N1232" s="9"/>
      <c r="O1232" s="158">
        <v>3663</v>
      </c>
      <c r="P1232" s="12"/>
      <c r="Q1232" s="12"/>
      <c r="R1232" s="12"/>
      <c r="S1232" s="12"/>
      <c r="T1232" s="12"/>
      <c r="U1232" s="12"/>
      <c r="V1232" s="12"/>
      <c r="W1232" s="12"/>
      <c r="X1232" s="12"/>
      <c r="Y1232" s="12"/>
      <c r="Z1232" s="12"/>
    </row>
    <row r="1233" spans="1:26" ht="14.25" customHeight="1" x14ac:dyDescent="0.3">
      <c r="A1233" s="155">
        <v>706</v>
      </c>
      <c r="B1233" s="156" t="s">
        <v>1458</v>
      </c>
      <c r="C1233" s="3"/>
      <c r="D1233" s="3"/>
      <c r="E1233" s="156" t="s">
        <v>1457</v>
      </c>
      <c r="F1233" s="3"/>
      <c r="G1233" s="158">
        <v>11.1</v>
      </c>
      <c r="H1233" s="155">
        <v>2</v>
      </c>
      <c r="I1233" s="155">
        <v>33</v>
      </c>
      <c r="J1233" s="156" t="s">
        <v>39</v>
      </c>
      <c r="K1233" s="5"/>
      <c r="L1233" s="3"/>
      <c r="M1233" s="6"/>
      <c r="N1233" s="9"/>
      <c r="O1233" s="158">
        <v>22.2</v>
      </c>
      <c r="P1233" s="12"/>
      <c r="Q1233" s="12"/>
      <c r="R1233" s="12"/>
      <c r="S1233" s="12"/>
      <c r="T1233" s="12"/>
      <c r="U1233" s="12"/>
      <c r="V1233" s="12"/>
      <c r="W1233" s="12"/>
      <c r="X1233" s="12"/>
      <c r="Y1233" s="12"/>
      <c r="Z1233" s="12"/>
    </row>
    <row r="1234" spans="1:26" ht="14.25" customHeight="1" x14ac:dyDescent="0.3">
      <c r="A1234" s="155">
        <v>707</v>
      </c>
      <c r="B1234" s="156" t="s">
        <v>1459</v>
      </c>
      <c r="C1234" s="3"/>
      <c r="D1234" s="3"/>
      <c r="E1234" s="156" t="s">
        <v>1457</v>
      </c>
      <c r="F1234" s="3"/>
      <c r="G1234" s="158">
        <v>27.5</v>
      </c>
      <c r="H1234" s="155">
        <v>9</v>
      </c>
      <c r="I1234" s="155">
        <v>200</v>
      </c>
      <c r="J1234" s="156" t="s">
        <v>32</v>
      </c>
      <c r="K1234" s="5"/>
      <c r="L1234" s="3"/>
      <c r="M1234" s="6"/>
      <c r="N1234" s="9"/>
      <c r="O1234" s="158">
        <v>247.5</v>
      </c>
      <c r="P1234" s="12"/>
      <c r="Q1234" s="12"/>
      <c r="R1234" s="12"/>
      <c r="S1234" s="12"/>
      <c r="T1234" s="12"/>
      <c r="U1234" s="12"/>
      <c r="V1234" s="12"/>
      <c r="W1234" s="12"/>
      <c r="X1234" s="12"/>
      <c r="Y1234" s="12"/>
      <c r="Z1234" s="12"/>
    </row>
    <row r="1235" spans="1:26" ht="14.25" customHeight="1" x14ac:dyDescent="0.3">
      <c r="A1235" s="155">
        <v>274</v>
      </c>
      <c r="B1235" s="156" t="s">
        <v>103</v>
      </c>
      <c r="C1235" s="3"/>
      <c r="D1235" s="3"/>
      <c r="E1235" s="156" t="s">
        <v>1460</v>
      </c>
      <c r="F1235" s="3"/>
      <c r="G1235" s="158">
        <v>8.7977170000000005</v>
      </c>
      <c r="H1235" s="155">
        <v>403</v>
      </c>
      <c r="I1235" s="155">
        <v>500</v>
      </c>
      <c r="J1235" s="156" t="s">
        <v>32</v>
      </c>
      <c r="K1235" s="5"/>
      <c r="L1235" s="3"/>
      <c r="M1235" s="6"/>
      <c r="N1235" s="9"/>
      <c r="O1235" s="158">
        <v>3545.48</v>
      </c>
      <c r="P1235" s="12"/>
      <c r="Q1235" s="12"/>
      <c r="R1235" s="12"/>
      <c r="S1235" s="12"/>
      <c r="T1235" s="12"/>
      <c r="U1235" s="12"/>
      <c r="V1235" s="12"/>
      <c r="W1235" s="12"/>
      <c r="X1235" s="12"/>
      <c r="Y1235" s="12"/>
      <c r="Z1235" s="12"/>
    </row>
    <row r="1236" spans="1:26" ht="14.25" customHeight="1" x14ac:dyDescent="0.3">
      <c r="A1236" s="155">
        <v>274</v>
      </c>
      <c r="B1236" s="156" t="s">
        <v>103</v>
      </c>
      <c r="C1236" s="3"/>
      <c r="D1236" s="3"/>
      <c r="E1236" s="156" t="s">
        <v>1461</v>
      </c>
      <c r="F1236" s="3"/>
      <c r="G1236" s="158">
        <v>39</v>
      </c>
      <c r="H1236" s="155">
        <v>49</v>
      </c>
      <c r="I1236" s="155">
        <v>500</v>
      </c>
      <c r="J1236" s="156" t="s">
        <v>32</v>
      </c>
      <c r="K1236" s="5"/>
      <c r="L1236" s="3"/>
      <c r="M1236" s="6"/>
      <c r="N1236" s="9"/>
      <c r="O1236" s="158">
        <v>1911</v>
      </c>
      <c r="P1236" s="12"/>
      <c r="Q1236" s="12"/>
      <c r="R1236" s="12"/>
      <c r="S1236" s="12"/>
      <c r="T1236" s="12"/>
      <c r="U1236" s="12"/>
      <c r="V1236" s="12"/>
      <c r="W1236" s="12"/>
      <c r="X1236" s="12"/>
      <c r="Y1236" s="12"/>
      <c r="Z1236" s="12"/>
    </row>
    <row r="1237" spans="1:26" ht="14.25" customHeight="1" x14ac:dyDescent="0.3">
      <c r="A1237" s="155">
        <v>274</v>
      </c>
      <c r="B1237" s="156" t="s">
        <v>103</v>
      </c>
      <c r="C1237" s="3"/>
      <c r="D1237" s="3"/>
      <c r="E1237" s="156" t="s">
        <v>1462</v>
      </c>
      <c r="F1237" s="3"/>
      <c r="G1237" s="158">
        <v>90.204549999999998</v>
      </c>
      <c r="H1237" s="155">
        <v>44</v>
      </c>
      <c r="I1237" s="155">
        <v>500</v>
      </c>
      <c r="J1237" s="156" t="s">
        <v>32</v>
      </c>
      <c r="K1237" s="5"/>
      <c r="L1237" s="3"/>
      <c r="M1237" s="6"/>
      <c r="N1237" s="9"/>
      <c r="O1237" s="158">
        <v>3969</v>
      </c>
      <c r="P1237" s="12"/>
      <c r="Q1237" s="12"/>
      <c r="R1237" s="12"/>
      <c r="S1237" s="12"/>
      <c r="T1237" s="12"/>
      <c r="U1237" s="12"/>
      <c r="V1237" s="12"/>
      <c r="W1237" s="12"/>
      <c r="X1237" s="12"/>
      <c r="Y1237" s="12"/>
      <c r="Z1237" s="12"/>
    </row>
    <row r="1238" spans="1:26" ht="14.25" customHeight="1" x14ac:dyDescent="0.3">
      <c r="A1238" s="155">
        <v>274</v>
      </c>
      <c r="B1238" s="156" t="s">
        <v>103</v>
      </c>
      <c r="C1238" s="3"/>
      <c r="D1238" s="3"/>
      <c r="E1238" s="156" t="s">
        <v>1463</v>
      </c>
      <c r="F1238" s="3"/>
      <c r="G1238" s="158">
        <v>8.3008140000000008</v>
      </c>
      <c r="H1238" s="155">
        <v>663</v>
      </c>
      <c r="I1238" s="155">
        <v>500</v>
      </c>
      <c r="J1238" s="156" t="s">
        <v>32</v>
      </c>
      <c r="K1238" s="5"/>
      <c r="L1238" s="3"/>
      <c r="M1238" s="6"/>
      <c r="N1238" s="9"/>
      <c r="O1238" s="158">
        <v>5503.44</v>
      </c>
      <c r="P1238" s="12"/>
      <c r="Q1238" s="12"/>
      <c r="R1238" s="12"/>
      <c r="S1238" s="12"/>
      <c r="T1238" s="12"/>
      <c r="U1238" s="12"/>
      <c r="V1238" s="12"/>
      <c r="W1238" s="12"/>
      <c r="X1238" s="12"/>
      <c r="Y1238" s="12"/>
      <c r="Z1238" s="12"/>
    </row>
    <row r="1239" spans="1:26" ht="14.25" customHeight="1" x14ac:dyDescent="0.3">
      <c r="A1239" s="155">
        <v>274</v>
      </c>
      <c r="B1239" s="156" t="s">
        <v>103</v>
      </c>
      <c r="C1239" s="3"/>
      <c r="D1239" s="3"/>
      <c r="E1239" s="156" t="s">
        <v>1464</v>
      </c>
      <c r="F1239" s="3"/>
      <c r="G1239" s="158">
        <v>10.42</v>
      </c>
      <c r="H1239" s="155">
        <v>99</v>
      </c>
      <c r="I1239" s="155">
        <v>500</v>
      </c>
      <c r="J1239" s="156" t="s">
        <v>32</v>
      </c>
      <c r="K1239" s="5"/>
      <c r="L1239" s="3"/>
      <c r="M1239" s="6"/>
      <c r="N1239" s="9"/>
      <c r="O1239" s="158">
        <v>1031.58</v>
      </c>
      <c r="P1239" s="12"/>
      <c r="Q1239" s="12"/>
      <c r="R1239" s="12"/>
      <c r="S1239" s="12"/>
      <c r="T1239" s="12"/>
      <c r="U1239" s="12"/>
      <c r="V1239" s="12"/>
      <c r="W1239" s="12"/>
      <c r="X1239" s="12"/>
      <c r="Y1239" s="12"/>
      <c r="Z1239" s="12"/>
    </row>
    <row r="1240" spans="1:26" ht="14.25" customHeight="1" x14ac:dyDescent="0.3">
      <c r="A1240" s="155">
        <v>274</v>
      </c>
      <c r="B1240" s="156" t="s">
        <v>1465</v>
      </c>
      <c r="C1240" s="3"/>
      <c r="D1240" s="3"/>
      <c r="E1240" s="156" t="s">
        <v>1463</v>
      </c>
      <c r="F1240" s="3"/>
      <c r="G1240" s="158">
        <v>9.9</v>
      </c>
      <c r="H1240" s="155">
        <v>866</v>
      </c>
      <c r="I1240" s="155">
        <v>500</v>
      </c>
      <c r="J1240" s="156" t="s">
        <v>32</v>
      </c>
      <c r="K1240" s="5"/>
      <c r="L1240" s="3"/>
      <c r="M1240" s="6"/>
      <c r="N1240" s="9"/>
      <c r="O1240" s="158">
        <v>8573.4</v>
      </c>
      <c r="P1240" s="12"/>
      <c r="Q1240" s="12"/>
      <c r="R1240" s="12"/>
      <c r="S1240" s="12"/>
      <c r="T1240" s="12"/>
      <c r="U1240" s="12"/>
      <c r="V1240" s="12"/>
      <c r="W1240" s="12"/>
      <c r="X1240" s="12"/>
      <c r="Y1240" s="12"/>
      <c r="Z1240" s="12"/>
    </row>
    <row r="1241" spans="1:26" ht="14.25" customHeight="1" x14ac:dyDescent="0.3">
      <c r="A1241" s="155">
        <v>274</v>
      </c>
      <c r="B1241" s="156" t="s">
        <v>103</v>
      </c>
      <c r="C1241" s="3"/>
      <c r="D1241" s="3"/>
      <c r="E1241" s="156" t="s">
        <v>1461</v>
      </c>
      <c r="F1241" s="3"/>
      <c r="G1241" s="158">
        <v>75</v>
      </c>
      <c r="H1241" s="155">
        <v>2</v>
      </c>
      <c r="I1241" s="155">
        <v>500</v>
      </c>
      <c r="J1241" s="156" t="s">
        <v>773</v>
      </c>
      <c r="K1241" s="5"/>
      <c r="L1241" s="3"/>
      <c r="M1241" s="6"/>
      <c r="N1241" s="9"/>
      <c r="O1241" s="158">
        <v>150</v>
      </c>
      <c r="P1241" s="12"/>
      <c r="Q1241" s="12"/>
      <c r="R1241" s="12"/>
      <c r="S1241" s="12"/>
      <c r="T1241" s="12"/>
      <c r="U1241" s="12"/>
      <c r="V1241" s="12"/>
      <c r="W1241" s="12"/>
      <c r="X1241" s="12"/>
      <c r="Y1241" s="12"/>
      <c r="Z1241" s="12"/>
    </row>
    <row r="1242" spans="1:26" ht="14.25" customHeight="1" x14ac:dyDescent="0.3">
      <c r="A1242" s="155">
        <v>279</v>
      </c>
      <c r="B1242" s="156" t="s">
        <v>327</v>
      </c>
      <c r="C1242" s="3"/>
      <c r="D1242" s="3"/>
      <c r="E1242" s="156" t="s">
        <v>1056</v>
      </c>
      <c r="F1242" s="3"/>
      <c r="G1242" s="158">
        <v>23.6</v>
      </c>
      <c r="H1242" s="155">
        <v>8</v>
      </c>
      <c r="I1242" s="155">
        <v>100</v>
      </c>
      <c r="J1242" s="156" t="s">
        <v>39</v>
      </c>
      <c r="K1242" s="5"/>
      <c r="L1242" s="3"/>
      <c r="M1242" s="6"/>
      <c r="N1242" s="9"/>
      <c r="O1242" s="158">
        <v>188.8</v>
      </c>
      <c r="P1242" s="12"/>
      <c r="Q1242" s="12"/>
      <c r="R1242" s="12"/>
      <c r="S1242" s="12"/>
      <c r="T1242" s="12"/>
      <c r="U1242" s="12"/>
      <c r="V1242" s="12"/>
      <c r="W1242" s="12"/>
      <c r="X1242" s="12"/>
      <c r="Y1242" s="12"/>
      <c r="Z1242" s="12"/>
    </row>
    <row r="1243" spans="1:26" ht="14.25" customHeight="1" x14ac:dyDescent="0.3">
      <c r="A1243" s="155">
        <v>279</v>
      </c>
      <c r="B1243" s="156" t="s">
        <v>327</v>
      </c>
      <c r="C1243" s="3"/>
      <c r="D1243" s="3"/>
      <c r="E1243" s="156" t="s">
        <v>1056</v>
      </c>
      <c r="F1243" s="3"/>
      <c r="G1243" s="158">
        <v>236.7</v>
      </c>
      <c r="H1243" s="155">
        <v>1</v>
      </c>
      <c r="I1243" s="155">
        <v>100</v>
      </c>
      <c r="J1243" s="156" t="s">
        <v>1466</v>
      </c>
      <c r="K1243" s="5"/>
      <c r="L1243" s="3"/>
      <c r="M1243" s="6"/>
      <c r="N1243" s="9"/>
      <c r="O1243" s="158">
        <v>236.7</v>
      </c>
      <c r="P1243" s="12"/>
      <c r="Q1243" s="12"/>
      <c r="R1243" s="12"/>
      <c r="S1243" s="12"/>
      <c r="T1243" s="12"/>
      <c r="U1243" s="12"/>
      <c r="V1243" s="12"/>
      <c r="W1243" s="12"/>
      <c r="X1243" s="12"/>
      <c r="Y1243" s="12"/>
      <c r="Z1243" s="12"/>
    </row>
    <row r="1244" spans="1:26" ht="14.25" customHeight="1" x14ac:dyDescent="0.3">
      <c r="A1244" s="155">
        <v>279</v>
      </c>
      <c r="B1244" s="156" t="s">
        <v>327</v>
      </c>
      <c r="C1244" s="3"/>
      <c r="D1244" s="3"/>
      <c r="E1244" s="156" t="s">
        <v>1467</v>
      </c>
      <c r="F1244" s="3"/>
      <c r="G1244" s="158">
        <v>20</v>
      </c>
      <c r="H1244" s="155">
        <v>4</v>
      </c>
      <c r="I1244" s="155">
        <v>100</v>
      </c>
      <c r="J1244" s="156" t="s">
        <v>39</v>
      </c>
      <c r="K1244" s="5"/>
      <c r="L1244" s="3"/>
      <c r="M1244" s="6"/>
      <c r="N1244" s="9"/>
      <c r="O1244" s="158">
        <v>80</v>
      </c>
      <c r="P1244" s="12"/>
      <c r="Q1244" s="12"/>
      <c r="R1244" s="12"/>
      <c r="S1244" s="12"/>
      <c r="T1244" s="12"/>
      <c r="U1244" s="12"/>
      <c r="V1244" s="12"/>
      <c r="W1244" s="12"/>
      <c r="X1244" s="12"/>
      <c r="Y1244" s="12"/>
      <c r="Z1244" s="12"/>
    </row>
    <row r="1245" spans="1:26" ht="14.25" customHeight="1" x14ac:dyDescent="0.3">
      <c r="A1245" s="155">
        <v>279</v>
      </c>
      <c r="B1245" s="156" t="s">
        <v>327</v>
      </c>
      <c r="C1245" s="3"/>
      <c r="D1245" s="3"/>
      <c r="E1245" s="156" t="s">
        <v>1468</v>
      </c>
      <c r="F1245" s="3"/>
      <c r="G1245" s="158">
        <v>125</v>
      </c>
      <c r="H1245" s="155">
        <v>2</v>
      </c>
      <c r="I1245" s="155">
        <v>100</v>
      </c>
      <c r="J1245" s="156" t="s">
        <v>213</v>
      </c>
      <c r="K1245" s="5"/>
      <c r="L1245" s="3"/>
      <c r="M1245" s="6"/>
      <c r="N1245" s="9"/>
      <c r="O1245" s="158">
        <v>250</v>
      </c>
      <c r="P1245" s="12"/>
      <c r="Q1245" s="12"/>
      <c r="R1245" s="12"/>
      <c r="S1245" s="12"/>
      <c r="T1245" s="12"/>
      <c r="U1245" s="12"/>
      <c r="V1245" s="12"/>
      <c r="W1245" s="12"/>
      <c r="X1245" s="12"/>
      <c r="Y1245" s="12"/>
      <c r="Z1245" s="12"/>
    </row>
    <row r="1246" spans="1:26" ht="14.25" customHeight="1" x14ac:dyDescent="0.3">
      <c r="A1246" s="155">
        <v>279</v>
      </c>
      <c r="B1246" s="156" t="s">
        <v>327</v>
      </c>
      <c r="C1246" s="3"/>
      <c r="D1246" s="3"/>
      <c r="E1246" s="156" t="s">
        <v>867</v>
      </c>
      <c r="F1246" s="3"/>
      <c r="G1246" s="158">
        <v>120</v>
      </c>
      <c r="H1246" s="155">
        <v>1</v>
      </c>
      <c r="I1246" s="155">
        <v>100</v>
      </c>
      <c r="J1246" s="156" t="s">
        <v>213</v>
      </c>
      <c r="K1246" s="5"/>
      <c r="L1246" s="3"/>
      <c r="M1246" s="6"/>
      <c r="N1246" s="9"/>
      <c r="O1246" s="158">
        <v>120</v>
      </c>
      <c r="P1246" s="12"/>
      <c r="Q1246" s="12"/>
      <c r="R1246" s="12"/>
      <c r="S1246" s="12"/>
      <c r="T1246" s="12"/>
      <c r="U1246" s="12"/>
      <c r="V1246" s="12"/>
      <c r="W1246" s="12"/>
      <c r="X1246" s="12"/>
      <c r="Y1246" s="12"/>
      <c r="Z1246" s="12"/>
    </row>
    <row r="1247" spans="1:26" ht="14.25" customHeight="1" x14ac:dyDescent="0.3">
      <c r="A1247" s="155">
        <v>708</v>
      </c>
      <c r="B1247" s="156" t="s">
        <v>1469</v>
      </c>
      <c r="C1247" s="3"/>
      <c r="D1247" s="3"/>
      <c r="E1247" s="156" t="s">
        <v>1470</v>
      </c>
      <c r="F1247" s="3"/>
      <c r="G1247" s="158">
        <v>50</v>
      </c>
      <c r="H1247" s="155">
        <v>3</v>
      </c>
      <c r="I1247" s="155">
        <v>400</v>
      </c>
      <c r="J1247" s="156" t="s">
        <v>39</v>
      </c>
      <c r="K1247" s="5"/>
      <c r="L1247" s="3"/>
      <c r="M1247" s="6"/>
      <c r="N1247" s="9"/>
      <c r="O1247" s="158">
        <v>150</v>
      </c>
      <c r="P1247" s="12"/>
      <c r="Q1247" s="12"/>
      <c r="R1247" s="12"/>
      <c r="S1247" s="12"/>
      <c r="T1247" s="12"/>
      <c r="U1247" s="12"/>
      <c r="V1247" s="12"/>
      <c r="W1247" s="12"/>
      <c r="X1247" s="12"/>
      <c r="Y1247" s="12"/>
      <c r="Z1247" s="12"/>
    </row>
    <row r="1248" spans="1:26" ht="14.25" customHeight="1" x14ac:dyDescent="0.3">
      <c r="A1248" s="155">
        <v>283</v>
      </c>
      <c r="B1248" s="156" t="s">
        <v>454</v>
      </c>
      <c r="C1248" s="3"/>
      <c r="D1248" s="3"/>
      <c r="E1248" s="156"/>
      <c r="F1248" s="3"/>
      <c r="G1248" s="158">
        <v>98.75</v>
      </c>
      <c r="H1248" s="155">
        <v>12</v>
      </c>
      <c r="I1248" s="155">
        <v>1</v>
      </c>
      <c r="J1248" s="156" t="s">
        <v>213</v>
      </c>
      <c r="K1248" s="5"/>
      <c r="L1248" s="3"/>
      <c r="M1248" s="6"/>
      <c r="N1248" s="9"/>
      <c r="O1248" s="158">
        <v>1185</v>
      </c>
      <c r="P1248" s="12"/>
      <c r="Q1248" s="12"/>
      <c r="R1248" s="12"/>
      <c r="S1248" s="12"/>
      <c r="T1248" s="12"/>
      <c r="U1248" s="12"/>
      <c r="V1248" s="12"/>
      <c r="W1248" s="12"/>
      <c r="X1248" s="12"/>
      <c r="Y1248" s="12"/>
      <c r="Z1248" s="12"/>
    </row>
    <row r="1249" spans="1:26" ht="14.25" customHeight="1" x14ac:dyDescent="0.3">
      <c r="A1249" s="155">
        <v>283</v>
      </c>
      <c r="B1249" s="156" t="s">
        <v>454</v>
      </c>
      <c r="C1249" s="3"/>
      <c r="D1249" s="3"/>
      <c r="E1249" s="156" t="s">
        <v>1191</v>
      </c>
      <c r="F1249" s="3"/>
      <c r="G1249" s="158">
        <v>88</v>
      </c>
      <c r="H1249" s="155">
        <v>6</v>
      </c>
      <c r="I1249" s="155">
        <v>1</v>
      </c>
      <c r="J1249" s="156" t="s">
        <v>213</v>
      </c>
      <c r="K1249" s="5"/>
      <c r="L1249" s="3"/>
      <c r="M1249" s="6"/>
      <c r="N1249" s="9"/>
      <c r="O1249" s="158">
        <v>528</v>
      </c>
      <c r="P1249" s="12"/>
      <c r="Q1249" s="12"/>
      <c r="R1249" s="12"/>
      <c r="S1249" s="12"/>
      <c r="T1249" s="12"/>
      <c r="U1249" s="12"/>
      <c r="V1249" s="12"/>
      <c r="W1249" s="12"/>
      <c r="X1249" s="12"/>
      <c r="Y1249" s="12"/>
      <c r="Z1249" s="12"/>
    </row>
    <row r="1250" spans="1:26" ht="14.25" customHeight="1" x14ac:dyDescent="0.3">
      <c r="A1250" s="155">
        <v>283</v>
      </c>
      <c r="B1250" s="156" t="s">
        <v>454</v>
      </c>
      <c r="C1250" s="3"/>
      <c r="D1250" s="3"/>
      <c r="E1250" s="156" t="s">
        <v>1471</v>
      </c>
      <c r="F1250" s="3"/>
      <c r="G1250" s="158">
        <v>100</v>
      </c>
      <c r="H1250" s="155">
        <v>7</v>
      </c>
      <c r="I1250" s="155">
        <v>1</v>
      </c>
      <c r="J1250" s="156" t="s">
        <v>213</v>
      </c>
      <c r="K1250" s="5"/>
      <c r="L1250" s="3"/>
      <c r="M1250" s="6"/>
      <c r="N1250" s="9"/>
      <c r="O1250" s="158">
        <v>700</v>
      </c>
      <c r="P1250" s="12"/>
      <c r="Q1250" s="12"/>
      <c r="R1250" s="12"/>
      <c r="S1250" s="12"/>
      <c r="T1250" s="12"/>
      <c r="U1250" s="12"/>
      <c r="V1250" s="12"/>
      <c r="W1250" s="12"/>
      <c r="X1250" s="12"/>
      <c r="Y1250" s="12"/>
      <c r="Z1250" s="12"/>
    </row>
    <row r="1251" spans="1:26" ht="14.25" customHeight="1" x14ac:dyDescent="0.3">
      <c r="A1251" s="155">
        <v>284</v>
      </c>
      <c r="B1251" s="156" t="s">
        <v>203</v>
      </c>
      <c r="C1251" s="3"/>
      <c r="D1251" s="3"/>
      <c r="E1251" s="156" t="s">
        <v>1472</v>
      </c>
      <c r="F1251" s="3"/>
      <c r="G1251" s="158">
        <v>93.724999999999994</v>
      </c>
      <c r="H1251" s="155">
        <v>12</v>
      </c>
      <c r="I1251" s="155">
        <v>1</v>
      </c>
      <c r="J1251" s="156" t="s">
        <v>92</v>
      </c>
      <c r="K1251" s="5"/>
      <c r="L1251" s="3"/>
      <c r="M1251" s="6"/>
      <c r="N1251" s="9"/>
      <c r="O1251" s="158">
        <v>1124.7</v>
      </c>
      <c r="P1251" s="12"/>
      <c r="Q1251" s="12"/>
      <c r="R1251" s="12"/>
      <c r="S1251" s="12"/>
      <c r="T1251" s="12"/>
      <c r="U1251" s="12"/>
      <c r="V1251" s="12"/>
      <c r="W1251" s="12"/>
      <c r="X1251" s="12"/>
      <c r="Y1251" s="12"/>
      <c r="Z1251" s="12"/>
    </row>
    <row r="1252" spans="1:26" ht="14.25" customHeight="1" x14ac:dyDescent="0.3">
      <c r="A1252" s="155">
        <v>284</v>
      </c>
      <c r="B1252" s="156" t="s">
        <v>203</v>
      </c>
      <c r="C1252" s="3"/>
      <c r="D1252" s="3"/>
      <c r="E1252" s="156"/>
      <c r="F1252" s="3"/>
      <c r="G1252" s="158">
        <v>120</v>
      </c>
      <c r="H1252" s="155">
        <v>1</v>
      </c>
      <c r="I1252" s="155">
        <v>1</v>
      </c>
      <c r="J1252" s="156" t="s">
        <v>92</v>
      </c>
      <c r="K1252" s="5"/>
      <c r="L1252" s="3"/>
      <c r="M1252" s="6"/>
      <c r="N1252" s="9"/>
      <c r="O1252" s="158">
        <v>120</v>
      </c>
      <c r="P1252" s="12"/>
      <c r="Q1252" s="12"/>
      <c r="R1252" s="12"/>
      <c r="S1252" s="12"/>
      <c r="T1252" s="12"/>
      <c r="U1252" s="12"/>
      <c r="V1252" s="12"/>
      <c r="W1252" s="12"/>
      <c r="X1252" s="12"/>
      <c r="Y1252" s="12"/>
      <c r="Z1252" s="12"/>
    </row>
    <row r="1253" spans="1:26" ht="14.25" customHeight="1" x14ac:dyDescent="0.3">
      <c r="A1253" s="155">
        <v>291</v>
      </c>
      <c r="B1253" s="156" t="s">
        <v>694</v>
      </c>
      <c r="C1253" s="3"/>
      <c r="D1253" s="3"/>
      <c r="E1253" s="156" t="s">
        <v>865</v>
      </c>
      <c r="F1253" s="3"/>
      <c r="G1253" s="158">
        <v>46.02</v>
      </c>
      <c r="H1253" s="155">
        <v>15</v>
      </c>
      <c r="I1253" s="155">
        <v>156</v>
      </c>
      <c r="J1253" s="156" t="s">
        <v>39</v>
      </c>
      <c r="K1253" s="5"/>
      <c r="L1253" s="3"/>
      <c r="M1253" s="6"/>
      <c r="N1253" s="9"/>
      <c r="O1253" s="158">
        <v>690.3</v>
      </c>
      <c r="P1253" s="12"/>
      <c r="Q1253" s="12"/>
      <c r="R1253" s="12"/>
      <c r="S1253" s="12"/>
      <c r="T1253" s="12"/>
      <c r="U1253" s="12"/>
      <c r="V1253" s="12"/>
      <c r="W1253" s="12"/>
      <c r="X1253" s="12"/>
      <c r="Y1253" s="12"/>
      <c r="Z1253" s="12"/>
    </row>
    <row r="1254" spans="1:26" ht="14.25" customHeight="1" x14ac:dyDescent="0.3">
      <c r="A1254" s="155">
        <v>291</v>
      </c>
      <c r="B1254" s="156" t="s">
        <v>694</v>
      </c>
      <c r="C1254" s="3"/>
      <c r="D1254" s="3"/>
      <c r="E1254" s="156" t="s">
        <v>865</v>
      </c>
      <c r="F1254" s="3"/>
      <c r="G1254" s="158">
        <v>61</v>
      </c>
      <c r="H1254" s="155">
        <v>1</v>
      </c>
      <c r="I1254" s="155">
        <v>156</v>
      </c>
      <c r="J1254" s="156" t="s">
        <v>519</v>
      </c>
      <c r="K1254" s="5"/>
      <c r="L1254" s="3"/>
      <c r="M1254" s="6"/>
      <c r="N1254" s="9"/>
      <c r="O1254" s="158">
        <v>61</v>
      </c>
      <c r="P1254" s="12"/>
      <c r="Q1254" s="12"/>
      <c r="R1254" s="12"/>
      <c r="S1254" s="12"/>
      <c r="T1254" s="12"/>
      <c r="U1254" s="12"/>
      <c r="V1254" s="12"/>
      <c r="W1254" s="12"/>
      <c r="X1254" s="12"/>
      <c r="Y1254" s="12"/>
      <c r="Z1254" s="12"/>
    </row>
    <row r="1255" spans="1:26" ht="14.25" customHeight="1" x14ac:dyDescent="0.3">
      <c r="A1255" s="155">
        <v>292</v>
      </c>
      <c r="B1255" s="156" t="s">
        <v>695</v>
      </c>
      <c r="C1255" s="3"/>
      <c r="D1255" s="3"/>
      <c r="E1255" s="156" t="s">
        <v>865</v>
      </c>
      <c r="F1255" s="3"/>
      <c r="G1255" s="158">
        <v>63.8</v>
      </c>
      <c r="H1255" s="155">
        <v>10</v>
      </c>
      <c r="I1255" s="155">
        <v>200</v>
      </c>
      <c r="J1255" s="156" t="s">
        <v>519</v>
      </c>
      <c r="K1255" s="5"/>
      <c r="L1255" s="3"/>
      <c r="M1255" s="6"/>
      <c r="N1255" s="9"/>
      <c r="O1255" s="158">
        <v>638</v>
      </c>
      <c r="P1255" s="12"/>
      <c r="Q1255" s="12"/>
      <c r="R1255" s="12"/>
      <c r="S1255" s="12"/>
      <c r="T1255" s="12"/>
      <c r="U1255" s="12"/>
      <c r="V1255" s="12"/>
      <c r="W1255" s="12"/>
      <c r="X1255" s="12"/>
      <c r="Y1255" s="12"/>
      <c r="Z1255" s="12"/>
    </row>
    <row r="1256" spans="1:26" ht="14.25" customHeight="1" x14ac:dyDescent="0.3">
      <c r="A1256" s="155">
        <v>709</v>
      </c>
      <c r="B1256" s="156" t="s">
        <v>1473</v>
      </c>
      <c r="C1256" s="3"/>
      <c r="D1256" s="3"/>
      <c r="E1256" s="156" t="s">
        <v>854</v>
      </c>
      <c r="F1256" s="3"/>
      <c r="G1256" s="158">
        <v>87.25</v>
      </c>
      <c r="H1256" s="155">
        <v>2</v>
      </c>
      <c r="I1256" s="155">
        <v>200</v>
      </c>
      <c r="J1256" s="156" t="s">
        <v>39</v>
      </c>
      <c r="K1256" s="5"/>
      <c r="L1256" s="3"/>
      <c r="M1256" s="6"/>
      <c r="N1256" s="9"/>
      <c r="O1256" s="158">
        <v>174.5</v>
      </c>
      <c r="P1256" s="12"/>
      <c r="Q1256" s="12"/>
      <c r="R1256" s="12"/>
      <c r="S1256" s="12"/>
      <c r="T1256" s="12"/>
      <c r="U1256" s="12"/>
      <c r="V1256" s="12"/>
      <c r="W1256" s="12"/>
      <c r="X1256" s="12"/>
      <c r="Y1256" s="12"/>
      <c r="Z1256" s="12"/>
    </row>
    <row r="1257" spans="1:26" ht="14.25" customHeight="1" x14ac:dyDescent="0.3">
      <c r="A1257" s="155">
        <v>710</v>
      </c>
      <c r="B1257" s="156" t="s">
        <v>1474</v>
      </c>
      <c r="C1257" s="3"/>
      <c r="D1257" s="3"/>
      <c r="E1257" s="156" t="s">
        <v>1475</v>
      </c>
      <c r="F1257" s="3"/>
      <c r="G1257" s="158">
        <v>180</v>
      </c>
      <c r="H1257" s="155">
        <v>1</v>
      </c>
      <c r="I1257" s="155">
        <v>896</v>
      </c>
      <c r="J1257" s="156" t="s">
        <v>39</v>
      </c>
      <c r="K1257" s="5"/>
      <c r="L1257" s="3"/>
      <c r="M1257" s="6"/>
      <c r="N1257" s="9"/>
      <c r="O1257" s="158">
        <v>180</v>
      </c>
      <c r="P1257" s="12"/>
      <c r="Q1257" s="12"/>
      <c r="R1257" s="12"/>
      <c r="S1257" s="12"/>
      <c r="T1257" s="12"/>
      <c r="U1257" s="12"/>
      <c r="V1257" s="12"/>
      <c r="W1257" s="12"/>
      <c r="X1257" s="12"/>
      <c r="Y1257" s="12"/>
      <c r="Z1257" s="12"/>
    </row>
    <row r="1258" spans="1:26" ht="14.25" customHeight="1" x14ac:dyDescent="0.3">
      <c r="A1258" s="155">
        <v>711</v>
      </c>
      <c r="B1258" s="156" t="s">
        <v>1476</v>
      </c>
      <c r="C1258" s="3"/>
      <c r="D1258" s="3"/>
      <c r="E1258" s="156" t="s">
        <v>1272</v>
      </c>
      <c r="F1258" s="3"/>
      <c r="G1258" s="158">
        <v>49.75</v>
      </c>
      <c r="H1258" s="155">
        <v>6</v>
      </c>
      <c r="I1258" s="155">
        <v>1</v>
      </c>
      <c r="J1258" s="156" t="s">
        <v>92</v>
      </c>
      <c r="K1258" s="5"/>
      <c r="L1258" s="3"/>
      <c r="M1258" s="6"/>
      <c r="N1258" s="9"/>
      <c r="O1258" s="158">
        <v>298.5</v>
      </c>
      <c r="P1258" s="12"/>
      <c r="Q1258" s="12"/>
      <c r="R1258" s="12"/>
      <c r="S1258" s="12"/>
      <c r="T1258" s="12"/>
      <c r="U1258" s="12"/>
      <c r="V1258" s="12"/>
      <c r="W1258" s="12"/>
      <c r="X1258" s="12"/>
      <c r="Y1258" s="12"/>
      <c r="Z1258" s="12"/>
    </row>
    <row r="1259" spans="1:26" ht="14.25" customHeight="1" x14ac:dyDescent="0.3">
      <c r="A1259" s="155">
        <v>712</v>
      </c>
      <c r="B1259" s="156" t="s">
        <v>1477</v>
      </c>
      <c r="C1259" s="3"/>
      <c r="D1259" s="3"/>
      <c r="E1259" s="156"/>
      <c r="F1259" s="3"/>
      <c r="G1259" s="158">
        <v>60</v>
      </c>
      <c r="H1259" s="155">
        <v>1</v>
      </c>
      <c r="I1259" s="155">
        <v>1</v>
      </c>
      <c r="J1259" s="156" t="s">
        <v>213</v>
      </c>
      <c r="K1259" s="5"/>
      <c r="L1259" s="3"/>
      <c r="M1259" s="6"/>
      <c r="N1259" s="9"/>
      <c r="O1259" s="158">
        <v>60</v>
      </c>
      <c r="P1259" s="12"/>
      <c r="Q1259" s="12"/>
      <c r="R1259" s="12"/>
      <c r="S1259" s="12"/>
      <c r="T1259" s="12"/>
      <c r="U1259" s="12"/>
      <c r="V1259" s="12"/>
      <c r="W1259" s="12"/>
      <c r="X1259" s="12"/>
      <c r="Y1259" s="12"/>
      <c r="Z1259" s="12"/>
    </row>
    <row r="1260" spans="1:26" ht="14.25" customHeight="1" x14ac:dyDescent="0.3">
      <c r="A1260" s="155">
        <v>713</v>
      </c>
      <c r="B1260" s="156" t="s">
        <v>1478</v>
      </c>
      <c r="C1260" s="3"/>
      <c r="D1260" s="3"/>
      <c r="E1260" s="156" t="s">
        <v>854</v>
      </c>
      <c r="F1260" s="3"/>
      <c r="G1260" s="158">
        <v>118.5</v>
      </c>
      <c r="H1260" s="155">
        <v>3</v>
      </c>
      <c r="I1260" s="155">
        <v>37</v>
      </c>
      <c r="J1260" s="156" t="s">
        <v>39</v>
      </c>
      <c r="K1260" s="5"/>
      <c r="L1260" s="3"/>
      <c r="M1260" s="6"/>
      <c r="N1260" s="9"/>
      <c r="O1260" s="158">
        <v>355.5</v>
      </c>
      <c r="P1260" s="12"/>
      <c r="Q1260" s="12"/>
      <c r="R1260" s="12"/>
      <c r="S1260" s="12"/>
      <c r="T1260" s="12"/>
      <c r="U1260" s="12"/>
      <c r="V1260" s="12"/>
      <c r="W1260" s="12"/>
      <c r="X1260" s="12"/>
      <c r="Y1260" s="12"/>
      <c r="Z1260" s="12"/>
    </row>
    <row r="1261" spans="1:26" ht="14.25" customHeight="1" x14ac:dyDescent="0.3">
      <c r="A1261" s="155">
        <v>714</v>
      </c>
      <c r="B1261" s="156" t="s">
        <v>1479</v>
      </c>
      <c r="C1261" s="3"/>
      <c r="D1261" s="3"/>
      <c r="E1261" s="156"/>
      <c r="F1261" s="3"/>
      <c r="G1261" s="158">
        <v>65</v>
      </c>
      <c r="H1261" s="155">
        <v>4</v>
      </c>
      <c r="I1261" s="155">
        <v>1</v>
      </c>
      <c r="J1261" s="156" t="s">
        <v>213</v>
      </c>
      <c r="K1261" s="5"/>
      <c r="L1261" s="3"/>
      <c r="M1261" s="6"/>
      <c r="N1261" s="9"/>
      <c r="O1261" s="158">
        <v>260</v>
      </c>
      <c r="P1261" s="12"/>
      <c r="Q1261" s="12"/>
      <c r="R1261" s="12"/>
      <c r="S1261" s="12"/>
      <c r="T1261" s="12"/>
      <c r="U1261" s="12"/>
      <c r="V1261" s="12"/>
      <c r="W1261" s="12"/>
      <c r="X1261" s="12"/>
      <c r="Y1261" s="12"/>
      <c r="Z1261" s="12"/>
    </row>
    <row r="1262" spans="1:26" ht="14.25" customHeight="1" x14ac:dyDescent="0.3">
      <c r="A1262" s="155">
        <v>714</v>
      </c>
      <c r="B1262" s="156" t="s">
        <v>1479</v>
      </c>
      <c r="C1262" s="3"/>
      <c r="D1262" s="3"/>
      <c r="E1262" s="156" t="s">
        <v>1480</v>
      </c>
      <c r="F1262" s="3"/>
      <c r="G1262" s="158">
        <v>60</v>
      </c>
      <c r="H1262" s="155">
        <v>1</v>
      </c>
      <c r="I1262" s="155">
        <v>1</v>
      </c>
      <c r="J1262" s="156" t="s">
        <v>213</v>
      </c>
      <c r="K1262" s="5"/>
      <c r="L1262" s="3"/>
      <c r="M1262" s="6"/>
      <c r="N1262" s="9"/>
      <c r="O1262" s="158">
        <v>60</v>
      </c>
      <c r="P1262" s="12"/>
      <c r="Q1262" s="12"/>
      <c r="R1262" s="12"/>
      <c r="S1262" s="12"/>
      <c r="T1262" s="12"/>
      <c r="U1262" s="12"/>
      <c r="V1262" s="12"/>
      <c r="W1262" s="12"/>
      <c r="X1262" s="12"/>
      <c r="Y1262" s="12"/>
      <c r="Z1262" s="12"/>
    </row>
    <row r="1263" spans="1:26" ht="14.25" customHeight="1" x14ac:dyDescent="0.3">
      <c r="A1263" s="155">
        <v>715</v>
      </c>
      <c r="B1263" s="156" t="s">
        <v>1481</v>
      </c>
      <c r="C1263" s="3"/>
      <c r="D1263" s="3"/>
      <c r="E1263" s="156" t="s">
        <v>963</v>
      </c>
      <c r="F1263" s="3"/>
      <c r="G1263" s="158">
        <v>294</v>
      </c>
      <c r="H1263" s="155">
        <v>1</v>
      </c>
      <c r="I1263" s="155">
        <v>500</v>
      </c>
      <c r="J1263" s="156" t="s">
        <v>39</v>
      </c>
      <c r="K1263" s="5"/>
      <c r="L1263" s="3"/>
      <c r="M1263" s="6"/>
      <c r="N1263" s="9"/>
      <c r="O1263" s="158">
        <v>294</v>
      </c>
      <c r="P1263" s="12"/>
      <c r="Q1263" s="12"/>
      <c r="R1263" s="12"/>
      <c r="S1263" s="12"/>
      <c r="T1263" s="12"/>
      <c r="U1263" s="12"/>
      <c r="V1263" s="12"/>
      <c r="W1263" s="12"/>
      <c r="X1263" s="12"/>
      <c r="Y1263" s="12"/>
      <c r="Z1263" s="12"/>
    </row>
    <row r="1264" spans="1:26" ht="14.25" customHeight="1" x14ac:dyDescent="0.3">
      <c r="A1264" s="155">
        <v>715</v>
      </c>
      <c r="B1264" s="156" t="s">
        <v>1481</v>
      </c>
      <c r="C1264" s="3"/>
      <c r="D1264" s="3"/>
      <c r="E1264" s="156" t="s">
        <v>963</v>
      </c>
      <c r="F1264" s="3"/>
      <c r="G1264" s="158">
        <v>534.75</v>
      </c>
      <c r="H1264" s="155">
        <v>1</v>
      </c>
      <c r="I1264" s="155">
        <v>500</v>
      </c>
      <c r="J1264" s="156" t="s">
        <v>32</v>
      </c>
      <c r="K1264" s="5"/>
      <c r="L1264" s="3"/>
      <c r="M1264" s="6"/>
      <c r="N1264" s="9"/>
      <c r="O1264" s="158">
        <v>534.75</v>
      </c>
      <c r="P1264" s="12"/>
      <c r="Q1264" s="12"/>
      <c r="R1264" s="12"/>
      <c r="S1264" s="12"/>
      <c r="T1264" s="12"/>
      <c r="U1264" s="12"/>
      <c r="V1264" s="12"/>
      <c r="W1264" s="12"/>
      <c r="X1264" s="12"/>
      <c r="Y1264" s="12"/>
      <c r="Z1264" s="12"/>
    </row>
    <row r="1265" spans="1:26" ht="14.25" customHeight="1" x14ac:dyDescent="0.3">
      <c r="A1265" s="155">
        <v>715</v>
      </c>
      <c r="B1265" s="156" t="s">
        <v>1481</v>
      </c>
      <c r="C1265" s="3"/>
      <c r="D1265" s="3"/>
      <c r="E1265" s="156" t="s">
        <v>880</v>
      </c>
      <c r="F1265" s="3"/>
      <c r="G1265" s="158">
        <v>244.5</v>
      </c>
      <c r="H1265" s="155">
        <v>1</v>
      </c>
      <c r="I1265" s="155">
        <v>500</v>
      </c>
      <c r="J1265" s="156" t="s">
        <v>32</v>
      </c>
      <c r="K1265" s="5"/>
      <c r="L1265" s="3"/>
      <c r="M1265" s="6"/>
      <c r="N1265" s="9"/>
      <c r="O1265" s="158">
        <v>244.5</v>
      </c>
      <c r="P1265" s="12"/>
      <c r="Q1265" s="12"/>
      <c r="R1265" s="12"/>
      <c r="S1265" s="12"/>
      <c r="T1265" s="12"/>
      <c r="U1265" s="12"/>
      <c r="V1265" s="12"/>
      <c r="W1265" s="12"/>
      <c r="X1265" s="12"/>
      <c r="Y1265" s="12"/>
      <c r="Z1265" s="12"/>
    </row>
    <row r="1266" spans="1:26" ht="14.25" customHeight="1" x14ac:dyDescent="0.3">
      <c r="A1266" s="155">
        <v>301</v>
      </c>
      <c r="B1266" s="156" t="s">
        <v>703</v>
      </c>
      <c r="C1266" s="3"/>
      <c r="D1266" s="3"/>
      <c r="E1266" s="156" t="s">
        <v>963</v>
      </c>
      <c r="F1266" s="3"/>
      <c r="G1266" s="158">
        <v>274.10000000000002</v>
      </c>
      <c r="H1266" s="155">
        <v>3</v>
      </c>
      <c r="I1266" s="155">
        <v>250</v>
      </c>
      <c r="J1266" s="156" t="s">
        <v>32</v>
      </c>
      <c r="K1266" s="5"/>
      <c r="L1266" s="3"/>
      <c r="M1266" s="6"/>
      <c r="N1266" s="9"/>
      <c r="O1266" s="158">
        <v>822.3</v>
      </c>
      <c r="P1266" s="12"/>
      <c r="Q1266" s="12"/>
      <c r="R1266" s="12"/>
      <c r="S1266" s="12"/>
      <c r="T1266" s="12"/>
      <c r="U1266" s="12"/>
      <c r="V1266" s="12"/>
      <c r="W1266" s="12"/>
      <c r="X1266" s="12"/>
      <c r="Y1266" s="12"/>
      <c r="Z1266" s="12"/>
    </row>
    <row r="1267" spans="1:26" ht="14.25" customHeight="1" x14ac:dyDescent="0.3">
      <c r="A1267" s="155">
        <v>301</v>
      </c>
      <c r="B1267" s="156" t="s">
        <v>703</v>
      </c>
      <c r="C1267" s="3"/>
      <c r="D1267" s="3"/>
      <c r="E1267" s="156" t="s">
        <v>963</v>
      </c>
      <c r="F1267" s="3"/>
      <c r="G1267" s="158">
        <v>290</v>
      </c>
      <c r="H1267" s="155">
        <v>4</v>
      </c>
      <c r="I1267" s="155">
        <v>250</v>
      </c>
      <c r="J1267" s="156" t="s">
        <v>39</v>
      </c>
      <c r="K1267" s="5"/>
      <c r="L1267" s="3"/>
      <c r="M1267" s="6"/>
      <c r="N1267" s="9"/>
      <c r="O1267" s="158">
        <v>1160</v>
      </c>
      <c r="P1267" s="12"/>
      <c r="Q1267" s="12"/>
      <c r="R1267" s="12"/>
      <c r="S1267" s="12"/>
      <c r="T1267" s="12"/>
      <c r="U1267" s="12"/>
      <c r="V1267" s="12"/>
      <c r="W1267" s="12"/>
      <c r="X1267" s="12"/>
      <c r="Y1267" s="12"/>
      <c r="Z1267" s="12"/>
    </row>
    <row r="1268" spans="1:26" ht="14.25" customHeight="1" x14ac:dyDescent="0.3">
      <c r="A1268" s="155">
        <v>716</v>
      </c>
      <c r="B1268" s="156" t="s">
        <v>1482</v>
      </c>
      <c r="C1268" s="3"/>
      <c r="D1268" s="3"/>
      <c r="E1268" s="156"/>
      <c r="F1268" s="3"/>
      <c r="G1268" s="158">
        <v>0</v>
      </c>
      <c r="H1268" s="155">
        <v>0</v>
      </c>
      <c r="I1268" s="155">
        <v>1</v>
      </c>
      <c r="J1268" s="156" t="s">
        <v>213</v>
      </c>
      <c r="K1268" s="5"/>
      <c r="L1268" s="3"/>
      <c r="M1268" s="6"/>
      <c r="N1268" s="9"/>
      <c r="O1268" s="158">
        <v>0</v>
      </c>
      <c r="P1268" s="12"/>
      <c r="Q1268" s="12"/>
      <c r="R1268" s="12"/>
      <c r="S1268" s="12"/>
      <c r="T1268" s="12"/>
      <c r="U1268" s="12"/>
      <c r="V1268" s="12"/>
      <c r="W1268" s="12"/>
      <c r="X1268" s="12"/>
      <c r="Y1268" s="12"/>
      <c r="Z1268" s="12"/>
    </row>
    <row r="1269" spans="1:26" ht="14.25" customHeight="1" x14ac:dyDescent="0.3">
      <c r="A1269" s="155">
        <v>717</v>
      </c>
      <c r="B1269" s="156" t="s">
        <v>1483</v>
      </c>
      <c r="C1269" s="3"/>
      <c r="D1269" s="3"/>
      <c r="E1269" s="156" t="s">
        <v>1074</v>
      </c>
      <c r="F1269" s="3"/>
      <c r="G1269" s="158">
        <v>14.35</v>
      </c>
      <c r="H1269" s="155">
        <v>1</v>
      </c>
      <c r="I1269" s="155">
        <v>30</v>
      </c>
      <c r="J1269" s="156" t="s">
        <v>39</v>
      </c>
      <c r="K1269" s="5"/>
      <c r="L1269" s="3"/>
      <c r="M1269" s="6"/>
      <c r="N1269" s="9"/>
      <c r="O1269" s="158">
        <v>14.35</v>
      </c>
      <c r="P1269" s="12"/>
      <c r="Q1269" s="12"/>
      <c r="R1269" s="12"/>
      <c r="S1269" s="12"/>
      <c r="T1269" s="12"/>
      <c r="U1269" s="12"/>
      <c r="V1269" s="12"/>
      <c r="W1269" s="12"/>
      <c r="X1269" s="12"/>
      <c r="Y1269" s="12"/>
      <c r="Z1269" s="12"/>
    </row>
    <row r="1270" spans="1:26" ht="14.25" customHeight="1" x14ac:dyDescent="0.3">
      <c r="A1270" s="155">
        <v>718</v>
      </c>
      <c r="B1270" s="156" t="s">
        <v>1484</v>
      </c>
      <c r="C1270" s="3"/>
      <c r="D1270" s="3"/>
      <c r="E1270" s="156"/>
      <c r="F1270" s="3"/>
      <c r="G1270" s="158">
        <v>187.5</v>
      </c>
      <c r="H1270" s="155">
        <v>2</v>
      </c>
      <c r="I1270" s="155">
        <v>1</v>
      </c>
      <c r="J1270" s="156" t="s">
        <v>213</v>
      </c>
      <c r="K1270" s="5"/>
      <c r="L1270" s="3"/>
      <c r="M1270" s="6"/>
      <c r="N1270" s="9"/>
      <c r="O1270" s="158">
        <v>375</v>
      </c>
      <c r="P1270" s="12"/>
      <c r="Q1270" s="12"/>
      <c r="R1270" s="12"/>
      <c r="S1270" s="12"/>
      <c r="T1270" s="12"/>
      <c r="U1270" s="12"/>
      <c r="V1270" s="12"/>
      <c r="W1270" s="12"/>
      <c r="X1270" s="12"/>
      <c r="Y1270" s="12"/>
      <c r="Z1270" s="12"/>
    </row>
    <row r="1271" spans="1:26" ht="14.25" customHeight="1" x14ac:dyDescent="0.3">
      <c r="A1271" s="155">
        <v>302</v>
      </c>
      <c r="B1271" s="156" t="s">
        <v>705</v>
      </c>
      <c r="C1271" s="3"/>
      <c r="D1271" s="3"/>
      <c r="E1271" s="156" t="s">
        <v>912</v>
      </c>
      <c r="F1271" s="3"/>
      <c r="G1271" s="158">
        <v>110</v>
      </c>
      <c r="H1271" s="155">
        <v>1</v>
      </c>
      <c r="I1271" s="155">
        <v>1</v>
      </c>
      <c r="J1271" s="156" t="s">
        <v>213</v>
      </c>
      <c r="K1271" s="5"/>
      <c r="L1271" s="3"/>
      <c r="M1271" s="6"/>
      <c r="N1271" s="9"/>
      <c r="O1271" s="158">
        <v>110</v>
      </c>
      <c r="P1271" s="12"/>
      <c r="Q1271" s="12"/>
      <c r="R1271" s="12"/>
      <c r="S1271" s="12"/>
      <c r="T1271" s="12"/>
      <c r="U1271" s="12"/>
      <c r="V1271" s="12"/>
      <c r="W1271" s="12"/>
      <c r="X1271" s="12"/>
      <c r="Y1271" s="12"/>
      <c r="Z1271" s="12"/>
    </row>
    <row r="1272" spans="1:26" ht="14.25" customHeight="1" x14ac:dyDescent="0.3">
      <c r="A1272" s="155">
        <v>302</v>
      </c>
      <c r="B1272" s="156" t="s">
        <v>705</v>
      </c>
      <c r="C1272" s="3"/>
      <c r="D1272" s="3"/>
      <c r="E1272" s="156"/>
      <c r="F1272" s="3"/>
      <c r="G1272" s="158">
        <v>112.5</v>
      </c>
      <c r="H1272" s="155">
        <v>4</v>
      </c>
      <c r="I1272" s="155">
        <v>1</v>
      </c>
      <c r="J1272" s="156" t="s">
        <v>213</v>
      </c>
      <c r="K1272" s="5"/>
      <c r="L1272" s="3"/>
      <c r="M1272" s="6"/>
      <c r="N1272" s="9"/>
      <c r="O1272" s="158">
        <v>450</v>
      </c>
      <c r="P1272" s="12"/>
      <c r="Q1272" s="12"/>
      <c r="R1272" s="12"/>
      <c r="S1272" s="12"/>
      <c r="T1272" s="12"/>
      <c r="U1272" s="12"/>
      <c r="V1272" s="12"/>
      <c r="W1272" s="12"/>
      <c r="X1272" s="12"/>
      <c r="Y1272" s="12"/>
      <c r="Z1272" s="12"/>
    </row>
    <row r="1273" spans="1:26" ht="14.25" customHeight="1" x14ac:dyDescent="0.3">
      <c r="A1273" s="155">
        <v>719</v>
      </c>
      <c r="B1273" s="156" t="s">
        <v>1485</v>
      </c>
      <c r="C1273" s="3"/>
      <c r="D1273" s="3"/>
      <c r="E1273" s="156" t="s">
        <v>1486</v>
      </c>
      <c r="F1273" s="3"/>
      <c r="G1273" s="158">
        <v>135</v>
      </c>
      <c r="H1273" s="155">
        <v>1</v>
      </c>
      <c r="I1273" s="155">
        <v>320</v>
      </c>
      <c r="J1273" s="156" t="s">
        <v>39</v>
      </c>
      <c r="K1273" s="5"/>
      <c r="L1273" s="3"/>
      <c r="M1273" s="6"/>
      <c r="N1273" s="9"/>
      <c r="O1273" s="158">
        <v>135</v>
      </c>
      <c r="P1273" s="12"/>
      <c r="Q1273" s="12"/>
      <c r="R1273" s="12"/>
      <c r="S1273" s="12"/>
      <c r="T1273" s="12"/>
      <c r="U1273" s="12"/>
      <c r="V1273" s="12"/>
      <c r="W1273" s="12"/>
      <c r="X1273" s="12"/>
      <c r="Y1273" s="12"/>
      <c r="Z1273" s="12"/>
    </row>
    <row r="1274" spans="1:26" ht="14.25" customHeight="1" x14ac:dyDescent="0.3">
      <c r="A1274" s="155">
        <v>720</v>
      </c>
      <c r="B1274" s="156" t="s">
        <v>1487</v>
      </c>
      <c r="C1274" s="3"/>
      <c r="D1274" s="3"/>
      <c r="E1274" s="156"/>
      <c r="F1274" s="3"/>
      <c r="G1274" s="158">
        <v>45</v>
      </c>
      <c r="H1274" s="155">
        <v>8</v>
      </c>
      <c r="I1274" s="155">
        <v>1</v>
      </c>
      <c r="J1274" s="156" t="s">
        <v>92</v>
      </c>
      <c r="K1274" s="5"/>
      <c r="L1274" s="3"/>
      <c r="M1274" s="6"/>
      <c r="N1274" s="9"/>
      <c r="O1274" s="158">
        <v>360</v>
      </c>
      <c r="P1274" s="12"/>
      <c r="Q1274" s="12"/>
      <c r="R1274" s="12"/>
      <c r="S1274" s="12"/>
      <c r="T1274" s="12"/>
      <c r="U1274" s="12"/>
      <c r="V1274" s="12"/>
      <c r="W1274" s="12"/>
      <c r="X1274" s="12"/>
      <c r="Y1274" s="12"/>
      <c r="Z1274" s="12"/>
    </row>
    <row r="1275" spans="1:26" ht="14.25" customHeight="1" x14ac:dyDescent="0.3">
      <c r="A1275" s="155">
        <v>721</v>
      </c>
      <c r="B1275" s="156" t="s">
        <v>1488</v>
      </c>
      <c r="C1275" s="3"/>
      <c r="D1275" s="3"/>
      <c r="E1275" s="156" t="s">
        <v>1074</v>
      </c>
      <c r="F1275" s="3"/>
      <c r="G1275" s="158">
        <v>21.1</v>
      </c>
      <c r="H1275" s="155">
        <v>3</v>
      </c>
      <c r="I1275" s="155">
        <v>10</v>
      </c>
      <c r="J1275" s="156" t="s">
        <v>39</v>
      </c>
      <c r="K1275" s="5"/>
      <c r="L1275" s="3"/>
      <c r="M1275" s="6"/>
      <c r="N1275" s="9"/>
      <c r="O1275" s="158">
        <v>63.3</v>
      </c>
      <c r="P1275" s="12"/>
      <c r="Q1275" s="12"/>
      <c r="R1275" s="12"/>
      <c r="S1275" s="12"/>
      <c r="T1275" s="12"/>
      <c r="U1275" s="12"/>
      <c r="V1275" s="12"/>
      <c r="W1275" s="12"/>
      <c r="X1275" s="12"/>
      <c r="Y1275" s="12"/>
      <c r="Z1275" s="12"/>
    </row>
    <row r="1276" spans="1:26" ht="14.25" customHeight="1" x14ac:dyDescent="0.3">
      <c r="A1276" s="155">
        <v>722</v>
      </c>
      <c r="B1276" s="156" t="s">
        <v>1489</v>
      </c>
      <c r="C1276" s="3"/>
      <c r="D1276" s="3"/>
      <c r="E1276" s="156" t="s">
        <v>363</v>
      </c>
      <c r="F1276" s="3"/>
      <c r="G1276" s="158">
        <v>160</v>
      </c>
      <c r="H1276" s="155">
        <v>2</v>
      </c>
      <c r="I1276" s="155">
        <v>2.2999999999999998</v>
      </c>
      <c r="J1276" s="156" t="s">
        <v>213</v>
      </c>
      <c r="K1276" s="5"/>
      <c r="L1276" s="3"/>
      <c r="M1276" s="6"/>
      <c r="N1276" s="9"/>
      <c r="O1276" s="158">
        <v>320</v>
      </c>
      <c r="P1276" s="12"/>
      <c r="Q1276" s="12"/>
      <c r="R1276" s="12"/>
      <c r="S1276" s="12"/>
      <c r="T1276" s="12"/>
      <c r="U1276" s="12"/>
      <c r="V1276" s="12"/>
      <c r="W1276" s="12"/>
      <c r="X1276" s="12"/>
      <c r="Y1276" s="12"/>
      <c r="Z1276" s="12"/>
    </row>
    <row r="1277" spans="1:26" ht="14.25" customHeight="1" x14ac:dyDescent="0.3">
      <c r="A1277" s="155">
        <v>722</v>
      </c>
      <c r="B1277" s="156" t="s">
        <v>1489</v>
      </c>
      <c r="C1277" s="3"/>
      <c r="D1277" s="3"/>
      <c r="E1277" s="156" t="s">
        <v>907</v>
      </c>
      <c r="F1277" s="3"/>
      <c r="G1277" s="158">
        <v>240</v>
      </c>
      <c r="H1277" s="155">
        <v>17</v>
      </c>
      <c r="I1277" s="155">
        <v>2.2999999999999998</v>
      </c>
      <c r="J1277" s="156" t="s">
        <v>213</v>
      </c>
      <c r="K1277" s="5"/>
      <c r="L1277" s="3"/>
      <c r="M1277" s="6"/>
      <c r="N1277" s="9"/>
      <c r="O1277" s="158">
        <v>4080</v>
      </c>
      <c r="P1277" s="12"/>
      <c r="Q1277" s="12"/>
      <c r="R1277" s="12"/>
      <c r="S1277" s="12"/>
      <c r="T1277" s="12"/>
      <c r="U1277" s="12"/>
      <c r="V1277" s="12"/>
      <c r="W1277" s="12"/>
      <c r="X1277" s="12"/>
      <c r="Y1277" s="12"/>
      <c r="Z1277" s="12"/>
    </row>
    <row r="1278" spans="1:26" ht="14.25" customHeight="1" x14ac:dyDescent="0.3">
      <c r="A1278" s="155">
        <v>306</v>
      </c>
      <c r="B1278" s="156" t="s">
        <v>279</v>
      </c>
      <c r="C1278" s="3"/>
      <c r="D1278" s="3"/>
      <c r="E1278" s="156" t="s">
        <v>1069</v>
      </c>
      <c r="F1278" s="3"/>
      <c r="G1278" s="158">
        <v>199</v>
      </c>
      <c r="H1278" s="155">
        <v>7</v>
      </c>
      <c r="I1278" s="155">
        <v>3500</v>
      </c>
      <c r="J1278" s="156" t="s">
        <v>32</v>
      </c>
      <c r="K1278" s="5"/>
      <c r="L1278" s="3"/>
      <c r="M1278" s="6"/>
      <c r="N1278" s="9"/>
      <c r="O1278" s="158">
        <v>1393</v>
      </c>
      <c r="P1278" s="12"/>
      <c r="Q1278" s="12"/>
      <c r="R1278" s="12"/>
      <c r="S1278" s="12"/>
      <c r="T1278" s="12"/>
      <c r="U1278" s="12"/>
      <c r="V1278" s="12"/>
      <c r="W1278" s="12"/>
      <c r="X1278" s="12"/>
      <c r="Y1278" s="12"/>
      <c r="Z1278" s="12"/>
    </row>
    <row r="1279" spans="1:26" ht="14.25" customHeight="1" x14ac:dyDescent="0.3">
      <c r="A1279" s="155">
        <v>306</v>
      </c>
      <c r="B1279" s="156" t="s">
        <v>279</v>
      </c>
      <c r="C1279" s="3"/>
      <c r="D1279" s="3"/>
      <c r="E1279" s="156" t="s">
        <v>897</v>
      </c>
      <c r="F1279" s="3"/>
      <c r="G1279" s="158">
        <v>144.80000000000001</v>
      </c>
      <c r="H1279" s="155">
        <v>2</v>
      </c>
      <c r="I1279" s="155">
        <v>3500</v>
      </c>
      <c r="J1279" s="156" t="s">
        <v>39</v>
      </c>
      <c r="K1279" s="5"/>
      <c r="L1279" s="3"/>
      <c r="M1279" s="6"/>
      <c r="N1279" s="9"/>
      <c r="O1279" s="158">
        <v>289.60000000000002</v>
      </c>
      <c r="P1279" s="12"/>
      <c r="Q1279" s="12"/>
      <c r="R1279" s="12"/>
      <c r="S1279" s="12"/>
      <c r="T1279" s="12"/>
      <c r="U1279" s="12"/>
      <c r="V1279" s="12"/>
      <c r="W1279" s="12"/>
      <c r="X1279" s="12"/>
      <c r="Y1279" s="12"/>
      <c r="Z1279" s="12"/>
    </row>
    <row r="1280" spans="1:26" ht="14.25" customHeight="1" x14ac:dyDescent="0.3">
      <c r="A1280" s="155">
        <v>306</v>
      </c>
      <c r="B1280" s="156" t="s">
        <v>279</v>
      </c>
      <c r="C1280" s="3"/>
      <c r="D1280" s="3"/>
      <c r="E1280" s="156" t="s">
        <v>1069</v>
      </c>
      <c r="F1280" s="3"/>
      <c r="G1280" s="158">
        <v>200</v>
      </c>
      <c r="H1280" s="155">
        <v>2</v>
      </c>
      <c r="I1280" s="155">
        <v>3500</v>
      </c>
      <c r="J1280" s="156" t="s">
        <v>200</v>
      </c>
      <c r="K1280" s="5"/>
      <c r="L1280" s="3"/>
      <c r="M1280" s="6"/>
      <c r="N1280" s="9"/>
      <c r="O1280" s="158">
        <v>400</v>
      </c>
      <c r="P1280" s="12"/>
      <c r="Q1280" s="12"/>
      <c r="R1280" s="12"/>
      <c r="S1280" s="12"/>
      <c r="T1280" s="12"/>
      <c r="U1280" s="12"/>
      <c r="V1280" s="12"/>
      <c r="W1280" s="12"/>
      <c r="X1280" s="12"/>
      <c r="Y1280" s="12"/>
      <c r="Z1280" s="12"/>
    </row>
    <row r="1281" spans="1:26" ht="14.25" customHeight="1" x14ac:dyDescent="0.3">
      <c r="A1281" s="155">
        <v>306</v>
      </c>
      <c r="B1281" s="156" t="s">
        <v>279</v>
      </c>
      <c r="C1281" s="3"/>
      <c r="D1281" s="3"/>
      <c r="E1281" s="156" t="s">
        <v>1490</v>
      </c>
      <c r="F1281" s="3"/>
      <c r="G1281" s="158">
        <v>165</v>
      </c>
      <c r="H1281" s="155">
        <v>5</v>
      </c>
      <c r="I1281" s="155">
        <v>3500</v>
      </c>
      <c r="J1281" s="156" t="s">
        <v>39</v>
      </c>
      <c r="K1281" s="5"/>
      <c r="L1281" s="3"/>
      <c r="M1281" s="6"/>
      <c r="N1281" s="9"/>
      <c r="O1281" s="158">
        <v>825</v>
      </c>
      <c r="P1281" s="12"/>
      <c r="Q1281" s="12"/>
      <c r="R1281" s="12"/>
      <c r="S1281" s="12"/>
      <c r="T1281" s="12"/>
      <c r="U1281" s="12"/>
      <c r="V1281" s="12"/>
      <c r="W1281" s="12"/>
      <c r="X1281" s="12"/>
      <c r="Y1281" s="12"/>
      <c r="Z1281" s="12"/>
    </row>
    <row r="1282" spans="1:26" ht="14.25" customHeight="1" x14ac:dyDescent="0.3">
      <c r="A1282" s="155">
        <v>306</v>
      </c>
      <c r="B1282" s="156" t="s">
        <v>279</v>
      </c>
      <c r="C1282" s="3"/>
      <c r="D1282" s="3"/>
      <c r="E1282" s="156" t="s">
        <v>897</v>
      </c>
      <c r="F1282" s="3"/>
      <c r="G1282" s="158">
        <v>721.7</v>
      </c>
      <c r="H1282" s="155">
        <v>1</v>
      </c>
      <c r="I1282" s="155">
        <v>3500</v>
      </c>
      <c r="J1282" s="156" t="s">
        <v>213</v>
      </c>
      <c r="K1282" s="5"/>
      <c r="L1282" s="3"/>
      <c r="M1282" s="6"/>
      <c r="N1282" s="9"/>
      <c r="O1282" s="158">
        <v>721.7</v>
      </c>
      <c r="P1282" s="12"/>
      <c r="Q1282" s="12"/>
      <c r="R1282" s="12"/>
      <c r="S1282" s="12"/>
      <c r="T1282" s="12"/>
      <c r="U1282" s="12"/>
      <c r="V1282" s="12"/>
      <c r="W1282" s="12"/>
      <c r="X1282" s="12"/>
      <c r="Y1282" s="12"/>
      <c r="Z1282" s="12"/>
    </row>
    <row r="1283" spans="1:26" ht="14.25" customHeight="1" x14ac:dyDescent="0.3">
      <c r="A1283" s="155">
        <v>723</v>
      </c>
      <c r="B1283" s="156" t="s">
        <v>1491</v>
      </c>
      <c r="C1283" s="3"/>
      <c r="D1283" s="3"/>
      <c r="E1283" s="156"/>
      <c r="F1283" s="3"/>
      <c r="G1283" s="158">
        <v>250</v>
      </c>
      <c r="H1283" s="155">
        <v>2</v>
      </c>
      <c r="I1283" s="155">
        <v>1</v>
      </c>
      <c r="J1283" s="156" t="s">
        <v>213</v>
      </c>
      <c r="K1283" s="5"/>
      <c r="L1283" s="3"/>
      <c r="M1283" s="6"/>
      <c r="N1283" s="9"/>
      <c r="O1283" s="158">
        <v>500</v>
      </c>
      <c r="P1283" s="12"/>
      <c r="Q1283" s="12"/>
      <c r="R1283" s="12"/>
      <c r="S1283" s="12"/>
      <c r="T1283" s="12"/>
      <c r="U1283" s="12"/>
      <c r="V1283" s="12"/>
      <c r="W1283" s="12"/>
      <c r="X1283" s="12"/>
      <c r="Y1283" s="12"/>
      <c r="Z1283" s="12"/>
    </row>
    <row r="1284" spans="1:26" ht="14.25" customHeight="1" x14ac:dyDescent="0.3">
      <c r="A1284" s="155">
        <v>723</v>
      </c>
      <c r="B1284" s="156" t="s">
        <v>1491</v>
      </c>
      <c r="C1284" s="3"/>
      <c r="D1284" s="3"/>
      <c r="E1284" s="156"/>
      <c r="F1284" s="3"/>
      <c r="G1284" s="158">
        <v>48</v>
      </c>
      <c r="H1284" s="155">
        <v>9</v>
      </c>
      <c r="I1284" s="155">
        <v>1</v>
      </c>
      <c r="J1284" s="156" t="s">
        <v>39</v>
      </c>
      <c r="K1284" s="5"/>
      <c r="L1284" s="3"/>
      <c r="M1284" s="6"/>
      <c r="N1284" s="9"/>
      <c r="O1284" s="158">
        <v>432</v>
      </c>
      <c r="P1284" s="12"/>
      <c r="Q1284" s="12"/>
      <c r="R1284" s="12"/>
      <c r="S1284" s="12"/>
      <c r="T1284" s="12"/>
      <c r="U1284" s="12"/>
      <c r="V1284" s="12"/>
      <c r="W1284" s="12"/>
      <c r="X1284" s="12"/>
      <c r="Y1284" s="12"/>
      <c r="Z1284" s="12"/>
    </row>
    <row r="1285" spans="1:26" ht="14.25" customHeight="1" x14ac:dyDescent="0.3">
      <c r="A1285" s="155">
        <v>724</v>
      </c>
      <c r="B1285" s="156" t="s">
        <v>1492</v>
      </c>
      <c r="C1285" s="3"/>
      <c r="D1285" s="3"/>
      <c r="E1285" s="156"/>
      <c r="F1285" s="3"/>
      <c r="G1285" s="158">
        <v>80</v>
      </c>
      <c r="H1285" s="155">
        <v>1</v>
      </c>
      <c r="I1285" s="155">
        <v>1000</v>
      </c>
      <c r="J1285" s="156" t="s">
        <v>39</v>
      </c>
      <c r="K1285" s="5"/>
      <c r="L1285" s="3"/>
      <c r="M1285" s="6"/>
      <c r="N1285" s="9"/>
      <c r="O1285" s="158">
        <v>80</v>
      </c>
      <c r="P1285" s="12"/>
      <c r="Q1285" s="12"/>
      <c r="R1285" s="12"/>
      <c r="S1285" s="12"/>
      <c r="T1285" s="12"/>
      <c r="U1285" s="12"/>
      <c r="V1285" s="12"/>
      <c r="W1285" s="12"/>
      <c r="X1285" s="12"/>
      <c r="Y1285" s="12"/>
      <c r="Z1285" s="12"/>
    </row>
    <row r="1286" spans="1:26" ht="14.25" customHeight="1" x14ac:dyDescent="0.3">
      <c r="A1286" s="155">
        <v>307</v>
      </c>
      <c r="B1286" s="156" t="s">
        <v>708</v>
      </c>
      <c r="C1286" s="3"/>
      <c r="D1286" s="3"/>
      <c r="E1286" s="156" t="s">
        <v>919</v>
      </c>
      <c r="F1286" s="3"/>
      <c r="G1286" s="158">
        <v>42.63485</v>
      </c>
      <c r="H1286" s="155">
        <v>66</v>
      </c>
      <c r="I1286" s="155">
        <v>500</v>
      </c>
      <c r="J1286" s="156" t="s">
        <v>39</v>
      </c>
      <c r="K1286" s="5"/>
      <c r="L1286" s="3"/>
      <c r="M1286" s="6"/>
      <c r="N1286" s="9"/>
      <c r="O1286" s="158">
        <v>2813.9</v>
      </c>
      <c r="P1286" s="12"/>
      <c r="Q1286" s="12"/>
      <c r="R1286" s="12"/>
      <c r="S1286" s="12"/>
      <c r="T1286" s="12"/>
      <c r="U1286" s="12"/>
      <c r="V1286" s="12"/>
      <c r="W1286" s="12"/>
      <c r="X1286" s="12"/>
      <c r="Y1286" s="12"/>
      <c r="Z1286" s="12"/>
    </row>
    <row r="1287" spans="1:26" ht="14.25" customHeight="1" x14ac:dyDescent="0.3">
      <c r="A1287" s="155">
        <v>725</v>
      </c>
      <c r="B1287" s="156" t="s">
        <v>1493</v>
      </c>
      <c r="C1287" s="3"/>
      <c r="D1287" s="3"/>
      <c r="E1287" s="156" t="s">
        <v>854</v>
      </c>
      <c r="F1287" s="3"/>
      <c r="G1287" s="158">
        <v>42</v>
      </c>
      <c r="H1287" s="155">
        <v>3</v>
      </c>
      <c r="I1287" s="155">
        <v>30</v>
      </c>
      <c r="J1287" s="156" t="s">
        <v>32</v>
      </c>
      <c r="K1287" s="5"/>
      <c r="L1287" s="3"/>
      <c r="M1287" s="6"/>
      <c r="N1287" s="9"/>
      <c r="O1287" s="158">
        <v>126</v>
      </c>
      <c r="P1287" s="12"/>
      <c r="Q1287" s="12"/>
      <c r="R1287" s="12"/>
      <c r="S1287" s="12"/>
      <c r="T1287" s="12"/>
      <c r="U1287" s="12"/>
      <c r="V1287" s="12"/>
      <c r="W1287" s="12"/>
      <c r="X1287" s="12"/>
      <c r="Y1287" s="12"/>
      <c r="Z1287" s="12"/>
    </row>
    <row r="1288" spans="1:26" ht="14.25" customHeight="1" x14ac:dyDescent="0.3">
      <c r="A1288" s="155">
        <v>726</v>
      </c>
      <c r="B1288" s="156" t="s">
        <v>1494</v>
      </c>
      <c r="C1288" s="3"/>
      <c r="D1288" s="3"/>
      <c r="E1288" s="156" t="s">
        <v>1495</v>
      </c>
      <c r="F1288" s="3"/>
      <c r="G1288" s="158">
        <v>26.5</v>
      </c>
      <c r="H1288" s="155">
        <v>1</v>
      </c>
      <c r="I1288" s="155">
        <v>1</v>
      </c>
      <c r="J1288" s="156" t="s">
        <v>304</v>
      </c>
      <c r="K1288" s="5"/>
      <c r="L1288" s="3"/>
      <c r="M1288" s="6"/>
      <c r="N1288" s="9"/>
      <c r="O1288" s="158">
        <v>26.5</v>
      </c>
      <c r="P1288" s="12"/>
      <c r="Q1288" s="12"/>
      <c r="R1288" s="12"/>
      <c r="S1288" s="12"/>
      <c r="T1288" s="12"/>
      <c r="U1288" s="12"/>
      <c r="V1288" s="12"/>
      <c r="W1288" s="12"/>
      <c r="X1288" s="12"/>
      <c r="Y1288" s="12"/>
      <c r="Z1288" s="12"/>
    </row>
    <row r="1289" spans="1:26" ht="14.25" customHeight="1" x14ac:dyDescent="0.3">
      <c r="A1289" s="155">
        <v>726</v>
      </c>
      <c r="B1289" s="156" t="s">
        <v>1494</v>
      </c>
      <c r="C1289" s="3"/>
      <c r="D1289" s="3"/>
      <c r="E1289" s="156" t="s">
        <v>1496</v>
      </c>
      <c r="F1289" s="3"/>
      <c r="G1289" s="158">
        <v>17.079999999999998</v>
      </c>
      <c r="H1289" s="155">
        <v>3</v>
      </c>
      <c r="I1289" s="155">
        <v>1</v>
      </c>
      <c r="J1289" s="156" t="s">
        <v>304</v>
      </c>
      <c r="K1289" s="5"/>
      <c r="L1289" s="3"/>
      <c r="M1289" s="6"/>
      <c r="N1289" s="9"/>
      <c r="O1289" s="158">
        <v>51.24</v>
      </c>
      <c r="P1289" s="12"/>
      <c r="Q1289" s="12"/>
      <c r="R1289" s="12"/>
      <c r="S1289" s="12"/>
      <c r="T1289" s="12"/>
      <c r="U1289" s="12"/>
      <c r="V1289" s="12"/>
      <c r="W1289" s="12"/>
      <c r="X1289" s="12"/>
      <c r="Y1289" s="12"/>
      <c r="Z1289" s="12"/>
    </row>
    <row r="1290" spans="1:26" ht="14.25" customHeight="1" x14ac:dyDescent="0.3">
      <c r="A1290" s="155">
        <v>726</v>
      </c>
      <c r="B1290" s="156" t="s">
        <v>1494</v>
      </c>
      <c r="C1290" s="3"/>
      <c r="D1290" s="3"/>
      <c r="E1290" s="156" t="s">
        <v>1495</v>
      </c>
      <c r="F1290" s="3"/>
      <c r="G1290" s="158">
        <v>2.69</v>
      </c>
      <c r="H1290" s="155">
        <v>50</v>
      </c>
      <c r="I1290" s="155">
        <v>1</v>
      </c>
      <c r="J1290" s="156" t="s">
        <v>92</v>
      </c>
      <c r="K1290" s="5"/>
      <c r="L1290" s="3"/>
      <c r="M1290" s="6"/>
      <c r="N1290" s="9"/>
      <c r="O1290" s="158">
        <v>134.5</v>
      </c>
      <c r="P1290" s="12"/>
      <c r="Q1290" s="12"/>
      <c r="R1290" s="12"/>
      <c r="S1290" s="12"/>
      <c r="T1290" s="12"/>
      <c r="U1290" s="12"/>
      <c r="V1290" s="12"/>
      <c r="W1290" s="12"/>
      <c r="X1290" s="12"/>
      <c r="Y1290" s="12"/>
      <c r="Z1290" s="12"/>
    </row>
    <row r="1291" spans="1:26" ht="14.25" customHeight="1" x14ac:dyDescent="0.3">
      <c r="A1291" s="155">
        <v>727</v>
      </c>
      <c r="B1291" s="156" t="s">
        <v>1497</v>
      </c>
      <c r="C1291" s="3"/>
      <c r="D1291" s="3"/>
      <c r="E1291" s="156" t="s">
        <v>1004</v>
      </c>
      <c r="F1291" s="3"/>
      <c r="G1291" s="158">
        <v>2</v>
      </c>
      <c r="H1291" s="155">
        <v>164</v>
      </c>
      <c r="I1291" s="155">
        <v>1</v>
      </c>
      <c r="J1291" s="156" t="s">
        <v>92</v>
      </c>
      <c r="K1291" s="5"/>
      <c r="L1291" s="3"/>
      <c r="M1291" s="6"/>
      <c r="N1291" s="9"/>
      <c r="O1291" s="158">
        <v>328</v>
      </c>
      <c r="P1291" s="12"/>
      <c r="Q1291" s="12"/>
      <c r="R1291" s="12"/>
      <c r="S1291" s="12"/>
      <c r="T1291" s="12"/>
      <c r="U1291" s="12"/>
      <c r="V1291" s="12"/>
      <c r="W1291" s="12"/>
      <c r="X1291" s="12"/>
      <c r="Y1291" s="12"/>
      <c r="Z1291" s="12"/>
    </row>
    <row r="1292" spans="1:26" ht="14.25" customHeight="1" x14ac:dyDescent="0.3">
      <c r="A1292" s="155">
        <v>728</v>
      </c>
      <c r="B1292" s="156" t="s">
        <v>1498</v>
      </c>
      <c r="C1292" s="3"/>
      <c r="D1292" s="3"/>
      <c r="E1292" s="156"/>
      <c r="F1292" s="3"/>
      <c r="G1292" s="158">
        <v>70</v>
      </c>
      <c r="H1292" s="155">
        <v>2</v>
      </c>
      <c r="I1292" s="155">
        <v>1000</v>
      </c>
      <c r="J1292" s="156" t="s">
        <v>39</v>
      </c>
      <c r="K1292" s="5"/>
      <c r="L1292" s="3"/>
      <c r="M1292" s="6"/>
      <c r="N1292" s="9"/>
      <c r="O1292" s="158">
        <v>140</v>
      </c>
      <c r="P1292" s="12"/>
      <c r="Q1292" s="12"/>
      <c r="R1292" s="12"/>
      <c r="S1292" s="12"/>
      <c r="T1292" s="12"/>
      <c r="U1292" s="12"/>
      <c r="V1292" s="12"/>
      <c r="W1292" s="12"/>
      <c r="X1292" s="12"/>
      <c r="Y1292" s="12"/>
      <c r="Z1292" s="12"/>
    </row>
    <row r="1293" spans="1:26" ht="14.25" customHeight="1" x14ac:dyDescent="0.3">
      <c r="A1293" s="155">
        <v>729</v>
      </c>
      <c r="B1293" s="156" t="s">
        <v>1499</v>
      </c>
      <c r="C1293" s="3"/>
      <c r="D1293" s="3"/>
      <c r="E1293" s="156" t="s">
        <v>1500</v>
      </c>
      <c r="F1293" s="3"/>
      <c r="G1293" s="158">
        <v>250</v>
      </c>
      <c r="H1293" s="155">
        <v>3</v>
      </c>
      <c r="I1293" s="155">
        <v>50</v>
      </c>
      <c r="J1293" s="156" t="s">
        <v>92</v>
      </c>
      <c r="K1293" s="5"/>
      <c r="L1293" s="3"/>
      <c r="M1293" s="6"/>
      <c r="N1293" s="9"/>
      <c r="O1293" s="158">
        <v>750</v>
      </c>
      <c r="P1293" s="12"/>
      <c r="Q1293" s="12"/>
      <c r="R1293" s="12"/>
      <c r="S1293" s="12"/>
      <c r="T1293" s="12"/>
      <c r="U1293" s="12"/>
      <c r="V1293" s="12"/>
      <c r="W1293" s="12"/>
      <c r="X1293" s="12"/>
      <c r="Y1293" s="12"/>
      <c r="Z1293" s="12"/>
    </row>
    <row r="1294" spans="1:26" ht="14.25" customHeight="1" x14ac:dyDescent="0.3">
      <c r="A1294" s="155">
        <v>729</v>
      </c>
      <c r="B1294" s="156" t="s">
        <v>1499</v>
      </c>
      <c r="C1294" s="3"/>
      <c r="D1294" s="3"/>
      <c r="E1294" s="156"/>
      <c r="F1294" s="3"/>
      <c r="G1294" s="158">
        <v>5</v>
      </c>
      <c r="H1294" s="155">
        <v>140</v>
      </c>
      <c r="I1294" s="155">
        <v>50</v>
      </c>
      <c r="J1294" s="156" t="s">
        <v>92</v>
      </c>
      <c r="K1294" s="5"/>
      <c r="L1294" s="3"/>
      <c r="M1294" s="6"/>
      <c r="N1294" s="9"/>
      <c r="O1294" s="158">
        <v>700</v>
      </c>
      <c r="P1294" s="12"/>
      <c r="Q1294" s="12"/>
      <c r="R1294" s="12"/>
      <c r="S1294" s="12"/>
      <c r="T1294" s="12"/>
      <c r="U1294" s="12"/>
      <c r="V1294" s="12"/>
      <c r="W1294" s="12"/>
      <c r="X1294" s="12"/>
      <c r="Y1294" s="12"/>
      <c r="Z1294" s="12"/>
    </row>
    <row r="1295" spans="1:26" ht="14.25" customHeight="1" x14ac:dyDescent="0.3">
      <c r="A1295" s="155">
        <v>729</v>
      </c>
      <c r="B1295" s="156" t="s">
        <v>1499</v>
      </c>
      <c r="C1295" s="3"/>
      <c r="D1295" s="3"/>
      <c r="E1295" s="156" t="s">
        <v>1501</v>
      </c>
      <c r="F1295" s="3"/>
      <c r="G1295" s="158">
        <v>4.3</v>
      </c>
      <c r="H1295" s="155">
        <v>109</v>
      </c>
      <c r="I1295" s="155">
        <v>50</v>
      </c>
      <c r="J1295" s="156" t="s">
        <v>92</v>
      </c>
      <c r="K1295" s="5"/>
      <c r="L1295" s="3"/>
      <c r="M1295" s="6"/>
      <c r="N1295" s="9"/>
      <c r="O1295" s="158">
        <v>468.7</v>
      </c>
      <c r="P1295" s="12"/>
      <c r="Q1295" s="12"/>
      <c r="R1295" s="12"/>
      <c r="S1295" s="12"/>
      <c r="T1295" s="12"/>
      <c r="U1295" s="12"/>
      <c r="V1295" s="12"/>
      <c r="W1295" s="12"/>
      <c r="X1295" s="12"/>
      <c r="Y1295" s="12"/>
      <c r="Z1295" s="12"/>
    </row>
    <row r="1296" spans="1:26" ht="14.25" customHeight="1" x14ac:dyDescent="0.3">
      <c r="A1296" s="155">
        <v>730</v>
      </c>
      <c r="B1296" s="156" t="s">
        <v>1502</v>
      </c>
      <c r="C1296" s="3"/>
      <c r="D1296" s="3"/>
      <c r="E1296" s="156" t="s">
        <v>1501</v>
      </c>
      <c r="F1296" s="3"/>
      <c r="G1296" s="158">
        <v>5.8</v>
      </c>
      <c r="H1296" s="155">
        <v>44</v>
      </c>
      <c r="I1296" s="155">
        <v>1</v>
      </c>
      <c r="J1296" s="156" t="s">
        <v>92</v>
      </c>
      <c r="K1296" s="5"/>
      <c r="L1296" s="3"/>
      <c r="M1296" s="6"/>
      <c r="N1296" s="9"/>
      <c r="O1296" s="158">
        <v>255.2</v>
      </c>
      <c r="P1296" s="12"/>
      <c r="Q1296" s="12"/>
      <c r="R1296" s="12"/>
      <c r="S1296" s="12"/>
      <c r="T1296" s="12"/>
      <c r="U1296" s="12"/>
      <c r="V1296" s="12"/>
      <c r="W1296" s="12"/>
      <c r="X1296" s="12"/>
      <c r="Y1296" s="12"/>
      <c r="Z1296" s="12"/>
    </row>
    <row r="1297" spans="1:26" ht="14.25" customHeight="1" x14ac:dyDescent="0.3">
      <c r="A1297" s="155">
        <v>731</v>
      </c>
      <c r="B1297" s="156" t="s">
        <v>1503</v>
      </c>
      <c r="C1297" s="3"/>
      <c r="D1297" s="3"/>
      <c r="E1297" s="156"/>
      <c r="F1297" s="3"/>
      <c r="G1297" s="158">
        <v>8.8000000000000007</v>
      </c>
      <c r="H1297" s="155">
        <v>39</v>
      </c>
      <c r="I1297" s="155">
        <v>1</v>
      </c>
      <c r="J1297" s="156" t="s">
        <v>92</v>
      </c>
      <c r="K1297" s="5"/>
      <c r="L1297" s="3"/>
      <c r="M1297" s="6"/>
      <c r="N1297" s="9"/>
      <c r="O1297" s="158">
        <v>343.2</v>
      </c>
      <c r="P1297" s="12"/>
      <c r="Q1297" s="12"/>
      <c r="R1297" s="12"/>
      <c r="S1297" s="12"/>
      <c r="T1297" s="12"/>
      <c r="U1297" s="12"/>
      <c r="V1297" s="12"/>
      <c r="W1297" s="12"/>
      <c r="X1297" s="12"/>
      <c r="Y1297" s="12"/>
      <c r="Z1297" s="12"/>
    </row>
    <row r="1298" spans="1:26" ht="14.25" customHeight="1" x14ac:dyDescent="0.3">
      <c r="A1298" s="155">
        <v>732</v>
      </c>
      <c r="B1298" s="156" t="s">
        <v>1504</v>
      </c>
      <c r="C1298" s="3"/>
      <c r="D1298" s="3"/>
      <c r="E1298" s="156" t="s">
        <v>1505</v>
      </c>
      <c r="F1298" s="3"/>
      <c r="G1298" s="158">
        <v>125</v>
      </c>
      <c r="H1298" s="155">
        <v>2</v>
      </c>
      <c r="I1298" s="155">
        <v>1</v>
      </c>
      <c r="J1298" s="156" t="s">
        <v>304</v>
      </c>
      <c r="K1298" s="5"/>
      <c r="L1298" s="3"/>
      <c r="M1298" s="6"/>
      <c r="N1298" s="9"/>
      <c r="O1298" s="158">
        <v>250</v>
      </c>
      <c r="P1298" s="12"/>
      <c r="Q1298" s="12"/>
      <c r="R1298" s="12"/>
      <c r="S1298" s="12"/>
      <c r="T1298" s="12"/>
      <c r="U1298" s="12"/>
      <c r="V1298" s="12"/>
      <c r="W1298" s="12"/>
      <c r="X1298" s="12"/>
      <c r="Y1298" s="12"/>
      <c r="Z1298" s="12"/>
    </row>
    <row r="1299" spans="1:26" ht="14.25" customHeight="1" x14ac:dyDescent="0.3">
      <c r="A1299" s="155">
        <v>733</v>
      </c>
      <c r="B1299" s="156" t="s">
        <v>1506</v>
      </c>
      <c r="C1299" s="3"/>
      <c r="D1299" s="3"/>
      <c r="E1299" s="156" t="s">
        <v>858</v>
      </c>
      <c r="F1299" s="3"/>
      <c r="G1299" s="158">
        <v>1.72</v>
      </c>
      <c r="H1299" s="155">
        <v>75</v>
      </c>
      <c r="I1299" s="155">
        <v>1</v>
      </c>
      <c r="J1299" s="156" t="s">
        <v>92</v>
      </c>
      <c r="K1299" s="5"/>
      <c r="L1299" s="3"/>
      <c r="M1299" s="6"/>
      <c r="N1299" s="9"/>
      <c r="O1299" s="158">
        <v>129</v>
      </c>
      <c r="P1299" s="12"/>
      <c r="Q1299" s="12"/>
      <c r="R1299" s="12"/>
      <c r="S1299" s="12"/>
      <c r="T1299" s="12"/>
      <c r="U1299" s="12"/>
      <c r="V1299" s="12"/>
      <c r="W1299" s="12"/>
      <c r="X1299" s="12"/>
      <c r="Y1299" s="12"/>
      <c r="Z1299" s="12"/>
    </row>
    <row r="1300" spans="1:26" ht="14.25" customHeight="1" x14ac:dyDescent="0.3">
      <c r="A1300" s="155">
        <v>733</v>
      </c>
      <c r="B1300" s="156" t="s">
        <v>1506</v>
      </c>
      <c r="C1300" s="3"/>
      <c r="D1300" s="3"/>
      <c r="E1300" s="156" t="s">
        <v>1507</v>
      </c>
      <c r="F1300" s="3"/>
      <c r="G1300" s="158">
        <v>100</v>
      </c>
      <c r="H1300" s="155">
        <v>9</v>
      </c>
      <c r="I1300" s="155">
        <v>1</v>
      </c>
      <c r="J1300" s="156" t="s">
        <v>92</v>
      </c>
      <c r="K1300" s="5"/>
      <c r="L1300" s="3"/>
      <c r="M1300" s="6"/>
      <c r="N1300" s="9"/>
      <c r="O1300" s="158">
        <v>900</v>
      </c>
      <c r="P1300" s="12"/>
      <c r="Q1300" s="12"/>
      <c r="R1300" s="12"/>
      <c r="S1300" s="12"/>
      <c r="T1300" s="12"/>
      <c r="U1300" s="12"/>
      <c r="V1300" s="12"/>
      <c r="W1300" s="12"/>
      <c r="X1300" s="12"/>
      <c r="Y1300" s="12"/>
      <c r="Z1300" s="12"/>
    </row>
    <row r="1301" spans="1:26" ht="14.25" customHeight="1" x14ac:dyDescent="0.3">
      <c r="A1301" s="155">
        <v>734</v>
      </c>
      <c r="B1301" s="156" t="s">
        <v>1508</v>
      </c>
      <c r="C1301" s="3"/>
      <c r="D1301" s="3"/>
      <c r="E1301" s="156" t="s">
        <v>858</v>
      </c>
      <c r="F1301" s="3"/>
      <c r="G1301" s="158">
        <v>0.95</v>
      </c>
      <c r="H1301" s="155">
        <v>25</v>
      </c>
      <c r="I1301" s="155">
        <v>1</v>
      </c>
      <c r="J1301" s="156" t="s">
        <v>92</v>
      </c>
      <c r="K1301" s="5"/>
      <c r="L1301" s="3"/>
      <c r="M1301" s="6"/>
      <c r="N1301" s="9"/>
      <c r="O1301" s="158">
        <v>23.75</v>
      </c>
      <c r="P1301" s="12"/>
      <c r="Q1301" s="12"/>
      <c r="R1301" s="12"/>
      <c r="S1301" s="12"/>
      <c r="T1301" s="12"/>
      <c r="U1301" s="12"/>
      <c r="V1301" s="12"/>
      <c r="W1301" s="12"/>
      <c r="X1301" s="12"/>
      <c r="Y1301" s="12"/>
      <c r="Z1301" s="12"/>
    </row>
    <row r="1302" spans="1:26" ht="14.25" customHeight="1" x14ac:dyDescent="0.3">
      <c r="A1302" s="155">
        <v>735</v>
      </c>
      <c r="B1302" s="156" t="s">
        <v>1509</v>
      </c>
      <c r="C1302" s="3"/>
      <c r="D1302" s="3"/>
      <c r="E1302" s="156" t="s">
        <v>858</v>
      </c>
      <c r="F1302" s="3"/>
      <c r="G1302" s="158">
        <v>1.1399999999999999</v>
      </c>
      <c r="H1302" s="155">
        <v>275</v>
      </c>
      <c r="I1302" s="155">
        <v>1</v>
      </c>
      <c r="J1302" s="156" t="s">
        <v>92</v>
      </c>
      <c r="K1302" s="5"/>
      <c r="L1302" s="3"/>
      <c r="M1302" s="6"/>
      <c r="N1302" s="9"/>
      <c r="O1302" s="158">
        <v>313.5</v>
      </c>
      <c r="P1302" s="12"/>
      <c r="Q1302" s="12"/>
      <c r="R1302" s="12"/>
      <c r="S1302" s="12"/>
      <c r="T1302" s="12"/>
      <c r="U1302" s="12"/>
      <c r="V1302" s="12"/>
      <c r="W1302" s="12"/>
      <c r="X1302" s="12"/>
      <c r="Y1302" s="12"/>
      <c r="Z1302" s="12"/>
    </row>
    <row r="1303" spans="1:26" ht="14.25" customHeight="1" x14ac:dyDescent="0.3">
      <c r="A1303" s="155">
        <v>735</v>
      </c>
      <c r="B1303" s="156" t="s">
        <v>1509</v>
      </c>
      <c r="C1303" s="3"/>
      <c r="D1303" s="3"/>
      <c r="E1303" s="156" t="s">
        <v>1507</v>
      </c>
      <c r="F1303" s="3"/>
      <c r="G1303" s="158">
        <v>1</v>
      </c>
      <c r="H1303" s="155">
        <v>709</v>
      </c>
      <c r="I1303" s="155">
        <v>1</v>
      </c>
      <c r="J1303" s="156" t="s">
        <v>92</v>
      </c>
      <c r="K1303" s="5"/>
      <c r="L1303" s="3"/>
      <c r="M1303" s="6"/>
      <c r="N1303" s="9"/>
      <c r="O1303" s="158">
        <v>709</v>
      </c>
      <c r="P1303" s="12"/>
      <c r="Q1303" s="12"/>
      <c r="R1303" s="12"/>
      <c r="S1303" s="12"/>
      <c r="T1303" s="12"/>
      <c r="U1303" s="12"/>
      <c r="V1303" s="12"/>
      <c r="W1303" s="12"/>
      <c r="X1303" s="12"/>
      <c r="Y1303" s="12"/>
      <c r="Z1303" s="12"/>
    </row>
    <row r="1304" spans="1:26" ht="14.25" customHeight="1" x14ac:dyDescent="0.3">
      <c r="A1304" s="155">
        <v>735</v>
      </c>
      <c r="B1304" s="156" t="s">
        <v>1509</v>
      </c>
      <c r="C1304" s="3"/>
      <c r="D1304" s="3"/>
      <c r="E1304" s="156"/>
      <c r="F1304" s="3"/>
      <c r="G1304" s="158">
        <v>1.1944710000000001</v>
      </c>
      <c r="H1304" s="155">
        <v>2109</v>
      </c>
      <c r="I1304" s="155">
        <v>1</v>
      </c>
      <c r="J1304" s="156" t="s">
        <v>92</v>
      </c>
      <c r="K1304" s="5"/>
      <c r="L1304" s="3"/>
      <c r="M1304" s="6"/>
      <c r="N1304" s="9"/>
      <c r="O1304" s="158">
        <v>2519.14</v>
      </c>
      <c r="P1304" s="12"/>
      <c r="Q1304" s="12"/>
      <c r="R1304" s="12"/>
      <c r="S1304" s="12"/>
      <c r="T1304" s="12"/>
      <c r="U1304" s="12"/>
      <c r="V1304" s="12"/>
      <c r="W1304" s="12"/>
      <c r="X1304" s="12"/>
      <c r="Y1304" s="12"/>
      <c r="Z1304" s="12"/>
    </row>
    <row r="1305" spans="1:26" ht="14.25" customHeight="1" x14ac:dyDescent="0.3">
      <c r="A1305" s="155">
        <v>735</v>
      </c>
      <c r="B1305" s="156" t="s">
        <v>1509</v>
      </c>
      <c r="C1305" s="3"/>
      <c r="D1305" s="3"/>
      <c r="E1305" s="156" t="s">
        <v>991</v>
      </c>
      <c r="F1305" s="3"/>
      <c r="G1305" s="158">
        <v>70</v>
      </c>
      <c r="H1305" s="155">
        <v>11</v>
      </c>
      <c r="I1305" s="155">
        <v>1</v>
      </c>
      <c r="J1305" s="156" t="s">
        <v>92</v>
      </c>
      <c r="K1305" s="5"/>
      <c r="L1305" s="3"/>
      <c r="M1305" s="6"/>
      <c r="N1305" s="9"/>
      <c r="O1305" s="158">
        <v>770</v>
      </c>
      <c r="P1305" s="12"/>
      <c r="Q1305" s="12"/>
      <c r="R1305" s="12"/>
      <c r="S1305" s="12"/>
      <c r="T1305" s="12"/>
      <c r="U1305" s="12"/>
      <c r="V1305" s="12"/>
      <c r="W1305" s="12"/>
      <c r="X1305" s="12"/>
      <c r="Y1305" s="12"/>
      <c r="Z1305" s="12"/>
    </row>
    <row r="1306" spans="1:26" ht="14.25" customHeight="1" x14ac:dyDescent="0.3">
      <c r="A1306" s="155">
        <v>736</v>
      </c>
      <c r="B1306" s="156" t="s">
        <v>1510</v>
      </c>
      <c r="C1306" s="3"/>
      <c r="D1306" s="3"/>
      <c r="E1306" s="156" t="s">
        <v>1507</v>
      </c>
      <c r="F1306" s="3"/>
      <c r="G1306" s="158">
        <v>4.9504950000000001</v>
      </c>
      <c r="H1306" s="155">
        <v>202</v>
      </c>
      <c r="I1306" s="155">
        <v>1</v>
      </c>
      <c r="J1306" s="156" t="s">
        <v>92</v>
      </c>
      <c r="K1306" s="5"/>
      <c r="L1306" s="3"/>
      <c r="M1306" s="6"/>
      <c r="N1306" s="9"/>
      <c r="O1306" s="158">
        <v>1000</v>
      </c>
      <c r="P1306" s="12"/>
      <c r="Q1306" s="12"/>
      <c r="R1306" s="12"/>
      <c r="S1306" s="12"/>
      <c r="T1306" s="12"/>
      <c r="U1306" s="12"/>
      <c r="V1306" s="12"/>
      <c r="W1306" s="12"/>
      <c r="X1306" s="12"/>
      <c r="Y1306" s="12"/>
      <c r="Z1306" s="12"/>
    </row>
    <row r="1307" spans="1:26" ht="14.25" customHeight="1" x14ac:dyDescent="0.3">
      <c r="A1307" s="155">
        <v>737</v>
      </c>
      <c r="B1307" s="156" t="s">
        <v>1511</v>
      </c>
      <c r="C1307" s="3"/>
      <c r="D1307" s="3"/>
      <c r="E1307" s="156"/>
      <c r="F1307" s="3"/>
      <c r="G1307" s="158">
        <v>3.74</v>
      </c>
      <c r="H1307" s="155">
        <v>126</v>
      </c>
      <c r="I1307" s="155">
        <v>1</v>
      </c>
      <c r="J1307" s="156" t="s">
        <v>304</v>
      </c>
      <c r="K1307" s="5"/>
      <c r="L1307" s="3"/>
      <c r="M1307" s="6"/>
      <c r="N1307" s="9"/>
      <c r="O1307" s="158">
        <v>471.24</v>
      </c>
      <c r="P1307" s="12"/>
      <c r="Q1307" s="12"/>
      <c r="R1307" s="12"/>
      <c r="S1307" s="12"/>
      <c r="T1307" s="12"/>
      <c r="U1307" s="12"/>
      <c r="V1307" s="12"/>
      <c r="W1307" s="12"/>
      <c r="X1307" s="12"/>
      <c r="Y1307" s="12"/>
      <c r="Z1307" s="12"/>
    </row>
    <row r="1308" spans="1:26" ht="14.25" customHeight="1" x14ac:dyDescent="0.3">
      <c r="A1308" s="155">
        <v>738</v>
      </c>
      <c r="B1308" s="156" t="s">
        <v>1512</v>
      </c>
      <c r="C1308" s="3"/>
      <c r="D1308" s="3"/>
      <c r="E1308" s="156"/>
      <c r="F1308" s="3"/>
      <c r="G1308" s="158">
        <v>1.89</v>
      </c>
      <c r="H1308" s="155">
        <v>53</v>
      </c>
      <c r="I1308" s="155">
        <v>1</v>
      </c>
      <c r="J1308" s="156" t="s">
        <v>92</v>
      </c>
      <c r="K1308" s="5"/>
      <c r="L1308" s="3"/>
      <c r="M1308" s="6"/>
      <c r="N1308" s="9"/>
      <c r="O1308" s="158">
        <v>100.17</v>
      </c>
      <c r="P1308" s="12"/>
      <c r="Q1308" s="12"/>
      <c r="R1308" s="12"/>
      <c r="S1308" s="12"/>
      <c r="T1308" s="12"/>
      <c r="U1308" s="12"/>
      <c r="V1308" s="12"/>
      <c r="W1308" s="12"/>
      <c r="X1308" s="12"/>
      <c r="Y1308" s="12"/>
      <c r="Z1308" s="12"/>
    </row>
    <row r="1309" spans="1:26" ht="14.25" customHeight="1" x14ac:dyDescent="0.3">
      <c r="A1309" s="155">
        <v>739</v>
      </c>
      <c r="B1309" s="156" t="s">
        <v>1513</v>
      </c>
      <c r="C1309" s="3"/>
      <c r="D1309" s="3"/>
      <c r="E1309" s="156" t="s">
        <v>991</v>
      </c>
      <c r="F1309" s="3"/>
      <c r="G1309" s="158">
        <v>37.5</v>
      </c>
      <c r="H1309" s="155">
        <v>4</v>
      </c>
      <c r="I1309" s="155">
        <v>1</v>
      </c>
      <c r="J1309" s="156" t="s">
        <v>304</v>
      </c>
      <c r="K1309" s="5"/>
      <c r="L1309" s="3"/>
      <c r="M1309" s="6"/>
      <c r="N1309" s="9"/>
      <c r="O1309" s="158">
        <v>150</v>
      </c>
      <c r="P1309" s="12"/>
      <c r="Q1309" s="12"/>
      <c r="R1309" s="12"/>
      <c r="S1309" s="12"/>
      <c r="T1309" s="12"/>
      <c r="U1309" s="12"/>
      <c r="V1309" s="12"/>
      <c r="W1309" s="12"/>
      <c r="X1309" s="12"/>
      <c r="Y1309" s="12"/>
      <c r="Z1309" s="12"/>
    </row>
    <row r="1310" spans="1:26" ht="14.25" customHeight="1" x14ac:dyDescent="0.3">
      <c r="A1310" s="155">
        <v>740</v>
      </c>
      <c r="B1310" s="156" t="s">
        <v>1514</v>
      </c>
      <c r="C1310" s="3"/>
      <c r="D1310" s="3"/>
      <c r="E1310" s="156" t="s">
        <v>1515</v>
      </c>
      <c r="F1310" s="3"/>
      <c r="G1310" s="158">
        <v>0.5</v>
      </c>
      <c r="H1310" s="155">
        <v>200</v>
      </c>
      <c r="I1310" s="155">
        <v>40</v>
      </c>
      <c r="J1310" s="156" t="s">
        <v>92</v>
      </c>
      <c r="K1310" s="5"/>
      <c r="L1310" s="3"/>
      <c r="M1310" s="6"/>
      <c r="N1310" s="9"/>
      <c r="O1310" s="158">
        <v>100</v>
      </c>
      <c r="P1310" s="12"/>
      <c r="Q1310" s="12"/>
      <c r="R1310" s="12"/>
      <c r="S1310" s="12"/>
      <c r="T1310" s="12"/>
      <c r="U1310" s="12"/>
      <c r="V1310" s="12"/>
      <c r="W1310" s="12"/>
      <c r="X1310" s="12"/>
      <c r="Y1310" s="12"/>
      <c r="Z1310" s="12"/>
    </row>
    <row r="1311" spans="1:26" ht="14.25" customHeight="1" x14ac:dyDescent="0.3">
      <c r="A1311" s="155">
        <v>741</v>
      </c>
      <c r="B1311" s="156" t="s">
        <v>1516</v>
      </c>
      <c r="C1311" s="3"/>
      <c r="D1311" s="3"/>
      <c r="E1311" s="156"/>
      <c r="F1311" s="3"/>
      <c r="G1311" s="158">
        <v>1.1599999999999999</v>
      </c>
      <c r="H1311" s="155">
        <v>250</v>
      </c>
      <c r="I1311" s="155">
        <v>1</v>
      </c>
      <c r="J1311" s="156" t="s">
        <v>92</v>
      </c>
      <c r="K1311" s="5"/>
      <c r="L1311" s="3"/>
      <c r="M1311" s="6"/>
      <c r="N1311" s="9"/>
      <c r="O1311" s="158">
        <v>290</v>
      </c>
      <c r="P1311" s="12"/>
      <c r="Q1311" s="12"/>
      <c r="R1311" s="12"/>
      <c r="S1311" s="12"/>
      <c r="T1311" s="12"/>
      <c r="U1311" s="12"/>
      <c r="V1311" s="12"/>
      <c r="W1311" s="12"/>
      <c r="X1311" s="12"/>
      <c r="Y1311" s="12"/>
      <c r="Z1311" s="12"/>
    </row>
    <row r="1312" spans="1:26" ht="14.25" customHeight="1" x14ac:dyDescent="0.3">
      <c r="A1312" s="155">
        <v>742</v>
      </c>
      <c r="B1312" s="156" t="s">
        <v>1517</v>
      </c>
      <c r="C1312" s="3"/>
      <c r="D1312" s="3"/>
      <c r="E1312" s="156" t="s">
        <v>858</v>
      </c>
      <c r="F1312" s="3"/>
      <c r="G1312" s="158">
        <v>40.799999999999997</v>
      </c>
      <c r="H1312" s="155">
        <v>4</v>
      </c>
      <c r="I1312" s="155">
        <v>1</v>
      </c>
      <c r="J1312" s="156" t="s">
        <v>304</v>
      </c>
      <c r="K1312" s="5"/>
      <c r="L1312" s="3"/>
      <c r="M1312" s="6"/>
      <c r="N1312" s="9"/>
      <c r="O1312" s="158">
        <v>163.19999999999999</v>
      </c>
      <c r="P1312" s="12"/>
      <c r="Q1312" s="12"/>
      <c r="R1312" s="12"/>
      <c r="S1312" s="12"/>
      <c r="T1312" s="12"/>
      <c r="U1312" s="12"/>
      <c r="V1312" s="12"/>
      <c r="W1312" s="12"/>
      <c r="X1312" s="12"/>
      <c r="Y1312" s="12"/>
      <c r="Z1312" s="12"/>
    </row>
    <row r="1313" spans="1:26" ht="14.25" customHeight="1" x14ac:dyDescent="0.3">
      <c r="A1313" s="155">
        <v>743</v>
      </c>
      <c r="B1313" s="156" t="s">
        <v>1518</v>
      </c>
      <c r="C1313" s="3"/>
      <c r="D1313" s="3"/>
      <c r="E1313" s="156"/>
      <c r="F1313" s="3"/>
      <c r="G1313" s="158">
        <v>45</v>
      </c>
      <c r="H1313" s="155">
        <v>1</v>
      </c>
      <c r="I1313" s="155">
        <v>50</v>
      </c>
      <c r="J1313" s="156" t="s">
        <v>39</v>
      </c>
      <c r="K1313" s="5"/>
      <c r="L1313" s="3"/>
      <c r="M1313" s="6"/>
      <c r="N1313" s="9"/>
      <c r="O1313" s="158">
        <v>45</v>
      </c>
      <c r="P1313" s="12"/>
      <c r="Q1313" s="12"/>
      <c r="R1313" s="12"/>
      <c r="S1313" s="12"/>
      <c r="T1313" s="12"/>
      <c r="U1313" s="12"/>
      <c r="V1313" s="12"/>
      <c r="W1313" s="12"/>
      <c r="X1313" s="12"/>
      <c r="Y1313" s="12"/>
      <c r="Z1313" s="12"/>
    </row>
    <row r="1314" spans="1:26" ht="14.25" customHeight="1" x14ac:dyDescent="0.3">
      <c r="A1314" s="155">
        <v>744</v>
      </c>
      <c r="B1314" s="156" t="s">
        <v>1519</v>
      </c>
      <c r="C1314" s="3"/>
      <c r="D1314" s="3"/>
      <c r="E1314" s="156" t="s">
        <v>1520</v>
      </c>
      <c r="F1314" s="3"/>
      <c r="G1314" s="158">
        <v>0</v>
      </c>
      <c r="H1314" s="155">
        <v>0</v>
      </c>
      <c r="I1314" s="155">
        <v>227</v>
      </c>
      <c r="J1314" s="156" t="s">
        <v>39</v>
      </c>
      <c r="K1314" s="5"/>
      <c r="L1314" s="3"/>
      <c r="M1314" s="6"/>
      <c r="N1314" s="9"/>
      <c r="O1314" s="158">
        <v>0</v>
      </c>
      <c r="P1314" s="12"/>
      <c r="Q1314" s="12"/>
      <c r="R1314" s="12"/>
      <c r="S1314" s="12"/>
      <c r="T1314" s="12"/>
      <c r="U1314" s="12"/>
      <c r="V1314" s="12"/>
      <c r="W1314" s="12"/>
      <c r="X1314" s="12"/>
      <c r="Y1314" s="12"/>
      <c r="Z1314" s="12"/>
    </row>
    <row r="1315" spans="1:26" ht="14.25" customHeight="1" x14ac:dyDescent="0.3">
      <c r="A1315" s="155">
        <v>745</v>
      </c>
      <c r="B1315" s="156" t="s">
        <v>1521</v>
      </c>
      <c r="C1315" s="3"/>
      <c r="D1315" s="3"/>
      <c r="E1315" s="156" t="s">
        <v>1004</v>
      </c>
      <c r="F1315" s="3"/>
      <c r="G1315" s="158">
        <v>5</v>
      </c>
      <c r="H1315" s="155">
        <v>25</v>
      </c>
      <c r="I1315" s="155">
        <v>1</v>
      </c>
      <c r="J1315" s="156" t="s">
        <v>92</v>
      </c>
      <c r="K1315" s="5"/>
      <c r="L1315" s="3"/>
      <c r="M1315" s="6"/>
      <c r="N1315" s="9"/>
      <c r="O1315" s="158">
        <v>125</v>
      </c>
      <c r="P1315" s="12"/>
      <c r="Q1315" s="12"/>
      <c r="R1315" s="12"/>
      <c r="S1315" s="12"/>
      <c r="T1315" s="12"/>
      <c r="U1315" s="12"/>
      <c r="V1315" s="12"/>
      <c r="W1315" s="12"/>
      <c r="X1315" s="12"/>
      <c r="Y1315" s="12"/>
      <c r="Z1315" s="12"/>
    </row>
    <row r="1316" spans="1:26" ht="14.25" customHeight="1" x14ac:dyDescent="0.3">
      <c r="A1316" s="155">
        <v>746</v>
      </c>
      <c r="B1316" s="156" t="s">
        <v>1522</v>
      </c>
      <c r="C1316" s="3"/>
      <c r="D1316" s="3"/>
      <c r="E1316" s="156"/>
      <c r="F1316" s="3"/>
      <c r="G1316" s="158">
        <v>50</v>
      </c>
      <c r="H1316" s="155">
        <v>2</v>
      </c>
      <c r="I1316" s="155">
        <v>1</v>
      </c>
      <c r="J1316" s="156" t="s">
        <v>213</v>
      </c>
      <c r="K1316" s="5"/>
      <c r="L1316" s="3"/>
      <c r="M1316" s="6"/>
      <c r="N1316" s="9"/>
      <c r="O1316" s="158">
        <v>100</v>
      </c>
      <c r="P1316" s="12"/>
      <c r="Q1316" s="12"/>
      <c r="R1316" s="12"/>
      <c r="S1316" s="12"/>
      <c r="T1316" s="12"/>
      <c r="U1316" s="12"/>
      <c r="V1316" s="12"/>
      <c r="W1316" s="12"/>
      <c r="X1316" s="12"/>
      <c r="Y1316" s="12"/>
      <c r="Z1316" s="12"/>
    </row>
    <row r="1317" spans="1:26" ht="14.25" customHeight="1" x14ac:dyDescent="0.3">
      <c r="A1317" s="155">
        <v>747</v>
      </c>
      <c r="B1317" s="156" t="s">
        <v>1523</v>
      </c>
      <c r="C1317" s="3"/>
      <c r="D1317" s="3"/>
      <c r="E1317" s="156" t="s">
        <v>865</v>
      </c>
      <c r="F1317" s="3"/>
      <c r="G1317" s="158">
        <v>113</v>
      </c>
      <c r="H1317" s="155">
        <v>1</v>
      </c>
      <c r="I1317" s="155">
        <v>825</v>
      </c>
      <c r="J1317" s="156" t="s">
        <v>39</v>
      </c>
      <c r="K1317" s="5"/>
      <c r="L1317" s="3"/>
      <c r="M1317" s="6"/>
      <c r="N1317" s="9"/>
      <c r="O1317" s="158">
        <v>113</v>
      </c>
      <c r="P1317" s="12"/>
      <c r="Q1317" s="12"/>
      <c r="R1317" s="12"/>
      <c r="S1317" s="12"/>
      <c r="T1317" s="12"/>
      <c r="U1317" s="12"/>
      <c r="V1317" s="12"/>
      <c r="W1317" s="12"/>
      <c r="X1317" s="12"/>
      <c r="Y1317" s="12"/>
      <c r="Z1317" s="12"/>
    </row>
    <row r="1318" spans="1:26" ht="14.25" customHeight="1" x14ac:dyDescent="0.3">
      <c r="A1318" s="155">
        <v>747</v>
      </c>
      <c r="B1318" s="156" t="s">
        <v>1523</v>
      </c>
      <c r="C1318" s="3"/>
      <c r="D1318" s="3"/>
      <c r="E1318" s="156" t="s">
        <v>1241</v>
      </c>
      <c r="F1318" s="3"/>
      <c r="G1318" s="158">
        <v>139</v>
      </c>
      <c r="H1318" s="155">
        <v>1</v>
      </c>
      <c r="I1318" s="155">
        <v>825</v>
      </c>
      <c r="J1318" s="156" t="s">
        <v>39</v>
      </c>
      <c r="K1318" s="5"/>
      <c r="L1318" s="3"/>
      <c r="M1318" s="6"/>
      <c r="N1318" s="9"/>
      <c r="O1318" s="158">
        <v>139</v>
      </c>
      <c r="P1318" s="12"/>
      <c r="Q1318" s="12"/>
      <c r="R1318" s="12"/>
      <c r="S1318" s="12"/>
      <c r="T1318" s="12"/>
      <c r="U1318" s="12"/>
      <c r="V1318" s="12"/>
      <c r="W1318" s="12"/>
      <c r="X1318" s="12"/>
      <c r="Y1318" s="12"/>
      <c r="Z1318" s="12"/>
    </row>
    <row r="1319" spans="1:26" ht="14.25" customHeight="1" x14ac:dyDescent="0.3">
      <c r="A1319" s="155">
        <v>310</v>
      </c>
      <c r="B1319" s="156" t="s">
        <v>710</v>
      </c>
      <c r="C1319" s="3"/>
      <c r="D1319" s="3"/>
      <c r="E1319" s="156" t="s">
        <v>1524</v>
      </c>
      <c r="F1319" s="3"/>
      <c r="G1319" s="158">
        <v>180</v>
      </c>
      <c r="H1319" s="155">
        <v>2</v>
      </c>
      <c r="I1319" s="155">
        <v>2</v>
      </c>
      <c r="J1319" s="156" t="s">
        <v>213</v>
      </c>
      <c r="K1319" s="5"/>
      <c r="L1319" s="3"/>
      <c r="M1319" s="6"/>
      <c r="N1319" s="9"/>
      <c r="O1319" s="158">
        <v>360</v>
      </c>
      <c r="P1319" s="12"/>
      <c r="Q1319" s="12"/>
      <c r="R1319" s="12"/>
      <c r="S1319" s="12"/>
      <c r="T1319" s="12"/>
      <c r="U1319" s="12"/>
      <c r="V1319" s="12"/>
      <c r="W1319" s="12"/>
      <c r="X1319" s="12"/>
      <c r="Y1319" s="12"/>
      <c r="Z1319" s="12"/>
    </row>
    <row r="1320" spans="1:26" ht="14.25" customHeight="1" x14ac:dyDescent="0.3">
      <c r="A1320" s="155">
        <v>310</v>
      </c>
      <c r="B1320" s="156" t="s">
        <v>710</v>
      </c>
      <c r="C1320" s="3"/>
      <c r="D1320" s="3"/>
      <c r="E1320" s="156" t="s">
        <v>1525</v>
      </c>
      <c r="F1320" s="3"/>
      <c r="G1320" s="158">
        <v>221.3</v>
      </c>
      <c r="H1320" s="155">
        <v>1</v>
      </c>
      <c r="I1320" s="155">
        <v>2</v>
      </c>
      <c r="J1320" s="156" t="s">
        <v>39</v>
      </c>
      <c r="K1320" s="5"/>
      <c r="L1320" s="3"/>
      <c r="M1320" s="6"/>
      <c r="N1320" s="9"/>
      <c r="O1320" s="158">
        <v>221.3</v>
      </c>
      <c r="P1320" s="12"/>
      <c r="Q1320" s="12"/>
      <c r="R1320" s="12"/>
      <c r="S1320" s="12"/>
      <c r="T1320" s="12"/>
      <c r="U1320" s="12"/>
      <c r="V1320" s="12"/>
      <c r="W1320" s="12"/>
      <c r="X1320" s="12"/>
      <c r="Y1320" s="12"/>
      <c r="Z1320" s="12"/>
    </row>
    <row r="1321" spans="1:26" ht="14.25" customHeight="1" x14ac:dyDescent="0.3">
      <c r="A1321" s="155">
        <v>310</v>
      </c>
      <c r="B1321" s="156" t="s">
        <v>710</v>
      </c>
      <c r="C1321" s="3"/>
      <c r="D1321" s="3"/>
      <c r="E1321" s="156" t="s">
        <v>1524</v>
      </c>
      <c r="F1321" s="3"/>
      <c r="G1321" s="158">
        <v>230</v>
      </c>
      <c r="H1321" s="155">
        <v>2</v>
      </c>
      <c r="I1321" s="155">
        <v>2</v>
      </c>
      <c r="J1321" s="156" t="s">
        <v>39</v>
      </c>
      <c r="K1321" s="5"/>
      <c r="L1321" s="3"/>
      <c r="M1321" s="6"/>
      <c r="N1321" s="9"/>
      <c r="O1321" s="158">
        <v>460</v>
      </c>
      <c r="P1321" s="12"/>
      <c r="Q1321" s="12"/>
      <c r="R1321" s="12"/>
      <c r="S1321" s="12"/>
      <c r="T1321" s="12"/>
      <c r="U1321" s="12"/>
      <c r="V1321" s="12"/>
      <c r="W1321" s="12"/>
      <c r="X1321" s="12"/>
      <c r="Y1321" s="12"/>
      <c r="Z1321" s="12"/>
    </row>
    <row r="1322" spans="1:26" ht="14.25" customHeight="1" x14ac:dyDescent="0.3">
      <c r="A1322" s="155">
        <v>748</v>
      </c>
      <c r="B1322" s="156" t="s">
        <v>1526</v>
      </c>
      <c r="C1322" s="3"/>
      <c r="D1322" s="3"/>
      <c r="E1322" s="156"/>
      <c r="F1322" s="3"/>
      <c r="G1322" s="158">
        <v>6</v>
      </c>
      <c r="H1322" s="155">
        <v>130</v>
      </c>
      <c r="I1322" s="155">
        <v>10</v>
      </c>
      <c r="J1322" s="156" t="s">
        <v>304</v>
      </c>
      <c r="K1322" s="5"/>
      <c r="L1322" s="3"/>
      <c r="M1322" s="6"/>
      <c r="N1322" s="9"/>
      <c r="O1322" s="158">
        <v>780</v>
      </c>
      <c r="P1322" s="12"/>
      <c r="Q1322" s="12"/>
      <c r="R1322" s="12"/>
      <c r="S1322" s="12"/>
      <c r="T1322" s="12"/>
      <c r="U1322" s="12"/>
      <c r="V1322" s="12"/>
      <c r="W1322" s="12"/>
      <c r="X1322" s="12"/>
      <c r="Y1322" s="12"/>
      <c r="Z1322" s="12"/>
    </row>
    <row r="1323" spans="1:26" ht="14.25" customHeight="1" x14ac:dyDescent="0.3">
      <c r="A1323" s="155">
        <v>748</v>
      </c>
      <c r="B1323" s="156" t="s">
        <v>1526</v>
      </c>
      <c r="C1323" s="3"/>
      <c r="D1323" s="3"/>
      <c r="E1323" s="156" t="s">
        <v>1527</v>
      </c>
      <c r="F1323" s="3"/>
      <c r="G1323" s="158">
        <v>38</v>
      </c>
      <c r="H1323" s="155">
        <v>4</v>
      </c>
      <c r="I1323" s="155">
        <v>10</v>
      </c>
      <c r="J1323" s="156" t="s">
        <v>39</v>
      </c>
      <c r="K1323" s="5"/>
      <c r="L1323" s="3"/>
      <c r="M1323" s="6"/>
      <c r="N1323" s="9"/>
      <c r="O1323" s="158">
        <v>152</v>
      </c>
      <c r="P1323" s="12"/>
      <c r="Q1323" s="12"/>
      <c r="R1323" s="12"/>
      <c r="S1323" s="12"/>
      <c r="T1323" s="12"/>
      <c r="U1323" s="12"/>
      <c r="V1323" s="12"/>
      <c r="W1323" s="12"/>
      <c r="X1323" s="12"/>
      <c r="Y1323" s="12"/>
      <c r="Z1323" s="12"/>
    </row>
    <row r="1324" spans="1:26" ht="14.25" customHeight="1" x14ac:dyDescent="0.3">
      <c r="A1324" s="155">
        <v>749</v>
      </c>
      <c r="B1324" s="156" t="s">
        <v>1528</v>
      </c>
      <c r="C1324" s="3"/>
      <c r="D1324" s="3"/>
      <c r="E1324" s="156" t="s">
        <v>1066</v>
      </c>
      <c r="F1324" s="3"/>
      <c r="G1324" s="158">
        <v>35.18</v>
      </c>
      <c r="H1324" s="155">
        <v>24</v>
      </c>
      <c r="I1324" s="155">
        <v>80</v>
      </c>
      <c r="J1324" s="156" t="s">
        <v>39</v>
      </c>
      <c r="K1324" s="5"/>
      <c r="L1324" s="3"/>
      <c r="M1324" s="6"/>
      <c r="N1324" s="9"/>
      <c r="O1324" s="158">
        <v>844.32</v>
      </c>
      <c r="P1324" s="12"/>
      <c r="Q1324" s="12"/>
      <c r="R1324" s="12"/>
      <c r="S1324" s="12"/>
      <c r="T1324" s="12"/>
      <c r="U1324" s="12"/>
      <c r="V1324" s="12"/>
      <c r="W1324" s="12"/>
      <c r="X1324" s="12"/>
      <c r="Y1324" s="12"/>
      <c r="Z1324" s="12"/>
    </row>
    <row r="1325" spans="1:26" ht="14.25" customHeight="1" x14ac:dyDescent="0.3">
      <c r="A1325" s="155">
        <v>749</v>
      </c>
      <c r="B1325" s="156" t="s">
        <v>1528</v>
      </c>
      <c r="C1325" s="3"/>
      <c r="D1325" s="3"/>
      <c r="E1325" s="156" t="s">
        <v>1529</v>
      </c>
      <c r="F1325" s="3"/>
      <c r="G1325" s="158">
        <v>234.75</v>
      </c>
      <c r="H1325" s="155">
        <v>1</v>
      </c>
      <c r="I1325" s="155">
        <v>80</v>
      </c>
      <c r="J1325" s="156" t="s">
        <v>39</v>
      </c>
      <c r="K1325" s="5"/>
      <c r="L1325" s="3"/>
      <c r="M1325" s="6"/>
      <c r="N1325" s="9"/>
      <c r="O1325" s="158">
        <v>234.75</v>
      </c>
      <c r="P1325" s="12"/>
      <c r="Q1325" s="12"/>
      <c r="R1325" s="12"/>
      <c r="S1325" s="12"/>
      <c r="T1325" s="12"/>
      <c r="U1325" s="12"/>
      <c r="V1325" s="12"/>
      <c r="W1325" s="12"/>
      <c r="X1325" s="12"/>
      <c r="Y1325" s="12"/>
      <c r="Z1325" s="12"/>
    </row>
    <row r="1326" spans="1:26" ht="14.25" customHeight="1" x14ac:dyDescent="0.3">
      <c r="A1326" s="155">
        <v>750</v>
      </c>
      <c r="B1326" s="156" t="s">
        <v>1530</v>
      </c>
      <c r="C1326" s="3"/>
      <c r="D1326" s="3"/>
      <c r="E1326" s="156" t="s">
        <v>1062</v>
      </c>
      <c r="F1326" s="3"/>
      <c r="G1326" s="158">
        <v>125</v>
      </c>
      <c r="H1326" s="155">
        <v>17</v>
      </c>
      <c r="I1326" s="155">
        <v>1</v>
      </c>
      <c r="J1326" s="156" t="s">
        <v>1064</v>
      </c>
      <c r="K1326" s="5"/>
      <c r="L1326" s="3"/>
      <c r="M1326" s="6"/>
      <c r="N1326" s="9"/>
      <c r="O1326" s="158">
        <v>2125</v>
      </c>
      <c r="P1326" s="12"/>
      <c r="Q1326" s="12"/>
      <c r="R1326" s="12"/>
      <c r="S1326" s="12"/>
      <c r="T1326" s="12"/>
      <c r="U1326" s="12"/>
      <c r="V1326" s="12"/>
      <c r="W1326" s="12"/>
      <c r="X1326" s="12"/>
      <c r="Y1326" s="12"/>
      <c r="Z1326" s="12"/>
    </row>
    <row r="1327" spans="1:26" ht="14.25" customHeight="1" x14ac:dyDescent="0.3">
      <c r="A1327" s="155">
        <v>751</v>
      </c>
      <c r="B1327" s="156" t="s">
        <v>1531</v>
      </c>
      <c r="C1327" s="3"/>
      <c r="D1327" s="3"/>
      <c r="E1327" s="156" t="s">
        <v>1062</v>
      </c>
      <c r="F1327" s="3"/>
      <c r="G1327" s="158">
        <v>35</v>
      </c>
      <c r="H1327" s="155">
        <v>1</v>
      </c>
      <c r="I1327" s="155">
        <v>1</v>
      </c>
      <c r="J1327" s="156" t="s">
        <v>1064</v>
      </c>
      <c r="K1327" s="5"/>
      <c r="L1327" s="3"/>
      <c r="M1327" s="6"/>
      <c r="N1327" s="9"/>
      <c r="O1327" s="158">
        <v>35</v>
      </c>
      <c r="P1327" s="12"/>
      <c r="Q1327" s="12"/>
      <c r="R1327" s="12"/>
      <c r="S1327" s="12"/>
      <c r="T1327" s="12"/>
      <c r="U1327" s="12"/>
      <c r="V1327" s="12"/>
      <c r="W1327" s="12"/>
      <c r="X1327" s="12"/>
      <c r="Y1327" s="12"/>
      <c r="Z1327" s="12"/>
    </row>
    <row r="1328" spans="1:26" ht="14.25" customHeight="1" x14ac:dyDescent="0.3">
      <c r="A1328" s="155">
        <v>752</v>
      </c>
      <c r="B1328" s="156" t="s">
        <v>1532</v>
      </c>
      <c r="C1328" s="3"/>
      <c r="D1328" s="3"/>
      <c r="E1328" s="156"/>
      <c r="F1328" s="3"/>
      <c r="G1328" s="158">
        <v>75</v>
      </c>
      <c r="H1328" s="155">
        <v>3</v>
      </c>
      <c r="I1328" s="155">
        <v>1</v>
      </c>
      <c r="J1328" s="156" t="s">
        <v>213</v>
      </c>
      <c r="K1328" s="5"/>
      <c r="L1328" s="3"/>
      <c r="M1328" s="6"/>
      <c r="N1328" s="9"/>
      <c r="O1328" s="158">
        <v>225</v>
      </c>
      <c r="P1328" s="12"/>
      <c r="Q1328" s="12"/>
      <c r="R1328" s="12"/>
      <c r="S1328" s="12"/>
      <c r="T1328" s="12"/>
      <c r="U1328" s="12"/>
      <c r="V1328" s="12"/>
      <c r="W1328" s="12"/>
      <c r="X1328" s="12"/>
      <c r="Y1328" s="12"/>
      <c r="Z1328" s="12"/>
    </row>
    <row r="1329" spans="1:26" ht="14.25" customHeight="1" x14ac:dyDescent="0.3">
      <c r="A1329" s="155">
        <v>753</v>
      </c>
      <c r="B1329" s="156" t="s">
        <v>1533</v>
      </c>
      <c r="C1329" s="3"/>
      <c r="D1329" s="3"/>
      <c r="E1329" s="156"/>
      <c r="F1329" s="3"/>
      <c r="G1329" s="158">
        <v>60</v>
      </c>
      <c r="H1329" s="155">
        <v>3</v>
      </c>
      <c r="I1329" s="155">
        <v>1</v>
      </c>
      <c r="J1329" s="156" t="s">
        <v>213</v>
      </c>
      <c r="K1329" s="5"/>
      <c r="L1329" s="3"/>
      <c r="M1329" s="6"/>
      <c r="N1329" s="9"/>
      <c r="O1329" s="158">
        <v>180</v>
      </c>
      <c r="P1329" s="12"/>
      <c r="Q1329" s="12"/>
      <c r="R1329" s="12"/>
      <c r="S1329" s="12"/>
      <c r="T1329" s="12"/>
      <c r="U1329" s="12"/>
      <c r="V1329" s="12"/>
      <c r="W1329" s="12"/>
      <c r="X1329" s="12"/>
      <c r="Y1329" s="12"/>
      <c r="Z1329" s="12"/>
    </row>
    <row r="1330" spans="1:26" ht="14.25" customHeight="1" x14ac:dyDescent="0.3">
      <c r="A1330" s="155">
        <v>754</v>
      </c>
      <c r="B1330" s="156" t="s">
        <v>1534</v>
      </c>
      <c r="C1330" s="3"/>
      <c r="D1330" s="3"/>
      <c r="E1330" s="156" t="s">
        <v>1349</v>
      </c>
      <c r="F1330" s="3"/>
      <c r="G1330" s="158">
        <v>76.666669999999996</v>
      </c>
      <c r="H1330" s="155">
        <v>3</v>
      </c>
      <c r="I1330" s="155">
        <v>1</v>
      </c>
      <c r="J1330" s="156" t="s">
        <v>213</v>
      </c>
      <c r="K1330" s="5"/>
      <c r="L1330" s="3"/>
      <c r="M1330" s="6"/>
      <c r="N1330" s="9"/>
      <c r="O1330" s="158">
        <v>230</v>
      </c>
      <c r="P1330" s="12"/>
      <c r="Q1330" s="12"/>
      <c r="R1330" s="12"/>
      <c r="S1330" s="12"/>
      <c r="T1330" s="12"/>
      <c r="U1330" s="12"/>
      <c r="V1330" s="12"/>
      <c r="W1330" s="12"/>
      <c r="X1330" s="12"/>
      <c r="Y1330" s="12"/>
      <c r="Z1330" s="12"/>
    </row>
    <row r="1331" spans="1:26" ht="14.25" customHeight="1" x14ac:dyDescent="0.3">
      <c r="A1331" s="155">
        <v>754</v>
      </c>
      <c r="B1331" s="156" t="s">
        <v>1534</v>
      </c>
      <c r="C1331" s="3"/>
      <c r="D1331" s="3"/>
      <c r="E1331" s="156" t="s">
        <v>1219</v>
      </c>
      <c r="F1331" s="3"/>
      <c r="G1331" s="158">
        <v>46</v>
      </c>
      <c r="H1331" s="155">
        <v>2</v>
      </c>
      <c r="I1331" s="155">
        <v>1</v>
      </c>
      <c r="J1331" s="156" t="s">
        <v>213</v>
      </c>
      <c r="K1331" s="5"/>
      <c r="L1331" s="3"/>
      <c r="M1331" s="6"/>
      <c r="N1331" s="9"/>
      <c r="O1331" s="158">
        <v>92</v>
      </c>
      <c r="P1331" s="12"/>
      <c r="Q1331" s="12"/>
      <c r="R1331" s="12"/>
      <c r="S1331" s="12"/>
      <c r="T1331" s="12"/>
      <c r="U1331" s="12"/>
      <c r="V1331" s="12"/>
      <c r="W1331" s="12"/>
      <c r="X1331" s="12"/>
      <c r="Y1331" s="12"/>
      <c r="Z1331" s="12"/>
    </row>
    <row r="1332" spans="1:26" ht="14.25" customHeight="1" x14ac:dyDescent="0.3">
      <c r="A1332" s="155">
        <v>755</v>
      </c>
      <c r="B1332" s="156" t="s">
        <v>1535</v>
      </c>
      <c r="C1332" s="3"/>
      <c r="D1332" s="3"/>
      <c r="E1332" s="156"/>
      <c r="F1332" s="3"/>
      <c r="G1332" s="158">
        <v>60</v>
      </c>
      <c r="H1332" s="155">
        <v>4</v>
      </c>
      <c r="I1332" s="155">
        <v>1</v>
      </c>
      <c r="J1332" s="156" t="s">
        <v>213</v>
      </c>
      <c r="K1332" s="5"/>
      <c r="L1332" s="3"/>
      <c r="M1332" s="6"/>
      <c r="N1332" s="9"/>
      <c r="O1332" s="158">
        <v>240</v>
      </c>
      <c r="P1332" s="12"/>
      <c r="Q1332" s="12"/>
      <c r="R1332" s="12"/>
      <c r="S1332" s="12"/>
      <c r="T1332" s="12"/>
      <c r="U1332" s="12"/>
      <c r="V1332" s="12"/>
      <c r="W1332" s="12"/>
      <c r="X1332" s="12"/>
      <c r="Y1332" s="12"/>
      <c r="Z1332" s="12"/>
    </row>
    <row r="1333" spans="1:26" ht="14.25" customHeight="1" x14ac:dyDescent="0.3">
      <c r="A1333" s="155">
        <v>756</v>
      </c>
      <c r="B1333" s="156" t="s">
        <v>1536</v>
      </c>
      <c r="C1333" s="3"/>
      <c r="D1333" s="3"/>
      <c r="E1333" s="156" t="s">
        <v>959</v>
      </c>
      <c r="F1333" s="3"/>
      <c r="G1333" s="158">
        <v>45</v>
      </c>
      <c r="H1333" s="155">
        <v>1</v>
      </c>
      <c r="I1333" s="155">
        <v>100</v>
      </c>
      <c r="J1333" s="156" t="s">
        <v>39</v>
      </c>
      <c r="K1333" s="5"/>
      <c r="L1333" s="3"/>
      <c r="M1333" s="6"/>
      <c r="N1333" s="9"/>
      <c r="O1333" s="158">
        <v>45</v>
      </c>
      <c r="P1333" s="12"/>
      <c r="Q1333" s="12"/>
      <c r="R1333" s="12"/>
      <c r="S1333" s="12"/>
      <c r="T1333" s="12"/>
      <c r="U1333" s="12"/>
      <c r="V1333" s="12"/>
      <c r="W1333" s="12"/>
      <c r="X1333" s="12"/>
      <c r="Y1333" s="12"/>
      <c r="Z1333" s="12"/>
    </row>
    <row r="1334" spans="1:26" ht="14.25" customHeight="1" x14ac:dyDescent="0.3">
      <c r="A1334" s="155">
        <v>757</v>
      </c>
      <c r="B1334" s="156" t="s">
        <v>1537</v>
      </c>
      <c r="C1334" s="3"/>
      <c r="D1334" s="3"/>
      <c r="E1334" s="156" t="s">
        <v>959</v>
      </c>
      <c r="F1334" s="3"/>
      <c r="G1334" s="158">
        <v>57.7</v>
      </c>
      <c r="H1334" s="155">
        <v>1</v>
      </c>
      <c r="I1334" s="155">
        <v>135</v>
      </c>
      <c r="J1334" s="156" t="s">
        <v>39</v>
      </c>
      <c r="K1334" s="5"/>
      <c r="L1334" s="3"/>
      <c r="M1334" s="6"/>
      <c r="N1334" s="9"/>
      <c r="O1334" s="158">
        <v>57.7</v>
      </c>
      <c r="P1334" s="12"/>
      <c r="Q1334" s="12"/>
      <c r="R1334" s="12"/>
      <c r="S1334" s="12"/>
      <c r="T1334" s="12"/>
      <c r="U1334" s="12"/>
      <c r="V1334" s="12"/>
      <c r="W1334" s="12"/>
      <c r="X1334" s="12"/>
      <c r="Y1334" s="12"/>
      <c r="Z1334" s="12"/>
    </row>
    <row r="1335" spans="1:26" ht="14.25" customHeight="1" x14ac:dyDescent="0.3">
      <c r="A1335" s="155">
        <v>758</v>
      </c>
      <c r="B1335" s="156" t="s">
        <v>1538</v>
      </c>
      <c r="C1335" s="3"/>
      <c r="D1335" s="3"/>
      <c r="E1335" s="156" t="s">
        <v>1062</v>
      </c>
      <c r="F1335" s="3"/>
      <c r="G1335" s="158">
        <v>125</v>
      </c>
      <c r="H1335" s="155">
        <v>6</v>
      </c>
      <c r="I1335" s="155">
        <v>1</v>
      </c>
      <c r="J1335" s="156" t="s">
        <v>1064</v>
      </c>
      <c r="K1335" s="5"/>
      <c r="L1335" s="3"/>
      <c r="M1335" s="6"/>
      <c r="N1335" s="9"/>
      <c r="O1335" s="158">
        <v>750</v>
      </c>
      <c r="P1335" s="12"/>
      <c r="Q1335" s="12"/>
      <c r="R1335" s="12"/>
      <c r="S1335" s="12"/>
      <c r="T1335" s="12"/>
      <c r="U1335" s="12"/>
      <c r="V1335" s="12"/>
      <c r="W1335" s="12"/>
      <c r="X1335" s="12"/>
      <c r="Y1335" s="12"/>
      <c r="Z1335" s="12"/>
    </row>
    <row r="1336" spans="1:26" ht="14.25" customHeight="1" x14ac:dyDescent="0.3">
      <c r="A1336" s="155">
        <v>759</v>
      </c>
      <c r="B1336" s="156" t="s">
        <v>1539</v>
      </c>
      <c r="C1336" s="3"/>
      <c r="D1336" s="3"/>
      <c r="E1336" s="156" t="s">
        <v>1486</v>
      </c>
      <c r="F1336" s="3"/>
      <c r="G1336" s="158">
        <v>135</v>
      </c>
      <c r="H1336" s="155">
        <v>1</v>
      </c>
      <c r="I1336" s="155">
        <v>320</v>
      </c>
      <c r="J1336" s="156" t="s">
        <v>39</v>
      </c>
      <c r="K1336" s="5"/>
      <c r="L1336" s="3"/>
      <c r="M1336" s="6"/>
      <c r="N1336" s="9"/>
      <c r="O1336" s="158">
        <v>135</v>
      </c>
      <c r="P1336" s="12"/>
      <c r="Q1336" s="12"/>
      <c r="R1336" s="12"/>
      <c r="S1336" s="12"/>
      <c r="T1336" s="12"/>
      <c r="U1336" s="12"/>
      <c r="V1336" s="12"/>
      <c r="W1336" s="12"/>
      <c r="X1336" s="12"/>
      <c r="Y1336" s="12"/>
      <c r="Z1336" s="12"/>
    </row>
    <row r="1337" spans="1:26" ht="14.25" customHeight="1" x14ac:dyDescent="0.3">
      <c r="A1337" s="155">
        <v>320</v>
      </c>
      <c r="B1337" s="156" t="s">
        <v>1540</v>
      </c>
      <c r="C1337" s="3"/>
      <c r="D1337" s="3"/>
      <c r="E1337" s="156" t="s">
        <v>1241</v>
      </c>
      <c r="F1337" s="3"/>
      <c r="G1337" s="158">
        <v>38.5</v>
      </c>
      <c r="H1337" s="155">
        <v>2</v>
      </c>
      <c r="I1337" s="155">
        <v>137</v>
      </c>
      <c r="J1337" s="156" t="s">
        <v>519</v>
      </c>
      <c r="K1337" s="5"/>
      <c r="L1337" s="3"/>
      <c r="M1337" s="6"/>
      <c r="N1337" s="9"/>
      <c r="O1337" s="158">
        <v>77</v>
      </c>
      <c r="P1337" s="12"/>
      <c r="Q1337" s="12"/>
      <c r="R1337" s="12"/>
      <c r="S1337" s="12"/>
      <c r="T1337" s="12"/>
      <c r="U1337" s="12"/>
      <c r="V1337" s="12"/>
      <c r="W1337" s="12"/>
      <c r="X1337" s="12"/>
      <c r="Y1337" s="12"/>
      <c r="Z1337" s="12"/>
    </row>
    <row r="1338" spans="1:26" ht="14.25" customHeight="1" x14ac:dyDescent="0.3">
      <c r="A1338" s="155">
        <v>321</v>
      </c>
      <c r="B1338" s="156" t="s">
        <v>723</v>
      </c>
      <c r="C1338" s="3"/>
      <c r="D1338" s="3"/>
      <c r="E1338" s="156" t="s">
        <v>1241</v>
      </c>
      <c r="F1338" s="3"/>
      <c r="G1338" s="158">
        <v>43.666670000000003</v>
      </c>
      <c r="H1338" s="155">
        <v>9</v>
      </c>
      <c r="I1338" s="155">
        <v>112</v>
      </c>
      <c r="J1338" s="156" t="s">
        <v>39</v>
      </c>
      <c r="K1338" s="5"/>
      <c r="L1338" s="3"/>
      <c r="M1338" s="6"/>
      <c r="N1338" s="9"/>
      <c r="O1338" s="158">
        <v>393</v>
      </c>
      <c r="P1338" s="12"/>
      <c r="Q1338" s="12"/>
      <c r="R1338" s="12"/>
      <c r="S1338" s="12"/>
      <c r="T1338" s="12"/>
      <c r="U1338" s="12"/>
      <c r="V1338" s="12"/>
      <c r="W1338" s="12"/>
      <c r="X1338" s="12"/>
      <c r="Y1338" s="12"/>
      <c r="Z1338" s="12"/>
    </row>
    <row r="1339" spans="1:26" ht="14.25" customHeight="1" x14ac:dyDescent="0.3">
      <c r="A1339" s="155">
        <v>321</v>
      </c>
      <c r="B1339" s="156" t="s">
        <v>723</v>
      </c>
      <c r="C1339" s="3"/>
      <c r="D1339" s="3"/>
      <c r="E1339" s="156" t="s">
        <v>1241</v>
      </c>
      <c r="F1339" s="3"/>
      <c r="G1339" s="158">
        <v>30.069230000000001</v>
      </c>
      <c r="H1339" s="155">
        <v>13</v>
      </c>
      <c r="I1339" s="155">
        <v>112</v>
      </c>
      <c r="J1339" s="156" t="s">
        <v>519</v>
      </c>
      <c r="K1339" s="5"/>
      <c r="L1339" s="3"/>
      <c r="M1339" s="6"/>
      <c r="N1339" s="9"/>
      <c r="O1339" s="158">
        <v>390.9</v>
      </c>
      <c r="P1339" s="12"/>
      <c r="Q1339" s="12"/>
      <c r="R1339" s="12"/>
      <c r="S1339" s="12"/>
      <c r="T1339" s="12"/>
      <c r="U1339" s="12"/>
      <c r="V1339" s="12"/>
      <c r="W1339" s="12"/>
      <c r="X1339" s="12"/>
      <c r="Y1339" s="12"/>
      <c r="Z1339" s="12"/>
    </row>
    <row r="1340" spans="1:26" ht="14.25" customHeight="1" x14ac:dyDescent="0.3">
      <c r="A1340" s="155">
        <v>760</v>
      </c>
      <c r="B1340" s="156" t="s">
        <v>1541</v>
      </c>
      <c r="C1340" s="3"/>
      <c r="D1340" s="3"/>
      <c r="E1340" s="156" t="s">
        <v>1372</v>
      </c>
      <c r="F1340" s="3"/>
      <c r="G1340" s="158">
        <v>160</v>
      </c>
      <c r="H1340" s="155">
        <v>1</v>
      </c>
      <c r="I1340" s="155">
        <v>1</v>
      </c>
      <c r="J1340" s="156" t="s">
        <v>773</v>
      </c>
      <c r="K1340" s="5"/>
      <c r="L1340" s="3"/>
      <c r="M1340" s="6"/>
      <c r="N1340" s="9"/>
      <c r="O1340" s="158">
        <v>160</v>
      </c>
      <c r="P1340" s="12"/>
      <c r="Q1340" s="12"/>
      <c r="R1340" s="12"/>
      <c r="S1340" s="12"/>
      <c r="T1340" s="12"/>
      <c r="U1340" s="12"/>
      <c r="V1340" s="12"/>
      <c r="W1340" s="12"/>
      <c r="X1340" s="12"/>
      <c r="Y1340" s="12"/>
      <c r="Z1340" s="12"/>
    </row>
    <row r="1341" spans="1:26" ht="14.25" customHeight="1" x14ac:dyDescent="0.3">
      <c r="A1341" s="155">
        <v>322</v>
      </c>
      <c r="B1341" s="156" t="s">
        <v>296</v>
      </c>
      <c r="C1341" s="3"/>
      <c r="D1341" s="3"/>
      <c r="E1341" s="156"/>
      <c r="F1341" s="3"/>
      <c r="G1341" s="158">
        <v>666.66669999999999</v>
      </c>
      <c r="H1341" s="155">
        <v>6</v>
      </c>
      <c r="I1341" s="155">
        <v>1</v>
      </c>
      <c r="J1341" s="156" t="s">
        <v>213</v>
      </c>
      <c r="K1341" s="5"/>
      <c r="L1341" s="3"/>
      <c r="M1341" s="6"/>
      <c r="N1341" s="9"/>
      <c r="O1341" s="158">
        <v>4000</v>
      </c>
      <c r="P1341" s="12"/>
      <c r="Q1341" s="12"/>
      <c r="R1341" s="12"/>
      <c r="S1341" s="12"/>
      <c r="T1341" s="12"/>
      <c r="U1341" s="12"/>
      <c r="V1341" s="12"/>
      <c r="W1341" s="12"/>
      <c r="X1341" s="12"/>
      <c r="Y1341" s="12"/>
      <c r="Z1341" s="12"/>
    </row>
    <row r="1342" spans="1:26" ht="14.25" customHeight="1" x14ac:dyDescent="0.3">
      <c r="A1342" s="155">
        <v>761</v>
      </c>
      <c r="B1342" s="156" t="s">
        <v>1542</v>
      </c>
      <c r="C1342" s="3"/>
      <c r="D1342" s="3"/>
      <c r="E1342" s="156" t="s">
        <v>1543</v>
      </c>
      <c r="F1342" s="3"/>
      <c r="G1342" s="158">
        <v>148</v>
      </c>
      <c r="H1342" s="155">
        <v>2</v>
      </c>
      <c r="I1342" s="155">
        <v>400</v>
      </c>
      <c r="J1342" s="156" t="s">
        <v>39</v>
      </c>
      <c r="K1342" s="5"/>
      <c r="L1342" s="3"/>
      <c r="M1342" s="6"/>
      <c r="N1342" s="9"/>
      <c r="O1342" s="158">
        <v>296</v>
      </c>
      <c r="P1342" s="12"/>
      <c r="Q1342" s="12"/>
      <c r="R1342" s="12"/>
      <c r="S1342" s="12"/>
      <c r="T1342" s="12"/>
      <c r="U1342" s="12"/>
      <c r="V1342" s="12"/>
      <c r="W1342" s="12"/>
      <c r="X1342" s="12"/>
      <c r="Y1342" s="12"/>
      <c r="Z1342" s="12"/>
    </row>
    <row r="1343" spans="1:26" ht="14.25" customHeight="1" x14ac:dyDescent="0.3">
      <c r="A1343" s="155">
        <v>762</v>
      </c>
      <c r="B1343" s="156" t="s">
        <v>1544</v>
      </c>
      <c r="C1343" s="3"/>
      <c r="D1343" s="3"/>
      <c r="E1343" s="156"/>
      <c r="F1343" s="3"/>
      <c r="G1343" s="158">
        <v>180</v>
      </c>
      <c r="H1343" s="155">
        <v>1</v>
      </c>
      <c r="I1343" s="155">
        <v>1</v>
      </c>
      <c r="J1343" s="156" t="s">
        <v>213</v>
      </c>
      <c r="K1343" s="5"/>
      <c r="L1343" s="3"/>
      <c r="M1343" s="6"/>
      <c r="N1343" s="9"/>
      <c r="O1343" s="158">
        <v>180</v>
      </c>
      <c r="P1343" s="12"/>
      <c r="Q1343" s="12"/>
      <c r="R1343" s="12"/>
      <c r="S1343" s="12"/>
      <c r="T1343" s="12"/>
      <c r="U1343" s="12"/>
      <c r="V1343" s="12"/>
      <c r="W1343" s="12"/>
      <c r="X1343" s="12"/>
      <c r="Y1343" s="12"/>
      <c r="Z1343" s="12"/>
    </row>
    <row r="1344" spans="1:26" ht="14.25" customHeight="1" x14ac:dyDescent="0.3">
      <c r="A1344" s="155">
        <v>763</v>
      </c>
      <c r="B1344" s="156" t="s">
        <v>1545</v>
      </c>
      <c r="C1344" s="3"/>
      <c r="D1344" s="3"/>
      <c r="E1344" s="156"/>
      <c r="F1344" s="3"/>
      <c r="G1344" s="158">
        <v>100</v>
      </c>
      <c r="H1344" s="155">
        <v>1</v>
      </c>
      <c r="I1344" s="155">
        <v>1</v>
      </c>
      <c r="J1344" s="156" t="s">
        <v>213</v>
      </c>
      <c r="K1344" s="5"/>
      <c r="L1344" s="3"/>
      <c r="M1344" s="6"/>
      <c r="N1344" s="9"/>
      <c r="O1344" s="158">
        <v>100</v>
      </c>
      <c r="P1344" s="12"/>
      <c r="Q1344" s="12"/>
      <c r="R1344" s="12"/>
      <c r="S1344" s="12"/>
      <c r="T1344" s="12"/>
      <c r="U1344" s="12"/>
      <c r="V1344" s="12"/>
      <c r="W1344" s="12"/>
      <c r="X1344" s="12"/>
      <c r="Y1344" s="12"/>
      <c r="Z1344" s="12"/>
    </row>
    <row r="1345" spans="1:26" ht="14.25" customHeight="1" x14ac:dyDescent="0.3">
      <c r="A1345" s="155">
        <v>763</v>
      </c>
      <c r="B1345" s="156" t="s">
        <v>1545</v>
      </c>
      <c r="C1345" s="3"/>
      <c r="D1345" s="3"/>
      <c r="E1345" s="156" t="s">
        <v>216</v>
      </c>
      <c r="F1345" s="3"/>
      <c r="G1345" s="158">
        <v>80</v>
      </c>
      <c r="H1345" s="155">
        <v>1</v>
      </c>
      <c r="I1345" s="155">
        <v>1</v>
      </c>
      <c r="J1345" s="156" t="s">
        <v>213</v>
      </c>
      <c r="K1345" s="5"/>
      <c r="L1345" s="3"/>
      <c r="M1345" s="6"/>
      <c r="N1345" s="9"/>
      <c r="O1345" s="158">
        <v>80</v>
      </c>
      <c r="P1345" s="12"/>
      <c r="Q1345" s="12"/>
      <c r="R1345" s="12"/>
      <c r="S1345" s="12"/>
      <c r="T1345" s="12"/>
      <c r="U1345" s="12"/>
      <c r="V1345" s="12"/>
      <c r="W1345" s="12"/>
      <c r="X1345" s="12"/>
      <c r="Y1345" s="12"/>
      <c r="Z1345" s="12"/>
    </row>
    <row r="1346" spans="1:26" ht="14.25" customHeight="1" x14ac:dyDescent="0.3">
      <c r="A1346" s="155">
        <v>764</v>
      </c>
      <c r="B1346" s="156" t="s">
        <v>1546</v>
      </c>
      <c r="C1346" s="3"/>
      <c r="D1346" s="3"/>
      <c r="E1346" s="156" t="s">
        <v>854</v>
      </c>
      <c r="F1346" s="3"/>
      <c r="G1346" s="158">
        <v>72</v>
      </c>
      <c r="H1346" s="155">
        <v>1</v>
      </c>
      <c r="I1346" s="155">
        <v>14</v>
      </c>
      <c r="J1346" s="156" t="s">
        <v>39</v>
      </c>
      <c r="K1346" s="5"/>
      <c r="L1346" s="3"/>
      <c r="M1346" s="6"/>
      <c r="N1346" s="9"/>
      <c r="O1346" s="158">
        <v>72</v>
      </c>
      <c r="P1346" s="12"/>
      <c r="Q1346" s="12"/>
      <c r="R1346" s="12"/>
      <c r="S1346" s="12"/>
      <c r="T1346" s="12"/>
      <c r="U1346" s="12"/>
      <c r="V1346" s="12"/>
      <c r="W1346" s="12"/>
      <c r="X1346" s="12"/>
      <c r="Y1346" s="12"/>
      <c r="Z1346" s="12"/>
    </row>
    <row r="1347" spans="1:26" ht="14.25" customHeight="1" x14ac:dyDescent="0.3">
      <c r="A1347" s="155">
        <v>765</v>
      </c>
      <c r="B1347" s="156" t="s">
        <v>1547</v>
      </c>
      <c r="C1347" s="3"/>
      <c r="D1347" s="3"/>
      <c r="E1347" s="156" t="s">
        <v>1548</v>
      </c>
      <c r="F1347" s="3"/>
      <c r="G1347" s="158">
        <v>264</v>
      </c>
      <c r="H1347" s="155">
        <v>1</v>
      </c>
      <c r="I1347" s="155">
        <v>100</v>
      </c>
      <c r="J1347" s="156" t="s">
        <v>92</v>
      </c>
      <c r="K1347" s="5"/>
      <c r="L1347" s="3"/>
      <c r="M1347" s="6"/>
      <c r="N1347" s="9"/>
      <c r="O1347" s="158">
        <v>264</v>
      </c>
      <c r="P1347" s="12"/>
      <c r="Q1347" s="12"/>
      <c r="R1347" s="12"/>
      <c r="S1347" s="12"/>
      <c r="T1347" s="12"/>
      <c r="U1347" s="12"/>
      <c r="V1347" s="12"/>
      <c r="W1347" s="12"/>
      <c r="X1347" s="12"/>
      <c r="Y1347" s="12"/>
      <c r="Z1347" s="12"/>
    </row>
    <row r="1348" spans="1:26" ht="14.25" customHeight="1" x14ac:dyDescent="0.3">
      <c r="A1348" s="155">
        <v>765</v>
      </c>
      <c r="B1348" s="156" t="s">
        <v>1547</v>
      </c>
      <c r="C1348" s="3"/>
      <c r="D1348" s="3"/>
      <c r="E1348" s="156" t="s">
        <v>1549</v>
      </c>
      <c r="F1348" s="3"/>
      <c r="G1348" s="158">
        <v>100</v>
      </c>
      <c r="H1348" s="155">
        <v>8</v>
      </c>
      <c r="I1348" s="155">
        <v>100</v>
      </c>
      <c r="J1348" s="156" t="s">
        <v>92</v>
      </c>
      <c r="K1348" s="5"/>
      <c r="L1348" s="3"/>
      <c r="M1348" s="6"/>
      <c r="N1348" s="9"/>
      <c r="O1348" s="158">
        <v>800</v>
      </c>
      <c r="P1348" s="12"/>
      <c r="Q1348" s="12"/>
      <c r="R1348" s="12"/>
      <c r="S1348" s="12"/>
      <c r="T1348" s="12"/>
      <c r="U1348" s="12"/>
      <c r="V1348" s="12"/>
      <c r="W1348" s="12"/>
      <c r="X1348" s="12"/>
      <c r="Y1348" s="12"/>
      <c r="Z1348" s="12"/>
    </row>
    <row r="1349" spans="1:26" ht="14.25" customHeight="1" x14ac:dyDescent="0.3">
      <c r="A1349" s="155">
        <v>766</v>
      </c>
      <c r="B1349" s="156" t="s">
        <v>1550</v>
      </c>
      <c r="C1349" s="3"/>
      <c r="D1349" s="3"/>
      <c r="E1349" s="156" t="s">
        <v>1551</v>
      </c>
      <c r="F1349" s="3"/>
      <c r="G1349" s="158">
        <v>12</v>
      </c>
      <c r="H1349" s="155">
        <v>2</v>
      </c>
      <c r="I1349" s="155">
        <v>100</v>
      </c>
      <c r="J1349" s="156" t="s">
        <v>92</v>
      </c>
      <c r="K1349" s="5"/>
      <c r="L1349" s="3"/>
      <c r="M1349" s="6"/>
      <c r="N1349" s="9"/>
      <c r="O1349" s="158">
        <v>24</v>
      </c>
      <c r="P1349" s="12"/>
      <c r="Q1349" s="12"/>
      <c r="R1349" s="12"/>
      <c r="S1349" s="12"/>
      <c r="T1349" s="12"/>
      <c r="U1349" s="12"/>
      <c r="V1349" s="12"/>
      <c r="W1349" s="12"/>
      <c r="X1349" s="12"/>
      <c r="Y1349" s="12"/>
      <c r="Z1349" s="12"/>
    </row>
    <row r="1350" spans="1:26" ht="14.25" customHeight="1" x14ac:dyDescent="0.3">
      <c r="A1350" s="155">
        <v>766</v>
      </c>
      <c r="B1350" s="156" t="s">
        <v>1550</v>
      </c>
      <c r="C1350" s="3"/>
      <c r="D1350" s="3"/>
      <c r="E1350" s="156" t="s">
        <v>1551</v>
      </c>
      <c r="F1350" s="3"/>
      <c r="G1350" s="158">
        <v>92.7</v>
      </c>
      <c r="H1350" s="155">
        <v>2</v>
      </c>
      <c r="I1350" s="155">
        <v>100</v>
      </c>
      <c r="J1350" s="156" t="s">
        <v>304</v>
      </c>
      <c r="K1350" s="5"/>
      <c r="L1350" s="3"/>
      <c r="M1350" s="6"/>
      <c r="N1350" s="9"/>
      <c r="O1350" s="158">
        <v>185.4</v>
      </c>
      <c r="P1350" s="12"/>
      <c r="Q1350" s="12"/>
      <c r="R1350" s="12"/>
      <c r="S1350" s="12"/>
      <c r="T1350" s="12"/>
      <c r="U1350" s="12"/>
      <c r="V1350" s="12"/>
      <c r="W1350" s="12"/>
      <c r="X1350" s="12"/>
      <c r="Y1350" s="12"/>
      <c r="Z1350" s="12"/>
    </row>
    <row r="1351" spans="1:26" ht="14.25" customHeight="1" x14ac:dyDescent="0.3">
      <c r="A1351" s="155">
        <v>766</v>
      </c>
      <c r="B1351" s="156" t="s">
        <v>1550</v>
      </c>
      <c r="C1351" s="3"/>
      <c r="D1351" s="3"/>
      <c r="E1351" s="156" t="s">
        <v>1552</v>
      </c>
      <c r="F1351" s="3"/>
      <c r="G1351" s="158">
        <v>9.02</v>
      </c>
      <c r="H1351" s="155">
        <v>32</v>
      </c>
      <c r="I1351" s="155">
        <v>100</v>
      </c>
      <c r="J1351" s="156" t="s">
        <v>304</v>
      </c>
      <c r="K1351" s="5"/>
      <c r="L1351" s="3"/>
      <c r="M1351" s="6"/>
      <c r="N1351" s="9"/>
      <c r="O1351" s="158">
        <v>288.64</v>
      </c>
      <c r="P1351" s="12"/>
      <c r="Q1351" s="12"/>
      <c r="R1351" s="12"/>
      <c r="S1351" s="12"/>
      <c r="T1351" s="12"/>
      <c r="U1351" s="12"/>
      <c r="V1351" s="12"/>
      <c r="W1351" s="12"/>
      <c r="X1351" s="12"/>
      <c r="Y1351" s="12"/>
      <c r="Z1351" s="12"/>
    </row>
    <row r="1352" spans="1:26" ht="14.25" customHeight="1" x14ac:dyDescent="0.3">
      <c r="A1352" s="155">
        <v>767</v>
      </c>
      <c r="B1352" s="156" t="s">
        <v>1553</v>
      </c>
      <c r="C1352" s="3"/>
      <c r="D1352" s="3"/>
      <c r="E1352" s="156" t="s">
        <v>1554</v>
      </c>
      <c r="F1352" s="3"/>
      <c r="G1352" s="158">
        <v>30</v>
      </c>
      <c r="H1352" s="155">
        <v>50</v>
      </c>
      <c r="I1352" s="155">
        <v>1</v>
      </c>
      <c r="J1352" s="156" t="s">
        <v>92</v>
      </c>
      <c r="K1352" s="5"/>
      <c r="L1352" s="3"/>
      <c r="M1352" s="6"/>
      <c r="N1352" s="9"/>
      <c r="O1352" s="158">
        <v>1500</v>
      </c>
      <c r="P1352" s="12"/>
      <c r="Q1352" s="12"/>
      <c r="R1352" s="12"/>
      <c r="S1352" s="12"/>
      <c r="T1352" s="12"/>
      <c r="U1352" s="12"/>
      <c r="V1352" s="12"/>
      <c r="W1352" s="12"/>
      <c r="X1352" s="12"/>
      <c r="Y1352" s="12"/>
      <c r="Z1352" s="12"/>
    </row>
    <row r="1353" spans="1:26" ht="14.25" customHeight="1" x14ac:dyDescent="0.3">
      <c r="A1353" s="155">
        <v>768</v>
      </c>
      <c r="B1353" s="156" t="s">
        <v>1555</v>
      </c>
      <c r="C1353" s="3"/>
      <c r="D1353" s="3"/>
      <c r="E1353" s="156"/>
      <c r="F1353" s="3"/>
      <c r="G1353" s="158">
        <v>220</v>
      </c>
      <c r="H1353" s="155">
        <v>14</v>
      </c>
      <c r="I1353" s="155">
        <v>1</v>
      </c>
      <c r="J1353" s="156" t="s">
        <v>213</v>
      </c>
      <c r="K1353" s="5"/>
      <c r="L1353" s="3"/>
      <c r="M1353" s="6"/>
      <c r="N1353" s="9"/>
      <c r="O1353" s="158">
        <v>3080</v>
      </c>
      <c r="P1353" s="12"/>
      <c r="Q1353" s="12"/>
      <c r="R1353" s="12"/>
      <c r="S1353" s="12"/>
      <c r="T1353" s="12"/>
      <c r="U1353" s="12"/>
      <c r="V1353" s="12"/>
      <c r="W1353" s="12"/>
      <c r="X1353" s="12"/>
      <c r="Y1353" s="12"/>
      <c r="Z1353" s="12"/>
    </row>
    <row r="1354" spans="1:26" ht="14.25" customHeight="1" x14ac:dyDescent="0.3">
      <c r="A1354" s="155">
        <v>769</v>
      </c>
      <c r="B1354" s="156" t="s">
        <v>1556</v>
      </c>
      <c r="C1354" s="3"/>
      <c r="D1354" s="3"/>
      <c r="E1354" s="156"/>
      <c r="F1354" s="3"/>
      <c r="G1354" s="158">
        <v>275</v>
      </c>
      <c r="H1354" s="155">
        <v>87</v>
      </c>
      <c r="I1354" s="155">
        <v>1</v>
      </c>
      <c r="J1354" s="156" t="s">
        <v>213</v>
      </c>
      <c r="K1354" s="5"/>
      <c r="L1354" s="3"/>
      <c r="M1354" s="6"/>
      <c r="N1354" s="9"/>
      <c r="O1354" s="158">
        <v>23925</v>
      </c>
      <c r="P1354" s="12"/>
      <c r="Q1354" s="12"/>
      <c r="R1354" s="12"/>
      <c r="S1354" s="12"/>
      <c r="T1354" s="12"/>
      <c r="U1354" s="12"/>
      <c r="V1354" s="12"/>
      <c r="W1354" s="12"/>
      <c r="X1354" s="12"/>
      <c r="Y1354" s="12"/>
      <c r="Z1354" s="12"/>
    </row>
    <row r="1355" spans="1:26" ht="14.25" customHeight="1" x14ac:dyDescent="0.3">
      <c r="A1355" s="155">
        <v>770</v>
      </c>
      <c r="B1355" s="156" t="s">
        <v>1557</v>
      </c>
      <c r="C1355" s="3"/>
      <c r="D1355" s="3"/>
      <c r="E1355" s="156"/>
      <c r="F1355" s="3"/>
      <c r="G1355" s="158">
        <v>289</v>
      </c>
      <c r="H1355" s="155">
        <v>11</v>
      </c>
      <c r="I1355" s="155">
        <v>1</v>
      </c>
      <c r="J1355" s="156" t="s">
        <v>213</v>
      </c>
      <c r="K1355" s="5"/>
      <c r="L1355" s="3"/>
      <c r="M1355" s="6"/>
      <c r="N1355" s="9"/>
      <c r="O1355" s="158">
        <v>3179</v>
      </c>
      <c r="P1355" s="12"/>
      <c r="Q1355" s="12"/>
      <c r="R1355" s="12"/>
      <c r="S1355" s="12"/>
      <c r="T1355" s="12"/>
      <c r="U1355" s="12"/>
      <c r="V1355" s="12"/>
      <c r="W1355" s="12"/>
      <c r="X1355" s="12"/>
      <c r="Y1355" s="12"/>
      <c r="Z1355" s="12"/>
    </row>
    <row r="1356" spans="1:26" ht="14.25" customHeight="1" x14ac:dyDescent="0.3">
      <c r="A1356" s="155">
        <v>771</v>
      </c>
      <c r="B1356" s="156" t="s">
        <v>1558</v>
      </c>
      <c r="C1356" s="3"/>
      <c r="D1356" s="3"/>
      <c r="E1356" s="156"/>
      <c r="F1356" s="3"/>
      <c r="G1356" s="158">
        <v>190</v>
      </c>
      <c r="H1356" s="155">
        <v>5</v>
      </c>
      <c r="I1356" s="155">
        <v>1</v>
      </c>
      <c r="J1356" s="156" t="s">
        <v>213</v>
      </c>
      <c r="K1356" s="5"/>
      <c r="L1356" s="3"/>
      <c r="M1356" s="6"/>
      <c r="N1356" s="9"/>
      <c r="O1356" s="158">
        <v>950</v>
      </c>
      <c r="P1356" s="12"/>
      <c r="Q1356" s="12"/>
      <c r="R1356" s="12"/>
      <c r="S1356" s="12"/>
      <c r="T1356" s="12"/>
      <c r="U1356" s="12"/>
      <c r="V1356" s="12"/>
      <c r="W1356" s="12"/>
      <c r="X1356" s="12"/>
      <c r="Y1356" s="12"/>
      <c r="Z1356" s="12"/>
    </row>
    <row r="1357" spans="1:26" ht="14.25" customHeight="1" x14ac:dyDescent="0.3">
      <c r="A1357" s="155">
        <v>772</v>
      </c>
      <c r="B1357" s="156" t="s">
        <v>1559</v>
      </c>
      <c r="C1357" s="3"/>
      <c r="D1357" s="3"/>
      <c r="E1357" s="156"/>
      <c r="F1357" s="3"/>
      <c r="G1357" s="158">
        <v>330</v>
      </c>
      <c r="H1357" s="155">
        <v>10</v>
      </c>
      <c r="I1357" s="155">
        <v>1000</v>
      </c>
      <c r="J1357" s="156" t="s">
        <v>39</v>
      </c>
      <c r="K1357" s="5"/>
      <c r="L1357" s="3"/>
      <c r="M1357" s="6"/>
      <c r="N1357" s="9"/>
      <c r="O1357" s="158">
        <v>3300</v>
      </c>
      <c r="P1357" s="12"/>
      <c r="Q1357" s="12"/>
      <c r="R1357" s="12"/>
      <c r="S1357" s="12"/>
      <c r="T1357" s="12"/>
      <c r="U1357" s="12"/>
      <c r="V1357" s="12"/>
      <c r="W1357" s="12"/>
      <c r="X1357" s="12"/>
      <c r="Y1357" s="12"/>
      <c r="Z1357" s="12"/>
    </row>
    <row r="1358" spans="1:26" ht="14.25" customHeight="1" x14ac:dyDescent="0.3">
      <c r="A1358" s="155">
        <v>772</v>
      </c>
      <c r="B1358" s="156" t="s">
        <v>1559</v>
      </c>
      <c r="C1358" s="3"/>
      <c r="D1358" s="3"/>
      <c r="E1358" s="156"/>
      <c r="F1358" s="3"/>
      <c r="G1358" s="158">
        <v>300</v>
      </c>
      <c r="H1358" s="155">
        <v>4</v>
      </c>
      <c r="I1358" s="155">
        <v>1000</v>
      </c>
      <c r="J1358" s="156" t="s">
        <v>213</v>
      </c>
      <c r="K1358" s="5"/>
      <c r="L1358" s="3"/>
      <c r="M1358" s="6"/>
      <c r="N1358" s="9"/>
      <c r="O1358" s="158">
        <v>1200</v>
      </c>
      <c r="P1358" s="12"/>
      <c r="Q1358" s="12"/>
      <c r="R1358" s="12"/>
      <c r="S1358" s="12"/>
      <c r="T1358" s="12"/>
      <c r="U1358" s="12"/>
      <c r="V1358" s="12"/>
      <c r="W1358" s="12"/>
      <c r="X1358" s="12"/>
      <c r="Y1358" s="12"/>
      <c r="Z1358" s="12"/>
    </row>
    <row r="1359" spans="1:26" ht="14.25" customHeight="1" x14ac:dyDescent="0.3">
      <c r="A1359" s="155">
        <v>773</v>
      </c>
      <c r="B1359" s="156" t="s">
        <v>1560</v>
      </c>
      <c r="C1359" s="3"/>
      <c r="D1359" s="3"/>
      <c r="E1359" s="156"/>
      <c r="F1359" s="3"/>
      <c r="G1359" s="158">
        <v>175</v>
      </c>
      <c r="H1359" s="155">
        <v>20</v>
      </c>
      <c r="I1359" s="155">
        <v>1</v>
      </c>
      <c r="J1359" s="156" t="s">
        <v>213</v>
      </c>
      <c r="K1359" s="5"/>
      <c r="L1359" s="3"/>
      <c r="M1359" s="6"/>
      <c r="N1359" s="9"/>
      <c r="O1359" s="158">
        <v>3500</v>
      </c>
      <c r="P1359" s="12"/>
      <c r="Q1359" s="12"/>
      <c r="R1359" s="12"/>
      <c r="S1359" s="12"/>
      <c r="T1359" s="12"/>
      <c r="U1359" s="12"/>
      <c r="V1359" s="12"/>
      <c r="W1359" s="12"/>
      <c r="X1359" s="12"/>
      <c r="Y1359" s="12"/>
      <c r="Z1359" s="12"/>
    </row>
    <row r="1360" spans="1:26" ht="14.25" customHeight="1" x14ac:dyDescent="0.3">
      <c r="A1360" s="155">
        <v>774</v>
      </c>
      <c r="B1360" s="156" t="s">
        <v>1561</v>
      </c>
      <c r="C1360" s="3"/>
      <c r="D1360" s="3"/>
      <c r="E1360" s="156"/>
      <c r="F1360" s="3"/>
      <c r="G1360" s="158">
        <v>218.7824</v>
      </c>
      <c r="H1360" s="155">
        <v>216</v>
      </c>
      <c r="I1360" s="155">
        <v>1</v>
      </c>
      <c r="J1360" s="156" t="s">
        <v>213</v>
      </c>
      <c r="K1360" s="5"/>
      <c r="L1360" s="3"/>
      <c r="M1360" s="6"/>
      <c r="N1360" s="9"/>
      <c r="O1360" s="158">
        <v>47257</v>
      </c>
      <c r="P1360" s="12"/>
      <c r="Q1360" s="12"/>
      <c r="R1360" s="12"/>
      <c r="S1360" s="12"/>
      <c r="T1360" s="12"/>
      <c r="U1360" s="12"/>
      <c r="V1360" s="12"/>
      <c r="W1360" s="12"/>
      <c r="X1360" s="12"/>
      <c r="Y1360" s="12"/>
      <c r="Z1360" s="12"/>
    </row>
    <row r="1361" spans="1:26" ht="14.25" customHeight="1" x14ac:dyDescent="0.3">
      <c r="A1361" s="155">
        <v>774</v>
      </c>
      <c r="B1361" s="156" t="s">
        <v>1561</v>
      </c>
      <c r="C1361" s="3"/>
      <c r="D1361" s="3"/>
      <c r="E1361" s="156"/>
      <c r="F1361" s="3"/>
      <c r="G1361" s="158">
        <v>320</v>
      </c>
      <c r="H1361" s="155">
        <v>47</v>
      </c>
      <c r="I1361" s="155">
        <v>1</v>
      </c>
      <c r="J1361" s="156" t="s">
        <v>39</v>
      </c>
      <c r="K1361" s="5"/>
      <c r="L1361" s="3"/>
      <c r="M1361" s="6"/>
      <c r="N1361" s="9"/>
      <c r="O1361" s="158">
        <v>15040</v>
      </c>
      <c r="P1361" s="12"/>
      <c r="Q1361" s="12"/>
      <c r="R1361" s="12"/>
      <c r="S1361" s="12"/>
      <c r="T1361" s="12"/>
      <c r="U1361" s="12"/>
      <c r="V1361" s="12"/>
      <c r="W1361" s="12"/>
      <c r="X1361" s="12"/>
      <c r="Y1361" s="12"/>
      <c r="Z1361" s="12"/>
    </row>
    <row r="1362" spans="1:26" ht="14.25" customHeight="1" x14ac:dyDescent="0.3">
      <c r="A1362" s="155">
        <v>775</v>
      </c>
      <c r="B1362" s="156" t="s">
        <v>1562</v>
      </c>
      <c r="C1362" s="3"/>
      <c r="D1362" s="3"/>
      <c r="E1362" s="156"/>
      <c r="F1362" s="3"/>
      <c r="G1362" s="158">
        <v>340</v>
      </c>
      <c r="H1362" s="155">
        <v>17</v>
      </c>
      <c r="I1362" s="155">
        <v>1000</v>
      </c>
      <c r="J1362" s="156" t="s">
        <v>39</v>
      </c>
      <c r="K1362" s="5"/>
      <c r="L1362" s="3"/>
      <c r="M1362" s="6"/>
      <c r="N1362" s="9"/>
      <c r="O1362" s="158">
        <v>5780</v>
      </c>
      <c r="P1362" s="12"/>
      <c r="Q1362" s="12"/>
      <c r="R1362" s="12"/>
      <c r="S1362" s="12"/>
      <c r="T1362" s="12"/>
      <c r="U1362" s="12"/>
      <c r="V1362" s="12"/>
      <c r="W1362" s="12"/>
      <c r="X1362" s="12"/>
      <c r="Y1362" s="12"/>
      <c r="Z1362" s="12"/>
    </row>
    <row r="1363" spans="1:26" ht="14.25" customHeight="1" x14ac:dyDescent="0.3">
      <c r="A1363" s="155">
        <v>775</v>
      </c>
      <c r="B1363" s="156" t="s">
        <v>1562</v>
      </c>
      <c r="C1363" s="3"/>
      <c r="D1363" s="3"/>
      <c r="E1363" s="156" t="s">
        <v>1098</v>
      </c>
      <c r="F1363" s="3"/>
      <c r="G1363" s="158">
        <v>235</v>
      </c>
      <c r="H1363" s="155">
        <v>15</v>
      </c>
      <c r="I1363" s="155">
        <v>1000</v>
      </c>
      <c r="J1363" s="156" t="s">
        <v>213</v>
      </c>
      <c r="K1363" s="5"/>
      <c r="L1363" s="3"/>
      <c r="M1363" s="6"/>
      <c r="N1363" s="9"/>
      <c r="O1363" s="158">
        <v>3525</v>
      </c>
      <c r="P1363" s="12"/>
      <c r="Q1363" s="12"/>
      <c r="R1363" s="12"/>
      <c r="S1363" s="12"/>
      <c r="T1363" s="12"/>
      <c r="U1363" s="12"/>
      <c r="V1363" s="12"/>
      <c r="W1363" s="12"/>
      <c r="X1363" s="12"/>
      <c r="Y1363" s="12"/>
      <c r="Z1363" s="12"/>
    </row>
    <row r="1364" spans="1:26" ht="14.25" customHeight="1" x14ac:dyDescent="0.3">
      <c r="A1364" s="155">
        <v>776</v>
      </c>
      <c r="B1364" s="156" t="s">
        <v>1563</v>
      </c>
      <c r="C1364" s="3"/>
      <c r="D1364" s="3"/>
      <c r="E1364" s="156"/>
      <c r="F1364" s="3"/>
      <c r="G1364" s="158">
        <v>273.65910000000002</v>
      </c>
      <c r="H1364" s="155">
        <v>88</v>
      </c>
      <c r="I1364" s="155">
        <v>1</v>
      </c>
      <c r="J1364" s="156" t="s">
        <v>213</v>
      </c>
      <c r="K1364" s="5"/>
      <c r="L1364" s="3"/>
      <c r="M1364" s="6"/>
      <c r="N1364" s="9"/>
      <c r="O1364" s="158">
        <v>24082</v>
      </c>
      <c r="P1364" s="12"/>
      <c r="Q1364" s="12"/>
      <c r="R1364" s="12"/>
      <c r="S1364" s="12"/>
      <c r="T1364" s="12"/>
      <c r="U1364" s="12"/>
      <c r="V1364" s="12"/>
      <c r="W1364" s="12"/>
      <c r="X1364" s="12"/>
      <c r="Y1364" s="12"/>
      <c r="Z1364" s="12"/>
    </row>
    <row r="1365" spans="1:26" ht="14.25" customHeight="1" x14ac:dyDescent="0.3">
      <c r="A1365" s="155">
        <v>776</v>
      </c>
      <c r="B1365" s="156" t="s">
        <v>1563</v>
      </c>
      <c r="C1365" s="3"/>
      <c r="D1365" s="3"/>
      <c r="E1365" s="156"/>
      <c r="F1365" s="3"/>
      <c r="G1365" s="158">
        <v>396.25</v>
      </c>
      <c r="H1365" s="155">
        <v>16</v>
      </c>
      <c r="I1365" s="155">
        <v>1</v>
      </c>
      <c r="J1365" s="156" t="s">
        <v>39</v>
      </c>
      <c r="K1365" s="5"/>
      <c r="L1365" s="3"/>
      <c r="M1365" s="6"/>
      <c r="N1365" s="9"/>
      <c r="O1365" s="158">
        <v>6340</v>
      </c>
      <c r="P1365" s="12"/>
      <c r="Q1365" s="12"/>
      <c r="R1365" s="12"/>
      <c r="S1365" s="12"/>
      <c r="T1365" s="12"/>
      <c r="U1365" s="12"/>
      <c r="V1365" s="12"/>
      <c r="W1365" s="12"/>
      <c r="X1365" s="12"/>
      <c r="Y1365" s="12"/>
      <c r="Z1365" s="12"/>
    </row>
    <row r="1366" spans="1:26" ht="14.25" customHeight="1" x14ac:dyDescent="0.3">
      <c r="A1366" s="155">
        <v>776</v>
      </c>
      <c r="B1366" s="156" t="s">
        <v>1563</v>
      </c>
      <c r="C1366" s="3"/>
      <c r="D1366" s="3"/>
      <c r="E1366" s="156" t="s">
        <v>1098</v>
      </c>
      <c r="F1366" s="3"/>
      <c r="G1366" s="158">
        <v>289</v>
      </c>
      <c r="H1366" s="155">
        <v>25</v>
      </c>
      <c r="I1366" s="155">
        <v>1</v>
      </c>
      <c r="J1366" s="156" t="s">
        <v>213</v>
      </c>
      <c r="K1366" s="5"/>
      <c r="L1366" s="3"/>
      <c r="M1366" s="6"/>
      <c r="N1366" s="9"/>
      <c r="O1366" s="158">
        <v>7225</v>
      </c>
      <c r="P1366" s="12"/>
      <c r="Q1366" s="12"/>
      <c r="R1366" s="12"/>
      <c r="S1366" s="12"/>
      <c r="T1366" s="12"/>
      <c r="U1366" s="12"/>
      <c r="V1366" s="12"/>
      <c r="W1366" s="12"/>
      <c r="X1366" s="12"/>
      <c r="Y1366" s="12"/>
      <c r="Z1366" s="12"/>
    </row>
    <row r="1367" spans="1:26" ht="14.25" customHeight="1" x14ac:dyDescent="0.3">
      <c r="A1367" s="155">
        <v>777</v>
      </c>
      <c r="B1367" s="156" t="s">
        <v>1564</v>
      </c>
      <c r="C1367" s="3"/>
      <c r="D1367" s="3"/>
      <c r="E1367" s="156"/>
      <c r="F1367" s="3"/>
      <c r="G1367" s="158">
        <v>195</v>
      </c>
      <c r="H1367" s="155">
        <v>10</v>
      </c>
      <c r="I1367" s="155">
        <v>1000</v>
      </c>
      <c r="J1367" s="156" t="s">
        <v>39</v>
      </c>
      <c r="K1367" s="5"/>
      <c r="L1367" s="3"/>
      <c r="M1367" s="6"/>
      <c r="N1367" s="9"/>
      <c r="O1367" s="158">
        <v>1950</v>
      </c>
      <c r="P1367" s="12"/>
      <c r="Q1367" s="12"/>
      <c r="R1367" s="12"/>
      <c r="S1367" s="12"/>
      <c r="T1367" s="12"/>
      <c r="U1367" s="12"/>
      <c r="V1367" s="12"/>
      <c r="W1367" s="12"/>
      <c r="X1367" s="12"/>
      <c r="Y1367" s="12"/>
      <c r="Z1367" s="12"/>
    </row>
    <row r="1368" spans="1:26" ht="14.25" customHeight="1" x14ac:dyDescent="0.3">
      <c r="A1368" s="155">
        <v>778</v>
      </c>
      <c r="B1368" s="156" t="s">
        <v>1565</v>
      </c>
      <c r="C1368" s="3"/>
      <c r="D1368" s="3"/>
      <c r="E1368" s="156"/>
      <c r="F1368" s="3"/>
      <c r="G1368" s="158">
        <v>280</v>
      </c>
      <c r="H1368" s="155">
        <v>10</v>
      </c>
      <c r="I1368" s="155">
        <v>1000</v>
      </c>
      <c r="J1368" s="156" t="s">
        <v>39</v>
      </c>
      <c r="K1368" s="5"/>
      <c r="L1368" s="3"/>
      <c r="M1368" s="6"/>
      <c r="N1368" s="9"/>
      <c r="O1368" s="158">
        <v>2800</v>
      </c>
      <c r="P1368" s="12"/>
      <c r="Q1368" s="12"/>
      <c r="R1368" s="12"/>
      <c r="S1368" s="12"/>
      <c r="T1368" s="12"/>
      <c r="U1368" s="12"/>
      <c r="V1368" s="12"/>
      <c r="W1368" s="12"/>
      <c r="X1368" s="12"/>
      <c r="Y1368" s="12"/>
      <c r="Z1368" s="12"/>
    </row>
    <row r="1369" spans="1:26" ht="14.25" customHeight="1" x14ac:dyDescent="0.3">
      <c r="A1369" s="155">
        <v>779</v>
      </c>
      <c r="B1369" s="156" t="s">
        <v>1566</v>
      </c>
      <c r="C1369" s="3"/>
      <c r="D1369" s="3"/>
      <c r="E1369" s="156"/>
      <c r="F1369" s="3"/>
      <c r="G1369" s="158">
        <v>310</v>
      </c>
      <c r="H1369" s="155">
        <v>15</v>
      </c>
      <c r="I1369" s="155">
        <v>1000</v>
      </c>
      <c r="J1369" s="156" t="s">
        <v>213</v>
      </c>
      <c r="K1369" s="5"/>
      <c r="L1369" s="3"/>
      <c r="M1369" s="6"/>
      <c r="N1369" s="9"/>
      <c r="O1369" s="158">
        <v>4650</v>
      </c>
      <c r="P1369" s="12"/>
      <c r="Q1369" s="12"/>
      <c r="R1369" s="12"/>
      <c r="S1369" s="12"/>
      <c r="T1369" s="12"/>
      <c r="U1369" s="12"/>
      <c r="V1369" s="12"/>
      <c r="W1369" s="12"/>
      <c r="X1369" s="12"/>
      <c r="Y1369" s="12"/>
      <c r="Z1369" s="12"/>
    </row>
    <row r="1370" spans="1:26" ht="14.25" customHeight="1" x14ac:dyDescent="0.3">
      <c r="A1370" s="155">
        <v>780</v>
      </c>
      <c r="B1370" s="156" t="s">
        <v>1567</v>
      </c>
      <c r="C1370" s="3"/>
      <c r="D1370" s="3"/>
      <c r="E1370" s="156"/>
      <c r="F1370" s="3"/>
      <c r="G1370" s="158">
        <v>340</v>
      </c>
      <c r="H1370" s="155">
        <v>10</v>
      </c>
      <c r="I1370" s="155">
        <v>1000</v>
      </c>
      <c r="J1370" s="156" t="s">
        <v>39</v>
      </c>
      <c r="K1370" s="5"/>
      <c r="L1370" s="3"/>
      <c r="M1370" s="6"/>
      <c r="N1370" s="9"/>
      <c r="O1370" s="158">
        <v>3400</v>
      </c>
      <c r="P1370" s="12"/>
      <c r="Q1370" s="12"/>
      <c r="R1370" s="12"/>
      <c r="S1370" s="12"/>
      <c r="T1370" s="12"/>
      <c r="U1370" s="12"/>
      <c r="V1370" s="12"/>
      <c r="W1370" s="12"/>
      <c r="X1370" s="12"/>
      <c r="Y1370" s="12"/>
      <c r="Z1370" s="12"/>
    </row>
    <row r="1371" spans="1:26" ht="14.25" customHeight="1" x14ac:dyDescent="0.3">
      <c r="A1371" s="155">
        <v>781</v>
      </c>
      <c r="B1371" s="156" t="s">
        <v>1568</v>
      </c>
      <c r="C1371" s="3"/>
      <c r="D1371" s="3"/>
      <c r="E1371" s="156"/>
      <c r="F1371" s="3"/>
      <c r="G1371" s="158">
        <v>140</v>
      </c>
      <c r="H1371" s="155">
        <v>1</v>
      </c>
      <c r="I1371" s="155">
        <v>1000</v>
      </c>
      <c r="J1371" s="156" t="s">
        <v>39</v>
      </c>
      <c r="K1371" s="5"/>
      <c r="L1371" s="3"/>
      <c r="M1371" s="6"/>
      <c r="N1371" s="9"/>
      <c r="O1371" s="158">
        <v>140</v>
      </c>
      <c r="P1371" s="12"/>
      <c r="Q1371" s="12"/>
      <c r="R1371" s="12"/>
      <c r="S1371" s="12"/>
      <c r="T1371" s="12"/>
      <c r="U1371" s="12"/>
      <c r="V1371" s="12"/>
      <c r="W1371" s="12"/>
      <c r="X1371" s="12"/>
      <c r="Y1371" s="12"/>
      <c r="Z1371" s="12"/>
    </row>
    <row r="1372" spans="1:26" ht="14.25" customHeight="1" x14ac:dyDescent="0.3">
      <c r="A1372" s="155">
        <v>781</v>
      </c>
      <c r="B1372" s="156" t="s">
        <v>1568</v>
      </c>
      <c r="C1372" s="3"/>
      <c r="D1372" s="3"/>
      <c r="E1372" s="156" t="s">
        <v>1569</v>
      </c>
      <c r="F1372" s="3"/>
      <c r="G1372" s="158">
        <v>240</v>
      </c>
      <c r="H1372" s="155">
        <v>7</v>
      </c>
      <c r="I1372" s="155">
        <v>1000</v>
      </c>
      <c r="J1372" s="156" t="s">
        <v>39</v>
      </c>
      <c r="K1372" s="5"/>
      <c r="L1372" s="3"/>
      <c r="M1372" s="6"/>
      <c r="N1372" s="9"/>
      <c r="O1372" s="158">
        <v>1680</v>
      </c>
      <c r="P1372" s="12"/>
      <c r="Q1372" s="12"/>
      <c r="R1372" s="12"/>
      <c r="S1372" s="12"/>
      <c r="T1372" s="12"/>
      <c r="U1372" s="12"/>
      <c r="V1372" s="12"/>
      <c r="W1372" s="12"/>
      <c r="X1372" s="12"/>
      <c r="Y1372" s="12"/>
      <c r="Z1372" s="12"/>
    </row>
    <row r="1373" spans="1:26" ht="14.25" customHeight="1" x14ac:dyDescent="0.3">
      <c r="A1373" s="155">
        <v>334</v>
      </c>
      <c r="B1373" s="156" t="s">
        <v>731</v>
      </c>
      <c r="C1373" s="3"/>
      <c r="D1373" s="3"/>
      <c r="E1373" s="156" t="s">
        <v>218</v>
      </c>
      <c r="F1373" s="3"/>
      <c r="G1373" s="158">
        <v>78</v>
      </c>
      <c r="H1373" s="155">
        <v>3</v>
      </c>
      <c r="I1373" s="155">
        <v>250</v>
      </c>
      <c r="J1373" s="156" t="s">
        <v>39</v>
      </c>
      <c r="K1373" s="5"/>
      <c r="L1373" s="3"/>
      <c r="M1373" s="6"/>
      <c r="N1373" s="9"/>
      <c r="O1373" s="158">
        <v>234</v>
      </c>
      <c r="P1373" s="12"/>
      <c r="Q1373" s="12"/>
      <c r="R1373" s="12"/>
      <c r="S1373" s="12"/>
      <c r="T1373" s="12"/>
      <c r="U1373" s="12"/>
      <c r="V1373" s="12"/>
      <c r="W1373" s="12"/>
      <c r="X1373" s="12"/>
      <c r="Y1373" s="12"/>
      <c r="Z1373" s="12"/>
    </row>
    <row r="1374" spans="1:26" ht="14.25" customHeight="1" x14ac:dyDescent="0.3">
      <c r="A1374" s="155">
        <v>334</v>
      </c>
      <c r="B1374" s="156" t="s">
        <v>731</v>
      </c>
      <c r="C1374" s="3"/>
      <c r="D1374" s="3"/>
      <c r="E1374" s="156" t="s">
        <v>1098</v>
      </c>
      <c r="F1374" s="3"/>
      <c r="G1374" s="158">
        <v>165</v>
      </c>
      <c r="H1374" s="155">
        <v>3</v>
      </c>
      <c r="I1374" s="155">
        <v>250</v>
      </c>
      <c r="J1374" s="156" t="s">
        <v>213</v>
      </c>
      <c r="K1374" s="5"/>
      <c r="L1374" s="3"/>
      <c r="M1374" s="6"/>
      <c r="N1374" s="9"/>
      <c r="O1374" s="158">
        <v>495</v>
      </c>
      <c r="P1374" s="12"/>
      <c r="Q1374" s="12"/>
      <c r="R1374" s="12"/>
      <c r="S1374" s="12"/>
      <c r="T1374" s="12"/>
      <c r="U1374" s="12"/>
      <c r="V1374" s="12"/>
      <c r="W1374" s="12"/>
      <c r="X1374" s="12"/>
      <c r="Y1374" s="12"/>
      <c r="Z1374" s="12"/>
    </row>
    <row r="1375" spans="1:26" ht="14.25" customHeight="1" x14ac:dyDescent="0.3">
      <c r="A1375" s="155">
        <v>337</v>
      </c>
      <c r="B1375" s="156" t="s">
        <v>456</v>
      </c>
      <c r="C1375" s="3"/>
      <c r="D1375" s="3"/>
      <c r="E1375" s="156"/>
      <c r="F1375" s="3"/>
      <c r="G1375" s="158">
        <v>120</v>
      </c>
      <c r="H1375" s="155">
        <v>2</v>
      </c>
      <c r="I1375" s="155">
        <v>1</v>
      </c>
      <c r="J1375" s="156" t="s">
        <v>213</v>
      </c>
      <c r="K1375" s="5"/>
      <c r="L1375" s="3"/>
      <c r="M1375" s="6"/>
      <c r="N1375" s="9"/>
      <c r="O1375" s="158">
        <v>240</v>
      </c>
      <c r="P1375" s="12"/>
      <c r="Q1375" s="12"/>
      <c r="R1375" s="12"/>
      <c r="S1375" s="12"/>
      <c r="T1375" s="12"/>
      <c r="U1375" s="12"/>
      <c r="V1375" s="12"/>
      <c r="W1375" s="12"/>
      <c r="X1375" s="12"/>
      <c r="Y1375" s="12"/>
      <c r="Z1375" s="12"/>
    </row>
    <row r="1376" spans="1:26" ht="14.25" customHeight="1" x14ac:dyDescent="0.3">
      <c r="A1376" s="155">
        <v>337</v>
      </c>
      <c r="B1376" s="156" t="s">
        <v>456</v>
      </c>
      <c r="C1376" s="3"/>
      <c r="D1376" s="3"/>
      <c r="E1376" s="156" t="s">
        <v>216</v>
      </c>
      <c r="F1376" s="3"/>
      <c r="G1376" s="158">
        <v>157.77780000000001</v>
      </c>
      <c r="H1376" s="155">
        <v>9</v>
      </c>
      <c r="I1376" s="155">
        <v>1</v>
      </c>
      <c r="J1376" s="156" t="s">
        <v>213</v>
      </c>
      <c r="K1376" s="5"/>
      <c r="L1376" s="3"/>
      <c r="M1376" s="6"/>
      <c r="N1376" s="9"/>
      <c r="O1376" s="158">
        <v>1420</v>
      </c>
      <c r="P1376" s="12"/>
      <c r="Q1376" s="12"/>
      <c r="R1376" s="12"/>
      <c r="S1376" s="12"/>
      <c r="T1376" s="12"/>
      <c r="U1376" s="12"/>
      <c r="V1376" s="12"/>
      <c r="W1376" s="12"/>
      <c r="X1376" s="12"/>
      <c r="Y1376" s="12"/>
      <c r="Z1376" s="12"/>
    </row>
    <row r="1377" spans="1:26" ht="14.25" customHeight="1" x14ac:dyDescent="0.3">
      <c r="A1377" s="155">
        <v>337</v>
      </c>
      <c r="B1377" s="156" t="s">
        <v>456</v>
      </c>
      <c r="C1377" s="3"/>
      <c r="D1377" s="3"/>
      <c r="E1377" s="156" t="s">
        <v>912</v>
      </c>
      <c r="F1377" s="3"/>
      <c r="G1377" s="158">
        <v>160</v>
      </c>
      <c r="H1377" s="155">
        <v>1</v>
      </c>
      <c r="I1377" s="155">
        <v>1</v>
      </c>
      <c r="J1377" s="156" t="s">
        <v>213</v>
      </c>
      <c r="K1377" s="5"/>
      <c r="L1377" s="3"/>
      <c r="M1377" s="6"/>
      <c r="N1377" s="9"/>
      <c r="O1377" s="158">
        <v>160</v>
      </c>
      <c r="P1377" s="12"/>
      <c r="Q1377" s="12"/>
      <c r="R1377" s="12"/>
      <c r="S1377" s="12"/>
      <c r="T1377" s="12"/>
      <c r="U1377" s="12"/>
      <c r="V1377" s="12"/>
      <c r="W1377" s="12"/>
      <c r="X1377" s="12"/>
      <c r="Y1377" s="12"/>
      <c r="Z1377" s="12"/>
    </row>
    <row r="1378" spans="1:26" ht="14.25" customHeight="1" x14ac:dyDescent="0.3">
      <c r="A1378" s="155">
        <v>782</v>
      </c>
      <c r="B1378" s="156" t="s">
        <v>1570</v>
      </c>
      <c r="C1378" s="3"/>
      <c r="D1378" s="3"/>
      <c r="E1378" s="156" t="s">
        <v>1571</v>
      </c>
      <c r="F1378" s="3"/>
      <c r="G1378" s="158">
        <v>168.75</v>
      </c>
      <c r="H1378" s="155">
        <v>15</v>
      </c>
      <c r="I1378" s="155">
        <v>200</v>
      </c>
      <c r="J1378" s="156" t="s">
        <v>39</v>
      </c>
      <c r="K1378" s="5"/>
      <c r="L1378" s="3"/>
      <c r="M1378" s="6"/>
      <c r="N1378" s="9"/>
      <c r="O1378" s="158">
        <v>2531.25</v>
      </c>
      <c r="P1378" s="12"/>
      <c r="Q1378" s="12"/>
      <c r="R1378" s="12"/>
      <c r="S1378" s="12"/>
      <c r="T1378" s="12"/>
      <c r="U1378" s="12"/>
      <c r="V1378" s="12"/>
      <c r="W1378" s="12"/>
      <c r="X1378" s="12"/>
      <c r="Y1378" s="12"/>
      <c r="Z1378" s="12"/>
    </row>
    <row r="1379" spans="1:26" ht="14.25" customHeight="1" x14ac:dyDescent="0.3">
      <c r="A1379" s="155">
        <v>782</v>
      </c>
      <c r="B1379" s="156" t="s">
        <v>1570</v>
      </c>
      <c r="C1379" s="3"/>
      <c r="D1379" s="3"/>
      <c r="E1379" s="156" t="s">
        <v>1572</v>
      </c>
      <c r="F1379" s="3"/>
      <c r="G1379" s="158">
        <v>162.32</v>
      </c>
      <c r="H1379" s="155">
        <v>8</v>
      </c>
      <c r="I1379" s="155">
        <v>200</v>
      </c>
      <c r="J1379" s="156" t="s">
        <v>39</v>
      </c>
      <c r="K1379" s="5"/>
      <c r="L1379" s="3"/>
      <c r="M1379" s="6"/>
      <c r="N1379" s="9"/>
      <c r="O1379" s="158">
        <v>1298.56</v>
      </c>
      <c r="P1379" s="12"/>
      <c r="Q1379" s="12"/>
      <c r="R1379" s="12"/>
      <c r="S1379" s="12"/>
      <c r="T1379" s="12"/>
      <c r="U1379" s="12"/>
      <c r="V1379" s="12"/>
      <c r="W1379" s="12"/>
      <c r="X1379" s="12"/>
      <c r="Y1379" s="12"/>
      <c r="Z1379" s="12"/>
    </row>
    <row r="1380" spans="1:26" ht="14.25" customHeight="1" x14ac:dyDescent="0.3">
      <c r="A1380" s="155">
        <v>782</v>
      </c>
      <c r="B1380" s="156" t="s">
        <v>1570</v>
      </c>
      <c r="C1380" s="3"/>
      <c r="D1380" s="3"/>
      <c r="E1380" s="156" t="s">
        <v>1573</v>
      </c>
      <c r="F1380" s="3"/>
      <c r="G1380" s="158">
        <v>162.32</v>
      </c>
      <c r="H1380" s="155">
        <v>7</v>
      </c>
      <c r="I1380" s="155">
        <v>200</v>
      </c>
      <c r="J1380" s="156" t="s">
        <v>39</v>
      </c>
      <c r="K1380" s="5"/>
      <c r="L1380" s="3"/>
      <c r="M1380" s="6"/>
      <c r="N1380" s="9"/>
      <c r="O1380" s="158">
        <v>1136.24</v>
      </c>
      <c r="P1380" s="12"/>
      <c r="Q1380" s="12"/>
      <c r="R1380" s="12"/>
      <c r="S1380" s="12"/>
      <c r="T1380" s="12"/>
      <c r="U1380" s="12"/>
      <c r="V1380" s="12"/>
      <c r="W1380" s="12"/>
      <c r="X1380" s="12"/>
      <c r="Y1380" s="12"/>
      <c r="Z1380" s="12"/>
    </row>
    <row r="1381" spans="1:26" ht="14.25" customHeight="1" x14ac:dyDescent="0.3">
      <c r="A1381" s="155">
        <v>782</v>
      </c>
      <c r="B1381" s="156" t="s">
        <v>1570</v>
      </c>
      <c r="C1381" s="3"/>
      <c r="D1381" s="3"/>
      <c r="E1381" s="156" t="s">
        <v>1574</v>
      </c>
      <c r="F1381" s="3"/>
      <c r="G1381" s="158">
        <v>162.32</v>
      </c>
      <c r="H1381" s="155">
        <v>11</v>
      </c>
      <c r="I1381" s="155">
        <v>200</v>
      </c>
      <c r="J1381" s="156" t="s">
        <v>39</v>
      </c>
      <c r="K1381" s="5"/>
      <c r="L1381" s="3"/>
      <c r="M1381" s="6"/>
      <c r="N1381" s="9"/>
      <c r="O1381" s="158">
        <v>1785.52</v>
      </c>
      <c r="P1381" s="12"/>
      <c r="Q1381" s="12"/>
      <c r="R1381" s="12"/>
      <c r="S1381" s="12"/>
      <c r="T1381" s="12"/>
      <c r="U1381" s="12"/>
      <c r="V1381" s="12"/>
      <c r="W1381" s="12"/>
      <c r="X1381" s="12"/>
      <c r="Y1381" s="12"/>
      <c r="Z1381" s="12"/>
    </row>
    <row r="1382" spans="1:26" ht="14.25" customHeight="1" x14ac:dyDescent="0.3">
      <c r="A1382" s="155">
        <v>782</v>
      </c>
      <c r="B1382" s="156" t="s">
        <v>1570</v>
      </c>
      <c r="C1382" s="3"/>
      <c r="D1382" s="3"/>
      <c r="E1382" s="156" t="s">
        <v>1575</v>
      </c>
      <c r="F1382" s="3"/>
      <c r="G1382" s="158">
        <v>167.95</v>
      </c>
      <c r="H1382" s="155">
        <v>12</v>
      </c>
      <c r="I1382" s="155">
        <v>200</v>
      </c>
      <c r="J1382" s="156" t="s">
        <v>39</v>
      </c>
      <c r="K1382" s="5"/>
      <c r="L1382" s="3"/>
      <c r="M1382" s="6"/>
      <c r="N1382" s="9"/>
      <c r="O1382" s="158">
        <v>2015.4</v>
      </c>
      <c r="P1382" s="12"/>
      <c r="Q1382" s="12"/>
      <c r="R1382" s="12"/>
      <c r="S1382" s="12"/>
      <c r="T1382" s="12"/>
      <c r="U1382" s="12"/>
      <c r="V1382" s="12"/>
      <c r="W1382" s="12"/>
      <c r="X1382" s="12"/>
      <c r="Y1382" s="12"/>
      <c r="Z1382" s="12"/>
    </row>
    <row r="1383" spans="1:26" ht="14.25" customHeight="1" x14ac:dyDescent="0.3">
      <c r="A1383" s="155">
        <v>783</v>
      </c>
      <c r="B1383" s="156" t="s">
        <v>1576</v>
      </c>
      <c r="C1383" s="3"/>
      <c r="D1383" s="3"/>
      <c r="E1383" s="156" t="s">
        <v>1577</v>
      </c>
      <c r="F1383" s="3"/>
      <c r="G1383" s="158">
        <v>19.5</v>
      </c>
      <c r="H1383" s="155">
        <v>4</v>
      </c>
      <c r="I1383" s="155">
        <v>19</v>
      </c>
      <c r="J1383" s="156" t="s">
        <v>39</v>
      </c>
      <c r="K1383" s="5"/>
      <c r="L1383" s="3"/>
      <c r="M1383" s="6"/>
      <c r="N1383" s="9"/>
      <c r="O1383" s="158">
        <v>78</v>
      </c>
      <c r="P1383" s="12"/>
      <c r="Q1383" s="12"/>
      <c r="R1383" s="12"/>
      <c r="S1383" s="12"/>
      <c r="T1383" s="12"/>
      <c r="U1383" s="12"/>
      <c r="V1383" s="12"/>
      <c r="W1383" s="12"/>
      <c r="X1383" s="12"/>
      <c r="Y1383" s="12"/>
      <c r="Z1383" s="12"/>
    </row>
    <row r="1384" spans="1:26" ht="14.25" customHeight="1" x14ac:dyDescent="0.3">
      <c r="A1384" s="155">
        <v>784</v>
      </c>
      <c r="B1384" s="156" t="s">
        <v>1578</v>
      </c>
      <c r="C1384" s="3"/>
      <c r="D1384" s="3"/>
      <c r="E1384" s="156" t="s">
        <v>1577</v>
      </c>
      <c r="F1384" s="3"/>
      <c r="G1384" s="158">
        <v>20.5</v>
      </c>
      <c r="H1384" s="155">
        <v>1</v>
      </c>
      <c r="I1384" s="155">
        <v>19</v>
      </c>
      <c r="J1384" s="156" t="s">
        <v>39</v>
      </c>
      <c r="K1384" s="5"/>
      <c r="L1384" s="3"/>
      <c r="M1384" s="6"/>
      <c r="N1384" s="9"/>
      <c r="O1384" s="158">
        <v>20.5</v>
      </c>
      <c r="P1384" s="12"/>
      <c r="Q1384" s="12"/>
      <c r="R1384" s="12"/>
      <c r="S1384" s="12"/>
      <c r="T1384" s="12"/>
      <c r="U1384" s="12"/>
      <c r="V1384" s="12"/>
      <c r="W1384" s="12"/>
      <c r="X1384" s="12"/>
      <c r="Y1384" s="12"/>
      <c r="Z1384" s="12"/>
    </row>
    <row r="1385" spans="1:26" ht="14.25" customHeight="1" x14ac:dyDescent="0.3">
      <c r="A1385" s="155">
        <v>785</v>
      </c>
      <c r="B1385" s="156" t="s">
        <v>1579</v>
      </c>
      <c r="C1385" s="3"/>
      <c r="D1385" s="3"/>
      <c r="E1385" s="156" t="s">
        <v>1577</v>
      </c>
      <c r="F1385" s="3"/>
      <c r="G1385" s="158">
        <v>20.3</v>
      </c>
      <c r="H1385" s="155">
        <v>56</v>
      </c>
      <c r="I1385" s="155">
        <v>19</v>
      </c>
      <c r="J1385" s="156" t="s">
        <v>39</v>
      </c>
      <c r="K1385" s="5"/>
      <c r="L1385" s="3"/>
      <c r="M1385" s="6"/>
      <c r="N1385" s="9"/>
      <c r="O1385" s="158">
        <v>1136.8</v>
      </c>
      <c r="P1385" s="12"/>
      <c r="Q1385" s="12"/>
      <c r="R1385" s="12"/>
      <c r="S1385" s="12"/>
      <c r="T1385" s="12"/>
      <c r="U1385" s="12"/>
      <c r="V1385" s="12"/>
      <c r="W1385" s="12"/>
      <c r="X1385" s="12"/>
      <c r="Y1385" s="12"/>
      <c r="Z1385" s="12"/>
    </row>
    <row r="1386" spans="1:26" ht="14.25" customHeight="1" x14ac:dyDescent="0.3">
      <c r="A1386" s="155">
        <v>786</v>
      </c>
      <c r="B1386" s="156" t="s">
        <v>1580</v>
      </c>
      <c r="C1386" s="3"/>
      <c r="D1386" s="3"/>
      <c r="E1386" s="156" t="s">
        <v>1577</v>
      </c>
      <c r="F1386" s="3"/>
      <c r="G1386" s="158">
        <v>19</v>
      </c>
      <c r="H1386" s="155">
        <v>32</v>
      </c>
      <c r="I1386" s="155">
        <v>19</v>
      </c>
      <c r="J1386" s="156" t="s">
        <v>39</v>
      </c>
      <c r="K1386" s="5"/>
      <c r="L1386" s="3"/>
      <c r="M1386" s="6"/>
      <c r="N1386" s="9"/>
      <c r="O1386" s="158">
        <v>608</v>
      </c>
      <c r="P1386" s="12"/>
      <c r="Q1386" s="12"/>
      <c r="R1386" s="12"/>
      <c r="S1386" s="12"/>
      <c r="T1386" s="12"/>
      <c r="U1386" s="12"/>
      <c r="V1386" s="12"/>
      <c r="W1386" s="12"/>
      <c r="X1386" s="12"/>
      <c r="Y1386" s="12"/>
      <c r="Z1386" s="12"/>
    </row>
    <row r="1387" spans="1:26" ht="14.25" customHeight="1" x14ac:dyDescent="0.3">
      <c r="A1387" s="155">
        <v>787</v>
      </c>
      <c r="B1387" s="156" t="s">
        <v>1581</v>
      </c>
      <c r="C1387" s="3"/>
      <c r="D1387" s="3"/>
      <c r="E1387" s="156" t="s">
        <v>1577</v>
      </c>
      <c r="F1387" s="3"/>
      <c r="G1387" s="158">
        <v>20.5</v>
      </c>
      <c r="H1387" s="155">
        <v>4</v>
      </c>
      <c r="I1387" s="155">
        <v>19</v>
      </c>
      <c r="J1387" s="156" t="s">
        <v>39</v>
      </c>
      <c r="K1387" s="5"/>
      <c r="L1387" s="3"/>
      <c r="M1387" s="6"/>
      <c r="N1387" s="9"/>
      <c r="O1387" s="158">
        <v>82</v>
      </c>
      <c r="P1387" s="12"/>
      <c r="Q1387" s="12"/>
      <c r="R1387" s="12"/>
      <c r="S1387" s="12"/>
      <c r="T1387" s="12"/>
      <c r="U1387" s="12"/>
      <c r="V1387" s="12"/>
      <c r="W1387" s="12"/>
      <c r="X1387" s="12"/>
      <c r="Y1387" s="12"/>
      <c r="Z1387" s="12"/>
    </row>
    <row r="1388" spans="1:26" ht="14.25" customHeight="1" x14ac:dyDescent="0.3">
      <c r="A1388" s="155">
        <v>344</v>
      </c>
      <c r="B1388" s="156" t="s">
        <v>738</v>
      </c>
      <c r="C1388" s="3"/>
      <c r="D1388" s="3"/>
      <c r="E1388" s="156"/>
      <c r="F1388" s="3"/>
      <c r="G1388" s="158">
        <v>280</v>
      </c>
      <c r="H1388" s="155">
        <v>3</v>
      </c>
      <c r="I1388" s="155">
        <v>1</v>
      </c>
      <c r="J1388" s="156" t="s">
        <v>213</v>
      </c>
      <c r="K1388" s="5"/>
      <c r="L1388" s="3"/>
      <c r="M1388" s="6"/>
      <c r="N1388" s="9"/>
      <c r="O1388" s="158">
        <v>840</v>
      </c>
      <c r="P1388" s="12"/>
      <c r="Q1388" s="12"/>
      <c r="R1388" s="12"/>
      <c r="S1388" s="12"/>
      <c r="T1388" s="12"/>
      <c r="U1388" s="12"/>
      <c r="V1388" s="12"/>
      <c r="W1388" s="12"/>
      <c r="X1388" s="12"/>
      <c r="Y1388" s="12"/>
      <c r="Z1388" s="12"/>
    </row>
    <row r="1389" spans="1:26" ht="14.25" customHeight="1" x14ac:dyDescent="0.3">
      <c r="A1389" s="155">
        <v>349</v>
      </c>
      <c r="B1389" s="156" t="s">
        <v>743</v>
      </c>
      <c r="C1389" s="3"/>
      <c r="D1389" s="3"/>
      <c r="E1389" s="156" t="s">
        <v>1582</v>
      </c>
      <c r="F1389" s="3"/>
      <c r="G1389" s="158">
        <v>51.1</v>
      </c>
      <c r="H1389" s="155">
        <v>3</v>
      </c>
      <c r="I1389" s="155">
        <v>100</v>
      </c>
      <c r="J1389" s="156" t="s">
        <v>39</v>
      </c>
      <c r="K1389" s="5"/>
      <c r="L1389" s="3"/>
      <c r="M1389" s="6"/>
      <c r="N1389" s="9"/>
      <c r="O1389" s="158">
        <v>153.30000000000001</v>
      </c>
      <c r="P1389" s="12"/>
      <c r="Q1389" s="12"/>
      <c r="R1389" s="12"/>
      <c r="S1389" s="12"/>
      <c r="T1389" s="12"/>
      <c r="U1389" s="12"/>
      <c r="V1389" s="12"/>
      <c r="W1389" s="12"/>
      <c r="X1389" s="12"/>
      <c r="Y1389" s="12"/>
      <c r="Z1389" s="12"/>
    </row>
    <row r="1390" spans="1:26" ht="14.25" customHeight="1" x14ac:dyDescent="0.3">
      <c r="A1390" s="155">
        <v>349</v>
      </c>
      <c r="B1390" s="156" t="s">
        <v>743</v>
      </c>
      <c r="C1390" s="3"/>
      <c r="D1390" s="3"/>
      <c r="E1390" s="156" t="s">
        <v>959</v>
      </c>
      <c r="F1390" s="3"/>
      <c r="G1390" s="158">
        <v>48.836359999999999</v>
      </c>
      <c r="H1390" s="155">
        <v>11</v>
      </c>
      <c r="I1390" s="155">
        <v>100</v>
      </c>
      <c r="J1390" s="156" t="s">
        <v>39</v>
      </c>
      <c r="K1390" s="5"/>
      <c r="L1390" s="3"/>
      <c r="M1390" s="6"/>
      <c r="N1390" s="9"/>
      <c r="O1390" s="158">
        <v>537.20000000000005</v>
      </c>
      <c r="P1390" s="12"/>
      <c r="Q1390" s="12"/>
      <c r="R1390" s="12"/>
      <c r="S1390" s="12"/>
      <c r="T1390" s="12"/>
      <c r="U1390" s="12"/>
      <c r="V1390" s="12"/>
      <c r="W1390" s="12"/>
      <c r="X1390" s="12"/>
      <c r="Y1390" s="12"/>
      <c r="Z1390" s="12"/>
    </row>
    <row r="1391" spans="1:26" ht="14.25" customHeight="1" x14ac:dyDescent="0.3">
      <c r="A1391" s="155">
        <v>349</v>
      </c>
      <c r="B1391" s="156" t="s">
        <v>743</v>
      </c>
      <c r="C1391" s="3"/>
      <c r="D1391" s="3"/>
      <c r="E1391" s="156" t="s">
        <v>1286</v>
      </c>
      <c r="F1391" s="3"/>
      <c r="G1391" s="158">
        <v>48</v>
      </c>
      <c r="H1391" s="155">
        <v>7</v>
      </c>
      <c r="I1391" s="155">
        <v>100</v>
      </c>
      <c r="J1391" s="156" t="s">
        <v>39</v>
      </c>
      <c r="K1391" s="5"/>
      <c r="L1391" s="3"/>
      <c r="M1391" s="6"/>
      <c r="N1391" s="9"/>
      <c r="O1391" s="158">
        <v>336</v>
      </c>
      <c r="P1391" s="12"/>
      <c r="Q1391" s="12"/>
      <c r="R1391" s="12"/>
      <c r="S1391" s="12"/>
      <c r="T1391" s="12"/>
      <c r="U1391" s="12"/>
      <c r="V1391" s="12"/>
      <c r="W1391" s="12"/>
      <c r="X1391" s="12"/>
      <c r="Y1391" s="12"/>
      <c r="Z1391" s="12"/>
    </row>
    <row r="1392" spans="1:26" ht="14.25" customHeight="1" x14ac:dyDescent="0.3">
      <c r="A1392" s="155">
        <v>350</v>
      </c>
      <c r="B1392" s="156" t="s">
        <v>745</v>
      </c>
      <c r="C1392" s="3"/>
      <c r="D1392" s="3"/>
      <c r="E1392" s="156"/>
      <c r="F1392" s="3"/>
      <c r="G1392" s="158">
        <v>125</v>
      </c>
      <c r="H1392" s="155">
        <v>1</v>
      </c>
      <c r="I1392" s="155">
        <v>1</v>
      </c>
      <c r="J1392" s="156" t="s">
        <v>213</v>
      </c>
      <c r="K1392" s="5"/>
      <c r="L1392" s="3"/>
      <c r="M1392" s="6"/>
      <c r="N1392" s="9"/>
      <c r="O1392" s="158">
        <v>125</v>
      </c>
      <c r="P1392" s="12"/>
      <c r="Q1392" s="12"/>
      <c r="R1392" s="12"/>
      <c r="S1392" s="12"/>
      <c r="T1392" s="12"/>
      <c r="U1392" s="12"/>
      <c r="V1392" s="12"/>
      <c r="W1392" s="12"/>
      <c r="X1392" s="12"/>
      <c r="Y1392" s="12"/>
      <c r="Z1392" s="12"/>
    </row>
    <row r="1393" spans="1:26" ht="14.25" customHeight="1" x14ac:dyDescent="0.3">
      <c r="A1393" s="155">
        <v>788</v>
      </c>
      <c r="B1393" s="156" t="s">
        <v>1583</v>
      </c>
      <c r="C1393" s="3"/>
      <c r="D1393" s="3"/>
      <c r="E1393" s="156" t="s">
        <v>1584</v>
      </c>
      <c r="F1393" s="3"/>
      <c r="G1393" s="158">
        <v>25.8</v>
      </c>
      <c r="H1393" s="155">
        <v>8</v>
      </c>
      <c r="I1393" s="155">
        <v>1</v>
      </c>
      <c r="J1393" s="156" t="s">
        <v>92</v>
      </c>
      <c r="K1393" s="5"/>
      <c r="L1393" s="3"/>
      <c r="M1393" s="6"/>
      <c r="N1393" s="9"/>
      <c r="O1393" s="158">
        <v>206.4</v>
      </c>
      <c r="P1393" s="12"/>
      <c r="Q1393" s="12"/>
      <c r="R1393" s="12"/>
      <c r="S1393" s="12"/>
      <c r="T1393" s="12"/>
      <c r="U1393" s="12"/>
      <c r="V1393" s="12"/>
      <c r="W1393" s="12"/>
      <c r="X1393" s="12"/>
      <c r="Y1393" s="12"/>
      <c r="Z1393" s="12"/>
    </row>
    <row r="1394" spans="1:26" ht="14.25" customHeight="1" x14ac:dyDescent="0.3">
      <c r="A1394" s="155">
        <v>354</v>
      </c>
      <c r="B1394" s="156" t="s">
        <v>315</v>
      </c>
      <c r="C1394" s="3"/>
      <c r="D1394" s="3"/>
      <c r="E1394" s="156"/>
      <c r="F1394" s="3"/>
      <c r="G1394" s="158">
        <v>55.833329999999997</v>
      </c>
      <c r="H1394" s="155">
        <v>3</v>
      </c>
      <c r="I1394" s="155">
        <v>430</v>
      </c>
      <c r="J1394" s="156" t="s">
        <v>32</v>
      </c>
      <c r="K1394" s="5"/>
      <c r="L1394" s="3"/>
      <c r="M1394" s="6"/>
      <c r="N1394" s="9"/>
      <c r="O1394" s="158">
        <v>167.5</v>
      </c>
      <c r="P1394" s="12"/>
      <c r="Q1394" s="12"/>
      <c r="R1394" s="12"/>
      <c r="S1394" s="12"/>
      <c r="T1394" s="12"/>
      <c r="U1394" s="12"/>
      <c r="V1394" s="12"/>
      <c r="W1394" s="12"/>
      <c r="X1394" s="12"/>
      <c r="Y1394" s="12"/>
      <c r="Z1394" s="12"/>
    </row>
    <row r="1395" spans="1:26" ht="14.25" customHeight="1" x14ac:dyDescent="0.3">
      <c r="A1395" s="155">
        <v>355</v>
      </c>
      <c r="B1395" s="156" t="s">
        <v>748</v>
      </c>
      <c r="C1395" s="3"/>
      <c r="D1395" s="3"/>
      <c r="E1395" s="156" t="s">
        <v>881</v>
      </c>
      <c r="F1395" s="3"/>
      <c r="G1395" s="158">
        <v>139</v>
      </c>
      <c r="H1395" s="155">
        <v>1</v>
      </c>
      <c r="I1395" s="155">
        <v>185</v>
      </c>
      <c r="J1395" s="156" t="s">
        <v>39</v>
      </c>
      <c r="K1395" s="5"/>
      <c r="L1395" s="3"/>
      <c r="M1395" s="6"/>
      <c r="N1395" s="9"/>
      <c r="O1395" s="158">
        <v>139</v>
      </c>
      <c r="P1395" s="12"/>
      <c r="Q1395" s="12"/>
      <c r="R1395" s="12"/>
      <c r="S1395" s="12"/>
      <c r="T1395" s="12"/>
      <c r="U1395" s="12"/>
      <c r="V1395" s="12"/>
      <c r="W1395" s="12"/>
      <c r="X1395" s="12"/>
      <c r="Y1395" s="12"/>
      <c r="Z1395" s="12"/>
    </row>
    <row r="1396" spans="1:26" ht="14.25" customHeight="1" x14ac:dyDescent="0.3">
      <c r="A1396" s="155">
        <v>789</v>
      </c>
      <c r="B1396" s="156" t="s">
        <v>1585</v>
      </c>
      <c r="C1396" s="3"/>
      <c r="D1396" s="3"/>
      <c r="E1396" s="156" t="s">
        <v>1586</v>
      </c>
      <c r="F1396" s="3"/>
      <c r="G1396" s="158">
        <v>1700</v>
      </c>
      <c r="H1396" s="155">
        <v>1</v>
      </c>
      <c r="I1396" s="155">
        <v>5</v>
      </c>
      <c r="J1396" s="156" t="s">
        <v>213</v>
      </c>
      <c r="K1396" s="5"/>
      <c r="L1396" s="3"/>
      <c r="M1396" s="6"/>
      <c r="N1396" s="9"/>
      <c r="O1396" s="158">
        <v>1700</v>
      </c>
      <c r="P1396" s="12"/>
      <c r="Q1396" s="12"/>
      <c r="R1396" s="12"/>
      <c r="S1396" s="12"/>
      <c r="T1396" s="12"/>
      <c r="U1396" s="12"/>
      <c r="V1396" s="12"/>
      <c r="W1396" s="12"/>
      <c r="X1396" s="12"/>
      <c r="Y1396" s="12"/>
      <c r="Z1396" s="12"/>
    </row>
    <row r="1397" spans="1:26" ht="14.25" customHeight="1" x14ac:dyDescent="0.3">
      <c r="A1397" s="155">
        <v>790</v>
      </c>
      <c r="B1397" s="156" t="s">
        <v>1587</v>
      </c>
      <c r="C1397" s="3"/>
      <c r="D1397" s="3"/>
      <c r="E1397" s="156" t="s">
        <v>1588</v>
      </c>
      <c r="F1397" s="3"/>
      <c r="G1397" s="158">
        <v>343</v>
      </c>
      <c r="H1397" s="155">
        <v>1</v>
      </c>
      <c r="I1397" s="155">
        <v>750</v>
      </c>
      <c r="J1397" s="156" t="s">
        <v>32</v>
      </c>
      <c r="K1397" s="5"/>
      <c r="L1397" s="3"/>
      <c r="M1397" s="6"/>
      <c r="N1397" s="9"/>
      <c r="O1397" s="158">
        <v>343</v>
      </c>
      <c r="P1397" s="12"/>
      <c r="Q1397" s="12"/>
      <c r="R1397" s="12"/>
      <c r="S1397" s="12"/>
      <c r="T1397" s="12"/>
      <c r="U1397" s="12"/>
      <c r="V1397" s="12"/>
      <c r="W1397" s="12"/>
      <c r="X1397" s="12"/>
      <c r="Y1397" s="12"/>
      <c r="Z1397" s="12"/>
    </row>
    <row r="1398" spans="1:26" ht="14.25" customHeight="1" x14ac:dyDescent="0.3">
      <c r="A1398" s="155">
        <v>790</v>
      </c>
      <c r="B1398" s="156" t="s">
        <v>1587</v>
      </c>
      <c r="C1398" s="3"/>
      <c r="D1398" s="3"/>
      <c r="E1398" s="156" t="s">
        <v>1588</v>
      </c>
      <c r="F1398" s="3"/>
      <c r="G1398" s="158">
        <v>301.5</v>
      </c>
      <c r="H1398" s="155">
        <v>1</v>
      </c>
      <c r="I1398" s="155">
        <v>750</v>
      </c>
      <c r="J1398" s="156" t="s">
        <v>773</v>
      </c>
      <c r="K1398" s="5"/>
      <c r="L1398" s="3"/>
      <c r="M1398" s="6"/>
      <c r="N1398" s="9"/>
      <c r="O1398" s="158">
        <v>301.5</v>
      </c>
      <c r="P1398" s="12"/>
      <c r="Q1398" s="12"/>
      <c r="R1398" s="12"/>
      <c r="S1398" s="12"/>
      <c r="T1398" s="12"/>
      <c r="U1398" s="12"/>
      <c r="V1398" s="12"/>
      <c r="W1398" s="12"/>
      <c r="X1398" s="12"/>
      <c r="Y1398" s="12"/>
      <c r="Z1398" s="12"/>
    </row>
    <row r="1399" spans="1:26" ht="14.25" customHeight="1" x14ac:dyDescent="0.3">
      <c r="A1399" s="155">
        <v>357</v>
      </c>
      <c r="B1399" s="156" t="s">
        <v>750</v>
      </c>
      <c r="C1399" s="3"/>
      <c r="D1399" s="3"/>
      <c r="E1399" s="156" t="s">
        <v>1589</v>
      </c>
      <c r="F1399" s="3"/>
      <c r="G1399" s="158">
        <v>48</v>
      </c>
      <c r="H1399" s="155">
        <v>150</v>
      </c>
      <c r="I1399" s="155">
        <v>1</v>
      </c>
      <c r="J1399" s="156" t="s">
        <v>213</v>
      </c>
      <c r="K1399" s="5"/>
      <c r="L1399" s="3"/>
      <c r="M1399" s="6"/>
      <c r="N1399" s="9"/>
      <c r="O1399" s="158">
        <v>7200</v>
      </c>
      <c r="P1399" s="12"/>
      <c r="Q1399" s="12"/>
      <c r="R1399" s="12"/>
      <c r="S1399" s="12"/>
      <c r="T1399" s="12"/>
      <c r="U1399" s="12"/>
      <c r="V1399" s="12"/>
      <c r="W1399" s="12"/>
      <c r="X1399" s="12"/>
      <c r="Y1399" s="12"/>
      <c r="Z1399" s="12"/>
    </row>
    <row r="1400" spans="1:26" ht="14.25" customHeight="1" x14ac:dyDescent="0.3">
      <c r="A1400" s="155">
        <v>357</v>
      </c>
      <c r="B1400" s="156" t="s">
        <v>750</v>
      </c>
      <c r="C1400" s="3"/>
      <c r="D1400" s="3"/>
      <c r="E1400" s="156" t="s">
        <v>1590</v>
      </c>
      <c r="F1400" s="3"/>
      <c r="G1400" s="158">
        <v>1050</v>
      </c>
      <c r="H1400" s="155">
        <v>16</v>
      </c>
      <c r="I1400" s="155">
        <v>1</v>
      </c>
      <c r="J1400" s="156" t="s">
        <v>1591</v>
      </c>
      <c r="K1400" s="5"/>
      <c r="L1400" s="3"/>
      <c r="M1400" s="6"/>
      <c r="N1400" s="9"/>
      <c r="O1400" s="158">
        <v>16800</v>
      </c>
      <c r="P1400" s="12"/>
      <c r="Q1400" s="12"/>
      <c r="R1400" s="12"/>
      <c r="S1400" s="12"/>
      <c r="T1400" s="12"/>
      <c r="U1400" s="12"/>
      <c r="V1400" s="12"/>
      <c r="W1400" s="12"/>
      <c r="X1400" s="12"/>
      <c r="Y1400" s="12"/>
      <c r="Z1400" s="12"/>
    </row>
    <row r="1401" spans="1:26" ht="14.25" customHeight="1" x14ac:dyDescent="0.3">
      <c r="A1401" s="155">
        <v>357</v>
      </c>
      <c r="B1401" s="156" t="s">
        <v>750</v>
      </c>
      <c r="C1401" s="3"/>
      <c r="D1401" s="3"/>
      <c r="E1401" s="156" t="s">
        <v>1592</v>
      </c>
      <c r="F1401" s="3"/>
      <c r="G1401" s="158">
        <v>1200</v>
      </c>
      <c r="H1401" s="155">
        <v>6</v>
      </c>
      <c r="I1401" s="155">
        <v>1</v>
      </c>
      <c r="J1401" s="156" t="s">
        <v>213</v>
      </c>
      <c r="K1401" s="5"/>
      <c r="L1401" s="3"/>
      <c r="M1401" s="6"/>
      <c r="N1401" s="9"/>
      <c r="O1401" s="158">
        <v>7200</v>
      </c>
      <c r="P1401" s="12"/>
      <c r="Q1401" s="12"/>
      <c r="R1401" s="12"/>
      <c r="S1401" s="12"/>
      <c r="T1401" s="12"/>
      <c r="U1401" s="12"/>
      <c r="V1401" s="12"/>
      <c r="W1401" s="12"/>
      <c r="X1401" s="12"/>
      <c r="Y1401" s="12"/>
      <c r="Z1401" s="12"/>
    </row>
    <row r="1402" spans="1:26" ht="14.25" customHeight="1" x14ac:dyDescent="0.3">
      <c r="A1402" s="155">
        <v>357</v>
      </c>
      <c r="B1402" s="156" t="s">
        <v>750</v>
      </c>
      <c r="C1402" s="3"/>
      <c r="D1402" s="3"/>
      <c r="E1402" s="156" t="s">
        <v>1593</v>
      </c>
      <c r="F1402" s="3"/>
      <c r="G1402" s="158">
        <v>43.6</v>
      </c>
      <c r="H1402" s="155">
        <v>88</v>
      </c>
      <c r="I1402" s="155">
        <v>1</v>
      </c>
      <c r="J1402" s="156" t="s">
        <v>213</v>
      </c>
      <c r="K1402" s="5"/>
      <c r="L1402" s="3"/>
      <c r="M1402" s="6"/>
      <c r="N1402" s="9"/>
      <c r="O1402" s="158">
        <v>3836.8</v>
      </c>
      <c r="P1402" s="12"/>
      <c r="Q1402" s="12"/>
      <c r="R1402" s="12"/>
      <c r="S1402" s="12"/>
      <c r="T1402" s="12"/>
      <c r="U1402" s="12"/>
      <c r="V1402" s="12"/>
      <c r="W1402" s="12"/>
      <c r="X1402" s="12"/>
      <c r="Y1402" s="12"/>
      <c r="Z1402" s="12"/>
    </row>
    <row r="1403" spans="1:26" ht="14.25" customHeight="1" x14ac:dyDescent="0.3">
      <c r="A1403" s="155">
        <v>357</v>
      </c>
      <c r="B1403" s="156" t="s">
        <v>750</v>
      </c>
      <c r="C1403" s="3"/>
      <c r="D1403" s="3"/>
      <c r="E1403" s="156" t="s">
        <v>867</v>
      </c>
      <c r="F1403" s="3"/>
      <c r="G1403" s="158">
        <v>48</v>
      </c>
      <c r="H1403" s="155">
        <v>150</v>
      </c>
      <c r="I1403" s="155">
        <v>1</v>
      </c>
      <c r="J1403" s="156" t="s">
        <v>213</v>
      </c>
      <c r="K1403" s="5"/>
      <c r="L1403" s="3"/>
      <c r="M1403" s="6"/>
      <c r="N1403" s="9"/>
      <c r="O1403" s="158">
        <v>7200</v>
      </c>
      <c r="P1403" s="12"/>
      <c r="Q1403" s="12"/>
      <c r="R1403" s="12"/>
      <c r="S1403" s="12"/>
      <c r="T1403" s="12"/>
      <c r="U1403" s="12"/>
      <c r="V1403" s="12"/>
      <c r="W1403" s="12"/>
      <c r="X1403" s="12"/>
      <c r="Y1403" s="12"/>
      <c r="Z1403" s="12"/>
    </row>
    <row r="1404" spans="1:26" ht="14.25" customHeight="1" x14ac:dyDescent="0.3">
      <c r="A1404" s="155">
        <v>357</v>
      </c>
      <c r="B1404" s="156" t="s">
        <v>750</v>
      </c>
      <c r="C1404" s="3"/>
      <c r="D1404" s="3"/>
      <c r="E1404" s="156" t="s">
        <v>1594</v>
      </c>
      <c r="F1404" s="3"/>
      <c r="G1404" s="158">
        <v>2600</v>
      </c>
      <c r="H1404" s="155">
        <v>10</v>
      </c>
      <c r="I1404" s="155">
        <v>1</v>
      </c>
      <c r="J1404" s="156" t="s">
        <v>213</v>
      </c>
      <c r="K1404" s="5"/>
      <c r="L1404" s="3"/>
      <c r="M1404" s="6"/>
      <c r="N1404" s="9"/>
      <c r="O1404" s="158">
        <v>26000</v>
      </c>
      <c r="P1404" s="12"/>
      <c r="Q1404" s="12"/>
      <c r="R1404" s="12"/>
      <c r="S1404" s="12"/>
      <c r="T1404" s="12"/>
      <c r="U1404" s="12"/>
      <c r="V1404" s="12"/>
      <c r="W1404" s="12"/>
      <c r="X1404" s="12"/>
      <c r="Y1404" s="12"/>
      <c r="Z1404" s="12"/>
    </row>
    <row r="1405" spans="1:26" ht="14.25" customHeight="1" x14ac:dyDescent="0.3">
      <c r="A1405" s="155">
        <v>357</v>
      </c>
      <c r="B1405" s="156" t="s">
        <v>750</v>
      </c>
      <c r="C1405" s="3"/>
      <c r="D1405" s="3"/>
      <c r="E1405" s="156" t="s">
        <v>1595</v>
      </c>
      <c r="F1405" s="3"/>
      <c r="G1405" s="158">
        <v>3000</v>
      </c>
      <c r="H1405" s="155">
        <v>10</v>
      </c>
      <c r="I1405" s="155">
        <v>1</v>
      </c>
      <c r="J1405" s="156" t="s">
        <v>213</v>
      </c>
      <c r="K1405" s="5"/>
      <c r="L1405" s="3"/>
      <c r="M1405" s="6"/>
      <c r="N1405" s="9"/>
      <c r="O1405" s="158">
        <v>30000</v>
      </c>
      <c r="P1405" s="12"/>
      <c r="Q1405" s="12"/>
      <c r="R1405" s="12"/>
      <c r="S1405" s="12"/>
      <c r="T1405" s="12"/>
      <c r="U1405" s="12"/>
      <c r="V1405" s="12"/>
      <c r="W1405" s="12"/>
      <c r="X1405" s="12"/>
      <c r="Y1405" s="12"/>
      <c r="Z1405" s="12"/>
    </row>
    <row r="1406" spans="1:26" ht="14.25" customHeight="1" x14ac:dyDescent="0.3">
      <c r="A1406" s="155">
        <v>357</v>
      </c>
      <c r="B1406" s="156" t="s">
        <v>750</v>
      </c>
      <c r="C1406" s="3"/>
      <c r="D1406" s="3"/>
      <c r="E1406" s="156" t="s">
        <v>1596</v>
      </c>
      <c r="F1406" s="3"/>
      <c r="G1406" s="158">
        <v>1275</v>
      </c>
      <c r="H1406" s="155">
        <v>35</v>
      </c>
      <c r="I1406" s="155">
        <v>1</v>
      </c>
      <c r="J1406" s="156" t="s">
        <v>213</v>
      </c>
      <c r="K1406" s="5"/>
      <c r="L1406" s="3"/>
      <c r="M1406" s="6"/>
      <c r="N1406" s="9"/>
      <c r="O1406" s="158">
        <v>44625</v>
      </c>
      <c r="P1406" s="12"/>
      <c r="Q1406" s="12"/>
      <c r="R1406" s="12"/>
      <c r="S1406" s="12"/>
      <c r="T1406" s="12"/>
      <c r="U1406" s="12"/>
      <c r="V1406" s="12"/>
      <c r="W1406" s="12"/>
      <c r="X1406" s="12"/>
      <c r="Y1406" s="12"/>
      <c r="Z1406" s="12"/>
    </row>
    <row r="1407" spans="1:26" ht="14.25" customHeight="1" x14ac:dyDescent="0.3">
      <c r="A1407" s="155">
        <v>791</v>
      </c>
      <c r="B1407" s="156" t="s">
        <v>1597</v>
      </c>
      <c r="C1407" s="3"/>
      <c r="D1407" s="3"/>
      <c r="E1407" s="156" t="s">
        <v>1598</v>
      </c>
      <c r="F1407" s="3"/>
      <c r="G1407" s="158">
        <v>365</v>
      </c>
      <c r="H1407" s="155">
        <v>3</v>
      </c>
      <c r="I1407" s="155">
        <v>355</v>
      </c>
      <c r="J1407" s="156" t="s">
        <v>32</v>
      </c>
      <c r="K1407" s="5"/>
      <c r="L1407" s="3"/>
      <c r="M1407" s="6"/>
      <c r="N1407" s="9"/>
      <c r="O1407" s="158">
        <v>1095</v>
      </c>
      <c r="P1407" s="12"/>
      <c r="Q1407" s="12"/>
      <c r="R1407" s="12"/>
      <c r="S1407" s="12"/>
      <c r="T1407" s="12"/>
      <c r="U1407" s="12"/>
      <c r="V1407" s="12"/>
      <c r="W1407" s="12"/>
      <c r="X1407" s="12"/>
      <c r="Y1407" s="12"/>
      <c r="Z1407" s="12"/>
    </row>
    <row r="1408" spans="1:26" ht="14.25" customHeight="1" x14ac:dyDescent="0.3">
      <c r="A1408" s="155">
        <v>792</v>
      </c>
      <c r="B1408" s="156" t="s">
        <v>1599</v>
      </c>
      <c r="C1408" s="3"/>
      <c r="D1408" s="3"/>
      <c r="E1408" s="156" t="s">
        <v>991</v>
      </c>
      <c r="F1408" s="3"/>
      <c r="G1408" s="158">
        <v>420</v>
      </c>
      <c r="H1408" s="155">
        <v>1</v>
      </c>
      <c r="I1408" s="155">
        <v>1</v>
      </c>
      <c r="J1408" s="156" t="s">
        <v>1331</v>
      </c>
      <c r="K1408" s="5"/>
      <c r="L1408" s="3"/>
      <c r="M1408" s="6"/>
      <c r="N1408" s="9"/>
      <c r="O1408" s="158">
        <v>420</v>
      </c>
      <c r="P1408" s="12"/>
      <c r="Q1408" s="12"/>
      <c r="R1408" s="12"/>
      <c r="S1408" s="12"/>
      <c r="T1408" s="12"/>
      <c r="U1408" s="12"/>
      <c r="V1408" s="12"/>
      <c r="W1408" s="12"/>
      <c r="X1408" s="12"/>
      <c r="Y1408" s="12"/>
      <c r="Z1408" s="12"/>
    </row>
    <row r="1409" spans="1:26" ht="14.25" customHeight="1" x14ac:dyDescent="0.3">
      <c r="A1409" s="155">
        <v>793</v>
      </c>
      <c r="B1409" s="156" t="s">
        <v>1600</v>
      </c>
      <c r="C1409" s="3"/>
      <c r="D1409" s="3"/>
      <c r="E1409" s="156" t="s">
        <v>1601</v>
      </c>
      <c r="F1409" s="3"/>
      <c r="G1409" s="158">
        <v>550</v>
      </c>
      <c r="H1409" s="155">
        <v>2</v>
      </c>
      <c r="I1409" s="155">
        <v>1</v>
      </c>
      <c r="J1409" s="156" t="s">
        <v>1331</v>
      </c>
      <c r="K1409" s="5"/>
      <c r="L1409" s="3"/>
      <c r="M1409" s="6"/>
      <c r="N1409" s="9"/>
      <c r="O1409" s="158">
        <v>1100</v>
      </c>
      <c r="P1409" s="12"/>
      <c r="Q1409" s="12"/>
      <c r="R1409" s="12"/>
      <c r="S1409" s="12"/>
      <c r="T1409" s="12"/>
      <c r="U1409" s="12"/>
      <c r="V1409" s="12"/>
      <c r="W1409" s="12"/>
      <c r="X1409" s="12"/>
      <c r="Y1409" s="12"/>
      <c r="Z1409" s="12"/>
    </row>
    <row r="1410" spans="1:26" ht="14.25" customHeight="1" x14ac:dyDescent="0.3">
      <c r="A1410" s="155">
        <v>794</v>
      </c>
      <c r="B1410" s="156" t="s">
        <v>1602</v>
      </c>
      <c r="C1410" s="3"/>
      <c r="D1410" s="3"/>
      <c r="E1410" s="156"/>
      <c r="F1410" s="3"/>
      <c r="G1410" s="158">
        <v>70.5</v>
      </c>
      <c r="H1410" s="155">
        <v>1</v>
      </c>
      <c r="I1410" s="155">
        <v>500</v>
      </c>
      <c r="J1410" s="156" t="s">
        <v>39</v>
      </c>
      <c r="K1410" s="5"/>
      <c r="L1410" s="3"/>
      <c r="M1410" s="6"/>
      <c r="N1410" s="9"/>
      <c r="O1410" s="158">
        <v>70.5</v>
      </c>
      <c r="P1410" s="12"/>
      <c r="Q1410" s="12"/>
      <c r="R1410" s="12"/>
      <c r="S1410" s="12"/>
      <c r="T1410" s="12"/>
      <c r="U1410" s="12"/>
      <c r="V1410" s="12"/>
      <c r="W1410" s="12"/>
      <c r="X1410" s="12"/>
      <c r="Y1410" s="12"/>
      <c r="Z1410" s="12"/>
    </row>
    <row r="1411" spans="1:26" ht="14.25" customHeight="1" x14ac:dyDescent="0.3">
      <c r="A1411" s="155">
        <v>795</v>
      </c>
      <c r="B1411" s="156" t="s">
        <v>1603</v>
      </c>
      <c r="C1411" s="3"/>
      <c r="D1411" s="3"/>
      <c r="E1411" s="156" t="s">
        <v>1604</v>
      </c>
      <c r="F1411" s="3"/>
      <c r="G1411" s="158">
        <v>28.56</v>
      </c>
      <c r="H1411" s="155">
        <v>3</v>
      </c>
      <c r="I1411" s="155">
        <v>250</v>
      </c>
      <c r="J1411" s="156" t="s">
        <v>32</v>
      </c>
      <c r="K1411" s="5"/>
      <c r="L1411" s="3"/>
      <c r="M1411" s="6"/>
      <c r="N1411" s="9"/>
      <c r="O1411" s="158">
        <v>85.68</v>
      </c>
      <c r="P1411" s="12"/>
      <c r="Q1411" s="12"/>
      <c r="R1411" s="12"/>
      <c r="S1411" s="12"/>
      <c r="T1411" s="12"/>
      <c r="U1411" s="12"/>
      <c r="V1411" s="12"/>
      <c r="W1411" s="12"/>
      <c r="X1411" s="12"/>
      <c r="Y1411" s="12"/>
      <c r="Z1411" s="12"/>
    </row>
    <row r="1412" spans="1:26" ht="14.25" customHeight="1" x14ac:dyDescent="0.3">
      <c r="A1412" s="155">
        <v>796</v>
      </c>
      <c r="B1412" s="156" t="s">
        <v>1605</v>
      </c>
      <c r="C1412" s="3"/>
      <c r="D1412" s="3"/>
      <c r="E1412" s="156" t="s">
        <v>1606</v>
      </c>
      <c r="F1412" s="3"/>
      <c r="G1412" s="158">
        <v>12.49</v>
      </c>
      <c r="H1412" s="155">
        <v>16</v>
      </c>
      <c r="I1412" s="155">
        <v>230</v>
      </c>
      <c r="J1412" s="156" t="s">
        <v>32</v>
      </c>
      <c r="K1412" s="5"/>
      <c r="L1412" s="3"/>
      <c r="M1412" s="6"/>
      <c r="N1412" s="9"/>
      <c r="O1412" s="158">
        <v>199.84</v>
      </c>
      <c r="P1412" s="12"/>
      <c r="Q1412" s="12"/>
      <c r="R1412" s="12"/>
      <c r="S1412" s="12"/>
      <c r="T1412" s="12"/>
      <c r="U1412" s="12"/>
      <c r="V1412" s="12"/>
      <c r="W1412" s="12"/>
      <c r="X1412" s="12"/>
      <c r="Y1412" s="12"/>
      <c r="Z1412" s="12"/>
    </row>
    <row r="1413" spans="1:26" ht="14.25" customHeight="1" x14ac:dyDescent="0.3">
      <c r="A1413" s="155">
        <v>796</v>
      </c>
      <c r="B1413" s="156" t="s">
        <v>1605</v>
      </c>
      <c r="C1413" s="3"/>
      <c r="D1413" s="3"/>
      <c r="E1413" s="156" t="s">
        <v>1607</v>
      </c>
      <c r="F1413" s="3"/>
      <c r="G1413" s="158">
        <v>12.49</v>
      </c>
      <c r="H1413" s="155">
        <v>65</v>
      </c>
      <c r="I1413" s="155">
        <v>230</v>
      </c>
      <c r="J1413" s="156" t="s">
        <v>32</v>
      </c>
      <c r="K1413" s="5"/>
      <c r="L1413" s="3"/>
      <c r="M1413" s="6"/>
      <c r="N1413" s="9"/>
      <c r="O1413" s="158">
        <v>811.85</v>
      </c>
      <c r="P1413" s="12"/>
      <c r="Q1413" s="12"/>
      <c r="R1413" s="12"/>
      <c r="S1413" s="12"/>
      <c r="T1413" s="12"/>
      <c r="U1413" s="12"/>
      <c r="V1413" s="12"/>
      <c r="W1413" s="12"/>
      <c r="X1413" s="12"/>
      <c r="Y1413" s="12"/>
      <c r="Z1413" s="12"/>
    </row>
    <row r="1414" spans="1:26" ht="14.25" customHeight="1" x14ac:dyDescent="0.3">
      <c r="A1414" s="155">
        <v>796</v>
      </c>
      <c r="B1414" s="156" t="s">
        <v>1605</v>
      </c>
      <c r="C1414" s="3"/>
      <c r="D1414" s="3"/>
      <c r="E1414" s="156" t="s">
        <v>1608</v>
      </c>
      <c r="F1414" s="3"/>
      <c r="G1414" s="158">
        <v>12.54</v>
      </c>
      <c r="H1414" s="155">
        <v>18</v>
      </c>
      <c r="I1414" s="155">
        <v>230</v>
      </c>
      <c r="J1414" s="156" t="s">
        <v>32</v>
      </c>
      <c r="K1414" s="5"/>
      <c r="L1414" s="3"/>
      <c r="M1414" s="6"/>
      <c r="N1414" s="9"/>
      <c r="O1414" s="158">
        <v>225.72</v>
      </c>
      <c r="P1414" s="12"/>
      <c r="Q1414" s="12"/>
      <c r="R1414" s="12"/>
      <c r="S1414" s="12"/>
      <c r="T1414" s="12"/>
      <c r="U1414" s="12"/>
      <c r="V1414" s="12"/>
      <c r="W1414" s="12"/>
      <c r="X1414" s="12"/>
      <c r="Y1414" s="12"/>
      <c r="Z1414" s="12"/>
    </row>
    <row r="1415" spans="1:26" ht="14.25" customHeight="1" x14ac:dyDescent="0.3">
      <c r="A1415" s="155">
        <v>797</v>
      </c>
      <c r="B1415" s="156" t="s">
        <v>1609</v>
      </c>
      <c r="C1415" s="3"/>
      <c r="D1415" s="3"/>
      <c r="E1415" s="156" t="s">
        <v>1610</v>
      </c>
      <c r="F1415" s="3"/>
      <c r="G1415" s="158">
        <v>14.26825</v>
      </c>
      <c r="H1415" s="155">
        <v>57</v>
      </c>
      <c r="I1415" s="155">
        <v>250</v>
      </c>
      <c r="J1415" s="156" t="s">
        <v>32</v>
      </c>
      <c r="K1415" s="5"/>
      <c r="L1415" s="3"/>
      <c r="M1415" s="6"/>
      <c r="N1415" s="9"/>
      <c r="O1415" s="158">
        <v>813.29</v>
      </c>
      <c r="P1415" s="12"/>
      <c r="Q1415" s="12"/>
      <c r="R1415" s="12"/>
      <c r="S1415" s="12"/>
      <c r="T1415" s="12"/>
      <c r="U1415" s="12"/>
      <c r="V1415" s="12"/>
      <c r="W1415" s="12"/>
      <c r="X1415" s="12"/>
      <c r="Y1415" s="12"/>
      <c r="Z1415" s="12"/>
    </row>
    <row r="1416" spans="1:26" ht="14.25" customHeight="1" x14ac:dyDescent="0.3">
      <c r="A1416" s="155">
        <v>797</v>
      </c>
      <c r="B1416" s="156" t="s">
        <v>1609</v>
      </c>
      <c r="C1416" s="3"/>
      <c r="D1416" s="3"/>
      <c r="E1416" s="156" t="s">
        <v>1611</v>
      </c>
      <c r="F1416" s="3"/>
      <c r="G1416" s="158">
        <v>22.47212</v>
      </c>
      <c r="H1416" s="155">
        <v>33</v>
      </c>
      <c r="I1416" s="155">
        <v>250</v>
      </c>
      <c r="J1416" s="156" t="s">
        <v>32</v>
      </c>
      <c r="K1416" s="5"/>
      <c r="L1416" s="3"/>
      <c r="M1416" s="6"/>
      <c r="N1416" s="9"/>
      <c r="O1416" s="158">
        <v>741.58</v>
      </c>
      <c r="P1416" s="12"/>
      <c r="Q1416" s="12"/>
      <c r="R1416" s="12"/>
      <c r="S1416" s="12"/>
      <c r="T1416" s="12"/>
      <c r="U1416" s="12"/>
      <c r="V1416" s="12"/>
      <c r="W1416" s="12"/>
      <c r="X1416" s="12"/>
      <c r="Y1416" s="12"/>
      <c r="Z1416" s="12"/>
    </row>
    <row r="1417" spans="1:26" ht="14.25" customHeight="1" x14ac:dyDescent="0.3">
      <c r="A1417" s="155">
        <v>797</v>
      </c>
      <c r="B1417" s="156" t="s">
        <v>1609</v>
      </c>
      <c r="C1417" s="3"/>
      <c r="D1417" s="3"/>
      <c r="E1417" s="156" t="s">
        <v>1612</v>
      </c>
      <c r="F1417" s="3"/>
      <c r="G1417" s="158">
        <v>25.83</v>
      </c>
      <c r="H1417" s="155">
        <v>27</v>
      </c>
      <c r="I1417" s="155">
        <v>250</v>
      </c>
      <c r="J1417" s="156" t="s">
        <v>32</v>
      </c>
      <c r="K1417" s="5"/>
      <c r="L1417" s="3"/>
      <c r="M1417" s="6"/>
      <c r="N1417" s="9"/>
      <c r="O1417" s="158">
        <v>697.41</v>
      </c>
      <c r="P1417" s="12"/>
      <c r="Q1417" s="12"/>
      <c r="R1417" s="12"/>
      <c r="S1417" s="12"/>
      <c r="T1417" s="12"/>
      <c r="U1417" s="12"/>
      <c r="V1417" s="12"/>
      <c r="W1417" s="12"/>
      <c r="X1417" s="12"/>
      <c r="Y1417" s="12"/>
      <c r="Z1417" s="12"/>
    </row>
    <row r="1418" spans="1:26" ht="14.25" customHeight="1" x14ac:dyDescent="0.3">
      <c r="A1418" s="155">
        <v>797</v>
      </c>
      <c r="B1418" s="156" t="s">
        <v>1609</v>
      </c>
      <c r="C1418" s="3"/>
      <c r="D1418" s="3"/>
      <c r="E1418" s="156" t="s">
        <v>1613</v>
      </c>
      <c r="F1418" s="3"/>
      <c r="G1418" s="158">
        <v>42.32</v>
      </c>
      <c r="H1418" s="155">
        <v>24</v>
      </c>
      <c r="I1418" s="155">
        <v>250</v>
      </c>
      <c r="J1418" s="156" t="s">
        <v>32</v>
      </c>
      <c r="K1418" s="5"/>
      <c r="L1418" s="3"/>
      <c r="M1418" s="6"/>
      <c r="N1418" s="9"/>
      <c r="O1418" s="158">
        <v>1015.68</v>
      </c>
      <c r="P1418" s="12"/>
      <c r="Q1418" s="12"/>
      <c r="R1418" s="12"/>
      <c r="S1418" s="12"/>
      <c r="T1418" s="12"/>
      <c r="U1418" s="12"/>
      <c r="V1418" s="12"/>
      <c r="W1418" s="12"/>
      <c r="X1418" s="12"/>
      <c r="Y1418" s="12"/>
      <c r="Z1418" s="12"/>
    </row>
    <row r="1419" spans="1:26" ht="14.25" customHeight="1" x14ac:dyDescent="0.3">
      <c r="A1419" s="155">
        <v>797</v>
      </c>
      <c r="B1419" s="156" t="s">
        <v>1609</v>
      </c>
      <c r="C1419" s="3"/>
      <c r="D1419" s="3"/>
      <c r="E1419" s="156" t="s">
        <v>1614</v>
      </c>
      <c r="F1419" s="3"/>
      <c r="G1419" s="158">
        <v>29.096879999999999</v>
      </c>
      <c r="H1419" s="155">
        <v>112</v>
      </c>
      <c r="I1419" s="155">
        <v>250</v>
      </c>
      <c r="J1419" s="156" t="s">
        <v>32</v>
      </c>
      <c r="K1419" s="5"/>
      <c r="L1419" s="3"/>
      <c r="M1419" s="6"/>
      <c r="N1419" s="9"/>
      <c r="O1419" s="158">
        <v>3258.85</v>
      </c>
      <c r="P1419" s="12"/>
      <c r="Q1419" s="12"/>
      <c r="R1419" s="12"/>
      <c r="S1419" s="12"/>
      <c r="T1419" s="12"/>
      <c r="U1419" s="12"/>
      <c r="V1419" s="12"/>
      <c r="W1419" s="12"/>
      <c r="X1419" s="12"/>
      <c r="Y1419" s="12"/>
      <c r="Z1419" s="12"/>
    </row>
    <row r="1420" spans="1:26" ht="14.25" customHeight="1" x14ac:dyDescent="0.3">
      <c r="A1420" s="155">
        <v>797</v>
      </c>
      <c r="B1420" s="156" t="s">
        <v>1609</v>
      </c>
      <c r="C1420" s="3"/>
      <c r="D1420" s="3"/>
      <c r="E1420" s="156" t="s">
        <v>1614</v>
      </c>
      <c r="F1420" s="3"/>
      <c r="G1420" s="158">
        <v>672.55</v>
      </c>
      <c r="H1420" s="155">
        <v>1</v>
      </c>
      <c r="I1420" s="155">
        <v>250</v>
      </c>
      <c r="J1420" s="156" t="s">
        <v>1615</v>
      </c>
      <c r="K1420" s="5"/>
      <c r="L1420" s="3"/>
      <c r="M1420" s="6"/>
      <c r="N1420" s="9"/>
      <c r="O1420" s="158">
        <v>672.55</v>
      </c>
      <c r="P1420" s="12"/>
      <c r="Q1420" s="12"/>
      <c r="R1420" s="12"/>
      <c r="S1420" s="12"/>
      <c r="T1420" s="12"/>
      <c r="U1420" s="12"/>
      <c r="V1420" s="12"/>
      <c r="W1420" s="12"/>
      <c r="X1420" s="12"/>
      <c r="Y1420" s="12"/>
      <c r="Z1420" s="12"/>
    </row>
    <row r="1421" spans="1:26" ht="14.25" customHeight="1" x14ac:dyDescent="0.3">
      <c r="A1421" s="155">
        <v>797</v>
      </c>
      <c r="B1421" s="156" t="s">
        <v>1609</v>
      </c>
      <c r="C1421" s="3"/>
      <c r="D1421" s="3"/>
      <c r="E1421" s="156" t="s">
        <v>1614</v>
      </c>
      <c r="F1421" s="3"/>
      <c r="G1421" s="158">
        <v>97.2</v>
      </c>
      <c r="H1421" s="155">
        <v>4</v>
      </c>
      <c r="I1421" s="155">
        <v>250</v>
      </c>
      <c r="J1421" s="156" t="s">
        <v>773</v>
      </c>
      <c r="K1421" s="5"/>
      <c r="L1421" s="3"/>
      <c r="M1421" s="6"/>
      <c r="N1421" s="9"/>
      <c r="O1421" s="158">
        <v>388.8</v>
      </c>
      <c r="P1421" s="12"/>
      <c r="Q1421" s="12"/>
      <c r="R1421" s="12"/>
      <c r="S1421" s="12"/>
      <c r="T1421" s="12"/>
      <c r="U1421" s="12"/>
      <c r="V1421" s="12"/>
      <c r="W1421" s="12"/>
      <c r="X1421" s="12"/>
      <c r="Y1421" s="12"/>
      <c r="Z1421" s="12"/>
    </row>
    <row r="1422" spans="1:26" ht="14.25" customHeight="1" x14ac:dyDescent="0.3">
      <c r="A1422" s="155">
        <v>798</v>
      </c>
      <c r="B1422" s="156" t="s">
        <v>1616</v>
      </c>
      <c r="C1422" s="3"/>
      <c r="D1422" s="3"/>
      <c r="E1422" s="156" t="s">
        <v>1241</v>
      </c>
      <c r="F1422" s="3"/>
      <c r="G1422" s="158">
        <v>29.575620000000001</v>
      </c>
      <c r="H1422" s="155">
        <v>315</v>
      </c>
      <c r="I1422" s="155">
        <v>220</v>
      </c>
      <c r="J1422" s="156" t="s">
        <v>32</v>
      </c>
      <c r="K1422" s="5"/>
      <c r="L1422" s="3"/>
      <c r="M1422" s="6"/>
      <c r="N1422" s="9"/>
      <c r="O1422" s="158">
        <v>9316.32</v>
      </c>
      <c r="P1422" s="12"/>
      <c r="Q1422" s="12"/>
      <c r="R1422" s="12"/>
      <c r="S1422" s="12"/>
      <c r="T1422" s="12"/>
      <c r="U1422" s="12"/>
      <c r="V1422" s="12"/>
      <c r="W1422" s="12"/>
      <c r="X1422" s="12"/>
      <c r="Y1422" s="12"/>
      <c r="Z1422" s="12"/>
    </row>
    <row r="1423" spans="1:26" ht="14.25" customHeight="1" x14ac:dyDescent="0.3">
      <c r="A1423" s="155">
        <v>798</v>
      </c>
      <c r="B1423" s="156" t="s">
        <v>1616</v>
      </c>
      <c r="C1423" s="3"/>
      <c r="D1423" s="3"/>
      <c r="E1423" s="156" t="s">
        <v>1241</v>
      </c>
      <c r="F1423" s="3"/>
      <c r="G1423" s="158">
        <v>29.5</v>
      </c>
      <c r="H1423" s="155">
        <v>15</v>
      </c>
      <c r="I1423" s="155">
        <v>220</v>
      </c>
      <c r="J1423" s="156" t="s">
        <v>92</v>
      </c>
      <c r="K1423" s="5"/>
      <c r="L1423" s="3"/>
      <c r="M1423" s="6"/>
      <c r="N1423" s="9"/>
      <c r="O1423" s="158">
        <v>442.5</v>
      </c>
      <c r="P1423" s="12"/>
      <c r="Q1423" s="12"/>
      <c r="R1423" s="12"/>
      <c r="S1423" s="12"/>
      <c r="T1423" s="12"/>
      <c r="U1423" s="12"/>
      <c r="V1423" s="12"/>
      <c r="W1423" s="12"/>
      <c r="X1423" s="12"/>
      <c r="Y1423" s="12"/>
      <c r="Z1423" s="12"/>
    </row>
    <row r="1424" spans="1:26" ht="14.25" customHeight="1" x14ac:dyDescent="0.3">
      <c r="A1424" s="155">
        <v>799</v>
      </c>
      <c r="B1424" s="156" t="s">
        <v>1617</v>
      </c>
      <c r="C1424" s="3"/>
      <c r="D1424" s="3"/>
      <c r="E1424" s="156" t="s">
        <v>1241</v>
      </c>
      <c r="F1424" s="3"/>
      <c r="G1424" s="158">
        <v>122.9</v>
      </c>
      <c r="H1424" s="155">
        <v>3</v>
      </c>
      <c r="I1424" s="155">
        <v>1</v>
      </c>
      <c r="J1424" s="156" t="s">
        <v>773</v>
      </c>
      <c r="K1424" s="5"/>
      <c r="L1424" s="3"/>
      <c r="M1424" s="6"/>
      <c r="N1424" s="9"/>
      <c r="O1424" s="158">
        <v>368.7</v>
      </c>
      <c r="P1424" s="12"/>
      <c r="Q1424" s="12"/>
      <c r="R1424" s="12"/>
      <c r="S1424" s="12"/>
      <c r="T1424" s="12"/>
      <c r="U1424" s="12"/>
      <c r="V1424" s="12"/>
      <c r="W1424" s="12"/>
      <c r="X1424" s="12"/>
      <c r="Y1424" s="12"/>
      <c r="Z1424" s="12"/>
    </row>
    <row r="1425" spans="1:26" ht="14.25" customHeight="1" x14ac:dyDescent="0.3">
      <c r="A1425" s="155">
        <v>800</v>
      </c>
      <c r="B1425" s="156" t="s">
        <v>1618</v>
      </c>
      <c r="C1425" s="3"/>
      <c r="D1425" s="3"/>
      <c r="E1425" s="156" t="s">
        <v>1241</v>
      </c>
      <c r="F1425" s="3"/>
      <c r="G1425" s="158">
        <v>97.2</v>
      </c>
      <c r="H1425" s="155">
        <v>1</v>
      </c>
      <c r="I1425" s="155">
        <v>1</v>
      </c>
      <c r="J1425" s="156" t="s">
        <v>773</v>
      </c>
      <c r="K1425" s="5"/>
      <c r="L1425" s="3"/>
      <c r="M1425" s="6"/>
      <c r="N1425" s="9"/>
      <c r="O1425" s="158">
        <v>97.2</v>
      </c>
      <c r="P1425" s="12"/>
      <c r="Q1425" s="12"/>
      <c r="R1425" s="12"/>
      <c r="S1425" s="12"/>
      <c r="T1425" s="12"/>
      <c r="U1425" s="12"/>
      <c r="V1425" s="12"/>
      <c r="W1425" s="12"/>
      <c r="X1425" s="12"/>
      <c r="Y1425" s="12"/>
      <c r="Z1425" s="12"/>
    </row>
    <row r="1426" spans="1:26" ht="14.25" customHeight="1" x14ac:dyDescent="0.3">
      <c r="A1426" s="155">
        <v>801</v>
      </c>
      <c r="B1426" s="156" t="s">
        <v>1619</v>
      </c>
      <c r="C1426" s="3"/>
      <c r="D1426" s="3"/>
      <c r="E1426" s="156" t="s">
        <v>1620</v>
      </c>
      <c r="F1426" s="3"/>
      <c r="G1426" s="158">
        <v>19.88</v>
      </c>
      <c r="H1426" s="155">
        <v>1</v>
      </c>
      <c r="I1426" s="155">
        <v>200</v>
      </c>
      <c r="J1426" s="156" t="s">
        <v>32</v>
      </c>
      <c r="K1426" s="5"/>
      <c r="L1426" s="3"/>
      <c r="M1426" s="6"/>
      <c r="N1426" s="9"/>
      <c r="O1426" s="158">
        <v>19.88</v>
      </c>
      <c r="P1426" s="12"/>
      <c r="Q1426" s="12"/>
      <c r="R1426" s="12"/>
      <c r="S1426" s="12"/>
      <c r="T1426" s="12"/>
      <c r="U1426" s="12"/>
      <c r="V1426" s="12"/>
      <c r="W1426" s="12"/>
      <c r="X1426" s="12"/>
      <c r="Y1426" s="12"/>
      <c r="Z1426" s="12"/>
    </row>
    <row r="1427" spans="1:26" ht="14.25" customHeight="1" x14ac:dyDescent="0.3">
      <c r="A1427" s="155">
        <v>802</v>
      </c>
      <c r="B1427" s="156" t="s">
        <v>1621</v>
      </c>
      <c r="C1427" s="3"/>
      <c r="D1427" s="3"/>
      <c r="E1427" s="156"/>
      <c r="F1427" s="3"/>
      <c r="G1427" s="158">
        <v>5.0999999999999996</v>
      </c>
      <c r="H1427" s="155">
        <v>56</v>
      </c>
      <c r="I1427" s="155">
        <v>1</v>
      </c>
      <c r="J1427" s="156" t="s">
        <v>92</v>
      </c>
      <c r="K1427" s="5"/>
      <c r="L1427" s="3"/>
      <c r="M1427" s="6"/>
      <c r="N1427" s="9"/>
      <c r="O1427" s="158">
        <v>285.60000000000002</v>
      </c>
      <c r="P1427" s="12"/>
      <c r="Q1427" s="12"/>
      <c r="R1427" s="12"/>
      <c r="S1427" s="12"/>
      <c r="T1427" s="12"/>
      <c r="U1427" s="12"/>
      <c r="V1427" s="12"/>
      <c r="W1427" s="12"/>
      <c r="X1427" s="12"/>
      <c r="Y1427" s="12"/>
      <c r="Z1427" s="12"/>
    </row>
    <row r="1428" spans="1:26" ht="14.25" customHeight="1" x14ac:dyDescent="0.3">
      <c r="A1428" s="155">
        <v>802</v>
      </c>
      <c r="B1428" s="156" t="s">
        <v>1621</v>
      </c>
      <c r="C1428" s="3"/>
      <c r="D1428" s="3"/>
      <c r="E1428" s="156"/>
      <c r="F1428" s="3"/>
      <c r="G1428" s="158">
        <v>20</v>
      </c>
      <c r="H1428" s="155">
        <v>5</v>
      </c>
      <c r="I1428" s="155">
        <v>1</v>
      </c>
      <c r="J1428" s="156" t="s">
        <v>213</v>
      </c>
      <c r="K1428" s="5"/>
      <c r="L1428" s="3"/>
      <c r="M1428" s="6"/>
      <c r="N1428" s="9"/>
      <c r="O1428" s="158">
        <v>100</v>
      </c>
      <c r="P1428" s="12"/>
      <c r="Q1428" s="12"/>
      <c r="R1428" s="12"/>
      <c r="S1428" s="12"/>
      <c r="T1428" s="12"/>
      <c r="U1428" s="12"/>
      <c r="V1428" s="12"/>
      <c r="W1428" s="12"/>
      <c r="X1428" s="12"/>
      <c r="Y1428" s="12"/>
      <c r="Z1428" s="12"/>
    </row>
    <row r="1429" spans="1:26" ht="14.25" customHeight="1" x14ac:dyDescent="0.3">
      <c r="A1429" s="155">
        <v>803</v>
      </c>
      <c r="B1429" s="156" t="s">
        <v>1622</v>
      </c>
      <c r="C1429" s="3"/>
      <c r="D1429" s="3"/>
      <c r="E1429" s="156" t="s">
        <v>854</v>
      </c>
      <c r="F1429" s="3"/>
      <c r="G1429" s="158">
        <v>61.75</v>
      </c>
      <c r="H1429" s="155">
        <v>3</v>
      </c>
      <c r="I1429" s="155">
        <v>12</v>
      </c>
      <c r="J1429" s="156" t="s">
        <v>39</v>
      </c>
      <c r="K1429" s="5"/>
      <c r="L1429" s="3"/>
      <c r="M1429" s="6"/>
      <c r="N1429" s="9"/>
      <c r="O1429" s="158">
        <v>185.25</v>
      </c>
      <c r="P1429" s="12"/>
      <c r="Q1429" s="12"/>
      <c r="R1429" s="12"/>
      <c r="S1429" s="12"/>
      <c r="T1429" s="12"/>
      <c r="U1429" s="12"/>
      <c r="V1429" s="12"/>
      <c r="W1429" s="12"/>
      <c r="X1429" s="12"/>
      <c r="Y1429" s="12"/>
      <c r="Z1429" s="12"/>
    </row>
    <row r="1430" spans="1:26" ht="14.25" customHeight="1" x14ac:dyDescent="0.3">
      <c r="A1430" s="155">
        <v>803</v>
      </c>
      <c r="B1430" s="156" t="s">
        <v>1622</v>
      </c>
      <c r="C1430" s="3"/>
      <c r="D1430" s="3"/>
      <c r="E1430" s="156" t="s">
        <v>1323</v>
      </c>
      <c r="F1430" s="3"/>
      <c r="G1430" s="158">
        <v>0</v>
      </c>
      <c r="H1430" s="155">
        <v>0</v>
      </c>
      <c r="I1430" s="155">
        <v>12</v>
      </c>
      <c r="J1430" s="156" t="s">
        <v>39</v>
      </c>
      <c r="K1430" s="5"/>
      <c r="L1430" s="3"/>
      <c r="M1430" s="6"/>
      <c r="N1430" s="9"/>
      <c r="O1430" s="158">
        <v>0</v>
      </c>
      <c r="P1430" s="12"/>
      <c r="Q1430" s="12"/>
      <c r="R1430" s="12"/>
      <c r="S1430" s="12"/>
      <c r="T1430" s="12"/>
      <c r="U1430" s="12"/>
      <c r="V1430" s="12"/>
      <c r="W1430" s="12"/>
      <c r="X1430" s="12"/>
      <c r="Y1430" s="12"/>
      <c r="Z1430" s="12"/>
    </row>
    <row r="1431" spans="1:26" ht="14.25" customHeight="1" x14ac:dyDescent="0.3">
      <c r="A1431" s="155">
        <v>804</v>
      </c>
      <c r="B1431" s="156" t="s">
        <v>1623</v>
      </c>
      <c r="C1431" s="3"/>
      <c r="D1431" s="3"/>
      <c r="E1431" s="156" t="s">
        <v>1624</v>
      </c>
      <c r="F1431" s="3"/>
      <c r="G1431" s="158">
        <v>100</v>
      </c>
      <c r="H1431" s="155">
        <v>1</v>
      </c>
      <c r="I1431" s="155">
        <v>1</v>
      </c>
      <c r="J1431" s="156" t="s">
        <v>213</v>
      </c>
      <c r="K1431" s="5"/>
      <c r="L1431" s="3"/>
      <c r="M1431" s="6"/>
      <c r="N1431" s="9"/>
      <c r="O1431" s="158">
        <v>100</v>
      </c>
      <c r="P1431" s="12"/>
      <c r="Q1431" s="12"/>
      <c r="R1431" s="12"/>
      <c r="S1431" s="12"/>
      <c r="T1431" s="12"/>
      <c r="U1431" s="12"/>
      <c r="V1431" s="12"/>
      <c r="W1431" s="12"/>
      <c r="X1431" s="12"/>
      <c r="Y1431" s="12"/>
      <c r="Z1431" s="12"/>
    </row>
    <row r="1432" spans="1:26" ht="14.25" customHeight="1" x14ac:dyDescent="0.3">
      <c r="A1432" s="155">
        <v>363</v>
      </c>
      <c r="B1432" s="156" t="s">
        <v>756</v>
      </c>
      <c r="C1432" s="3"/>
      <c r="D1432" s="3"/>
      <c r="E1432" s="156" t="s">
        <v>1625</v>
      </c>
      <c r="F1432" s="3"/>
      <c r="G1432" s="158">
        <v>3.99</v>
      </c>
      <c r="H1432" s="155">
        <v>342</v>
      </c>
      <c r="I1432" s="155">
        <v>8</v>
      </c>
      <c r="J1432" s="156" t="s">
        <v>39</v>
      </c>
      <c r="K1432" s="5"/>
      <c r="L1432" s="3"/>
      <c r="M1432" s="6"/>
      <c r="N1432" s="9"/>
      <c r="O1432" s="158">
        <v>1364.58</v>
      </c>
      <c r="P1432" s="12"/>
      <c r="Q1432" s="12"/>
      <c r="R1432" s="12"/>
      <c r="S1432" s="12"/>
      <c r="T1432" s="12"/>
      <c r="U1432" s="12"/>
      <c r="V1432" s="12"/>
      <c r="W1432" s="12"/>
      <c r="X1432" s="12"/>
      <c r="Y1432" s="12"/>
      <c r="Z1432" s="12"/>
    </row>
    <row r="1433" spans="1:26" ht="14.25" customHeight="1" x14ac:dyDescent="0.3">
      <c r="A1433" s="155">
        <v>805</v>
      </c>
      <c r="B1433" s="156" t="s">
        <v>1626</v>
      </c>
      <c r="C1433" s="3"/>
      <c r="D1433" s="3"/>
      <c r="E1433" s="156" t="s">
        <v>1627</v>
      </c>
      <c r="F1433" s="3"/>
      <c r="G1433" s="158">
        <v>83</v>
      </c>
      <c r="H1433" s="155">
        <v>1</v>
      </c>
      <c r="I1433" s="155">
        <v>250</v>
      </c>
      <c r="J1433" s="156" t="s">
        <v>39</v>
      </c>
      <c r="K1433" s="5"/>
      <c r="L1433" s="3"/>
      <c r="M1433" s="6"/>
      <c r="N1433" s="9"/>
      <c r="O1433" s="158">
        <v>83</v>
      </c>
      <c r="P1433" s="12"/>
      <c r="Q1433" s="12"/>
      <c r="R1433" s="12"/>
      <c r="S1433" s="12"/>
      <c r="T1433" s="12"/>
      <c r="U1433" s="12"/>
      <c r="V1433" s="12"/>
      <c r="W1433" s="12"/>
      <c r="X1433" s="12"/>
      <c r="Y1433" s="12"/>
      <c r="Z1433" s="12"/>
    </row>
    <row r="1434" spans="1:26" ht="14.25" customHeight="1" x14ac:dyDescent="0.3">
      <c r="A1434" s="155">
        <v>806</v>
      </c>
      <c r="B1434" s="156" t="s">
        <v>1628</v>
      </c>
      <c r="C1434" s="3"/>
      <c r="D1434" s="3"/>
      <c r="E1434" s="156"/>
      <c r="F1434" s="3"/>
      <c r="G1434" s="158">
        <v>220</v>
      </c>
      <c r="H1434" s="155">
        <v>3</v>
      </c>
      <c r="I1434" s="155">
        <v>1</v>
      </c>
      <c r="J1434" s="156" t="s">
        <v>213</v>
      </c>
      <c r="K1434" s="5"/>
      <c r="L1434" s="3"/>
      <c r="M1434" s="6"/>
      <c r="N1434" s="9"/>
      <c r="O1434" s="158">
        <v>660</v>
      </c>
      <c r="P1434" s="12"/>
      <c r="Q1434" s="12"/>
      <c r="R1434" s="12"/>
      <c r="S1434" s="12"/>
      <c r="T1434" s="12"/>
      <c r="U1434" s="12"/>
      <c r="V1434" s="12"/>
      <c r="W1434" s="12"/>
      <c r="X1434" s="12"/>
      <c r="Y1434" s="12"/>
      <c r="Z1434" s="12"/>
    </row>
    <row r="1435" spans="1:26" ht="14.25" customHeight="1" x14ac:dyDescent="0.3">
      <c r="A1435" s="155">
        <v>807</v>
      </c>
      <c r="B1435" s="156" t="s">
        <v>1629</v>
      </c>
      <c r="C1435" s="3"/>
      <c r="D1435" s="3"/>
      <c r="E1435" s="156" t="s">
        <v>1630</v>
      </c>
      <c r="F1435" s="3"/>
      <c r="G1435" s="158">
        <v>0</v>
      </c>
      <c r="H1435" s="155">
        <v>0</v>
      </c>
      <c r="I1435" s="155">
        <v>439</v>
      </c>
      <c r="J1435" s="156" t="s">
        <v>39</v>
      </c>
      <c r="K1435" s="5"/>
      <c r="L1435" s="3"/>
      <c r="M1435" s="6"/>
      <c r="N1435" s="9"/>
      <c r="O1435" s="158">
        <v>0</v>
      </c>
      <c r="P1435" s="12"/>
      <c r="Q1435" s="12"/>
      <c r="R1435" s="12"/>
      <c r="S1435" s="12"/>
      <c r="T1435" s="12"/>
      <c r="U1435" s="12"/>
      <c r="V1435" s="12"/>
      <c r="W1435" s="12"/>
      <c r="X1435" s="12"/>
      <c r="Y1435" s="12"/>
      <c r="Z1435" s="12"/>
    </row>
    <row r="1436" spans="1:26" ht="14.25" customHeight="1" x14ac:dyDescent="0.3">
      <c r="A1436" s="155">
        <v>364</v>
      </c>
      <c r="B1436" s="156" t="s">
        <v>758</v>
      </c>
      <c r="C1436" s="3"/>
      <c r="D1436" s="3"/>
      <c r="E1436" s="156" t="s">
        <v>1631</v>
      </c>
      <c r="F1436" s="3"/>
      <c r="G1436" s="158">
        <v>10</v>
      </c>
      <c r="H1436" s="155">
        <v>18</v>
      </c>
      <c r="I1436" s="155">
        <v>1</v>
      </c>
      <c r="J1436" s="156" t="s">
        <v>213</v>
      </c>
      <c r="K1436" s="5"/>
      <c r="L1436" s="3"/>
      <c r="M1436" s="6"/>
      <c r="N1436" s="9"/>
      <c r="O1436" s="158">
        <v>180</v>
      </c>
      <c r="P1436" s="12"/>
      <c r="Q1436" s="12"/>
      <c r="R1436" s="12"/>
      <c r="S1436" s="12"/>
      <c r="T1436" s="12"/>
      <c r="U1436" s="12"/>
      <c r="V1436" s="12"/>
      <c r="W1436" s="12"/>
      <c r="X1436" s="12"/>
      <c r="Y1436" s="12"/>
      <c r="Z1436" s="12"/>
    </row>
    <row r="1437" spans="1:26" ht="14.25" customHeight="1" x14ac:dyDescent="0.3">
      <c r="A1437" s="155">
        <v>808</v>
      </c>
      <c r="B1437" s="156" t="s">
        <v>1632</v>
      </c>
      <c r="C1437" s="3"/>
      <c r="D1437" s="3"/>
      <c r="E1437" s="156" t="s">
        <v>1633</v>
      </c>
      <c r="F1437" s="3"/>
      <c r="G1437" s="158">
        <v>15</v>
      </c>
      <c r="H1437" s="155">
        <v>5</v>
      </c>
      <c r="I1437" s="155">
        <v>250</v>
      </c>
      <c r="J1437" s="156" t="s">
        <v>39</v>
      </c>
      <c r="K1437" s="5"/>
      <c r="L1437" s="3"/>
      <c r="M1437" s="6"/>
      <c r="N1437" s="9"/>
      <c r="O1437" s="158">
        <v>75</v>
      </c>
      <c r="P1437" s="12"/>
      <c r="Q1437" s="12"/>
      <c r="R1437" s="12"/>
      <c r="S1437" s="12"/>
      <c r="T1437" s="12"/>
      <c r="U1437" s="12"/>
      <c r="V1437" s="12"/>
      <c r="W1437" s="12"/>
      <c r="X1437" s="12"/>
      <c r="Y1437" s="12"/>
      <c r="Z1437" s="12"/>
    </row>
    <row r="1438" spans="1:26" ht="14.25" customHeight="1" x14ac:dyDescent="0.3">
      <c r="A1438" s="155">
        <v>808</v>
      </c>
      <c r="B1438" s="156" t="s">
        <v>1632</v>
      </c>
      <c r="C1438" s="3"/>
      <c r="D1438" s="3"/>
      <c r="E1438" s="156" t="s">
        <v>1633</v>
      </c>
      <c r="F1438" s="3"/>
      <c r="G1438" s="158">
        <v>34.778260000000003</v>
      </c>
      <c r="H1438" s="155">
        <v>23</v>
      </c>
      <c r="I1438" s="155">
        <v>250</v>
      </c>
      <c r="J1438" s="156" t="s">
        <v>213</v>
      </c>
      <c r="K1438" s="5"/>
      <c r="L1438" s="3"/>
      <c r="M1438" s="6"/>
      <c r="N1438" s="9"/>
      <c r="O1438" s="158">
        <v>799.9</v>
      </c>
      <c r="P1438" s="12"/>
      <c r="Q1438" s="12"/>
      <c r="R1438" s="12"/>
      <c r="S1438" s="12"/>
      <c r="T1438" s="12"/>
      <c r="U1438" s="12"/>
      <c r="V1438" s="12"/>
      <c r="W1438" s="12"/>
      <c r="X1438" s="12"/>
      <c r="Y1438" s="12"/>
      <c r="Z1438" s="12"/>
    </row>
    <row r="1439" spans="1:26" ht="14.25" customHeight="1" x14ac:dyDescent="0.3">
      <c r="A1439" s="155">
        <v>808</v>
      </c>
      <c r="B1439" s="156" t="s">
        <v>1632</v>
      </c>
      <c r="C1439" s="3"/>
      <c r="D1439" s="3"/>
      <c r="E1439" s="156" t="s">
        <v>1352</v>
      </c>
      <c r="F1439" s="3"/>
      <c r="G1439" s="158">
        <v>25</v>
      </c>
      <c r="H1439" s="155">
        <v>30</v>
      </c>
      <c r="I1439" s="155">
        <v>250</v>
      </c>
      <c r="J1439" s="156" t="s">
        <v>39</v>
      </c>
      <c r="K1439" s="5"/>
      <c r="L1439" s="3"/>
      <c r="M1439" s="6"/>
      <c r="N1439" s="9"/>
      <c r="O1439" s="158">
        <v>750</v>
      </c>
      <c r="P1439" s="12"/>
      <c r="Q1439" s="12"/>
      <c r="R1439" s="12"/>
      <c r="S1439" s="12"/>
      <c r="T1439" s="12"/>
      <c r="U1439" s="12"/>
      <c r="V1439" s="12"/>
      <c r="W1439" s="12"/>
      <c r="X1439" s="12"/>
      <c r="Y1439" s="12"/>
      <c r="Z1439" s="12"/>
    </row>
    <row r="1440" spans="1:26" ht="14.25" customHeight="1" x14ac:dyDescent="0.3">
      <c r="A1440" s="155">
        <v>808</v>
      </c>
      <c r="B1440" s="156" t="s">
        <v>1632</v>
      </c>
      <c r="C1440" s="3"/>
      <c r="D1440" s="3"/>
      <c r="E1440" s="156" t="s">
        <v>1352</v>
      </c>
      <c r="F1440" s="3"/>
      <c r="G1440" s="158">
        <v>28</v>
      </c>
      <c r="H1440" s="155">
        <v>10</v>
      </c>
      <c r="I1440" s="155">
        <v>250</v>
      </c>
      <c r="J1440" s="156" t="s">
        <v>213</v>
      </c>
      <c r="K1440" s="5"/>
      <c r="L1440" s="3"/>
      <c r="M1440" s="6"/>
      <c r="N1440" s="9"/>
      <c r="O1440" s="158">
        <v>280</v>
      </c>
      <c r="P1440" s="12"/>
      <c r="Q1440" s="12"/>
      <c r="R1440" s="12"/>
      <c r="S1440" s="12"/>
      <c r="T1440" s="12"/>
      <c r="U1440" s="12"/>
      <c r="V1440" s="12"/>
      <c r="W1440" s="12"/>
      <c r="X1440" s="12"/>
      <c r="Y1440" s="12"/>
      <c r="Z1440" s="12"/>
    </row>
    <row r="1441" spans="1:26" ht="14.25" customHeight="1" x14ac:dyDescent="0.3">
      <c r="A1441" s="155">
        <v>365</v>
      </c>
      <c r="B1441" s="156" t="s">
        <v>282</v>
      </c>
      <c r="C1441" s="3"/>
      <c r="D1441" s="3"/>
      <c r="E1441" s="156"/>
      <c r="F1441" s="3"/>
      <c r="G1441" s="158">
        <v>25</v>
      </c>
      <c r="H1441" s="155">
        <v>28</v>
      </c>
      <c r="I1441" s="155">
        <v>1</v>
      </c>
      <c r="J1441" s="156" t="s">
        <v>213</v>
      </c>
      <c r="K1441" s="5"/>
      <c r="L1441" s="3"/>
      <c r="M1441" s="6"/>
      <c r="N1441" s="9"/>
      <c r="O1441" s="158">
        <v>700</v>
      </c>
      <c r="P1441" s="12"/>
      <c r="Q1441" s="12"/>
      <c r="R1441" s="12"/>
      <c r="S1441" s="12"/>
      <c r="T1441" s="12"/>
      <c r="U1441" s="12"/>
      <c r="V1441" s="12"/>
      <c r="W1441" s="12"/>
      <c r="X1441" s="12"/>
      <c r="Y1441" s="12"/>
      <c r="Z1441" s="12"/>
    </row>
    <row r="1442" spans="1:26" ht="14.25" customHeight="1" x14ac:dyDescent="0.3">
      <c r="A1442" s="155">
        <v>809</v>
      </c>
      <c r="B1442" s="156" t="s">
        <v>1634</v>
      </c>
      <c r="C1442" s="3"/>
      <c r="D1442" s="3"/>
      <c r="E1442" s="156" t="s">
        <v>1624</v>
      </c>
      <c r="F1442" s="3"/>
      <c r="G1442" s="158">
        <v>20</v>
      </c>
      <c r="H1442" s="155">
        <v>16</v>
      </c>
      <c r="I1442" s="155">
        <v>1</v>
      </c>
      <c r="J1442" s="156" t="s">
        <v>92</v>
      </c>
      <c r="K1442" s="5"/>
      <c r="L1442" s="3"/>
      <c r="M1442" s="6"/>
      <c r="N1442" s="9"/>
      <c r="O1442" s="158">
        <v>320</v>
      </c>
      <c r="P1442" s="12"/>
      <c r="Q1442" s="12"/>
      <c r="R1442" s="12"/>
      <c r="S1442" s="12"/>
      <c r="T1442" s="12"/>
      <c r="U1442" s="12"/>
      <c r="V1442" s="12"/>
      <c r="W1442" s="12"/>
      <c r="X1442" s="12"/>
      <c r="Y1442" s="12"/>
      <c r="Z1442" s="12"/>
    </row>
    <row r="1443" spans="1:26" ht="14.25" customHeight="1" x14ac:dyDescent="0.3">
      <c r="A1443" s="155">
        <v>810</v>
      </c>
      <c r="B1443" s="156" t="s">
        <v>1635</v>
      </c>
      <c r="C1443" s="3"/>
      <c r="D1443" s="3"/>
      <c r="E1443" s="156"/>
      <c r="F1443" s="3"/>
      <c r="G1443" s="158">
        <v>30</v>
      </c>
      <c r="H1443" s="155">
        <v>1</v>
      </c>
      <c r="I1443" s="155">
        <v>1</v>
      </c>
      <c r="J1443" s="156" t="s">
        <v>213</v>
      </c>
      <c r="K1443" s="5"/>
      <c r="L1443" s="3"/>
      <c r="M1443" s="6"/>
      <c r="N1443" s="9"/>
      <c r="O1443" s="158">
        <v>30</v>
      </c>
      <c r="P1443" s="12"/>
      <c r="Q1443" s="12"/>
      <c r="R1443" s="12"/>
      <c r="S1443" s="12"/>
      <c r="T1443" s="12"/>
      <c r="U1443" s="12"/>
      <c r="V1443" s="12"/>
      <c r="W1443" s="12"/>
      <c r="X1443" s="12"/>
      <c r="Y1443" s="12"/>
      <c r="Z1443" s="12"/>
    </row>
    <row r="1444" spans="1:26" ht="14.25" customHeight="1" x14ac:dyDescent="0.3">
      <c r="A1444" s="155">
        <v>811</v>
      </c>
      <c r="B1444" s="156" t="s">
        <v>1636</v>
      </c>
      <c r="C1444" s="3"/>
      <c r="D1444" s="3"/>
      <c r="E1444" s="156" t="s">
        <v>1637</v>
      </c>
      <c r="F1444" s="3"/>
      <c r="G1444" s="158">
        <v>90.5</v>
      </c>
      <c r="H1444" s="155">
        <v>3</v>
      </c>
      <c r="I1444" s="155">
        <v>1</v>
      </c>
      <c r="J1444" s="156" t="s">
        <v>1638</v>
      </c>
      <c r="K1444" s="5"/>
      <c r="L1444" s="3"/>
      <c r="M1444" s="6"/>
      <c r="N1444" s="9"/>
      <c r="O1444" s="158">
        <v>271.5</v>
      </c>
      <c r="P1444" s="12"/>
      <c r="Q1444" s="12"/>
      <c r="R1444" s="12"/>
      <c r="S1444" s="12"/>
      <c r="T1444" s="12"/>
      <c r="U1444" s="12"/>
      <c r="V1444" s="12"/>
      <c r="W1444" s="12"/>
      <c r="X1444" s="12"/>
      <c r="Y1444" s="12"/>
      <c r="Z1444" s="12"/>
    </row>
    <row r="1445" spans="1:26" ht="14.25" customHeight="1" x14ac:dyDescent="0.3">
      <c r="A1445" s="155">
        <v>812</v>
      </c>
      <c r="B1445" s="156" t="s">
        <v>1639</v>
      </c>
      <c r="C1445" s="3"/>
      <c r="D1445" s="3"/>
      <c r="E1445" s="156" t="s">
        <v>1640</v>
      </c>
      <c r="F1445" s="3"/>
      <c r="G1445" s="158">
        <v>6.07</v>
      </c>
      <c r="H1445" s="155">
        <v>23</v>
      </c>
      <c r="I1445" s="155">
        <v>1</v>
      </c>
      <c r="J1445" s="156" t="s">
        <v>92</v>
      </c>
      <c r="K1445" s="5"/>
      <c r="L1445" s="3"/>
      <c r="M1445" s="6"/>
      <c r="N1445" s="9"/>
      <c r="O1445" s="158">
        <v>139.61000000000001</v>
      </c>
      <c r="P1445" s="12"/>
      <c r="Q1445" s="12"/>
      <c r="R1445" s="12"/>
      <c r="S1445" s="12"/>
      <c r="T1445" s="12"/>
      <c r="U1445" s="12"/>
      <c r="V1445" s="12"/>
      <c r="W1445" s="12"/>
      <c r="X1445" s="12"/>
      <c r="Y1445" s="12"/>
      <c r="Z1445" s="12"/>
    </row>
    <row r="1446" spans="1:26" ht="14.25" customHeight="1" x14ac:dyDescent="0.3">
      <c r="A1446" s="155">
        <v>812</v>
      </c>
      <c r="B1446" s="156" t="s">
        <v>1639</v>
      </c>
      <c r="C1446" s="3"/>
      <c r="D1446" s="3"/>
      <c r="E1446" s="156" t="s">
        <v>1641</v>
      </c>
      <c r="F1446" s="3"/>
      <c r="G1446" s="158">
        <v>75.739999999999995</v>
      </c>
      <c r="H1446" s="155">
        <v>5</v>
      </c>
      <c r="I1446" s="155">
        <v>1</v>
      </c>
      <c r="J1446" s="156" t="s">
        <v>304</v>
      </c>
      <c r="K1446" s="5"/>
      <c r="L1446" s="3"/>
      <c r="M1446" s="6"/>
      <c r="N1446" s="9"/>
      <c r="O1446" s="158">
        <v>378.7</v>
      </c>
      <c r="P1446" s="12"/>
      <c r="Q1446" s="12"/>
      <c r="R1446" s="12"/>
      <c r="S1446" s="12"/>
      <c r="T1446" s="12"/>
      <c r="U1446" s="12"/>
      <c r="V1446" s="12"/>
      <c r="W1446" s="12"/>
      <c r="X1446" s="12"/>
      <c r="Y1446" s="12"/>
      <c r="Z1446" s="12"/>
    </row>
    <row r="1447" spans="1:26" ht="14.25" customHeight="1" x14ac:dyDescent="0.3">
      <c r="A1447" s="155">
        <v>813</v>
      </c>
      <c r="B1447" s="156" t="s">
        <v>1642</v>
      </c>
      <c r="C1447" s="3"/>
      <c r="D1447" s="3"/>
      <c r="E1447" s="156" t="s">
        <v>1643</v>
      </c>
      <c r="F1447" s="3"/>
      <c r="G1447" s="158">
        <v>12.8</v>
      </c>
      <c r="H1447" s="155">
        <v>16</v>
      </c>
      <c r="I1447" s="155">
        <v>1</v>
      </c>
      <c r="J1447" s="156" t="s">
        <v>92</v>
      </c>
      <c r="K1447" s="5"/>
      <c r="L1447" s="3"/>
      <c r="M1447" s="6"/>
      <c r="N1447" s="9"/>
      <c r="O1447" s="158">
        <v>204.8</v>
      </c>
      <c r="P1447" s="12"/>
      <c r="Q1447" s="12"/>
      <c r="R1447" s="12"/>
      <c r="S1447" s="12"/>
      <c r="T1447" s="12"/>
      <c r="U1447" s="12"/>
      <c r="V1447" s="12"/>
      <c r="W1447" s="12"/>
      <c r="X1447" s="12"/>
      <c r="Y1447" s="12"/>
      <c r="Z1447" s="12"/>
    </row>
    <row r="1448" spans="1:26" ht="14.25" customHeight="1" x14ac:dyDescent="0.3">
      <c r="A1448" s="155">
        <v>814</v>
      </c>
      <c r="B1448" s="156" t="s">
        <v>1644</v>
      </c>
      <c r="C1448" s="3"/>
      <c r="D1448" s="3"/>
      <c r="E1448" s="156"/>
      <c r="F1448" s="3"/>
      <c r="G1448" s="158">
        <v>320</v>
      </c>
      <c r="H1448" s="155">
        <v>1</v>
      </c>
      <c r="I1448" s="155">
        <v>1</v>
      </c>
      <c r="J1448" s="156" t="s">
        <v>213</v>
      </c>
      <c r="K1448" s="5"/>
      <c r="L1448" s="3"/>
      <c r="M1448" s="6"/>
      <c r="N1448" s="9"/>
      <c r="O1448" s="158">
        <v>320</v>
      </c>
      <c r="P1448" s="12"/>
      <c r="Q1448" s="12"/>
      <c r="R1448" s="12"/>
      <c r="S1448" s="12"/>
      <c r="T1448" s="12"/>
      <c r="U1448" s="12"/>
      <c r="V1448" s="12"/>
      <c r="W1448" s="12"/>
      <c r="X1448" s="12"/>
      <c r="Y1448" s="12"/>
      <c r="Z1448" s="12"/>
    </row>
    <row r="1449" spans="1:26" ht="14.25" customHeight="1" x14ac:dyDescent="0.3">
      <c r="A1449" s="155">
        <v>815</v>
      </c>
      <c r="B1449" s="156" t="s">
        <v>1645</v>
      </c>
      <c r="C1449" s="3"/>
      <c r="D1449" s="3"/>
      <c r="E1449" s="156" t="s">
        <v>1646</v>
      </c>
      <c r="F1449" s="3"/>
      <c r="G1449" s="158">
        <v>1</v>
      </c>
      <c r="H1449" s="155">
        <v>143</v>
      </c>
      <c r="I1449" s="155">
        <v>50</v>
      </c>
      <c r="J1449" s="156" t="s">
        <v>92</v>
      </c>
      <c r="K1449" s="5"/>
      <c r="L1449" s="3"/>
      <c r="M1449" s="6"/>
      <c r="N1449" s="9"/>
      <c r="O1449" s="158">
        <v>143</v>
      </c>
      <c r="P1449" s="12"/>
      <c r="Q1449" s="12"/>
      <c r="R1449" s="12"/>
      <c r="S1449" s="12"/>
      <c r="T1449" s="12"/>
      <c r="U1449" s="12"/>
      <c r="V1449" s="12"/>
      <c r="W1449" s="12"/>
      <c r="X1449" s="12"/>
      <c r="Y1449" s="12"/>
      <c r="Z1449" s="12"/>
    </row>
    <row r="1450" spans="1:26" ht="14.25" customHeight="1" x14ac:dyDescent="0.3">
      <c r="A1450" s="155">
        <v>816</v>
      </c>
      <c r="B1450" s="156" t="s">
        <v>1647</v>
      </c>
      <c r="C1450" s="3"/>
      <c r="D1450" s="3"/>
      <c r="E1450" s="156"/>
      <c r="F1450" s="3"/>
      <c r="G1450" s="158">
        <v>1</v>
      </c>
      <c r="H1450" s="155">
        <v>69</v>
      </c>
      <c r="I1450" s="155">
        <v>1</v>
      </c>
      <c r="J1450" s="156" t="s">
        <v>92</v>
      </c>
      <c r="K1450" s="5"/>
      <c r="L1450" s="3"/>
      <c r="M1450" s="6"/>
      <c r="N1450" s="9"/>
      <c r="O1450" s="158">
        <v>69</v>
      </c>
      <c r="P1450" s="12"/>
      <c r="Q1450" s="12"/>
      <c r="R1450" s="12"/>
      <c r="S1450" s="12"/>
      <c r="T1450" s="12"/>
      <c r="U1450" s="12"/>
      <c r="V1450" s="12"/>
      <c r="W1450" s="12"/>
      <c r="X1450" s="12"/>
      <c r="Y1450" s="12"/>
      <c r="Z1450" s="12"/>
    </row>
    <row r="1451" spans="1:26" ht="14.25" customHeight="1" x14ac:dyDescent="0.3">
      <c r="A1451" s="155">
        <v>817</v>
      </c>
      <c r="B1451" s="156" t="s">
        <v>1648</v>
      </c>
      <c r="C1451" s="3"/>
      <c r="D1451" s="3"/>
      <c r="E1451" s="156"/>
      <c r="F1451" s="3"/>
      <c r="G1451" s="158">
        <v>2</v>
      </c>
      <c r="H1451" s="155">
        <v>41</v>
      </c>
      <c r="I1451" s="155">
        <v>1</v>
      </c>
      <c r="J1451" s="156" t="s">
        <v>92</v>
      </c>
      <c r="K1451" s="5"/>
      <c r="L1451" s="3"/>
      <c r="M1451" s="6"/>
      <c r="N1451" s="9"/>
      <c r="O1451" s="158">
        <v>82</v>
      </c>
      <c r="P1451" s="12"/>
      <c r="Q1451" s="12"/>
      <c r="R1451" s="12"/>
      <c r="S1451" s="12"/>
      <c r="T1451" s="12"/>
      <c r="U1451" s="12"/>
      <c r="V1451" s="12"/>
      <c r="W1451" s="12"/>
      <c r="X1451" s="12"/>
      <c r="Y1451" s="12"/>
      <c r="Z1451" s="12"/>
    </row>
    <row r="1452" spans="1:26" ht="14.25" customHeight="1" x14ac:dyDescent="0.3">
      <c r="A1452" s="155">
        <v>818</v>
      </c>
      <c r="B1452" s="156" t="s">
        <v>1649</v>
      </c>
      <c r="C1452" s="3"/>
      <c r="D1452" s="3"/>
      <c r="E1452" s="156" t="s">
        <v>1412</v>
      </c>
      <c r="F1452" s="3"/>
      <c r="G1452" s="158">
        <v>48</v>
      </c>
      <c r="H1452" s="155">
        <v>2</v>
      </c>
      <c r="I1452" s="155">
        <v>130</v>
      </c>
      <c r="J1452" s="156" t="s">
        <v>32</v>
      </c>
      <c r="K1452" s="5"/>
      <c r="L1452" s="3"/>
      <c r="M1452" s="6"/>
      <c r="N1452" s="9"/>
      <c r="O1452" s="158">
        <v>96</v>
      </c>
      <c r="P1452" s="12"/>
      <c r="Q1452" s="12"/>
      <c r="R1452" s="12"/>
      <c r="S1452" s="12"/>
      <c r="T1452" s="12"/>
      <c r="U1452" s="12"/>
      <c r="V1452" s="12"/>
      <c r="W1452" s="12"/>
      <c r="X1452" s="12"/>
      <c r="Y1452" s="12"/>
      <c r="Z1452" s="12"/>
    </row>
    <row r="1453" spans="1:26" ht="14.25" customHeight="1" x14ac:dyDescent="0.3">
      <c r="A1453" s="155">
        <v>373</v>
      </c>
      <c r="B1453" s="156" t="s">
        <v>768</v>
      </c>
      <c r="C1453" s="3"/>
      <c r="D1453" s="3"/>
      <c r="E1453" s="156"/>
      <c r="F1453" s="3"/>
      <c r="G1453" s="158">
        <v>33</v>
      </c>
      <c r="H1453" s="155">
        <v>30</v>
      </c>
      <c r="I1453" s="155">
        <v>1</v>
      </c>
      <c r="J1453" s="156" t="s">
        <v>213</v>
      </c>
      <c r="K1453" s="5"/>
      <c r="L1453" s="3"/>
      <c r="M1453" s="6"/>
      <c r="N1453" s="9"/>
      <c r="O1453" s="158">
        <v>990</v>
      </c>
      <c r="P1453" s="12"/>
      <c r="Q1453" s="12"/>
      <c r="R1453" s="12"/>
      <c r="S1453" s="12"/>
      <c r="T1453" s="12"/>
      <c r="U1453" s="12"/>
      <c r="V1453" s="12"/>
      <c r="W1453" s="12"/>
      <c r="X1453" s="12"/>
      <c r="Y1453" s="12"/>
      <c r="Z1453" s="12"/>
    </row>
    <row r="1454" spans="1:26" ht="14.25" customHeight="1" x14ac:dyDescent="0.3">
      <c r="A1454" s="155">
        <v>373</v>
      </c>
      <c r="B1454" s="156" t="s">
        <v>768</v>
      </c>
      <c r="C1454" s="3"/>
      <c r="D1454" s="3"/>
      <c r="E1454" s="156" t="s">
        <v>1060</v>
      </c>
      <c r="F1454" s="3"/>
      <c r="G1454" s="158">
        <v>90</v>
      </c>
      <c r="H1454" s="155">
        <v>8</v>
      </c>
      <c r="I1454" s="155">
        <v>1</v>
      </c>
      <c r="J1454" s="156" t="s">
        <v>213</v>
      </c>
      <c r="K1454" s="5"/>
      <c r="L1454" s="3"/>
      <c r="M1454" s="6"/>
      <c r="N1454" s="9"/>
      <c r="O1454" s="158">
        <v>720</v>
      </c>
      <c r="P1454" s="12"/>
      <c r="Q1454" s="12"/>
      <c r="R1454" s="12"/>
      <c r="S1454" s="12"/>
      <c r="T1454" s="12"/>
      <c r="U1454" s="12"/>
      <c r="V1454" s="12"/>
      <c r="W1454" s="12"/>
      <c r="X1454" s="12"/>
      <c r="Y1454" s="12"/>
      <c r="Z1454" s="12"/>
    </row>
    <row r="1455" spans="1:26" ht="14.25" customHeight="1" x14ac:dyDescent="0.3">
      <c r="A1455" s="155">
        <v>819</v>
      </c>
      <c r="B1455" s="156" t="s">
        <v>1650</v>
      </c>
      <c r="C1455" s="3"/>
      <c r="D1455" s="3"/>
      <c r="E1455" s="156" t="s">
        <v>1272</v>
      </c>
      <c r="F1455" s="3"/>
      <c r="G1455" s="158">
        <v>28.832049999999999</v>
      </c>
      <c r="H1455" s="155">
        <v>39</v>
      </c>
      <c r="I1455" s="155">
        <v>1</v>
      </c>
      <c r="J1455" s="156" t="s">
        <v>92</v>
      </c>
      <c r="K1455" s="5"/>
      <c r="L1455" s="3"/>
      <c r="M1455" s="6"/>
      <c r="N1455" s="9"/>
      <c r="O1455" s="158">
        <v>1124.45</v>
      </c>
      <c r="P1455" s="12"/>
      <c r="Q1455" s="12"/>
      <c r="R1455" s="12"/>
      <c r="S1455" s="12"/>
      <c r="T1455" s="12"/>
      <c r="U1455" s="12"/>
      <c r="V1455" s="12"/>
      <c r="W1455" s="12"/>
      <c r="X1455" s="12"/>
      <c r="Y1455" s="12"/>
      <c r="Z1455" s="12"/>
    </row>
    <row r="1456" spans="1:26" ht="14.25" customHeight="1" x14ac:dyDescent="0.3">
      <c r="A1456" s="155">
        <v>820</v>
      </c>
      <c r="B1456" s="156" t="s">
        <v>1651</v>
      </c>
      <c r="C1456" s="3"/>
      <c r="D1456" s="3"/>
      <c r="E1456" s="156" t="s">
        <v>1652</v>
      </c>
      <c r="F1456" s="3"/>
      <c r="G1456" s="158">
        <v>85.5</v>
      </c>
      <c r="H1456" s="155">
        <v>1</v>
      </c>
      <c r="I1456" s="155">
        <v>250</v>
      </c>
      <c r="J1456" s="156" t="s">
        <v>39</v>
      </c>
      <c r="K1456" s="5"/>
      <c r="L1456" s="3"/>
      <c r="M1456" s="6"/>
      <c r="N1456" s="9"/>
      <c r="O1456" s="158">
        <v>85.5</v>
      </c>
      <c r="P1456" s="12"/>
      <c r="Q1456" s="12"/>
      <c r="R1456" s="12"/>
      <c r="S1456" s="12"/>
      <c r="T1456" s="12"/>
      <c r="U1456" s="12"/>
      <c r="V1456" s="12"/>
      <c r="W1456" s="12"/>
      <c r="X1456" s="12"/>
      <c r="Y1456" s="12"/>
      <c r="Z1456" s="12"/>
    </row>
    <row r="1457" spans="1:26" ht="14.25" customHeight="1" x14ac:dyDescent="0.3">
      <c r="A1457" s="155">
        <v>379</v>
      </c>
      <c r="B1457" s="156" t="s">
        <v>771</v>
      </c>
      <c r="C1457" s="3"/>
      <c r="D1457" s="3"/>
      <c r="E1457" s="156" t="s">
        <v>1102</v>
      </c>
      <c r="F1457" s="3"/>
      <c r="G1457" s="158">
        <v>0</v>
      </c>
      <c r="H1457" s="155">
        <v>0</v>
      </c>
      <c r="I1457" s="155">
        <v>410</v>
      </c>
      <c r="J1457" s="156" t="s">
        <v>32</v>
      </c>
      <c r="K1457" s="5"/>
      <c r="L1457" s="3"/>
      <c r="M1457" s="6"/>
      <c r="N1457" s="9"/>
      <c r="O1457" s="158">
        <v>0</v>
      </c>
      <c r="P1457" s="12"/>
      <c r="Q1457" s="12"/>
      <c r="R1457" s="12"/>
      <c r="S1457" s="12"/>
      <c r="T1457" s="12"/>
      <c r="U1457" s="12"/>
      <c r="V1457" s="12"/>
      <c r="W1457" s="12"/>
      <c r="X1457" s="12"/>
      <c r="Y1457" s="12"/>
      <c r="Z1457" s="12"/>
    </row>
    <row r="1458" spans="1:26" ht="14.25" customHeight="1" x14ac:dyDescent="0.3">
      <c r="A1458" s="155">
        <v>379</v>
      </c>
      <c r="B1458" s="156" t="s">
        <v>771</v>
      </c>
      <c r="C1458" s="3"/>
      <c r="D1458" s="3"/>
      <c r="E1458" s="156" t="s">
        <v>980</v>
      </c>
      <c r="F1458" s="3"/>
      <c r="G1458" s="158">
        <v>155</v>
      </c>
      <c r="H1458" s="155">
        <v>1</v>
      </c>
      <c r="I1458" s="155">
        <v>410</v>
      </c>
      <c r="J1458" s="156" t="s">
        <v>32</v>
      </c>
      <c r="K1458" s="5"/>
      <c r="L1458" s="3"/>
      <c r="M1458" s="6"/>
      <c r="N1458" s="9"/>
      <c r="O1458" s="158">
        <v>155</v>
      </c>
      <c r="P1458" s="12"/>
      <c r="Q1458" s="12"/>
      <c r="R1458" s="12"/>
      <c r="S1458" s="12"/>
      <c r="T1458" s="12"/>
      <c r="U1458" s="12"/>
      <c r="V1458" s="12"/>
      <c r="W1458" s="12"/>
      <c r="X1458" s="12"/>
      <c r="Y1458" s="12"/>
      <c r="Z1458" s="12"/>
    </row>
    <row r="1459" spans="1:26" ht="14.25" customHeight="1" x14ac:dyDescent="0.3">
      <c r="A1459" s="155">
        <v>821</v>
      </c>
      <c r="B1459" s="156" t="s">
        <v>1653</v>
      </c>
      <c r="C1459" s="3"/>
      <c r="D1459" s="3"/>
      <c r="E1459" s="156" t="s">
        <v>851</v>
      </c>
      <c r="F1459" s="3"/>
      <c r="G1459" s="158">
        <v>25</v>
      </c>
      <c r="H1459" s="155">
        <v>1</v>
      </c>
      <c r="I1459" s="155">
        <v>50</v>
      </c>
      <c r="J1459" s="156" t="s">
        <v>39</v>
      </c>
      <c r="K1459" s="5"/>
      <c r="L1459" s="3"/>
      <c r="M1459" s="6"/>
      <c r="N1459" s="9"/>
      <c r="O1459" s="158">
        <v>25</v>
      </c>
      <c r="P1459" s="12"/>
      <c r="Q1459" s="12"/>
      <c r="R1459" s="12"/>
      <c r="S1459" s="12"/>
      <c r="T1459" s="12"/>
      <c r="U1459" s="12"/>
      <c r="V1459" s="12"/>
      <c r="W1459" s="12"/>
      <c r="X1459" s="12"/>
      <c r="Y1459" s="12"/>
      <c r="Z1459" s="12"/>
    </row>
    <row r="1460" spans="1:26" ht="14.25" customHeight="1" x14ac:dyDescent="0.3">
      <c r="A1460" s="155">
        <v>821</v>
      </c>
      <c r="B1460" s="156" t="s">
        <v>1653</v>
      </c>
      <c r="C1460" s="3"/>
      <c r="D1460" s="3"/>
      <c r="E1460" s="156" t="s">
        <v>962</v>
      </c>
      <c r="F1460" s="3"/>
      <c r="G1460" s="158">
        <v>300</v>
      </c>
      <c r="H1460" s="155">
        <v>1</v>
      </c>
      <c r="I1460" s="155">
        <v>50</v>
      </c>
      <c r="J1460" s="156" t="s">
        <v>213</v>
      </c>
      <c r="K1460" s="5"/>
      <c r="L1460" s="3"/>
      <c r="M1460" s="6"/>
      <c r="N1460" s="9"/>
      <c r="O1460" s="158">
        <v>300</v>
      </c>
      <c r="P1460" s="12"/>
      <c r="Q1460" s="12"/>
      <c r="R1460" s="12"/>
      <c r="S1460" s="12"/>
      <c r="T1460" s="12"/>
      <c r="U1460" s="12"/>
      <c r="V1460" s="12"/>
      <c r="W1460" s="12"/>
      <c r="X1460" s="12"/>
      <c r="Y1460" s="12"/>
      <c r="Z1460" s="12"/>
    </row>
    <row r="1461" spans="1:26" ht="14.25" customHeight="1" x14ac:dyDescent="0.3">
      <c r="A1461" s="155">
        <v>822</v>
      </c>
      <c r="B1461" s="156" t="s">
        <v>1654</v>
      </c>
      <c r="C1461" s="3"/>
      <c r="D1461" s="3"/>
      <c r="E1461" s="156" t="s">
        <v>1655</v>
      </c>
      <c r="F1461" s="3"/>
      <c r="G1461" s="158">
        <v>6.1550000000000002</v>
      </c>
      <c r="H1461" s="155">
        <v>32</v>
      </c>
      <c r="I1461" s="155">
        <v>13.5</v>
      </c>
      <c r="J1461" s="156" t="s">
        <v>32</v>
      </c>
      <c r="K1461" s="5"/>
      <c r="L1461" s="3"/>
      <c r="M1461" s="6"/>
      <c r="N1461" s="9"/>
      <c r="O1461" s="158">
        <v>196.96</v>
      </c>
      <c r="P1461" s="12"/>
      <c r="Q1461" s="12"/>
      <c r="R1461" s="12"/>
      <c r="S1461" s="12"/>
      <c r="T1461" s="12"/>
      <c r="U1461" s="12"/>
      <c r="V1461" s="12"/>
      <c r="W1461" s="12"/>
      <c r="X1461" s="12"/>
      <c r="Y1461" s="12"/>
      <c r="Z1461" s="12"/>
    </row>
    <row r="1462" spans="1:26" ht="14.25" customHeight="1" x14ac:dyDescent="0.3">
      <c r="A1462" s="155">
        <v>823</v>
      </c>
      <c r="B1462" s="156" t="s">
        <v>1656</v>
      </c>
      <c r="C1462" s="3"/>
      <c r="D1462" s="3"/>
      <c r="E1462" s="156" t="s">
        <v>1042</v>
      </c>
      <c r="F1462" s="3"/>
      <c r="G1462" s="158">
        <v>44.633330000000001</v>
      </c>
      <c r="H1462" s="155">
        <v>3</v>
      </c>
      <c r="I1462" s="155">
        <v>156</v>
      </c>
      <c r="J1462" s="156" t="s">
        <v>519</v>
      </c>
      <c r="K1462" s="5"/>
      <c r="L1462" s="3"/>
      <c r="M1462" s="6"/>
      <c r="N1462" s="9"/>
      <c r="O1462" s="158">
        <v>133.9</v>
      </c>
      <c r="P1462" s="12"/>
      <c r="Q1462" s="12"/>
      <c r="R1462" s="12"/>
      <c r="S1462" s="12"/>
      <c r="T1462" s="12"/>
      <c r="U1462" s="12"/>
      <c r="V1462" s="12"/>
      <c r="W1462" s="12"/>
      <c r="X1462" s="12"/>
      <c r="Y1462" s="12"/>
      <c r="Z1462" s="12"/>
    </row>
    <row r="1463" spans="1:26" ht="14.25" customHeight="1" x14ac:dyDescent="0.3">
      <c r="A1463" s="155">
        <v>824</v>
      </c>
      <c r="B1463" s="156" t="s">
        <v>1657</v>
      </c>
      <c r="C1463" s="3"/>
      <c r="D1463" s="3"/>
      <c r="E1463" s="156" t="s">
        <v>1658</v>
      </c>
      <c r="F1463" s="3"/>
      <c r="G1463" s="158">
        <v>57.25</v>
      </c>
      <c r="H1463" s="155">
        <v>2</v>
      </c>
      <c r="I1463" s="155">
        <v>285</v>
      </c>
      <c r="J1463" s="156" t="s">
        <v>32</v>
      </c>
      <c r="K1463" s="5"/>
      <c r="L1463" s="3"/>
      <c r="M1463" s="6"/>
      <c r="N1463" s="9"/>
      <c r="O1463" s="158">
        <v>114.5</v>
      </c>
      <c r="P1463" s="12"/>
      <c r="Q1463" s="12"/>
      <c r="R1463" s="12"/>
      <c r="S1463" s="12"/>
      <c r="T1463" s="12"/>
      <c r="U1463" s="12"/>
      <c r="V1463" s="12"/>
      <c r="W1463" s="12"/>
      <c r="X1463" s="12"/>
      <c r="Y1463" s="12"/>
      <c r="Z1463" s="12"/>
    </row>
    <row r="1464" spans="1:26" ht="14.25" customHeight="1" x14ac:dyDescent="0.3">
      <c r="A1464" s="155">
        <v>825</v>
      </c>
      <c r="B1464" s="156" t="s">
        <v>1659</v>
      </c>
      <c r="C1464" s="3"/>
      <c r="D1464" s="3"/>
      <c r="E1464" s="156"/>
      <c r="F1464" s="3"/>
      <c r="G1464" s="158">
        <v>420</v>
      </c>
      <c r="H1464" s="155">
        <v>2</v>
      </c>
      <c r="I1464" s="155">
        <v>1</v>
      </c>
      <c r="J1464" s="156" t="s">
        <v>213</v>
      </c>
      <c r="K1464" s="5"/>
      <c r="L1464" s="3"/>
      <c r="M1464" s="6"/>
      <c r="N1464" s="9"/>
      <c r="O1464" s="158">
        <v>840</v>
      </c>
      <c r="P1464" s="12"/>
      <c r="Q1464" s="12"/>
      <c r="R1464" s="12"/>
      <c r="S1464" s="12"/>
      <c r="T1464" s="12"/>
      <c r="U1464" s="12"/>
      <c r="V1464" s="12"/>
      <c r="W1464" s="12"/>
      <c r="X1464" s="12"/>
      <c r="Y1464" s="12"/>
      <c r="Z1464" s="12"/>
    </row>
    <row r="1465" spans="1:26" ht="14.25" customHeight="1" x14ac:dyDescent="0.3">
      <c r="A1465" s="155">
        <v>826</v>
      </c>
      <c r="B1465" s="156" t="s">
        <v>1660</v>
      </c>
      <c r="C1465" s="3"/>
      <c r="D1465" s="3"/>
      <c r="E1465" s="156"/>
      <c r="F1465" s="3"/>
      <c r="G1465" s="158">
        <v>0</v>
      </c>
      <c r="H1465" s="155">
        <v>0</v>
      </c>
      <c r="I1465" s="155">
        <v>1</v>
      </c>
      <c r="J1465" s="156" t="s">
        <v>213</v>
      </c>
      <c r="K1465" s="5"/>
      <c r="L1465" s="3"/>
      <c r="M1465" s="6"/>
      <c r="N1465" s="9"/>
      <c r="O1465" s="158">
        <v>0</v>
      </c>
      <c r="P1465" s="12"/>
      <c r="Q1465" s="12"/>
      <c r="R1465" s="12"/>
      <c r="S1465" s="12"/>
      <c r="T1465" s="12"/>
      <c r="U1465" s="12"/>
      <c r="V1465" s="12"/>
      <c r="W1465" s="12"/>
      <c r="X1465" s="12"/>
      <c r="Y1465" s="12"/>
      <c r="Z1465" s="12"/>
    </row>
    <row r="1466" spans="1:26" ht="14.25" customHeight="1" x14ac:dyDescent="0.3">
      <c r="A1466" s="155">
        <v>827</v>
      </c>
      <c r="B1466" s="156" t="s">
        <v>1661</v>
      </c>
      <c r="C1466" s="3"/>
      <c r="D1466" s="3"/>
      <c r="E1466" s="156" t="s">
        <v>1662</v>
      </c>
      <c r="F1466" s="3"/>
      <c r="G1466" s="158">
        <v>0</v>
      </c>
      <c r="H1466" s="155">
        <v>0</v>
      </c>
      <c r="I1466" s="155">
        <v>1000</v>
      </c>
      <c r="J1466" s="156" t="s">
        <v>213</v>
      </c>
      <c r="K1466" s="5"/>
      <c r="L1466" s="3"/>
      <c r="M1466" s="6"/>
      <c r="N1466" s="9"/>
      <c r="O1466" s="158">
        <v>0</v>
      </c>
      <c r="P1466" s="12"/>
      <c r="Q1466" s="12"/>
      <c r="R1466" s="12"/>
      <c r="S1466" s="12"/>
      <c r="T1466" s="12"/>
      <c r="U1466" s="12"/>
      <c r="V1466" s="12"/>
      <c r="W1466" s="12"/>
      <c r="X1466" s="12"/>
      <c r="Y1466" s="12"/>
      <c r="Z1466" s="12"/>
    </row>
    <row r="1467" spans="1:26" ht="14.25" customHeight="1" x14ac:dyDescent="0.3">
      <c r="A1467" s="155">
        <v>827</v>
      </c>
      <c r="B1467" s="156" t="s">
        <v>1661</v>
      </c>
      <c r="C1467" s="3"/>
      <c r="D1467" s="3"/>
      <c r="E1467" s="156"/>
      <c r="F1467" s="3"/>
      <c r="G1467" s="158">
        <v>865</v>
      </c>
      <c r="H1467" s="155">
        <v>2</v>
      </c>
      <c r="I1467" s="155">
        <v>1000</v>
      </c>
      <c r="J1467" s="156" t="s">
        <v>213</v>
      </c>
      <c r="K1467" s="5"/>
      <c r="L1467" s="3"/>
      <c r="M1467" s="6"/>
      <c r="N1467" s="9"/>
      <c r="O1467" s="158">
        <v>1730</v>
      </c>
      <c r="P1467" s="12"/>
      <c r="Q1467" s="12"/>
      <c r="R1467" s="12"/>
      <c r="S1467" s="12"/>
      <c r="T1467" s="12"/>
      <c r="U1467" s="12"/>
      <c r="V1467" s="12"/>
      <c r="W1467" s="12"/>
      <c r="X1467" s="12"/>
      <c r="Y1467" s="12"/>
      <c r="Z1467" s="12"/>
    </row>
    <row r="1468" spans="1:26" ht="14.25" customHeight="1" x14ac:dyDescent="0.3">
      <c r="A1468" s="155">
        <v>828</v>
      </c>
      <c r="B1468" s="156" t="s">
        <v>1663</v>
      </c>
      <c r="C1468" s="3"/>
      <c r="D1468" s="3"/>
      <c r="E1468" s="156"/>
      <c r="F1468" s="3"/>
      <c r="G1468" s="158">
        <v>115</v>
      </c>
      <c r="H1468" s="155">
        <v>1</v>
      </c>
      <c r="I1468" s="155">
        <v>1</v>
      </c>
      <c r="J1468" s="156" t="s">
        <v>213</v>
      </c>
      <c r="K1468" s="5"/>
      <c r="L1468" s="3"/>
      <c r="M1468" s="6"/>
      <c r="N1468" s="9"/>
      <c r="O1468" s="158">
        <v>115</v>
      </c>
      <c r="P1468" s="12"/>
      <c r="Q1468" s="12"/>
      <c r="R1468" s="12"/>
      <c r="S1468" s="12"/>
      <c r="T1468" s="12"/>
      <c r="U1468" s="12"/>
      <c r="V1468" s="12"/>
      <c r="W1468" s="12"/>
      <c r="X1468" s="12"/>
      <c r="Y1468" s="12"/>
      <c r="Z1468" s="12"/>
    </row>
    <row r="1469" spans="1:26" ht="14.25" customHeight="1" x14ac:dyDescent="0.3">
      <c r="A1469" s="155">
        <v>829</v>
      </c>
      <c r="B1469" s="156" t="s">
        <v>1664</v>
      </c>
      <c r="C1469" s="3"/>
      <c r="D1469" s="3"/>
      <c r="E1469" s="156" t="s">
        <v>1412</v>
      </c>
      <c r="F1469" s="3"/>
      <c r="G1469" s="158">
        <v>14.4</v>
      </c>
      <c r="H1469" s="155">
        <v>13</v>
      </c>
      <c r="I1469" s="155">
        <v>25</v>
      </c>
      <c r="J1469" s="156" t="s">
        <v>39</v>
      </c>
      <c r="K1469" s="5"/>
      <c r="L1469" s="3"/>
      <c r="M1469" s="6"/>
      <c r="N1469" s="9"/>
      <c r="O1469" s="158">
        <v>187.2</v>
      </c>
      <c r="P1469" s="12"/>
      <c r="Q1469" s="12"/>
      <c r="R1469" s="12"/>
      <c r="S1469" s="12"/>
      <c r="T1469" s="12"/>
      <c r="U1469" s="12"/>
      <c r="V1469" s="12"/>
      <c r="W1469" s="12"/>
      <c r="X1469" s="12"/>
      <c r="Y1469" s="12"/>
      <c r="Z1469" s="12"/>
    </row>
    <row r="1470" spans="1:26" ht="14.25" customHeight="1" x14ac:dyDescent="0.3">
      <c r="A1470" s="155">
        <v>829</v>
      </c>
      <c r="B1470" s="156" t="s">
        <v>1664</v>
      </c>
      <c r="C1470" s="3"/>
      <c r="D1470" s="3"/>
      <c r="E1470" s="156" t="s">
        <v>987</v>
      </c>
      <c r="F1470" s="3"/>
      <c r="G1470" s="158">
        <v>14</v>
      </c>
      <c r="H1470" s="155">
        <v>12</v>
      </c>
      <c r="I1470" s="155">
        <v>25</v>
      </c>
      <c r="J1470" s="156" t="s">
        <v>39</v>
      </c>
      <c r="K1470" s="5"/>
      <c r="L1470" s="3"/>
      <c r="M1470" s="6"/>
      <c r="N1470" s="9"/>
      <c r="O1470" s="158">
        <v>168</v>
      </c>
      <c r="P1470" s="12"/>
      <c r="Q1470" s="12"/>
      <c r="R1470" s="12"/>
      <c r="S1470" s="12"/>
      <c r="T1470" s="12"/>
      <c r="U1470" s="12"/>
      <c r="V1470" s="12"/>
      <c r="W1470" s="12"/>
      <c r="X1470" s="12"/>
      <c r="Y1470" s="12"/>
      <c r="Z1470" s="12"/>
    </row>
    <row r="1471" spans="1:26" ht="14.25" customHeight="1" x14ac:dyDescent="0.3">
      <c r="A1471" s="155">
        <v>382</v>
      </c>
      <c r="B1471" s="156" t="s">
        <v>775</v>
      </c>
      <c r="C1471" s="3"/>
      <c r="D1471" s="3"/>
      <c r="E1471" s="156" t="s">
        <v>1412</v>
      </c>
      <c r="F1471" s="3"/>
      <c r="G1471" s="158">
        <v>24.405190000000001</v>
      </c>
      <c r="H1471" s="155">
        <v>54</v>
      </c>
      <c r="I1471" s="155">
        <v>25</v>
      </c>
      <c r="J1471" s="156" t="s">
        <v>39</v>
      </c>
      <c r="K1471" s="5"/>
      <c r="L1471" s="3"/>
      <c r="M1471" s="6"/>
      <c r="N1471" s="9"/>
      <c r="O1471" s="158">
        <v>1317.88</v>
      </c>
      <c r="P1471" s="12"/>
      <c r="Q1471" s="12"/>
      <c r="R1471" s="12"/>
      <c r="S1471" s="12"/>
      <c r="T1471" s="12"/>
      <c r="U1471" s="12"/>
      <c r="V1471" s="12"/>
      <c r="W1471" s="12"/>
      <c r="X1471" s="12"/>
      <c r="Y1471" s="12"/>
      <c r="Z1471" s="12"/>
    </row>
    <row r="1472" spans="1:26" ht="14.25" customHeight="1" x14ac:dyDescent="0.3">
      <c r="A1472" s="155">
        <v>382</v>
      </c>
      <c r="B1472" s="156" t="s">
        <v>775</v>
      </c>
      <c r="C1472" s="3"/>
      <c r="D1472" s="3"/>
      <c r="E1472" s="156" t="s">
        <v>987</v>
      </c>
      <c r="F1472" s="3"/>
      <c r="G1472" s="158">
        <v>28.071670000000001</v>
      </c>
      <c r="H1472" s="155">
        <v>60</v>
      </c>
      <c r="I1472" s="155">
        <v>25</v>
      </c>
      <c r="J1472" s="156" t="s">
        <v>39</v>
      </c>
      <c r="K1472" s="5"/>
      <c r="L1472" s="3"/>
      <c r="M1472" s="6"/>
      <c r="N1472" s="9"/>
      <c r="O1472" s="158">
        <v>1684.3</v>
      </c>
      <c r="P1472" s="12"/>
      <c r="Q1472" s="12"/>
      <c r="R1472" s="12"/>
      <c r="S1472" s="12"/>
      <c r="T1472" s="12"/>
      <c r="U1472" s="12"/>
      <c r="V1472" s="12"/>
      <c r="W1472" s="12"/>
      <c r="X1472" s="12"/>
      <c r="Y1472" s="12"/>
      <c r="Z1472" s="12"/>
    </row>
    <row r="1473" spans="1:26" ht="14.25" customHeight="1" x14ac:dyDescent="0.3">
      <c r="A1473" s="155">
        <v>830</v>
      </c>
      <c r="B1473" s="156" t="s">
        <v>1665</v>
      </c>
      <c r="C1473" s="3"/>
      <c r="D1473" s="3"/>
      <c r="E1473" s="156" t="s">
        <v>1666</v>
      </c>
      <c r="F1473" s="3"/>
      <c r="G1473" s="158">
        <v>140</v>
      </c>
      <c r="H1473" s="155">
        <v>1</v>
      </c>
      <c r="I1473" s="155">
        <v>1</v>
      </c>
      <c r="J1473" s="156" t="s">
        <v>213</v>
      </c>
      <c r="K1473" s="5"/>
      <c r="L1473" s="3"/>
      <c r="M1473" s="6"/>
      <c r="N1473" s="9"/>
      <c r="O1473" s="158">
        <v>140</v>
      </c>
      <c r="P1473" s="12"/>
      <c r="Q1473" s="12"/>
      <c r="R1473" s="12"/>
      <c r="S1473" s="12"/>
      <c r="T1473" s="12"/>
      <c r="U1473" s="12"/>
      <c r="V1473" s="12"/>
      <c r="W1473" s="12"/>
      <c r="X1473" s="12"/>
      <c r="Y1473" s="12"/>
      <c r="Z1473" s="12"/>
    </row>
    <row r="1474" spans="1:26" ht="14.25" customHeight="1" x14ac:dyDescent="0.3">
      <c r="A1474" s="155">
        <v>830</v>
      </c>
      <c r="B1474" s="156" t="s">
        <v>1665</v>
      </c>
      <c r="C1474" s="3"/>
      <c r="D1474" s="3"/>
      <c r="E1474" s="156"/>
      <c r="F1474" s="3"/>
      <c r="G1474" s="158">
        <v>250</v>
      </c>
      <c r="H1474" s="155">
        <v>4</v>
      </c>
      <c r="I1474" s="155">
        <v>1</v>
      </c>
      <c r="J1474" s="156" t="s">
        <v>92</v>
      </c>
      <c r="K1474" s="5"/>
      <c r="L1474" s="3"/>
      <c r="M1474" s="6"/>
      <c r="N1474" s="9"/>
      <c r="O1474" s="158">
        <v>1000</v>
      </c>
      <c r="P1474" s="12"/>
      <c r="Q1474" s="12"/>
      <c r="R1474" s="12"/>
      <c r="S1474" s="12"/>
      <c r="T1474" s="12"/>
      <c r="U1474" s="12"/>
      <c r="V1474" s="12"/>
      <c r="W1474" s="12"/>
      <c r="X1474" s="12"/>
      <c r="Y1474" s="12"/>
      <c r="Z1474" s="12"/>
    </row>
    <row r="1475" spans="1:26" ht="14.25" customHeight="1" x14ac:dyDescent="0.3">
      <c r="A1475" s="155">
        <v>831</v>
      </c>
      <c r="B1475" s="156" t="s">
        <v>1667</v>
      </c>
      <c r="C1475" s="3"/>
      <c r="D1475" s="3"/>
      <c r="E1475" s="156"/>
      <c r="F1475" s="3"/>
      <c r="G1475" s="158">
        <v>40</v>
      </c>
      <c r="H1475" s="155">
        <v>10</v>
      </c>
      <c r="I1475" s="155">
        <v>1000</v>
      </c>
      <c r="J1475" s="156" t="s">
        <v>39</v>
      </c>
      <c r="K1475" s="5"/>
      <c r="L1475" s="3"/>
      <c r="M1475" s="6"/>
      <c r="N1475" s="9"/>
      <c r="O1475" s="158">
        <v>400</v>
      </c>
      <c r="P1475" s="12"/>
      <c r="Q1475" s="12"/>
      <c r="R1475" s="12"/>
      <c r="S1475" s="12"/>
      <c r="T1475" s="12"/>
      <c r="U1475" s="12"/>
      <c r="V1475" s="12"/>
      <c r="W1475" s="12"/>
      <c r="X1475" s="12"/>
      <c r="Y1475" s="12"/>
      <c r="Z1475" s="12"/>
    </row>
    <row r="1476" spans="1:26" ht="14.25" customHeight="1" x14ac:dyDescent="0.3">
      <c r="A1476" s="155">
        <v>832</v>
      </c>
      <c r="B1476" s="156" t="s">
        <v>1668</v>
      </c>
      <c r="C1476" s="3"/>
      <c r="D1476" s="3"/>
      <c r="E1476" s="156" t="s">
        <v>1101</v>
      </c>
      <c r="F1476" s="3"/>
      <c r="G1476" s="158">
        <v>70</v>
      </c>
      <c r="H1476" s="155">
        <v>5</v>
      </c>
      <c r="I1476" s="155">
        <v>360</v>
      </c>
      <c r="J1476" s="156" t="s">
        <v>39</v>
      </c>
      <c r="K1476" s="5"/>
      <c r="L1476" s="3"/>
      <c r="M1476" s="6"/>
      <c r="N1476" s="9"/>
      <c r="O1476" s="158">
        <v>350</v>
      </c>
      <c r="P1476" s="12"/>
      <c r="Q1476" s="12"/>
      <c r="R1476" s="12"/>
      <c r="S1476" s="12"/>
      <c r="T1476" s="12"/>
      <c r="U1476" s="12"/>
      <c r="V1476" s="12"/>
      <c r="W1476" s="12"/>
      <c r="X1476" s="12"/>
      <c r="Y1476" s="12"/>
      <c r="Z1476" s="12"/>
    </row>
    <row r="1477" spans="1:26" ht="14.25" customHeight="1" x14ac:dyDescent="0.3">
      <c r="A1477" s="155">
        <v>832</v>
      </c>
      <c r="B1477" s="156" t="s">
        <v>1668</v>
      </c>
      <c r="C1477" s="3"/>
      <c r="D1477" s="3"/>
      <c r="E1477" s="156" t="s">
        <v>1669</v>
      </c>
      <c r="F1477" s="3"/>
      <c r="G1477" s="158">
        <v>285</v>
      </c>
      <c r="H1477" s="155">
        <v>1</v>
      </c>
      <c r="I1477" s="155">
        <v>360</v>
      </c>
      <c r="J1477" s="156" t="s">
        <v>39</v>
      </c>
      <c r="K1477" s="5"/>
      <c r="L1477" s="3"/>
      <c r="M1477" s="6"/>
      <c r="N1477" s="9"/>
      <c r="O1477" s="158">
        <v>285</v>
      </c>
      <c r="P1477" s="12"/>
      <c r="Q1477" s="12"/>
      <c r="R1477" s="12"/>
      <c r="S1477" s="12"/>
      <c r="T1477" s="12"/>
      <c r="U1477" s="12"/>
      <c r="V1477" s="12"/>
      <c r="W1477" s="12"/>
      <c r="X1477" s="12"/>
      <c r="Y1477" s="12"/>
      <c r="Z1477" s="12"/>
    </row>
    <row r="1478" spans="1:26" ht="14.25" customHeight="1" x14ac:dyDescent="0.3">
      <c r="A1478" s="155">
        <v>832</v>
      </c>
      <c r="B1478" s="156" t="s">
        <v>1668</v>
      </c>
      <c r="C1478" s="3"/>
      <c r="D1478" s="3"/>
      <c r="E1478" s="156" t="s">
        <v>1098</v>
      </c>
      <c r="F1478" s="3"/>
      <c r="G1478" s="158">
        <v>70</v>
      </c>
      <c r="H1478" s="155">
        <v>1</v>
      </c>
      <c r="I1478" s="155">
        <v>360</v>
      </c>
      <c r="J1478" s="156" t="s">
        <v>39</v>
      </c>
      <c r="K1478" s="5"/>
      <c r="L1478" s="3"/>
      <c r="M1478" s="6"/>
      <c r="N1478" s="9"/>
      <c r="O1478" s="158">
        <v>70</v>
      </c>
      <c r="P1478" s="12"/>
      <c r="Q1478" s="12"/>
      <c r="R1478" s="12"/>
      <c r="S1478" s="12"/>
      <c r="T1478" s="12"/>
      <c r="U1478" s="12"/>
      <c r="V1478" s="12"/>
      <c r="W1478" s="12"/>
      <c r="X1478" s="12"/>
      <c r="Y1478" s="12"/>
      <c r="Z1478" s="12"/>
    </row>
    <row r="1479" spans="1:26" ht="14.25" customHeight="1" x14ac:dyDescent="0.3">
      <c r="A1479" s="155">
        <v>833</v>
      </c>
      <c r="B1479" s="156" t="s">
        <v>1670</v>
      </c>
      <c r="C1479" s="3"/>
      <c r="D1479" s="3"/>
      <c r="E1479" s="156" t="s">
        <v>1087</v>
      </c>
      <c r="F1479" s="3"/>
      <c r="G1479" s="158">
        <v>77</v>
      </c>
      <c r="H1479" s="155">
        <v>7</v>
      </c>
      <c r="I1479" s="155">
        <v>250</v>
      </c>
      <c r="J1479" s="156" t="s">
        <v>39</v>
      </c>
      <c r="K1479" s="5"/>
      <c r="L1479" s="3"/>
      <c r="M1479" s="6"/>
      <c r="N1479" s="9"/>
      <c r="O1479" s="158">
        <v>539</v>
      </c>
      <c r="P1479" s="12"/>
      <c r="Q1479" s="12"/>
      <c r="R1479" s="12"/>
      <c r="S1479" s="12"/>
      <c r="T1479" s="12"/>
      <c r="U1479" s="12"/>
      <c r="V1479" s="12"/>
      <c r="W1479" s="12"/>
      <c r="X1479" s="12"/>
      <c r="Y1479" s="12"/>
      <c r="Z1479" s="12"/>
    </row>
    <row r="1480" spans="1:26" ht="14.25" customHeight="1" x14ac:dyDescent="0.3">
      <c r="A1480" s="155">
        <v>833</v>
      </c>
      <c r="B1480" s="156" t="s">
        <v>1670</v>
      </c>
      <c r="C1480" s="3"/>
      <c r="D1480" s="3"/>
      <c r="E1480" s="156" t="s">
        <v>1084</v>
      </c>
      <c r="F1480" s="3"/>
      <c r="G1480" s="158">
        <v>65</v>
      </c>
      <c r="H1480" s="155">
        <v>24</v>
      </c>
      <c r="I1480" s="155">
        <v>250</v>
      </c>
      <c r="J1480" s="156" t="s">
        <v>39</v>
      </c>
      <c r="K1480" s="5"/>
      <c r="L1480" s="3"/>
      <c r="M1480" s="6"/>
      <c r="N1480" s="9"/>
      <c r="O1480" s="158">
        <v>1560</v>
      </c>
      <c r="P1480" s="12"/>
      <c r="Q1480" s="12"/>
      <c r="R1480" s="12"/>
      <c r="S1480" s="12"/>
      <c r="T1480" s="12"/>
      <c r="U1480" s="12"/>
      <c r="V1480" s="12"/>
      <c r="W1480" s="12"/>
      <c r="X1480" s="12"/>
      <c r="Y1480" s="12"/>
      <c r="Z1480" s="12"/>
    </row>
    <row r="1481" spans="1:26" ht="14.25" customHeight="1" x14ac:dyDescent="0.3">
      <c r="A1481" s="155">
        <v>834</v>
      </c>
      <c r="B1481" s="156" t="s">
        <v>1671</v>
      </c>
      <c r="C1481" s="3"/>
      <c r="D1481" s="3"/>
      <c r="E1481" s="156" t="s">
        <v>1672</v>
      </c>
      <c r="F1481" s="3"/>
      <c r="G1481" s="158">
        <v>31.5</v>
      </c>
      <c r="H1481" s="155">
        <v>1</v>
      </c>
      <c r="I1481" s="155">
        <v>60</v>
      </c>
      <c r="J1481" s="156" t="s">
        <v>39</v>
      </c>
      <c r="K1481" s="5"/>
      <c r="L1481" s="3"/>
      <c r="M1481" s="6"/>
      <c r="N1481" s="9"/>
      <c r="O1481" s="158">
        <v>31.5</v>
      </c>
      <c r="P1481" s="12"/>
      <c r="Q1481" s="12"/>
      <c r="R1481" s="12"/>
      <c r="S1481" s="12"/>
      <c r="T1481" s="12"/>
      <c r="U1481" s="12"/>
      <c r="V1481" s="12"/>
      <c r="W1481" s="12"/>
      <c r="X1481" s="12"/>
      <c r="Y1481" s="12"/>
      <c r="Z1481" s="12"/>
    </row>
    <row r="1482" spans="1:26" ht="14.25" customHeight="1" x14ac:dyDescent="0.3">
      <c r="A1482" s="155">
        <v>834</v>
      </c>
      <c r="B1482" s="156" t="s">
        <v>1671</v>
      </c>
      <c r="C1482" s="3"/>
      <c r="D1482" s="3"/>
      <c r="E1482" s="156" t="s">
        <v>1673</v>
      </c>
      <c r="F1482" s="3"/>
      <c r="G1482" s="158">
        <v>30.68</v>
      </c>
      <c r="H1482" s="155">
        <v>30</v>
      </c>
      <c r="I1482" s="155">
        <v>60</v>
      </c>
      <c r="J1482" s="156" t="s">
        <v>39</v>
      </c>
      <c r="K1482" s="5"/>
      <c r="L1482" s="3"/>
      <c r="M1482" s="6"/>
      <c r="N1482" s="9"/>
      <c r="O1482" s="158">
        <v>920.4</v>
      </c>
      <c r="P1482" s="12"/>
      <c r="Q1482" s="12"/>
      <c r="R1482" s="12"/>
      <c r="S1482" s="12"/>
      <c r="T1482" s="12"/>
      <c r="U1482" s="12"/>
      <c r="V1482" s="12"/>
      <c r="W1482" s="12"/>
      <c r="X1482" s="12"/>
      <c r="Y1482" s="12"/>
      <c r="Z1482" s="12"/>
    </row>
    <row r="1483" spans="1:26" ht="14.25" customHeight="1" x14ac:dyDescent="0.3">
      <c r="A1483" s="155">
        <v>834</v>
      </c>
      <c r="B1483" s="156" t="s">
        <v>1671</v>
      </c>
      <c r="C1483" s="3"/>
      <c r="D1483" s="3"/>
      <c r="E1483" s="156" t="s">
        <v>1674</v>
      </c>
      <c r="F1483" s="3"/>
      <c r="G1483" s="158">
        <v>13.69</v>
      </c>
      <c r="H1483" s="155">
        <v>50</v>
      </c>
      <c r="I1483" s="155">
        <v>60</v>
      </c>
      <c r="J1483" s="156" t="s">
        <v>39</v>
      </c>
      <c r="K1483" s="5"/>
      <c r="L1483" s="3"/>
      <c r="M1483" s="6"/>
      <c r="N1483" s="9"/>
      <c r="O1483" s="158">
        <v>684.5</v>
      </c>
      <c r="P1483" s="12"/>
      <c r="Q1483" s="12"/>
      <c r="R1483" s="12"/>
      <c r="S1483" s="12"/>
      <c r="T1483" s="12"/>
      <c r="U1483" s="12"/>
      <c r="V1483" s="12"/>
      <c r="W1483" s="12"/>
      <c r="X1483" s="12"/>
      <c r="Y1483" s="12"/>
      <c r="Z1483" s="12"/>
    </row>
    <row r="1484" spans="1:26" ht="14.25" customHeight="1" x14ac:dyDescent="0.3">
      <c r="A1484" s="155">
        <v>834</v>
      </c>
      <c r="B1484" s="156" t="s">
        <v>1671</v>
      </c>
      <c r="C1484" s="3"/>
      <c r="D1484" s="3"/>
      <c r="E1484" s="156" t="s">
        <v>1675</v>
      </c>
      <c r="F1484" s="3"/>
      <c r="G1484" s="158">
        <v>13.68</v>
      </c>
      <c r="H1484" s="155">
        <v>36</v>
      </c>
      <c r="I1484" s="155">
        <v>60</v>
      </c>
      <c r="J1484" s="156" t="s">
        <v>39</v>
      </c>
      <c r="K1484" s="5"/>
      <c r="L1484" s="3"/>
      <c r="M1484" s="6"/>
      <c r="N1484" s="9"/>
      <c r="O1484" s="158">
        <v>492.48</v>
      </c>
      <c r="P1484" s="12"/>
      <c r="Q1484" s="12"/>
      <c r="R1484" s="12"/>
      <c r="S1484" s="12"/>
      <c r="T1484" s="12"/>
      <c r="U1484" s="12"/>
      <c r="V1484" s="12"/>
      <c r="W1484" s="12"/>
      <c r="X1484" s="12"/>
      <c r="Y1484" s="12"/>
      <c r="Z1484" s="12"/>
    </row>
    <row r="1485" spans="1:26" ht="14.25" customHeight="1" x14ac:dyDescent="0.3">
      <c r="A1485" s="155">
        <v>834</v>
      </c>
      <c r="B1485" s="156" t="s">
        <v>1671</v>
      </c>
      <c r="C1485" s="3"/>
      <c r="D1485" s="3"/>
      <c r="E1485" s="156" t="s">
        <v>1676</v>
      </c>
      <c r="F1485" s="3"/>
      <c r="G1485" s="158">
        <v>13.68</v>
      </c>
      <c r="H1485" s="155">
        <v>7</v>
      </c>
      <c r="I1485" s="155">
        <v>60</v>
      </c>
      <c r="J1485" s="156" t="s">
        <v>39</v>
      </c>
      <c r="K1485" s="5"/>
      <c r="L1485" s="3"/>
      <c r="M1485" s="6"/>
      <c r="N1485" s="9"/>
      <c r="O1485" s="158">
        <v>95.76</v>
      </c>
      <c r="P1485" s="12"/>
      <c r="Q1485" s="12"/>
      <c r="R1485" s="12"/>
      <c r="S1485" s="12"/>
      <c r="T1485" s="12"/>
      <c r="U1485" s="12"/>
      <c r="V1485" s="12"/>
      <c r="W1485" s="12"/>
      <c r="X1485" s="12"/>
      <c r="Y1485" s="12"/>
      <c r="Z1485" s="12"/>
    </row>
    <row r="1486" spans="1:26" ht="14.25" customHeight="1" x14ac:dyDescent="0.3">
      <c r="A1486" s="155">
        <v>835</v>
      </c>
      <c r="B1486" s="156" t="s">
        <v>1677</v>
      </c>
      <c r="C1486" s="3"/>
      <c r="D1486" s="3"/>
      <c r="E1486" s="156" t="s">
        <v>1678</v>
      </c>
      <c r="F1486" s="3"/>
      <c r="G1486" s="158">
        <v>7.77</v>
      </c>
      <c r="H1486" s="155">
        <v>19</v>
      </c>
      <c r="I1486" s="155">
        <v>1</v>
      </c>
      <c r="J1486" s="156" t="s">
        <v>92</v>
      </c>
      <c r="K1486" s="5"/>
      <c r="L1486" s="3"/>
      <c r="M1486" s="6"/>
      <c r="N1486" s="9"/>
      <c r="O1486" s="158">
        <v>147.63</v>
      </c>
      <c r="P1486" s="12"/>
      <c r="Q1486" s="12"/>
      <c r="R1486" s="12"/>
      <c r="S1486" s="12"/>
      <c r="T1486" s="12"/>
      <c r="U1486" s="12"/>
      <c r="V1486" s="12"/>
      <c r="W1486" s="12"/>
      <c r="X1486" s="12"/>
      <c r="Y1486" s="12"/>
      <c r="Z1486" s="12"/>
    </row>
    <row r="1487" spans="1:26" ht="14.25" customHeight="1" x14ac:dyDescent="0.3">
      <c r="A1487" s="155">
        <v>835</v>
      </c>
      <c r="B1487" s="156" t="s">
        <v>1677</v>
      </c>
      <c r="C1487" s="3"/>
      <c r="D1487" s="3"/>
      <c r="E1487" s="156" t="s">
        <v>1679</v>
      </c>
      <c r="F1487" s="3"/>
      <c r="G1487" s="158">
        <v>7.77</v>
      </c>
      <c r="H1487" s="155">
        <v>13</v>
      </c>
      <c r="I1487" s="155">
        <v>1</v>
      </c>
      <c r="J1487" s="156" t="s">
        <v>92</v>
      </c>
      <c r="K1487" s="5"/>
      <c r="L1487" s="3"/>
      <c r="M1487" s="6"/>
      <c r="N1487" s="9"/>
      <c r="O1487" s="158">
        <v>101.01</v>
      </c>
      <c r="P1487" s="12"/>
      <c r="Q1487" s="12"/>
      <c r="R1487" s="12"/>
      <c r="S1487" s="12"/>
      <c r="T1487" s="12"/>
      <c r="U1487" s="12"/>
      <c r="V1487" s="12"/>
      <c r="W1487" s="12"/>
      <c r="X1487" s="12"/>
      <c r="Y1487" s="12"/>
      <c r="Z1487" s="12"/>
    </row>
    <row r="1488" spans="1:26" ht="14.25" customHeight="1" x14ac:dyDescent="0.3">
      <c r="A1488" s="155">
        <v>835</v>
      </c>
      <c r="B1488" s="156" t="s">
        <v>1677</v>
      </c>
      <c r="C1488" s="3"/>
      <c r="D1488" s="3"/>
      <c r="E1488" s="156" t="s">
        <v>1680</v>
      </c>
      <c r="F1488" s="3"/>
      <c r="G1488" s="158">
        <v>7.84</v>
      </c>
      <c r="H1488" s="155">
        <v>16</v>
      </c>
      <c r="I1488" s="155">
        <v>1</v>
      </c>
      <c r="J1488" s="156" t="s">
        <v>92</v>
      </c>
      <c r="K1488" s="5"/>
      <c r="L1488" s="3"/>
      <c r="M1488" s="6"/>
      <c r="N1488" s="9"/>
      <c r="O1488" s="158">
        <v>125.44</v>
      </c>
      <c r="P1488" s="12"/>
      <c r="Q1488" s="12"/>
      <c r="R1488" s="12"/>
      <c r="S1488" s="12"/>
      <c r="T1488" s="12"/>
      <c r="U1488" s="12"/>
      <c r="V1488" s="12"/>
      <c r="W1488" s="12"/>
      <c r="X1488" s="12"/>
      <c r="Y1488" s="12"/>
      <c r="Z1488" s="12"/>
    </row>
    <row r="1489" spans="1:26" ht="14.25" customHeight="1" x14ac:dyDescent="0.3">
      <c r="A1489" s="155">
        <v>835</v>
      </c>
      <c r="B1489" s="156" t="s">
        <v>1677</v>
      </c>
      <c r="C1489" s="3"/>
      <c r="D1489" s="3"/>
      <c r="E1489" s="156" t="s">
        <v>1681</v>
      </c>
      <c r="F1489" s="3"/>
      <c r="G1489" s="158">
        <v>8.65</v>
      </c>
      <c r="H1489" s="155">
        <v>30</v>
      </c>
      <c r="I1489" s="155">
        <v>1</v>
      </c>
      <c r="J1489" s="156" t="s">
        <v>39</v>
      </c>
      <c r="K1489" s="5"/>
      <c r="L1489" s="3"/>
      <c r="M1489" s="6"/>
      <c r="N1489" s="9"/>
      <c r="O1489" s="158">
        <v>259.5</v>
      </c>
      <c r="P1489" s="12"/>
      <c r="Q1489" s="12"/>
      <c r="R1489" s="12"/>
      <c r="S1489" s="12"/>
      <c r="T1489" s="12"/>
      <c r="U1489" s="12"/>
      <c r="V1489" s="12"/>
      <c r="W1489" s="12"/>
      <c r="X1489" s="12"/>
      <c r="Y1489" s="12"/>
      <c r="Z1489" s="12"/>
    </row>
    <row r="1490" spans="1:26" ht="14.25" customHeight="1" x14ac:dyDescent="0.3">
      <c r="A1490" s="155">
        <v>835</v>
      </c>
      <c r="B1490" s="156" t="s">
        <v>1677</v>
      </c>
      <c r="C1490" s="3"/>
      <c r="D1490" s="3"/>
      <c r="E1490" s="156" t="s">
        <v>1682</v>
      </c>
      <c r="F1490" s="3"/>
      <c r="G1490" s="158">
        <v>9.0623529999999999</v>
      </c>
      <c r="H1490" s="155">
        <v>51</v>
      </c>
      <c r="I1490" s="155">
        <v>1</v>
      </c>
      <c r="J1490" s="156" t="s">
        <v>39</v>
      </c>
      <c r="K1490" s="5"/>
      <c r="L1490" s="3"/>
      <c r="M1490" s="6"/>
      <c r="N1490" s="9"/>
      <c r="O1490" s="158">
        <v>462.18</v>
      </c>
      <c r="P1490" s="12"/>
      <c r="Q1490" s="12"/>
      <c r="R1490" s="12"/>
      <c r="S1490" s="12"/>
      <c r="T1490" s="12"/>
      <c r="U1490" s="12"/>
      <c r="V1490" s="12"/>
      <c r="W1490" s="12"/>
      <c r="X1490" s="12"/>
      <c r="Y1490" s="12"/>
      <c r="Z1490" s="12"/>
    </row>
    <row r="1491" spans="1:26" ht="14.25" customHeight="1" x14ac:dyDescent="0.3">
      <c r="A1491" s="155">
        <v>835</v>
      </c>
      <c r="B1491" s="156" t="s">
        <v>1677</v>
      </c>
      <c r="C1491" s="3"/>
      <c r="D1491" s="3"/>
      <c r="E1491" s="156" t="s">
        <v>1683</v>
      </c>
      <c r="F1491" s="3"/>
      <c r="G1491" s="158">
        <v>15.1</v>
      </c>
      <c r="H1491" s="155">
        <v>1</v>
      </c>
      <c r="I1491" s="155">
        <v>1</v>
      </c>
      <c r="J1491" s="156" t="s">
        <v>39</v>
      </c>
      <c r="K1491" s="5"/>
      <c r="L1491" s="3"/>
      <c r="M1491" s="6"/>
      <c r="N1491" s="9"/>
      <c r="O1491" s="158">
        <v>15.1</v>
      </c>
      <c r="P1491" s="12"/>
      <c r="Q1491" s="12"/>
      <c r="R1491" s="12"/>
      <c r="S1491" s="12"/>
      <c r="T1491" s="12"/>
      <c r="U1491" s="12"/>
      <c r="V1491" s="12"/>
      <c r="W1491" s="12"/>
      <c r="X1491" s="12"/>
      <c r="Y1491" s="12"/>
      <c r="Z1491" s="12"/>
    </row>
    <row r="1492" spans="1:26" ht="14.25" customHeight="1" x14ac:dyDescent="0.3">
      <c r="A1492" s="155">
        <v>835</v>
      </c>
      <c r="B1492" s="156" t="s">
        <v>1677</v>
      </c>
      <c r="C1492" s="3"/>
      <c r="D1492" s="3"/>
      <c r="E1492" s="156" t="s">
        <v>1684</v>
      </c>
      <c r="F1492" s="3"/>
      <c r="G1492" s="158">
        <v>16.649999999999999</v>
      </c>
      <c r="H1492" s="155">
        <v>36</v>
      </c>
      <c r="I1492" s="155">
        <v>1</v>
      </c>
      <c r="J1492" s="156" t="s">
        <v>39</v>
      </c>
      <c r="K1492" s="5"/>
      <c r="L1492" s="3"/>
      <c r="M1492" s="6"/>
      <c r="N1492" s="9"/>
      <c r="O1492" s="158">
        <v>599.4</v>
      </c>
      <c r="P1492" s="12"/>
      <c r="Q1492" s="12"/>
      <c r="R1492" s="12"/>
      <c r="S1492" s="12"/>
      <c r="T1492" s="12"/>
      <c r="U1492" s="12"/>
      <c r="V1492" s="12"/>
      <c r="W1492" s="12"/>
      <c r="X1492" s="12"/>
      <c r="Y1492" s="12"/>
      <c r="Z1492" s="12"/>
    </row>
    <row r="1493" spans="1:26" ht="14.25" customHeight="1" x14ac:dyDescent="0.3">
      <c r="A1493" s="155">
        <v>835</v>
      </c>
      <c r="B1493" s="156" t="s">
        <v>1677</v>
      </c>
      <c r="C1493" s="3"/>
      <c r="D1493" s="3"/>
      <c r="E1493" s="156" t="s">
        <v>1685</v>
      </c>
      <c r="F1493" s="3"/>
      <c r="G1493" s="158">
        <v>8.2799999999999994</v>
      </c>
      <c r="H1493" s="155">
        <v>3</v>
      </c>
      <c r="I1493" s="155">
        <v>1</v>
      </c>
      <c r="J1493" s="156" t="s">
        <v>39</v>
      </c>
      <c r="K1493" s="5"/>
      <c r="L1493" s="3"/>
      <c r="M1493" s="6"/>
      <c r="N1493" s="9"/>
      <c r="O1493" s="158">
        <v>24.84</v>
      </c>
      <c r="P1493" s="12"/>
      <c r="Q1493" s="12"/>
      <c r="R1493" s="12"/>
      <c r="S1493" s="12"/>
      <c r="T1493" s="12"/>
      <c r="U1493" s="12"/>
      <c r="V1493" s="12"/>
      <c r="W1493" s="12"/>
      <c r="X1493" s="12"/>
      <c r="Y1493" s="12"/>
      <c r="Z1493" s="12"/>
    </row>
    <row r="1494" spans="1:26" ht="14.25" customHeight="1" x14ac:dyDescent="0.3">
      <c r="A1494" s="155">
        <v>836</v>
      </c>
      <c r="B1494" s="156" t="s">
        <v>1686</v>
      </c>
      <c r="C1494" s="3"/>
      <c r="D1494" s="3"/>
      <c r="E1494" s="156" t="s">
        <v>1687</v>
      </c>
      <c r="F1494" s="3"/>
      <c r="G1494" s="158">
        <v>23.2</v>
      </c>
      <c r="H1494" s="155">
        <v>11</v>
      </c>
      <c r="I1494" s="155">
        <v>60</v>
      </c>
      <c r="J1494" s="156" t="s">
        <v>39</v>
      </c>
      <c r="K1494" s="5"/>
      <c r="L1494" s="3"/>
      <c r="M1494" s="6"/>
      <c r="N1494" s="9"/>
      <c r="O1494" s="158">
        <v>255.2</v>
      </c>
      <c r="P1494" s="12"/>
      <c r="Q1494" s="12"/>
      <c r="R1494" s="12"/>
      <c r="S1494" s="12"/>
      <c r="T1494" s="12"/>
      <c r="U1494" s="12"/>
      <c r="V1494" s="12"/>
      <c r="W1494" s="12"/>
      <c r="X1494" s="12"/>
      <c r="Y1494" s="12"/>
      <c r="Z1494" s="12"/>
    </row>
    <row r="1495" spans="1:26" ht="14.25" customHeight="1" x14ac:dyDescent="0.3">
      <c r="A1495" s="155">
        <v>836</v>
      </c>
      <c r="B1495" s="156" t="s">
        <v>1686</v>
      </c>
      <c r="C1495" s="3"/>
      <c r="D1495" s="3"/>
      <c r="E1495" s="156" t="s">
        <v>1688</v>
      </c>
      <c r="F1495" s="3"/>
      <c r="G1495" s="158">
        <v>24.25</v>
      </c>
      <c r="H1495" s="155">
        <v>60</v>
      </c>
      <c r="I1495" s="155">
        <v>60</v>
      </c>
      <c r="J1495" s="156" t="s">
        <v>39</v>
      </c>
      <c r="K1495" s="5"/>
      <c r="L1495" s="3"/>
      <c r="M1495" s="6"/>
      <c r="N1495" s="9"/>
      <c r="O1495" s="158">
        <v>1455</v>
      </c>
      <c r="P1495" s="12"/>
      <c r="Q1495" s="12"/>
      <c r="R1495" s="12"/>
      <c r="S1495" s="12"/>
      <c r="T1495" s="12"/>
      <c r="U1495" s="12"/>
      <c r="V1495" s="12"/>
      <c r="W1495" s="12"/>
      <c r="X1495" s="12"/>
      <c r="Y1495" s="12"/>
      <c r="Z1495" s="12"/>
    </row>
    <row r="1496" spans="1:26" ht="14.25" customHeight="1" x14ac:dyDescent="0.3">
      <c r="A1496" s="155">
        <v>836</v>
      </c>
      <c r="B1496" s="156" t="s">
        <v>1686</v>
      </c>
      <c r="C1496" s="3"/>
      <c r="D1496" s="3"/>
      <c r="E1496" s="156" t="s">
        <v>1689</v>
      </c>
      <c r="F1496" s="3"/>
      <c r="G1496" s="158">
        <v>7.1</v>
      </c>
      <c r="H1496" s="155">
        <v>24</v>
      </c>
      <c r="I1496" s="155">
        <v>60</v>
      </c>
      <c r="J1496" s="156" t="s">
        <v>92</v>
      </c>
      <c r="K1496" s="5"/>
      <c r="L1496" s="3"/>
      <c r="M1496" s="6"/>
      <c r="N1496" s="9"/>
      <c r="O1496" s="158">
        <v>170.4</v>
      </c>
      <c r="P1496" s="12"/>
      <c r="Q1496" s="12"/>
      <c r="R1496" s="12"/>
      <c r="S1496" s="12"/>
      <c r="T1496" s="12"/>
      <c r="U1496" s="12"/>
      <c r="V1496" s="12"/>
      <c r="W1496" s="12"/>
      <c r="X1496" s="12"/>
      <c r="Y1496" s="12"/>
      <c r="Z1496" s="12"/>
    </row>
    <row r="1497" spans="1:26" ht="14.25" customHeight="1" x14ac:dyDescent="0.3">
      <c r="A1497" s="155">
        <v>836</v>
      </c>
      <c r="B1497" s="156" t="s">
        <v>1686</v>
      </c>
      <c r="C1497" s="3"/>
      <c r="D1497" s="3"/>
      <c r="E1497" s="156" t="s">
        <v>1690</v>
      </c>
      <c r="F1497" s="3"/>
      <c r="G1497" s="158">
        <v>7.2</v>
      </c>
      <c r="H1497" s="155">
        <v>9</v>
      </c>
      <c r="I1497" s="155">
        <v>60</v>
      </c>
      <c r="J1497" s="156" t="s">
        <v>92</v>
      </c>
      <c r="K1497" s="5"/>
      <c r="L1497" s="3"/>
      <c r="M1497" s="6"/>
      <c r="N1497" s="9"/>
      <c r="O1497" s="158">
        <v>64.8</v>
      </c>
      <c r="P1497" s="12"/>
      <c r="Q1497" s="12"/>
      <c r="R1497" s="12"/>
      <c r="S1497" s="12"/>
      <c r="T1497" s="12"/>
      <c r="U1497" s="12"/>
      <c r="V1497" s="12"/>
      <c r="W1497" s="12"/>
      <c r="X1497" s="12"/>
      <c r="Y1497" s="12"/>
      <c r="Z1497" s="12"/>
    </row>
    <row r="1498" spans="1:26" ht="14.25" customHeight="1" x14ac:dyDescent="0.3">
      <c r="A1498" s="155">
        <v>836</v>
      </c>
      <c r="B1498" s="156" t="s">
        <v>1686</v>
      </c>
      <c r="C1498" s="3"/>
      <c r="D1498" s="3"/>
      <c r="E1498" s="156" t="s">
        <v>1691</v>
      </c>
      <c r="F1498" s="3"/>
      <c r="G1498" s="158">
        <v>18.8</v>
      </c>
      <c r="H1498" s="155">
        <v>10</v>
      </c>
      <c r="I1498" s="155">
        <v>60</v>
      </c>
      <c r="J1498" s="156" t="s">
        <v>304</v>
      </c>
      <c r="K1498" s="5"/>
      <c r="L1498" s="3"/>
      <c r="M1498" s="6"/>
      <c r="N1498" s="9"/>
      <c r="O1498" s="158">
        <v>188</v>
      </c>
      <c r="P1498" s="12"/>
      <c r="Q1498" s="12"/>
      <c r="R1498" s="12"/>
      <c r="S1498" s="12"/>
      <c r="T1498" s="12"/>
      <c r="U1498" s="12"/>
      <c r="V1498" s="12"/>
      <c r="W1498" s="12"/>
      <c r="X1498" s="12"/>
      <c r="Y1498" s="12"/>
      <c r="Z1498" s="12"/>
    </row>
    <row r="1499" spans="1:26" ht="14.25" customHeight="1" x14ac:dyDescent="0.3">
      <c r="A1499" s="155">
        <v>836</v>
      </c>
      <c r="B1499" s="156" t="s">
        <v>1686</v>
      </c>
      <c r="C1499" s="3"/>
      <c r="D1499" s="3"/>
      <c r="E1499" s="156" t="s">
        <v>1692</v>
      </c>
      <c r="F1499" s="3"/>
      <c r="G1499" s="158">
        <v>21.68</v>
      </c>
      <c r="H1499" s="155">
        <v>33</v>
      </c>
      <c r="I1499" s="155">
        <v>60</v>
      </c>
      <c r="J1499" s="156" t="s">
        <v>92</v>
      </c>
      <c r="K1499" s="5"/>
      <c r="L1499" s="3"/>
      <c r="M1499" s="6"/>
      <c r="N1499" s="9"/>
      <c r="O1499" s="158">
        <v>715.44</v>
      </c>
      <c r="P1499" s="12"/>
      <c r="Q1499" s="12"/>
      <c r="R1499" s="12"/>
      <c r="S1499" s="12"/>
      <c r="T1499" s="12"/>
      <c r="U1499" s="12"/>
      <c r="V1499" s="12"/>
      <c r="W1499" s="12"/>
      <c r="X1499" s="12"/>
      <c r="Y1499" s="12"/>
      <c r="Z1499" s="12"/>
    </row>
    <row r="1500" spans="1:26" ht="14.25" customHeight="1" x14ac:dyDescent="0.3">
      <c r="A1500" s="155">
        <v>836</v>
      </c>
      <c r="B1500" s="156" t="s">
        <v>1686</v>
      </c>
      <c r="C1500" s="3"/>
      <c r="D1500" s="3"/>
      <c r="E1500" s="156" t="s">
        <v>1693</v>
      </c>
      <c r="F1500" s="3"/>
      <c r="G1500" s="158">
        <v>19.32</v>
      </c>
      <c r="H1500" s="155">
        <v>30</v>
      </c>
      <c r="I1500" s="155">
        <v>60</v>
      </c>
      <c r="J1500" s="156" t="s">
        <v>39</v>
      </c>
      <c r="K1500" s="5"/>
      <c r="L1500" s="3"/>
      <c r="M1500" s="6"/>
      <c r="N1500" s="9"/>
      <c r="O1500" s="158">
        <v>579.6</v>
      </c>
      <c r="P1500" s="12"/>
      <c r="Q1500" s="12"/>
      <c r="R1500" s="12"/>
      <c r="S1500" s="12"/>
      <c r="T1500" s="12"/>
      <c r="U1500" s="12"/>
      <c r="V1500" s="12"/>
      <c r="W1500" s="12"/>
      <c r="X1500" s="12"/>
      <c r="Y1500" s="12"/>
      <c r="Z1500" s="12"/>
    </row>
    <row r="1501" spans="1:26" ht="14.25" customHeight="1" x14ac:dyDescent="0.3">
      <c r="A1501" s="155">
        <v>836</v>
      </c>
      <c r="B1501" s="156" t="s">
        <v>1686</v>
      </c>
      <c r="C1501" s="3"/>
      <c r="D1501" s="3"/>
      <c r="E1501" s="156" t="s">
        <v>1694</v>
      </c>
      <c r="F1501" s="3"/>
      <c r="G1501" s="158">
        <v>20.49436</v>
      </c>
      <c r="H1501" s="155">
        <v>39</v>
      </c>
      <c r="I1501" s="155">
        <v>60</v>
      </c>
      <c r="J1501" s="156" t="s">
        <v>39</v>
      </c>
      <c r="K1501" s="5"/>
      <c r="L1501" s="3"/>
      <c r="M1501" s="6"/>
      <c r="N1501" s="9"/>
      <c r="O1501" s="158">
        <v>799.28</v>
      </c>
      <c r="P1501" s="12"/>
      <c r="Q1501" s="12"/>
      <c r="R1501" s="12"/>
      <c r="S1501" s="12"/>
      <c r="T1501" s="12"/>
      <c r="U1501" s="12"/>
      <c r="V1501" s="12"/>
      <c r="W1501" s="12"/>
      <c r="X1501" s="12"/>
      <c r="Y1501" s="12"/>
      <c r="Z1501" s="12"/>
    </row>
    <row r="1502" spans="1:26" ht="14.25" customHeight="1" x14ac:dyDescent="0.3">
      <c r="A1502" s="155">
        <v>836</v>
      </c>
      <c r="B1502" s="156" t="s">
        <v>1686</v>
      </c>
      <c r="C1502" s="3"/>
      <c r="D1502" s="3"/>
      <c r="E1502" s="156" t="s">
        <v>1695</v>
      </c>
      <c r="F1502" s="3"/>
      <c r="G1502" s="158">
        <v>22.45</v>
      </c>
      <c r="H1502" s="155">
        <v>24</v>
      </c>
      <c r="I1502" s="155">
        <v>60</v>
      </c>
      <c r="J1502" s="156" t="s">
        <v>39</v>
      </c>
      <c r="K1502" s="5"/>
      <c r="L1502" s="3"/>
      <c r="M1502" s="6"/>
      <c r="N1502" s="9"/>
      <c r="O1502" s="158">
        <v>538.79999999999995</v>
      </c>
      <c r="P1502" s="12"/>
      <c r="Q1502" s="12"/>
      <c r="R1502" s="12"/>
      <c r="S1502" s="12"/>
      <c r="T1502" s="12"/>
      <c r="U1502" s="12"/>
      <c r="V1502" s="12"/>
      <c r="W1502" s="12"/>
      <c r="X1502" s="12"/>
      <c r="Y1502" s="12"/>
      <c r="Z1502" s="12"/>
    </row>
    <row r="1503" spans="1:26" ht="14.25" customHeight="1" x14ac:dyDescent="0.3">
      <c r="A1503" s="155">
        <v>836</v>
      </c>
      <c r="B1503" s="156" t="s">
        <v>1686</v>
      </c>
      <c r="C1503" s="3"/>
      <c r="D1503" s="3"/>
      <c r="E1503" s="156" t="s">
        <v>1696</v>
      </c>
      <c r="F1503" s="3"/>
      <c r="G1503" s="158">
        <v>16.7</v>
      </c>
      <c r="H1503" s="155">
        <v>9</v>
      </c>
      <c r="I1503" s="155">
        <v>60</v>
      </c>
      <c r="J1503" s="156" t="s">
        <v>92</v>
      </c>
      <c r="K1503" s="5"/>
      <c r="L1503" s="3"/>
      <c r="M1503" s="6"/>
      <c r="N1503" s="9"/>
      <c r="O1503" s="158">
        <v>150.30000000000001</v>
      </c>
      <c r="P1503" s="12"/>
      <c r="Q1503" s="12"/>
      <c r="R1503" s="12"/>
      <c r="S1503" s="12"/>
      <c r="T1503" s="12"/>
      <c r="U1503" s="12"/>
      <c r="V1503" s="12"/>
      <c r="W1503" s="12"/>
      <c r="X1503" s="12"/>
      <c r="Y1503" s="12"/>
      <c r="Z1503" s="12"/>
    </row>
    <row r="1504" spans="1:26" ht="14.25" customHeight="1" x14ac:dyDescent="0.3">
      <c r="A1504" s="155">
        <v>836</v>
      </c>
      <c r="B1504" s="156" t="s">
        <v>1686</v>
      </c>
      <c r="C1504" s="3"/>
      <c r="D1504" s="3"/>
      <c r="E1504" s="156" t="s">
        <v>1697</v>
      </c>
      <c r="F1504" s="3"/>
      <c r="G1504" s="158">
        <v>15</v>
      </c>
      <c r="H1504" s="155">
        <v>58</v>
      </c>
      <c r="I1504" s="155">
        <v>60</v>
      </c>
      <c r="J1504" s="156" t="s">
        <v>39</v>
      </c>
      <c r="K1504" s="5"/>
      <c r="L1504" s="3"/>
      <c r="M1504" s="6"/>
      <c r="N1504" s="9"/>
      <c r="O1504" s="158">
        <v>870</v>
      </c>
      <c r="P1504" s="12"/>
      <c r="Q1504" s="12"/>
      <c r="R1504" s="12"/>
      <c r="S1504" s="12"/>
      <c r="T1504" s="12"/>
      <c r="U1504" s="12"/>
      <c r="V1504" s="12"/>
      <c r="W1504" s="12"/>
      <c r="X1504" s="12"/>
      <c r="Y1504" s="12"/>
      <c r="Z1504" s="12"/>
    </row>
    <row r="1505" spans="1:26" ht="14.25" customHeight="1" x14ac:dyDescent="0.3">
      <c r="A1505" s="155">
        <v>836</v>
      </c>
      <c r="B1505" s="156" t="s">
        <v>1686</v>
      </c>
      <c r="C1505" s="3"/>
      <c r="D1505" s="3"/>
      <c r="E1505" s="156" t="s">
        <v>1698</v>
      </c>
      <c r="F1505" s="3"/>
      <c r="G1505" s="158">
        <v>16.95</v>
      </c>
      <c r="H1505" s="155">
        <v>47</v>
      </c>
      <c r="I1505" s="155">
        <v>60</v>
      </c>
      <c r="J1505" s="156" t="s">
        <v>39</v>
      </c>
      <c r="K1505" s="5"/>
      <c r="L1505" s="3"/>
      <c r="M1505" s="6"/>
      <c r="N1505" s="9"/>
      <c r="O1505" s="158">
        <v>796.65</v>
      </c>
      <c r="P1505" s="12"/>
      <c r="Q1505" s="12"/>
      <c r="R1505" s="12"/>
      <c r="S1505" s="12"/>
      <c r="T1505" s="12"/>
      <c r="U1505" s="12"/>
      <c r="V1505" s="12"/>
      <c r="W1505" s="12"/>
      <c r="X1505" s="12"/>
      <c r="Y1505" s="12"/>
      <c r="Z1505" s="12"/>
    </row>
    <row r="1506" spans="1:26" ht="14.25" customHeight="1" x14ac:dyDescent="0.3">
      <c r="A1506" s="155">
        <v>836</v>
      </c>
      <c r="B1506" s="156" t="s">
        <v>1686</v>
      </c>
      <c r="C1506" s="3"/>
      <c r="D1506" s="3"/>
      <c r="E1506" s="156" t="s">
        <v>1699</v>
      </c>
      <c r="F1506" s="3"/>
      <c r="G1506" s="158">
        <v>22.16667</v>
      </c>
      <c r="H1506" s="155">
        <v>69</v>
      </c>
      <c r="I1506" s="155">
        <v>60</v>
      </c>
      <c r="J1506" s="156" t="s">
        <v>39</v>
      </c>
      <c r="K1506" s="5"/>
      <c r="L1506" s="3"/>
      <c r="M1506" s="6"/>
      <c r="N1506" s="9"/>
      <c r="O1506" s="158">
        <v>1529.5</v>
      </c>
      <c r="P1506" s="12"/>
      <c r="Q1506" s="12"/>
      <c r="R1506" s="12"/>
      <c r="S1506" s="12"/>
      <c r="T1506" s="12"/>
      <c r="U1506" s="12"/>
      <c r="V1506" s="12"/>
      <c r="W1506" s="12"/>
      <c r="X1506" s="12"/>
      <c r="Y1506" s="12"/>
      <c r="Z1506" s="12"/>
    </row>
    <row r="1507" spans="1:26" ht="14.25" customHeight="1" x14ac:dyDescent="0.3">
      <c r="A1507" s="155">
        <v>836</v>
      </c>
      <c r="B1507" s="156" t="s">
        <v>1686</v>
      </c>
      <c r="C1507" s="3"/>
      <c r="D1507" s="3"/>
      <c r="E1507" s="156" t="s">
        <v>1700</v>
      </c>
      <c r="F1507" s="3"/>
      <c r="G1507" s="158">
        <v>35.141669999999998</v>
      </c>
      <c r="H1507" s="155">
        <v>18</v>
      </c>
      <c r="I1507" s="155">
        <v>60</v>
      </c>
      <c r="J1507" s="156" t="s">
        <v>39</v>
      </c>
      <c r="K1507" s="5"/>
      <c r="L1507" s="3"/>
      <c r="M1507" s="6"/>
      <c r="N1507" s="9"/>
      <c r="O1507" s="158">
        <v>632.54999999999995</v>
      </c>
      <c r="P1507" s="12"/>
      <c r="Q1507" s="12"/>
      <c r="R1507" s="12"/>
      <c r="S1507" s="12"/>
      <c r="T1507" s="12"/>
      <c r="U1507" s="12"/>
      <c r="V1507" s="12"/>
      <c r="W1507" s="12"/>
      <c r="X1507" s="12"/>
      <c r="Y1507" s="12"/>
      <c r="Z1507" s="12"/>
    </row>
    <row r="1508" spans="1:26" ht="14.25" customHeight="1" x14ac:dyDescent="0.3">
      <c r="A1508" s="155">
        <v>836</v>
      </c>
      <c r="B1508" s="156" t="s">
        <v>1686</v>
      </c>
      <c r="C1508" s="3"/>
      <c r="D1508" s="3"/>
      <c r="E1508" s="156" t="s">
        <v>1701</v>
      </c>
      <c r="F1508" s="3"/>
      <c r="G1508" s="158">
        <v>33.5</v>
      </c>
      <c r="H1508" s="155">
        <v>250</v>
      </c>
      <c r="I1508" s="155">
        <v>60</v>
      </c>
      <c r="J1508" s="156" t="s">
        <v>39</v>
      </c>
      <c r="K1508" s="5"/>
      <c r="L1508" s="3"/>
      <c r="M1508" s="6"/>
      <c r="N1508" s="9"/>
      <c r="O1508" s="158">
        <v>8375</v>
      </c>
      <c r="P1508" s="12"/>
      <c r="Q1508" s="12"/>
      <c r="R1508" s="12"/>
      <c r="S1508" s="12"/>
      <c r="T1508" s="12"/>
      <c r="U1508" s="12"/>
      <c r="V1508" s="12"/>
      <c r="W1508" s="12"/>
      <c r="X1508" s="12"/>
      <c r="Y1508" s="12"/>
      <c r="Z1508" s="12"/>
    </row>
    <row r="1509" spans="1:26" ht="14.25" customHeight="1" x14ac:dyDescent="0.3">
      <c r="A1509" s="155">
        <v>836</v>
      </c>
      <c r="B1509" s="156" t="s">
        <v>1686</v>
      </c>
      <c r="C1509" s="3"/>
      <c r="D1509" s="3"/>
      <c r="E1509" s="156" t="s">
        <v>1702</v>
      </c>
      <c r="F1509" s="3"/>
      <c r="G1509" s="158">
        <v>34.9</v>
      </c>
      <c r="H1509" s="155">
        <v>25</v>
      </c>
      <c r="I1509" s="155">
        <v>60</v>
      </c>
      <c r="J1509" s="156" t="s">
        <v>39</v>
      </c>
      <c r="K1509" s="5"/>
      <c r="L1509" s="3"/>
      <c r="M1509" s="6"/>
      <c r="N1509" s="9"/>
      <c r="O1509" s="158">
        <v>872.5</v>
      </c>
      <c r="P1509" s="12"/>
      <c r="Q1509" s="12"/>
      <c r="R1509" s="12"/>
      <c r="S1509" s="12"/>
      <c r="T1509" s="12"/>
      <c r="U1509" s="12"/>
      <c r="V1509" s="12"/>
      <c r="W1509" s="12"/>
      <c r="X1509" s="12"/>
      <c r="Y1509" s="12"/>
      <c r="Z1509" s="12"/>
    </row>
    <row r="1510" spans="1:26" ht="14.25" customHeight="1" x14ac:dyDescent="0.3">
      <c r="A1510" s="155">
        <v>836</v>
      </c>
      <c r="B1510" s="156" t="s">
        <v>1686</v>
      </c>
      <c r="C1510" s="3"/>
      <c r="D1510" s="3"/>
      <c r="E1510" s="156" t="s">
        <v>1703</v>
      </c>
      <c r="F1510" s="3"/>
      <c r="G1510" s="158">
        <v>22.38</v>
      </c>
      <c r="H1510" s="155">
        <v>30</v>
      </c>
      <c r="I1510" s="155">
        <v>60</v>
      </c>
      <c r="J1510" s="156" t="s">
        <v>39</v>
      </c>
      <c r="K1510" s="5"/>
      <c r="L1510" s="3"/>
      <c r="M1510" s="6"/>
      <c r="N1510" s="9"/>
      <c r="O1510" s="158">
        <v>671.4</v>
      </c>
      <c r="P1510" s="12"/>
      <c r="Q1510" s="12"/>
      <c r="R1510" s="12"/>
      <c r="S1510" s="12"/>
      <c r="T1510" s="12"/>
      <c r="U1510" s="12"/>
      <c r="V1510" s="12"/>
      <c r="W1510" s="12"/>
      <c r="X1510" s="12"/>
      <c r="Y1510" s="12"/>
      <c r="Z1510" s="12"/>
    </row>
    <row r="1511" spans="1:26" ht="14.25" customHeight="1" x14ac:dyDescent="0.3">
      <c r="A1511" s="155">
        <v>836</v>
      </c>
      <c r="B1511" s="156" t="s">
        <v>1686</v>
      </c>
      <c r="C1511" s="3"/>
      <c r="D1511" s="3"/>
      <c r="E1511" s="156" t="s">
        <v>1704</v>
      </c>
      <c r="F1511" s="3"/>
      <c r="G1511" s="158">
        <v>12.54</v>
      </c>
      <c r="H1511" s="155">
        <v>18</v>
      </c>
      <c r="I1511" s="155">
        <v>60</v>
      </c>
      <c r="J1511" s="156" t="s">
        <v>39</v>
      </c>
      <c r="K1511" s="5"/>
      <c r="L1511" s="3"/>
      <c r="M1511" s="6"/>
      <c r="N1511" s="9"/>
      <c r="O1511" s="158">
        <v>225.72</v>
      </c>
      <c r="P1511" s="12"/>
      <c r="Q1511" s="12"/>
      <c r="R1511" s="12"/>
      <c r="S1511" s="12"/>
      <c r="T1511" s="12"/>
      <c r="U1511" s="12"/>
      <c r="V1511" s="12"/>
      <c r="W1511" s="12"/>
      <c r="X1511" s="12"/>
      <c r="Y1511" s="12"/>
      <c r="Z1511" s="12"/>
    </row>
    <row r="1512" spans="1:26" ht="14.25" customHeight="1" x14ac:dyDescent="0.3">
      <c r="A1512" s="155">
        <v>836</v>
      </c>
      <c r="B1512" s="156" t="s">
        <v>1686</v>
      </c>
      <c r="C1512" s="3"/>
      <c r="D1512" s="3"/>
      <c r="E1512" s="156" t="s">
        <v>1705</v>
      </c>
      <c r="F1512" s="3"/>
      <c r="G1512" s="158">
        <v>23.04091</v>
      </c>
      <c r="H1512" s="155">
        <v>11</v>
      </c>
      <c r="I1512" s="155">
        <v>60</v>
      </c>
      <c r="J1512" s="156" t="s">
        <v>39</v>
      </c>
      <c r="K1512" s="5"/>
      <c r="L1512" s="3"/>
      <c r="M1512" s="6"/>
      <c r="N1512" s="9"/>
      <c r="O1512" s="158">
        <v>253.45</v>
      </c>
      <c r="P1512" s="12"/>
      <c r="Q1512" s="12"/>
      <c r="R1512" s="12"/>
      <c r="S1512" s="12"/>
      <c r="T1512" s="12"/>
      <c r="U1512" s="12"/>
      <c r="V1512" s="12"/>
      <c r="W1512" s="12"/>
      <c r="X1512" s="12"/>
      <c r="Y1512" s="12"/>
      <c r="Z1512" s="12"/>
    </row>
    <row r="1513" spans="1:26" ht="14.25" customHeight="1" x14ac:dyDescent="0.3">
      <c r="A1513" s="155">
        <v>836</v>
      </c>
      <c r="B1513" s="156" t="s">
        <v>1686</v>
      </c>
      <c r="C1513" s="3"/>
      <c r="D1513" s="3"/>
      <c r="E1513" s="156" t="s">
        <v>1706</v>
      </c>
      <c r="F1513" s="3"/>
      <c r="G1513" s="158">
        <v>96.136359999999996</v>
      </c>
      <c r="H1513" s="155">
        <v>22</v>
      </c>
      <c r="I1513" s="155">
        <v>60</v>
      </c>
      <c r="J1513" s="156" t="s">
        <v>32</v>
      </c>
      <c r="K1513" s="5"/>
      <c r="L1513" s="3"/>
      <c r="M1513" s="6"/>
      <c r="N1513" s="9"/>
      <c r="O1513" s="158">
        <v>2115</v>
      </c>
      <c r="P1513" s="12"/>
      <c r="Q1513" s="12"/>
      <c r="R1513" s="12"/>
      <c r="S1513" s="12"/>
      <c r="T1513" s="12"/>
      <c r="U1513" s="12"/>
      <c r="V1513" s="12"/>
      <c r="W1513" s="12"/>
      <c r="X1513" s="12"/>
      <c r="Y1513" s="12"/>
      <c r="Z1513" s="12"/>
    </row>
    <row r="1514" spans="1:26" ht="14.25" customHeight="1" x14ac:dyDescent="0.3">
      <c r="A1514" s="155">
        <v>836</v>
      </c>
      <c r="B1514" s="156" t="s">
        <v>1686</v>
      </c>
      <c r="C1514" s="3"/>
      <c r="D1514" s="3"/>
      <c r="E1514" s="156" t="s">
        <v>1707</v>
      </c>
      <c r="F1514" s="3"/>
      <c r="G1514" s="158">
        <v>34.200000000000003</v>
      </c>
      <c r="H1514" s="155">
        <v>20</v>
      </c>
      <c r="I1514" s="155">
        <v>60</v>
      </c>
      <c r="J1514" s="156" t="s">
        <v>39</v>
      </c>
      <c r="K1514" s="5"/>
      <c r="L1514" s="3"/>
      <c r="M1514" s="6"/>
      <c r="N1514" s="9"/>
      <c r="O1514" s="158">
        <v>684</v>
      </c>
      <c r="P1514" s="12"/>
      <c r="Q1514" s="12"/>
      <c r="R1514" s="12"/>
      <c r="S1514" s="12"/>
      <c r="T1514" s="12"/>
      <c r="U1514" s="12"/>
      <c r="V1514" s="12"/>
      <c r="W1514" s="12"/>
      <c r="X1514" s="12"/>
      <c r="Y1514" s="12"/>
      <c r="Z1514" s="12"/>
    </row>
    <row r="1515" spans="1:26" ht="14.25" customHeight="1" x14ac:dyDescent="0.3">
      <c r="A1515" s="155">
        <v>836</v>
      </c>
      <c r="B1515" s="156" t="s">
        <v>1686</v>
      </c>
      <c r="C1515" s="3"/>
      <c r="D1515" s="3"/>
      <c r="E1515" s="156" t="s">
        <v>1708</v>
      </c>
      <c r="F1515" s="3"/>
      <c r="G1515" s="158">
        <v>56.45</v>
      </c>
      <c r="H1515" s="155">
        <v>18</v>
      </c>
      <c r="I1515" s="155">
        <v>60</v>
      </c>
      <c r="J1515" s="156" t="s">
        <v>39</v>
      </c>
      <c r="K1515" s="5"/>
      <c r="L1515" s="3"/>
      <c r="M1515" s="6"/>
      <c r="N1515" s="9"/>
      <c r="O1515" s="158">
        <v>1016.1</v>
      </c>
      <c r="P1515" s="12"/>
      <c r="Q1515" s="12"/>
      <c r="R1515" s="12"/>
      <c r="S1515" s="12"/>
      <c r="T1515" s="12"/>
      <c r="U1515" s="12"/>
      <c r="V1515" s="12"/>
      <c r="W1515" s="12"/>
      <c r="X1515" s="12"/>
      <c r="Y1515" s="12"/>
      <c r="Z1515" s="12"/>
    </row>
    <row r="1516" spans="1:26" ht="14.25" customHeight="1" x14ac:dyDescent="0.3">
      <c r="A1516" s="155">
        <v>836</v>
      </c>
      <c r="B1516" s="156" t="s">
        <v>1686</v>
      </c>
      <c r="C1516" s="3"/>
      <c r="D1516" s="3"/>
      <c r="E1516" s="156" t="s">
        <v>1709</v>
      </c>
      <c r="F1516" s="3"/>
      <c r="G1516" s="158">
        <v>40.1</v>
      </c>
      <c r="H1516" s="155">
        <v>3</v>
      </c>
      <c r="I1516" s="155">
        <v>60</v>
      </c>
      <c r="J1516" s="156" t="s">
        <v>39</v>
      </c>
      <c r="K1516" s="5"/>
      <c r="L1516" s="3"/>
      <c r="M1516" s="6"/>
      <c r="N1516" s="9"/>
      <c r="O1516" s="158">
        <v>120.3</v>
      </c>
      <c r="P1516" s="12"/>
      <c r="Q1516" s="12"/>
      <c r="R1516" s="12"/>
      <c r="S1516" s="12"/>
      <c r="T1516" s="12"/>
      <c r="U1516" s="12"/>
      <c r="V1516" s="12"/>
      <c r="W1516" s="12"/>
      <c r="X1516" s="12"/>
      <c r="Y1516" s="12"/>
      <c r="Z1516" s="12"/>
    </row>
    <row r="1517" spans="1:26" ht="14.25" customHeight="1" x14ac:dyDescent="0.3">
      <c r="A1517" s="155">
        <v>836</v>
      </c>
      <c r="B1517" s="156" t="s">
        <v>1686</v>
      </c>
      <c r="C1517" s="3"/>
      <c r="D1517" s="3"/>
      <c r="E1517" s="156" t="s">
        <v>1710</v>
      </c>
      <c r="F1517" s="3"/>
      <c r="G1517" s="158">
        <v>15.88889</v>
      </c>
      <c r="H1517" s="155">
        <v>450</v>
      </c>
      <c r="I1517" s="155">
        <v>60</v>
      </c>
      <c r="J1517" s="156" t="s">
        <v>39</v>
      </c>
      <c r="K1517" s="5"/>
      <c r="L1517" s="3"/>
      <c r="M1517" s="6"/>
      <c r="N1517" s="9"/>
      <c r="O1517" s="158">
        <v>7150</v>
      </c>
      <c r="P1517" s="12"/>
      <c r="Q1517" s="12"/>
      <c r="R1517" s="12"/>
      <c r="S1517" s="12"/>
      <c r="T1517" s="12"/>
      <c r="U1517" s="12"/>
      <c r="V1517" s="12"/>
      <c r="W1517" s="12"/>
      <c r="X1517" s="12"/>
      <c r="Y1517" s="12"/>
      <c r="Z1517" s="12"/>
    </row>
    <row r="1518" spans="1:26" ht="14.25" customHeight="1" x14ac:dyDescent="0.3">
      <c r="A1518" s="155">
        <v>836</v>
      </c>
      <c r="B1518" s="156" t="s">
        <v>1686</v>
      </c>
      <c r="C1518" s="3"/>
      <c r="D1518" s="3"/>
      <c r="E1518" s="156" t="s">
        <v>1711</v>
      </c>
      <c r="F1518" s="3"/>
      <c r="G1518" s="158">
        <v>48.8</v>
      </c>
      <c r="H1518" s="155">
        <v>2</v>
      </c>
      <c r="I1518" s="155">
        <v>60</v>
      </c>
      <c r="J1518" s="156" t="s">
        <v>39</v>
      </c>
      <c r="K1518" s="5"/>
      <c r="L1518" s="3"/>
      <c r="M1518" s="6"/>
      <c r="N1518" s="9"/>
      <c r="O1518" s="158">
        <v>97.6</v>
      </c>
      <c r="P1518" s="12"/>
      <c r="Q1518" s="12"/>
      <c r="R1518" s="12"/>
      <c r="S1518" s="12"/>
      <c r="T1518" s="12"/>
      <c r="U1518" s="12"/>
      <c r="V1518" s="12"/>
      <c r="W1518" s="12"/>
      <c r="X1518" s="12"/>
      <c r="Y1518" s="12"/>
      <c r="Z1518" s="12"/>
    </row>
    <row r="1519" spans="1:26" ht="14.25" customHeight="1" x14ac:dyDescent="0.3">
      <c r="A1519" s="155">
        <v>836</v>
      </c>
      <c r="B1519" s="156" t="s">
        <v>1686</v>
      </c>
      <c r="C1519" s="3"/>
      <c r="D1519" s="3"/>
      <c r="E1519" s="156" t="s">
        <v>1712</v>
      </c>
      <c r="F1519" s="3"/>
      <c r="G1519" s="158">
        <v>65.25</v>
      </c>
      <c r="H1519" s="155">
        <v>2</v>
      </c>
      <c r="I1519" s="155">
        <v>60</v>
      </c>
      <c r="J1519" s="156" t="s">
        <v>39</v>
      </c>
      <c r="K1519" s="5"/>
      <c r="L1519" s="3"/>
      <c r="M1519" s="6"/>
      <c r="N1519" s="9"/>
      <c r="O1519" s="158">
        <v>130.5</v>
      </c>
      <c r="P1519" s="12"/>
      <c r="Q1519" s="12"/>
      <c r="R1519" s="12"/>
      <c r="S1519" s="12"/>
      <c r="T1519" s="12"/>
      <c r="U1519" s="12"/>
      <c r="V1519" s="12"/>
      <c r="W1519" s="12"/>
      <c r="X1519" s="12"/>
      <c r="Y1519" s="12"/>
      <c r="Z1519" s="12"/>
    </row>
    <row r="1520" spans="1:26" ht="14.25" customHeight="1" x14ac:dyDescent="0.3">
      <c r="A1520" s="155">
        <v>836</v>
      </c>
      <c r="B1520" s="156" t="s">
        <v>1686</v>
      </c>
      <c r="C1520" s="3"/>
      <c r="D1520" s="3"/>
      <c r="E1520" s="156" t="s">
        <v>1713</v>
      </c>
      <c r="F1520" s="3"/>
      <c r="G1520" s="158">
        <v>6.03</v>
      </c>
      <c r="H1520" s="155">
        <v>100</v>
      </c>
      <c r="I1520" s="155">
        <v>60</v>
      </c>
      <c r="J1520" s="156" t="s">
        <v>39</v>
      </c>
      <c r="K1520" s="5"/>
      <c r="L1520" s="3"/>
      <c r="M1520" s="6"/>
      <c r="N1520" s="9"/>
      <c r="O1520" s="158">
        <v>603</v>
      </c>
      <c r="P1520" s="12"/>
      <c r="Q1520" s="12"/>
      <c r="R1520" s="12"/>
      <c r="S1520" s="12"/>
      <c r="T1520" s="12"/>
      <c r="U1520" s="12"/>
      <c r="V1520" s="12"/>
      <c r="W1520" s="12"/>
      <c r="X1520" s="12"/>
      <c r="Y1520" s="12"/>
      <c r="Z1520" s="12"/>
    </row>
    <row r="1521" spans="1:26" ht="14.25" customHeight="1" x14ac:dyDescent="0.3">
      <c r="A1521" s="155">
        <v>836</v>
      </c>
      <c r="B1521" s="156" t="s">
        <v>1686</v>
      </c>
      <c r="C1521" s="3"/>
      <c r="D1521" s="3"/>
      <c r="E1521" s="156" t="s">
        <v>1714</v>
      </c>
      <c r="F1521" s="3"/>
      <c r="G1521" s="158">
        <v>40.1</v>
      </c>
      <c r="H1521" s="155">
        <v>10</v>
      </c>
      <c r="I1521" s="155">
        <v>60</v>
      </c>
      <c r="J1521" s="156" t="s">
        <v>39</v>
      </c>
      <c r="K1521" s="5"/>
      <c r="L1521" s="3"/>
      <c r="M1521" s="6"/>
      <c r="N1521" s="9"/>
      <c r="O1521" s="158">
        <v>401</v>
      </c>
      <c r="P1521" s="12"/>
      <c r="Q1521" s="12"/>
      <c r="R1521" s="12"/>
      <c r="S1521" s="12"/>
      <c r="T1521" s="12"/>
      <c r="U1521" s="12"/>
      <c r="V1521" s="12"/>
      <c r="W1521" s="12"/>
      <c r="X1521" s="12"/>
      <c r="Y1521" s="12"/>
      <c r="Z1521" s="12"/>
    </row>
    <row r="1522" spans="1:26" ht="14.25" customHeight="1" x14ac:dyDescent="0.3">
      <c r="A1522" s="155">
        <v>836</v>
      </c>
      <c r="B1522" s="156" t="s">
        <v>1686</v>
      </c>
      <c r="C1522" s="3"/>
      <c r="D1522" s="3"/>
      <c r="E1522" s="156" t="s">
        <v>1715</v>
      </c>
      <c r="F1522" s="3"/>
      <c r="G1522" s="158">
        <v>12.1</v>
      </c>
      <c r="H1522" s="155">
        <v>31</v>
      </c>
      <c r="I1522" s="155">
        <v>60</v>
      </c>
      <c r="J1522" s="156" t="s">
        <v>39</v>
      </c>
      <c r="K1522" s="5"/>
      <c r="L1522" s="3"/>
      <c r="M1522" s="6"/>
      <c r="N1522" s="9"/>
      <c r="O1522" s="158">
        <v>375.1</v>
      </c>
      <c r="P1522" s="12"/>
      <c r="Q1522" s="12"/>
      <c r="R1522" s="12"/>
      <c r="S1522" s="12"/>
      <c r="T1522" s="12"/>
      <c r="U1522" s="12"/>
      <c r="V1522" s="12"/>
      <c r="W1522" s="12"/>
      <c r="X1522" s="12"/>
      <c r="Y1522" s="12"/>
      <c r="Z1522" s="12"/>
    </row>
    <row r="1523" spans="1:26" ht="14.25" customHeight="1" x14ac:dyDescent="0.3">
      <c r="A1523" s="155">
        <v>836</v>
      </c>
      <c r="B1523" s="156" t="s">
        <v>1686</v>
      </c>
      <c r="C1523" s="3"/>
      <c r="D1523" s="3"/>
      <c r="E1523" s="156" t="s">
        <v>1716</v>
      </c>
      <c r="F1523" s="3"/>
      <c r="G1523" s="158">
        <v>24.23</v>
      </c>
      <c r="H1523" s="155">
        <v>50</v>
      </c>
      <c r="I1523" s="155">
        <v>60</v>
      </c>
      <c r="J1523" s="156" t="s">
        <v>39</v>
      </c>
      <c r="K1523" s="5"/>
      <c r="L1523" s="3"/>
      <c r="M1523" s="6"/>
      <c r="N1523" s="9"/>
      <c r="O1523" s="158">
        <v>1211.5</v>
      </c>
      <c r="P1523" s="12"/>
      <c r="Q1523" s="12"/>
      <c r="R1523" s="12"/>
      <c r="S1523" s="12"/>
      <c r="T1523" s="12"/>
      <c r="U1523" s="12"/>
      <c r="V1523" s="12"/>
      <c r="W1523" s="12"/>
      <c r="X1523" s="12"/>
      <c r="Y1523" s="12"/>
      <c r="Z1523" s="12"/>
    </row>
    <row r="1524" spans="1:26" ht="14.25" customHeight="1" x14ac:dyDescent="0.3">
      <c r="A1524" s="155">
        <v>836</v>
      </c>
      <c r="B1524" s="156" t="s">
        <v>1686</v>
      </c>
      <c r="C1524" s="3"/>
      <c r="D1524" s="3"/>
      <c r="E1524" s="156" t="s">
        <v>1717</v>
      </c>
      <c r="F1524" s="3"/>
      <c r="G1524" s="158">
        <v>11.2</v>
      </c>
      <c r="H1524" s="155">
        <v>81</v>
      </c>
      <c r="I1524" s="155">
        <v>60</v>
      </c>
      <c r="J1524" s="156" t="s">
        <v>92</v>
      </c>
      <c r="K1524" s="5"/>
      <c r="L1524" s="3"/>
      <c r="M1524" s="6"/>
      <c r="N1524" s="9"/>
      <c r="O1524" s="158">
        <v>907.2</v>
      </c>
      <c r="P1524" s="12"/>
      <c r="Q1524" s="12"/>
      <c r="R1524" s="12"/>
      <c r="S1524" s="12"/>
      <c r="T1524" s="12"/>
      <c r="U1524" s="12"/>
      <c r="V1524" s="12"/>
      <c r="W1524" s="12"/>
      <c r="X1524" s="12"/>
      <c r="Y1524" s="12"/>
      <c r="Z1524" s="12"/>
    </row>
    <row r="1525" spans="1:26" ht="14.25" customHeight="1" x14ac:dyDescent="0.3">
      <c r="A1525" s="155">
        <v>836</v>
      </c>
      <c r="B1525" s="156" t="s">
        <v>1686</v>
      </c>
      <c r="C1525" s="3"/>
      <c r="D1525" s="3"/>
      <c r="E1525" s="156" t="s">
        <v>1718</v>
      </c>
      <c r="F1525" s="3"/>
      <c r="G1525" s="158">
        <v>11.3</v>
      </c>
      <c r="H1525" s="155">
        <v>4</v>
      </c>
      <c r="I1525" s="155">
        <v>60</v>
      </c>
      <c r="J1525" s="156" t="s">
        <v>92</v>
      </c>
      <c r="K1525" s="5"/>
      <c r="L1525" s="3"/>
      <c r="M1525" s="6"/>
      <c r="N1525" s="9"/>
      <c r="O1525" s="158">
        <v>45.2</v>
      </c>
      <c r="P1525" s="12"/>
      <c r="Q1525" s="12"/>
      <c r="R1525" s="12"/>
      <c r="S1525" s="12"/>
      <c r="T1525" s="12"/>
      <c r="U1525" s="12"/>
      <c r="V1525" s="12"/>
      <c r="W1525" s="12"/>
      <c r="X1525" s="12"/>
      <c r="Y1525" s="12"/>
      <c r="Z1525" s="12"/>
    </row>
    <row r="1526" spans="1:26" ht="14.25" customHeight="1" x14ac:dyDescent="0.3">
      <c r="A1526" s="155">
        <v>836</v>
      </c>
      <c r="B1526" s="156" t="s">
        <v>1686</v>
      </c>
      <c r="C1526" s="3"/>
      <c r="D1526" s="3"/>
      <c r="E1526" s="156" t="s">
        <v>1719</v>
      </c>
      <c r="F1526" s="3"/>
      <c r="G1526" s="158">
        <v>36</v>
      </c>
      <c r="H1526" s="155">
        <v>360</v>
      </c>
      <c r="I1526" s="155">
        <v>60</v>
      </c>
      <c r="J1526" s="156" t="s">
        <v>39</v>
      </c>
      <c r="K1526" s="5"/>
      <c r="L1526" s="3"/>
      <c r="M1526" s="6"/>
      <c r="N1526" s="9"/>
      <c r="O1526" s="158">
        <v>12960</v>
      </c>
      <c r="P1526" s="12"/>
      <c r="Q1526" s="12"/>
      <c r="R1526" s="12"/>
      <c r="S1526" s="12"/>
      <c r="T1526" s="12"/>
      <c r="U1526" s="12"/>
      <c r="V1526" s="12"/>
      <c r="W1526" s="12"/>
      <c r="X1526" s="12"/>
      <c r="Y1526" s="12"/>
      <c r="Z1526" s="12"/>
    </row>
    <row r="1527" spans="1:26" ht="14.25" customHeight="1" x14ac:dyDescent="0.3">
      <c r="A1527" s="155">
        <v>836</v>
      </c>
      <c r="B1527" s="156" t="s">
        <v>1686</v>
      </c>
      <c r="C1527" s="3"/>
      <c r="D1527" s="3"/>
      <c r="E1527" s="156" t="s">
        <v>1720</v>
      </c>
      <c r="F1527" s="3"/>
      <c r="G1527" s="158">
        <v>24.754999999999999</v>
      </c>
      <c r="H1527" s="155">
        <v>40</v>
      </c>
      <c r="I1527" s="155">
        <v>60</v>
      </c>
      <c r="J1527" s="156" t="s">
        <v>39</v>
      </c>
      <c r="K1527" s="5"/>
      <c r="L1527" s="3"/>
      <c r="M1527" s="6"/>
      <c r="N1527" s="9"/>
      <c r="O1527" s="158">
        <v>990.2</v>
      </c>
      <c r="P1527" s="12"/>
      <c r="Q1527" s="12"/>
      <c r="R1527" s="12"/>
      <c r="S1527" s="12"/>
      <c r="T1527" s="12"/>
      <c r="U1527" s="12"/>
      <c r="V1527" s="12"/>
      <c r="W1527" s="12"/>
      <c r="X1527" s="12"/>
      <c r="Y1527" s="12"/>
      <c r="Z1527" s="12"/>
    </row>
    <row r="1528" spans="1:26" ht="14.25" customHeight="1" x14ac:dyDescent="0.3">
      <c r="A1528" s="155">
        <v>836</v>
      </c>
      <c r="B1528" s="156" t="s">
        <v>1686</v>
      </c>
      <c r="C1528" s="3"/>
      <c r="D1528" s="3"/>
      <c r="E1528" s="156" t="s">
        <v>1721</v>
      </c>
      <c r="F1528" s="3"/>
      <c r="G1528" s="158">
        <v>19.16</v>
      </c>
      <c r="H1528" s="155">
        <v>30</v>
      </c>
      <c r="I1528" s="155">
        <v>60</v>
      </c>
      <c r="J1528" s="156" t="s">
        <v>92</v>
      </c>
      <c r="K1528" s="5"/>
      <c r="L1528" s="3"/>
      <c r="M1528" s="6"/>
      <c r="N1528" s="9"/>
      <c r="O1528" s="158">
        <v>574.79999999999995</v>
      </c>
      <c r="P1528" s="12"/>
      <c r="Q1528" s="12"/>
      <c r="R1528" s="12"/>
      <c r="S1528" s="12"/>
      <c r="T1528" s="12"/>
      <c r="U1528" s="12"/>
      <c r="V1528" s="12"/>
      <c r="W1528" s="12"/>
      <c r="X1528" s="12"/>
      <c r="Y1528" s="12"/>
      <c r="Z1528" s="12"/>
    </row>
    <row r="1529" spans="1:26" ht="14.25" customHeight="1" x14ac:dyDescent="0.3">
      <c r="A1529" s="155">
        <v>836</v>
      </c>
      <c r="B1529" s="156" t="s">
        <v>1686</v>
      </c>
      <c r="C1529" s="3"/>
      <c r="D1529" s="3"/>
      <c r="E1529" s="156" t="s">
        <v>1722</v>
      </c>
      <c r="F1529" s="3"/>
      <c r="G1529" s="158">
        <v>16.329999999999998</v>
      </c>
      <c r="H1529" s="155">
        <v>50</v>
      </c>
      <c r="I1529" s="155">
        <v>60</v>
      </c>
      <c r="J1529" s="156" t="s">
        <v>39</v>
      </c>
      <c r="K1529" s="5"/>
      <c r="L1529" s="3"/>
      <c r="M1529" s="6"/>
      <c r="N1529" s="9"/>
      <c r="O1529" s="158">
        <v>816.5</v>
      </c>
      <c r="P1529" s="12"/>
      <c r="Q1529" s="12"/>
      <c r="R1529" s="12"/>
      <c r="S1529" s="12"/>
      <c r="T1529" s="12"/>
      <c r="U1529" s="12"/>
      <c r="V1529" s="12"/>
      <c r="W1529" s="12"/>
      <c r="X1529" s="12"/>
      <c r="Y1529" s="12"/>
      <c r="Z1529" s="12"/>
    </row>
    <row r="1530" spans="1:26" ht="14.25" customHeight="1" x14ac:dyDescent="0.3">
      <c r="A1530" s="155">
        <v>836</v>
      </c>
      <c r="B1530" s="156" t="s">
        <v>1686</v>
      </c>
      <c r="C1530" s="3"/>
      <c r="D1530" s="3"/>
      <c r="E1530" s="156" t="s">
        <v>1723</v>
      </c>
      <c r="F1530" s="3"/>
      <c r="G1530" s="158">
        <v>25.25</v>
      </c>
      <c r="H1530" s="155">
        <v>35</v>
      </c>
      <c r="I1530" s="155">
        <v>60</v>
      </c>
      <c r="J1530" s="156" t="s">
        <v>39</v>
      </c>
      <c r="K1530" s="5"/>
      <c r="L1530" s="3"/>
      <c r="M1530" s="6"/>
      <c r="N1530" s="9"/>
      <c r="O1530" s="158">
        <v>883.75</v>
      </c>
      <c r="P1530" s="12"/>
      <c r="Q1530" s="12"/>
      <c r="R1530" s="12"/>
      <c r="S1530" s="12"/>
      <c r="T1530" s="12"/>
      <c r="U1530" s="12"/>
      <c r="V1530" s="12"/>
      <c r="W1530" s="12"/>
      <c r="X1530" s="12"/>
      <c r="Y1530" s="12"/>
      <c r="Z1530" s="12"/>
    </row>
    <row r="1531" spans="1:26" ht="14.25" customHeight="1" x14ac:dyDescent="0.3">
      <c r="A1531" s="155">
        <v>836</v>
      </c>
      <c r="B1531" s="156" t="s">
        <v>1686</v>
      </c>
      <c r="C1531" s="3"/>
      <c r="D1531" s="3"/>
      <c r="E1531" s="156" t="s">
        <v>1724</v>
      </c>
      <c r="F1531" s="3"/>
      <c r="G1531" s="158">
        <v>7.07</v>
      </c>
      <c r="H1531" s="155">
        <v>105</v>
      </c>
      <c r="I1531" s="155">
        <v>60</v>
      </c>
      <c r="J1531" s="156" t="s">
        <v>39</v>
      </c>
      <c r="K1531" s="5"/>
      <c r="L1531" s="3"/>
      <c r="M1531" s="6"/>
      <c r="N1531" s="9"/>
      <c r="O1531" s="158">
        <v>742.35</v>
      </c>
      <c r="P1531" s="12"/>
      <c r="Q1531" s="12"/>
      <c r="R1531" s="12"/>
      <c r="S1531" s="12"/>
      <c r="T1531" s="12"/>
      <c r="U1531" s="12"/>
      <c r="V1531" s="12"/>
      <c r="W1531" s="12"/>
      <c r="X1531" s="12"/>
      <c r="Y1531" s="12"/>
      <c r="Z1531" s="12"/>
    </row>
    <row r="1532" spans="1:26" ht="14.25" customHeight="1" x14ac:dyDescent="0.3">
      <c r="A1532" s="155">
        <v>836</v>
      </c>
      <c r="B1532" s="156" t="s">
        <v>1686</v>
      </c>
      <c r="C1532" s="3"/>
      <c r="D1532" s="3"/>
      <c r="E1532" s="156" t="s">
        <v>1725</v>
      </c>
      <c r="F1532" s="3"/>
      <c r="G1532" s="158">
        <v>15.70294</v>
      </c>
      <c r="H1532" s="155">
        <v>68</v>
      </c>
      <c r="I1532" s="155">
        <v>60</v>
      </c>
      <c r="J1532" s="156" t="s">
        <v>39</v>
      </c>
      <c r="K1532" s="5"/>
      <c r="L1532" s="3"/>
      <c r="M1532" s="6"/>
      <c r="N1532" s="9"/>
      <c r="O1532" s="158">
        <v>1067.8</v>
      </c>
      <c r="P1532" s="12"/>
      <c r="Q1532" s="12"/>
      <c r="R1532" s="12"/>
      <c r="S1532" s="12"/>
      <c r="T1532" s="12"/>
      <c r="U1532" s="12"/>
      <c r="V1532" s="12"/>
      <c r="W1532" s="12"/>
      <c r="X1532" s="12"/>
      <c r="Y1532" s="12"/>
      <c r="Z1532" s="12"/>
    </row>
    <row r="1533" spans="1:26" ht="14.25" customHeight="1" x14ac:dyDescent="0.3">
      <c r="A1533" s="155">
        <v>836</v>
      </c>
      <c r="B1533" s="156" t="s">
        <v>1686</v>
      </c>
      <c r="C1533" s="3"/>
      <c r="D1533" s="3"/>
      <c r="E1533" s="156" t="s">
        <v>1726</v>
      </c>
      <c r="F1533" s="3"/>
      <c r="G1533" s="158">
        <v>7</v>
      </c>
      <c r="H1533" s="155">
        <v>11</v>
      </c>
      <c r="I1533" s="155">
        <v>60</v>
      </c>
      <c r="J1533" s="156" t="s">
        <v>39</v>
      </c>
      <c r="K1533" s="5"/>
      <c r="L1533" s="3"/>
      <c r="M1533" s="6"/>
      <c r="N1533" s="9"/>
      <c r="O1533" s="158">
        <v>77</v>
      </c>
      <c r="P1533" s="12"/>
      <c r="Q1533" s="12"/>
      <c r="R1533" s="12"/>
      <c r="S1533" s="12"/>
      <c r="T1533" s="12"/>
      <c r="U1533" s="12"/>
      <c r="V1533" s="12"/>
      <c r="W1533" s="12"/>
      <c r="X1533" s="12"/>
      <c r="Y1533" s="12"/>
      <c r="Z1533" s="12"/>
    </row>
    <row r="1534" spans="1:26" ht="14.25" customHeight="1" x14ac:dyDescent="0.3">
      <c r="A1534" s="155">
        <v>836</v>
      </c>
      <c r="B1534" s="156" t="s">
        <v>1686</v>
      </c>
      <c r="C1534" s="3"/>
      <c r="D1534" s="3"/>
      <c r="E1534" s="156" t="s">
        <v>1727</v>
      </c>
      <c r="F1534" s="3"/>
      <c r="G1534" s="158">
        <v>22.45</v>
      </c>
      <c r="H1534" s="155">
        <v>7</v>
      </c>
      <c r="I1534" s="155">
        <v>60</v>
      </c>
      <c r="J1534" s="156" t="s">
        <v>39</v>
      </c>
      <c r="K1534" s="5"/>
      <c r="L1534" s="3"/>
      <c r="M1534" s="6"/>
      <c r="N1534" s="9"/>
      <c r="O1534" s="158">
        <v>157.15</v>
      </c>
      <c r="P1534" s="12"/>
      <c r="Q1534" s="12"/>
      <c r="R1534" s="12"/>
      <c r="S1534" s="12"/>
      <c r="T1534" s="12"/>
      <c r="U1534" s="12"/>
      <c r="V1534" s="12"/>
      <c r="W1534" s="12"/>
      <c r="X1534" s="12"/>
      <c r="Y1534" s="12"/>
      <c r="Z1534" s="12"/>
    </row>
    <row r="1535" spans="1:26" ht="14.25" customHeight="1" x14ac:dyDescent="0.3">
      <c r="A1535" s="155">
        <v>836</v>
      </c>
      <c r="B1535" s="156" t="s">
        <v>1686</v>
      </c>
      <c r="C1535" s="3"/>
      <c r="D1535" s="3"/>
      <c r="E1535" s="156" t="s">
        <v>1728</v>
      </c>
      <c r="F1535" s="3"/>
      <c r="G1535" s="158">
        <v>15.72</v>
      </c>
      <c r="H1535" s="155">
        <v>17</v>
      </c>
      <c r="I1535" s="155">
        <v>60</v>
      </c>
      <c r="J1535" s="156" t="s">
        <v>39</v>
      </c>
      <c r="K1535" s="5"/>
      <c r="L1535" s="3"/>
      <c r="M1535" s="6"/>
      <c r="N1535" s="9"/>
      <c r="O1535" s="158">
        <v>267.24</v>
      </c>
      <c r="P1535" s="12"/>
      <c r="Q1535" s="12"/>
      <c r="R1535" s="12"/>
      <c r="S1535" s="12"/>
      <c r="T1535" s="12"/>
      <c r="U1535" s="12"/>
      <c r="V1535" s="12"/>
      <c r="W1535" s="12"/>
      <c r="X1535" s="12"/>
      <c r="Y1535" s="12"/>
      <c r="Z1535" s="12"/>
    </row>
    <row r="1536" spans="1:26" ht="14.25" customHeight="1" x14ac:dyDescent="0.3">
      <c r="A1536" s="155">
        <v>836</v>
      </c>
      <c r="B1536" s="156" t="s">
        <v>1686</v>
      </c>
      <c r="C1536" s="3"/>
      <c r="D1536" s="3"/>
      <c r="E1536" s="156" t="s">
        <v>1729</v>
      </c>
      <c r="F1536" s="3"/>
      <c r="G1536" s="158">
        <v>300.50709999999998</v>
      </c>
      <c r="H1536" s="155">
        <v>210</v>
      </c>
      <c r="I1536" s="155">
        <v>60</v>
      </c>
      <c r="J1536" s="156" t="s">
        <v>39</v>
      </c>
      <c r="K1536" s="5"/>
      <c r="L1536" s="3"/>
      <c r="M1536" s="6"/>
      <c r="N1536" s="9"/>
      <c r="O1536" s="158">
        <v>63106.5</v>
      </c>
      <c r="P1536" s="12"/>
      <c r="Q1536" s="12"/>
      <c r="R1536" s="12"/>
      <c r="S1536" s="12"/>
      <c r="T1536" s="12"/>
      <c r="U1536" s="12"/>
      <c r="V1536" s="12"/>
      <c r="W1536" s="12"/>
      <c r="X1536" s="12"/>
      <c r="Y1536" s="12"/>
      <c r="Z1536" s="12"/>
    </row>
    <row r="1537" spans="1:26" ht="14.25" customHeight="1" x14ac:dyDescent="0.3">
      <c r="A1537" s="155">
        <v>836</v>
      </c>
      <c r="B1537" s="156" t="s">
        <v>1686</v>
      </c>
      <c r="C1537" s="3"/>
      <c r="D1537" s="3"/>
      <c r="E1537" s="156" t="s">
        <v>1730</v>
      </c>
      <c r="F1537" s="3"/>
      <c r="G1537" s="158">
        <v>19.16</v>
      </c>
      <c r="H1537" s="155">
        <v>53</v>
      </c>
      <c r="I1537" s="155">
        <v>60</v>
      </c>
      <c r="J1537" s="156" t="s">
        <v>39</v>
      </c>
      <c r="K1537" s="5"/>
      <c r="L1537" s="3"/>
      <c r="M1537" s="6"/>
      <c r="N1537" s="9"/>
      <c r="O1537" s="158">
        <v>1015.48</v>
      </c>
      <c r="P1537" s="12"/>
      <c r="Q1537" s="12"/>
      <c r="R1537" s="12"/>
      <c r="S1537" s="12"/>
      <c r="T1537" s="12"/>
      <c r="U1537" s="12"/>
      <c r="V1537" s="12"/>
      <c r="W1537" s="12"/>
      <c r="X1537" s="12"/>
      <c r="Y1537" s="12"/>
      <c r="Z1537" s="12"/>
    </row>
    <row r="1538" spans="1:26" ht="14.25" customHeight="1" x14ac:dyDescent="0.3">
      <c r="A1538" s="155">
        <v>836</v>
      </c>
      <c r="B1538" s="156" t="s">
        <v>1686</v>
      </c>
      <c r="C1538" s="3"/>
      <c r="D1538" s="3"/>
      <c r="E1538" s="156" t="s">
        <v>1731</v>
      </c>
      <c r="F1538" s="3"/>
      <c r="G1538" s="158">
        <v>20.239470000000001</v>
      </c>
      <c r="H1538" s="155">
        <v>38</v>
      </c>
      <c r="I1538" s="155">
        <v>60</v>
      </c>
      <c r="J1538" s="156" t="s">
        <v>39</v>
      </c>
      <c r="K1538" s="5"/>
      <c r="L1538" s="3"/>
      <c r="M1538" s="6"/>
      <c r="N1538" s="9"/>
      <c r="O1538" s="158">
        <v>769.1</v>
      </c>
      <c r="P1538" s="12"/>
      <c r="Q1538" s="12"/>
      <c r="R1538" s="12"/>
      <c r="S1538" s="12"/>
      <c r="T1538" s="12"/>
      <c r="U1538" s="12"/>
      <c r="V1538" s="12"/>
      <c r="W1538" s="12"/>
      <c r="X1538" s="12"/>
      <c r="Y1538" s="12"/>
      <c r="Z1538" s="12"/>
    </row>
    <row r="1539" spans="1:26" ht="14.25" customHeight="1" x14ac:dyDescent="0.3">
      <c r="A1539" s="155">
        <v>836</v>
      </c>
      <c r="B1539" s="156" t="s">
        <v>1686</v>
      </c>
      <c r="C1539" s="3"/>
      <c r="D1539" s="3"/>
      <c r="E1539" s="156" t="s">
        <v>1732</v>
      </c>
      <c r="F1539" s="3"/>
      <c r="G1539" s="158">
        <v>11.069319999999999</v>
      </c>
      <c r="H1539" s="155">
        <v>44</v>
      </c>
      <c r="I1539" s="155">
        <v>60</v>
      </c>
      <c r="J1539" s="156" t="s">
        <v>39</v>
      </c>
      <c r="K1539" s="5"/>
      <c r="L1539" s="3"/>
      <c r="M1539" s="6"/>
      <c r="N1539" s="9"/>
      <c r="O1539" s="158">
        <v>487.05</v>
      </c>
      <c r="P1539" s="12"/>
      <c r="Q1539" s="12"/>
      <c r="R1539" s="12"/>
      <c r="S1539" s="12"/>
      <c r="T1539" s="12"/>
      <c r="U1539" s="12"/>
      <c r="V1539" s="12"/>
      <c r="W1539" s="12"/>
      <c r="X1539" s="12"/>
      <c r="Y1539" s="12"/>
      <c r="Z1539" s="12"/>
    </row>
    <row r="1540" spans="1:26" ht="14.25" customHeight="1" x14ac:dyDescent="0.3">
      <c r="A1540" s="155">
        <v>837</v>
      </c>
      <c r="B1540" s="156" t="s">
        <v>1733</v>
      </c>
      <c r="C1540" s="3"/>
      <c r="D1540" s="3"/>
      <c r="E1540" s="156"/>
      <c r="F1540" s="3"/>
      <c r="G1540" s="158">
        <v>12</v>
      </c>
      <c r="H1540" s="155">
        <v>65</v>
      </c>
      <c r="I1540" s="155">
        <v>1</v>
      </c>
      <c r="J1540" s="156" t="s">
        <v>1734</v>
      </c>
      <c r="K1540" s="5"/>
      <c r="L1540" s="3"/>
      <c r="M1540" s="6"/>
      <c r="N1540" s="9"/>
      <c r="O1540" s="158">
        <v>780</v>
      </c>
      <c r="P1540" s="12"/>
      <c r="Q1540" s="12"/>
      <c r="R1540" s="12"/>
      <c r="S1540" s="12"/>
      <c r="T1540" s="12"/>
      <c r="U1540" s="12"/>
      <c r="V1540" s="12"/>
      <c r="W1540" s="12"/>
      <c r="X1540" s="12"/>
      <c r="Y1540" s="12"/>
      <c r="Z1540" s="12"/>
    </row>
    <row r="1541" spans="1:26" ht="14.25" customHeight="1" x14ac:dyDescent="0.3">
      <c r="A1541" s="155">
        <v>838</v>
      </c>
      <c r="B1541" s="156" t="s">
        <v>1735</v>
      </c>
      <c r="C1541" s="3"/>
      <c r="D1541" s="3"/>
      <c r="E1541" s="156" t="s">
        <v>1736</v>
      </c>
      <c r="F1541" s="3"/>
      <c r="G1541" s="158">
        <v>23.989470000000001</v>
      </c>
      <c r="H1541" s="155">
        <v>38</v>
      </c>
      <c r="I1541" s="155">
        <v>290</v>
      </c>
      <c r="J1541" s="156" t="s">
        <v>32</v>
      </c>
      <c r="K1541" s="5"/>
      <c r="L1541" s="3"/>
      <c r="M1541" s="6"/>
      <c r="N1541" s="9"/>
      <c r="O1541" s="158">
        <v>911.6</v>
      </c>
      <c r="P1541" s="12"/>
      <c r="Q1541" s="12"/>
      <c r="R1541" s="12"/>
      <c r="S1541" s="12"/>
      <c r="T1541" s="12"/>
      <c r="U1541" s="12"/>
      <c r="V1541" s="12"/>
      <c r="W1541" s="12"/>
      <c r="X1541" s="12"/>
      <c r="Y1541" s="12"/>
      <c r="Z1541" s="12"/>
    </row>
    <row r="1542" spans="1:26" ht="14.25" customHeight="1" x14ac:dyDescent="0.3">
      <c r="A1542" s="155">
        <v>838</v>
      </c>
      <c r="B1542" s="156" t="s">
        <v>1735</v>
      </c>
      <c r="C1542" s="3"/>
      <c r="D1542" s="3"/>
      <c r="E1542" s="156" t="s">
        <v>1736</v>
      </c>
      <c r="F1542" s="3"/>
      <c r="G1542" s="158">
        <v>33</v>
      </c>
      <c r="H1542" s="155">
        <v>7</v>
      </c>
      <c r="I1542" s="155">
        <v>290</v>
      </c>
      <c r="J1542" s="156" t="s">
        <v>92</v>
      </c>
      <c r="K1542" s="5"/>
      <c r="L1542" s="3"/>
      <c r="M1542" s="6"/>
      <c r="N1542" s="9"/>
      <c r="O1542" s="158">
        <v>231</v>
      </c>
      <c r="P1542" s="12"/>
      <c r="Q1542" s="12"/>
      <c r="R1542" s="12"/>
      <c r="S1542" s="12"/>
      <c r="T1542" s="12"/>
      <c r="U1542" s="12"/>
      <c r="V1542" s="12"/>
      <c r="W1542" s="12"/>
      <c r="X1542" s="12"/>
      <c r="Y1542" s="12"/>
      <c r="Z1542" s="12"/>
    </row>
    <row r="1543" spans="1:26" ht="14.25" customHeight="1" x14ac:dyDescent="0.3">
      <c r="A1543" s="155">
        <v>838</v>
      </c>
      <c r="B1543" s="156" t="s">
        <v>1735</v>
      </c>
      <c r="C1543" s="3"/>
      <c r="D1543" s="3"/>
      <c r="E1543" s="156" t="s">
        <v>1737</v>
      </c>
      <c r="F1543" s="3"/>
      <c r="G1543" s="158">
        <v>30.07</v>
      </c>
      <c r="H1543" s="155">
        <v>24</v>
      </c>
      <c r="I1543" s="155">
        <v>290</v>
      </c>
      <c r="J1543" s="156" t="s">
        <v>32</v>
      </c>
      <c r="K1543" s="5"/>
      <c r="L1543" s="3"/>
      <c r="M1543" s="6"/>
      <c r="N1543" s="9"/>
      <c r="O1543" s="158">
        <v>721.68</v>
      </c>
      <c r="P1543" s="12"/>
      <c r="Q1543" s="12"/>
      <c r="R1543" s="12"/>
      <c r="S1543" s="12"/>
      <c r="T1543" s="12"/>
      <c r="U1543" s="12"/>
      <c r="V1543" s="12"/>
      <c r="W1543" s="12"/>
      <c r="X1543" s="12"/>
      <c r="Y1543" s="12"/>
      <c r="Z1543" s="12"/>
    </row>
    <row r="1544" spans="1:26" ht="14.25" customHeight="1" x14ac:dyDescent="0.3">
      <c r="A1544" s="155">
        <v>838</v>
      </c>
      <c r="B1544" s="156" t="s">
        <v>1735</v>
      </c>
      <c r="C1544" s="3"/>
      <c r="D1544" s="3"/>
      <c r="E1544" s="156" t="s">
        <v>1738</v>
      </c>
      <c r="F1544" s="3"/>
      <c r="G1544" s="158">
        <v>32.6</v>
      </c>
      <c r="H1544" s="155">
        <v>22</v>
      </c>
      <c r="I1544" s="155">
        <v>290</v>
      </c>
      <c r="J1544" s="156" t="s">
        <v>32</v>
      </c>
      <c r="K1544" s="5"/>
      <c r="L1544" s="3"/>
      <c r="M1544" s="6"/>
      <c r="N1544" s="9"/>
      <c r="O1544" s="158">
        <v>717.2</v>
      </c>
      <c r="P1544" s="12"/>
      <c r="Q1544" s="12"/>
      <c r="R1544" s="12"/>
      <c r="S1544" s="12"/>
      <c r="T1544" s="12"/>
      <c r="U1544" s="12"/>
      <c r="V1544" s="12"/>
      <c r="W1544" s="12"/>
      <c r="X1544" s="12"/>
      <c r="Y1544" s="12"/>
      <c r="Z1544" s="12"/>
    </row>
    <row r="1545" spans="1:26" ht="14.25" customHeight="1" x14ac:dyDescent="0.3">
      <c r="A1545" s="155">
        <v>838</v>
      </c>
      <c r="B1545" s="156" t="s">
        <v>1735</v>
      </c>
      <c r="C1545" s="3"/>
      <c r="D1545" s="3"/>
      <c r="E1545" s="156" t="s">
        <v>1739</v>
      </c>
      <c r="F1545" s="3"/>
      <c r="G1545" s="158">
        <v>24.663049999999998</v>
      </c>
      <c r="H1545" s="155">
        <v>59</v>
      </c>
      <c r="I1545" s="155">
        <v>290</v>
      </c>
      <c r="J1545" s="156" t="s">
        <v>32</v>
      </c>
      <c r="K1545" s="5"/>
      <c r="L1545" s="3"/>
      <c r="M1545" s="6"/>
      <c r="N1545" s="9"/>
      <c r="O1545" s="158">
        <v>1455.12</v>
      </c>
      <c r="P1545" s="12"/>
      <c r="Q1545" s="12"/>
      <c r="R1545" s="12"/>
      <c r="S1545" s="12"/>
      <c r="T1545" s="12"/>
      <c r="U1545" s="12"/>
      <c r="V1545" s="12"/>
      <c r="W1545" s="12"/>
      <c r="X1545" s="12"/>
      <c r="Y1545" s="12"/>
      <c r="Z1545" s="12"/>
    </row>
    <row r="1546" spans="1:26" ht="14.25" customHeight="1" x14ac:dyDescent="0.3">
      <c r="A1546" s="155">
        <v>838</v>
      </c>
      <c r="B1546" s="156" t="s">
        <v>1735</v>
      </c>
      <c r="C1546" s="3"/>
      <c r="D1546" s="3"/>
      <c r="E1546" s="156" t="s">
        <v>1740</v>
      </c>
      <c r="F1546" s="3"/>
      <c r="G1546" s="158">
        <v>25.63</v>
      </c>
      <c r="H1546" s="155">
        <v>64</v>
      </c>
      <c r="I1546" s="155">
        <v>290</v>
      </c>
      <c r="J1546" s="156" t="s">
        <v>32</v>
      </c>
      <c r="K1546" s="5"/>
      <c r="L1546" s="3"/>
      <c r="M1546" s="6"/>
      <c r="N1546" s="9"/>
      <c r="O1546" s="158">
        <v>1640.32</v>
      </c>
      <c r="P1546" s="12"/>
      <c r="Q1546" s="12"/>
      <c r="R1546" s="12"/>
      <c r="S1546" s="12"/>
      <c r="T1546" s="12"/>
      <c r="U1546" s="12"/>
      <c r="V1546" s="12"/>
      <c r="W1546" s="12"/>
      <c r="X1546" s="12"/>
      <c r="Y1546" s="12"/>
      <c r="Z1546" s="12"/>
    </row>
    <row r="1547" spans="1:26" ht="14.25" customHeight="1" x14ac:dyDescent="0.3">
      <c r="A1547" s="155">
        <v>838</v>
      </c>
      <c r="B1547" s="156" t="s">
        <v>1735</v>
      </c>
      <c r="C1547" s="3"/>
      <c r="D1547" s="3"/>
      <c r="E1547" s="156" t="s">
        <v>1741</v>
      </c>
      <c r="F1547" s="3"/>
      <c r="G1547" s="158">
        <v>24</v>
      </c>
      <c r="H1547" s="155">
        <v>11</v>
      </c>
      <c r="I1547" s="155">
        <v>290</v>
      </c>
      <c r="J1547" s="156" t="s">
        <v>32</v>
      </c>
      <c r="K1547" s="5"/>
      <c r="L1547" s="3"/>
      <c r="M1547" s="6"/>
      <c r="N1547" s="9"/>
      <c r="O1547" s="158">
        <v>264</v>
      </c>
      <c r="P1547" s="12"/>
      <c r="Q1547" s="12"/>
      <c r="R1547" s="12"/>
      <c r="S1547" s="12"/>
      <c r="T1547" s="12"/>
      <c r="U1547" s="12"/>
      <c r="V1547" s="12"/>
      <c r="W1547" s="12"/>
      <c r="X1547" s="12"/>
      <c r="Y1547" s="12"/>
      <c r="Z1547" s="12"/>
    </row>
    <row r="1548" spans="1:26" ht="14.25" customHeight="1" x14ac:dyDescent="0.3">
      <c r="A1548" s="155">
        <v>838</v>
      </c>
      <c r="B1548" s="156" t="s">
        <v>1735</v>
      </c>
      <c r="C1548" s="3"/>
      <c r="D1548" s="3"/>
      <c r="E1548" s="156" t="s">
        <v>1742</v>
      </c>
      <c r="F1548" s="3"/>
      <c r="G1548" s="158">
        <v>63.865169999999999</v>
      </c>
      <c r="H1548" s="155">
        <v>89</v>
      </c>
      <c r="I1548" s="155">
        <v>290</v>
      </c>
      <c r="J1548" s="156" t="s">
        <v>773</v>
      </c>
      <c r="K1548" s="5"/>
      <c r="L1548" s="3"/>
      <c r="M1548" s="6"/>
      <c r="N1548" s="9"/>
      <c r="O1548" s="158">
        <v>5684</v>
      </c>
      <c r="P1548" s="12"/>
      <c r="Q1548" s="12"/>
      <c r="R1548" s="12"/>
      <c r="S1548" s="12"/>
      <c r="T1548" s="12"/>
      <c r="U1548" s="12"/>
      <c r="V1548" s="12"/>
      <c r="W1548" s="12"/>
      <c r="X1548" s="12"/>
      <c r="Y1548" s="12"/>
      <c r="Z1548" s="12"/>
    </row>
    <row r="1549" spans="1:26" ht="14.25" customHeight="1" x14ac:dyDescent="0.3">
      <c r="A1549" s="155">
        <v>838</v>
      </c>
      <c r="B1549" s="156" t="s">
        <v>1735</v>
      </c>
      <c r="C1549" s="3"/>
      <c r="D1549" s="3"/>
      <c r="E1549" s="156" t="s">
        <v>1743</v>
      </c>
      <c r="F1549" s="3"/>
      <c r="G1549" s="158">
        <v>22.16</v>
      </c>
      <c r="H1549" s="155">
        <v>4</v>
      </c>
      <c r="I1549" s="155">
        <v>290</v>
      </c>
      <c r="J1549" s="156" t="s">
        <v>32</v>
      </c>
      <c r="K1549" s="5"/>
      <c r="L1549" s="3"/>
      <c r="M1549" s="6"/>
      <c r="N1549" s="9"/>
      <c r="O1549" s="158">
        <v>88.64</v>
      </c>
      <c r="P1549" s="12"/>
      <c r="Q1549" s="12"/>
      <c r="R1549" s="12"/>
      <c r="S1549" s="12"/>
      <c r="T1549" s="12"/>
      <c r="U1549" s="12"/>
      <c r="V1549" s="12"/>
      <c r="W1549" s="12"/>
      <c r="X1549" s="12"/>
      <c r="Y1549" s="12"/>
      <c r="Z1549" s="12"/>
    </row>
    <row r="1550" spans="1:26" ht="14.25" customHeight="1" x14ac:dyDescent="0.3">
      <c r="A1550" s="155">
        <v>838</v>
      </c>
      <c r="B1550" s="156" t="s">
        <v>1735</v>
      </c>
      <c r="C1550" s="3"/>
      <c r="D1550" s="3"/>
      <c r="E1550" s="156" t="s">
        <v>1744</v>
      </c>
      <c r="F1550" s="3"/>
      <c r="G1550" s="158">
        <v>16.66</v>
      </c>
      <c r="H1550" s="155">
        <v>12</v>
      </c>
      <c r="I1550" s="155">
        <v>290</v>
      </c>
      <c r="J1550" s="156" t="s">
        <v>32</v>
      </c>
      <c r="K1550" s="5"/>
      <c r="L1550" s="3"/>
      <c r="M1550" s="6"/>
      <c r="N1550" s="9"/>
      <c r="O1550" s="158">
        <v>199.92</v>
      </c>
      <c r="P1550" s="12"/>
      <c r="Q1550" s="12"/>
      <c r="R1550" s="12"/>
      <c r="S1550" s="12"/>
      <c r="T1550" s="12"/>
      <c r="U1550" s="12"/>
      <c r="V1550" s="12"/>
      <c r="W1550" s="12"/>
      <c r="X1550" s="12"/>
      <c r="Y1550" s="12"/>
      <c r="Z1550" s="12"/>
    </row>
    <row r="1551" spans="1:26" ht="14.25" customHeight="1" x14ac:dyDescent="0.3">
      <c r="A1551" s="155">
        <v>838</v>
      </c>
      <c r="B1551" s="156" t="s">
        <v>1735</v>
      </c>
      <c r="C1551" s="3"/>
      <c r="D1551" s="3"/>
      <c r="E1551" s="156" t="s">
        <v>1745</v>
      </c>
      <c r="F1551" s="3"/>
      <c r="G1551" s="158">
        <v>393.07850000000002</v>
      </c>
      <c r="H1551" s="155">
        <v>144</v>
      </c>
      <c r="I1551" s="155">
        <v>290</v>
      </c>
      <c r="J1551" s="156" t="s">
        <v>32</v>
      </c>
      <c r="K1551" s="5"/>
      <c r="L1551" s="3"/>
      <c r="M1551" s="6"/>
      <c r="N1551" s="9"/>
      <c r="O1551" s="158">
        <v>56603.3</v>
      </c>
      <c r="P1551" s="12"/>
      <c r="Q1551" s="12"/>
      <c r="R1551" s="12"/>
      <c r="S1551" s="12"/>
      <c r="T1551" s="12"/>
      <c r="U1551" s="12"/>
      <c r="V1551" s="12"/>
      <c r="W1551" s="12"/>
      <c r="X1551" s="12"/>
      <c r="Y1551" s="12"/>
      <c r="Z1551" s="12"/>
    </row>
    <row r="1552" spans="1:26" ht="14.25" customHeight="1" x14ac:dyDescent="0.3">
      <c r="A1552" s="155">
        <v>838</v>
      </c>
      <c r="B1552" s="156" t="s">
        <v>1735</v>
      </c>
      <c r="C1552" s="3"/>
      <c r="D1552" s="3"/>
      <c r="E1552" s="156" t="s">
        <v>1746</v>
      </c>
      <c r="F1552" s="3"/>
      <c r="G1552" s="158">
        <v>68.5</v>
      </c>
      <c r="H1552" s="155">
        <v>20</v>
      </c>
      <c r="I1552" s="155">
        <v>290</v>
      </c>
      <c r="J1552" s="156" t="s">
        <v>773</v>
      </c>
      <c r="K1552" s="5"/>
      <c r="L1552" s="3"/>
      <c r="M1552" s="6"/>
      <c r="N1552" s="9"/>
      <c r="O1552" s="158">
        <v>1370</v>
      </c>
      <c r="P1552" s="12"/>
      <c r="Q1552" s="12"/>
      <c r="R1552" s="12"/>
      <c r="S1552" s="12"/>
      <c r="T1552" s="12"/>
      <c r="U1552" s="12"/>
      <c r="V1552" s="12"/>
      <c r="W1552" s="12"/>
      <c r="X1552" s="12"/>
      <c r="Y1552" s="12"/>
      <c r="Z1552" s="12"/>
    </row>
    <row r="1553" spans="1:26" ht="14.25" customHeight="1" x14ac:dyDescent="0.3">
      <c r="A1553" s="155">
        <v>838</v>
      </c>
      <c r="B1553" s="156" t="s">
        <v>1735</v>
      </c>
      <c r="C1553" s="3"/>
      <c r="D1553" s="3"/>
      <c r="E1553" s="156" t="s">
        <v>1747</v>
      </c>
      <c r="F1553" s="3"/>
      <c r="G1553" s="158">
        <v>32.167090000000002</v>
      </c>
      <c r="H1553" s="155">
        <v>141</v>
      </c>
      <c r="I1553" s="155">
        <v>290</v>
      </c>
      <c r="J1553" s="156" t="s">
        <v>32</v>
      </c>
      <c r="K1553" s="5"/>
      <c r="L1553" s="3"/>
      <c r="M1553" s="6"/>
      <c r="N1553" s="9"/>
      <c r="O1553" s="158">
        <v>4535.5600000000004</v>
      </c>
      <c r="P1553" s="12"/>
      <c r="Q1553" s="12"/>
      <c r="R1553" s="12"/>
      <c r="S1553" s="12"/>
      <c r="T1553" s="12"/>
      <c r="U1553" s="12"/>
      <c r="V1553" s="12"/>
      <c r="W1553" s="12"/>
      <c r="X1553" s="12"/>
      <c r="Y1553" s="12"/>
      <c r="Z1553" s="12"/>
    </row>
    <row r="1554" spans="1:26" ht="14.25" customHeight="1" x14ac:dyDescent="0.3">
      <c r="A1554" s="155">
        <v>838</v>
      </c>
      <c r="B1554" s="156" t="s">
        <v>1735</v>
      </c>
      <c r="C1554" s="3"/>
      <c r="D1554" s="3"/>
      <c r="E1554" s="156" t="s">
        <v>1748</v>
      </c>
      <c r="F1554" s="3"/>
      <c r="G1554" s="158">
        <v>62.866669999999999</v>
      </c>
      <c r="H1554" s="155">
        <v>15</v>
      </c>
      <c r="I1554" s="155">
        <v>290</v>
      </c>
      <c r="J1554" s="156" t="s">
        <v>773</v>
      </c>
      <c r="K1554" s="5"/>
      <c r="L1554" s="3"/>
      <c r="M1554" s="6"/>
      <c r="N1554" s="9"/>
      <c r="O1554" s="158">
        <v>943</v>
      </c>
      <c r="P1554" s="12"/>
      <c r="Q1554" s="12"/>
      <c r="R1554" s="12"/>
      <c r="S1554" s="12"/>
      <c r="T1554" s="12"/>
      <c r="U1554" s="12"/>
      <c r="V1554" s="12"/>
      <c r="W1554" s="12"/>
      <c r="X1554" s="12"/>
      <c r="Y1554" s="12"/>
      <c r="Z1554" s="12"/>
    </row>
    <row r="1555" spans="1:26" ht="14.25" customHeight="1" x14ac:dyDescent="0.3">
      <c r="A1555" s="155">
        <v>838</v>
      </c>
      <c r="B1555" s="156" t="s">
        <v>1735</v>
      </c>
      <c r="C1555" s="3"/>
      <c r="D1555" s="3"/>
      <c r="E1555" s="156" t="s">
        <v>1749</v>
      </c>
      <c r="F1555" s="3"/>
      <c r="G1555" s="158">
        <v>16.14</v>
      </c>
      <c r="H1555" s="155">
        <v>12</v>
      </c>
      <c r="I1555" s="155">
        <v>290</v>
      </c>
      <c r="J1555" s="156" t="s">
        <v>32</v>
      </c>
      <c r="K1555" s="5"/>
      <c r="L1555" s="3"/>
      <c r="M1555" s="6"/>
      <c r="N1555" s="9"/>
      <c r="O1555" s="158">
        <v>193.68</v>
      </c>
      <c r="P1555" s="12"/>
      <c r="Q1555" s="12"/>
      <c r="R1555" s="12"/>
      <c r="S1555" s="12"/>
      <c r="T1555" s="12"/>
      <c r="U1555" s="12"/>
      <c r="V1555" s="12"/>
      <c r="W1555" s="12"/>
      <c r="X1555" s="12"/>
      <c r="Y1555" s="12"/>
      <c r="Z1555" s="12"/>
    </row>
    <row r="1556" spans="1:26" ht="14.25" customHeight="1" x14ac:dyDescent="0.3">
      <c r="A1556" s="155">
        <v>838</v>
      </c>
      <c r="B1556" s="156" t="s">
        <v>1735</v>
      </c>
      <c r="C1556" s="3"/>
      <c r="D1556" s="3"/>
      <c r="E1556" s="156" t="s">
        <v>1750</v>
      </c>
      <c r="F1556" s="3"/>
      <c r="G1556" s="158">
        <v>31.35575</v>
      </c>
      <c r="H1556" s="155">
        <v>87</v>
      </c>
      <c r="I1556" s="155">
        <v>290</v>
      </c>
      <c r="J1556" s="156" t="s">
        <v>32</v>
      </c>
      <c r="K1556" s="5"/>
      <c r="L1556" s="3"/>
      <c r="M1556" s="6"/>
      <c r="N1556" s="9"/>
      <c r="O1556" s="158">
        <v>2727.95</v>
      </c>
      <c r="P1556" s="12"/>
      <c r="Q1556" s="12"/>
      <c r="R1556" s="12"/>
      <c r="S1556" s="12"/>
      <c r="T1556" s="12"/>
      <c r="U1556" s="12"/>
      <c r="V1556" s="12"/>
      <c r="W1556" s="12"/>
      <c r="X1556" s="12"/>
      <c r="Y1556" s="12"/>
      <c r="Z1556" s="12"/>
    </row>
    <row r="1557" spans="1:26" ht="14.25" customHeight="1" x14ac:dyDescent="0.3">
      <c r="A1557" s="155">
        <v>838</v>
      </c>
      <c r="B1557" s="156" t="s">
        <v>1735</v>
      </c>
      <c r="C1557" s="3"/>
      <c r="D1557" s="3"/>
      <c r="E1557" s="156" t="s">
        <v>1751</v>
      </c>
      <c r="F1557" s="3"/>
      <c r="G1557" s="158">
        <v>62.846150000000002</v>
      </c>
      <c r="H1557" s="155">
        <v>13</v>
      </c>
      <c r="I1557" s="155">
        <v>290</v>
      </c>
      <c r="J1557" s="156" t="s">
        <v>773</v>
      </c>
      <c r="K1557" s="5"/>
      <c r="L1557" s="3"/>
      <c r="M1557" s="6"/>
      <c r="N1557" s="9"/>
      <c r="O1557" s="158">
        <v>817</v>
      </c>
      <c r="P1557" s="12"/>
      <c r="Q1557" s="12"/>
      <c r="R1557" s="12"/>
      <c r="S1557" s="12"/>
      <c r="T1557" s="12"/>
      <c r="U1557" s="12"/>
      <c r="V1557" s="12"/>
      <c r="W1557" s="12"/>
      <c r="X1557" s="12"/>
      <c r="Y1557" s="12"/>
      <c r="Z1557" s="12"/>
    </row>
    <row r="1558" spans="1:26" ht="14.25" customHeight="1" x14ac:dyDescent="0.3">
      <c r="A1558" s="155">
        <v>838</v>
      </c>
      <c r="B1558" s="156" t="s">
        <v>1735</v>
      </c>
      <c r="C1558" s="3"/>
      <c r="D1558" s="3"/>
      <c r="E1558" s="156" t="s">
        <v>1752</v>
      </c>
      <c r="F1558" s="3"/>
      <c r="G1558" s="158">
        <v>16.66</v>
      </c>
      <c r="H1558" s="155">
        <v>19</v>
      </c>
      <c r="I1558" s="155">
        <v>290</v>
      </c>
      <c r="J1558" s="156" t="s">
        <v>32</v>
      </c>
      <c r="K1558" s="5"/>
      <c r="L1558" s="3"/>
      <c r="M1558" s="6"/>
      <c r="N1558" s="9"/>
      <c r="O1558" s="158">
        <v>316.54000000000002</v>
      </c>
      <c r="P1558" s="12"/>
      <c r="Q1558" s="12"/>
      <c r="R1558" s="12"/>
      <c r="S1558" s="12"/>
      <c r="T1558" s="12"/>
      <c r="U1558" s="12"/>
      <c r="V1558" s="12"/>
      <c r="W1558" s="12"/>
      <c r="X1558" s="12"/>
      <c r="Y1558" s="12"/>
      <c r="Z1558" s="12"/>
    </row>
    <row r="1559" spans="1:26" ht="14.25" customHeight="1" x14ac:dyDescent="0.3">
      <c r="A1559" s="155">
        <v>838</v>
      </c>
      <c r="B1559" s="156" t="s">
        <v>1735</v>
      </c>
      <c r="C1559" s="3"/>
      <c r="D1559" s="3"/>
      <c r="E1559" s="156" t="s">
        <v>1753</v>
      </c>
      <c r="F1559" s="3"/>
      <c r="G1559" s="158">
        <v>31.3765</v>
      </c>
      <c r="H1559" s="155">
        <v>80</v>
      </c>
      <c r="I1559" s="155">
        <v>290</v>
      </c>
      <c r="J1559" s="156" t="s">
        <v>32</v>
      </c>
      <c r="K1559" s="5"/>
      <c r="L1559" s="3"/>
      <c r="M1559" s="6"/>
      <c r="N1559" s="9"/>
      <c r="O1559" s="158">
        <v>2510.12</v>
      </c>
      <c r="P1559" s="12"/>
      <c r="Q1559" s="12"/>
      <c r="R1559" s="12"/>
      <c r="S1559" s="12"/>
      <c r="T1559" s="12"/>
      <c r="U1559" s="12"/>
      <c r="V1559" s="12"/>
      <c r="W1559" s="12"/>
      <c r="X1559" s="12"/>
      <c r="Y1559" s="12"/>
      <c r="Z1559" s="12"/>
    </row>
    <row r="1560" spans="1:26" ht="14.25" customHeight="1" x14ac:dyDescent="0.3">
      <c r="A1560" s="155">
        <v>384</v>
      </c>
      <c r="B1560" s="156" t="s">
        <v>329</v>
      </c>
      <c r="C1560" s="3"/>
      <c r="D1560" s="3"/>
      <c r="E1560" s="156" t="s">
        <v>1754</v>
      </c>
      <c r="F1560" s="3"/>
      <c r="G1560" s="158">
        <v>310</v>
      </c>
      <c r="H1560" s="155">
        <v>6</v>
      </c>
      <c r="I1560" s="155">
        <v>1</v>
      </c>
      <c r="J1560" s="156" t="s">
        <v>213</v>
      </c>
      <c r="K1560" s="5"/>
      <c r="L1560" s="3"/>
      <c r="M1560" s="6"/>
      <c r="N1560" s="9"/>
      <c r="O1560" s="158">
        <v>1860</v>
      </c>
      <c r="P1560" s="12"/>
      <c r="Q1560" s="12"/>
      <c r="R1560" s="12"/>
      <c r="S1560" s="12"/>
      <c r="T1560" s="12"/>
      <c r="U1560" s="12"/>
      <c r="V1560" s="12"/>
      <c r="W1560" s="12"/>
      <c r="X1560" s="12"/>
      <c r="Y1560" s="12"/>
      <c r="Z1560" s="12"/>
    </row>
    <row r="1561" spans="1:26" ht="14.25" customHeight="1" x14ac:dyDescent="0.3">
      <c r="A1561" s="155">
        <v>384</v>
      </c>
      <c r="B1561" s="156" t="s">
        <v>329</v>
      </c>
      <c r="C1561" s="3"/>
      <c r="D1561" s="3"/>
      <c r="E1561" s="156" t="s">
        <v>980</v>
      </c>
      <c r="F1561" s="3"/>
      <c r="G1561" s="158">
        <v>158.80000000000001</v>
      </c>
      <c r="H1561" s="155">
        <v>2</v>
      </c>
      <c r="I1561" s="155">
        <v>1</v>
      </c>
      <c r="J1561" s="156" t="s">
        <v>39</v>
      </c>
      <c r="K1561" s="5"/>
      <c r="L1561" s="3"/>
      <c r="M1561" s="6"/>
      <c r="N1561" s="9"/>
      <c r="O1561" s="158">
        <v>317.60000000000002</v>
      </c>
      <c r="P1561" s="12"/>
      <c r="Q1561" s="12"/>
      <c r="R1561" s="12"/>
      <c r="S1561" s="12"/>
      <c r="T1561" s="12"/>
      <c r="U1561" s="12"/>
      <c r="V1561" s="12"/>
      <c r="W1561" s="12"/>
      <c r="X1561" s="12"/>
      <c r="Y1561" s="12"/>
      <c r="Z1561" s="12"/>
    </row>
    <row r="1562" spans="1:26" ht="14.25" customHeight="1" x14ac:dyDescent="0.3">
      <c r="A1562" s="155">
        <v>384</v>
      </c>
      <c r="B1562" s="156" t="s">
        <v>329</v>
      </c>
      <c r="C1562" s="3"/>
      <c r="D1562" s="3"/>
      <c r="E1562" s="156" t="s">
        <v>1755</v>
      </c>
      <c r="F1562" s="3"/>
      <c r="G1562" s="158">
        <v>106.5</v>
      </c>
      <c r="H1562" s="155">
        <v>2</v>
      </c>
      <c r="I1562" s="155">
        <v>1</v>
      </c>
      <c r="J1562" s="156" t="s">
        <v>39</v>
      </c>
      <c r="K1562" s="5"/>
      <c r="L1562" s="3"/>
      <c r="M1562" s="6"/>
      <c r="N1562" s="9"/>
      <c r="O1562" s="158">
        <v>213</v>
      </c>
      <c r="P1562" s="12"/>
      <c r="Q1562" s="12"/>
      <c r="R1562" s="12"/>
      <c r="S1562" s="12"/>
      <c r="T1562" s="12"/>
      <c r="U1562" s="12"/>
      <c r="V1562" s="12"/>
      <c r="W1562" s="12"/>
      <c r="X1562" s="12"/>
      <c r="Y1562" s="12"/>
      <c r="Z1562" s="12"/>
    </row>
    <row r="1563" spans="1:26" ht="14.25" customHeight="1" x14ac:dyDescent="0.3">
      <c r="A1563" s="155">
        <v>384</v>
      </c>
      <c r="B1563" s="156" t="s">
        <v>329</v>
      </c>
      <c r="C1563" s="3"/>
      <c r="D1563" s="3"/>
      <c r="E1563" s="156" t="s">
        <v>980</v>
      </c>
      <c r="F1563" s="3"/>
      <c r="G1563" s="158">
        <v>164</v>
      </c>
      <c r="H1563" s="155">
        <v>2</v>
      </c>
      <c r="I1563" s="155">
        <v>1</v>
      </c>
      <c r="J1563" s="156" t="s">
        <v>1224</v>
      </c>
      <c r="K1563" s="5"/>
      <c r="L1563" s="3"/>
      <c r="M1563" s="6"/>
      <c r="N1563" s="9"/>
      <c r="O1563" s="158">
        <v>328</v>
      </c>
      <c r="P1563" s="12"/>
      <c r="Q1563" s="12"/>
      <c r="R1563" s="12"/>
      <c r="S1563" s="12"/>
      <c r="T1563" s="12"/>
      <c r="U1563" s="12"/>
      <c r="V1563" s="12"/>
      <c r="W1563" s="12"/>
      <c r="X1563" s="12"/>
      <c r="Y1563" s="12"/>
      <c r="Z1563" s="12"/>
    </row>
    <row r="1564" spans="1:26" ht="14.25" customHeight="1" x14ac:dyDescent="0.3">
      <c r="A1564" s="155">
        <v>839</v>
      </c>
      <c r="B1564" s="156" t="s">
        <v>1756</v>
      </c>
      <c r="C1564" s="3"/>
      <c r="D1564" s="3"/>
      <c r="E1564" s="156" t="s">
        <v>1757</v>
      </c>
      <c r="F1564" s="3"/>
      <c r="G1564" s="158">
        <v>62.647620000000003</v>
      </c>
      <c r="H1564" s="155">
        <v>21</v>
      </c>
      <c r="I1564" s="155">
        <v>53</v>
      </c>
      <c r="J1564" s="156" t="s">
        <v>39</v>
      </c>
      <c r="K1564" s="5"/>
      <c r="L1564" s="3"/>
      <c r="M1564" s="6"/>
      <c r="N1564" s="9"/>
      <c r="O1564" s="158">
        <v>1315.6</v>
      </c>
      <c r="P1564" s="12"/>
      <c r="Q1564" s="12"/>
      <c r="R1564" s="12"/>
      <c r="S1564" s="12"/>
      <c r="T1564" s="12"/>
      <c r="U1564" s="12"/>
      <c r="V1564" s="12"/>
      <c r="W1564" s="12"/>
      <c r="X1564" s="12"/>
      <c r="Y1564" s="12"/>
      <c r="Z1564" s="12"/>
    </row>
    <row r="1565" spans="1:26" ht="14.25" customHeight="1" x14ac:dyDescent="0.3">
      <c r="A1565" s="155">
        <v>390</v>
      </c>
      <c r="B1565" s="156" t="s">
        <v>286</v>
      </c>
      <c r="C1565" s="3"/>
      <c r="D1565" s="3"/>
      <c r="E1565" s="156" t="s">
        <v>1069</v>
      </c>
      <c r="F1565" s="3"/>
      <c r="G1565" s="158">
        <v>72.653850000000006</v>
      </c>
      <c r="H1565" s="155">
        <v>52</v>
      </c>
      <c r="I1565" s="155">
        <v>3500</v>
      </c>
      <c r="J1565" s="156" t="s">
        <v>32</v>
      </c>
      <c r="K1565" s="5"/>
      <c r="L1565" s="3"/>
      <c r="M1565" s="6"/>
      <c r="N1565" s="9"/>
      <c r="O1565" s="158">
        <v>3778</v>
      </c>
      <c r="P1565" s="12"/>
      <c r="Q1565" s="12"/>
      <c r="R1565" s="12"/>
      <c r="S1565" s="12"/>
      <c r="T1565" s="12"/>
      <c r="U1565" s="12"/>
      <c r="V1565" s="12"/>
      <c r="W1565" s="12"/>
      <c r="X1565" s="12"/>
      <c r="Y1565" s="12"/>
      <c r="Z1565" s="12"/>
    </row>
    <row r="1566" spans="1:26" ht="14.25" customHeight="1" x14ac:dyDescent="0.3">
      <c r="A1566" s="155">
        <v>390</v>
      </c>
      <c r="B1566" s="156" t="s">
        <v>286</v>
      </c>
      <c r="C1566" s="3"/>
      <c r="D1566" s="3"/>
      <c r="E1566" s="156" t="s">
        <v>1758</v>
      </c>
      <c r="F1566" s="3"/>
      <c r="G1566" s="158">
        <v>187.8</v>
      </c>
      <c r="H1566" s="155">
        <v>1</v>
      </c>
      <c r="I1566" s="155">
        <v>3500</v>
      </c>
      <c r="J1566" s="156" t="s">
        <v>773</v>
      </c>
      <c r="K1566" s="5"/>
      <c r="L1566" s="3"/>
      <c r="M1566" s="6"/>
      <c r="N1566" s="9"/>
      <c r="O1566" s="158">
        <v>187.8</v>
      </c>
      <c r="P1566" s="12"/>
      <c r="Q1566" s="12"/>
      <c r="R1566" s="12"/>
      <c r="S1566" s="12"/>
      <c r="T1566" s="12"/>
      <c r="U1566" s="12"/>
      <c r="V1566" s="12"/>
      <c r="W1566" s="12"/>
      <c r="X1566" s="12"/>
      <c r="Y1566" s="12"/>
      <c r="Z1566" s="12"/>
    </row>
    <row r="1567" spans="1:26" ht="14.25" customHeight="1" x14ac:dyDescent="0.3">
      <c r="A1567" s="155">
        <v>390</v>
      </c>
      <c r="B1567" s="156" t="s">
        <v>286</v>
      </c>
      <c r="C1567" s="3"/>
      <c r="D1567" s="3"/>
      <c r="E1567" s="156" t="s">
        <v>1252</v>
      </c>
      <c r="F1567" s="3"/>
      <c r="G1567" s="158">
        <v>80</v>
      </c>
      <c r="H1567" s="155">
        <v>1</v>
      </c>
      <c r="I1567" s="155">
        <v>3500</v>
      </c>
      <c r="J1567" s="156" t="s">
        <v>32</v>
      </c>
      <c r="K1567" s="5"/>
      <c r="L1567" s="3"/>
      <c r="M1567" s="6"/>
      <c r="N1567" s="9"/>
      <c r="O1567" s="158">
        <v>80</v>
      </c>
      <c r="P1567" s="12"/>
      <c r="Q1567" s="12"/>
      <c r="R1567" s="12"/>
      <c r="S1567" s="12"/>
      <c r="T1567" s="12"/>
      <c r="U1567" s="12"/>
      <c r="V1567" s="12"/>
      <c r="W1567" s="12"/>
      <c r="X1567" s="12"/>
      <c r="Y1567" s="12"/>
      <c r="Z1567" s="12"/>
    </row>
    <row r="1568" spans="1:26" ht="14.25" customHeight="1" x14ac:dyDescent="0.3">
      <c r="A1568" s="155">
        <v>390</v>
      </c>
      <c r="B1568" s="156" t="s">
        <v>286</v>
      </c>
      <c r="C1568" s="3"/>
      <c r="D1568" s="3"/>
      <c r="E1568" s="156" t="s">
        <v>1359</v>
      </c>
      <c r="F1568" s="3"/>
      <c r="G1568" s="158">
        <v>370</v>
      </c>
      <c r="H1568" s="155">
        <v>1</v>
      </c>
      <c r="I1568" s="155">
        <v>3500</v>
      </c>
      <c r="J1568" s="156" t="s">
        <v>773</v>
      </c>
      <c r="K1568" s="5"/>
      <c r="L1568" s="3"/>
      <c r="M1568" s="6"/>
      <c r="N1568" s="9"/>
      <c r="O1568" s="158">
        <v>370</v>
      </c>
      <c r="P1568" s="12"/>
      <c r="Q1568" s="12"/>
      <c r="R1568" s="12"/>
      <c r="S1568" s="12"/>
      <c r="T1568" s="12"/>
      <c r="U1568" s="12"/>
      <c r="V1568" s="12"/>
      <c r="W1568" s="12"/>
      <c r="X1568" s="12"/>
      <c r="Y1568" s="12"/>
      <c r="Z1568" s="12"/>
    </row>
    <row r="1569" spans="1:26" ht="14.25" customHeight="1" x14ac:dyDescent="0.3">
      <c r="A1569" s="155">
        <v>390</v>
      </c>
      <c r="B1569" s="156" t="s">
        <v>1759</v>
      </c>
      <c r="C1569" s="3"/>
      <c r="D1569" s="3"/>
      <c r="E1569" s="156"/>
      <c r="F1569" s="3"/>
      <c r="G1569" s="158">
        <v>11</v>
      </c>
      <c r="H1569" s="155">
        <v>1</v>
      </c>
      <c r="I1569" s="155">
        <v>3500</v>
      </c>
      <c r="J1569" s="156" t="s">
        <v>32</v>
      </c>
      <c r="K1569" s="5"/>
      <c r="L1569" s="3"/>
      <c r="M1569" s="6"/>
      <c r="N1569" s="9"/>
      <c r="O1569" s="158">
        <v>11</v>
      </c>
      <c r="P1569" s="12"/>
      <c r="Q1569" s="12"/>
      <c r="R1569" s="12"/>
      <c r="S1569" s="12"/>
      <c r="T1569" s="12"/>
      <c r="U1569" s="12"/>
      <c r="V1569" s="12"/>
      <c r="W1569" s="12"/>
      <c r="X1569" s="12"/>
      <c r="Y1569" s="12"/>
      <c r="Z1569" s="12"/>
    </row>
    <row r="1570" spans="1:26" ht="14.25" customHeight="1" x14ac:dyDescent="0.3">
      <c r="A1570" s="155">
        <v>390</v>
      </c>
      <c r="B1570" s="156" t="s">
        <v>286</v>
      </c>
      <c r="C1570" s="3"/>
      <c r="D1570" s="3"/>
      <c r="E1570" s="156" t="s">
        <v>1071</v>
      </c>
      <c r="F1570" s="3"/>
      <c r="G1570" s="158">
        <v>10</v>
      </c>
      <c r="H1570" s="155">
        <v>65</v>
      </c>
      <c r="I1570" s="155">
        <v>3500</v>
      </c>
      <c r="J1570" s="156" t="s">
        <v>200</v>
      </c>
      <c r="K1570" s="5"/>
      <c r="L1570" s="3"/>
      <c r="M1570" s="6"/>
      <c r="N1570" s="9"/>
      <c r="O1570" s="158">
        <v>650</v>
      </c>
      <c r="P1570" s="12"/>
      <c r="Q1570" s="12"/>
      <c r="R1570" s="12"/>
      <c r="S1570" s="12"/>
      <c r="T1570" s="12"/>
      <c r="U1570" s="12"/>
      <c r="V1570" s="12"/>
      <c r="W1570" s="12"/>
      <c r="X1570" s="12"/>
      <c r="Y1570" s="12"/>
      <c r="Z1570" s="12"/>
    </row>
    <row r="1571" spans="1:26" ht="14.25" customHeight="1" x14ac:dyDescent="0.3">
      <c r="A1571" s="155">
        <v>390</v>
      </c>
      <c r="B1571" s="156" t="s">
        <v>1759</v>
      </c>
      <c r="C1571" s="3"/>
      <c r="D1571" s="3"/>
      <c r="E1571" s="156" t="s">
        <v>1069</v>
      </c>
      <c r="F1571" s="3"/>
      <c r="G1571" s="158">
        <v>73</v>
      </c>
      <c r="H1571" s="155">
        <v>1</v>
      </c>
      <c r="I1571" s="155">
        <v>3500</v>
      </c>
      <c r="J1571" s="156" t="s">
        <v>200</v>
      </c>
      <c r="K1571" s="5"/>
      <c r="L1571" s="3"/>
      <c r="M1571" s="6"/>
      <c r="N1571" s="9"/>
      <c r="O1571" s="158">
        <v>73</v>
      </c>
      <c r="P1571" s="12"/>
      <c r="Q1571" s="12"/>
      <c r="R1571" s="12"/>
      <c r="S1571" s="12"/>
      <c r="T1571" s="12"/>
      <c r="U1571" s="12"/>
      <c r="V1571" s="12"/>
      <c r="W1571" s="12"/>
      <c r="X1571" s="12"/>
      <c r="Y1571" s="12"/>
      <c r="Z1571" s="12"/>
    </row>
    <row r="1572" spans="1:26" ht="14.25" customHeight="1" x14ac:dyDescent="0.3">
      <c r="A1572" s="155">
        <v>390</v>
      </c>
      <c r="B1572" s="156" t="s">
        <v>286</v>
      </c>
      <c r="C1572" s="3"/>
      <c r="D1572" s="3"/>
      <c r="E1572" s="156" t="s">
        <v>1359</v>
      </c>
      <c r="F1572" s="3"/>
      <c r="G1572" s="158">
        <v>198</v>
      </c>
      <c r="H1572" s="155">
        <v>1</v>
      </c>
      <c r="I1572" s="155">
        <v>3500</v>
      </c>
      <c r="J1572" s="156" t="s">
        <v>32</v>
      </c>
      <c r="K1572" s="5"/>
      <c r="L1572" s="3"/>
      <c r="M1572" s="6"/>
      <c r="N1572" s="9"/>
      <c r="O1572" s="158">
        <v>198</v>
      </c>
      <c r="P1572" s="12"/>
      <c r="Q1572" s="12"/>
      <c r="R1572" s="12"/>
      <c r="S1572" s="12"/>
      <c r="T1572" s="12"/>
      <c r="U1572" s="12"/>
      <c r="V1572" s="12"/>
      <c r="W1572" s="12"/>
      <c r="X1572" s="12"/>
      <c r="Y1572" s="12"/>
      <c r="Z1572" s="12"/>
    </row>
    <row r="1573" spans="1:26" ht="14.25" customHeight="1" x14ac:dyDescent="0.3">
      <c r="A1573" s="155">
        <v>390</v>
      </c>
      <c r="B1573" s="156" t="s">
        <v>286</v>
      </c>
      <c r="C1573" s="3"/>
      <c r="D1573" s="3"/>
      <c r="E1573" s="156" t="s">
        <v>1760</v>
      </c>
      <c r="F1573" s="3"/>
      <c r="G1573" s="158">
        <v>184</v>
      </c>
      <c r="H1573" s="155">
        <v>14</v>
      </c>
      <c r="I1573" s="155">
        <v>3500</v>
      </c>
      <c r="J1573" s="156" t="s">
        <v>200</v>
      </c>
      <c r="K1573" s="5"/>
      <c r="L1573" s="3"/>
      <c r="M1573" s="6"/>
      <c r="N1573" s="9"/>
      <c r="O1573" s="158">
        <v>2576</v>
      </c>
      <c r="P1573" s="12"/>
      <c r="Q1573" s="12"/>
      <c r="R1573" s="12"/>
      <c r="S1573" s="12"/>
      <c r="T1573" s="12"/>
      <c r="U1573" s="12"/>
      <c r="V1573" s="12"/>
      <c r="W1573" s="12"/>
      <c r="X1573" s="12"/>
      <c r="Y1573" s="12"/>
      <c r="Z1573" s="12"/>
    </row>
    <row r="1574" spans="1:26" ht="14.25" customHeight="1" x14ac:dyDescent="0.3">
      <c r="A1574" s="155">
        <v>391</v>
      </c>
      <c r="B1574" s="156" t="s">
        <v>330</v>
      </c>
      <c r="C1574" s="3"/>
      <c r="D1574" s="3"/>
      <c r="E1574" s="156" t="s">
        <v>1349</v>
      </c>
      <c r="F1574" s="3"/>
      <c r="G1574" s="158">
        <v>71.2</v>
      </c>
      <c r="H1574" s="155">
        <v>3</v>
      </c>
      <c r="I1574" s="155">
        <v>800</v>
      </c>
      <c r="J1574" s="156" t="s">
        <v>39</v>
      </c>
      <c r="K1574" s="5"/>
      <c r="L1574" s="3"/>
      <c r="M1574" s="6"/>
      <c r="N1574" s="9"/>
      <c r="O1574" s="158">
        <v>213.6</v>
      </c>
      <c r="P1574" s="12"/>
      <c r="Q1574" s="12"/>
      <c r="R1574" s="12"/>
      <c r="S1574" s="12"/>
      <c r="T1574" s="12"/>
      <c r="U1574" s="12"/>
      <c r="V1574" s="12"/>
      <c r="W1574" s="12"/>
      <c r="X1574" s="12"/>
      <c r="Y1574" s="12"/>
      <c r="Z1574" s="12"/>
    </row>
    <row r="1575" spans="1:26" ht="14.25" customHeight="1" x14ac:dyDescent="0.3">
      <c r="A1575" s="155">
        <v>391</v>
      </c>
      <c r="B1575" s="156" t="s">
        <v>330</v>
      </c>
      <c r="C1575" s="3"/>
      <c r="D1575" s="3"/>
      <c r="E1575" s="156" t="s">
        <v>1761</v>
      </c>
      <c r="F1575" s="3"/>
      <c r="G1575" s="158">
        <v>76.842110000000005</v>
      </c>
      <c r="H1575" s="155">
        <v>19</v>
      </c>
      <c r="I1575" s="155">
        <v>800</v>
      </c>
      <c r="J1575" s="156" t="s">
        <v>39</v>
      </c>
      <c r="K1575" s="5"/>
      <c r="L1575" s="3"/>
      <c r="M1575" s="6"/>
      <c r="N1575" s="9"/>
      <c r="O1575" s="158">
        <v>1460</v>
      </c>
      <c r="P1575" s="12"/>
      <c r="Q1575" s="12"/>
      <c r="R1575" s="12"/>
      <c r="S1575" s="12"/>
      <c r="T1575" s="12"/>
      <c r="U1575" s="12"/>
      <c r="V1575" s="12"/>
      <c r="W1575" s="12"/>
      <c r="X1575" s="12"/>
      <c r="Y1575" s="12"/>
      <c r="Z1575" s="12"/>
    </row>
    <row r="1576" spans="1:26" ht="14.25" customHeight="1" x14ac:dyDescent="0.3">
      <c r="A1576" s="155">
        <v>391</v>
      </c>
      <c r="B1576" s="156" t="s">
        <v>330</v>
      </c>
      <c r="C1576" s="3"/>
      <c r="D1576" s="3"/>
      <c r="E1576" s="156" t="s">
        <v>1762</v>
      </c>
      <c r="F1576" s="3"/>
      <c r="G1576" s="158">
        <v>116</v>
      </c>
      <c r="H1576" s="155">
        <v>3</v>
      </c>
      <c r="I1576" s="155">
        <v>800</v>
      </c>
      <c r="J1576" s="156" t="s">
        <v>39</v>
      </c>
      <c r="K1576" s="5"/>
      <c r="L1576" s="3"/>
      <c r="M1576" s="6"/>
      <c r="N1576" s="9"/>
      <c r="O1576" s="158">
        <v>348</v>
      </c>
      <c r="P1576" s="12"/>
      <c r="Q1576" s="12"/>
      <c r="R1576" s="12"/>
      <c r="S1576" s="12"/>
      <c r="T1576" s="12"/>
      <c r="U1576" s="12"/>
      <c r="V1576" s="12"/>
      <c r="W1576" s="12"/>
      <c r="X1576" s="12"/>
      <c r="Y1576" s="12"/>
      <c r="Z1576" s="12"/>
    </row>
    <row r="1577" spans="1:26" ht="14.25" customHeight="1" x14ac:dyDescent="0.3">
      <c r="A1577" s="155">
        <v>391</v>
      </c>
      <c r="B1577" s="156" t="s">
        <v>330</v>
      </c>
      <c r="C1577" s="3"/>
      <c r="D1577" s="3"/>
      <c r="E1577" s="156" t="s">
        <v>1761</v>
      </c>
      <c r="F1577" s="3"/>
      <c r="G1577" s="158">
        <v>75</v>
      </c>
      <c r="H1577" s="155">
        <v>12</v>
      </c>
      <c r="I1577" s="155">
        <v>800</v>
      </c>
      <c r="J1577" s="156" t="s">
        <v>213</v>
      </c>
      <c r="K1577" s="5"/>
      <c r="L1577" s="3"/>
      <c r="M1577" s="6"/>
      <c r="N1577" s="9"/>
      <c r="O1577" s="158">
        <v>900</v>
      </c>
      <c r="P1577" s="12"/>
      <c r="Q1577" s="12"/>
      <c r="R1577" s="12"/>
      <c r="S1577" s="12"/>
      <c r="T1577" s="12"/>
      <c r="U1577" s="12"/>
      <c r="V1577" s="12"/>
      <c r="W1577" s="12"/>
      <c r="X1577" s="12"/>
      <c r="Y1577" s="12"/>
      <c r="Z1577" s="12"/>
    </row>
    <row r="1578" spans="1:26" ht="14.25" customHeight="1" x14ac:dyDescent="0.3">
      <c r="A1578" s="155">
        <v>391</v>
      </c>
      <c r="B1578" s="156" t="s">
        <v>330</v>
      </c>
      <c r="C1578" s="3"/>
      <c r="D1578" s="3"/>
      <c r="E1578" s="156" t="s">
        <v>1763</v>
      </c>
      <c r="F1578" s="3"/>
      <c r="G1578" s="158">
        <v>78.56</v>
      </c>
      <c r="H1578" s="155">
        <v>1</v>
      </c>
      <c r="I1578" s="155">
        <v>800</v>
      </c>
      <c r="J1578" s="156" t="s">
        <v>39</v>
      </c>
      <c r="K1578" s="5"/>
      <c r="L1578" s="3"/>
      <c r="M1578" s="6"/>
      <c r="N1578" s="9"/>
      <c r="O1578" s="158">
        <v>78.56</v>
      </c>
      <c r="P1578" s="12"/>
      <c r="Q1578" s="12"/>
      <c r="R1578" s="12"/>
      <c r="S1578" s="12"/>
      <c r="T1578" s="12"/>
      <c r="U1578" s="12"/>
      <c r="V1578" s="12"/>
      <c r="W1578" s="12"/>
      <c r="X1578" s="12"/>
      <c r="Y1578" s="12"/>
      <c r="Z1578" s="12"/>
    </row>
    <row r="1579" spans="1:26" ht="14.25" customHeight="1" x14ac:dyDescent="0.3">
      <c r="A1579" s="155">
        <v>840</v>
      </c>
      <c r="B1579" s="156" t="s">
        <v>1764</v>
      </c>
      <c r="C1579" s="3"/>
      <c r="D1579" s="3"/>
      <c r="E1579" s="156" t="s">
        <v>1765</v>
      </c>
      <c r="F1579" s="3"/>
      <c r="G1579" s="158">
        <v>2.48</v>
      </c>
      <c r="H1579" s="155">
        <v>457</v>
      </c>
      <c r="I1579" s="155">
        <v>1</v>
      </c>
      <c r="J1579" s="156" t="s">
        <v>92</v>
      </c>
      <c r="K1579" s="5"/>
      <c r="L1579" s="3"/>
      <c r="M1579" s="6"/>
      <c r="N1579" s="9"/>
      <c r="O1579" s="158">
        <v>1133.3599999999999</v>
      </c>
      <c r="P1579" s="12"/>
      <c r="Q1579" s="12"/>
      <c r="R1579" s="12"/>
      <c r="S1579" s="12"/>
      <c r="T1579" s="12"/>
      <c r="U1579" s="12"/>
      <c r="V1579" s="12"/>
      <c r="W1579" s="12"/>
      <c r="X1579" s="12"/>
      <c r="Y1579" s="12"/>
      <c r="Z1579" s="12"/>
    </row>
    <row r="1580" spans="1:26" ht="14.25" customHeight="1" x14ac:dyDescent="0.3">
      <c r="A1580" s="155">
        <v>840</v>
      </c>
      <c r="B1580" s="156" t="s">
        <v>1764</v>
      </c>
      <c r="C1580" s="3"/>
      <c r="D1580" s="3"/>
      <c r="E1580" s="156"/>
      <c r="F1580" s="3"/>
      <c r="G1580" s="158">
        <v>4</v>
      </c>
      <c r="H1580" s="155">
        <v>28</v>
      </c>
      <c r="I1580" s="155">
        <v>1</v>
      </c>
      <c r="J1580" s="156" t="s">
        <v>92</v>
      </c>
      <c r="K1580" s="5"/>
      <c r="L1580" s="3"/>
      <c r="M1580" s="6"/>
      <c r="N1580" s="9"/>
      <c r="O1580" s="158">
        <v>112</v>
      </c>
      <c r="P1580" s="12"/>
      <c r="Q1580" s="12"/>
      <c r="R1580" s="12"/>
      <c r="S1580" s="12"/>
      <c r="T1580" s="12"/>
      <c r="U1580" s="12"/>
      <c r="V1580" s="12"/>
      <c r="W1580" s="12"/>
      <c r="X1580" s="12"/>
      <c r="Y1580" s="12"/>
      <c r="Z1580" s="12"/>
    </row>
    <row r="1581" spans="1:26" ht="14.25" customHeight="1" x14ac:dyDescent="0.3">
      <c r="A1581" s="155">
        <v>841</v>
      </c>
      <c r="B1581" s="156" t="s">
        <v>1766</v>
      </c>
      <c r="C1581" s="3"/>
      <c r="D1581" s="3"/>
      <c r="E1581" s="156" t="s">
        <v>1241</v>
      </c>
      <c r="F1581" s="3"/>
      <c r="G1581" s="158">
        <v>139.9</v>
      </c>
      <c r="H1581" s="155">
        <v>4</v>
      </c>
      <c r="I1581" s="155">
        <v>1</v>
      </c>
      <c r="J1581" s="156" t="s">
        <v>213</v>
      </c>
      <c r="K1581" s="5"/>
      <c r="L1581" s="3"/>
      <c r="M1581" s="6"/>
      <c r="N1581" s="9"/>
      <c r="O1581" s="158">
        <v>559.6</v>
      </c>
      <c r="P1581" s="12"/>
      <c r="Q1581" s="12"/>
      <c r="R1581" s="12"/>
      <c r="S1581" s="12"/>
      <c r="T1581" s="12"/>
      <c r="U1581" s="12"/>
      <c r="V1581" s="12"/>
      <c r="W1581" s="12"/>
      <c r="X1581" s="12"/>
      <c r="Y1581" s="12"/>
      <c r="Z1581" s="12"/>
    </row>
    <row r="1582" spans="1:26" ht="14.25" customHeight="1" x14ac:dyDescent="0.3">
      <c r="A1582" s="155">
        <v>842</v>
      </c>
      <c r="B1582" s="156" t="s">
        <v>1767</v>
      </c>
      <c r="C1582" s="3"/>
      <c r="D1582" s="3"/>
      <c r="E1582" s="156" t="s">
        <v>641</v>
      </c>
      <c r="F1582" s="3"/>
      <c r="G1582" s="158">
        <v>99.6</v>
      </c>
      <c r="H1582" s="155">
        <v>11</v>
      </c>
      <c r="I1582" s="155">
        <v>900</v>
      </c>
      <c r="J1582" s="156" t="s">
        <v>39</v>
      </c>
      <c r="K1582" s="5"/>
      <c r="L1582" s="3"/>
      <c r="M1582" s="6"/>
      <c r="N1582" s="9"/>
      <c r="O1582" s="158">
        <v>1095.5999999999999</v>
      </c>
      <c r="P1582" s="12"/>
      <c r="Q1582" s="12"/>
      <c r="R1582" s="12"/>
      <c r="S1582" s="12"/>
      <c r="T1582" s="12"/>
      <c r="U1582" s="12"/>
      <c r="V1582" s="12"/>
      <c r="W1582" s="12"/>
      <c r="X1582" s="12"/>
      <c r="Y1582" s="12"/>
      <c r="Z1582" s="12"/>
    </row>
    <row r="1583" spans="1:26" ht="14.25" customHeight="1" x14ac:dyDescent="0.3">
      <c r="A1583" s="155">
        <v>843</v>
      </c>
      <c r="B1583" s="156" t="s">
        <v>1768</v>
      </c>
      <c r="C1583" s="3"/>
      <c r="D1583" s="3"/>
      <c r="E1583" s="156" t="s">
        <v>1769</v>
      </c>
      <c r="F1583" s="3"/>
      <c r="G1583" s="158">
        <v>60</v>
      </c>
      <c r="H1583" s="155">
        <v>1</v>
      </c>
      <c r="I1583" s="155">
        <v>1</v>
      </c>
      <c r="J1583" s="156" t="s">
        <v>213</v>
      </c>
      <c r="K1583" s="5"/>
      <c r="L1583" s="3"/>
      <c r="M1583" s="6"/>
      <c r="N1583" s="9"/>
      <c r="O1583" s="158">
        <v>60</v>
      </c>
      <c r="P1583" s="12"/>
      <c r="Q1583" s="12"/>
      <c r="R1583" s="12"/>
      <c r="S1583" s="12"/>
      <c r="T1583" s="12"/>
      <c r="U1583" s="12"/>
      <c r="V1583" s="12"/>
      <c r="W1583" s="12"/>
      <c r="X1583" s="12"/>
      <c r="Y1583" s="12"/>
      <c r="Z1583" s="12"/>
    </row>
    <row r="1584" spans="1:26" ht="14.25" customHeight="1" x14ac:dyDescent="0.3">
      <c r="A1584" s="155">
        <v>844</v>
      </c>
      <c r="B1584" s="156" t="s">
        <v>1770</v>
      </c>
      <c r="C1584" s="3"/>
      <c r="D1584" s="3"/>
      <c r="E1584" s="156" t="s">
        <v>854</v>
      </c>
      <c r="F1584" s="3"/>
      <c r="G1584" s="158">
        <v>65.9375</v>
      </c>
      <c r="H1584" s="155">
        <v>4</v>
      </c>
      <c r="I1584" s="155">
        <v>34</v>
      </c>
      <c r="J1584" s="156" t="s">
        <v>39</v>
      </c>
      <c r="K1584" s="5"/>
      <c r="L1584" s="3"/>
      <c r="M1584" s="6"/>
      <c r="N1584" s="9"/>
      <c r="O1584" s="158">
        <v>263.75</v>
      </c>
      <c r="P1584" s="12"/>
      <c r="Q1584" s="12"/>
      <c r="R1584" s="12"/>
      <c r="S1584" s="12"/>
      <c r="T1584" s="12"/>
      <c r="U1584" s="12"/>
      <c r="V1584" s="12"/>
      <c r="W1584" s="12"/>
      <c r="X1584" s="12"/>
      <c r="Y1584" s="12"/>
      <c r="Z1584" s="12"/>
    </row>
    <row r="1585" spans="1:26" ht="14.25" customHeight="1" x14ac:dyDescent="0.3">
      <c r="A1585" s="155">
        <v>845</v>
      </c>
      <c r="B1585" s="156" t="s">
        <v>1771</v>
      </c>
      <c r="C1585" s="3"/>
      <c r="D1585" s="3"/>
      <c r="E1585" s="156" t="s">
        <v>854</v>
      </c>
      <c r="F1585" s="3"/>
      <c r="G1585" s="158">
        <v>5.8</v>
      </c>
      <c r="H1585" s="155">
        <v>15</v>
      </c>
      <c r="I1585" s="155">
        <v>1</v>
      </c>
      <c r="J1585" s="156" t="s">
        <v>92</v>
      </c>
      <c r="K1585" s="5"/>
      <c r="L1585" s="3"/>
      <c r="M1585" s="6"/>
      <c r="N1585" s="9"/>
      <c r="O1585" s="158">
        <v>87</v>
      </c>
      <c r="P1585" s="12"/>
      <c r="Q1585" s="12"/>
      <c r="R1585" s="12"/>
      <c r="S1585" s="12"/>
      <c r="T1585" s="12"/>
      <c r="U1585" s="12"/>
      <c r="V1585" s="12"/>
      <c r="W1585" s="12"/>
      <c r="X1585" s="12"/>
      <c r="Y1585" s="12"/>
      <c r="Z1585" s="12"/>
    </row>
    <row r="1586" spans="1:26" ht="14.25" customHeight="1" x14ac:dyDescent="0.3">
      <c r="A1586" s="155">
        <v>846</v>
      </c>
      <c r="B1586" s="156" t="s">
        <v>1772</v>
      </c>
      <c r="C1586" s="3"/>
      <c r="D1586" s="3"/>
      <c r="E1586" s="156" t="s">
        <v>1219</v>
      </c>
      <c r="F1586" s="3"/>
      <c r="G1586" s="158">
        <v>72</v>
      </c>
      <c r="H1586" s="155">
        <v>2</v>
      </c>
      <c r="I1586" s="155">
        <v>500</v>
      </c>
      <c r="J1586" s="156" t="s">
        <v>39</v>
      </c>
      <c r="K1586" s="5"/>
      <c r="L1586" s="3"/>
      <c r="M1586" s="6"/>
      <c r="N1586" s="9"/>
      <c r="O1586" s="158">
        <v>144</v>
      </c>
      <c r="P1586" s="12"/>
      <c r="Q1586" s="12"/>
      <c r="R1586" s="12"/>
      <c r="S1586" s="12"/>
      <c r="T1586" s="12"/>
      <c r="U1586" s="12"/>
      <c r="V1586" s="12"/>
      <c r="W1586" s="12"/>
      <c r="X1586" s="12"/>
      <c r="Y1586" s="12"/>
      <c r="Z1586" s="12"/>
    </row>
    <row r="1587" spans="1:26" ht="14.25" customHeight="1" x14ac:dyDescent="0.3">
      <c r="A1587" s="155">
        <v>393</v>
      </c>
      <c r="B1587" s="156" t="s">
        <v>786</v>
      </c>
      <c r="C1587" s="3"/>
      <c r="D1587" s="3"/>
      <c r="E1587" s="156" t="s">
        <v>1773</v>
      </c>
      <c r="F1587" s="3"/>
      <c r="G1587" s="158">
        <v>31.161760000000001</v>
      </c>
      <c r="H1587" s="155">
        <v>17</v>
      </c>
      <c r="I1587" s="155">
        <v>1</v>
      </c>
      <c r="J1587" s="156" t="s">
        <v>92</v>
      </c>
      <c r="K1587" s="5"/>
      <c r="L1587" s="3"/>
      <c r="M1587" s="6"/>
      <c r="N1587" s="9"/>
      <c r="O1587" s="158">
        <v>529.75</v>
      </c>
      <c r="P1587" s="12"/>
      <c r="Q1587" s="12"/>
      <c r="R1587" s="12"/>
      <c r="S1587" s="12"/>
      <c r="T1587" s="12"/>
      <c r="U1587" s="12"/>
      <c r="V1587" s="12"/>
      <c r="W1587" s="12"/>
      <c r="X1587" s="12"/>
      <c r="Y1587" s="12"/>
      <c r="Z1587" s="12"/>
    </row>
    <row r="1588" spans="1:26" ht="14.25" customHeight="1" x14ac:dyDescent="0.3">
      <c r="A1588" s="155">
        <v>393</v>
      </c>
      <c r="B1588" s="156" t="s">
        <v>786</v>
      </c>
      <c r="C1588" s="3"/>
      <c r="D1588" s="3"/>
      <c r="E1588" s="156" t="s">
        <v>1774</v>
      </c>
      <c r="F1588" s="3"/>
      <c r="G1588" s="158">
        <v>65</v>
      </c>
      <c r="H1588" s="155">
        <v>2</v>
      </c>
      <c r="I1588" s="155">
        <v>1</v>
      </c>
      <c r="J1588" s="156" t="s">
        <v>92</v>
      </c>
      <c r="K1588" s="5"/>
      <c r="L1588" s="3"/>
      <c r="M1588" s="6"/>
      <c r="N1588" s="9"/>
      <c r="O1588" s="158">
        <v>130</v>
      </c>
      <c r="P1588" s="12"/>
      <c r="Q1588" s="12"/>
      <c r="R1588" s="12"/>
      <c r="S1588" s="12"/>
      <c r="T1588" s="12"/>
      <c r="U1588" s="12"/>
      <c r="V1588" s="12"/>
      <c r="W1588" s="12"/>
      <c r="X1588" s="12"/>
      <c r="Y1588" s="12"/>
      <c r="Z1588" s="12"/>
    </row>
    <row r="1589" spans="1:26" ht="14.25" customHeight="1" x14ac:dyDescent="0.3">
      <c r="A1589" s="155">
        <v>393</v>
      </c>
      <c r="B1589" s="156" t="s">
        <v>786</v>
      </c>
      <c r="C1589" s="3"/>
      <c r="D1589" s="3"/>
      <c r="E1589" s="156"/>
      <c r="F1589" s="3"/>
      <c r="G1589" s="158">
        <v>19</v>
      </c>
      <c r="H1589" s="155">
        <v>6</v>
      </c>
      <c r="I1589" s="155">
        <v>1</v>
      </c>
      <c r="J1589" s="156" t="s">
        <v>92</v>
      </c>
      <c r="K1589" s="5"/>
      <c r="L1589" s="3"/>
      <c r="M1589" s="6"/>
      <c r="N1589" s="9"/>
      <c r="O1589" s="158">
        <v>114</v>
      </c>
      <c r="P1589" s="12"/>
      <c r="Q1589" s="12"/>
      <c r="R1589" s="12"/>
      <c r="S1589" s="12"/>
      <c r="T1589" s="12"/>
      <c r="U1589" s="12"/>
      <c r="V1589" s="12"/>
      <c r="W1589" s="12"/>
      <c r="X1589" s="12"/>
      <c r="Y1589" s="12"/>
      <c r="Z1589" s="12"/>
    </row>
    <row r="1590" spans="1:26" ht="14.25" customHeight="1" x14ac:dyDescent="0.3">
      <c r="A1590" s="155">
        <v>393</v>
      </c>
      <c r="B1590" s="156" t="s">
        <v>786</v>
      </c>
      <c r="C1590" s="3"/>
      <c r="D1590" s="3"/>
      <c r="E1590" s="156" t="s">
        <v>1272</v>
      </c>
      <c r="F1590" s="3"/>
      <c r="G1590" s="158">
        <v>32.363999999999997</v>
      </c>
      <c r="H1590" s="155">
        <v>30</v>
      </c>
      <c r="I1590" s="155">
        <v>1</v>
      </c>
      <c r="J1590" s="156" t="s">
        <v>92</v>
      </c>
      <c r="K1590" s="5"/>
      <c r="L1590" s="3"/>
      <c r="M1590" s="6"/>
      <c r="N1590" s="9"/>
      <c r="O1590" s="158">
        <v>970.92</v>
      </c>
      <c r="P1590" s="12"/>
      <c r="Q1590" s="12"/>
      <c r="R1590" s="12"/>
      <c r="S1590" s="12"/>
      <c r="T1590" s="12"/>
      <c r="U1590" s="12"/>
      <c r="V1590" s="12"/>
      <c r="W1590" s="12"/>
      <c r="X1590" s="12"/>
      <c r="Y1590" s="12"/>
      <c r="Z1590" s="12"/>
    </row>
    <row r="1591" spans="1:26" ht="14.25" customHeight="1" x14ac:dyDescent="0.3">
      <c r="A1591" s="155">
        <v>395</v>
      </c>
      <c r="B1591" s="156" t="s">
        <v>788</v>
      </c>
      <c r="C1591" s="3"/>
      <c r="D1591" s="3"/>
      <c r="E1591" s="156" t="s">
        <v>1775</v>
      </c>
      <c r="F1591" s="3"/>
      <c r="G1591" s="158">
        <v>12.4</v>
      </c>
      <c r="H1591" s="155">
        <v>2</v>
      </c>
      <c r="I1591" s="155">
        <v>27</v>
      </c>
      <c r="J1591" s="156" t="s">
        <v>32</v>
      </c>
      <c r="K1591" s="5"/>
      <c r="L1591" s="3"/>
      <c r="M1591" s="6"/>
      <c r="N1591" s="9"/>
      <c r="O1591" s="158">
        <v>24.8</v>
      </c>
      <c r="P1591" s="12"/>
      <c r="Q1591" s="12"/>
      <c r="R1591" s="12"/>
      <c r="S1591" s="12"/>
      <c r="T1591" s="12"/>
      <c r="U1591" s="12"/>
      <c r="V1591" s="12"/>
      <c r="W1591" s="12"/>
      <c r="X1591" s="12"/>
      <c r="Y1591" s="12"/>
      <c r="Z1591" s="12"/>
    </row>
    <row r="1592" spans="1:26" ht="14.25" customHeight="1" x14ac:dyDescent="0.3">
      <c r="A1592" s="155">
        <v>395</v>
      </c>
      <c r="B1592" s="156" t="s">
        <v>788</v>
      </c>
      <c r="C1592" s="3"/>
      <c r="D1592" s="3"/>
      <c r="E1592" s="156" t="s">
        <v>1776</v>
      </c>
      <c r="F1592" s="3"/>
      <c r="G1592" s="158">
        <v>12.4</v>
      </c>
      <c r="H1592" s="155">
        <v>6</v>
      </c>
      <c r="I1592" s="155">
        <v>27</v>
      </c>
      <c r="J1592" s="156" t="s">
        <v>32</v>
      </c>
      <c r="K1592" s="5"/>
      <c r="L1592" s="3"/>
      <c r="M1592" s="6"/>
      <c r="N1592" s="9"/>
      <c r="O1592" s="158">
        <v>74.400000000000006</v>
      </c>
      <c r="P1592" s="12"/>
      <c r="Q1592" s="12"/>
      <c r="R1592" s="12"/>
      <c r="S1592" s="12"/>
      <c r="T1592" s="12"/>
      <c r="U1592" s="12"/>
      <c r="V1592" s="12"/>
      <c r="W1592" s="12"/>
      <c r="X1592" s="12"/>
      <c r="Y1592" s="12"/>
      <c r="Z1592" s="12"/>
    </row>
    <row r="1593" spans="1:26" ht="14.25" customHeight="1" x14ac:dyDescent="0.3">
      <c r="A1593" s="155">
        <v>395</v>
      </c>
      <c r="B1593" s="156" t="s">
        <v>788</v>
      </c>
      <c r="C1593" s="3"/>
      <c r="D1593" s="3"/>
      <c r="E1593" s="156" t="s">
        <v>1777</v>
      </c>
      <c r="F1593" s="3"/>
      <c r="G1593" s="158">
        <v>12.4</v>
      </c>
      <c r="H1593" s="155">
        <v>1</v>
      </c>
      <c r="I1593" s="155">
        <v>27</v>
      </c>
      <c r="J1593" s="156" t="s">
        <v>32</v>
      </c>
      <c r="K1593" s="5"/>
      <c r="L1593" s="3"/>
      <c r="M1593" s="6"/>
      <c r="N1593" s="9"/>
      <c r="O1593" s="158">
        <v>12.4</v>
      </c>
      <c r="P1593" s="12"/>
      <c r="Q1593" s="12"/>
      <c r="R1593" s="12"/>
      <c r="S1593" s="12"/>
      <c r="T1593" s="12"/>
      <c r="U1593" s="12"/>
      <c r="V1593" s="12"/>
      <c r="W1593" s="12"/>
      <c r="X1593" s="12"/>
      <c r="Y1593" s="12"/>
      <c r="Z1593" s="12"/>
    </row>
    <row r="1594" spans="1:26" ht="14.25" customHeight="1" x14ac:dyDescent="0.3">
      <c r="A1594" s="155">
        <v>395</v>
      </c>
      <c r="B1594" s="156" t="s">
        <v>788</v>
      </c>
      <c r="C1594" s="3"/>
      <c r="D1594" s="3"/>
      <c r="E1594" s="156" t="s">
        <v>1778</v>
      </c>
      <c r="F1594" s="3"/>
      <c r="G1594" s="158">
        <v>12.2</v>
      </c>
      <c r="H1594" s="155">
        <v>7</v>
      </c>
      <c r="I1594" s="155">
        <v>27</v>
      </c>
      <c r="J1594" s="156" t="s">
        <v>39</v>
      </c>
      <c r="K1594" s="5"/>
      <c r="L1594" s="3"/>
      <c r="M1594" s="6"/>
      <c r="N1594" s="9"/>
      <c r="O1594" s="158">
        <v>85.4</v>
      </c>
      <c r="P1594" s="12"/>
      <c r="Q1594" s="12"/>
      <c r="R1594" s="12"/>
      <c r="S1594" s="12"/>
      <c r="T1594" s="12"/>
      <c r="U1594" s="12"/>
      <c r="V1594" s="12"/>
      <c r="W1594" s="12"/>
      <c r="X1594" s="12"/>
      <c r="Y1594" s="12"/>
      <c r="Z1594" s="12"/>
    </row>
    <row r="1595" spans="1:26" ht="14.25" customHeight="1" x14ac:dyDescent="0.3">
      <c r="A1595" s="155">
        <v>395</v>
      </c>
      <c r="B1595" s="156" t="s">
        <v>788</v>
      </c>
      <c r="C1595" s="3"/>
      <c r="D1595" s="3"/>
      <c r="E1595" s="156" t="s">
        <v>1779</v>
      </c>
      <c r="F1595" s="3"/>
      <c r="G1595" s="158">
        <v>12.2</v>
      </c>
      <c r="H1595" s="155">
        <v>5</v>
      </c>
      <c r="I1595" s="155">
        <v>27</v>
      </c>
      <c r="J1595" s="156" t="s">
        <v>39</v>
      </c>
      <c r="K1595" s="5"/>
      <c r="L1595" s="3"/>
      <c r="M1595" s="6"/>
      <c r="N1595" s="9"/>
      <c r="O1595" s="158">
        <v>61</v>
      </c>
      <c r="P1595" s="12"/>
      <c r="Q1595" s="12"/>
      <c r="R1595" s="12"/>
      <c r="S1595" s="12"/>
      <c r="T1595" s="12"/>
      <c r="U1595" s="12"/>
      <c r="V1595" s="12"/>
      <c r="W1595" s="12"/>
      <c r="X1595" s="12"/>
      <c r="Y1595" s="12"/>
      <c r="Z1595" s="12"/>
    </row>
    <row r="1596" spans="1:26" ht="14.25" customHeight="1" x14ac:dyDescent="0.3">
      <c r="A1596" s="155">
        <v>847</v>
      </c>
      <c r="B1596" s="156" t="s">
        <v>1780</v>
      </c>
      <c r="C1596" s="3"/>
      <c r="D1596" s="3"/>
      <c r="E1596" s="156" t="s">
        <v>1781</v>
      </c>
      <c r="F1596" s="3"/>
      <c r="G1596" s="158">
        <v>100</v>
      </c>
      <c r="H1596" s="155">
        <v>1</v>
      </c>
      <c r="I1596" s="155">
        <v>1</v>
      </c>
      <c r="J1596" s="156" t="s">
        <v>304</v>
      </c>
      <c r="K1596" s="5"/>
      <c r="L1596" s="3"/>
      <c r="M1596" s="6"/>
      <c r="N1596" s="9"/>
      <c r="O1596" s="158">
        <v>100</v>
      </c>
      <c r="P1596" s="12"/>
      <c r="Q1596" s="12"/>
      <c r="R1596" s="12"/>
      <c r="S1596" s="12"/>
      <c r="T1596" s="12"/>
      <c r="U1596" s="12"/>
      <c r="V1596" s="12"/>
      <c r="W1596" s="12"/>
      <c r="X1596" s="12"/>
      <c r="Y1596" s="12"/>
      <c r="Z1596" s="12"/>
    </row>
    <row r="1597" spans="1:26" ht="14.25" customHeight="1" x14ac:dyDescent="0.3">
      <c r="A1597" s="155">
        <v>848</v>
      </c>
      <c r="B1597" s="156" t="s">
        <v>1782</v>
      </c>
      <c r="C1597" s="3"/>
      <c r="D1597" s="3"/>
      <c r="E1597" s="156" t="s">
        <v>1221</v>
      </c>
      <c r="F1597" s="3"/>
      <c r="G1597" s="158">
        <v>67.857140000000001</v>
      </c>
      <c r="H1597" s="155">
        <v>7</v>
      </c>
      <c r="I1597" s="155">
        <v>250</v>
      </c>
      <c r="J1597" s="156" t="s">
        <v>39</v>
      </c>
      <c r="K1597" s="5"/>
      <c r="L1597" s="3"/>
      <c r="M1597" s="6"/>
      <c r="N1597" s="9"/>
      <c r="O1597" s="158">
        <v>475</v>
      </c>
      <c r="P1597" s="12"/>
      <c r="Q1597" s="12"/>
      <c r="R1597" s="12"/>
      <c r="S1597" s="12"/>
      <c r="T1597" s="12"/>
      <c r="U1597" s="12"/>
      <c r="V1597" s="12"/>
      <c r="W1597" s="12"/>
      <c r="X1597" s="12"/>
      <c r="Y1597" s="12"/>
      <c r="Z1597" s="12"/>
    </row>
    <row r="1598" spans="1:26" ht="14.25" customHeight="1" x14ac:dyDescent="0.3">
      <c r="A1598" s="155">
        <v>848</v>
      </c>
      <c r="B1598" s="156" t="s">
        <v>1782</v>
      </c>
      <c r="C1598" s="3"/>
      <c r="D1598" s="3"/>
      <c r="E1598" s="156" t="s">
        <v>1221</v>
      </c>
      <c r="F1598" s="3"/>
      <c r="G1598" s="158">
        <v>120</v>
      </c>
      <c r="H1598" s="155">
        <v>5</v>
      </c>
      <c r="I1598" s="155">
        <v>250</v>
      </c>
      <c r="J1598" s="156" t="s">
        <v>213</v>
      </c>
      <c r="K1598" s="5"/>
      <c r="L1598" s="3"/>
      <c r="M1598" s="6"/>
      <c r="N1598" s="9"/>
      <c r="O1598" s="158">
        <v>600</v>
      </c>
      <c r="P1598" s="12"/>
      <c r="Q1598" s="12"/>
      <c r="R1598" s="12"/>
      <c r="S1598" s="12"/>
      <c r="T1598" s="12"/>
      <c r="U1598" s="12"/>
      <c r="V1598" s="12"/>
      <c r="W1598" s="12"/>
      <c r="X1598" s="12"/>
      <c r="Y1598" s="12"/>
      <c r="Z1598" s="12"/>
    </row>
    <row r="1599" spans="1:26" ht="14.25" customHeight="1" x14ac:dyDescent="0.3">
      <c r="A1599" s="155">
        <v>848</v>
      </c>
      <c r="B1599" s="156" t="s">
        <v>1782</v>
      </c>
      <c r="C1599" s="3"/>
      <c r="D1599" s="3"/>
      <c r="E1599" s="156" t="s">
        <v>1783</v>
      </c>
      <c r="F1599" s="3"/>
      <c r="G1599" s="158">
        <v>120</v>
      </c>
      <c r="H1599" s="155">
        <v>2</v>
      </c>
      <c r="I1599" s="155">
        <v>250</v>
      </c>
      <c r="J1599" s="156" t="s">
        <v>213</v>
      </c>
      <c r="K1599" s="5"/>
      <c r="L1599" s="3"/>
      <c r="M1599" s="6"/>
      <c r="N1599" s="9"/>
      <c r="O1599" s="158">
        <v>240</v>
      </c>
      <c r="P1599" s="12"/>
      <c r="Q1599" s="12"/>
      <c r="R1599" s="12"/>
      <c r="S1599" s="12"/>
      <c r="T1599" s="12"/>
      <c r="U1599" s="12"/>
      <c r="V1599" s="12"/>
      <c r="W1599" s="12"/>
      <c r="X1599" s="12"/>
      <c r="Y1599" s="12"/>
      <c r="Z1599" s="12"/>
    </row>
    <row r="1600" spans="1:26" ht="14.25" customHeight="1" x14ac:dyDescent="0.3">
      <c r="A1600" s="155">
        <v>848</v>
      </c>
      <c r="B1600" s="156" t="s">
        <v>1782</v>
      </c>
      <c r="C1600" s="3"/>
      <c r="D1600" s="3"/>
      <c r="E1600" s="156" t="s">
        <v>1098</v>
      </c>
      <c r="F1600" s="3"/>
      <c r="G1600" s="158">
        <v>65</v>
      </c>
      <c r="H1600" s="155">
        <v>3</v>
      </c>
      <c r="I1600" s="155">
        <v>250</v>
      </c>
      <c r="J1600" s="156" t="s">
        <v>39</v>
      </c>
      <c r="K1600" s="5"/>
      <c r="L1600" s="3"/>
      <c r="M1600" s="6"/>
      <c r="N1600" s="9"/>
      <c r="O1600" s="158">
        <v>195</v>
      </c>
      <c r="P1600" s="12"/>
      <c r="Q1600" s="12"/>
      <c r="R1600" s="12"/>
      <c r="S1600" s="12"/>
      <c r="T1600" s="12"/>
      <c r="U1600" s="12"/>
      <c r="V1600" s="12"/>
      <c r="W1600" s="12"/>
      <c r="X1600" s="12"/>
      <c r="Y1600" s="12"/>
      <c r="Z1600" s="12"/>
    </row>
    <row r="1601" spans="1:26" ht="14.25" customHeight="1" x14ac:dyDescent="0.3">
      <c r="A1601" s="155">
        <v>396</v>
      </c>
      <c r="B1601" s="156" t="s">
        <v>789</v>
      </c>
      <c r="C1601" s="3"/>
      <c r="D1601" s="3"/>
      <c r="E1601" s="156" t="s">
        <v>854</v>
      </c>
      <c r="F1601" s="3"/>
      <c r="G1601" s="158">
        <v>31</v>
      </c>
      <c r="H1601" s="155">
        <v>4</v>
      </c>
      <c r="I1601" s="155">
        <v>20</v>
      </c>
      <c r="J1601" s="156" t="s">
        <v>39</v>
      </c>
      <c r="K1601" s="5"/>
      <c r="L1601" s="3"/>
      <c r="M1601" s="6"/>
      <c r="N1601" s="9"/>
      <c r="O1601" s="158">
        <v>124</v>
      </c>
      <c r="P1601" s="12"/>
      <c r="Q1601" s="12"/>
      <c r="R1601" s="12"/>
      <c r="S1601" s="12"/>
      <c r="T1601" s="12"/>
      <c r="U1601" s="12"/>
      <c r="V1601" s="12"/>
      <c r="W1601" s="12"/>
      <c r="X1601" s="12"/>
      <c r="Y1601" s="12"/>
      <c r="Z1601" s="12"/>
    </row>
    <row r="1602" spans="1:26" ht="14.25" customHeight="1" x14ac:dyDescent="0.3">
      <c r="A1602" s="155">
        <v>396</v>
      </c>
      <c r="B1602" s="156" t="s">
        <v>789</v>
      </c>
      <c r="C1602" s="3"/>
      <c r="D1602" s="3"/>
      <c r="E1602" s="156" t="s">
        <v>962</v>
      </c>
      <c r="F1602" s="3"/>
      <c r="G1602" s="158">
        <v>753.33330000000001</v>
      </c>
      <c r="H1602" s="155">
        <v>3</v>
      </c>
      <c r="I1602" s="155">
        <v>20</v>
      </c>
      <c r="J1602" s="156" t="s">
        <v>213</v>
      </c>
      <c r="K1602" s="5"/>
      <c r="L1602" s="3"/>
      <c r="M1602" s="6"/>
      <c r="N1602" s="9"/>
      <c r="O1602" s="158">
        <v>2260</v>
      </c>
      <c r="P1602" s="12"/>
      <c r="Q1602" s="12"/>
      <c r="R1602" s="12"/>
      <c r="S1602" s="12"/>
      <c r="T1602" s="12"/>
      <c r="U1602" s="12"/>
      <c r="V1602" s="12"/>
      <c r="W1602" s="12"/>
      <c r="X1602" s="12"/>
      <c r="Y1602" s="12"/>
      <c r="Z1602" s="12"/>
    </row>
    <row r="1603" spans="1:26" ht="14.25" customHeight="1" x14ac:dyDescent="0.3">
      <c r="A1603" s="155">
        <v>396</v>
      </c>
      <c r="B1603" s="156" t="s">
        <v>789</v>
      </c>
      <c r="C1603" s="3"/>
      <c r="D1603" s="3"/>
      <c r="E1603" s="156" t="s">
        <v>851</v>
      </c>
      <c r="F1603" s="3"/>
      <c r="G1603" s="158">
        <v>31</v>
      </c>
      <c r="H1603" s="155">
        <v>1</v>
      </c>
      <c r="I1603" s="155">
        <v>20</v>
      </c>
      <c r="J1603" s="156" t="s">
        <v>39</v>
      </c>
      <c r="K1603" s="5"/>
      <c r="L1603" s="3"/>
      <c r="M1603" s="6"/>
      <c r="N1603" s="9"/>
      <c r="O1603" s="158">
        <v>31</v>
      </c>
      <c r="P1603" s="12"/>
      <c r="Q1603" s="12"/>
      <c r="R1603" s="12"/>
      <c r="S1603" s="12"/>
      <c r="T1603" s="12"/>
      <c r="U1603" s="12"/>
      <c r="V1603" s="12"/>
      <c r="W1603" s="12"/>
      <c r="X1603" s="12"/>
      <c r="Y1603" s="12"/>
      <c r="Z1603" s="12"/>
    </row>
    <row r="1604" spans="1:26" ht="14.25" customHeight="1" x14ac:dyDescent="0.3">
      <c r="A1604" s="155">
        <v>849</v>
      </c>
      <c r="B1604" s="156" t="s">
        <v>1784</v>
      </c>
      <c r="C1604" s="3"/>
      <c r="D1604" s="3"/>
      <c r="E1604" s="156" t="s">
        <v>1785</v>
      </c>
      <c r="F1604" s="3"/>
      <c r="G1604" s="158">
        <v>202</v>
      </c>
      <c r="H1604" s="155">
        <v>1</v>
      </c>
      <c r="I1604" s="155">
        <v>142</v>
      </c>
      <c r="J1604" s="156" t="s">
        <v>39</v>
      </c>
      <c r="K1604" s="5"/>
      <c r="L1604" s="3"/>
      <c r="M1604" s="6"/>
      <c r="N1604" s="9"/>
      <c r="O1604" s="158">
        <v>202</v>
      </c>
      <c r="P1604" s="12"/>
      <c r="Q1604" s="12"/>
      <c r="R1604" s="12"/>
      <c r="S1604" s="12"/>
      <c r="T1604" s="12"/>
      <c r="U1604" s="12"/>
      <c r="V1604" s="12"/>
      <c r="W1604" s="12"/>
      <c r="X1604" s="12"/>
      <c r="Y1604" s="12"/>
      <c r="Z1604" s="12"/>
    </row>
    <row r="1605" spans="1:26" ht="14.25" customHeight="1" x14ac:dyDescent="0.3">
      <c r="A1605" s="155">
        <v>850</v>
      </c>
      <c r="B1605" s="156" t="s">
        <v>1786</v>
      </c>
      <c r="C1605" s="3"/>
      <c r="D1605" s="3"/>
      <c r="E1605" s="156" t="s">
        <v>1787</v>
      </c>
      <c r="F1605" s="3"/>
      <c r="G1605" s="158">
        <v>30</v>
      </c>
      <c r="H1605" s="155">
        <v>6</v>
      </c>
      <c r="I1605" s="155">
        <v>1</v>
      </c>
      <c r="J1605" s="156" t="s">
        <v>92</v>
      </c>
      <c r="K1605" s="5"/>
      <c r="L1605" s="3"/>
      <c r="M1605" s="6"/>
      <c r="N1605" s="9"/>
      <c r="O1605" s="158">
        <v>180</v>
      </c>
      <c r="P1605" s="12"/>
      <c r="Q1605" s="12"/>
      <c r="R1605" s="12"/>
      <c r="S1605" s="12"/>
      <c r="T1605" s="12"/>
      <c r="U1605" s="12"/>
      <c r="V1605" s="12"/>
      <c r="W1605" s="12"/>
      <c r="X1605" s="12"/>
      <c r="Y1605" s="12"/>
      <c r="Z1605" s="12"/>
    </row>
    <row r="1606" spans="1:26" ht="14.25" customHeight="1" x14ac:dyDescent="0.3">
      <c r="A1606" s="155">
        <v>850</v>
      </c>
      <c r="B1606" s="156" t="s">
        <v>1786</v>
      </c>
      <c r="C1606" s="3"/>
      <c r="D1606" s="3"/>
      <c r="E1606" s="156" t="s">
        <v>1272</v>
      </c>
      <c r="F1606" s="3"/>
      <c r="G1606" s="158">
        <v>41</v>
      </c>
      <c r="H1606" s="155">
        <v>5</v>
      </c>
      <c r="I1606" s="155">
        <v>1</v>
      </c>
      <c r="J1606" s="156" t="s">
        <v>92</v>
      </c>
      <c r="K1606" s="5"/>
      <c r="L1606" s="3"/>
      <c r="M1606" s="6"/>
      <c r="N1606" s="9"/>
      <c r="O1606" s="158">
        <v>205</v>
      </c>
      <c r="P1606" s="12"/>
      <c r="Q1606" s="12"/>
      <c r="R1606" s="12"/>
      <c r="S1606" s="12"/>
      <c r="T1606" s="12"/>
      <c r="U1606" s="12"/>
      <c r="V1606" s="12"/>
      <c r="W1606" s="12"/>
      <c r="X1606" s="12"/>
      <c r="Y1606" s="12"/>
      <c r="Z1606" s="12"/>
    </row>
    <row r="1607" spans="1:26" ht="14.25" customHeight="1" x14ac:dyDescent="0.3">
      <c r="A1607" s="155">
        <v>851</v>
      </c>
      <c r="B1607" s="156" t="s">
        <v>1788</v>
      </c>
      <c r="C1607" s="3"/>
      <c r="D1607" s="3"/>
      <c r="E1607" s="156"/>
      <c r="F1607" s="3"/>
      <c r="G1607" s="158">
        <v>13.25</v>
      </c>
      <c r="H1607" s="155">
        <v>5</v>
      </c>
      <c r="I1607" s="155">
        <v>1</v>
      </c>
      <c r="J1607" s="156" t="s">
        <v>304</v>
      </c>
      <c r="K1607" s="5"/>
      <c r="L1607" s="3"/>
      <c r="M1607" s="6"/>
      <c r="N1607" s="9"/>
      <c r="O1607" s="158">
        <v>66.25</v>
      </c>
      <c r="P1607" s="12"/>
      <c r="Q1607" s="12"/>
      <c r="R1607" s="12"/>
      <c r="S1607" s="12"/>
      <c r="T1607" s="12"/>
      <c r="U1607" s="12"/>
      <c r="V1607" s="12"/>
      <c r="W1607" s="12"/>
      <c r="X1607" s="12"/>
      <c r="Y1607" s="12"/>
      <c r="Z1607" s="12"/>
    </row>
    <row r="1608" spans="1:26" ht="14.25" customHeight="1" x14ac:dyDescent="0.3">
      <c r="A1608" s="155">
        <v>852</v>
      </c>
      <c r="B1608" s="156" t="s">
        <v>1789</v>
      </c>
      <c r="C1608" s="3"/>
      <c r="D1608" s="3"/>
      <c r="E1608" s="156" t="s">
        <v>1486</v>
      </c>
      <c r="F1608" s="3"/>
      <c r="G1608" s="158">
        <v>150</v>
      </c>
      <c r="H1608" s="155">
        <v>1</v>
      </c>
      <c r="I1608" s="155">
        <v>320</v>
      </c>
      <c r="J1608" s="156" t="s">
        <v>39</v>
      </c>
      <c r="K1608" s="5"/>
      <c r="L1608" s="3"/>
      <c r="M1608" s="6"/>
      <c r="N1608" s="9"/>
      <c r="O1608" s="158">
        <v>150</v>
      </c>
      <c r="P1608" s="12"/>
      <c r="Q1608" s="12"/>
      <c r="R1608" s="12"/>
      <c r="S1608" s="12"/>
      <c r="T1608" s="12"/>
      <c r="U1608" s="12"/>
      <c r="V1608" s="12"/>
      <c r="W1608" s="12"/>
      <c r="X1608" s="12"/>
      <c r="Y1608" s="12"/>
      <c r="Z1608" s="12"/>
    </row>
    <row r="1609" spans="1:26" ht="14.25" customHeight="1" x14ac:dyDescent="0.3">
      <c r="A1609" s="155">
        <v>853</v>
      </c>
      <c r="B1609" s="156" t="s">
        <v>1790</v>
      </c>
      <c r="C1609" s="3"/>
      <c r="D1609" s="3"/>
      <c r="E1609" s="156" t="s">
        <v>1791</v>
      </c>
      <c r="F1609" s="3"/>
      <c r="G1609" s="158">
        <v>25</v>
      </c>
      <c r="H1609" s="155">
        <v>3</v>
      </c>
      <c r="I1609" s="155">
        <v>1</v>
      </c>
      <c r="J1609" s="156" t="s">
        <v>92</v>
      </c>
      <c r="K1609" s="5"/>
      <c r="L1609" s="3"/>
      <c r="M1609" s="6"/>
      <c r="N1609" s="9"/>
      <c r="O1609" s="158">
        <v>75</v>
      </c>
      <c r="P1609" s="12"/>
      <c r="Q1609" s="12"/>
      <c r="R1609" s="12"/>
      <c r="S1609" s="12"/>
      <c r="T1609" s="12"/>
      <c r="U1609" s="12"/>
      <c r="V1609" s="12"/>
      <c r="W1609" s="12"/>
      <c r="X1609" s="12"/>
      <c r="Y1609" s="12"/>
      <c r="Z1609" s="12"/>
    </row>
    <row r="1610" spans="1:26" ht="14.25" customHeight="1" x14ac:dyDescent="0.3">
      <c r="A1610" s="155">
        <v>401</v>
      </c>
      <c r="B1610" s="156" t="s">
        <v>81</v>
      </c>
      <c r="C1610" s="3"/>
      <c r="D1610" s="3"/>
      <c r="E1610" s="156" t="s">
        <v>1792</v>
      </c>
      <c r="F1610" s="3"/>
      <c r="G1610" s="158">
        <v>82.249070000000003</v>
      </c>
      <c r="H1610" s="155">
        <v>108</v>
      </c>
      <c r="I1610" s="155">
        <v>1</v>
      </c>
      <c r="J1610" s="156" t="s">
        <v>213</v>
      </c>
      <c r="K1610" s="5"/>
      <c r="L1610" s="3"/>
      <c r="M1610" s="6"/>
      <c r="N1610" s="9"/>
      <c r="O1610" s="158">
        <v>8882.9</v>
      </c>
      <c r="P1610" s="12"/>
      <c r="Q1610" s="12"/>
      <c r="R1610" s="12"/>
      <c r="S1610" s="12"/>
      <c r="T1610" s="12"/>
      <c r="U1610" s="12"/>
      <c r="V1610" s="12"/>
      <c r="W1610" s="12"/>
      <c r="X1610" s="12"/>
      <c r="Y1610" s="12"/>
      <c r="Z1610" s="12"/>
    </row>
    <row r="1611" spans="1:26" ht="14.25" customHeight="1" x14ac:dyDescent="0.3">
      <c r="A1611" s="155">
        <v>401</v>
      </c>
      <c r="B1611" s="156" t="s">
        <v>81</v>
      </c>
      <c r="C1611" s="3"/>
      <c r="D1611" s="3"/>
      <c r="E1611" s="156" t="s">
        <v>1792</v>
      </c>
      <c r="F1611" s="3"/>
      <c r="G1611" s="158">
        <v>42.8</v>
      </c>
      <c r="H1611" s="155">
        <v>53</v>
      </c>
      <c r="I1611" s="155">
        <v>1</v>
      </c>
      <c r="J1611" s="156" t="s">
        <v>39</v>
      </c>
      <c r="K1611" s="5"/>
      <c r="L1611" s="3"/>
      <c r="M1611" s="6"/>
      <c r="N1611" s="9"/>
      <c r="O1611" s="158">
        <v>2268.4</v>
      </c>
      <c r="P1611" s="12"/>
      <c r="Q1611" s="12"/>
      <c r="R1611" s="12"/>
      <c r="S1611" s="12"/>
      <c r="T1611" s="12"/>
      <c r="U1611" s="12"/>
      <c r="V1611" s="12"/>
      <c r="W1611" s="12"/>
      <c r="X1611" s="12"/>
      <c r="Y1611" s="12"/>
      <c r="Z1611" s="12"/>
    </row>
    <row r="1612" spans="1:26" ht="14.25" customHeight="1" x14ac:dyDescent="0.3">
      <c r="A1612" s="155">
        <v>401</v>
      </c>
      <c r="B1612" s="156" t="s">
        <v>81</v>
      </c>
      <c r="C1612" s="3"/>
      <c r="D1612" s="3"/>
      <c r="E1612" s="156" t="s">
        <v>1793</v>
      </c>
      <c r="F1612" s="3"/>
      <c r="G1612" s="158">
        <v>68</v>
      </c>
      <c r="H1612" s="155">
        <v>36</v>
      </c>
      <c r="I1612" s="155">
        <v>1</v>
      </c>
      <c r="J1612" s="156" t="s">
        <v>213</v>
      </c>
      <c r="K1612" s="5"/>
      <c r="L1612" s="3"/>
      <c r="M1612" s="6"/>
      <c r="N1612" s="9"/>
      <c r="O1612" s="158">
        <v>2448</v>
      </c>
      <c r="P1612" s="12"/>
      <c r="Q1612" s="12"/>
      <c r="R1612" s="12"/>
      <c r="S1612" s="12"/>
      <c r="T1612" s="12"/>
      <c r="U1612" s="12"/>
      <c r="V1612" s="12"/>
      <c r="W1612" s="12"/>
      <c r="X1612" s="12"/>
      <c r="Y1612" s="12"/>
      <c r="Z1612" s="12"/>
    </row>
    <row r="1613" spans="1:26" ht="14.25" customHeight="1" x14ac:dyDescent="0.3">
      <c r="A1613" s="155">
        <v>401</v>
      </c>
      <c r="B1613" s="156" t="s">
        <v>81</v>
      </c>
      <c r="C1613" s="3"/>
      <c r="D1613" s="3"/>
      <c r="E1613" s="156"/>
      <c r="F1613" s="3"/>
      <c r="G1613" s="158">
        <v>76</v>
      </c>
      <c r="H1613" s="155">
        <v>18</v>
      </c>
      <c r="I1613" s="155">
        <v>1</v>
      </c>
      <c r="J1613" s="156" t="s">
        <v>213</v>
      </c>
      <c r="K1613" s="5"/>
      <c r="L1613" s="3"/>
      <c r="M1613" s="6"/>
      <c r="N1613" s="9"/>
      <c r="O1613" s="158">
        <v>1368</v>
      </c>
      <c r="P1613" s="12"/>
      <c r="Q1613" s="12"/>
      <c r="R1613" s="12"/>
      <c r="S1613" s="12"/>
      <c r="T1613" s="12"/>
      <c r="U1613" s="12"/>
      <c r="V1613" s="12"/>
      <c r="W1613" s="12"/>
      <c r="X1613" s="12"/>
      <c r="Y1613" s="12"/>
      <c r="Z1613" s="12"/>
    </row>
    <row r="1614" spans="1:26" ht="14.25" customHeight="1" x14ac:dyDescent="0.3">
      <c r="A1614" s="155">
        <v>854</v>
      </c>
      <c r="B1614" s="156" t="s">
        <v>1794</v>
      </c>
      <c r="C1614" s="3"/>
      <c r="D1614" s="3"/>
      <c r="E1614" s="156" t="s">
        <v>1795</v>
      </c>
      <c r="F1614" s="3"/>
      <c r="G1614" s="158">
        <v>22</v>
      </c>
      <c r="H1614" s="155">
        <v>5</v>
      </c>
      <c r="I1614" s="155">
        <v>1</v>
      </c>
      <c r="J1614" s="156" t="s">
        <v>39</v>
      </c>
      <c r="K1614" s="5"/>
      <c r="L1614" s="3"/>
      <c r="M1614" s="6"/>
      <c r="N1614" s="9"/>
      <c r="O1614" s="158">
        <v>110</v>
      </c>
      <c r="P1614" s="12"/>
      <c r="Q1614" s="12"/>
      <c r="R1614" s="12"/>
      <c r="S1614" s="12"/>
      <c r="T1614" s="12"/>
      <c r="U1614" s="12"/>
      <c r="V1614" s="12"/>
      <c r="W1614" s="12"/>
      <c r="X1614" s="12"/>
      <c r="Y1614" s="12"/>
      <c r="Z1614" s="12"/>
    </row>
    <row r="1615" spans="1:26" ht="14.25" customHeight="1" x14ac:dyDescent="0.3">
      <c r="A1615" s="155">
        <v>854</v>
      </c>
      <c r="B1615" s="156" t="s">
        <v>1794</v>
      </c>
      <c r="C1615" s="3"/>
      <c r="D1615" s="3"/>
      <c r="E1615" s="156" t="s">
        <v>1796</v>
      </c>
      <c r="F1615" s="3"/>
      <c r="G1615" s="158">
        <v>36.31579</v>
      </c>
      <c r="H1615" s="155">
        <v>19</v>
      </c>
      <c r="I1615" s="155">
        <v>1</v>
      </c>
      <c r="J1615" s="156" t="s">
        <v>92</v>
      </c>
      <c r="K1615" s="5"/>
      <c r="L1615" s="3"/>
      <c r="M1615" s="6"/>
      <c r="N1615" s="9"/>
      <c r="O1615" s="158">
        <v>690</v>
      </c>
      <c r="P1615" s="12"/>
      <c r="Q1615" s="12"/>
      <c r="R1615" s="12"/>
      <c r="S1615" s="12"/>
      <c r="T1615" s="12"/>
      <c r="U1615" s="12"/>
      <c r="V1615" s="12"/>
      <c r="W1615" s="12"/>
      <c r="X1615" s="12"/>
      <c r="Y1615" s="12"/>
      <c r="Z1615" s="12"/>
    </row>
    <row r="1616" spans="1:26" ht="14.25" customHeight="1" x14ac:dyDescent="0.3">
      <c r="A1616" s="155">
        <v>854</v>
      </c>
      <c r="B1616" s="156" t="s">
        <v>1794</v>
      </c>
      <c r="C1616" s="3"/>
      <c r="D1616" s="3"/>
      <c r="E1616" s="156" t="s">
        <v>1797</v>
      </c>
      <c r="F1616" s="3"/>
      <c r="G1616" s="158">
        <v>1.6396599999999999</v>
      </c>
      <c r="H1616" s="155">
        <v>1001</v>
      </c>
      <c r="I1616" s="155">
        <v>1</v>
      </c>
      <c r="J1616" s="156" t="s">
        <v>39</v>
      </c>
      <c r="K1616" s="5"/>
      <c r="L1616" s="3"/>
      <c r="M1616" s="6"/>
      <c r="N1616" s="9"/>
      <c r="O1616" s="158">
        <v>1641.3</v>
      </c>
      <c r="P1616" s="12"/>
      <c r="Q1616" s="12"/>
      <c r="R1616" s="12"/>
      <c r="S1616" s="12"/>
      <c r="T1616" s="12"/>
      <c r="U1616" s="12"/>
      <c r="V1616" s="12"/>
      <c r="W1616" s="12"/>
      <c r="X1616" s="12"/>
      <c r="Y1616" s="12"/>
      <c r="Z1616" s="12"/>
    </row>
    <row r="1617" spans="1:26" ht="14.25" customHeight="1" x14ac:dyDescent="0.3">
      <c r="A1617" s="155">
        <v>854</v>
      </c>
      <c r="B1617" s="156" t="s">
        <v>1794</v>
      </c>
      <c r="C1617" s="3"/>
      <c r="D1617" s="3"/>
      <c r="E1617" s="156" t="s">
        <v>1798</v>
      </c>
      <c r="F1617" s="3"/>
      <c r="G1617" s="158">
        <v>1.06</v>
      </c>
      <c r="H1617" s="155">
        <v>1500</v>
      </c>
      <c r="I1617" s="155">
        <v>1</v>
      </c>
      <c r="J1617" s="156" t="s">
        <v>39</v>
      </c>
      <c r="K1617" s="5"/>
      <c r="L1617" s="3"/>
      <c r="M1617" s="6"/>
      <c r="N1617" s="9"/>
      <c r="O1617" s="158">
        <v>1590</v>
      </c>
      <c r="P1617" s="12"/>
      <c r="Q1617" s="12"/>
      <c r="R1617" s="12"/>
      <c r="S1617" s="12"/>
      <c r="T1617" s="12"/>
      <c r="U1617" s="12"/>
      <c r="V1617" s="12"/>
      <c r="W1617" s="12"/>
      <c r="X1617" s="12"/>
      <c r="Y1617" s="12"/>
      <c r="Z1617" s="12"/>
    </row>
    <row r="1618" spans="1:26" ht="14.25" customHeight="1" x14ac:dyDescent="0.3">
      <c r="A1618" s="155">
        <v>404</v>
      </c>
      <c r="B1618" s="156" t="s">
        <v>83</v>
      </c>
      <c r="C1618" s="3"/>
      <c r="D1618" s="3"/>
      <c r="E1618" s="156" t="s">
        <v>1792</v>
      </c>
      <c r="F1618" s="3"/>
      <c r="G1618" s="158">
        <v>86.2</v>
      </c>
      <c r="H1618" s="155">
        <v>5</v>
      </c>
      <c r="I1618" s="155">
        <v>1</v>
      </c>
      <c r="J1618" s="156" t="s">
        <v>213</v>
      </c>
      <c r="K1618" s="5"/>
      <c r="L1618" s="3"/>
      <c r="M1618" s="6"/>
      <c r="N1618" s="9"/>
      <c r="O1618" s="158">
        <v>431</v>
      </c>
      <c r="P1618" s="12"/>
      <c r="Q1618" s="12"/>
      <c r="R1618" s="12"/>
      <c r="S1618" s="12"/>
      <c r="T1618" s="12"/>
      <c r="U1618" s="12"/>
      <c r="V1618" s="12"/>
      <c r="W1618" s="12"/>
      <c r="X1618" s="12"/>
      <c r="Y1618" s="12"/>
      <c r="Z1618" s="12"/>
    </row>
    <row r="1619" spans="1:26" ht="14.25" customHeight="1" x14ac:dyDescent="0.3">
      <c r="A1619" s="155">
        <v>404</v>
      </c>
      <c r="B1619" s="156" t="s">
        <v>83</v>
      </c>
      <c r="C1619" s="3"/>
      <c r="D1619" s="3"/>
      <c r="E1619" s="156" t="s">
        <v>991</v>
      </c>
      <c r="F1619" s="3"/>
      <c r="G1619" s="158">
        <v>60</v>
      </c>
      <c r="H1619" s="155">
        <v>24</v>
      </c>
      <c r="I1619" s="155">
        <v>1</v>
      </c>
      <c r="J1619" s="156" t="s">
        <v>213</v>
      </c>
      <c r="K1619" s="5"/>
      <c r="L1619" s="3"/>
      <c r="M1619" s="6"/>
      <c r="N1619" s="9"/>
      <c r="O1619" s="158">
        <v>1440</v>
      </c>
      <c r="P1619" s="12"/>
      <c r="Q1619" s="12"/>
      <c r="R1619" s="12"/>
      <c r="S1619" s="12"/>
      <c r="T1619" s="12"/>
      <c r="U1619" s="12"/>
      <c r="V1619" s="12"/>
      <c r="W1619" s="12"/>
      <c r="X1619" s="12"/>
      <c r="Y1619" s="12"/>
      <c r="Z1619" s="12"/>
    </row>
    <row r="1620" spans="1:26" ht="14.25" customHeight="1" x14ac:dyDescent="0.3">
      <c r="A1620" s="155">
        <v>405</v>
      </c>
      <c r="B1620" s="156" t="s">
        <v>84</v>
      </c>
      <c r="C1620" s="3"/>
      <c r="D1620" s="3"/>
      <c r="E1620" s="156" t="s">
        <v>1792</v>
      </c>
      <c r="F1620" s="3"/>
      <c r="G1620" s="158">
        <v>91.409260000000003</v>
      </c>
      <c r="H1620" s="155">
        <v>54</v>
      </c>
      <c r="I1620" s="155">
        <v>1</v>
      </c>
      <c r="J1620" s="156" t="s">
        <v>213</v>
      </c>
      <c r="K1620" s="5"/>
      <c r="L1620" s="3"/>
      <c r="M1620" s="6"/>
      <c r="N1620" s="9"/>
      <c r="O1620" s="158">
        <v>4936.1000000000004</v>
      </c>
      <c r="P1620" s="12"/>
      <c r="Q1620" s="12"/>
      <c r="R1620" s="12"/>
      <c r="S1620" s="12"/>
      <c r="T1620" s="12"/>
      <c r="U1620" s="12"/>
      <c r="V1620" s="12"/>
      <c r="W1620" s="12"/>
      <c r="X1620" s="12"/>
      <c r="Y1620" s="12"/>
      <c r="Z1620" s="12"/>
    </row>
    <row r="1621" spans="1:26" ht="14.25" customHeight="1" x14ac:dyDescent="0.3">
      <c r="A1621" s="155">
        <v>405</v>
      </c>
      <c r="B1621" s="156" t="s">
        <v>84</v>
      </c>
      <c r="C1621" s="3"/>
      <c r="D1621" s="3"/>
      <c r="E1621" s="156" t="s">
        <v>1799</v>
      </c>
      <c r="F1621" s="3"/>
      <c r="G1621" s="158">
        <v>90</v>
      </c>
      <c r="H1621" s="155">
        <v>16</v>
      </c>
      <c r="I1621" s="155">
        <v>1</v>
      </c>
      <c r="J1621" s="156" t="s">
        <v>213</v>
      </c>
      <c r="K1621" s="5"/>
      <c r="L1621" s="3"/>
      <c r="M1621" s="6"/>
      <c r="N1621" s="9"/>
      <c r="O1621" s="158">
        <v>1440</v>
      </c>
      <c r="P1621" s="12"/>
      <c r="Q1621" s="12"/>
      <c r="R1621" s="12"/>
      <c r="S1621" s="12"/>
      <c r="T1621" s="12"/>
      <c r="U1621" s="12"/>
      <c r="V1621" s="12"/>
      <c r="W1621" s="12"/>
      <c r="X1621" s="12"/>
      <c r="Y1621" s="12"/>
      <c r="Z1621" s="12"/>
    </row>
    <row r="1622" spans="1:26" ht="14.25" customHeight="1" x14ac:dyDescent="0.3">
      <c r="A1622" s="155">
        <v>405</v>
      </c>
      <c r="B1622" s="156" t="s">
        <v>84</v>
      </c>
      <c r="C1622" s="3"/>
      <c r="D1622" s="3"/>
      <c r="E1622" s="156" t="s">
        <v>991</v>
      </c>
      <c r="F1622" s="3"/>
      <c r="G1622" s="158">
        <v>68</v>
      </c>
      <c r="H1622" s="155">
        <v>22</v>
      </c>
      <c r="I1622" s="155">
        <v>1</v>
      </c>
      <c r="J1622" s="156" t="s">
        <v>213</v>
      </c>
      <c r="K1622" s="5"/>
      <c r="L1622" s="3"/>
      <c r="M1622" s="6"/>
      <c r="N1622" s="9"/>
      <c r="O1622" s="158">
        <v>1496</v>
      </c>
      <c r="P1622" s="12"/>
      <c r="Q1622" s="12"/>
      <c r="R1622" s="12"/>
      <c r="S1622" s="12"/>
      <c r="T1622" s="12"/>
      <c r="U1622" s="12"/>
      <c r="V1622" s="12"/>
      <c r="W1622" s="12"/>
      <c r="X1622" s="12"/>
      <c r="Y1622" s="12"/>
      <c r="Z1622" s="12"/>
    </row>
    <row r="1623" spans="1:26" ht="14.25" customHeight="1" x14ac:dyDescent="0.3">
      <c r="A1623" s="155">
        <v>405</v>
      </c>
      <c r="B1623" s="156" t="s">
        <v>84</v>
      </c>
      <c r="C1623" s="3"/>
      <c r="D1623" s="3"/>
      <c r="E1623" s="156" t="s">
        <v>858</v>
      </c>
      <c r="F1623" s="3"/>
      <c r="G1623" s="158">
        <v>1.32</v>
      </c>
      <c r="H1623" s="155">
        <v>200</v>
      </c>
      <c r="I1623" s="155">
        <v>1</v>
      </c>
      <c r="J1623" s="156" t="s">
        <v>39</v>
      </c>
      <c r="K1623" s="5"/>
      <c r="L1623" s="3"/>
      <c r="M1623" s="6"/>
      <c r="N1623" s="9"/>
      <c r="O1623" s="158">
        <v>264</v>
      </c>
      <c r="P1623" s="12"/>
      <c r="Q1623" s="12"/>
      <c r="R1623" s="12"/>
      <c r="S1623" s="12"/>
      <c r="T1623" s="12"/>
      <c r="U1623" s="12"/>
      <c r="V1623" s="12"/>
      <c r="W1623" s="12"/>
      <c r="X1623" s="12"/>
      <c r="Y1623" s="12"/>
      <c r="Z1623" s="12"/>
    </row>
    <row r="1624" spans="1:26" ht="14.25" customHeight="1" x14ac:dyDescent="0.3">
      <c r="A1624" s="155">
        <v>405</v>
      </c>
      <c r="B1624" s="156" t="s">
        <v>84</v>
      </c>
      <c r="C1624" s="3"/>
      <c r="D1624" s="3"/>
      <c r="E1624" s="156"/>
      <c r="F1624" s="3"/>
      <c r="G1624" s="158">
        <v>78</v>
      </c>
      <c r="H1624" s="155">
        <v>18</v>
      </c>
      <c r="I1624" s="155">
        <v>1</v>
      </c>
      <c r="J1624" s="156" t="s">
        <v>213</v>
      </c>
      <c r="K1624" s="5"/>
      <c r="L1624" s="3"/>
      <c r="M1624" s="6"/>
      <c r="N1624" s="9"/>
      <c r="O1624" s="158">
        <v>1404</v>
      </c>
      <c r="P1624" s="12"/>
      <c r="Q1624" s="12"/>
      <c r="R1624" s="12"/>
      <c r="S1624" s="12"/>
      <c r="T1624" s="12"/>
      <c r="U1624" s="12"/>
      <c r="V1624" s="12"/>
      <c r="W1624" s="12"/>
      <c r="X1624" s="12"/>
      <c r="Y1624" s="12"/>
      <c r="Z1624" s="12"/>
    </row>
    <row r="1625" spans="1:26" ht="14.25" customHeight="1" x14ac:dyDescent="0.3">
      <c r="A1625" s="155">
        <v>855</v>
      </c>
      <c r="B1625" s="156" t="s">
        <v>1800</v>
      </c>
      <c r="C1625" s="3"/>
      <c r="D1625" s="3"/>
      <c r="E1625" s="156" t="s">
        <v>880</v>
      </c>
      <c r="F1625" s="3"/>
      <c r="G1625" s="158">
        <v>179</v>
      </c>
      <c r="H1625" s="155">
        <v>1</v>
      </c>
      <c r="I1625" s="155">
        <v>190</v>
      </c>
      <c r="J1625" s="156" t="s">
        <v>39</v>
      </c>
      <c r="K1625" s="5"/>
      <c r="L1625" s="3"/>
      <c r="M1625" s="6"/>
      <c r="N1625" s="9"/>
      <c r="O1625" s="158">
        <v>179</v>
      </c>
      <c r="P1625" s="12"/>
      <c r="Q1625" s="12"/>
      <c r="R1625" s="12"/>
      <c r="S1625" s="12"/>
      <c r="T1625" s="12"/>
      <c r="U1625" s="12"/>
      <c r="V1625" s="12"/>
      <c r="W1625" s="12"/>
      <c r="X1625" s="12"/>
      <c r="Y1625" s="12"/>
      <c r="Z1625" s="12"/>
    </row>
    <row r="1626" spans="1:26" ht="14.25" customHeight="1" x14ac:dyDescent="0.3">
      <c r="A1626" s="155">
        <v>856</v>
      </c>
      <c r="B1626" s="156" t="s">
        <v>1801</v>
      </c>
      <c r="C1626" s="3"/>
      <c r="D1626" s="3"/>
      <c r="E1626" s="156" t="s">
        <v>1184</v>
      </c>
      <c r="F1626" s="3"/>
      <c r="G1626" s="158">
        <v>40</v>
      </c>
      <c r="H1626" s="155">
        <v>2</v>
      </c>
      <c r="I1626" s="155">
        <v>340</v>
      </c>
      <c r="J1626" s="156" t="s">
        <v>39</v>
      </c>
      <c r="K1626" s="5"/>
      <c r="L1626" s="3"/>
      <c r="M1626" s="6"/>
      <c r="N1626" s="9"/>
      <c r="O1626" s="158">
        <v>80</v>
      </c>
      <c r="P1626" s="12"/>
      <c r="Q1626" s="12"/>
      <c r="R1626" s="12"/>
      <c r="S1626" s="12"/>
      <c r="T1626" s="12"/>
      <c r="U1626" s="12"/>
      <c r="V1626" s="12"/>
      <c r="W1626" s="12"/>
      <c r="X1626" s="12"/>
      <c r="Y1626" s="12"/>
      <c r="Z1626" s="12"/>
    </row>
    <row r="1627" spans="1:26" ht="14.25" customHeight="1" x14ac:dyDescent="0.3">
      <c r="A1627" s="155">
        <v>857</v>
      </c>
      <c r="B1627" s="156" t="s">
        <v>1802</v>
      </c>
      <c r="C1627" s="3"/>
      <c r="D1627" s="3"/>
      <c r="E1627" s="156" t="s">
        <v>869</v>
      </c>
      <c r="F1627" s="3"/>
      <c r="G1627" s="158">
        <v>48.45</v>
      </c>
      <c r="H1627" s="155">
        <v>2</v>
      </c>
      <c r="I1627" s="155">
        <v>250</v>
      </c>
      <c r="J1627" s="156" t="s">
        <v>39</v>
      </c>
      <c r="K1627" s="5"/>
      <c r="L1627" s="3"/>
      <c r="M1627" s="6"/>
      <c r="N1627" s="9"/>
      <c r="O1627" s="158">
        <v>96.9</v>
      </c>
      <c r="P1627" s="12"/>
      <c r="Q1627" s="12"/>
      <c r="R1627" s="12"/>
      <c r="S1627" s="12"/>
      <c r="T1627" s="12"/>
      <c r="U1627" s="12"/>
      <c r="V1627" s="12"/>
      <c r="W1627" s="12"/>
      <c r="X1627" s="12"/>
      <c r="Y1627" s="12"/>
      <c r="Z1627" s="12"/>
    </row>
    <row r="1628" spans="1:26" ht="14.25" customHeight="1" x14ac:dyDescent="0.3">
      <c r="A1628" s="155">
        <v>407</v>
      </c>
      <c r="B1628" s="156" t="s">
        <v>1803</v>
      </c>
      <c r="C1628" s="3"/>
      <c r="D1628" s="3"/>
      <c r="E1628" s="156" t="s">
        <v>1804</v>
      </c>
      <c r="F1628" s="3"/>
      <c r="G1628" s="158">
        <v>90</v>
      </c>
      <c r="H1628" s="155">
        <v>1</v>
      </c>
      <c r="I1628" s="155">
        <v>1</v>
      </c>
      <c r="J1628" s="156" t="s">
        <v>304</v>
      </c>
      <c r="K1628" s="5"/>
      <c r="L1628" s="3"/>
      <c r="M1628" s="6"/>
      <c r="N1628" s="9"/>
      <c r="O1628" s="158">
        <v>90</v>
      </c>
      <c r="P1628" s="12"/>
      <c r="Q1628" s="12"/>
      <c r="R1628" s="12"/>
      <c r="S1628" s="12"/>
      <c r="T1628" s="12"/>
      <c r="U1628" s="12"/>
      <c r="V1628" s="12"/>
      <c r="W1628" s="12"/>
      <c r="X1628" s="12"/>
      <c r="Y1628" s="12"/>
      <c r="Z1628" s="12"/>
    </row>
    <row r="1629" spans="1:26" ht="14.25" customHeight="1" x14ac:dyDescent="0.3">
      <c r="A1629" s="155">
        <v>407</v>
      </c>
      <c r="B1629" s="156" t="s">
        <v>1803</v>
      </c>
      <c r="C1629" s="3"/>
      <c r="D1629" s="3"/>
      <c r="E1629" s="156" t="s">
        <v>858</v>
      </c>
      <c r="F1629" s="3"/>
      <c r="G1629" s="158">
        <v>53.6</v>
      </c>
      <c r="H1629" s="155">
        <v>4</v>
      </c>
      <c r="I1629" s="155">
        <v>1</v>
      </c>
      <c r="J1629" s="156" t="s">
        <v>304</v>
      </c>
      <c r="K1629" s="5"/>
      <c r="L1629" s="3"/>
      <c r="M1629" s="6"/>
      <c r="N1629" s="9"/>
      <c r="O1629" s="158">
        <v>214.4</v>
      </c>
      <c r="P1629" s="12"/>
      <c r="Q1629" s="12"/>
      <c r="R1629" s="12"/>
      <c r="S1629" s="12"/>
      <c r="T1629" s="12"/>
      <c r="U1629" s="12"/>
      <c r="V1629" s="12"/>
      <c r="W1629" s="12"/>
      <c r="X1629" s="12"/>
      <c r="Y1629" s="12"/>
      <c r="Z1629" s="12"/>
    </row>
    <row r="1630" spans="1:26" ht="14.25" customHeight="1" x14ac:dyDescent="0.3">
      <c r="A1630" s="155">
        <v>858</v>
      </c>
      <c r="B1630" s="156" t="s">
        <v>1805</v>
      </c>
      <c r="C1630" s="3"/>
      <c r="D1630" s="3"/>
      <c r="E1630" s="156" t="s">
        <v>1806</v>
      </c>
      <c r="F1630" s="3"/>
      <c r="G1630" s="158">
        <v>154.5</v>
      </c>
      <c r="H1630" s="155">
        <v>1</v>
      </c>
      <c r="I1630" s="155">
        <v>100</v>
      </c>
      <c r="J1630" s="156" t="s">
        <v>39</v>
      </c>
      <c r="K1630" s="5"/>
      <c r="L1630" s="3"/>
      <c r="M1630" s="6"/>
      <c r="N1630" s="9"/>
      <c r="O1630" s="158">
        <v>154.5</v>
      </c>
      <c r="P1630" s="12"/>
      <c r="Q1630" s="12"/>
      <c r="R1630" s="12"/>
      <c r="S1630" s="12"/>
      <c r="T1630" s="12"/>
      <c r="U1630" s="12"/>
      <c r="V1630" s="12"/>
      <c r="W1630" s="12"/>
      <c r="X1630" s="12"/>
      <c r="Y1630" s="12"/>
      <c r="Z1630" s="12"/>
    </row>
    <row r="1631" spans="1:26" ht="14.25" customHeight="1" x14ac:dyDescent="0.3">
      <c r="A1631" s="155">
        <v>859</v>
      </c>
      <c r="B1631" s="156" t="s">
        <v>1807</v>
      </c>
      <c r="C1631" s="3"/>
      <c r="D1631" s="3"/>
      <c r="E1631" s="156" t="s">
        <v>854</v>
      </c>
      <c r="F1631" s="3"/>
      <c r="G1631" s="158">
        <v>71.25</v>
      </c>
      <c r="H1631" s="155">
        <v>2</v>
      </c>
      <c r="I1631" s="155">
        <v>40</v>
      </c>
      <c r="J1631" s="156" t="s">
        <v>39</v>
      </c>
      <c r="K1631" s="5"/>
      <c r="L1631" s="3"/>
      <c r="M1631" s="6"/>
      <c r="N1631" s="9"/>
      <c r="O1631" s="158">
        <v>142.5</v>
      </c>
      <c r="P1631" s="12"/>
      <c r="Q1631" s="12"/>
      <c r="R1631" s="12"/>
      <c r="S1631" s="12"/>
      <c r="T1631" s="12"/>
      <c r="U1631" s="12"/>
      <c r="V1631" s="12"/>
      <c r="W1631" s="12"/>
      <c r="X1631" s="12"/>
      <c r="Y1631" s="12"/>
      <c r="Z1631" s="12"/>
    </row>
    <row r="1632" spans="1:26" ht="14.25" customHeight="1" x14ac:dyDescent="0.3">
      <c r="A1632" s="155">
        <v>860</v>
      </c>
      <c r="B1632" s="156" t="s">
        <v>1808</v>
      </c>
      <c r="C1632" s="3"/>
      <c r="D1632" s="3"/>
      <c r="E1632" s="156"/>
      <c r="F1632" s="3"/>
      <c r="G1632" s="158">
        <v>72.222219999999993</v>
      </c>
      <c r="H1632" s="155">
        <v>9</v>
      </c>
      <c r="I1632" s="155">
        <v>1</v>
      </c>
      <c r="J1632" s="156" t="s">
        <v>213</v>
      </c>
      <c r="K1632" s="5"/>
      <c r="L1632" s="3"/>
      <c r="M1632" s="6"/>
      <c r="N1632" s="9"/>
      <c r="O1632" s="158">
        <v>650</v>
      </c>
      <c r="P1632" s="12"/>
      <c r="Q1632" s="12"/>
      <c r="R1632" s="12"/>
      <c r="S1632" s="12"/>
      <c r="T1632" s="12"/>
      <c r="U1632" s="12"/>
      <c r="V1632" s="12"/>
      <c r="W1632" s="12"/>
      <c r="X1632" s="12"/>
      <c r="Y1632" s="12"/>
      <c r="Z1632" s="12"/>
    </row>
    <row r="1633" spans="1:26" ht="14.25" customHeight="1" x14ac:dyDescent="0.3">
      <c r="A1633" s="155">
        <v>861</v>
      </c>
      <c r="B1633" s="156" t="s">
        <v>1809</v>
      </c>
      <c r="C1633" s="3"/>
      <c r="D1633" s="3"/>
      <c r="E1633" s="156"/>
      <c r="F1633" s="3"/>
      <c r="G1633" s="158">
        <v>270</v>
      </c>
      <c r="H1633" s="155">
        <v>1</v>
      </c>
      <c r="I1633" s="155">
        <v>1</v>
      </c>
      <c r="J1633" s="156" t="s">
        <v>213</v>
      </c>
      <c r="K1633" s="5"/>
      <c r="L1633" s="3"/>
      <c r="M1633" s="6"/>
      <c r="N1633" s="9"/>
      <c r="O1633" s="158">
        <v>270</v>
      </c>
      <c r="P1633" s="12"/>
      <c r="Q1633" s="12"/>
      <c r="R1633" s="12"/>
      <c r="S1633" s="12"/>
      <c r="T1633" s="12"/>
      <c r="U1633" s="12"/>
      <c r="V1633" s="12"/>
      <c r="W1633" s="12"/>
      <c r="X1633" s="12"/>
      <c r="Y1633" s="12"/>
      <c r="Z1633" s="12"/>
    </row>
    <row r="1634" spans="1:26" ht="14.25" customHeight="1" x14ac:dyDescent="0.3">
      <c r="A1634" s="155">
        <v>862</v>
      </c>
      <c r="B1634" s="156" t="s">
        <v>1810</v>
      </c>
      <c r="C1634" s="3"/>
      <c r="D1634" s="3"/>
      <c r="E1634" s="156"/>
      <c r="F1634" s="3"/>
      <c r="G1634" s="158">
        <v>7.5</v>
      </c>
      <c r="H1634" s="155">
        <v>11</v>
      </c>
      <c r="I1634" s="155">
        <v>1</v>
      </c>
      <c r="J1634" s="156" t="s">
        <v>213</v>
      </c>
      <c r="K1634" s="5"/>
      <c r="L1634" s="3"/>
      <c r="M1634" s="6"/>
      <c r="N1634" s="9"/>
      <c r="O1634" s="158">
        <v>82.5</v>
      </c>
      <c r="P1634" s="12"/>
      <c r="Q1634" s="12"/>
      <c r="R1634" s="12"/>
      <c r="S1634" s="12"/>
      <c r="T1634" s="12"/>
      <c r="U1634" s="12"/>
      <c r="V1634" s="12"/>
      <c r="W1634" s="12"/>
      <c r="X1634" s="12"/>
      <c r="Y1634" s="12"/>
      <c r="Z1634" s="12"/>
    </row>
    <row r="1635" spans="1:26" ht="14.25" customHeight="1" x14ac:dyDescent="0.3">
      <c r="A1635" s="155">
        <v>862</v>
      </c>
      <c r="B1635" s="156" t="s">
        <v>1810</v>
      </c>
      <c r="C1635" s="3"/>
      <c r="D1635" s="3"/>
      <c r="E1635" s="156"/>
      <c r="F1635" s="3"/>
      <c r="G1635" s="158">
        <v>0</v>
      </c>
      <c r="H1635" s="155">
        <v>0</v>
      </c>
      <c r="I1635" s="155">
        <v>1</v>
      </c>
      <c r="J1635" s="156" t="s">
        <v>1331</v>
      </c>
      <c r="K1635" s="5"/>
      <c r="L1635" s="3"/>
      <c r="M1635" s="6"/>
      <c r="N1635" s="9"/>
      <c r="O1635" s="158">
        <v>0</v>
      </c>
      <c r="P1635" s="12"/>
      <c r="Q1635" s="12"/>
      <c r="R1635" s="12"/>
      <c r="S1635" s="12"/>
      <c r="T1635" s="12"/>
      <c r="U1635" s="12"/>
      <c r="V1635" s="12"/>
      <c r="W1635" s="12"/>
      <c r="X1635" s="12"/>
      <c r="Y1635" s="12"/>
      <c r="Z1635" s="12"/>
    </row>
    <row r="1636" spans="1:26" ht="14.25" customHeight="1" x14ac:dyDescent="0.3">
      <c r="A1636" s="155">
        <v>862</v>
      </c>
      <c r="B1636" s="156" t="s">
        <v>1810</v>
      </c>
      <c r="C1636" s="3"/>
      <c r="D1636" s="3"/>
      <c r="E1636" s="156" t="s">
        <v>912</v>
      </c>
      <c r="F1636" s="3"/>
      <c r="G1636" s="158">
        <v>160</v>
      </c>
      <c r="H1636" s="155">
        <v>1</v>
      </c>
      <c r="I1636" s="155">
        <v>1</v>
      </c>
      <c r="J1636" s="156" t="s">
        <v>213</v>
      </c>
      <c r="K1636" s="5"/>
      <c r="L1636" s="3"/>
      <c r="M1636" s="6"/>
      <c r="N1636" s="9"/>
      <c r="O1636" s="158">
        <v>160</v>
      </c>
      <c r="P1636" s="12"/>
      <c r="Q1636" s="12"/>
      <c r="R1636" s="12"/>
      <c r="S1636" s="12"/>
      <c r="T1636" s="12"/>
      <c r="U1636" s="12"/>
      <c r="V1636" s="12"/>
      <c r="W1636" s="12"/>
      <c r="X1636" s="12"/>
      <c r="Y1636" s="12"/>
      <c r="Z1636" s="12"/>
    </row>
    <row r="1637" spans="1:26" ht="14.25" customHeight="1" x14ac:dyDescent="0.3">
      <c r="A1637" s="155">
        <v>409</v>
      </c>
      <c r="B1637" s="156" t="s">
        <v>802</v>
      </c>
      <c r="C1637" s="3"/>
      <c r="D1637" s="3"/>
      <c r="E1637" s="156"/>
      <c r="F1637" s="3"/>
      <c r="G1637" s="158">
        <v>420</v>
      </c>
      <c r="H1637" s="155">
        <v>3</v>
      </c>
      <c r="I1637" s="155">
        <v>1</v>
      </c>
      <c r="J1637" s="156" t="s">
        <v>213</v>
      </c>
      <c r="K1637" s="5"/>
      <c r="L1637" s="3"/>
      <c r="M1637" s="6"/>
      <c r="N1637" s="9"/>
      <c r="O1637" s="158">
        <v>1260</v>
      </c>
      <c r="P1637" s="12"/>
      <c r="Q1637" s="12"/>
      <c r="R1637" s="12"/>
      <c r="S1637" s="12"/>
      <c r="T1637" s="12"/>
      <c r="U1637" s="12"/>
      <c r="V1637" s="12"/>
      <c r="W1637" s="12"/>
      <c r="X1637" s="12"/>
      <c r="Y1637" s="12"/>
      <c r="Z1637" s="12"/>
    </row>
    <row r="1638" spans="1:26" ht="14.25" customHeight="1" x14ac:dyDescent="0.3">
      <c r="A1638" s="155">
        <v>863</v>
      </c>
      <c r="B1638" s="156" t="s">
        <v>1811</v>
      </c>
      <c r="C1638" s="3"/>
      <c r="D1638" s="3"/>
      <c r="E1638" s="156" t="s">
        <v>854</v>
      </c>
      <c r="F1638" s="3"/>
      <c r="G1638" s="158">
        <v>60</v>
      </c>
      <c r="H1638" s="155">
        <v>2</v>
      </c>
      <c r="I1638" s="155">
        <v>5</v>
      </c>
      <c r="J1638" s="156" t="s">
        <v>39</v>
      </c>
      <c r="K1638" s="5"/>
      <c r="L1638" s="3"/>
      <c r="M1638" s="6"/>
      <c r="N1638" s="9"/>
      <c r="O1638" s="158">
        <v>120</v>
      </c>
      <c r="P1638" s="12"/>
      <c r="Q1638" s="12"/>
      <c r="R1638" s="12"/>
      <c r="S1638" s="12"/>
      <c r="T1638" s="12"/>
      <c r="U1638" s="12"/>
      <c r="V1638" s="12"/>
      <c r="W1638" s="12"/>
      <c r="X1638" s="12"/>
      <c r="Y1638" s="12"/>
      <c r="Z1638" s="12"/>
    </row>
    <row r="1639" spans="1:26" ht="14.25" customHeight="1" x14ac:dyDescent="0.3">
      <c r="A1639" s="155">
        <v>864</v>
      </c>
      <c r="B1639" s="156" t="s">
        <v>1812</v>
      </c>
      <c r="C1639" s="3"/>
      <c r="D1639" s="3"/>
      <c r="E1639" s="156" t="s">
        <v>1813</v>
      </c>
      <c r="F1639" s="3"/>
      <c r="G1639" s="158">
        <v>15</v>
      </c>
      <c r="H1639" s="155">
        <v>21</v>
      </c>
      <c r="I1639" s="155">
        <v>1</v>
      </c>
      <c r="J1639" s="156" t="s">
        <v>92</v>
      </c>
      <c r="K1639" s="5"/>
      <c r="L1639" s="3"/>
      <c r="M1639" s="6"/>
      <c r="N1639" s="9"/>
      <c r="O1639" s="158">
        <v>315</v>
      </c>
      <c r="P1639" s="12"/>
      <c r="Q1639" s="12"/>
      <c r="R1639" s="12"/>
      <c r="S1639" s="12"/>
      <c r="T1639" s="12"/>
      <c r="U1639" s="12"/>
      <c r="V1639" s="12"/>
      <c r="W1639" s="12"/>
      <c r="X1639" s="12"/>
      <c r="Y1639" s="12"/>
      <c r="Z1639" s="12"/>
    </row>
    <row r="1640" spans="1:26" ht="14.25" customHeight="1" x14ac:dyDescent="0.3">
      <c r="A1640" s="155">
        <v>864</v>
      </c>
      <c r="B1640" s="156" t="s">
        <v>1812</v>
      </c>
      <c r="C1640" s="3"/>
      <c r="D1640" s="3"/>
      <c r="E1640" s="156" t="s">
        <v>1814</v>
      </c>
      <c r="F1640" s="3"/>
      <c r="G1640" s="158">
        <v>15</v>
      </c>
      <c r="H1640" s="155">
        <v>6</v>
      </c>
      <c r="I1640" s="155">
        <v>1</v>
      </c>
      <c r="J1640" s="156" t="s">
        <v>92</v>
      </c>
      <c r="K1640" s="5"/>
      <c r="L1640" s="3"/>
      <c r="M1640" s="6"/>
      <c r="N1640" s="9"/>
      <c r="O1640" s="158">
        <v>90</v>
      </c>
      <c r="P1640" s="12"/>
      <c r="Q1640" s="12"/>
      <c r="R1640" s="12"/>
      <c r="S1640" s="12"/>
      <c r="T1640" s="12"/>
      <c r="U1640" s="12"/>
      <c r="V1640" s="12"/>
      <c r="W1640" s="12"/>
      <c r="X1640" s="12"/>
      <c r="Y1640" s="12"/>
      <c r="Z1640" s="12"/>
    </row>
    <row r="1641" spans="1:26" ht="14.25" customHeight="1" x14ac:dyDescent="0.3">
      <c r="A1641" s="155">
        <v>865</v>
      </c>
      <c r="B1641" s="156" t="s">
        <v>1815</v>
      </c>
      <c r="C1641" s="3"/>
      <c r="D1641" s="3"/>
      <c r="E1641" s="156" t="s">
        <v>1816</v>
      </c>
      <c r="F1641" s="3"/>
      <c r="G1641" s="158">
        <v>5.8749710000000004</v>
      </c>
      <c r="H1641" s="155">
        <v>173</v>
      </c>
      <c r="I1641" s="155">
        <v>2</v>
      </c>
      <c r="J1641" s="156" t="s">
        <v>39</v>
      </c>
      <c r="K1641" s="5"/>
      <c r="L1641" s="3"/>
      <c r="M1641" s="6"/>
      <c r="N1641" s="9"/>
      <c r="O1641" s="158">
        <v>1016.37</v>
      </c>
      <c r="P1641" s="12"/>
      <c r="Q1641" s="12"/>
      <c r="R1641" s="12"/>
      <c r="S1641" s="12"/>
      <c r="T1641" s="12"/>
      <c r="U1641" s="12"/>
      <c r="V1641" s="12"/>
      <c r="W1641" s="12"/>
      <c r="X1641" s="12"/>
      <c r="Y1641" s="12"/>
      <c r="Z1641" s="12"/>
    </row>
    <row r="1642" spans="1:26" ht="14.25" customHeight="1" x14ac:dyDescent="0.3">
      <c r="A1642" s="155">
        <v>866</v>
      </c>
      <c r="B1642" s="156" t="s">
        <v>1817</v>
      </c>
      <c r="C1642" s="3"/>
      <c r="D1642" s="3"/>
      <c r="E1642" s="156" t="s">
        <v>1816</v>
      </c>
      <c r="F1642" s="3"/>
      <c r="G1642" s="158">
        <v>8.3386770000000006</v>
      </c>
      <c r="H1642" s="155">
        <v>325</v>
      </c>
      <c r="I1642" s="155">
        <v>2</v>
      </c>
      <c r="J1642" s="156" t="s">
        <v>39</v>
      </c>
      <c r="K1642" s="5"/>
      <c r="L1642" s="3"/>
      <c r="M1642" s="6"/>
      <c r="N1642" s="9"/>
      <c r="O1642" s="158">
        <v>2710.07</v>
      </c>
      <c r="P1642" s="12"/>
      <c r="Q1642" s="12"/>
      <c r="R1642" s="12"/>
      <c r="S1642" s="12"/>
      <c r="T1642" s="12"/>
      <c r="U1642" s="12"/>
      <c r="V1642" s="12"/>
      <c r="W1642" s="12"/>
      <c r="X1642" s="12"/>
      <c r="Y1642" s="12"/>
      <c r="Z1642" s="12"/>
    </row>
    <row r="1643" spans="1:26" ht="14.25" customHeight="1" x14ac:dyDescent="0.3">
      <c r="A1643" s="155">
        <v>867</v>
      </c>
      <c r="B1643" s="156" t="s">
        <v>1818</v>
      </c>
      <c r="C1643" s="3"/>
      <c r="D1643" s="3"/>
      <c r="E1643" s="156" t="s">
        <v>1819</v>
      </c>
      <c r="F1643" s="3"/>
      <c r="G1643" s="158">
        <v>220</v>
      </c>
      <c r="H1643" s="155">
        <v>1</v>
      </c>
      <c r="I1643" s="155">
        <v>700</v>
      </c>
      <c r="J1643" s="156" t="s">
        <v>39</v>
      </c>
      <c r="K1643" s="5"/>
      <c r="L1643" s="3"/>
      <c r="M1643" s="6"/>
      <c r="N1643" s="9"/>
      <c r="O1643" s="158">
        <v>220</v>
      </c>
      <c r="P1643" s="12"/>
      <c r="Q1643" s="12"/>
      <c r="R1643" s="12"/>
      <c r="S1643" s="12"/>
      <c r="T1643" s="12"/>
      <c r="U1643" s="12"/>
      <c r="V1643" s="12"/>
      <c r="W1643" s="12"/>
      <c r="X1643" s="12"/>
      <c r="Y1643" s="12"/>
      <c r="Z1643" s="12"/>
    </row>
    <row r="1644" spans="1:26" ht="14.25" customHeight="1" x14ac:dyDescent="0.3">
      <c r="A1644" s="155">
        <v>413</v>
      </c>
      <c r="B1644" s="156" t="s">
        <v>807</v>
      </c>
      <c r="C1644" s="3"/>
      <c r="D1644" s="3"/>
      <c r="E1644" s="156" t="s">
        <v>867</v>
      </c>
      <c r="F1644" s="3"/>
      <c r="G1644" s="158">
        <v>80</v>
      </c>
      <c r="H1644" s="155">
        <v>2</v>
      </c>
      <c r="I1644" s="155">
        <v>500</v>
      </c>
      <c r="J1644" s="156" t="s">
        <v>39</v>
      </c>
      <c r="K1644" s="5"/>
      <c r="L1644" s="3"/>
      <c r="M1644" s="6"/>
      <c r="N1644" s="9"/>
      <c r="O1644" s="158">
        <v>160</v>
      </c>
      <c r="P1644" s="12"/>
      <c r="Q1644" s="12"/>
      <c r="R1644" s="12"/>
      <c r="S1644" s="12"/>
      <c r="T1644" s="12"/>
      <c r="U1644" s="12"/>
      <c r="V1644" s="12"/>
      <c r="W1644" s="12"/>
      <c r="X1644" s="12"/>
      <c r="Y1644" s="12"/>
      <c r="Z1644" s="12"/>
    </row>
    <row r="1645" spans="1:26" ht="14.25" customHeight="1" x14ac:dyDescent="0.3">
      <c r="A1645" s="155">
        <v>868</v>
      </c>
      <c r="B1645" s="156" t="s">
        <v>1820</v>
      </c>
      <c r="C1645" s="3"/>
      <c r="D1645" s="3"/>
      <c r="E1645" s="156" t="s">
        <v>1359</v>
      </c>
      <c r="F1645" s="3"/>
      <c r="G1645" s="158">
        <v>302</v>
      </c>
      <c r="H1645" s="155">
        <v>2</v>
      </c>
      <c r="I1645" s="155">
        <v>1</v>
      </c>
      <c r="J1645" s="156" t="s">
        <v>773</v>
      </c>
      <c r="K1645" s="5"/>
      <c r="L1645" s="3"/>
      <c r="M1645" s="6"/>
      <c r="N1645" s="9"/>
      <c r="O1645" s="158">
        <v>604</v>
      </c>
      <c r="P1645" s="12"/>
      <c r="Q1645" s="12"/>
      <c r="R1645" s="12"/>
      <c r="S1645" s="12"/>
      <c r="T1645" s="12"/>
      <c r="U1645" s="12"/>
      <c r="V1645" s="12"/>
      <c r="W1645" s="12"/>
      <c r="X1645" s="12"/>
      <c r="Y1645" s="12"/>
      <c r="Z1645" s="12"/>
    </row>
    <row r="1646" spans="1:26" ht="14.25" customHeight="1" x14ac:dyDescent="0.3">
      <c r="A1646" s="155">
        <v>869</v>
      </c>
      <c r="B1646" s="156" t="s">
        <v>1821</v>
      </c>
      <c r="C1646" s="3"/>
      <c r="D1646" s="3"/>
      <c r="E1646" s="156" t="s">
        <v>1822</v>
      </c>
      <c r="F1646" s="3"/>
      <c r="G1646" s="158">
        <v>8.86</v>
      </c>
      <c r="H1646" s="155">
        <v>20</v>
      </c>
      <c r="I1646" s="155">
        <v>250</v>
      </c>
      <c r="J1646" s="156" t="s">
        <v>32</v>
      </c>
      <c r="K1646" s="5"/>
      <c r="L1646" s="3"/>
      <c r="M1646" s="6"/>
      <c r="N1646" s="9"/>
      <c r="O1646" s="158">
        <v>177.2</v>
      </c>
      <c r="P1646" s="12"/>
      <c r="Q1646" s="12"/>
      <c r="R1646" s="12"/>
      <c r="S1646" s="12"/>
      <c r="T1646" s="12"/>
      <c r="U1646" s="12"/>
      <c r="V1646" s="12"/>
      <c r="W1646" s="12"/>
      <c r="X1646" s="12"/>
      <c r="Y1646" s="12"/>
      <c r="Z1646" s="12"/>
    </row>
    <row r="1647" spans="1:26" ht="14.25" customHeight="1" x14ac:dyDescent="0.3">
      <c r="A1647" s="155">
        <v>870</v>
      </c>
      <c r="B1647" s="156" t="s">
        <v>1823</v>
      </c>
      <c r="C1647" s="3"/>
      <c r="D1647" s="3"/>
      <c r="E1647" s="156" t="s">
        <v>1822</v>
      </c>
      <c r="F1647" s="3"/>
      <c r="G1647" s="158">
        <v>9.74</v>
      </c>
      <c r="H1647" s="155">
        <v>20</v>
      </c>
      <c r="I1647" s="155">
        <v>250</v>
      </c>
      <c r="J1647" s="156" t="s">
        <v>32</v>
      </c>
      <c r="K1647" s="5"/>
      <c r="L1647" s="3"/>
      <c r="M1647" s="6"/>
      <c r="N1647" s="9"/>
      <c r="O1647" s="158">
        <v>194.8</v>
      </c>
      <c r="P1647" s="12"/>
      <c r="Q1647" s="12"/>
      <c r="R1647" s="12"/>
      <c r="S1647" s="12"/>
      <c r="T1647" s="12"/>
      <c r="U1647" s="12"/>
      <c r="V1647" s="12"/>
      <c r="W1647" s="12"/>
      <c r="X1647" s="12"/>
      <c r="Y1647" s="12"/>
      <c r="Z1647" s="12"/>
    </row>
    <row r="1648" spans="1:26" ht="14.25" customHeight="1" x14ac:dyDescent="0.3">
      <c r="A1648" s="155">
        <v>871</v>
      </c>
      <c r="B1648" s="156" t="s">
        <v>1824</v>
      </c>
      <c r="C1648" s="3"/>
      <c r="D1648" s="3"/>
      <c r="E1648" s="156" t="s">
        <v>1822</v>
      </c>
      <c r="F1648" s="3"/>
      <c r="G1648" s="158">
        <v>8.86</v>
      </c>
      <c r="H1648" s="155">
        <v>20</v>
      </c>
      <c r="I1648" s="155">
        <v>250</v>
      </c>
      <c r="J1648" s="156" t="s">
        <v>32</v>
      </c>
      <c r="K1648" s="5"/>
      <c r="L1648" s="3"/>
      <c r="M1648" s="6"/>
      <c r="N1648" s="9"/>
      <c r="O1648" s="158">
        <v>177.2</v>
      </c>
      <c r="P1648" s="12"/>
      <c r="Q1648" s="12"/>
      <c r="R1648" s="12"/>
      <c r="S1648" s="12"/>
      <c r="T1648" s="12"/>
      <c r="U1648" s="12"/>
      <c r="V1648" s="12"/>
      <c r="W1648" s="12"/>
      <c r="X1648" s="12"/>
      <c r="Y1648" s="12"/>
      <c r="Z1648" s="12"/>
    </row>
    <row r="1649" spans="1:26" ht="14.25" customHeight="1" x14ac:dyDescent="0.3">
      <c r="A1649" s="155">
        <v>872</v>
      </c>
      <c r="B1649" s="156" t="s">
        <v>1825</v>
      </c>
      <c r="C1649" s="3"/>
      <c r="D1649" s="3"/>
      <c r="E1649" s="156" t="s">
        <v>854</v>
      </c>
      <c r="F1649" s="3"/>
      <c r="G1649" s="158">
        <v>63.333329999999997</v>
      </c>
      <c r="H1649" s="155">
        <v>3</v>
      </c>
      <c r="I1649" s="155">
        <v>14</v>
      </c>
      <c r="J1649" s="156" t="s">
        <v>39</v>
      </c>
      <c r="K1649" s="5"/>
      <c r="L1649" s="3"/>
      <c r="M1649" s="6"/>
      <c r="N1649" s="9"/>
      <c r="O1649" s="158">
        <v>190</v>
      </c>
      <c r="P1649" s="12"/>
      <c r="Q1649" s="12"/>
      <c r="R1649" s="12"/>
      <c r="S1649" s="12"/>
      <c r="T1649" s="12"/>
      <c r="U1649" s="12"/>
      <c r="V1649" s="12"/>
      <c r="W1649" s="12"/>
      <c r="X1649" s="12"/>
      <c r="Y1649" s="12"/>
      <c r="Z1649" s="12"/>
    </row>
    <row r="1650" spans="1:26" ht="14.25" customHeight="1" x14ac:dyDescent="0.3">
      <c r="A1650" s="155">
        <v>872</v>
      </c>
      <c r="B1650" s="156" t="s">
        <v>1825</v>
      </c>
      <c r="C1650" s="3"/>
      <c r="D1650" s="3"/>
      <c r="E1650" s="156" t="s">
        <v>1074</v>
      </c>
      <c r="F1650" s="3"/>
      <c r="G1650" s="158">
        <v>9.6999999999999993</v>
      </c>
      <c r="H1650" s="155">
        <v>3</v>
      </c>
      <c r="I1650" s="155">
        <v>14</v>
      </c>
      <c r="J1650" s="156" t="s">
        <v>39</v>
      </c>
      <c r="K1650" s="5"/>
      <c r="L1650" s="3"/>
      <c r="M1650" s="6"/>
      <c r="N1650" s="9"/>
      <c r="O1650" s="158">
        <v>29.1</v>
      </c>
      <c r="P1650" s="12"/>
      <c r="Q1650" s="12"/>
      <c r="R1650" s="12"/>
      <c r="S1650" s="12"/>
      <c r="T1650" s="12"/>
      <c r="U1650" s="12"/>
      <c r="V1650" s="12"/>
      <c r="W1650" s="12"/>
      <c r="X1650" s="12"/>
      <c r="Y1650" s="12"/>
      <c r="Z1650" s="12"/>
    </row>
    <row r="1651" spans="1:26" ht="14.25" customHeight="1" x14ac:dyDescent="0.3">
      <c r="A1651" s="155">
        <v>414</v>
      </c>
      <c r="B1651" s="156" t="s">
        <v>808</v>
      </c>
      <c r="C1651" s="3"/>
      <c r="D1651" s="3"/>
      <c r="E1651" s="156"/>
      <c r="F1651" s="3"/>
      <c r="G1651" s="158">
        <v>157.27269999999999</v>
      </c>
      <c r="H1651" s="155">
        <v>22</v>
      </c>
      <c r="I1651" s="155">
        <v>1</v>
      </c>
      <c r="J1651" s="156" t="s">
        <v>213</v>
      </c>
      <c r="K1651" s="5"/>
      <c r="L1651" s="3"/>
      <c r="M1651" s="6"/>
      <c r="N1651" s="9"/>
      <c r="O1651" s="158">
        <v>3460</v>
      </c>
      <c r="P1651" s="12"/>
      <c r="Q1651" s="12"/>
      <c r="R1651" s="12"/>
      <c r="S1651" s="12"/>
      <c r="T1651" s="12"/>
      <c r="U1651" s="12"/>
      <c r="V1651" s="12"/>
      <c r="W1651" s="12"/>
      <c r="X1651" s="12"/>
      <c r="Y1651" s="12"/>
      <c r="Z1651" s="12"/>
    </row>
    <row r="1652" spans="1:26" ht="14.25" customHeight="1" x14ac:dyDescent="0.3">
      <c r="A1652" s="155">
        <v>417</v>
      </c>
      <c r="B1652" s="156" t="s">
        <v>810</v>
      </c>
      <c r="C1652" s="3"/>
      <c r="D1652" s="3"/>
      <c r="E1652" s="156" t="s">
        <v>867</v>
      </c>
      <c r="F1652" s="3"/>
      <c r="G1652" s="158">
        <v>12.36</v>
      </c>
      <c r="H1652" s="155">
        <v>32</v>
      </c>
      <c r="I1652" s="155">
        <v>1</v>
      </c>
      <c r="J1652" s="156" t="s">
        <v>304</v>
      </c>
      <c r="K1652" s="5"/>
      <c r="L1652" s="3"/>
      <c r="M1652" s="6"/>
      <c r="N1652" s="9"/>
      <c r="O1652" s="158">
        <v>395.52</v>
      </c>
      <c r="P1652" s="12"/>
      <c r="Q1652" s="12"/>
      <c r="R1652" s="12"/>
      <c r="S1652" s="12"/>
      <c r="T1652" s="12"/>
      <c r="U1652" s="12"/>
      <c r="V1652" s="12"/>
      <c r="W1652" s="12"/>
      <c r="X1652" s="12"/>
      <c r="Y1652" s="12"/>
      <c r="Z1652" s="12"/>
    </row>
    <row r="1653" spans="1:26" ht="14.25" customHeight="1" x14ac:dyDescent="0.3">
      <c r="A1653" s="155">
        <v>417</v>
      </c>
      <c r="B1653" s="156" t="s">
        <v>810</v>
      </c>
      <c r="C1653" s="3"/>
      <c r="D1653" s="3"/>
      <c r="E1653" s="156" t="s">
        <v>1826</v>
      </c>
      <c r="F1653" s="3"/>
      <c r="G1653" s="158">
        <v>60</v>
      </c>
      <c r="H1653" s="155">
        <v>3</v>
      </c>
      <c r="I1653" s="155">
        <v>1</v>
      </c>
      <c r="J1653" s="156" t="s">
        <v>304</v>
      </c>
      <c r="K1653" s="5"/>
      <c r="L1653" s="3"/>
      <c r="M1653" s="6"/>
      <c r="N1653" s="9"/>
      <c r="O1653" s="158">
        <v>180</v>
      </c>
      <c r="P1653" s="12"/>
      <c r="Q1653" s="12"/>
      <c r="R1653" s="12"/>
      <c r="S1653" s="12"/>
      <c r="T1653" s="12"/>
      <c r="U1653" s="12"/>
      <c r="V1653" s="12"/>
      <c r="W1653" s="12"/>
      <c r="X1653" s="12"/>
      <c r="Y1653" s="12"/>
      <c r="Z1653" s="12"/>
    </row>
    <row r="1654" spans="1:26" ht="14.25" customHeight="1" x14ac:dyDescent="0.3">
      <c r="A1654" s="155">
        <v>417</v>
      </c>
      <c r="B1654" s="156" t="s">
        <v>810</v>
      </c>
      <c r="C1654" s="3"/>
      <c r="D1654" s="3"/>
      <c r="E1654" s="156" t="s">
        <v>336</v>
      </c>
      <c r="F1654" s="3"/>
      <c r="G1654" s="158">
        <v>15.2</v>
      </c>
      <c r="H1654" s="155">
        <v>4</v>
      </c>
      <c r="I1654" s="155">
        <v>1</v>
      </c>
      <c r="J1654" s="156" t="s">
        <v>304</v>
      </c>
      <c r="K1654" s="5"/>
      <c r="L1654" s="3"/>
      <c r="M1654" s="6"/>
      <c r="N1654" s="9"/>
      <c r="O1654" s="158">
        <v>60.8</v>
      </c>
      <c r="P1654" s="12"/>
      <c r="Q1654" s="12"/>
      <c r="R1654" s="12"/>
      <c r="S1654" s="12"/>
      <c r="T1654" s="12"/>
      <c r="U1654" s="12"/>
      <c r="V1654" s="12"/>
      <c r="W1654" s="12"/>
      <c r="X1654" s="12"/>
      <c r="Y1654" s="12"/>
      <c r="Z1654" s="12"/>
    </row>
    <row r="1655" spans="1:26" ht="14.25" customHeight="1" x14ac:dyDescent="0.3">
      <c r="A1655" s="155">
        <v>873</v>
      </c>
      <c r="B1655" s="156" t="s">
        <v>1827</v>
      </c>
      <c r="C1655" s="3"/>
      <c r="D1655" s="3"/>
      <c r="E1655" s="156"/>
      <c r="F1655" s="3"/>
      <c r="G1655" s="158">
        <v>100</v>
      </c>
      <c r="H1655" s="155">
        <v>1</v>
      </c>
      <c r="I1655" s="155">
        <v>1</v>
      </c>
      <c r="J1655" s="156" t="s">
        <v>304</v>
      </c>
      <c r="K1655" s="5"/>
      <c r="L1655" s="3"/>
      <c r="M1655" s="6"/>
      <c r="N1655" s="9"/>
      <c r="O1655" s="158">
        <v>100</v>
      </c>
      <c r="P1655" s="12"/>
      <c r="Q1655" s="12"/>
      <c r="R1655" s="12"/>
      <c r="S1655" s="12"/>
      <c r="T1655" s="12"/>
      <c r="U1655" s="12"/>
      <c r="V1655" s="12"/>
      <c r="W1655" s="12"/>
      <c r="X1655" s="12"/>
      <c r="Y1655" s="12"/>
      <c r="Z1655" s="12"/>
    </row>
    <row r="1656" spans="1:26" ht="14.25" customHeight="1" x14ac:dyDescent="0.3">
      <c r="A1656" s="155">
        <v>874</v>
      </c>
      <c r="B1656" s="156" t="s">
        <v>1828</v>
      </c>
      <c r="C1656" s="3"/>
      <c r="D1656" s="3"/>
      <c r="E1656" s="156" t="s">
        <v>1368</v>
      </c>
      <c r="F1656" s="3"/>
      <c r="G1656" s="158">
        <v>75</v>
      </c>
      <c r="H1656" s="155">
        <v>2</v>
      </c>
      <c r="I1656" s="155">
        <v>225</v>
      </c>
      <c r="J1656" s="156" t="s">
        <v>39</v>
      </c>
      <c r="K1656" s="5"/>
      <c r="L1656" s="3"/>
      <c r="M1656" s="6"/>
      <c r="N1656" s="9"/>
      <c r="O1656" s="158">
        <v>150</v>
      </c>
      <c r="P1656" s="12"/>
      <c r="Q1656" s="12"/>
      <c r="R1656" s="12"/>
      <c r="S1656" s="12"/>
      <c r="T1656" s="12"/>
      <c r="U1656" s="12"/>
      <c r="V1656" s="12"/>
      <c r="W1656" s="12"/>
      <c r="X1656" s="12"/>
      <c r="Y1656" s="12"/>
      <c r="Z1656" s="12"/>
    </row>
    <row r="1657" spans="1:26" ht="14.25" customHeight="1" x14ac:dyDescent="0.3">
      <c r="A1657" s="155">
        <v>875</v>
      </c>
      <c r="B1657" s="156" t="s">
        <v>1829</v>
      </c>
      <c r="C1657" s="3"/>
      <c r="D1657" s="3"/>
      <c r="E1657" s="156" t="s">
        <v>1368</v>
      </c>
      <c r="F1657" s="3"/>
      <c r="G1657" s="158">
        <v>121.9225</v>
      </c>
      <c r="H1657" s="155">
        <v>20</v>
      </c>
      <c r="I1657" s="155">
        <v>450</v>
      </c>
      <c r="J1657" s="156" t="s">
        <v>39</v>
      </c>
      <c r="K1657" s="5"/>
      <c r="L1657" s="3"/>
      <c r="M1657" s="6"/>
      <c r="N1657" s="9"/>
      <c r="O1657" s="158">
        <v>2438.4499999999998</v>
      </c>
      <c r="P1657" s="12"/>
      <c r="Q1657" s="12"/>
      <c r="R1657" s="12"/>
      <c r="S1657" s="12"/>
      <c r="T1657" s="12"/>
      <c r="U1657" s="12"/>
      <c r="V1657" s="12"/>
      <c r="W1657" s="12"/>
      <c r="X1657" s="12"/>
      <c r="Y1657" s="12"/>
      <c r="Z1657" s="12"/>
    </row>
    <row r="1658" spans="1:26" ht="14.25" customHeight="1" x14ac:dyDescent="0.3">
      <c r="A1658" s="155">
        <v>875</v>
      </c>
      <c r="B1658" s="156" t="s">
        <v>1829</v>
      </c>
      <c r="C1658" s="3"/>
      <c r="D1658" s="3"/>
      <c r="E1658" s="156" t="s">
        <v>1830</v>
      </c>
      <c r="F1658" s="3"/>
      <c r="G1658" s="158">
        <v>240</v>
      </c>
      <c r="H1658" s="155">
        <v>1</v>
      </c>
      <c r="I1658" s="155">
        <v>450</v>
      </c>
      <c r="J1658" s="156" t="s">
        <v>213</v>
      </c>
      <c r="K1658" s="5"/>
      <c r="L1658" s="3"/>
      <c r="M1658" s="6"/>
      <c r="N1658" s="9"/>
      <c r="O1658" s="158">
        <v>240</v>
      </c>
      <c r="P1658" s="12"/>
      <c r="Q1658" s="12"/>
      <c r="R1658" s="12"/>
      <c r="S1658" s="12"/>
      <c r="T1658" s="12"/>
      <c r="U1658" s="12"/>
      <c r="V1658" s="12"/>
      <c r="W1658" s="12"/>
      <c r="X1658" s="12"/>
      <c r="Y1658" s="12"/>
      <c r="Z1658" s="12"/>
    </row>
    <row r="1659" spans="1:26" ht="14.25" customHeight="1" x14ac:dyDescent="0.3">
      <c r="A1659" s="155">
        <v>876</v>
      </c>
      <c r="B1659" s="156" t="s">
        <v>1831</v>
      </c>
      <c r="C1659" s="3"/>
      <c r="D1659" s="3"/>
      <c r="E1659" s="156"/>
      <c r="F1659" s="3"/>
      <c r="G1659" s="158">
        <v>45</v>
      </c>
      <c r="H1659" s="155">
        <v>8</v>
      </c>
      <c r="I1659" s="155">
        <v>1</v>
      </c>
      <c r="J1659" s="156" t="s">
        <v>92</v>
      </c>
      <c r="K1659" s="5"/>
      <c r="L1659" s="3"/>
      <c r="M1659" s="6"/>
      <c r="N1659" s="9"/>
      <c r="O1659" s="158">
        <v>360</v>
      </c>
      <c r="P1659" s="12"/>
      <c r="Q1659" s="12"/>
      <c r="R1659" s="12"/>
      <c r="S1659" s="12"/>
      <c r="T1659" s="12"/>
      <c r="U1659" s="12"/>
      <c r="V1659" s="12"/>
      <c r="W1659" s="12"/>
      <c r="X1659" s="12"/>
      <c r="Y1659" s="12"/>
      <c r="Z1659" s="12"/>
    </row>
    <row r="1660" spans="1:26" ht="14.25" customHeight="1" x14ac:dyDescent="0.3">
      <c r="A1660" s="155">
        <v>876</v>
      </c>
      <c r="B1660" s="156" t="s">
        <v>1831</v>
      </c>
      <c r="C1660" s="3"/>
      <c r="D1660" s="3"/>
      <c r="E1660" s="156" t="s">
        <v>1832</v>
      </c>
      <c r="F1660" s="3"/>
      <c r="G1660" s="158">
        <v>50</v>
      </c>
      <c r="H1660" s="155">
        <v>1</v>
      </c>
      <c r="I1660" s="155">
        <v>1</v>
      </c>
      <c r="J1660" s="156" t="s">
        <v>39</v>
      </c>
      <c r="K1660" s="5"/>
      <c r="L1660" s="3"/>
      <c r="M1660" s="6"/>
      <c r="N1660" s="9"/>
      <c r="O1660" s="158">
        <v>50</v>
      </c>
      <c r="P1660" s="12"/>
      <c r="Q1660" s="12"/>
      <c r="R1660" s="12"/>
      <c r="S1660" s="12"/>
      <c r="T1660" s="12"/>
      <c r="U1660" s="12"/>
      <c r="V1660" s="12"/>
      <c r="W1660" s="12"/>
      <c r="X1660" s="12"/>
      <c r="Y1660" s="12"/>
      <c r="Z1660" s="12"/>
    </row>
    <row r="1661" spans="1:26" ht="14.25" customHeight="1" x14ac:dyDescent="0.3">
      <c r="A1661" s="155">
        <v>877</v>
      </c>
      <c r="B1661" s="156" t="s">
        <v>1833</v>
      </c>
      <c r="C1661" s="3"/>
      <c r="D1661" s="3"/>
      <c r="E1661" s="156"/>
      <c r="F1661" s="3"/>
      <c r="G1661" s="158">
        <v>40</v>
      </c>
      <c r="H1661" s="155">
        <v>1</v>
      </c>
      <c r="I1661" s="155">
        <v>1</v>
      </c>
      <c r="J1661" s="156" t="s">
        <v>213</v>
      </c>
      <c r="K1661" s="5"/>
      <c r="L1661" s="3"/>
      <c r="M1661" s="6"/>
      <c r="N1661" s="9"/>
      <c r="O1661" s="158">
        <v>40</v>
      </c>
      <c r="P1661" s="12"/>
      <c r="Q1661" s="12"/>
      <c r="R1661" s="12"/>
      <c r="S1661" s="12"/>
      <c r="T1661" s="12"/>
      <c r="U1661" s="12"/>
      <c r="V1661" s="12"/>
      <c r="W1661" s="12"/>
      <c r="X1661" s="12"/>
      <c r="Y1661" s="12"/>
      <c r="Z1661" s="12"/>
    </row>
    <row r="1662" spans="1:26" ht="14.25" customHeight="1" x14ac:dyDescent="0.3">
      <c r="A1662" s="155">
        <v>878</v>
      </c>
      <c r="B1662" s="156" t="s">
        <v>1834</v>
      </c>
      <c r="C1662" s="3"/>
      <c r="D1662" s="3"/>
      <c r="E1662" s="156"/>
      <c r="F1662" s="3"/>
      <c r="G1662" s="158">
        <v>180</v>
      </c>
      <c r="H1662" s="155">
        <v>5</v>
      </c>
      <c r="I1662" s="155">
        <v>1000</v>
      </c>
      <c r="J1662" s="156" t="s">
        <v>39</v>
      </c>
      <c r="K1662" s="5"/>
      <c r="L1662" s="3"/>
      <c r="M1662" s="6"/>
      <c r="N1662" s="9"/>
      <c r="O1662" s="158">
        <v>900</v>
      </c>
      <c r="P1662" s="12"/>
      <c r="Q1662" s="12"/>
      <c r="R1662" s="12"/>
      <c r="S1662" s="12"/>
      <c r="T1662" s="12"/>
      <c r="U1662" s="12"/>
      <c r="V1662" s="12"/>
      <c r="W1662" s="12"/>
      <c r="X1662" s="12"/>
      <c r="Y1662" s="12"/>
      <c r="Z1662" s="12"/>
    </row>
    <row r="1663" spans="1:26" ht="14.25" customHeight="1" x14ac:dyDescent="0.3">
      <c r="A1663" s="155">
        <v>879</v>
      </c>
      <c r="B1663" s="156" t="s">
        <v>1835</v>
      </c>
      <c r="C1663" s="3"/>
      <c r="D1663" s="3"/>
      <c r="E1663" s="156" t="s">
        <v>1184</v>
      </c>
      <c r="F1663" s="3"/>
      <c r="G1663" s="158">
        <v>3.45</v>
      </c>
      <c r="H1663" s="155">
        <v>87</v>
      </c>
      <c r="I1663" s="155">
        <v>25</v>
      </c>
      <c r="J1663" s="156" t="s">
        <v>39</v>
      </c>
      <c r="K1663" s="5"/>
      <c r="L1663" s="3"/>
      <c r="M1663" s="6"/>
      <c r="N1663" s="9"/>
      <c r="O1663" s="158">
        <v>300.14999999999998</v>
      </c>
      <c r="P1663" s="12"/>
      <c r="Q1663" s="12"/>
      <c r="R1663" s="12"/>
      <c r="S1663" s="12"/>
      <c r="T1663" s="12"/>
      <c r="U1663" s="12"/>
      <c r="V1663" s="12"/>
      <c r="W1663" s="12"/>
      <c r="X1663" s="12"/>
      <c r="Y1663" s="12"/>
      <c r="Z1663" s="12"/>
    </row>
    <row r="1664" spans="1:26" ht="14.25" customHeight="1" x14ac:dyDescent="0.3">
      <c r="A1664" s="155">
        <v>421</v>
      </c>
      <c r="B1664" s="156" t="s">
        <v>288</v>
      </c>
      <c r="C1664" s="3"/>
      <c r="D1664" s="3"/>
      <c r="E1664" s="156" t="s">
        <v>1241</v>
      </c>
      <c r="F1664" s="3"/>
      <c r="G1664" s="158">
        <v>23.2578</v>
      </c>
      <c r="H1664" s="155">
        <v>100</v>
      </c>
      <c r="I1664" s="155">
        <v>150</v>
      </c>
      <c r="J1664" s="156" t="s">
        <v>39</v>
      </c>
      <c r="K1664" s="5"/>
      <c r="L1664" s="3"/>
      <c r="M1664" s="6"/>
      <c r="N1664" s="9"/>
      <c r="O1664" s="158">
        <v>2325.7800000000002</v>
      </c>
      <c r="P1664" s="12"/>
      <c r="Q1664" s="12"/>
      <c r="R1664" s="12"/>
      <c r="S1664" s="12"/>
      <c r="T1664" s="12"/>
      <c r="U1664" s="12"/>
      <c r="V1664" s="12"/>
      <c r="W1664" s="12"/>
      <c r="X1664" s="12"/>
      <c r="Y1664" s="12"/>
      <c r="Z1664" s="12"/>
    </row>
    <row r="1665" spans="1:26" ht="14.25" customHeight="1" x14ac:dyDescent="0.3">
      <c r="A1665" s="155">
        <v>422</v>
      </c>
      <c r="B1665" s="156" t="s">
        <v>290</v>
      </c>
      <c r="C1665" s="3"/>
      <c r="D1665" s="3"/>
      <c r="E1665" s="156" t="s">
        <v>1069</v>
      </c>
      <c r="F1665" s="3"/>
      <c r="G1665" s="158">
        <v>135</v>
      </c>
      <c r="H1665" s="155">
        <v>14</v>
      </c>
      <c r="I1665" s="155">
        <v>3500</v>
      </c>
      <c r="J1665" s="156" t="s">
        <v>32</v>
      </c>
      <c r="K1665" s="5"/>
      <c r="L1665" s="3"/>
      <c r="M1665" s="6"/>
      <c r="N1665" s="9"/>
      <c r="O1665" s="158">
        <v>1890</v>
      </c>
      <c r="P1665" s="12"/>
      <c r="Q1665" s="12"/>
      <c r="R1665" s="12"/>
      <c r="S1665" s="12"/>
      <c r="T1665" s="12"/>
      <c r="U1665" s="12"/>
      <c r="V1665" s="12"/>
      <c r="W1665" s="12"/>
      <c r="X1665" s="12"/>
      <c r="Y1665" s="12"/>
      <c r="Z1665" s="12"/>
    </row>
    <row r="1666" spans="1:26" ht="14.25" customHeight="1" x14ac:dyDescent="0.3">
      <c r="A1666" s="155">
        <v>422</v>
      </c>
      <c r="B1666" s="156" t="s">
        <v>290</v>
      </c>
      <c r="C1666" s="3"/>
      <c r="D1666" s="3"/>
      <c r="E1666" s="156" t="s">
        <v>1069</v>
      </c>
      <c r="F1666" s="3"/>
      <c r="G1666" s="158">
        <v>135</v>
      </c>
      <c r="H1666" s="155">
        <v>1</v>
      </c>
      <c r="I1666" s="155">
        <v>3500</v>
      </c>
      <c r="J1666" s="156" t="s">
        <v>213</v>
      </c>
      <c r="K1666" s="5"/>
      <c r="L1666" s="3"/>
      <c r="M1666" s="6"/>
      <c r="N1666" s="9"/>
      <c r="O1666" s="158">
        <v>135</v>
      </c>
      <c r="P1666" s="12"/>
      <c r="Q1666" s="12"/>
      <c r="R1666" s="12"/>
      <c r="S1666" s="12"/>
      <c r="T1666" s="12"/>
      <c r="U1666" s="12"/>
      <c r="V1666" s="12"/>
      <c r="W1666" s="12"/>
      <c r="X1666" s="12"/>
      <c r="Y1666" s="12"/>
      <c r="Z1666" s="12"/>
    </row>
    <row r="1667" spans="1:26" ht="14.25" customHeight="1" x14ac:dyDescent="0.3">
      <c r="A1667" s="155">
        <v>880</v>
      </c>
      <c r="B1667" s="156" t="s">
        <v>1836</v>
      </c>
      <c r="C1667" s="3"/>
      <c r="D1667" s="3"/>
      <c r="E1667" s="156" t="s">
        <v>1241</v>
      </c>
      <c r="F1667" s="3"/>
      <c r="G1667" s="158">
        <v>84.2</v>
      </c>
      <c r="H1667" s="155">
        <v>1</v>
      </c>
      <c r="I1667" s="155">
        <v>900</v>
      </c>
      <c r="J1667" s="156" t="s">
        <v>39</v>
      </c>
      <c r="K1667" s="5"/>
      <c r="L1667" s="3"/>
      <c r="M1667" s="6"/>
      <c r="N1667" s="9"/>
      <c r="O1667" s="158">
        <v>84.2</v>
      </c>
      <c r="P1667" s="12"/>
      <c r="Q1667" s="12"/>
      <c r="R1667" s="12"/>
      <c r="S1667" s="12"/>
      <c r="T1667" s="12"/>
      <c r="U1667" s="12"/>
      <c r="V1667" s="12"/>
      <c r="W1667" s="12"/>
      <c r="X1667" s="12"/>
      <c r="Y1667" s="12"/>
      <c r="Z1667" s="12"/>
    </row>
    <row r="1668" spans="1:26" ht="14.25" customHeight="1" x14ac:dyDescent="0.3">
      <c r="A1668" s="155">
        <v>881</v>
      </c>
      <c r="B1668" s="156" t="s">
        <v>1837</v>
      </c>
      <c r="C1668" s="3"/>
      <c r="D1668" s="3"/>
      <c r="E1668" s="156" t="s">
        <v>1241</v>
      </c>
      <c r="F1668" s="3"/>
      <c r="G1668" s="158">
        <v>82.8</v>
      </c>
      <c r="H1668" s="155">
        <v>5</v>
      </c>
      <c r="I1668" s="155">
        <v>900</v>
      </c>
      <c r="J1668" s="156" t="s">
        <v>39</v>
      </c>
      <c r="K1668" s="5"/>
      <c r="L1668" s="3"/>
      <c r="M1668" s="6"/>
      <c r="N1668" s="9"/>
      <c r="O1668" s="158">
        <v>414</v>
      </c>
      <c r="P1668" s="12"/>
      <c r="Q1668" s="12"/>
      <c r="R1668" s="12"/>
      <c r="S1668" s="12"/>
      <c r="T1668" s="12"/>
      <c r="U1668" s="12"/>
      <c r="V1668" s="12"/>
      <c r="W1668" s="12"/>
      <c r="X1668" s="12"/>
      <c r="Y1668" s="12"/>
      <c r="Z1668" s="12"/>
    </row>
    <row r="1669" spans="1:26" ht="14.25" customHeight="1" x14ac:dyDescent="0.3">
      <c r="A1669" s="155">
        <v>424</v>
      </c>
      <c r="B1669" s="156" t="s">
        <v>338</v>
      </c>
      <c r="C1669" s="3"/>
      <c r="D1669" s="3"/>
      <c r="E1669" s="156" t="s">
        <v>1838</v>
      </c>
      <c r="F1669" s="3"/>
      <c r="G1669" s="158">
        <v>21.33765</v>
      </c>
      <c r="H1669" s="155">
        <v>34</v>
      </c>
      <c r="I1669" s="155">
        <v>1</v>
      </c>
      <c r="J1669" s="156" t="s">
        <v>92</v>
      </c>
      <c r="K1669" s="5"/>
      <c r="L1669" s="3"/>
      <c r="M1669" s="6"/>
      <c r="N1669" s="9"/>
      <c r="O1669" s="158">
        <v>725.48</v>
      </c>
      <c r="P1669" s="12"/>
      <c r="Q1669" s="12"/>
      <c r="R1669" s="12"/>
      <c r="S1669" s="12"/>
      <c r="T1669" s="12"/>
      <c r="U1669" s="12"/>
      <c r="V1669" s="12"/>
      <c r="W1669" s="12"/>
      <c r="X1669" s="12"/>
      <c r="Y1669" s="12"/>
      <c r="Z1669" s="12"/>
    </row>
    <row r="1670" spans="1:26" ht="14.25" customHeight="1" x14ac:dyDescent="0.3">
      <c r="A1670" s="155">
        <v>425</v>
      </c>
      <c r="B1670" s="156" t="s">
        <v>340</v>
      </c>
      <c r="C1670" s="3"/>
      <c r="D1670" s="3"/>
      <c r="E1670" s="156" t="s">
        <v>1838</v>
      </c>
      <c r="F1670" s="3"/>
      <c r="G1670" s="158">
        <v>9</v>
      </c>
      <c r="H1670" s="155">
        <v>24</v>
      </c>
      <c r="I1670" s="155">
        <v>25</v>
      </c>
      <c r="J1670" s="156" t="s">
        <v>32</v>
      </c>
      <c r="K1670" s="5"/>
      <c r="L1670" s="3"/>
      <c r="M1670" s="6"/>
      <c r="N1670" s="9"/>
      <c r="O1670" s="158">
        <v>216</v>
      </c>
      <c r="P1670" s="12"/>
      <c r="Q1670" s="12"/>
      <c r="R1670" s="12"/>
      <c r="S1670" s="12"/>
      <c r="T1670" s="12"/>
      <c r="U1670" s="12"/>
      <c r="V1670" s="12"/>
      <c r="W1670" s="12"/>
      <c r="X1670" s="12"/>
      <c r="Y1670" s="12"/>
      <c r="Z1670" s="12"/>
    </row>
    <row r="1671" spans="1:26" ht="14.25" customHeight="1" x14ac:dyDescent="0.3">
      <c r="A1671" s="155">
        <v>425</v>
      </c>
      <c r="B1671" s="156" t="s">
        <v>340</v>
      </c>
      <c r="C1671" s="3"/>
      <c r="D1671" s="3"/>
      <c r="E1671" s="156" t="s">
        <v>1839</v>
      </c>
      <c r="F1671" s="3"/>
      <c r="G1671" s="158">
        <v>8</v>
      </c>
      <c r="H1671" s="155">
        <v>2</v>
      </c>
      <c r="I1671" s="155">
        <v>25</v>
      </c>
      <c r="J1671" s="156" t="s">
        <v>32</v>
      </c>
      <c r="K1671" s="5"/>
      <c r="L1671" s="3"/>
      <c r="M1671" s="6"/>
      <c r="N1671" s="9"/>
      <c r="O1671" s="158">
        <v>16</v>
      </c>
      <c r="P1671" s="12"/>
      <c r="Q1671" s="12"/>
      <c r="R1671" s="12"/>
      <c r="S1671" s="12"/>
      <c r="T1671" s="12"/>
      <c r="U1671" s="12"/>
      <c r="V1671" s="12"/>
      <c r="W1671" s="12"/>
      <c r="X1671" s="12"/>
      <c r="Y1671" s="12"/>
      <c r="Z1671" s="12"/>
    </row>
    <row r="1672" spans="1:26" ht="14.25" customHeight="1" x14ac:dyDescent="0.3">
      <c r="A1672" s="155">
        <v>425</v>
      </c>
      <c r="B1672" s="156" t="s">
        <v>340</v>
      </c>
      <c r="C1672" s="3"/>
      <c r="D1672" s="3"/>
      <c r="E1672" s="156" t="s">
        <v>1838</v>
      </c>
      <c r="F1672" s="3"/>
      <c r="G1672" s="158">
        <v>8</v>
      </c>
      <c r="H1672" s="155">
        <v>9</v>
      </c>
      <c r="I1672" s="155">
        <v>25</v>
      </c>
      <c r="J1672" s="156" t="s">
        <v>92</v>
      </c>
      <c r="K1672" s="5"/>
      <c r="L1672" s="3"/>
      <c r="M1672" s="6"/>
      <c r="N1672" s="9"/>
      <c r="O1672" s="158">
        <v>72</v>
      </c>
      <c r="P1672" s="12"/>
      <c r="Q1672" s="12"/>
      <c r="R1672" s="12"/>
      <c r="S1672" s="12"/>
      <c r="T1672" s="12"/>
      <c r="U1672" s="12"/>
      <c r="V1672" s="12"/>
      <c r="W1672" s="12"/>
      <c r="X1672" s="12"/>
      <c r="Y1672" s="12"/>
      <c r="Z1672" s="12"/>
    </row>
    <row r="1673" spans="1:26" ht="14.25" customHeight="1" x14ac:dyDescent="0.3">
      <c r="A1673" s="155">
        <v>425</v>
      </c>
      <c r="B1673" s="156" t="s">
        <v>340</v>
      </c>
      <c r="C1673" s="3"/>
      <c r="D1673" s="3"/>
      <c r="E1673" s="156" t="s">
        <v>1840</v>
      </c>
      <c r="F1673" s="3"/>
      <c r="G1673" s="158">
        <v>8</v>
      </c>
      <c r="H1673" s="155">
        <v>12</v>
      </c>
      <c r="I1673" s="155">
        <v>25</v>
      </c>
      <c r="J1673" s="156" t="s">
        <v>92</v>
      </c>
      <c r="K1673" s="5"/>
      <c r="L1673" s="3"/>
      <c r="M1673" s="6"/>
      <c r="N1673" s="9"/>
      <c r="O1673" s="158">
        <v>96</v>
      </c>
      <c r="P1673" s="12"/>
      <c r="Q1673" s="12"/>
      <c r="R1673" s="12"/>
      <c r="S1673" s="12"/>
      <c r="T1673" s="12"/>
      <c r="U1673" s="12"/>
      <c r="V1673" s="12"/>
      <c r="W1673" s="12"/>
      <c r="X1673" s="12"/>
      <c r="Y1673" s="12"/>
      <c r="Z1673" s="12"/>
    </row>
    <row r="1674" spans="1:26" ht="14.25" customHeight="1" x14ac:dyDescent="0.3">
      <c r="A1674" s="155">
        <v>426</v>
      </c>
      <c r="B1674" s="156" t="s">
        <v>355</v>
      </c>
      <c r="C1674" s="3"/>
      <c r="D1674" s="3"/>
      <c r="E1674" s="156"/>
      <c r="F1674" s="3"/>
      <c r="G1674" s="158">
        <v>25</v>
      </c>
      <c r="H1674" s="155">
        <v>3</v>
      </c>
      <c r="I1674" s="155">
        <v>1</v>
      </c>
      <c r="J1674" s="156" t="s">
        <v>304</v>
      </c>
      <c r="K1674" s="5"/>
      <c r="L1674" s="3"/>
      <c r="M1674" s="6"/>
      <c r="N1674" s="9"/>
      <c r="O1674" s="158">
        <v>75</v>
      </c>
      <c r="P1674" s="12"/>
      <c r="Q1674" s="12"/>
      <c r="R1674" s="12"/>
      <c r="S1674" s="12"/>
      <c r="T1674" s="12"/>
      <c r="U1674" s="12"/>
      <c r="V1674" s="12"/>
      <c r="W1674" s="12"/>
      <c r="X1674" s="12"/>
      <c r="Y1674" s="12"/>
      <c r="Z1674" s="12"/>
    </row>
    <row r="1675" spans="1:26" ht="14.25" customHeight="1" x14ac:dyDescent="0.3">
      <c r="A1675" s="155">
        <v>426</v>
      </c>
      <c r="B1675" s="156" t="s">
        <v>355</v>
      </c>
      <c r="C1675" s="3"/>
      <c r="D1675" s="3"/>
      <c r="E1675" s="156" t="s">
        <v>1841</v>
      </c>
      <c r="F1675" s="3"/>
      <c r="G1675" s="158">
        <v>15</v>
      </c>
      <c r="H1675" s="155">
        <v>31</v>
      </c>
      <c r="I1675" s="155">
        <v>1</v>
      </c>
      <c r="J1675" s="156" t="s">
        <v>1638</v>
      </c>
      <c r="K1675" s="5"/>
      <c r="L1675" s="3"/>
      <c r="M1675" s="6"/>
      <c r="N1675" s="9"/>
      <c r="O1675" s="158">
        <v>465</v>
      </c>
      <c r="P1675" s="12"/>
      <c r="Q1675" s="12"/>
      <c r="R1675" s="12"/>
      <c r="S1675" s="12"/>
      <c r="T1675" s="12"/>
      <c r="U1675" s="12"/>
      <c r="V1675" s="12"/>
      <c r="W1675" s="12"/>
      <c r="X1675" s="12"/>
      <c r="Y1675" s="12"/>
      <c r="Z1675" s="12"/>
    </row>
    <row r="1676" spans="1:26" ht="14.25" customHeight="1" x14ac:dyDescent="0.3">
      <c r="A1676" s="155">
        <v>426</v>
      </c>
      <c r="B1676" s="156" t="s">
        <v>355</v>
      </c>
      <c r="C1676" s="3"/>
      <c r="D1676" s="3"/>
      <c r="E1676" s="156" t="s">
        <v>900</v>
      </c>
      <c r="F1676" s="3"/>
      <c r="G1676" s="158">
        <v>15</v>
      </c>
      <c r="H1676" s="155">
        <v>3</v>
      </c>
      <c r="I1676" s="155">
        <v>1</v>
      </c>
      <c r="J1676" s="156" t="s">
        <v>304</v>
      </c>
      <c r="K1676" s="5"/>
      <c r="L1676" s="3"/>
      <c r="M1676" s="6"/>
      <c r="N1676" s="9"/>
      <c r="O1676" s="158">
        <v>45</v>
      </c>
      <c r="P1676" s="12"/>
      <c r="Q1676" s="12"/>
      <c r="R1676" s="12"/>
      <c r="S1676" s="12"/>
      <c r="T1676" s="12"/>
      <c r="U1676" s="12"/>
      <c r="V1676" s="12"/>
      <c r="W1676" s="12"/>
      <c r="X1676" s="12"/>
      <c r="Y1676" s="12"/>
      <c r="Z1676" s="12"/>
    </row>
    <row r="1677" spans="1:26" ht="14.25" customHeight="1" x14ac:dyDescent="0.3">
      <c r="A1677" s="155">
        <v>882</v>
      </c>
      <c r="B1677" s="156" t="s">
        <v>1842</v>
      </c>
      <c r="C1677" s="3"/>
      <c r="D1677" s="3"/>
      <c r="E1677" s="156" t="s">
        <v>858</v>
      </c>
      <c r="F1677" s="3"/>
      <c r="G1677" s="158">
        <v>50.8</v>
      </c>
      <c r="H1677" s="155">
        <v>7</v>
      </c>
      <c r="I1677" s="155">
        <v>1</v>
      </c>
      <c r="J1677" s="156" t="s">
        <v>92</v>
      </c>
      <c r="K1677" s="5"/>
      <c r="L1677" s="3"/>
      <c r="M1677" s="6"/>
      <c r="N1677" s="9"/>
      <c r="O1677" s="158">
        <v>355.6</v>
      </c>
      <c r="P1677" s="12"/>
      <c r="Q1677" s="12"/>
      <c r="R1677" s="12"/>
      <c r="S1677" s="12"/>
      <c r="T1677" s="12"/>
      <c r="U1677" s="12"/>
      <c r="V1677" s="12"/>
      <c r="W1677" s="12"/>
      <c r="X1677" s="12"/>
      <c r="Y1677" s="12"/>
      <c r="Z1677" s="12"/>
    </row>
    <row r="1678" spans="1:26" ht="14.25" customHeight="1" x14ac:dyDescent="0.3">
      <c r="A1678" s="155">
        <v>430</v>
      </c>
      <c r="B1678" s="156" t="s">
        <v>208</v>
      </c>
      <c r="C1678" s="3"/>
      <c r="D1678" s="3"/>
      <c r="E1678" s="156" t="s">
        <v>1843</v>
      </c>
      <c r="F1678" s="3"/>
      <c r="G1678" s="158">
        <v>6</v>
      </c>
      <c r="H1678" s="155">
        <v>100</v>
      </c>
      <c r="I1678" s="155">
        <v>1</v>
      </c>
      <c r="J1678" s="156" t="s">
        <v>92</v>
      </c>
      <c r="K1678" s="5"/>
      <c r="L1678" s="3"/>
      <c r="M1678" s="6"/>
      <c r="N1678" s="9"/>
      <c r="O1678" s="158">
        <v>600</v>
      </c>
      <c r="P1678" s="12"/>
      <c r="Q1678" s="12"/>
      <c r="R1678" s="12"/>
      <c r="S1678" s="12"/>
      <c r="T1678" s="12"/>
      <c r="U1678" s="12"/>
      <c r="V1678" s="12"/>
      <c r="W1678" s="12"/>
      <c r="X1678" s="12"/>
      <c r="Y1678" s="12"/>
      <c r="Z1678" s="12"/>
    </row>
    <row r="1679" spans="1:26" ht="14.25" customHeight="1" x14ac:dyDescent="0.3">
      <c r="A1679" s="155">
        <v>430</v>
      </c>
      <c r="B1679" s="156" t="s">
        <v>208</v>
      </c>
      <c r="C1679" s="3"/>
      <c r="D1679" s="3"/>
      <c r="E1679" s="156" t="s">
        <v>858</v>
      </c>
      <c r="F1679" s="3"/>
      <c r="G1679" s="158">
        <v>62.97</v>
      </c>
      <c r="H1679" s="155">
        <v>16</v>
      </c>
      <c r="I1679" s="155">
        <v>1</v>
      </c>
      <c r="J1679" s="156" t="s">
        <v>210</v>
      </c>
      <c r="K1679" s="5"/>
      <c r="L1679" s="3"/>
      <c r="M1679" s="6"/>
      <c r="N1679" s="9"/>
      <c r="O1679" s="158">
        <v>1007.52</v>
      </c>
      <c r="P1679" s="12"/>
      <c r="Q1679" s="12"/>
      <c r="R1679" s="12"/>
      <c r="S1679" s="12"/>
      <c r="T1679" s="12"/>
      <c r="U1679" s="12"/>
      <c r="V1679" s="12"/>
      <c r="W1679" s="12"/>
      <c r="X1679" s="12"/>
      <c r="Y1679" s="12"/>
      <c r="Z1679" s="12"/>
    </row>
    <row r="1680" spans="1:26" ht="14.25" customHeight="1" x14ac:dyDescent="0.3">
      <c r="A1680" s="155">
        <v>883</v>
      </c>
      <c r="B1680" s="156" t="s">
        <v>1844</v>
      </c>
      <c r="C1680" s="3"/>
      <c r="D1680" s="3"/>
      <c r="E1680" s="156" t="s">
        <v>1500</v>
      </c>
      <c r="F1680" s="3"/>
      <c r="G1680" s="158">
        <v>6</v>
      </c>
      <c r="H1680" s="155">
        <v>113</v>
      </c>
      <c r="I1680" s="155">
        <v>1</v>
      </c>
      <c r="J1680" s="156" t="s">
        <v>92</v>
      </c>
      <c r="K1680" s="5"/>
      <c r="L1680" s="3"/>
      <c r="M1680" s="6"/>
      <c r="N1680" s="9"/>
      <c r="O1680" s="158">
        <v>678</v>
      </c>
      <c r="P1680" s="12"/>
      <c r="Q1680" s="12"/>
      <c r="R1680" s="12"/>
      <c r="S1680" s="12"/>
      <c r="T1680" s="12"/>
      <c r="U1680" s="12"/>
      <c r="V1680" s="12"/>
      <c r="W1680" s="12"/>
      <c r="X1680" s="12"/>
      <c r="Y1680" s="12"/>
      <c r="Z1680" s="12"/>
    </row>
    <row r="1681" spans="1:26" ht="14.25" customHeight="1" x14ac:dyDescent="0.3">
      <c r="A1681" s="155">
        <v>883</v>
      </c>
      <c r="B1681" s="156" t="s">
        <v>1844</v>
      </c>
      <c r="C1681" s="3"/>
      <c r="D1681" s="3"/>
      <c r="E1681" s="156"/>
      <c r="F1681" s="3"/>
      <c r="G1681" s="158">
        <v>7</v>
      </c>
      <c r="H1681" s="155">
        <v>41</v>
      </c>
      <c r="I1681" s="155">
        <v>1</v>
      </c>
      <c r="J1681" s="156" t="s">
        <v>92</v>
      </c>
      <c r="K1681" s="5"/>
      <c r="L1681" s="3"/>
      <c r="M1681" s="6"/>
      <c r="N1681" s="9"/>
      <c r="O1681" s="158">
        <v>287</v>
      </c>
      <c r="P1681" s="12"/>
      <c r="Q1681" s="12"/>
      <c r="R1681" s="12"/>
      <c r="S1681" s="12"/>
      <c r="T1681" s="12"/>
      <c r="U1681" s="12"/>
      <c r="V1681" s="12"/>
      <c r="W1681" s="12"/>
      <c r="X1681" s="12"/>
      <c r="Y1681" s="12"/>
      <c r="Z1681" s="12"/>
    </row>
    <row r="1682" spans="1:26" ht="14.25" customHeight="1" x14ac:dyDescent="0.3">
      <c r="A1682" s="155">
        <v>884</v>
      </c>
      <c r="B1682" s="156" t="s">
        <v>1845</v>
      </c>
      <c r="C1682" s="3"/>
      <c r="D1682" s="3"/>
      <c r="E1682" s="156" t="s">
        <v>858</v>
      </c>
      <c r="F1682" s="3"/>
      <c r="G1682" s="158">
        <v>50.81</v>
      </c>
      <c r="H1682" s="155">
        <v>30</v>
      </c>
      <c r="I1682" s="155">
        <v>1</v>
      </c>
      <c r="J1682" s="156" t="s">
        <v>210</v>
      </c>
      <c r="K1682" s="5"/>
      <c r="L1682" s="3"/>
      <c r="M1682" s="6"/>
      <c r="N1682" s="9"/>
      <c r="O1682" s="158">
        <v>1524.3</v>
      </c>
      <c r="P1682" s="12"/>
      <c r="Q1682" s="12"/>
      <c r="R1682" s="12"/>
      <c r="S1682" s="12"/>
      <c r="T1682" s="12"/>
      <c r="U1682" s="12"/>
      <c r="V1682" s="12"/>
      <c r="W1682" s="12"/>
      <c r="X1682" s="12"/>
      <c r="Y1682" s="12"/>
      <c r="Z1682" s="12"/>
    </row>
    <row r="1683" spans="1:26" ht="14.25" customHeight="1" x14ac:dyDescent="0.3">
      <c r="A1683" s="155">
        <v>885</v>
      </c>
      <c r="B1683" s="156" t="s">
        <v>1846</v>
      </c>
      <c r="C1683" s="3"/>
      <c r="D1683" s="3"/>
      <c r="E1683" s="156"/>
      <c r="F1683" s="3"/>
      <c r="G1683" s="158">
        <v>450</v>
      </c>
      <c r="H1683" s="155">
        <v>2</v>
      </c>
      <c r="I1683" s="155">
        <v>1</v>
      </c>
      <c r="J1683" s="156" t="s">
        <v>213</v>
      </c>
      <c r="K1683" s="5"/>
      <c r="L1683" s="3"/>
      <c r="M1683" s="6"/>
      <c r="N1683" s="9"/>
      <c r="O1683" s="158">
        <v>900</v>
      </c>
      <c r="P1683" s="12"/>
      <c r="Q1683" s="12"/>
      <c r="R1683" s="12"/>
      <c r="S1683" s="12"/>
      <c r="T1683" s="12"/>
      <c r="U1683" s="12"/>
      <c r="V1683" s="12"/>
      <c r="W1683" s="12"/>
      <c r="X1683" s="12"/>
      <c r="Y1683" s="12"/>
      <c r="Z1683" s="12"/>
    </row>
    <row r="1684" spans="1:26" ht="14.25" customHeight="1" x14ac:dyDescent="0.3">
      <c r="A1684" s="155">
        <v>885</v>
      </c>
      <c r="B1684" s="156" t="s">
        <v>1846</v>
      </c>
      <c r="C1684" s="3"/>
      <c r="D1684" s="3"/>
      <c r="E1684" s="156" t="s">
        <v>1847</v>
      </c>
      <c r="F1684" s="3"/>
      <c r="G1684" s="158">
        <v>460</v>
      </c>
      <c r="H1684" s="155">
        <v>2</v>
      </c>
      <c r="I1684" s="155">
        <v>1</v>
      </c>
      <c r="J1684" s="156" t="s">
        <v>213</v>
      </c>
      <c r="K1684" s="5"/>
      <c r="L1684" s="3"/>
      <c r="M1684" s="6"/>
      <c r="N1684" s="9"/>
      <c r="O1684" s="158">
        <v>920</v>
      </c>
      <c r="P1684" s="12"/>
      <c r="Q1684" s="12"/>
      <c r="R1684" s="12"/>
      <c r="S1684" s="12"/>
      <c r="T1684" s="12"/>
      <c r="U1684" s="12"/>
      <c r="V1684" s="12"/>
      <c r="W1684" s="12"/>
      <c r="X1684" s="12"/>
      <c r="Y1684" s="12"/>
      <c r="Z1684" s="12"/>
    </row>
    <row r="1685" spans="1:26" ht="14.25" customHeight="1" x14ac:dyDescent="0.3">
      <c r="A1685" s="155">
        <v>886</v>
      </c>
      <c r="B1685" s="156" t="s">
        <v>1848</v>
      </c>
      <c r="C1685" s="3"/>
      <c r="D1685" s="3"/>
      <c r="E1685" s="156" t="s">
        <v>854</v>
      </c>
      <c r="F1685" s="3"/>
      <c r="G1685" s="158">
        <v>78</v>
      </c>
      <c r="H1685" s="155">
        <v>1</v>
      </c>
      <c r="I1685" s="155">
        <v>31</v>
      </c>
      <c r="J1685" s="156" t="s">
        <v>39</v>
      </c>
      <c r="K1685" s="5"/>
      <c r="L1685" s="3"/>
      <c r="M1685" s="6"/>
      <c r="N1685" s="9"/>
      <c r="O1685" s="158">
        <v>78</v>
      </c>
      <c r="P1685" s="12"/>
      <c r="Q1685" s="12"/>
      <c r="R1685" s="12"/>
      <c r="S1685" s="12"/>
      <c r="T1685" s="12"/>
      <c r="U1685" s="12"/>
      <c r="V1685" s="12"/>
      <c r="W1685" s="12"/>
      <c r="X1685" s="12"/>
      <c r="Y1685" s="12"/>
      <c r="Z1685" s="12"/>
    </row>
    <row r="1686" spans="1:26" ht="14.25" customHeight="1" x14ac:dyDescent="0.3">
      <c r="A1686" s="155">
        <v>886</v>
      </c>
      <c r="B1686" s="156" t="s">
        <v>1848</v>
      </c>
      <c r="C1686" s="3"/>
      <c r="D1686" s="3"/>
      <c r="E1686" s="156" t="s">
        <v>1074</v>
      </c>
      <c r="F1686" s="3"/>
      <c r="G1686" s="158">
        <v>12.95</v>
      </c>
      <c r="H1686" s="155">
        <v>5</v>
      </c>
      <c r="I1686" s="155">
        <v>31</v>
      </c>
      <c r="J1686" s="156" t="s">
        <v>39</v>
      </c>
      <c r="K1686" s="5"/>
      <c r="L1686" s="3"/>
      <c r="M1686" s="6"/>
      <c r="N1686" s="9"/>
      <c r="O1686" s="158">
        <v>64.75</v>
      </c>
      <c r="P1686" s="12"/>
      <c r="Q1686" s="12"/>
      <c r="R1686" s="12"/>
      <c r="S1686" s="12"/>
      <c r="T1686" s="12"/>
      <c r="U1686" s="12"/>
      <c r="V1686" s="12"/>
      <c r="W1686" s="12"/>
      <c r="X1686" s="12"/>
      <c r="Y1686" s="12"/>
      <c r="Z1686" s="12"/>
    </row>
    <row r="1687" spans="1:26" ht="14.25" customHeight="1" x14ac:dyDescent="0.3">
      <c r="A1687" s="155">
        <v>887</v>
      </c>
      <c r="B1687" s="156" t="s">
        <v>1849</v>
      </c>
      <c r="C1687" s="3"/>
      <c r="D1687" s="3"/>
      <c r="E1687" s="156"/>
      <c r="F1687" s="3"/>
      <c r="G1687" s="158">
        <v>240</v>
      </c>
      <c r="H1687" s="155">
        <v>1</v>
      </c>
      <c r="I1687" s="155">
        <v>1</v>
      </c>
      <c r="J1687" s="156" t="s">
        <v>213</v>
      </c>
      <c r="K1687" s="5"/>
      <c r="L1687" s="3"/>
      <c r="M1687" s="6"/>
      <c r="N1687" s="9"/>
      <c r="O1687" s="158">
        <v>240</v>
      </c>
      <c r="P1687" s="12"/>
      <c r="Q1687" s="12"/>
      <c r="R1687" s="12"/>
      <c r="S1687" s="12"/>
      <c r="T1687" s="12"/>
      <c r="U1687" s="12"/>
      <c r="V1687" s="12"/>
      <c r="W1687" s="12"/>
      <c r="X1687" s="12"/>
      <c r="Y1687" s="12"/>
      <c r="Z1687" s="12"/>
    </row>
    <row r="1688" spans="1:26" ht="14.25" customHeight="1" x14ac:dyDescent="0.3">
      <c r="A1688" s="155">
        <v>888</v>
      </c>
      <c r="B1688" s="156" t="s">
        <v>1850</v>
      </c>
      <c r="C1688" s="3"/>
      <c r="D1688" s="3"/>
      <c r="E1688" s="156" t="s">
        <v>854</v>
      </c>
      <c r="F1688" s="3"/>
      <c r="G1688" s="158">
        <v>44</v>
      </c>
      <c r="H1688" s="155">
        <v>1</v>
      </c>
      <c r="I1688" s="155">
        <v>20</v>
      </c>
      <c r="J1688" s="156" t="s">
        <v>32</v>
      </c>
      <c r="K1688" s="5"/>
      <c r="L1688" s="3"/>
      <c r="M1688" s="6"/>
      <c r="N1688" s="9"/>
      <c r="O1688" s="158">
        <v>44</v>
      </c>
      <c r="P1688" s="12"/>
      <c r="Q1688" s="12"/>
      <c r="R1688" s="12"/>
      <c r="S1688" s="12"/>
      <c r="T1688" s="12"/>
      <c r="U1688" s="12"/>
      <c r="V1688" s="12"/>
      <c r="W1688" s="12"/>
      <c r="X1688" s="12"/>
      <c r="Y1688" s="12"/>
      <c r="Z1688" s="12"/>
    </row>
    <row r="1689" spans="1:26" ht="14.25" customHeight="1" x14ac:dyDescent="0.3">
      <c r="A1689" s="155">
        <v>888</v>
      </c>
      <c r="B1689" s="156" t="s">
        <v>1850</v>
      </c>
      <c r="C1689" s="3"/>
      <c r="D1689" s="3"/>
      <c r="E1689" s="156" t="s">
        <v>1227</v>
      </c>
      <c r="F1689" s="3"/>
      <c r="G1689" s="158">
        <v>46</v>
      </c>
      <c r="H1689" s="155">
        <v>2</v>
      </c>
      <c r="I1689" s="155">
        <v>20</v>
      </c>
      <c r="J1689" s="156" t="s">
        <v>32</v>
      </c>
      <c r="K1689" s="5"/>
      <c r="L1689" s="3"/>
      <c r="M1689" s="6"/>
      <c r="N1689" s="9"/>
      <c r="O1689" s="158">
        <v>92</v>
      </c>
      <c r="P1689" s="12"/>
      <c r="Q1689" s="12"/>
      <c r="R1689" s="12"/>
      <c r="S1689" s="12"/>
      <c r="T1689" s="12"/>
      <c r="U1689" s="12"/>
      <c r="V1689" s="12"/>
      <c r="W1689" s="12"/>
      <c r="X1689" s="12"/>
      <c r="Y1689" s="12"/>
      <c r="Z1689" s="12"/>
    </row>
    <row r="1690" spans="1:26" ht="14.25" customHeight="1" x14ac:dyDescent="0.3">
      <c r="A1690" s="155">
        <v>888</v>
      </c>
      <c r="B1690" s="156" t="s">
        <v>1850</v>
      </c>
      <c r="C1690" s="3"/>
      <c r="D1690" s="3"/>
      <c r="E1690" s="156" t="s">
        <v>1851</v>
      </c>
      <c r="F1690" s="3"/>
      <c r="G1690" s="158">
        <v>55</v>
      </c>
      <c r="H1690" s="155">
        <v>1</v>
      </c>
      <c r="I1690" s="155">
        <v>20</v>
      </c>
      <c r="J1690" s="156" t="s">
        <v>32</v>
      </c>
      <c r="K1690" s="5"/>
      <c r="L1690" s="3"/>
      <c r="M1690" s="6"/>
      <c r="N1690" s="9"/>
      <c r="O1690" s="158">
        <v>55</v>
      </c>
      <c r="P1690" s="12"/>
      <c r="Q1690" s="12"/>
      <c r="R1690" s="12"/>
      <c r="S1690" s="12"/>
      <c r="T1690" s="12"/>
      <c r="U1690" s="12"/>
      <c r="V1690" s="12"/>
      <c r="W1690" s="12"/>
      <c r="X1690" s="12"/>
      <c r="Y1690" s="12"/>
      <c r="Z1690" s="12"/>
    </row>
    <row r="1691" spans="1:26" ht="14.25" customHeight="1" x14ac:dyDescent="0.3">
      <c r="A1691" s="155">
        <v>439</v>
      </c>
      <c r="B1691" s="156" t="s">
        <v>196</v>
      </c>
      <c r="C1691" s="3"/>
      <c r="D1691" s="3"/>
      <c r="E1691" s="156" t="s">
        <v>910</v>
      </c>
      <c r="F1691" s="3"/>
      <c r="G1691" s="158">
        <v>51</v>
      </c>
      <c r="H1691" s="155">
        <v>7</v>
      </c>
      <c r="I1691" s="155">
        <v>260</v>
      </c>
      <c r="J1691" s="156" t="s">
        <v>39</v>
      </c>
      <c r="K1691" s="5"/>
      <c r="L1691" s="3"/>
      <c r="M1691" s="6"/>
      <c r="N1691" s="9"/>
      <c r="O1691" s="158">
        <v>357</v>
      </c>
      <c r="P1691" s="12"/>
      <c r="Q1691" s="12"/>
      <c r="R1691" s="12"/>
      <c r="S1691" s="12"/>
      <c r="T1691" s="12"/>
      <c r="U1691" s="12"/>
      <c r="V1691" s="12"/>
      <c r="W1691" s="12"/>
      <c r="X1691" s="12"/>
      <c r="Y1691" s="12"/>
      <c r="Z1691" s="12"/>
    </row>
    <row r="1692" spans="1:26" ht="14.25" customHeight="1" x14ac:dyDescent="0.3">
      <c r="A1692" s="155">
        <v>439</v>
      </c>
      <c r="B1692" s="156" t="s">
        <v>196</v>
      </c>
      <c r="C1692" s="3"/>
      <c r="D1692" s="3"/>
      <c r="E1692" s="156" t="s">
        <v>870</v>
      </c>
      <c r="F1692" s="3"/>
      <c r="G1692" s="158">
        <v>56.75</v>
      </c>
      <c r="H1692" s="155">
        <v>2</v>
      </c>
      <c r="I1692" s="155">
        <v>260</v>
      </c>
      <c r="J1692" s="156" t="s">
        <v>39</v>
      </c>
      <c r="K1692" s="5"/>
      <c r="L1692" s="3"/>
      <c r="M1692" s="6"/>
      <c r="N1692" s="9"/>
      <c r="O1692" s="158">
        <v>113.5</v>
      </c>
      <c r="P1692" s="12"/>
      <c r="Q1692" s="12"/>
      <c r="R1692" s="12"/>
      <c r="S1692" s="12"/>
      <c r="T1692" s="12"/>
      <c r="U1692" s="12"/>
      <c r="V1692" s="12"/>
      <c r="W1692" s="12"/>
      <c r="X1692" s="12"/>
      <c r="Y1692" s="12"/>
      <c r="Z1692" s="12"/>
    </row>
    <row r="1693" spans="1:26" ht="14.25" customHeight="1" x14ac:dyDescent="0.3">
      <c r="A1693" s="155">
        <v>440</v>
      </c>
      <c r="B1693" s="156" t="s">
        <v>291</v>
      </c>
      <c r="C1693" s="3"/>
      <c r="D1693" s="3"/>
      <c r="E1693" s="156" t="s">
        <v>1069</v>
      </c>
      <c r="F1693" s="3"/>
      <c r="G1693" s="158">
        <v>68.863640000000004</v>
      </c>
      <c r="H1693" s="155">
        <v>44</v>
      </c>
      <c r="I1693" s="155">
        <v>3500</v>
      </c>
      <c r="J1693" s="156" t="s">
        <v>32</v>
      </c>
      <c r="K1693" s="5"/>
      <c r="L1693" s="3"/>
      <c r="M1693" s="6"/>
      <c r="N1693" s="9"/>
      <c r="O1693" s="158">
        <v>3030</v>
      </c>
      <c r="P1693" s="12"/>
      <c r="Q1693" s="12"/>
      <c r="R1693" s="12"/>
      <c r="S1693" s="12"/>
      <c r="T1693" s="12"/>
      <c r="U1693" s="12"/>
      <c r="V1693" s="12"/>
      <c r="W1693" s="12"/>
      <c r="X1693" s="12"/>
      <c r="Y1693" s="12"/>
      <c r="Z1693" s="12"/>
    </row>
    <row r="1694" spans="1:26" ht="14.25" customHeight="1" x14ac:dyDescent="0.3">
      <c r="A1694" s="155">
        <v>440</v>
      </c>
      <c r="B1694" s="156" t="s">
        <v>291</v>
      </c>
      <c r="C1694" s="3"/>
      <c r="D1694" s="3"/>
      <c r="E1694" s="156" t="s">
        <v>1069</v>
      </c>
      <c r="F1694" s="3"/>
      <c r="G1694" s="158">
        <v>70</v>
      </c>
      <c r="H1694" s="155">
        <v>1</v>
      </c>
      <c r="I1694" s="155">
        <v>3500</v>
      </c>
      <c r="J1694" s="156" t="s">
        <v>773</v>
      </c>
      <c r="K1694" s="5"/>
      <c r="L1694" s="3"/>
      <c r="M1694" s="6"/>
      <c r="N1694" s="9"/>
      <c r="O1694" s="158">
        <v>70</v>
      </c>
      <c r="P1694" s="12"/>
      <c r="Q1694" s="12"/>
      <c r="R1694" s="12"/>
      <c r="S1694" s="12"/>
      <c r="T1694" s="12"/>
      <c r="U1694" s="12"/>
      <c r="V1694" s="12"/>
      <c r="W1694" s="12"/>
      <c r="X1694" s="12"/>
      <c r="Y1694" s="12"/>
      <c r="Z1694" s="12"/>
    </row>
    <row r="1695" spans="1:26" ht="14.25" customHeight="1" x14ac:dyDescent="0.3">
      <c r="A1695" s="155">
        <v>440</v>
      </c>
      <c r="B1695" s="156" t="s">
        <v>291</v>
      </c>
      <c r="C1695" s="3"/>
      <c r="D1695" s="3"/>
      <c r="E1695" s="156" t="s">
        <v>1852</v>
      </c>
      <c r="F1695" s="3"/>
      <c r="G1695" s="158">
        <v>155.69999999999999</v>
      </c>
      <c r="H1695" s="155">
        <v>8</v>
      </c>
      <c r="I1695" s="155">
        <v>3500</v>
      </c>
      <c r="J1695" s="156" t="s">
        <v>200</v>
      </c>
      <c r="K1695" s="5"/>
      <c r="L1695" s="3"/>
      <c r="M1695" s="6"/>
      <c r="N1695" s="9"/>
      <c r="O1695" s="158">
        <v>1245.5999999999999</v>
      </c>
      <c r="P1695" s="12"/>
      <c r="Q1695" s="12"/>
      <c r="R1695" s="12"/>
      <c r="S1695" s="12"/>
      <c r="T1695" s="12"/>
      <c r="U1695" s="12"/>
      <c r="V1695" s="12"/>
      <c r="W1695" s="12"/>
      <c r="X1695" s="12"/>
      <c r="Y1695" s="12"/>
      <c r="Z1695" s="12"/>
    </row>
    <row r="1696" spans="1:26" ht="14.25" customHeight="1" x14ac:dyDescent="0.3">
      <c r="A1696" s="155">
        <v>440</v>
      </c>
      <c r="B1696" s="156" t="s">
        <v>291</v>
      </c>
      <c r="C1696" s="3"/>
      <c r="D1696" s="3"/>
      <c r="E1696" s="156" t="s">
        <v>1071</v>
      </c>
      <c r="F1696" s="3"/>
      <c r="G1696" s="158">
        <v>65</v>
      </c>
      <c r="H1696" s="155">
        <v>7</v>
      </c>
      <c r="I1696" s="155">
        <v>3500</v>
      </c>
      <c r="J1696" s="156" t="s">
        <v>200</v>
      </c>
      <c r="K1696" s="5"/>
      <c r="L1696" s="3"/>
      <c r="M1696" s="6"/>
      <c r="N1696" s="9"/>
      <c r="O1696" s="158">
        <v>455</v>
      </c>
      <c r="P1696" s="12"/>
      <c r="Q1696" s="12"/>
      <c r="R1696" s="12"/>
      <c r="S1696" s="12"/>
      <c r="T1696" s="12"/>
      <c r="U1696" s="12"/>
      <c r="V1696" s="12"/>
      <c r="W1696" s="12"/>
      <c r="X1696" s="12"/>
      <c r="Y1696" s="12"/>
      <c r="Z1696" s="12"/>
    </row>
    <row r="1697" spans="1:26" ht="14.25" customHeight="1" x14ac:dyDescent="0.3">
      <c r="A1697" s="155">
        <v>440</v>
      </c>
      <c r="B1697" s="156" t="s">
        <v>291</v>
      </c>
      <c r="C1697" s="3"/>
      <c r="D1697" s="3"/>
      <c r="E1697" s="156" t="s">
        <v>1853</v>
      </c>
      <c r="F1697" s="3"/>
      <c r="G1697" s="158">
        <v>41.5</v>
      </c>
      <c r="H1697" s="155">
        <v>1</v>
      </c>
      <c r="I1697" s="155">
        <v>3500</v>
      </c>
      <c r="J1697" s="156" t="s">
        <v>773</v>
      </c>
      <c r="K1697" s="5"/>
      <c r="L1697" s="3"/>
      <c r="M1697" s="6"/>
      <c r="N1697" s="9"/>
      <c r="O1697" s="158">
        <v>41.5</v>
      </c>
      <c r="P1697" s="12"/>
      <c r="Q1697" s="12"/>
      <c r="R1697" s="12"/>
      <c r="S1697" s="12"/>
      <c r="T1697" s="12"/>
      <c r="U1697" s="12"/>
      <c r="V1697" s="12"/>
      <c r="W1697" s="12"/>
      <c r="X1697" s="12"/>
      <c r="Y1697" s="12"/>
      <c r="Z1697" s="12"/>
    </row>
    <row r="1698" spans="1:26" ht="14.25" customHeight="1" x14ac:dyDescent="0.3">
      <c r="A1698" s="155">
        <v>440</v>
      </c>
      <c r="B1698" s="156" t="s">
        <v>291</v>
      </c>
      <c r="C1698" s="3"/>
      <c r="D1698" s="3"/>
      <c r="E1698" s="156" t="s">
        <v>1852</v>
      </c>
      <c r="F1698" s="3"/>
      <c r="G1698" s="158">
        <v>41.5</v>
      </c>
      <c r="H1698" s="155">
        <v>1</v>
      </c>
      <c r="I1698" s="155">
        <v>3500</v>
      </c>
      <c r="J1698" s="156" t="s">
        <v>773</v>
      </c>
      <c r="K1698" s="5"/>
      <c r="L1698" s="3"/>
      <c r="M1698" s="6"/>
      <c r="N1698" s="9"/>
      <c r="O1698" s="158">
        <v>41.5</v>
      </c>
      <c r="P1698" s="12"/>
      <c r="Q1698" s="12"/>
      <c r="R1698" s="12"/>
      <c r="S1698" s="12"/>
      <c r="T1698" s="12"/>
      <c r="U1698" s="12"/>
      <c r="V1698" s="12"/>
      <c r="W1698" s="12"/>
      <c r="X1698" s="12"/>
      <c r="Y1698" s="12"/>
      <c r="Z1698" s="12"/>
    </row>
    <row r="1699" spans="1:26" ht="14.25" customHeight="1" x14ac:dyDescent="0.3">
      <c r="A1699" s="155">
        <v>889</v>
      </c>
      <c r="B1699" s="156" t="s">
        <v>1854</v>
      </c>
      <c r="C1699" s="3"/>
      <c r="D1699" s="3"/>
      <c r="E1699" s="156" t="s">
        <v>1124</v>
      </c>
      <c r="F1699" s="3"/>
      <c r="G1699" s="158">
        <v>31.55</v>
      </c>
      <c r="H1699" s="155">
        <v>15</v>
      </c>
      <c r="I1699" s="155">
        <v>50</v>
      </c>
      <c r="J1699" s="156" t="s">
        <v>39</v>
      </c>
      <c r="K1699" s="5"/>
      <c r="L1699" s="3"/>
      <c r="M1699" s="6"/>
      <c r="N1699" s="9"/>
      <c r="O1699" s="158">
        <v>473.25</v>
      </c>
      <c r="P1699" s="12"/>
      <c r="Q1699" s="12"/>
      <c r="R1699" s="12"/>
      <c r="S1699" s="12"/>
      <c r="T1699" s="12"/>
      <c r="U1699" s="12"/>
      <c r="V1699" s="12"/>
      <c r="W1699" s="12"/>
      <c r="X1699" s="12"/>
      <c r="Y1699" s="12"/>
      <c r="Z1699" s="12"/>
    </row>
    <row r="1700" spans="1:26" ht="14.25" customHeight="1" x14ac:dyDescent="0.3">
      <c r="A1700" s="155">
        <v>890</v>
      </c>
      <c r="B1700" s="156" t="s">
        <v>1855</v>
      </c>
      <c r="C1700" s="3"/>
      <c r="D1700" s="3"/>
      <c r="E1700" s="156" t="s">
        <v>1856</v>
      </c>
      <c r="F1700" s="3"/>
      <c r="G1700" s="158">
        <v>10.8</v>
      </c>
      <c r="H1700" s="155">
        <v>24</v>
      </c>
      <c r="I1700" s="155">
        <v>48</v>
      </c>
      <c r="J1700" s="156" t="s">
        <v>39</v>
      </c>
      <c r="K1700" s="5"/>
      <c r="L1700" s="3"/>
      <c r="M1700" s="6"/>
      <c r="N1700" s="9"/>
      <c r="O1700" s="158">
        <v>259.2</v>
      </c>
      <c r="P1700" s="12"/>
      <c r="Q1700" s="12"/>
      <c r="R1700" s="12"/>
      <c r="S1700" s="12"/>
      <c r="T1700" s="12"/>
      <c r="U1700" s="12"/>
      <c r="V1700" s="12"/>
      <c r="W1700" s="12"/>
      <c r="X1700" s="12"/>
      <c r="Y1700" s="12"/>
      <c r="Z1700" s="12"/>
    </row>
    <row r="1701" spans="1:26" ht="14.25" customHeight="1" x14ac:dyDescent="0.3">
      <c r="A1701" s="155">
        <v>890</v>
      </c>
      <c r="B1701" s="156" t="s">
        <v>1855</v>
      </c>
      <c r="C1701" s="3"/>
      <c r="D1701" s="3"/>
      <c r="E1701" s="156" t="s">
        <v>1857</v>
      </c>
      <c r="F1701" s="3"/>
      <c r="G1701" s="158">
        <v>15.88</v>
      </c>
      <c r="H1701" s="155">
        <v>24</v>
      </c>
      <c r="I1701" s="155">
        <v>48</v>
      </c>
      <c r="J1701" s="156" t="s">
        <v>39</v>
      </c>
      <c r="K1701" s="5"/>
      <c r="L1701" s="3"/>
      <c r="M1701" s="6"/>
      <c r="N1701" s="9"/>
      <c r="O1701" s="158">
        <v>381.12</v>
      </c>
      <c r="P1701" s="12"/>
      <c r="Q1701" s="12"/>
      <c r="R1701" s="12"/>
      <c r="S1701" s="12"/>
      <c r="T1701" s="12"/>
      <c r="U1701" s="12"/>
      <c r="V1701" s="12"/>
      <c r="W1701" s="12"/>
      <c r="X1701" s="12"/>
      <c r="Y1701" s="12"/>
      <c r="Z1701" s="12"/>
    </row>
    <row r="1702" spans="1:26" ht="14.25" customHeight="1" x14ac:dyDescent="0.3">
      <c r="A1702" s="155">
        <v>890</v>
      </c>
      <c r="B1702" s="156" t="s">
        <v>1855</v>
      </c>
      <c r="C1702" s="3"/>
      <c r="D1702" s="3"/>
      <c r="E1702" s="156" t="s">
        <v>1858</v>
      </c>
      <c r="F1702" s="3"/>
      <c r="G1702" s="158">
        <v>6.5</v>
      </c>
      <c r="H1702" s="155">
        <v>32</v>
      </c>
      <c r="I1702" s="155">
        <v>48</v>
      </c>
      <c r="J1702" s="156" t="s">
        <v>39</v>
      </c>
      <c r="K1702" s="5"/>
      <c r="L1702" s="3"/>
      <c r="M1702" s="6"/>
      <c r="N1702" s="9"/>
      <c r="O1702" s="158">
        <v>208</v>
      </c>
      <c r="P1702" s="12"/>
      <c r="Q1702" s="12"/>
      <c r="R1702" s="12"/>
      <c r="S1702" s="12"/>
      <c r="T1702" s="12"/>
      <c r="U1702" s="12"/>
      <c r="V1702" s="12"/>
      <c r="W1702" s="12"/>
      <c r="X1702" s="12"/>
      <c r="Y1702" s="12"/>
      <c r="Z1702" s="12"/>
    </row>
    <row r="1703" spans="1:26" ht="14.25" customHeight="1" x14ac:dyDescent="0.3">
      <c r="A1703" s="155">
        <v>890</v>
      </c>
      <c r="B1703" s="156" t="s">
        <v>1855</v>
      </c>
      <c r="C1703" s="3"/>
      <c r="D1703" s="3"/>
      <c r="E1703" s="156" t="s">
        <v>1859</v>
      </c>
      <c r="F1703" s="3"/>
      <c r="G1703" s="158">
        <v>13</v>
      </c>
      <c r="H1703" s="155">
        <v>24</v>
      </c>
      <c r="I1703" s="155">
        <v>48</v>
      </c>
      <c r="J1703" s="156" t="s">
        <v>39</v>
      </c>
      <c r="K1703" s="5"/>
      <c r="L1703" s="3"/>
      <c r="M1703" s="6"/>
      <c r="N1703" s="9"/>
      <c r="O1703" s="158">
        <v>312</v>
      </c>
      <c r="P1703" s="12"/>
      <c r="Q1703" s="12"/>
      <c r="R1703" s="12"/>
      <c r="S1703" s="12"/>
      <c r="T1703" s="12"/>
      <c r="U1703" s="12"/>
      <c r="V1703" s="12"/>
      <c r="W1703" s="12"/>
      <c r="X1703" s="12"/>
      <c r="Y1703" s="12"/>
      <c r="Z1703" s="12"/>
    </row>
    <row r="1704" spans="1:26" ht="14.25" customHeight="1" x14ac:dyDescent="0.3">
      <c r="A1704" s="155">
        <v>891</v>
      </c>
      <c r="B1704" s="156" t="s">
        <v>1860</v>
      </c>
      <c r="C1704" s="3"/>
      <c r="D1704" s="3"/>
      <c r="E1704" s="156" t="s">
        <v>1861</v>
      </c>
      <c r="F1704" s="3"/>
      <c r="G1704" s="158">
        <v>165</v>
      </c>
      <c r="H1704" s="155">
        <v>1</v>
      </c>
      <c r="I1704" s="155">
        <v>150</v>
      </c>
      <c r="J1704" s="156" t="s">
        <v>39</v>
      </c>
      <c r="K1704" s="5"/>
      <c r="L1704" s="3"/>
      <c r="M1704" s="6"/>
      <c r="N1704" s="9"/>
      <c r="O1704" s="158">
        <v>165</v>
      </c>
      <c r="P1704" s="12"/>
      <c r="Q1704" s="12"/>
      <c r="R1704" s="12"/>
      <c r="S1704" s="12"/>
      <c r="T1704" s="12"/>
      <c r="U1704" s="12"/>
      <c r="V1704" s="12"/>
      <c r="W1704" s="12"/>
      <c r="X1704" s="12"/>
      <c r="Y1704" s="12"/>
      <c r="Z1704" s="12"/>
    </row>
    <row r="1705" spans="1:26" ht="14.25" customHeight="1" x14ac:dyDescent="0.3">
      <c r="A1705" s="155">
        <v>892</v>
      </c>
      <c r="B1705" s="156" t="s">
        <v>1862</v>
      </c>
      <c r="C1705" s="3"/>
      <c r="D1705" s="3"/>
      <c r="E1705" s="156" t="s">
        <v>1042</v>
      </c>
      <c r="F1705" s="3"/>
      <c r="G1705" s="158">
        <v>93.6</v>
      </c>
      <c r="H1705" s="155">
        <v>1</v>
      </c>
      <c r="I1705" s="155">
        <v>304</v>
      </c>
      <c r="J1705" s="156" t="s">
        <v>39</v>
      </c>
      <c r="K1705" s="5"/>
      <c r="L1705" s="3"/>
      <c r="M1705" s="6"/>
      <c r="N1705" s="9"/>
      <c r="O1705" s="158">
        <v>93.6</v>
      </c>
      <c r="P1705" s="12"/>
      <c r="Q1705" s="12"/>
      <c r="R1705" s="12"/>
      <c r="S1705" s="12"/>
      <c r="T1705" s="12"/>
      <c r="U1705" s="12"/>
      <c r="V1705" s="12"/>
      <c r="W1705" s="12"/>
      <c r="X1705" s="12"/>
      <c r="Y1705" s="12"/>
      <c r="Z1705" s="12"/>
    </row>
    <row r="1706" spans="1:26" ht="14.25" customHeight="1" x14ac:dyDescent="0.3">
      <c r="A1706" s="155">
        <v>893</v>
      </c>
      <c r="B1706" s="156" t="s">
        <v>1863</v>
      </c>
      <c r="C1706" s="3"/>
      <c r="D1706" s="3"/>
      <c r="E1706" s="156" t="s">
        <v>1864</v>
      </c>
      <c r="F1706" s="3"/>
      <c r="G1706" s="158">
        <v>732</v>
      </c>
      <c r="H1706" s="155">
        <v>1</v>
      </c>
      <c r="I1706" s="155">
        <v>1</v>
      </c>
      <c r="J1706" s="156" t="s">
        <v>1865</v>
      </c>
      <c r="K1706" s="5"/>
      <c r="L1706" s="3"/>
      <c r="M1706" s="6"/>
      <c r="N1706" s="9"/>
      <c r="O1706" s="158">
        <v>732</v>
      </c>
      <c r="P1706" s="12"/>
      <c r="Q1706" s="12"/>
      <c r="R1706" s="12"/>
      <c r="S1706" s="12"/>
      <c r="T1706" s="12"/>
      <c r="U1706" s="12"/>
      <c r="V1706" s="12"/>
      <c r="W1706" s="12"/>
      <c r="X1706" s="12"/>
      <c r="Y1706" s="12"/>
      <c r="Z1706" s="12"/>
    </row>
    <row r="1707" spans="1:26" ht="14.25" customHeight="1" x14ac:dyDescent="0.3">
      <c r="A1707" s="155">
        <v>894</v>
      </c>
      <c r="B1707" s="156" t="s">
        <v>1866</v>
      </c>
      <c r="C1707" s="3"/>
      <c r="D1707" s="3"/>
      <c r="E1707" s="156" t="s">
        <v>1115</v>
      </c>
      <c r="F1707" s="3"/>
      <c r="G1707" s="158">
        <v>520</v>
      </c>
      <c r="H1707" s="155">
        <v>1</v>
      </c>
      <c r="I1707" s="155">
        <v>1</v>
      </c>
      <c r="J1707" s="156" t="s">
        <v>210</v>
      </c>
      <c r="K1707" s="5"/>
      <c r="L1707" s="3"/>
      <c r="M1707" s="6"/>
      <c r="N1707" s="9"/>
      <c r="O1707" s="158">
        <v>520</v>
      </c>
      <c r="P1707" s="12"/>
      <c r="Q1707" s="12"/>
      <c r="R1707" s="12"/>
      <c r="S1707" s="12"/>
      <c r="T1707" s="12"/>
      <c r="U1707" s="12"/>
      <c r="V1707" s="12"/>
      <c r="W1707" s="12"/>
      <c r="X1707" s="12"/>
      <c r="Y1707" s="12"/>
      <c r="Z1707" s="12"/>
    </row>
    <row r="1708" spans="1:26" ht="14.25" customHeight="1" x14ac:dyDescent="0.3">
      <c r="A1708" s="155">
        <v>895</v>
      </c>
      <c r="B1708" s="156" t="s">
        <v>1867</v>
      </c>
      <c r="C1708" s="3"/>
      <c r="D1708" s="3"/>
      <c r="E1708" s="156" t="s">
        <v>1868</v>
      </c>
      <c r="F1708" s="3"/>
      <c r="G1708" s="158">
        <v>85</v>
      </c>
      <c r="H1708" s="155">
        <v>4</v>
      </c>
      <c r="I1708" s="155">
        <v>600</v>
      </c>
      <c r="J1708" s="156" t="s">
        <v>39</v>
      </c>
      <c r="K1708" s="5"/>
      <c r="L1708" s="3"/>
      <c r="M1708" s="6"/>
      <c r="N1708" s="9"/>
      <c r="O1708" s="158">
        <v>340</v>
      </c>
      <c r="P1708" s="12"/>
      <c r="Q1708" s="12"/>
      <c r="R1708" s="12"/>
      <c r="S1708" s="12"/>
      <c r="T1708" s="12"/>
      <c r="U1708" s="12"/>
      <c r="V1708" s="12"/>
      <c r="W1708" s="12"/>
      <c r="X1708" s="12"/>
      <c r="Y1708" s="12"/>
      <c r="Z1708" s="12"/>
    </row>
    <row r="1709" spans="1:26" ht="14.25" customHeight="1" x14ac:dyDescent="0.3">
      <c r="A1709" s="155">
        <v>896</v>
      </c>
      <c r="B1709" s="156" t="s">
        <v>1869</v>
      </c>
      <c r="C1709" s="3"/>
      <c r="D1709" s="3"/>
      <c r="E1709" s="156" t="s">
        <v>991</v>
      </c>
      <c r="F1709" s="3"/>
      <c r="G1709" s="158">
        <v>2.68</v>
      </c>
      <c r="H1709" s="155">
        <v>33</v>
      </c>
      <c r="I1709" s="155">
        <v>100</v>
      </c>
      <c r="J1709" s="156" t="s">
        <v>92</v>
      </c>
      <c r="K1709" s="5"/>
      <c r="L1709" s="3"/>
      <c r="M1709" s="6"/>
      <c r="N1709" s="9"/>
      <c r="O1709" s="158">
        <v>88.44</v>
      </c>
      <c r="P1709" s="12"/>
      <c r="Q1709" s="12"/>
      <c r="R1709" s="12"/>
      <c r="S1709" s="12"/>
      <c r="T1709" s="12"/>
      <c r="U1709" s="12"/>
      <c r="V1709" s="12"/>
      <c r="W1709" s="12"/>
      <c r="X1709" s="12"/>
      <c r="Y1709" s="12"/>
      <c r="Z1709" s="12"/>
    </row>
    <row r="1710" spans="1:26" ht="14.25" customHeight="1" x14ac:dyDescent="0.3">
      <c r="A1710" s="155">
        <v>897</v>
      </c>
      <c r="B1710" s="156" t="s">
        <v>1870</v>
      </c>
      <c r="C1710" s="3"/>
      <c r="D1710" s="3"/>
      <c r="E1710" s="156" t="s">
        <v>865</v>
      </c>
      <c r="F1710" s="3"/>
      <c r="G1710" s="158">
        <v>43.9</v>
      </c>
      <c r="H1710" s="155">
        <v>10</v>
      </c>
      <c r="I1710" s="155">
        <v>250</v>
      </c>
      <c r="J1710" s="156" t="s">
        <v>519</v>
      </c>
      <c r="K1710" s="5"/>
      <c r="L1710" s="3"/>
      <c r="M1710" s="6"/>
      <c r="N1710" s="9"/>
      <c r="O1710" s="158">
        <v>439</v>
      </c>
      <c r="P1710" s="12"/>
      <c r="Q1710" s="12"/>
      <c r="R1710" s="12"/>
      <c r="S1710" s="12"/>
      <c r="T1710" s="12"/>
      <c r="U1710" s="12"/>
      <c r="V1710" s="12"/>
      <c r="W1710" s="12"/>
      <c r="X1710" s="12"/>
      <c r="Y1710" s="12"/>
      <c r="Z1710" s="12"/>
    </row>
    <row r="1711" spans="1:26" ht="14.25" customHeight="1" x14ac:dyDescent="0.3">
      <c r="A1711" s="155">
        <v>897</v>
      </c>
      <c r="B1711" s="156" t="s">
        <v>1870</v>
      </c>
      <c r="C1711" s="3"/>
      <c r="D1711" s="3"/>
      <c r="E1711" s="156" t="s">
        <v>865</v>
      </c>
      <c r="F1711" s="3"/>
      <c r="G1711" s="158">
        <v>42.3</v>
      </c>
      <c r="H1711" s="155">
        <v>6</v>
      </c>
      <c r="I1711" s="155">
        <v>250</v>
      </c>
      <c r="J1711" s="156" t="s">
        <v>39</v>
      </c>
      <c r="K1711" s="5"/>
      <c r="L1711" s="3"/>
      <c r="M1711" s="6"/>
      <c r="N1711" s="9"/>
      <c r="O1711" s="158">
        <v>253.8</v>
      </c>
      <c r="P1711" s="12"/>
      <c r="Q1711" s="12"/>
      <c r="R1711" s="12"/>
      <c r="S1711" s="12"/>
      <c r="T1711" s="12"/>
      <c r="U1711" s="12"/>
      <c r="V1711" s="12"/>
      <c r="W1711" s="12"/>
      <c r="X1711" s="12"/>
      <c r="Y1711" s="12"/>
      <c r="Z1711" s="12"/>
    </row>
    <row r="1712" spans="1:26" ht="14.25" customHeight="1" x14ac:dyDescent="0.3">
      <c r="A1712" s="155">
        <v>898</v>
      </c>
      <c r="B1712" s="156" t="s">
        <v>1871</v>
      </c>
      <c r="C1712" s="3"/>
      <c r="D1712" s="3"/>
      <c r="E1712" s="156" t="s">
        <v>865</v>
      </c>
      <c r="F1712" s="3"/>
      <c r="G1712" s="158">
        <v>60.8</v>
      </c>
      <c r="H1712" s="155">
        <v>5</v>
      </c>
      <c r="I1712" s="155">
        <v>400</v>
      </c>
      <c r="J1712" s="156" t="s">
        <v>39</v>
      </c>
      <c r="K1712" s="5"/>
      <c r="L1712" s="3"/>
      <c r="M1712" s="6"/>
      <c r="N1712" s="9"/>
      <c r="O1712" s="158">
        <v>304</v>
      </c>
      <c r="P1712" s="12"/>
      <c r="Q1712" s="12"/>
      <c r="R1712" s="12"/>
      <c r="S1712" s="12"/>
      <c r="T1712" s="12"/>
      <c r="U1712" s="12"/>
      <c r="V1712" s="12"/>
      <c r="W1712" s="12"/>
      <c r="X1712" s="12"/>
      <c r="Y1712" s="12"/>
      <c r="Z1712" s="12"/>
    </row>
    <row r="1713" spans="1:26" ht="14.25" customHeight="1" x14ac:dyDescent="0.3">
      <c r="A1713" s="155">
        <v>899</v>
      </c>
      <c r="B1713" s="156" t="s">
        <v>1872</v>
      </c>
      <c r="C1713" s="3"/>
      <c r="D1713" s="3"/>
      <c r="E1713" s="156" t="s">
        <v>1873</v>
      </c>
      <c r="F1713" s="3"/>
      <c r="G1713" s="158">
        <v>68</v>
      </c>
      <c r="H1713" s="155">
        <v>14</v>
      </c>
      <c r="I1713" s="155">
        <v>225</v>
      </c>
      <c r="J1713" s="156" t="s">
        <v>519</v>
      </c>
      <c r="K1713" s="5"/>
      <c r="L1713" s="3"/>
      <c r="M1713" s="6"/>
      <c r="N1713" s="9"/>
      <c r="O1713" s="158">
        <v>952</v>
      </c>
      <c r="P1713" s="12"/>
      <c r="Q1713" s="12"/>
      <c r="R1713" s="12"/>
      <c r="S1713" s="12"/>
      <c r="T1713" s="12"/>
      <c r="U1713" s="12"/>
      <c r="V1713" s="12"/>
      <c r="W1713" s="12"/>
      <c r="X1713" s="12"/>
      <c r="Y1713" s="12"/>
      <c r="Z1713" s="12"/>
    </row>
    <row r="1714" spans="1:26" ht="14.25" customHeight="1" x14ac:dyDescent="0.3">
      <c r="A1714" s="155">
        <v>446</v>
      </c>
      <c r="B1714" s="156" t="s">
        <v>830</v>
      </c>
      <c r="C1714" s="3"/>
      <c r="D1714" s="3"/>
      <c r="E1714" s="156"/>
      <c r="F1714" s="3"/>
      <c r="G1714" s="158">
        <v>2.08</v>
      </c>
      <c r="H1714" s="155">
        <v>2577</v>
      </c>
      <c r="I1714" s="155">
        <v>25</v>
      </c>
      <c r="J1714" s="156" t="s">
        <v>92</v>
      </c>
      <c r="K1714" s="5"/>
      <c r="L1714" s="3"/>
      <c r="M1714" s="6"/>
      <c r="N1714" s="9"/>
      <c r="O1714" s="158">
        <v>5360.16</v>
      </c>
      <c r="P1714" s="12"/>
      <c r="Q1714" s="12"/>
      <c r="R1714" s="12"/>
      <c r="S1714" s="12"/>
      <c r="T1714" s="12"/>
      <c r="U1714" s="12"/>
      <c r="V1714" s="12"/>
      <c r="W1714" s="12"/>
      <c r="X1714" s="12"/>
      <c r="Y1714" s="12"/>
      <c r="Z1714" s="12"/>
    </row>
    <row r="1715" spans="1:26" ht="14.25" customHeight="1" x14ac:dyDescent="0.3">
      <c r="A1715" s="155">
        <v>446</v>
      </c>
      <c r="B1715" s="156" t="s">
        <v>830</v>
      </c>
      <c r="C1715" s="3"/>
      <c r="D1715" s="3"/>
      <c r="E1715" s="156" t="s">
        <v>1874</v>
      </c>
      <c r="F1715" s="3"/>
      <c r="G1715" s="158">
        <v>22</v>
      </c>
      <c r="H1715" s="155">
        <v>3</v>
      </c>
      <c r="I1715" s="155">
        <v>25</v>
      </c>
      <c r="J1715" s="156" t="s">
        <v>304</v>
      </c>
      <c r="K1715" s="5"/>
      <c r="L1715" s="3"/>
      <c r="M1715" s="6"/>
      <c r="N1715" s="9"/>
      <c r="O1715" s="158">
        <v>66</v>
      </c>
      <c r="P1715" s="12"/>
      <c r="Q1715" s="12"/>
      <c r="R1715" s="12"/>
      <c r="S1715" s="12"/>
      <c r="T1715" s="12"/>
      <c r="U1715" s="12"/>
      <c r="V1715" s="12"/>
      <c r="W1715" s="12"/>
      <c r="X1715" s="12"/>
      <c r="Y1715" s="12"/>
      <c r="Z1715" s="12"/>
    </row>
    <row r="1716" spans="1:26" ht="14.25" customHeight="1" x14ac:dyDescent="0.3">
      <c r="A1716" s="155">
        <v>446</v>
      </c>
      <c r="B1716" s="156" t="s">
        <v>830</v>
      </c>
      <c r="C1716" s="3"/>
      <c r="D1716" s="3"/>
      <c r="E1716" s="156" t="s">
        <v>1875</v>
      </c>
      <c r="F1716" s="3"/>
      <c r="G1716" s="158">
        <v>22</v>
      </c>
      <c r="H1716" s="155">
        <v>3</v>
      </c>
      <c r="I1716" s="155">
        <v>25</v>
      </c>
      <c r="J1716" s="156" t="s">
        <v>304</v>
      </c>
      <c r="K1716" s="5"/>
      <c r="L1716" s="3"/>
      <c r="M1716" s="6"/>
      <c r="N1716" s="9"/>
      <c r="O1716" s="158">
        <v>66</v>
      </c>
      <c r="P1716" s="12"/>
      <c r="Q1716" s="12"/>
      <c r="R1716" s="12"/>
      <c r="S1716" s="12"/>
      <c r="T1716" s="12"/>
      <c r="U1716" s="12"/>
      <c r="V1716" s="12"/>
      <c r="W1716" s="12"/>
      <c r="X1716" s="12"/>
      <c r="Y1716" s="12"/>
      <c r="Z1716" s="12"/>
    </row>
    <row r="1717" spans="1:26" ht="14.25" customHeight="1" x14ac:dyDescent="0.3">
      <c r="A1717" s="155">
        <v>446</v>
      </c>
      <c r="B1717" s="156" t="s">
        <v>830</v>
      </c>
      <c r="C1717" s="3"/>
      <c r="D1717" s="3"/>
      <c r="E1717" s="156" t="s">
        <v>991</v>
      </c>
      <c r="F1717" s="3"/>
      <c r="G1717" s="158">
        <v>22</v>
      </c>
      <c r="H1717" s="155">
        <v>6</v>
      </c>
      <c r="I1717" s="155">
        <v>25</v>
      </c>
      <c r="J1717" s="156" t="s">
        <v>304</v>
      </c>
      <c r="K1717" s="5"/>
      <c r="L1717" s="3"/>
      <c r="M1717" s="6"/>
      <c r="N1717" s="9"/>
      <c r="O1717" s="158">
        <v>132</v>
      </c>
      <c r="P1717" s="12"/>
      <c r="Q1717" s="12"/>
      <c r="R1717" s="12"/>
      <c r="S1717" s="12"/>
      <c r="T1717" s="12"/>
      <c r="U1717" s="12"/>
      <c r="V1717" s="12"/>
      <c r="W1717" s="12"/>
      <c r="X1717" s="12"/>
      <c r="Y1717" s="12"/>
      <c r="Z1717" s="12"/>
    </row>
    <row r="1718" spans="1:26" ht="14.25" customHeight="1" x14ac:dyDescent="0.3">
      <c r="A1718" s="155">
        <v>446</v>
      </c>
      <c r="B1718" s="156" t="s">
        <v>830</v>
      </c>
      <c r="C1718" s="3"/>
      <c r="D1718" s="3"/>
      <c r="E1718" s="156"/>
      <c r="F1718" s="3"/>
      <c r="G1718" s="158">
        <v>1</v>
      </c>
      <c r="H1718" s="155">
        <v>100</v>
      </c>
      <c r="I1718" s="155">
        <v>25</v>
      </c>
      <c r="J1718" s="156" t="s">
        <v>304</v>
      </c>
      <c r="K1718" s="5"/>
      <c r="L1718" s="3"/>
      <c r="M1718" s="6"/>
      <c r="N1718" s="9"/>
      <c r="O1718" s="158">
        <v>100</v>
      </c>
      <c r="P1718" s="12"/>
      <c r="Q1718" s="12"/>
      <c r="R1718" s="12"/>
      <c r="S1718" s="12"/>
      <c r="T1718" s="12"/>
      <c r="U1718" s="12"/>
      <c r="V1718" s="12"/>
      <c r="W1718" s="12"/>
      <c r="X1718" s="12"/>
      <c r="Y1718" s="12"/>
      <c r="Z1718" s="12"/>
    </row>
    <row r="1719" spans="1:26" ht="14.25" customHeight="1" x14ac:dyDescent="0.3">
      <c r="A1719" s="155">
        <v>900</v>
      </c>
      <c r="B1719" s="156" t="s">
        <v>1876</v>
      </c>
      <c r="C1719" s="3"/>
      <c r="D1719" s="3"/>
      <c r="E1719" s="156"/>
      <c r="F1719" s="3"/>
      <c r="G1719" s="158">
        <v>50</v>
      </c>
      <c r="H1719" s="155">
        <v>2</v>
      </c>
      <c r="I1719" s="155">
        <v>100</v>
      </c>
      <c r="J1719" s="156" t="s">
        <v>92</v>
      </c>
      <c r="K1719" s="5"/>
      <c r="L1719" s="3"/>
      <c r="M1719" s="6"/>
      <c r="N1719" s="9"/>
      <c r="O1719" s="158">
        <v>100</v>
      </c>
      <c r="P1719" s="12"/>
      <c r="Q1719" s="12"/>
      <c r="R1719" s="12"/>
      <c r="S1719" s="12"/>
      <c r="T1719" s="12"/>
      <c r="U1719" s="12"/>
      <c r="V1719" s="12"/>
      <c r="W1719" s="12"/>
      <c r="X1719" s="12"/>
      <c r="Y1719" s="12"/>
      <c r="Z1719" s="12"/>
    </row>
    <row r="1720" spans="1:26" ht="14.25" customHeight="1" x14ac:dyDescent="0.3">
      <c r="A1720" s="155">
        <v>901</v>
      </c>
      <c r="B1720" s="156" t="s">
        <v>1877</v>
      </c>
      <c r="C1720" s="3"/>
      <c r="D1720" s="3"/>
      <c r="E1720" s="156"/>
      <c r="F1720" s="3"/>
      <c r="G1720" s="158">
        <v>27</v>
      </c>
      <c r="H1720" s="155">
        <v>1</v>
      </c>
      <c r="I1720" s="155">
        <v>25</v>
      </c>
      <c r="J1720" s="156" t="s">
        <v>92</v>
      </c>
      <c r="K1720" s="5"/>
      <c r="L1720" s="3"/>
      <c r="M1720" s="6"/>
      <c r="N1720" s="9"/>
      <c r="O1720" s="158">
        <v>27</v>
      </c>
      <c r="P1720" s="12"/>
      <c r="Q1720" s="12"/>
      <c r="R1720" s="12"/>
      <c r="S1720" s="12"/>
      <c r="T1720" s="12"/>
      <c r="U1720" s="12"/>
      <c r="V1720" s="12"/>
      <c r="W1720" s="12"/>
      <c r="X1720" s="12"/>
      <c r="Y1720" s="12"/>
      <c r="Z1720" s="12"/>
    </row>
    <row r="1721" spans="1:26" ht="14.25" customHeight="1" x14ac:dyDescent="0.3">
      <c r="A1721" s="155">
        <v>447</v>
      </c>
      <c r="B1721" s="156" t="s">
        <v>832</v>
      </c>
      <c r="C1721" s="3"/>
      <c r="D1721" s="3"/>
      <c r="E1721" s="156" t="s">
        <v>1878</v>
      </c>
      <c r="F1721" s="3"/>
      <c r="G1721" s="158">
        <v>30</v>
      </c>
      <c r="H1721" s="155">
        <v>3</v>
      </c>
      <c r="I1721" s="155">
        <v>1</v>
      </c>
      <c r="J1721" s="156" t="s">
        <v>304</v>
      </c>
      <c r="K1721" s="5"/>
      <c r="L1721" s="3"/>
      <c r="M1721" s="6"/>
      <c r="N1721" s="9"/>
      <c r="O1721" s="158">
        <v>90</v>
      </c>
      <c r="P1721" s="12"/>
      <c r="Q1721" s="12"/>
      <c r="R1721" s="12"/>
      <c r="S1721" s="12"/>
      <c r="T1721" s="12"/>
      <c r="U1721" s="12"/>
      <c r="V1721" s="12"/>
      <c r="W1721" s="12"/>
      <c r="X1721" s="12"/>
      <c r="Y1721" s="12"/>
      <c r="Z1721" s="12"/>
    </row>
    <row r="1722" spans="1:26" ht="14.25" customHeight="1" x14ac:dyDescent="0.3">
      <c r="A1722" s="155">
        <v>447</v>
      </c>
      <c r="B1722" s="156" t="s">
        <v>832</v>
      </c>
      <c r="C1722" s="3"/>
      <c r="D1722" s="3"/>
      <c r="E1722" s="156"/>
      <c r="F1722" s="3"/>
      <c r="G1722" s="158">
        <v>2.0531860000000002</v>
      </c>
      <c r="H1722" s="155">
        <v>2724</v>
      </c>
      <c r="I1722" s="155">
        <v>1</v>
      </c>
      <c r="J1722" s="156" t="s">
        <v>92</v>
      </c>
      <c r="K1722" s="5"/>
      <c r="L1722" s="3"/>
      <c r="M1722" s="6"/>
      <c r="N1722" s="9"/>
      <c r="O1722" s="158">
        <v>5592.88</v>
      </c>
      <c r="P1722" s="12"/>
      <c r="Q1722" s="12"/>
      <c r="R1722" s="12"/>
      <c r="S1722" s="12"/>
      <c r="T1722" s="12"/>
      <c r="U1722" s="12"/>
      <c r="V1722" s="12"/>
      <c r="W1722" s="12"/>
      <c r="X1722" s="12"/>
      <c r="Y1722" s="12"/>
      <c r="Z1722" s="12"/>
    </row>
    <row r="1723" spans="1:26" ht="14.25" customHeight="1" x14ac:dyDescent="0.3">
      <c r="A1723" s="155">
        <v>447</v>
      </c>
      <c r="B1723" s="156" t="s">
        <v>832</v>
      </c>
      <c r="C1723" s="3"/>
      <c r="D1723" s="3"/>
      <c r="E1723" s="156" t="s">
        <v>1874</v>
      </c>
      <c r="F1723" s="3"/>
      <c r="G1723" s="158">
        <v>22</v>
      </c>
      <c r="H1723" s="155">
        <v>8</v>
      </c>
      <c r="I1723" s="155">
        <v>1</v>
      </c>
      <c r="J1723" s="156" t="s">
        <v>304</v>
      </c>
      <c r="K1723" s="5"/>
      <c r="L1723" s="3"/>
      <c r="M1723" s="6"/>
      <c r="N1723" s="9"/>
      <c r="O1723" s="158">
        <v>176</v>
      </c>
      <c r="P1723" s="12"/>
      <c r="Q1723" s="12"/>
      <c r="R1723" s="12"/>
      <c r="S1723" s="12"/>
      <c r="T1723" s="12"/>
      <c r="U1723" s="12"/>
      <c r="V1723" s="12"/>
      <c r="W1723" s="12"/>
      <c r="X1723" s="12"/>
      <c r="Y1723" s="12"/>
      <c r="Z1723" s="12"/>
    </row>
    <row r="1724" spans="1:26" ht="14.25" customHeight="1" x14ac:dyDescent="0.3">
      <c r="A1724" s="155">
        <v>447</v>
      </c>
      <c r="B1724" s="156" t="s">
        <v>832</v>
      </c>
      <c r="C1724" s="3"/>
      <c r="D1724" s="3"/>
      <c r="E1724" s="156" t="s">
        <v>991</v>
      </c>
      <c r="F1724" s="3"/>
      <c r="G1724" s="158">
        <v>22</v>
      </c>
      <c r="H1724" s="155">
        <v>25</v>
      </c>
      <c r="I1724" s="155">
        <v>1</v>
      </c>
      <c r="J1724" s="156" t="s">
        <v>304</v>
      </c>
      <c r="K1724" s="5"/>
      <c r="L1724" s="3"/>
      <c r="M1724" s="6"/>
      <c r="N1724" s="9"/>
      <c r="O1724" s="158">
        <v>550</v>
      </c>
      <c r="P1724" s="12"/>
      <c r="Q1724" s="12"/>
      <c r="R1724" s="12"/>
      <c r="S1724" s="12"/>
      <c r="T1724" s="12"/>
      <c r="U1724" s="12"/>
      <c r="V1724" s="12"/>
      <c r="W1724" s="12"/>
      <c r="X1724" s="12"/>
      <c r="Y1724" s="12"/>
      <c r="Z1724" s="12"/>
    </row>
    <row r="1725" spans="1:26" ht="14.25" customHeight="1" x14ac:dyDescent="0.3">
      <c r="A1725" s="155">
        <v>447</v>
      </c>
      <c r="B1725" s="156" t="s">
        <v>832</v>
      </c>
      <c r="C1725" s="3"/>
      <c r="D1725" s="3"/>
      <c r="E1725" s="156"/>
      <c r="F1725" s="3"/>
      <c r="G1725" s="158">
        <v>1</v>
      </c>
      <c r="H1725" s="155">
        <v>14</v>
      </c>
      <c r="I1725" s="155">
        <v>1</v>
      </c>
      <c r="J1725" s="156" t="s">
        <v>304</v>
      </c>
      <c r="K1725" s="5"/>
      <c r="L1725" s="3"/>
      <c r="M1725" s="6"/>
      <c r="N1725" s="9"/>
      <c r="O1725" s="158">
        <v>14</v>
      </c>
      <c r="P1725" s="12"/>
      <c r="Q1725" s="12"/>
      <c r="R1725" s="12"/>
      <c r="S1725" s="12"/>
      <c r="T1725" s="12"/>
      <c r="U1725" s="12"/>
      <c r="V1725" s="12"/>
      <c r="W1725" s="12"/>
      <c r="X1725" s="12"/>
      <c r="Y1725" s="12"/>
      <c r="Z1725" s="12"/>
    </row>
    <row r="1726" spans="1:26" ht="14.25" customHeight="1" x14ac:dyDescent="0.3">
      <c r="A1726" s="155">
        <v>902</v>
      </c>
      <c r="B1726" s="156" t="s">
        <v>1879</v>
      </c>
      <c r="C1726" s="3"/>
      <c r="D1726" s="3"/>
      <c r="E1726" s="156" t="s">
        <v>1880</v>
      </c>
      <c r="F1726" s="3"/>
      <c r="G1726" s="158">
        <v>25</v>
      </c>
      <c r="H1726" s="155">
        <v>4</v>
      </c>
      <c r="I1726" s="155">
        <v>1</v>
      </c>
      <c r="J1726" s="156" t="s">
        <v>304</v>
      </c>
      <c r="K1726" s="5"/>
      <c r="L1726" s="3"/>
      <c r="M1726" s="6"/>
      <c r="N1726" s="9"/>
      <c r="O1726" s="158">
        <v>100</v>
      </c>
      <c r="P1726" s="12"/>
      <c r="Q1726" s="12"/>
      <c r="R1726" s="12"/>
      <c r="S1726" s="12"/>
      <c r="T1726" s="12"/>
      <c r="U1726" s="12"/>
      <c r="V1726" s="12"/>
      <c r="W1726" s="12"/>
      <c r="X1726" s="12"/>
      <c r="Y1726" s="12"/>
      <c r="Z1726" s="12"/>
    </row>
    <row r="1727" spans="1:26" ht="14.25" customHeight="1" x14ac:dyDescent="0.3">
      <c r="A1727" s="155">
        <v>903</v>
      </c>
      <c r="B1727" s="156" t="s">
        <v>1881</v>
      </c>
      <c r="C1727" s="3"/>
      <c r="D1727" s="3"/>
      <c r="E1727" s="156" t="s">
        <v>1882</v>
      </c>
      <c r="F1727" s="3"/>
      <c r="G1727" s="158">
        <v>168.75</v>
      </c>
      <c r="H1727" s="155">
        <v>2</v>
      </c>
      <c r="I1727" s="155">
        <v>150</v>
      </c>
      <c r="J1727" s="156" t="s">
        <v>39</v>
      </c>
      <c r="K1727" s="5"/>
      <c r="L1727" s="3"/>
      <c r="M1727" s="6"/>
      <c r="N1727" s="9"/>
      <c r="O1727" s="158">
        <v>337.5</v>
      </c>
      <c r="P1727" s="12"/>
      <c r="Q1727" s="12"/>
      <c r="R1727" s="12"/>
      <c r="S1727" s="12"/>
      <c r="T1727" s="12"/>
      <c r="U1727" s="12"/>
      <c r="V1727" s="12"/>
      <c r="W1727" s="12"/>
      <c r="X1727" s="12"/>
      <c r="Y1727" s="12"/>
      <c r="Z1727" s="12"/>
    </row>
    <row r="1728" spans="1:26" ht="14.25" customHeight="1" x14ac:dyDescent="0.3">
      <c r="A1728" s="155">
        <v>448</v>
      </c>
      <c r="B1728" s="156" t="s">
        <v>833</v>
      </c>
      <c r="C1728" s="3"/>
      <c r="D1728" s="3"/>
      <c r="E1728" s="156" t="s">
        <v>1882</v>
      </c>
      <c r="F1728" s="3"/>
      <c r="G1728" s="158">
        <v>76</v>
      </c>
      <c r="H1728" s="155">
        <v>1</v>
      </c>
      <c r="I1728" s="155">
        <v>340</v>
      </c>
      <c r="J1728" s="156" t="s">
        <v>39</v>
      </c>
      <c r="K1728" s="5"/>
      <c r="L1728" s="3"/>
      <c r="M1728" s="6"/>
      <c r="N1728" s="9"/>
      <c r="O1728" s="158">
        <v>76</v>
      </c>
      <c r="P1728" s="12"/>
      <c r="Q1728" s="12"/>
      <c r="R1728" s="12"/>
      <c r="S1728" s="12"/>
      <c r="T1728" s="12"/>
      <c r="U1728" s="12"/>
      <c r="V1728" s="12"/>
      <c r="W1728" s="12"/>
      <c r="X1728" s="12"/>
      <c r="Y1728" s="12"/>
      <c r="Z1728" s="12"/>
    </row>
    <row r="1729" spans="1:26" ht="14.25" customHeight="1" x14ac:dyDescent="0.3">
      <c r="A1729" s="155">
        <v>904</v>
      </c>
      <c r="B1729" s="156" t="s">
        <v>1883</v>
      </c>
      <c r="C1729" s="3"/>
      <c r="D1729" s="3"/>
      <c r="E1729" s="156"/>
      <c r="F1729" s="3"/>
      <c r="G1729" s="158">
        <v>120</v>
      </c>
      <c r="H1729" s="155">
        <v>1</v>
      </c>
      <c r="I1729" s="155">
        <v>1</v>
      </c>
      <c r="J1729" s="156" t="s">
        <v>92</v>
      </c>
      <c r="K1729" s="5"/>
      <c r="L1729" s="3"/>
      <c r="M1729" s="6"/>
      <c r="N1729" s="9"/>
      <c r="O1729" s="158">
        <v>120</v>
      </c>
      <c r="P1729" s="12"/>
      <c r="Q1729" s="12"/>
      <c r="R1729" s="12"/>
      <c r="S1729" s="12"/>
      <c r="T1729" s="12"/>
      <c r="U1729" s="12"/>
      <c r="V1729" s="12"/>
      <c r="W1729" s="12"/>
      <c r="X1729" s="12"/>
      <c r="Y1729" s="12"/>
      <c r="Z1729" s="12"/>
    </row>
    <row r="1730" spans="1:26" ht="14.25" customHeight="1" x14ac:dyDescent="0.3">
      <c r="A1730" s="155">
        <v>905</v>
      </c>
      <c r="B1730" s="156" t="s">
        <v>1884</v>
      </c>
      <c r="C1730" s="3"/>
      <c r="D1730" s="3"/>
      <c r="E1730" s="156" t="s">
        <v>1004</v>
      </c>
      <c r="F1730" s="3"/>
      <c r="G1730" s="158">
        <v>5</v>
      </c>
      <c r="H1730" s="155">
        <v>21</v>
      </c>
      <c r="I1730" s="155">
        <v>1</v>
      </c>
      <c r="J1730" s="156" t="s">
        <v>92</v>
      </c>
      <c r="K1730" s="5"/>
      <c r="L1730" s="3"/>
      <c r="M1730" s="6"/>
      <c r="N1730" s="9"/>
      <c r="O1730" s="158">
        <v>105</v>
      </c>
      <c r="P1730" s="12"/>
      <c r="Q1730" s="12"/>
      <c r="R1730" s="12"/>
      <c r="S1730" s="12"/>
      <c r="T1730" s="12"/>
      <c r="U1730" s="12"/>
      <c r="V1730" s="12"/>
      <c r="W1730" s="12"/>
      <c r="X1730" s="12"/>
      <c r="Y1730" s="12"/>
      <c r="Z1730" s="12"/>
    </row>
    <row r="1731" spans="1:26" ht="14.25" customHeight="1" x14ac:dyDescent="0.3">
      <c r="A1731" s="155"/>
      <c r="B1731" s="156"/>
      <c r="C1731" s="3"/>
      <c r="D1731" s="3"/>
      <c r="E1731" s="156"/>
      <c r="F1731" s="3"/>
      <c r="G1731" s="158"/>
      <c r="H1731" s="155"/>
      <c r="I1731" s="155"/>
      <c r="J1731" s="156"/>
      <c r="K1731" s="5"/>
      <c r="L1731" s="3"/>
      <c r="M1731" s="6"/>
      <c r="N1731" s="9"/>
      <c r="O1731" s="158"/>
      <c r="P1731" s="12"/>
      <c r="Q1731" s="12"/>
      <c r="R1731" s="12"/>
      <c r="S1731" s="12"/>
      <c r="T1731" s="12"/>
      <c r="U1731" s="12"/>
      <c r="V1731" s="12"/>
      <c r="W1731" s="12"/>
      <c r="X1731" s="12"/>
      <c r="Y1731" s="12"/>
      <c r="Z1731" s="12"/>
    </row>
    <row r="1732" spans="1:26" ht="14.25" customHeight="1" x14ac:dyDescent="0.3">
      <c r="A1732" s="155"/>
      <c r="B1732" s="156"/>
      <c r="C1732" s="3"/>
      <c r="D1732" s="3"/>
      <c r="E1732" s="156"/>
      <c r="F1732" s="3"/>
      <c r="G1732" s="158"/>
      <c r="H1732" s="155"/>
      <c r="I1732" s="155"/>
      <c r="J1732" s="156"/>
      <c r="K1732" s="5"/>
      <c r="L1732" s="3"/>
      <c r="M1732" s="6"/>
      <c r="N1732" s="9"/>
      <c r="O1732" s="158"/>
      <c r="P1732" s="12"/>
      <c r="Q1732" s="12"/>
      <c r="R1732" s="12"/>
      <c r="S1732" s="12"/>
      <c r="T1732" s="12"/>
      <c r="U1732" s="12"/>
      <c r="V1732" s="12"/>
      <c r="W1732" s="12"/>
      <c r="X1732" s="12"/>
      <c r="Y1732" s="12"/>
      <c r="Z1732" s="12"/>
    </row>
    <row r="1733" spans="1:26" ht="14.25" customHeight="1" x14ac:dyDescent="0.3">
      <c r="A1733" s="155"/>
      <c r="B1733" s="156"/>
      <c r="C1733" s="3"/>
      <c r="D1733" s="3"/>
      <c r="E1733" s="156"/>
      <c r="F1733" s="3"/>
      <c r="G1733" s="158"/>
      <c r="H1733" s="155"/>
      <c r="I1733" s="155"/>
      <c r="J1733" s="156"/>
      <c r="K1733" s="5"/>
      <c r="L1733" s="3"/>
      <c r="M1733" s="6"/>
      <c r="N1733" s="9"/>
      <c r="O1733" s="158"/>
      <c r="P1733" s="12"/>
      <c r="Q1733" s="12"/>
      <c r="R1733" s="12"/>
      <c r="S1733" s="12"/>
      <c r="T1733" s="12"/>
      <c r="U1733" s="12"/>
      <c r="V1733" s="12"/>
      <c r="W1733" s="12"/>
      <c r="X1733" s="12"/>
      <c r="Y1733" s="12"/>
      <c r="Z1733" s="12"/>
    </row>
    <row r="1734" spans="1:26" ht="14.25" customHeight="1" x14ac:dyDescent="0.3">
      <c r="A1734" s="155"/>
      <c r="B1734" s="156"/>
      <c r="C1734" s="3"/>
      <c r="D1734" s="3"/>
      <c r="E1734" s="156"/>
      <c r="F1734" s="3"/>
      <c r="G1734" s="158"/>
      <c r="H1734" s="155"/>
      <c r="I1734" s="155"/>
      <c r="J1734" s="156"/>
      <c r="K1734" s="5"/>
      <c r="L1734" s="3"/>
      <c r="M1734" s="6"/>
      <c r="N1734" s="9"/>
      <c r="O1734" s="158"/>
      <c r="P1734" s="12"/>
      <c r="Q1734" s="12"/>
      <c r="R1734" s="12"/>
      <c r="S1734" s="12"/>
      <c r="T1734" s="12"/>
      <c r="U1734" s="12"/>
      <c r="V1734" s="12"/>
      <c r="W1734" s="12"/>
      <c r="X1734" s="12"/>
      <c r="Y1734" s="12"/>
      <c r="Z1734" s="12"/>
    </row>
    <row r="1735" spans="1:26" ht="14.25" customHeight="1" x14ac:dyDescent="0.3">
      <c r="A1735" s="155"/>
      <c r="B1735" s="156"/>
      <c r="C1735" s="3"/>
      <c r="D1735" s="3"/>
      <c r="E1735" s="156"/>
      <c r="F1735" s="3"/>
      <c r="G1735" s="158"/>
      <c r="H1735" s="155"/>
      <c r="I1735" s="155"/>
      <c r="J1735" s="156"/>
      <c r="K1735" s="5"/>
      <c r="L1735" s="3"/>
      <c r="M1735" s="6"/>
      <c r="N1735" s="9"/>
      <c r="O1735" s="158"/>
      <c r="P1735" s="12"/>
      <c r="Q1735" s="12"/>
      <c r="R1735" s="12"/>
      <c r="S1735" s="12"/>
      <c r="T1735" s="12"/>
      <c r="U1735" s="12"/>
      <c r="V1735" s="12"/>
      <c r="W1735" s="12"/>
      <c r="X1735" s="12"/>
      <c r="Y1735" s="12"/>
      <c r="Z1735" s="12"/>
    </row>
    <row r="1736" spans="1:26" ht="14.25" customHeight="1" x14ac:dyDescent="0.3">
      <c r="A1736" s="155"/>
      <c r="B1736" s="156"/>
      <c r="C1736" s="3"/>
      <c r="D1736" s="3"/>
      <c r="E1736" s="156"/>
      <c r="F1736" s="3"/>
      <c r="G1736" s="158"/>
      <c r="H1736" s="155"/>
      <c r="I1736" s="155"/>
      <c r="J1736" s="156"/>
      <c r="K1736" s="5"/>
      <c r="L1736" s="3"/>
      <c r="M1736" s="6"/>
      <c r="N1736" s="9"/>
      <c r="O1736" s="158"/>
      <c r="P1736" s="12"/>
      <c r="Q1736" s="12"/>
      <c r="R1736" s="12"/>
      <c r="S1736" s="12"/>
      <c r="T1736" s="12"/>
      <c r="U1736" s="12"/>
      <c r="V1736" s="12"/>
      <c r="W1736" s="12"/>
      <c r="X1736" s="12"/>
      <c r="Y1736" s="12"/>
      <c r="Z1736" s="12"/>
    </row>
    <row r="1737" spans="1:26" ht="14.25" customHeight="1" x14ac:dyDescent="0.3">
      <c r="A1737" s="155"/>
      <c r="B1737" s="156"/>
      <c r="C1737" s="3"/>
      <c r="D1737" s="3"/>
      <c r="E1737" s="156"/>
      <c r="F1737" s="3"/>
      <c r="G1737" s="158"/>
      <c r="H1737" s="155"/>
      <c r="I1737" s="155"/>
      <c r="J1737" s="156"/>
      <c r="K1737" s="5"/>
      <c r="L1737" s="3"/>
      <c r="M1737" s="6"/>
      <c r="N1737" s="9"/>
      <c r="O1737" s="158"/>
      <c r="P1737" s="12"/>
      <c r="Q1737" s="12"/>
      <c r="R1737" s="12"/>
      <c r="S1737" s="12"/>
      <c r="T1737" s="12"/>
      <c r="U1737" s="12"/>
      <c r="V1737" s="12"/>
      <c r="W1737" s="12"/>
      <c r="X1737" s="12"/>
      <c r="Y1737" s="12"/>
      <c r="Z1737" s="12"/>
    </row>
    <row r="1738" spans="1:26" ht="14.25" customHeight="1" x14ac:dyDescent="0.3">
      <c r="A1738" s="155"/>
      <c r="B1738" s="156"/>
      <c r="C1738" s="3"/>
      <c r="D1738" s="3"/>
      <c r="E1738" s="156"/>
      <c r="F1738" s="3"/>
      <c r="G1738" s="158"/>
      <c r="H1738" s="155"/>
      <c r="I1738" s="155"/>
      <c r="J1738" s="156"/>
      <c r="K1738" s="5"/>
      <c r="L1738" s="3"/>
      <c r="M1738" s="6"/>
      <c r="N1738" s="9"/>
      <c r="O1738" s="158"/>
      <c r="P1738" s="12"/>
      <c r="Q1738" s="12"/>
      <c r="R1738" s="12"/>
      <c r="S1738" s="12"/>
      <c r="T1738" s="12"/>
      <c r="U1738" s="12"/>
      <c r="V1738" s="12"/>
      <c r="W1738" s="12"/>
      <c r="X1738" s="12"/>
      <c r="Y1738" s="12"/>
      <c r="Z1738" s="12"/>
    </row>
    <row r="1739" spans="1:26" ht="14.25" customHeight="1" x14ac:dyDescent="0.3">
      <c r="A1739" s="155"/>
      <c r="B1739" s="156"/>
      <c r="C1739" s="3"/>
      <c r="D1739" s="3"/>
      <c r="E1739" s="156"/>
      <c r="F1739" s="3"/>
      <c r="G1739" s="158"/>
      <c r="H1739" s="155"/>
      <c r="I1739" s="155"/>
      <c r="J1739" s="156"/>
      <c r="K1739" s="5"/>
      <c r="L1739" s="3"/>
      <c r="M1739" s="6"/>
      <c r="N1739" s="9"/>
      <c r="O1739" s="158"/>
      <c r="P1739" s="12"/>
      <c r="Q1739" s="12"/>
      <c r="R1739" s="12"/>
      <c r="S1739" s="12"/>
      <c r="T1739" s="12"/>
      <c r="U1739" s="12"/>
      <c r="V1739" s="12"/>
      <c r="W1739" s="12"/>
      <c r="X1739" s="12"/>
      <c r="Y1739" s="12"/>
      <c r="Z1739" s="12"/>
    </row>
    <row r="1740" spans="1:26" ht="14.25" customHeight="1" x14ac:dyDescent="0.3">
      <c r="A1740" s="155"/>
      <c r="B1740" s="156"/>
      <c r="C1740" s="3"/>
      <c r="D1740" s="3"/>
      <c r="E1740" s="156"/>
      <c r="F1740" s="3"/>
      <c r="G1740" s="158"/>
      <c r="H1740" s="155"/>
      <c r="I1740" s="155"/>
      <c r="J1740" s="156"/>
      <c r="K1740" s="5"/>
      <c r="L1740" s="3"/>
      <c r="M1740" s="6"/>
      <c r="N1740" s="9"/>
      <c r="O1740" s="158"/>
      <c r="P1740" s="12"/>
      <c r="Q1740" s="12"/>
      <c r="R1740" s="12"/>
      <c r="S1740" s="12"/>
      <c r="T1740" s="12"/>
      <c r="U1740" s="12"/>
      <c r="V1740" s="12"/>
      <c r="W1740" s="12"/>
      <c r="X1740" s="12"/>
      <c r="Y1740" s="12"/>
      <c r="Z1740" s="12"/>
    </row>
    <row r="1741" spans="1:26" ht="14.25" customHeight="1" x14ac:dyDescent="0.3">
      <c r="A1741" s="155"/>
      <c r="B1741" s="156"/>
      <c r="C1741" s="3"/>
      <c r="D1741" s="3"/>
      <c r="E1741" s="156"/>
      <c r="F1741" s="3"/>
      <c r="G1741" s="158"/>
      <c r="H1741" s="155"/>
      <c r="I1741" s="155"/>
      <c r="J1741" s="156"/>
      <c r="K1741" s="5"/>
      <c r="L1741" s="3"/>
      <c r="M1741" s="6"/>
      <c r="N1741" s="9"/>
      <c r="O1741" s="158"/>
      <c r="P1741" s="12"/>
      <c r="Q1741" s="12"/>
      <c r="R1741" s="12"/>
      <c r="S1741" s="12"/>
      <c r="T1741" s="12"/>
      <c r="U1741" s="12"/>
      <c r="V1741" s="12"/>
      <c r="W1741" s="12"/>
      <c r="X1741" s="12"/>
      <c r="Y1741" s="12"/>
      <c r="Z1741" s="12"/>
    </row>
    <row r="1742" spans="1:26" ht="14.25" customHeight="1" x14ac:dyDescent="0.3">
      <c r="A1742" s="155"/>
      <c r="B1742" s="156"/>
      <c r="C1742" s="3"/>
      <c r="D1742" s="3"/>
      <c r="E1742" s="156"/>
      <c r="F1742" s="3"/>
      <c r="G1742" s="158"/>
      <c r="H1742" s="155"/>
      <c r="I1742" s="155"/>
      <c r="J1742" s="156"/>
      <c r="K1742" s="5"/>
      <c r="L1742" s="3"/>
      <c r="M1742" s="6"/>
      <c r="N1742" s="9"/>
      <c r="O1742" s="158"/>
      <c r="P1742" s="12"/>
      <c r="Q1742" s="12"/>
      <c r="R1742" s="12"/>
      <c r="S1742" s="12"/>
      <c r="T1742" s="12"/>
      <c r="U1742" s="12"/>
      <c r="V1742" s="12"/>
      <c r="W1742" s="12"/>
      <c r="X1742" s="12"/>
      <c r="Y1742" s="12"/>
      <c r="Z1742" s="12"/>
    </row>
    <row r="1743" spans="1:26" ht="14.25" customHeight="1" x14ac:dyDescent="0.3">
      <c r="A1743" s="155"/>
      <c r="B1743" s="156"/>
      <c r="C1743" s="3"/>
      <c r="D1743" s="3"/>
      <c r="E1743" s="156"/>
      <c r="F1743" s="3"/>
      <c r="G1743" s="158"/>
      <c r="H1743" s="155"/>
      <c r="I1743" s="155"/>
      <c r="J1743" s="156"/>
      <c r="K1743" s="5"/>
      <c r="L1743" s="3"/>
      <c r="M1743" s="6"/>
      <c r="N1743" s="9"/>
      <c r="O1743" s="158"/>
      <c r="P1743" s="12"/>
      <c r="Q1743" s="12"/>
      <c r="R1743" s="12"/>
      <c r="S1743" s="12"/>
      <c r="T1743" s="12"/>
      <c r="U1743" s="12"/>
      <c r="V1743" s="12"/>
      <c r="W1743" s="12"/>
      <c r="X1743" s="12"/>
      <c r="Y1743" s="12"/>
      <c r="Z1743" s="12"/>
    </row>
    <row r="1744" spans="1:26" ht="14.25" customHeight="1" x14ac:dyDescent="0.3">
      <c r="A1744" s="155"/>
      <c r="B1744" s="156"/>
      <c r="C1744" s="3"/>
      <c r="D1744" s="3"/>
      <c r="E1744" s="156"/>
      <c r="F1744" s="3"/>
      <c r="G1744" s="158"/>
      <c r="H1744" s="155"/>
      <c r="I1744" s="155"/>
      <c r="J1744" s="156"/>
      <c r="K1744" s="5"/>
      <c r="L1744" s="3"/>
      <c r="M1744" s="6"/>
      <c r="N1744" s="9"/>
      <c r="O1744" s="158"/>
      <c r="P1744" s="12"/>
      <c r="Q1744" s="12"/>
      <c r="R1744" s="12"/>
      <c r="S1744" s="12"/>
      <c r="T1744" s="12"/>
      <c r="U1744" s="12"/>
      <c r="V1744" s="12"/>
      <c r="W1744" s="12"/>
      <c r="X1744" s="12"/>
      <c r="Y1744" s="12"/>
      <c r="Z1744" s="12"/>
    </row>
    <row r="1745" spans="1:26" ht="14.25" customHeight="1" x14ac:dyDescent="0.3">
      <c r="A1745" s="155"/>
      <c r="B1745" s="156"/>
      <c r="C1745" s="3"/>
      <c r="D1745" s="3"/>
      <c r="E1745" s="156"/>
      <c r="F1745" s="3"/>
      <c r="G1745" s="158"/>
      <c r="H1745" s="155"/>
      <c r="I1745" s="155"/>
      <c r="J1745" s="156"/>
      <c r="K1745" s="5"/>
      <c r="L1745" s="3"/>
      <c r="M1745" s="6"/>
      <c r="N1745" s="9"/>
      <c r="O1745" s="158"/>
      <c r="P1745" s="12"/>
      <c r="Q1745" s="12"/>
      <c r="R1745" s="12"/>
      <c r="S1745" s="12"/>
      <c r="T1745" s="12"/>
      <c r="U1745" s="12"/>
      <c r="V1745" s="12"/>
      <c r="W1745" s="12"/>
      <c r="X1745" s="12"/>
      <c r="Y1745" s="12"/>
      <c r="Z1745" s="12"/>
    </row>
    <row r="1746" spans="1:26" ht="14.25" customHeight="1" x14ac:dyDescent="0.3">
      <c r="A1746" s="155"/>
      <c r="B1746" s="156"/>
      <c r="C1746" s="3"/>
      <c r="D1746" s="3"/>
      <c r="E1746" s="156"/>
      <c r="F1746" s="3"/>
      <c r="G1746" s="158"/>
      <c r="H1746" s="155"/>
      <c r="I1746" s="155"/>
      <c r="J1746" s="156"/>
      <c r="K1746" s="5"/>
      <c r="L1746" s="3"/>
      <c r="M1746" s="6"/>
      <c r="N1746" s="9"/>
      <c r="O1746" s="158"/>
      <c r="P1746" s="12"/>
      <c r="Q1746" s="12"/>
      <c r="R1746" s="12"/>
      <c r="S1746" s="12"/>
      <c r="T1746" s="12"/>
      <c r="U1746" s="12"/>
      <c r="V1746" s="12"/>
      <c r="W1746" s="12"/>
      <c r="X1746" s="12"/>
      <c r="Y1746" s="12"/>
      <c r="Z1746" s="12"/>
    </row>
    <row r="1747" spans="1:26" ht="14.25" customHeight="1" x14ac:dyDescent="0.3">
      <c r="A1747" s="155"/>
      <c r="B1747" s="156"/>
      <c r="C1747" s="3"/>
      <c r="D1747" s="3"/>
      <c r="E1747" s="156"/>
      <c r="F1747" s="3"/>
      <c r="G1747" s="158"/>
      <c r="H1747" s="155"/>
      <c r="I1747" s="155"/>
      <c r="J1747" s="156"/>
      <c r="K1747" s="5"/>
      <c r="L1747" s="3"/>
      <c r="M1747" s="6"/>
      <c r="N1747" s="9"/>
      <c r="O1747" s="158"/>
      <c r="P1747" s="12"/>
      <c r="Q1747" s="12"/>
      <c r="R1747" s="12"/>
      <c r="S1747" s="12"/>
      <c r="T1747" s="12"/>
      <c r="U1747" s="12"/>
      <c r="V1747" s="12"/>
      <c r="W1747" s="12"/>
      <c r="X1747" s="12"/>
      <c r="Y1747" s="12"/>
      <c r="Z1747" s="12"/>
    </row>
    <row r="1748" spans="1:26" ht="14.25" customHeight="1" x14ac:dyDescent="0.3">
      <c r="A1748" s="155"/>
      <c r="B1748" s="156"/>
      <c r="C1748" s="3"/>
      <c r="D1748" s="3"/>
      <c r="E1748" s="156"/>
      <c r="F1748" s="3"/>
      <c r="G1748" s="158"/>
      <c r="H1748" s="155"/>
      <c r="I1748" s="155"/>
      <c r="J1748" s="156"/>
      <c r="K1748" s="5"/>
      <c r="L1748" s="3"/>
      <c r="M1748" s="6"/>
      <c r="N1748" s="9"/>
      <c r="O1748" s="158"/>
      <c r="P1748" s="12"/>
      <c r="Q1748" s="12"/>
      <c r="R1748" s="12"/>
      <c r="S1748" s="12"/>
      <c r="T1748" s="12"/>
      <c r="U1748" s="12"/>
      <c r="V1748" s="12"/>
      <c r="W1748" s="12"/>
      <c r="X1748" s="12"/>
      <c r="Y1748" s="12"/>
      <c r="Z1748" s="12"/>
    </row>
    <row r="1749" spans="1:26" ht="14.25" customHeight="1" x14ac:dyDescent="0.3">
      <c r="A1749" s="155"/>
      <c r="B1749" s="156"/>
      <c r="C1749" s="3"/>
      <c r="D1749" s="3"/>
      <c r="E1749" s="156"/>
      <c r="F1749" s="3"/>
      <c r="G1749" s="158"/>
      <c r="H1749" s="155"/>
      <c r="I1749" s="155"/>
      <c r="J1749" s="156"/>
      <c r="K1749" s="5"/>
      <c r="L1749" s="3"/>
      <c r="M1749" s="6"/>
      <c r="N1749" s="9"/>
      <c r="O1749" s="158"/>
      <c r="P1749" s="12"/>
      <c r="Q1749" s="12"/>
      <c r="R1749" s="12"/>
      <c r="S1749" s="12"/>
      <c r="T1749" s="12"/>
      <c r="U1749" s="12"/>
      <c r="V1749" s="12"/>
      <c r="W1749" s="12"/>
      <c r="X1749" s="12"/>
      <c r="Y1749" s="12"/>
      <c r="Z1749" s="12"/>
    </row>
    <row r="1750" spans="1:26" ht="14.25" customHeight="1" x14ac:dyDescent="0.3">
      <c r="A1750" s="155"/>
      <c r="B1750" s="156"/>
      <c r="C1750" s="3"/>
      <c r="D1750" s="3"/>
      <c r="E1750" s="156"/>
      <c r="F1750" s="3"/>
      <c r="G1750" s="158"/>
      <c r="H1750" s="155"/>
      <c r="I1750" s="155"/>
      <c r="J1750" s="156"/>
      <c r="K1750" s="5"/>
      <c r="L1750" s="3"/>
      <c r="M1750" s="6"/>
      <c r="N1750" s="9"/>
      <c r="O1750" s="158"/>
      <c r="P1750" s="12"/>
      <c r="Q1750" s="12"/>
      <c r="R1750" s="12"/>
      <c r="S1750" s="12"/>
      <c r="T1750" s="12"/>
      <c r="U1750" s="12"/>
      <c r="V1750" s="12"/>
      <c r="W1750" s="12"/>
      <c r="X1750" s="12"/>
      <c r="Y1750" s="12"/>
      <c r="Z1750" s="12"/>
    </row>
    <row r="1751" spans="1:26" ht="14.25" customHeight="1" x14ac:dyDescent="0.3">
      <c r="A1751" s="155"/>
      <c r="B1751" s="156"/>
      <c r="C1751" s="3"/>
      <c r="D1751" s="3"/>
      <c r="E1751" s="156"/>
      <c r="F1751" s="3"/>
      <c r="G1751" s="158"/>
      <c r="H1751" s="155"/>
      <c r="I1751" s="155"/>
      <c r="J1751" s="156"/>
      <c r="K1751" s="5"/>
      <c r="L1751" s="3"/>
      <c r="M1751" s="6"/>
      <c r="N1751" s="9"/>
      <c r="O1751" s="158"/>
      <c r="P1751" s="12"/>
      <c r="Q1751" s="12"/>
      <c r="R1751" s="12"/>
      <c r="S1751" s="12"/>
      <c r="T1751" s="12"/>
      <c r="U1751" s="12"/>
      <c r="V1751" s="12"/>
      <c r="W1751" s="12"/>
      <c r="X1751" s="12"/>
      <c r="Y1751" s="12"/>
      <c r="Z1751" s="12"/>
    </row>
    <row r="1752" spans="1:26" ht="14.25" customHeight="1" x14ac:dyDescent="0.3">
      <c r="A1752" s="155"/>
      <c r="B1752" s="156"/>
      <c r="C1752" s="3"/>
      <c r="D1752" s="3"/>
      <c r="E1752" s="156"/>
      <c r="F1752" s="3"/>
      <c r="G1752" s="158"/>
      <c r="H1752" s="155"/>
      <c r="I1752" s="155"/>
      <c r="J1752" s="156"/>
      <c r="K1752" s="5"/>
      <c r="L1752" s="3"/>
      <c r="M1752" s="6"/>
      <c r="N1752" s="9"/>
      <c r="O1752" s="158"/>
      <c r="P1752" s="12"/>
      <c r="Q1752" s="12"/>
      <c r="R1752" s="12"/>
      <c r="S1752" s="12"/>
      <c r="T1752" s="12"/>
      <c r="U1752" s="12"/>
      <c r="V1752" s="12"/>
      <c r="W1752" s="12"/>
      <c r="X1752" s="12"/>
      <c r="Y1752" s="12"/>
      <c r="Z1752" s="12"/>
    </row>
    <row r="1753" spans="1:26" ht="14.25" customHeight="1" x14ac:dyDescent="0.3">
      <c r="A1753" s="155"/>
      <c r="B1753" s="156"/>
      <c r="C1753" s="3"/>
      <c r="D1753" s="3"/>
      <c r="E1753" s="156"/>
      <c r="F1753" s="3"/>
      <c r="G1753" s="158"/>
      <c r="H1753" s="155"/>
      <c r="I1753" s="155"/>
      <c r="J1753" s="156"/>
      <c r="K1753" s="5"/>
      <c r="L1753" s="3"/>
      <c r="M1753" s="6"/>
      <c r="N1753" s="9"/>
      <c r="O1753" s="158"/>
      <c r="P1753" s="12"/>
      <c r="Q1753" s="12"/>
      <c r="R1753" s="12"/>
      <c r="S1753" s="12"/>
      <c r="T1753" s="12"/>
      <c r="U1753" s="12"/>
      <c r="V1753" s="12"/>
      <c r="W1753" s="12"/>
      <c r="X1753" s="12"/>
      <c r="Y1753" s="12"/>
      <c r="Z1753" s="12"/>
    </row>
    <row r="1754" spans="1:26" ht="14.25" customHeight="1" x14ac:dyDescent="0.3">
      <c r="A1754" s="155"/>
      <c r="B1754" s="156"/>
      <c r="C1754" s="3"/>
      <c r="D1754" s="3"/>
      <c r="E1754" s="156"/>
      <c r="F1754" s="3"/>
      <c r="G1754" s="158"/>
      <c r="H1754" s="155"/>
      <c r="I1754" s="155"/>
      <c r="J1754" s="156"/>
      <c r="K1754" s="5"/>
      <c r="L1754" s="3"/>
      <c r="M1754" s="6"/>
      <c r="N1754" s="9"/>
      <c r="O1754" s="158"/>
      <c r="P1754" s="12"/>
      <c r="Q1754" s="12"/>
      <c r="R1754" s="12"/>
      <c r="S1754" s="12"/>
      <c r="T1754" s="12"/>
      <c r="U1754" s="12"/>
      <c r="V1754" s="12"/>
      <c r="W1754" s="12"/>
      <c r="X1754" s="12"/>
      <c r="Y1754" s="12"/>
      <c r="Z1754" s="12"/>
    </row>
    <row r="1755" spans="1:26" ht="14.25" customHeight="1" x14ac:dyDescent="0.3">
      <c r="A1755" s="155"/>
      <c r="B1755" s="156"/>
      <c r="C1755" s="3"/>
      <c r="D1755" s="3"/>
      <c r="E1755" s="156"/>
      <c r="F1755" s="3"/>
      <c r="G1755" s="158"/>
      <c r="H1755" s="155"/>
      <c r="I1755" s="155"/>
      <c r="J1755" s="156"/>
      <c r="K1755" s="5"/>
      <c r="L1755" s="3"/>
      <c r="M1755" s="6"/>
      <c r="N1755" s="9"/>
      <c r="O1755" s="158"/>
      <c r="P1755" s="12"/>
      <c r="Q1755" s="12"/>
      <c r="R1755" s="12"/>
      <c r="S1755" s="12"/>
      <c r="T1755" s="12"/>
      <c r="U1755" s="12"/>
      <c r="V1755" s="12"/>
      <c r="W1755" s="12"/>
      <c r="X1755" s="12"/>
      <c r="Y1755" s="12"/>
      <c r="Z1755" s="12"/>
    </row>
    <row r="1756" spans="1:26" ht="14.25" customHeight="1" x14ac:dyDescent="0.3">
      <c r="A1756" s="155"/>
      <c r="B1756" s="156"/>
      <c r="C1756" s="3"/>
      <c r="D1756" s="3"/>
      <c r="E1756" s="156"/>
      <c r="F1756" s="3"/>
      <c r="G1756" s="158"/>
      <c r="H1756" s="155"/>
      <c r="I1756" s="155"/>
      <c r="J1756" s="156"/>
      <c r="K1756" s="5"/>
      <c r="L1756" s="3"/>
      <c r="M1756" s="6"/>
      <c r="N1756" s="9"/>
      <c r="O1756" s="158"/>
      <c r="P1756" s="12"/>
      <c r="Q1756" s="12"/>
      <c r="R1756" s="12"/>
      <c r="S1756" s="12"/>
      <c r="T1756" s="12"/>
      <c r="U1756" s="12"/>
      <c r="V1756" s="12"/>
      <c r="W1756" s="12"/>
      <c r="X1756" s="12"/>
      <c r="Y1756" s="12"/>
      <c r="Z1756" s="12"/>
    </row>
    <row r="1757" spans="1:26" ht="14.25" customHeight="1" x14ac:dyDescent="0.3">
      <c r="A1757" s="155"/>
      <c r="B1757" s="156"/>
      <c r="C1757" s="3"/>
      <c r="D1757" s="3"/>
      <c r="E1757" s="156"/>
      <c r="F1757" s="3"/>
      <c r="G1757" s="158"/>
      <c r="H1757" s="155"/>
      <c r="I1757" s="155"/>
      <c r="J1757" s="156"/>
      <c r="K1757" s="5"/>
      <c r="L1757" s="3"/>
      <c r="M1757" s="6"/>
      <c r="N1757" s="9"/>
      <c r="O1757" s="158"/>
      <c r="P1757" s="12"/>
      <c r="Q1757" s="12"/>
      <c r="R1757" s="12"/>
      <c r="S1757" s="12"/>
      <c r="T1757" s="12"/>
      <c r="U1757" s="12"/>
      <c r="V1757" s="12"/>
      <c r="W1757" s="12"/>
      <c r="X1757" s="12"/>
      <c r="Y1757" s="12"/>
      <c r="Z1757" s="12"/>
    </row>
    <row r="1758" spans="1:26" ht="14.25" customHeight="1" x14ac:dyDescent="0.3">
      <c r="A1758" s="155"/>
      <c r="B1758" s="156"/>
      <c r="C1758" s="3"/>
      <c r="D1758" s="3"/>
      <c r="E1758" s="156"/>
      <c r="F1758" s="3"/>
      <c r="G1758" s="158"/>
      <c r="H1758" s="155"/>
      <c r="I1758" s="155"/>
      <c r="J1758" s="156"/>
      <c r="K1758" s="5"/>
      <c r="L1758" s="3"/>
      <c r="M1758" s="6"/>
      <c r="N1758" s="9"/>
      <c r="O1758" s="158"/>
      <c r="P1758" s="12"/>
      <c r="Q1758" s="12"/>
      <c r="R1758" s="12"/>
      <c r="S1758" s="12"/>
      <c r="T1758" s="12"/>
      <c r="U1758" s="12"/>
      <c r="V1758" s="12"/>
      <c r="W1758" s="12"/>
      <c r="X1758" s="12"/>
      <c r="Y1758" s="12"/>
      <c r="Z1758" s="12"/>
    </row>
    <row r="1759" spans="1:26" ht="14.25" customHeight="1" x14ac:dyDescent="0.3">
      <c r="A1759" s="155"/>
      <c r="B1759" s="156"/>
      <c r="C1759" s="3"/>
      <c r="D1759" s="3"/>
      <c r="E1759" s="156"/>
      <c r="F1759" s="3"/>
      <c r="G1759" s="158"/>
      <c r="H1759" s="155"/>
      <c r="I1759" s="155"/>
      <c r="J1759" s="156"/>
      <c r="K1759" s="5"/>
      <c r="L1759" s="3"/>
      <c r="M1759" s="6"/>
      <c r="N1759" s="9"/>
      <c r="O1759" s="158"/>
      <c r="P1759" s="12"/>
      <c r="Q1759" s="12"/>
      <c r="R1759" s="12"/>
      <c r="S1759" s="12"/>
      <c r="T1759" s="12"/>
      <c r="U1759" s="12"/>
      <c r="V1759" s="12"/>
      <c r="W1759" s="12"/>
      <c r="X1759" s="12"/>
      <c r="Y1759" s="12"/>
      <c r="Z1759" s="12"/>
    </row>
    <row r="1760" spans="1:26" ht="14.25" customHeight="1" x14ac:dyDescent="0.3">
      <c r="A1760" s="155"/>
      <c r="B1760" s="156"/>
      <c r="C1760" s="3"/>
      <c r="D1760" s="3"/>
      <c r="E1760" s="156"/>
      <c r="F1760" s="3"/>
      <c r="G1760" s="158"/>
      <c r="H1760" s="155"/>
      <c r="I1760" s="155"/>
      <c r="J1760" s="156"/>
      <c r="K1760" s="5"/>
      <c r="L1760" s="3"/>
      <c r="M1760" s="6"/>
      <c r="N1760" s="9"/>
      <c r="O1760" s="158"/>
      <c r="P1760" s="12"/>
      <c r="Q1760" s="12"/>
      <c r="R1760" s="12"/>
      <c r="S1760" s="12"/>
      <c r="T1760" s="12"/>
      <c r="U1760" s="12"/>
      <c r="V1760" s="12"/>
      <c r="W1760" s="12"/>
      <c r="X1760" s="12"/>
      <c r="Y1760" s="12"/>
      <c r="Z1760" s="12"/>
    </row>
    <row r="1761" spans="1:26" ht="14.25" customHeight="1" x14ac:dyDescent="0.3">
      <c r="A1761" s="155"/>
      <c r="B1761" s="156"/>
      <c r="C1761" s="3"/>
      <c r="D1761" s="3"/>
      <c r="E1761" s="156"/>
      <c r="F1761" s="3"/>
      <c r="G1761" s="158"/>
      <c r="H1761" s="155"/>
      <c r="I1761" s="155"/>
      <c r="J1761" s="156"/>
      <c r="K1761" s="5"/>
      <c r="L1761" s="3"/>
      <c r="M1761" s="6"/>
      <c r="N1761" s="9"/>
      <c r="O1761" s="158"/>
      <c r="P1761" s="12"/>
      <c r="Q1761" s="12"/>
      <c r="R1761" s="12"/>
      <c r="S1761" s="12"/>
      <c r="T1761" s="12"/>
      <c r="U1761" s="12"/>
      <c r="V1761" s="12"/>
      <c r="W1761" s="12"/>
      <c r="X1761" s="12"/>
      <c r="Y1761" s="12"/>
      <c r="Z1761" s="12"/>
    </row>
    <row r="1762" spans="1:26" ht="14.25" customHeight="1" x14ac:dyDescent="0.3">
      <c r="A1762" s="155"/>
      <c r="B1762" s="156"/>
      <c r="C1762" s="3"/>
      <c r="D1762" s="3"/>
      <c r="E1762" s="156"/>
      <c r="F1762" s="3"/>
      <c r="G1762" s="158"/>
      <c r="H1762" s="155"/>
      <c r="I1762" s="155"/>
      <c r="J1762" s="156"/>
      <c r="K1762" s="5"/>
      <c r="L1762" s="3"/>
      <c r="M1762" s="6"/>
      <c r="N1762" s="9"/>
      <c r="O1762" s="158"/>
      <c r="P1762" s="12"/>
      <c r="Q1762" s="12"/>
      <c r="R1762" s="12"/>
      <c r="S1762" s="12"/>
      <c r="T1762" s="12"/>
      <c r="U1762" s="12"/>
      <c r="V1762" s="12"/>
      <c r="W1762" s="12"/>
      <c r="X1762" s="12"/>
      <c r="Y1762" s="12"/>
      <c r="Z1762" s="12"/>
    </row>
    <row r="1763" spans="1:26" ht="14.25" customHeight="1" x14ac:dyDescent="0.3">
      <c r="A1763" s="155"/>
      <c r="B1763" s="156"/>
      <c r="C1763" s="3"/>
      <c r="D1763" s="3"/>
      <c r="E1763" s="156"/>
      <c r="F1763" s="3"/>
      <c r="G1763" s="158"/>
      <c r="H1763" s="155"/>
      <c r="I1763" s="155"/>
      <c r="J1763" s="156"/>
      <c r="K1763" s="5"/>
      <c r="L1763" s="3"/>
      <c r="M1763" s="6"/>
      <c r="N1763" s="9"/>
      <c r="O1763" s="158"/>
      <c r="P1763" s="12"/>
      <c r="Q1763" s="12"/>
      <c r="R1763" s="12"/>
      <c r="S1763" s="12"/>
      <c r="T1763" s="12"/>
      <c r="U1763" s="12"/>
      <c r="V1763" s="12"/>
      <c r="W1763" s="12"/>
      <c r="X1763" s="12"/>
      <c r="Y1763" s="12"/>
      <c r="Z1763" s="12"/>
    </row>
    <row r="1764" spans="1:26" ht="14.25" customHeight="1" x14ac:dyDescent="0.3">
      <c r="A1764" s="155"/>
      <c r="B1764" s="156"/>
      <c r="C1764" s="3"/>
      <c r="D1764" s="3"/>
      <c r="E1764" s="156"/>
      <c r="F1764" s="3"/>
      <c r="G1764" s="158"/>
      <c r="H1764" s="155"/>
      <c r="I1764" s="155"/>
      <c r="J1764" s="156"/>
      <c r="K1764" s="5"/>
      <c r="L1764" s="3"/>
      <c r="M1764" s="6"/>
      <c r="N1764" s="9"/>
      <c r="O1764" s="158"/>
      <c r="P1764" s="12"/>
      <c r="Q1764" s="12"/>
      <c r="R1764" s="12"/>
      <c r="S1764" s="12"/>
      <c r="T1764" s="12"/>
      <c r="U1764" s="12"/>
      <c r="V1764" s="12"/>
      <c r="W1764" s="12"/>
      <c r="X1764" s="12"/>
      <c r="Y1764" s="12"/>
      <c r="Z1764" s="12"/>
    </row>
    <row r="1765" spans="1:26" ht="14.25" customHeight="1" x14ac:dyDescent="0.3">
      <c r="A1765" s="155"/>
      <c r="B1765" s="156"/>
      <c r="C1765" s="3"/>
      <c r="D1765" s="3"/>
      <c r="E1765" s="156"/>
      <c r="F1765" s="3"/>
      <c r="G1765" s="158"/>
      <c r="H1765" s="155"/>
      <c r="I1765" s="155"/>
      <c r="J1765" s="156"/>
      <c r="K1765" s="5"/>
      <c r="L1765" s="3"/>
      <c r="M1765" s="6"/>
      <c r="N1765" s="9"/>
      <c r="O1765" s="158"/>
      <c r="P1765" s="12"/>
      <c r="Q1765" s="12"/>
      <c r="R1765" s="12"/>
      <c r="S1765" s="12"/>
      <c r="T1765" s="12"/>
      <c r="U1765" s="12"/>
      <c r="V1765" s="12"/>
      <c r="W1765" s="12"/>
      <c r="X1765" s="12"/>
      <c r="Y1765" s="12"/>
      <c r="Z1765" s="12"/>
    </row>
    <row r="1766" spans="1:26" ht="14.25" customHeight="1" x14ac:dyDescent="0.3">
      <c r="A1766" s="155"/>
      <c r="B1766" s="156"/>
      <c r="C1766" s="3"/>
      <c r="D1766" s="3"/>
      <c r="E1766" s="156"/>
      <c r="F1766" s="3"/>
      <c r="G1766" s="158"/>
      <c r="H1766" s="155"/>
      <c r="I1766" s="155"/>
      <c r="J1766" s="156"/>
      <c r="K1766" s="5"/>
      <c r="L1766" s="3"/>
      <c r="M1766" s="6"/>
      <c r="N1766" s="9"/>
      <c r="O1766" s="158"/>
      <c r="P1766" s="12"/>
      <c r="Q1766" s="12"/>
      <c r="R1766" s="12"/>
      <c r="S1766" s="12"/>
      <c r="T1766" s="12"/>
      <c r="U1766" s="12"/>
      <c r="V1766" s="12"/>
      <c r="W1766" s="12"/>
      <c r="X1766" s="12"/>
      <c r="Y1766" s="12"/>
      <c r="Z1766" s="12"/>
    </row>
    <row r="1767" spans="1:26" ht="14.25" customHeight="1" x14ac:dyDescent="0.3">
      <c r="A1767" s="155"/>
      <c r="B1767" s="156"/>
      <c r="C1767" s="3"/>
      <c r="D1767" s="3"/>
      <c r="E1767" s="156"/>
      <c r="F1767" s="3"/>
      <c r="G1767" s="158"/>
      <c r="H1767" s="155"/>
      <c r="I1767" s="155"/>
      <c r="J1767" s="156"/>
      <c r="K1767" s="5"/>
      <c r="L1767" s="3"/>
      <c r="M1767" s="6"/>
      <c r="N1767" s="9"/>
      <c r="O1767" s="158"/>
      <c r="P1767" s="12"/>
      <c r="Q1767" s="12"/>
      <c r="R1767" s="12"/>
      <c r="S1767" s="12"/>
      <c r="T1767" s="12"/>
      <c r="U1767" s="12"/>
      <c r="V1767" s="12"/>
      <c r="W1767" s="12"/>
      <c r="X1767" s="12"/>
      <c r="Y1767" s="12"/>
      <c r="Z1767" s="12"/>
    </row>
    <row r="1768" spans="1:26" ht="14.25" customHeight="1" x14ac:dyDescent="0.3">
      <c r="A1768" s="155"/>
      <c r="B1768" s="156"/>
      <c r="C1768" s="3"/>
      <c r="D1768" s="3"/>
      <c r="E1768" s="156"/>
      <c r="F1768" s="3"/>
      <c r="G1768" s="158"/>
      <c r="H1768" s="155"/>
      <c r="I1768" s="155"/>
      <c r="J1768" s="156"/>
      <c r="K1768" s="5"/>
      <c r="L1768" s="3"/>
      <c r="M1768" s="6"/>
      <c r="N1768" s="9"/>
      <c r="O1768" s="158"/>
      <c r="P1768" s="12"/>
      <c r="Q1768" s="12"/>
      <c r="R1768" s="12"/>
      <c r="S1768" s="12"/>
      <c r="T1768" s="12"/>
      <c r="U1768" s="12"/>
      <c r="V1768" s="12"/>
      <c r="W1768" s="12"/>
      <c r="X1768" s="12"/>
      <c r="Y1768" s="12"/>
      <c r="Z1768" s="12"/>
    </row>
    <row r="1769" spans="1:26" ht="14.25" customHeight="1" x14ac:dyDescent="0.3">
      <c r="A1769" s="155"/>
      <c r="B1769" s="156"/>
      <c r="C1769" s="3"/>
      <c r="D1769" s="3"/>
      <c r="E1769" s="156"/>
      <c r="F1769" s="3"/>
      <c r="G1769" s="158"/>
      <c r="H1769" s="155"/>
      <c r="I1769" s="155"/>
      <c r="J1769" s="156"/>
      <c r="K1769" s="5"/>
      <c r="L1769" s="3"/>
      <c r="M1769" s="6"/>
      <c r="N1769" s="9"/>
      <c r="O1769" s="158"/>
      <c r="P1769" s="12"/>
      <c r="Q1769" s="12"/>
      <c r="R1769" s="12"/>
      <c r="S1769" s="12"/>
      <c r="T1769" s="12"/>
      <c r="U1769" s="12"/>
      <c r="V1769" s="12"/>
      <c r="W1769" s="12"/>
      <c r="X1769" s="12"/>
      <c r="Y1769" s="12"/>
      <c r="Z1769" s="12"/>
    </row>
    <row r="1770" spans="1:26" ht="14.25" customHeight="1" x14ac:dyDescent="0.3">
      <c r="A1770" s="155"/>
      <c r="B1770" s="156"/>
      <c r="C1770" s="3"/>
      <c r="D1770" s="3"/>
      <c r="E1770" s="156"/>
      <c r="F1770" s="3"/>
      <c r="G1770" s="158"/>
      <c r="H1770" s="155"/>
      <c r="I1770" s="155"/>
      <c r="J1770" s="156"/>
      <c r="K1770" s="5"/>
      <c r="L1770" s="3"/>
      <c r="M1770" s="6"/>
      <c r="N1770" s="9"/>
      <c r="O1770" s="158"/>
      <c r="P1770" s="12"/>
      <c r="Q1770" s="12"/>
      <c r="R1770" s="12"/>
      <c r="S1770" s="12"/>
      <c r="T1770" s="12"/>
      <c r="U1770" s="12"/>
      <c r="V1770" s="12"/>
      <c r="W1770" s="12"/>
      <c r="X1770" s="12"/>
      <c r="Y1770" s="12"/>
      <c r="Z1770" s="12"/>
    </row>
    <row r="1771" spans="1:26" ht="14.25" customHeight="1" x14ac:dyDescent="0.3">
      <c r="A1771" s="155"/>
      <c r="B1771" s="156"/>
      <c r="C1771" s="3"/>
      <c r="D1771" s="3"/>
      <c r="E1771" s="156"/>
      <c r="F1771" s="3"/>
      <c r="G1771" s="158"/>
      <c r="H1771" s="155"/>
      <c r="I1771" s="155"/>
      <c r="J1771" s="156"/>
      <c r="K1771" s="5"/>
      <c r="L1771" s="3"/>
      <c r="M1771" s="6"/>
      <c r="N1771" s="9"/>
      <c r="O1771" s="158"/>
      <c r="P1771" s="12"/>
      <c r="Q1771" s="12"/>
      <c r="R1771" s="12"/>
      <c r="S1771" s="12"/>
      <c r="T1771" s="12"/>
      <c r="U1771" s="12"/>
      <c r="V1771" s="12"/>
      <c r="W1771" s="12"/>
      <c r="X1771" s="12"/>
      <c r="Y1771" s="12"/>
      <c r="Z1771" s="12"/>
    </row>
    <row r="1772" spans="1:26" ht="14.25" customHeight="1" x14ac:dyDescent="0.3">
      <c r="A1772" s="155"/>
      <c r="B1772" s="156"/>
      <c r="C1772" s="3"/>
      <c r="D1772" s="3"/>
      <c r="E1772" s="156"/>
      <c r="F1772" s="3"/>
      <c r="G1772" s="158"/>
      <c r="H1772" s="155"/>
      <c r="I1772" s="155"/>
      <c r="J1772" s="156"/>
      <c r="K1772" s="5"/>
      <c r="L1772" s="3"/>
      <c r="M1772" s="6"/>
      <c r="N1772" s="9"/>
      <c r="O1772" s="158"/>
      <c r="P1772" s="12"/>
      <c r="Q1772" s="12"/>
      <c r="R1772" s="12"/>
      <c r="S1772" s="12"/>
      <c r="T1772" s="12"/>
      <c r="U1772" s="12"/>
      <c r="V1772" s="12"/>
      <c r="W1772" s="12"/>
      <c r="X1772" s="12"/>
      <c r="Y1772" s="12"/>
      <c r="Z1772" s="12"/>
    </row>
    <row r="1773" spans="1:26" ht="14.25" customHeight="1" x14ac:dyDescent="0.3">
      <c r="A1773" s="155"/>
      <c r="B1773" s="156"/>
      <c r="C1773" s="3"/>
      <c r="D1773" s="3"/>
      <c r="E1773" s="156"/>
      <c r="F1773" s="3"/>
      <c r="G1773" s="158"/>
      <c r="H1773" s="155"/>
      <c r="I1773" s="155"/>
      <c r="J1773" s="156"/>
      <c r="K1773" s="5"/>
      <c r="L1773" s="3"/>
      <c r="M1773" s="6"/>
      <c r="N1773" s="9"/>
      <c r="O1773" s="158"/>
      <c r="P1773" s="12"/>
      <c r="Q1773" s="12"/>
      <c r="R1773" s="12"/>
      <c r="S1773" s="12"/>
      <c r="T1773" s="12"/>
      <c r="U1773" s="12"/>
      <c r="V1773" s="12"/>
      <c r="W1773" s="12"/>
      <c r="X1773" s="12"/>
      <c r="Y1773" s="12"/>
      <c r="Z1773" s="12"/>
    </row>
    <row r="1774" spans="1:26" ht="14.25" customHeight="1" x14ac:dyDescent="0.3">
      <c r="A1774" s="155"/>
      <c r="B1774" s="156"/>
      <c r="C1774" s="3"/>
      <c r="D1774" s="3"/>
      <c r="E1774" s="156"/>
      <c r="F1774" s="3"/>
      <c r="G1774" s="158"/>
      <c r="H1774" s="155"/>
      <c r="I1774" s="155"/>
      <c r="J1774" s="156"/>
      <c r="K1774" s="5"/>
      <c r="L1774" s="3"/>
      <c r="M1774" s="6"/>
      <c r="N1774" s="9"/>
      <c r="O1774" s="158"/>
      <c r="P1774" s="12"/>
      <c r="Q1774" s="12"/>
      <c r="R1774" s="12"/>
      <c r="S1774" s="12"/>
      <c r="T1774" s="12"/>
      <c r="U1774" s="12"/>
      <c r="V1774" s="12"/>
      <c r="W1774" s="12"/>
      <c r="X1774" s="12"/>
      <c r="Y1774" s="12"/>
      <c r="Z1774" s="12"/>
    </row>
    <row r="1775" spans="1:26" ht="14.25" customHeight="1" x14ac:dyDescent="0.3">
      <c r="A1775" s="155"/>
      <c r="B1775" s="156"/>
      <c r="C1775" s="3"/>
      <c r="D1775" s="3"/>
      <c r="E1775" s="156"/>
      <c r="F1775" s="3"/>
      <c r="G1775" s="158"/>
      <c r="H1775" s="155"/>
      <c r="I1775" s="155"/>
      <c r="J1775" s="156"/>
      <c r="K1775" s="5"/>
      <c r="L1775" s="3"/>
      <c r="M1775" s="6"/>
      <c r="N1775" s="9"/>
      <c r="O1775" s="158"/>
      <c r="P1775" s="12"/>
      <c r="Q1775" s="12"/>
      <c r="R1775" s="12"/>
      <c r="S1775" s="12"/>
      <c r="T1775" s="12"/>
      <c r="U1775" s="12"/>
      <c r="V1775" s="12"/>
      <c r="W1775" s="12"/>
      <c r="X1775" s="12"/>
      <c r="Y1775" s="12"/>
      <c r="Z1775" s="12"/>
    </row>
    <row r="1776" spans="1:26" ht="14.25" customHeight="1" x14ac:dyDescent="0.3">
      <c r="A1776" s="155"/>
      <c r="B1776" s="156"/>
      <c r="C1776" s="3"/>
      <c r="D1776" s="3"/>
      <c r="E1776" s="156"/>
      <c r="F1776" s="3"/>
      <c r="G1776" s="158"/>
      <c r="H1776" s="155"/>
      <c r="I1776" s="155"/>
      <c r="J1776" s="156"/>
      <c r="K1776" s="5"/>
      <c r="L1776" s="3"/>
      <c r="M1776" s="6"/>
      <c r="N1776" s="9"/>
      <c r="O1776" s="158"/>
      <c r="P1776" s="12"/>
      <c r="Q1776" s="12"/>
      <c r="R1776" s="12"/>
      <c r="S1776" s="12"/>
      <c r="T1776" s="12"/>
      <c r="U1776" s="12"/>
      <c r="V1776" s="12"/>
      <c r="W1776" s="12"/>
      <c r="X1776" s="12"/>
      <c r="Y1776" s="12"/>
      <c r="Z1776" s="12"/>
    </row>
    <row r="1777" spans="1:26" ht="14.25" customHeight="1" x14ac:dyDescent="0.3">
      <c r="A1777" s="155"/>
      <c r="B1777" s="156"/>
      <c r="C1777" s="3"/>
      <c r="D1777" s="3"/>
      <c r="E1777" s="156"/>
      <c r="F1777" s="3"/>
      <c r="G1777" s="158"/>
      <c r="H1777" s="155"/>
      <c r="I1777" s="155"/>
      <c r="J1777" s="156"/>
      <c r="K1777" s="5"/>
      <c r="L1777" s="3"/>
      <c r="M1777" s="6"/>
      <c r="N1777" s="9"/>
      <c r="O1777" s="158"/>
      <c r="P1777" s="12"/>
      <c r="Q1777" s="12"/>
      <c r="R1777" s="12"/>
      <c r="S1777" s="12"/>
      <c r="T1777" s="12"/>
      <c r="U1777" s="12"/>
      <c r="V1777" s="12"/>
      <c r="W1777" s="12"/>
      <c r="X1777" s="12"/>
      <c r="Y1777" s="12"/>
      <c r="Z1777" s="12"/>
    </row>
    <row r="1778" spans="1:26" ht="14.25" customHeight="1" x14ac:dyDescent="0.3">
      <c r="A1778" s="155"/>
      <c r="B1778" s="156"/>
      <c r="C1778" s="3"/>
      <c r="D1778" s="3"/>
      <c r="E1778" s="156"/>
      <c r="F1778" s="3"/>
      <c r="G1778" s="158"/>
      <c r="H1778" s="155"/>
      <c r="I1778" s="155"/>
      <c r="J1778" s="156"/>
      <c r="K1778" s="5"/>
      <c r="L1778" s="3"/>
      <c r="M1778" s="6"/>
      <c r="N1778" s="9"/>
      <c r="O1778" s="158"/>
      <c r="P1778" s="12"/>
      <c r="Q1778" s="12"/>
      <c r="R1778" s="12"/>
      <c r="S1778" s="12"/>
      <c r="T1778" s="12"/>
      <c r="U1778" s="12"/>
      <c r="V1778" s="12"/>
      <c r="W1778" s="12"/>
      <c r="X1778" s="12"/>
      <c r="Y1778" s="12"/>
      <c r="Z1778" s="12"/>
    </row>
    <row r="1779" spans="1:26" ht="14.25" customHeight="1" x14ac:dyDescent="0.3">
      <c r="A1779" s="155"/>
      <c r="B1779" s="156"/>
      <c r="C1779" s="3"/>
      <c r="D1779" s="3"/>
      <c r="E1779" s="156"/>
      <c r="F1779" s="3"/>
      <c r="G1779" s="158"/>
      <c r="H1779" s="155"/>
      <c r="I1779" s="155"/>
      <c r="J1779" s="156"/>
      <c r="K1779" s="5"/>
      <c r="L1779" s="3"/>
      <c r="M1779" s="6"/>
      <c r="N1779" s="9"/>
      <c r="O1779" s="158"/>
      <c r="P1779" s="12"/>
      <c r="Q1779" s="12"/>
      <c r="R1779" s="12"/>
      <c r="S1779" s="12"/>
      <c r="T1779" s="12"/>
      <c r="U1779" s="12"/>
      <c r="V1779" s="12"/>
      <c r="W1779" s="12"/>
      <c r="X1779" s="12"/>
      <c r="Y1779" s="12"/>
      <c r="Z1779" s="12"/>
    </row>
    <row r="1780" spans="1:26" ht="14.25" customHeight="1" x14ac:dyDescent="0.3">
      <c r="A1780" s="155"/>
      <c r="B1780" s="156"/>
      <c r="C1780" s="3"/>
      <c r="D1780" s="3"/>
      <c r="E1780" s="156"/>
      <c r="F1780" s="3"/>
      <c r="G1780" s="158"/>
      <c r="H1780" s="155"/>
      <c r="I1780" s="155"/>
      <c r="J1780" s="156"/>
      <c r="K1780" s="5"/>
      <c r="L1780" s="3"/>
      <c r="M1780" s="6"/>
      <c r="N1780" s="9"/>
      <c r="O1780" s="158"/>
      <c r="P1780" s="12"/>
      <c r="Q1780" s="12"/>
      <c r="R1780" s="12"/>
      <c r="S1780" s="12"/>
      <c r="T1780" s="12"/>
      <c r="U1780" s="12"/>
      <c r="V1780" s="12"/>
      <c r="W1780" s="12"/>
      <c r="X1780" s="12"/>
      <c r="Y1780" s="12"/>
      <c r="Z1780" s="12"/>
    </row>
    <row r="1781" spans="1:26" ht="14.25" customHeight="1" x14ac:dyDescent="0.3">
      <c r="A1781" s="155"/>
      <c r="B1781" s="156"/>
      <c r="C1781" s="3"/>
      <c r="D1781" s="3"/>
      <c r="E1781" s="156"/>
      <c r="F1781" s="3"/>
      <c r="G1781" s="158"/>
      <c r="H1781" s="155"/>
      <c r="I1781" s="155"/>
      <c r="J1781" s="156"/>
      <c r="K1781" s="5"/>
      <c r="L1781" s="3"/>
      <c r="M1781" s="6"/>
      <c r="N1781" s="9"/>
      <c r="O1781" s="158"/>
      <c r="P1781" s="12"/>
      <c r="Q1781" s="12"/>
      <c r="R1781" s="12"/>
      <c r="S1781" s="12"/>
      <c r="T1781" s="12"/>
      <c r="U1781" s="12"/>
      <c r="V1781" s="12"/>
      <c r="W1781" s="12"/>
      <c r="X1781" s="12"/>
      <c r="Y1781" s="12"/>
      <c r="Z1781" s="12"/>
    </row>
    <row r="1782" spans="1:26" ht="14.25" customHeight="1" x14ac:dyDescent="0.3">
      <c r="A1782" s="155"/>
      <c r="B1782" s="156"/>
      <c r="C1782" s="3"/>
      <c r="D1782" s="3"/>
      <c r="E1782" s="156"/>
      <c r="F1782" s="3"/>
      <c r="G1782" s="158"/>
      <c r="H1782" s="155"/>
      <c r="I1782" s="155"/>
      <c r="J1782" s="156"/>
      <c r="K1782" s="5"/>
      <c r="L1782" s="3"/>
      <c r="M1782" s="6"/>
      <c r="N1782" s="9"/>
      <c r="O1782" s="158"/>
      <c r="P1782" s="12"/>
      <c r="Q1782" s="12"/>
      <c r="R1782" s="12"/>
      <c r="S1782" s="12"/>
      <c r="T1782" s="12"/>
      <c r="U1782" s="12"/>
      <c r="V1782" s="12"/>
      <c r="W1782" s="12"/>
      <c r="X1782" s="12"/>
      <c r="Y1782" s="12"/>
      <c r="Z1782" s="12"/>
    </row>
    <row r="1783" spans="1:26" ht="14.25" customHeight="1" x14ac:dyDescent="0.3">
      <c r="A1783" s="155"/>
      <c r="B1783" s="156"/>
      <c r="C1783" s="3"/>
      <c r="D1783" s="3"/>
      <c r="E1783" s="156"/>
      <c r="F1783" s="3"/>
      <c r="G1783" s="158"/>
      <c r="H1783" s="155"/>
      <c r="I1783" s="155"/>
      <c r="J1783" s="156"/>
      <c r="K1783" s="5"/>
      <c r="L1783" s="3"/>
      <c r="M1783" s="6"/>
      <c r="N1783" s="9"/>
      <c r="O1783" s="158"/>
      <c r="P1783" s="12"/>
      <c r="Q1783" s="12"/>
      <c r="R1783" s="12"/>
      <c r="S1783" s="12"/>
      <c r="T1783" s="12"/>
      <c r="U1783" s="12"/>
      <c r="V1783" s="12"/>
      <c r="W1783" s="12"/>
      <c r="X1783" s="12"/>
      <c r="Y1783" s="12"/>
      <c r="Z1783" s="12"/>
    </row>
    <row r="1784" spans="1:26" ht="14.25" customHeight="1" x14ac:dyDescent="0.3">
      <c r="A1784" s="155"/>
      <c r="B1784" s="156"/>
      <c r="C1784" s="3"/>
      <c r="D1784" s="3"/>
      <c r="E1784" s="156"/>
      <c r="F1784" s="3"/>
      <c r="G1784" s="158"/>
      <c r="H1784" s="155"/>
      <c r="I1784" s="155"/>
      <c r="J1784" s="156"/>
      <c r="K1784" s="5"/>
      <c r="L1784" s="3"/>
      <c r="M1784" s="6"/>
      <c r="N1784" s="9"/>
      <c r="O1784" s="158"/>
      <c r="P1784" s="12"/>
      <c r="Q1784" s="12"/>
      <c r="R1784" s="12"/>
      <c r="S1784" s="12"/>
      <c r="T1784" s="12"/>
      <c r="U1784" s="12"/>
      <c r="V1784" s="12"/>
      <c r="W1784" s="12"/>
      <c r="X1784" s="12"/>
      <c r="Y1784" s="12"/>
      <c r="Z1784" s="12"/>
    </row>
    <row r="1785" spans="1:26" ht="14.25" customHeight="1" x14ac:dyDescent="0.3">
      <c r="A1785" s="155"/>
      <c r="B1785" s="156"/>
      <c r="C1785" s="3"/>
      <c r="D1785" s="3"/>
      <c r="E1785" s="156"/>
      <c r="F1785" s="3"/>
      <c r="G1785" s="158"/>
      <c r="H1785" s="155"/>
      <c r="I1785" s="155"/>
      <c r="J1785" s="156"/>
      <c r="K1785" s="5"/>
      <c r="L1785" s="3"/>
      <c r="M1785" s="6"/>
      <c r="N1785" s="9"/>
      <c r="O1785" s="158"/>
      <c r="P1785" s="12"/>
      <c r="Q1785" s="12"/>
      <c r="R1785" s="12"/>
      <c r="S1785" s="12"/>
      <c r="T1785" s="12"/>
      <c r="U1785" s="12"/>
      <c r="V1785" s="12"/>
      <c r="W1785" s="12"/>
      <c r="X1785" s="12"/>
      <c r="Y1785" s="12"/>
      <c r="Z1785" s="12"/>
    </row>
    <row r="1786" spans="1:26" ht="14.25" customHeight="1" x14ac:dyDescent="0.3">
      <c r="A1786" s="155"/>
      <c r="B1786" s="156"/>
      <c r="C1786" s="3"/>
      <c r="D1786" s="3"/>
      <c r="E1786" s="156"/>
      <c r="F1786" s="3"/>
      <c r="G1786" s="158"/>
      <c r="H1786" s="155"/>
      <c r="I1786" s="155"/>
      <c r="J1786" s="156"/>
      <c r="K1786" s="5"/>
      <c r="L1786" s="3"/>
      <c r="M1786" s="6"/>
      <c r="N1786" s="9"/>
      <c r="O1786" s="158"/>
      <c r="P1786" s="12"/>
      <c r="Q1786" s="12"/>
      <c r="R1786" s="12"/>
      <c r="S1786" s="12"/>
      <c r="T1786" s="12"/>
      <c r="U1786" s="12"/>
      <c r="V1786" s="12"/>
      <c r="W1786" s="12"/>
      <c r="X1786" s="12"/>
      <c r="Y1786" s="12"/>
      <c r="Z1786" s="12"/>
    </row>
    <row r="1787" spans="1:26" ht="14.25" customHeight="1" x14ac:dyDescent="0.3">
      <c r="A1787" s="155"/>
      <c r="B1787" s="156"/>
      <c r="C1787" s="3"/>
      <c r="D1787" s="3"/>
      <c r="E1787" s="156"/>
      <c r="F1787" s="3"/>
      <c r="G1787" s="158"/>
      <c r="H1787" s="155"/>
      <c r="I1787" s="155"/>
      <c r="J1787" s="156"/>
      <c r="K1787" s="5"/>
      <c r="L1787" s="3"/>
      <c r="M1787" s="6"/>
      <c r="N1787" s="9"/>
      <c r="O1787" s="158"/>
      <c r="P1787" s="12"/>
      <c r="Q1787" s="12"/>
      <c r="R1787" s="12"/>
      <c r="S1787" s="12"/>
      <c r="T1787" s="12"/>
      <c r="U1787" s="12"/>
      <c r="V1787" s="12"/>
      <c r="W1787" s="12"/>
      <c r="X1787" s="12"/>
      <c r="Y1787" s="12"/>
      <c r="Z1787" s="12"/>
    </row>
    <row r="1788" spans="1:26" ht="14.25" customHeight="1" x14ac:dyDescent="0.3">
      <c r="A1788" s="155"/>
      <c r="B1788" s="156"/>
      <c r="C1788" s="3"/>
      <c r="D1788" s="3"/>
      <c r="E1788" s="156"/>
      <c r="F1788" s="3"/>
      <c r="G1788" s="158"/>
      <c r="H1788" s="155"/>
      <c r="I1788" s="155"/>
      <c r="J1788" s="156"/>
      <c r="K1788" s="5"/>
      <c r="L1788" s="3"/>
      <c r="M1788" s="6"/>
      <c r="N1788" s="9"/>
      <c r="O1788" s="158"/>
      <c r="P1788" s="12"/>
      <c r="Q1788" s="12"/>
      <c r="R1788" s="12"/>
      <c r="S1788" s="12"/>
      <c r="T1788" s="12"/>
      <c r="U1788" s="12"/>
      <c r="V1788" s="12"/>
      <c r="W1788" s="12"/>
      <c r="X1788" s="12"/>
      <c r="Y1788" s="12"/>
      <c r="Z1788" s="12"/>
    </row>
    <row r="1789" spans="1:26" ht="14.25" customHeight="1" x14ac:dyDescent="0.3">
      <c r="A1789" s="155"/>
      <c r="B1789" s="156"/>
      <c r="C1789" s="3"/>
      <c r="D1789" s="3"/>
      <c r="E1789" s="156"/>
      <c r="F1789" s="3"/>
      <c r="G1789" s="158"/>
      <c r="H1789" s="155"/>
      <c r="I1789" s="155"/>
      <c r="J1789" s="156"/>
      <c r="K1789" s="5"/>
      <c r="L1789" s="3"/>
      <c r="M1789" s="6"/>
      <c r="N1789" s="9"/>
      <c r="O1789" s="158"/>
      <c r="P1789" s="12"/>
      <c r="Q1789" s="12"/>
      <c r="R1789" s="12"/>
      <c r="S1789" s="12"/>
      <c r="T1789" s="12"/>
      <c r="U1789" s="12"/>
      <c r="V1789" s="12"/>
      <c r="W1789" s="12"/>
      <c r="X1789" s="12"/>
      <c r="Y1789" s="12"/>
      <c r="Z1789" s="12"/>
    </row>
    <row r="1790" spans="1:26" ht="14.25" customHeight="1" x14ac:dyDescent="0.3">
      <c r="A1790" s="155"/>
      <c r="B1790" s="156"/>
      <c r="C1790" s="3"/>
      <c r="D1790" s="3"/>
      <c r="E1790" s="156"/>
      <c r="F1790" s="3"/>
      <c r="G1790" s="158"/>
      <c r="H1790" s="155"/>
      <c r="I1790" s="155"/>
      <c r="J1790" s="156"/>
      <c r="K1790" s="5"/>
      <c r="L1790" s="3"/>
      <c r="M1790" s="6"/>
      <c r="N1790" s="9"/>
      <c r="O1790" s="158"/>
      <c r="P1790" s="12"/>
      <c r="Q1790" s="12"/>
      <c r="R1790" s="12"/>
      <c r="S1790" s="12"/>
      <c r="T1790" s="12"/>
      <c r="U1790" s="12"/>
      <c r="V1790" s="12"/>
      <c r="W1790" s="12"/>
      <c r="X1790" s="12"/>
      <c r="Y1790" s="12"/>
      <c r="Z1790" s="12"/>
    </row>
    <row r="1791" spans="1:26" ht="14.25" customHeight="1" x14ac:dyDescent="0.3">
      <c r="A1791" s="155"/>
      <c r="B1791" s="156"/>
      <c r="C1791" s="3"/>
      <c r="D1791" s="3"/>
      <c r="E1791" s="156"/>
      <c r="F1791" s="3"/>
      <c r="G1791" s="158"/>
      <c r="H1791" s="155"/>
      <c r="I1791" s="155"/>
      <c r="J1791" s="156"/>
      <c r="K1791" s="5"/>
      <c r="L1791" s="3"/>
      <c r="M1791" s="6"/>
      <c r="N1791" s="9"/>
      <c r="O1791" s="158"/>
      <c r="P1791" s="12"/>
      <c r="Q1791" s="12"/>
      <c r="R1791" s="12"/>
      <c r="S1791" s="12"/>
      <c r="T1791" s="12"/>
      <c r="U1791" s="12"/>
      <c r="V1791" s="12"/>
      <c r="W1791" s="12"/>
      <c r="X1791" s="12"/>
      <c r="Y1791" s="12"/>
      <c r="Z1791" s="12"/>
    </row>
    <row r="1792" spans="1:26" ht="14.25" customHeight="1" x14ac:dyDescent="0.3">
      <c r="A1792" s="155"/>
      <c r="B1792" s="156"/>
      <c r="C1792" s="3"/>
      <c r="D1792" s="3"/>
      <c r="E1792" s="156"/>
      <c r="F1792" s="3"/>
      <c r="G1792" s="158"/>
      <c r="H1792" s="155"/>
      <c r="I1792" s="155"/>
      <c r="J1792" s="156"/>
      <c r="K1792" s="5"/>
      <c r="L1792" s="3"/>
      <c r="M1792" s="6"/>
      <c r="N1792" s="9"/>
      <c r="O1792" s="158"/>
      <c r="P1792" s="12"/>
      <c r="Q1792" s="12"/>
      <c r="R1792" s="12"/>
      <c r="S1792" s="12"/>
      <c r="T1792" s="12"/>
      <c r="U1792" s="12"/>
      <c r="V1792" s="12"/>
      <c r="W1792" s="12"/>
      <c r="X1792" s="12"/>
      <c r="Y1792" s="12"/>
      <c r="Z1792" s="12"/>
    </row>
    <row r="1793" spans="1:26" ht="14.25" customHeight="1" x14ac:dyDescent="0.3">
      <c r="A1793" s="155"/>
      <c r="B1793" s="156"/>
      <c r="C1793" s="3"/>
      <c r="D1793" s="3"/>
      <c r="E1793" s="156"/>
      <c r="F1793" s="3"/>
      <c r="G1793" s="158"/>
      <c r="H1793" s="155"/>
      <c r="I1793" s="155"/>
      <c r="J1793" s="156"/>
      <c r="K1793" s="5"/>
      <c r="L1793" s="3"/>
      <c r="M1793" s="6"/>
      <c r="N1793" s="9"/>
      <c r="O1793" s="158"/>
      <c r="P1793" s="12"/>
      <c r="Q1793" s="12"/>
      <c r="R1793" s="12"/>
      <c r="S1793" s="12"/>
      <c r="T1793" s="12"/>
      <c r="U1793" s="12"/>
      <c r="V1793" s="12"/>
      <c r="W1793" s="12"/>
      <c r="X1793" s="12"/>
      <c r="Y1793" s="12"/>
      <c r="Z1793" s="12"/>
    </row>
    <row r="1794" spans="1:26" ht="14.25" customHeight="1" x14ac:dyDescent="0.3">
      <c r="A1794" s="155"/>
      <c r="B1794" s="156"/>
      <c r="C1794" s="3"/>
      <c r="D1794" s="3"/>
      <c r="E1794" s="156"/>
      <c r="F1794" s="3"/>
      <c r="G1794" s="158"/>
      <c r="H1794" s="155"/>
      <c r="I1794" s="155"/>
      <c r="J1794" s="156"/>
      <c r="K1794" s="5"/>
      <c r="L1794" s="3"/>
      <c r="M1794" s="6"/>
      <c r="N1794" s="9"/>
      <c r="O1794" s="158"/>
      <c r="P1794" s="12"/>
      <c r="Q1794" s="12"/>
      <c r="R1794" s="12"/>
      <c r="S1794" s="12"/>
      <c r="T1794" s="12"/>
      <c r="U1794" s="12"/>
      <c r="V1794" s="12"/>
      <c r="W1794" s="12"/>
      <c r="X1794" s="12"/>
      <c r="Y1794" s="12"/>
      <c r="Z1794" s="12"/>
    </row>
    <row r="1795" spans="1:26" ht="14.25" customHeight="1" x14ac:dyDescent="0.3">
      <c r="A1795" s="155"/>
      <c r="B1795" s="156"/>
      <c r="C1795" s="3"/>
      <c r="D1795" s="3"/>
      <c r="E1795" s="156"/>
      <c r="F1795" s="3"/>
      <c r="G1795" s="158"/>
      <c r="H1795" s="155"/>
      <c r="I1795" s="155"/>
      <c r="J1795" s="156"/>
      <c r="K1795" s="5"/>
      <c r="L1795" s="3"/>
      <c r="M1795" s="6"/>
      <c r="N1795" s="9"/>
      <c r="O1795" s="158"/>
      <c r="P1795" s="12"/>
      <c r="Q1795" s="12"/>
      <c r="R1795" s="12"/>
      <c r="S1795" s="12"/>
      <c r="T1795" s="12"/>
      <c r="U1795" s="12"/>
      <c r="V1795" s="12"/>
      <c r="W1795" s="12"/>
      <c r="X1795" s="12"/>
      <c r="Y1795" s="12"/>
      <c r="Z1795" s="12"/>
    </row>
    <row r="1796" spans="1:26" ht="14.25" customHeight="1" x14ac:dyDescent="0.3">
      <c r="A1796" s="155"/>
      <c r="B1796" s="156"/>
      <c r="C1796" s="3"/>
      <c r="D1796" s="3"/>
      <c r="E1796" s="156"/>
      <c r="F1796" s="3"/>
      <c r="G1796" s="158"/>
      <c r="H1796" s="155"/>
      <c r="I1796" s="155"/>
      <c r="J1796" s="156"/>
      <c r="K1796" s="5"/>
      <c r="L1796" s="3"/>
      <c r="M1796" s="6"/>
      <c r="N1796" s="9"/>
      <c r="O1796" s="158"/>
      <c r="P1796" s="12"/>
      <c r="Q1796" s="12"/>
      <c r="R1796" s="12"/>
      <c r="S1796" s="12"/>
      <c r="T1796" s="12"/>
      <c r="U1796" s="12"/>
      <c r="V1796" s="12"/>
      <c r="W1796" s="12"/>
      <c r="X1796" s="12"/>
      <c r="Y1796" s="12"/>
      <c r="Z1796" s="12"/>
    </row>
    <row r="1797" spans="1:26" ht="14.25" customHeight="1" x14ac:dyDescent="0.3">
      <c r="A1797" s="155"/>
      <c r="B1797" s="156"/>
      <c r="C1797" s="3"/>
      <c r="D1797" s="3"/>
      <c r="E1797" s="156"/>
      <c r="F1797" s="3"/>
      <c r="G1797" s="158"/>
      <c r="H1797" s="155"/>
      <c r="I1797" s="155"/>
      <c r="J1797" s="156"/>
      <c r="K1797" s="5"/>
      <c r="L1797" s="3"/>
      <c r="M1797" s="6"/>
      <c r="N1797" s="9"/>
      <c r="O1797" s="158"/>
      <c r="P1797" s="12"/>
      <c r="Q1797" s="12"/>
      <c r="R1797" s="12"/>
      <c r="S1797" s="12"/>
      <c r="T1797" s="12"/>
      <c r="U1797" s="12"/>
      <c r="V1797" s="12"/>
      <c r="W1797" s="12"/>
      <c r="X1797" s="12"/>
      <c r="Y1797" s="12"/>
      <c r="Z1797" s="12"/>
    </row>
    <row r="1798" spans="1:26" ht="14.25" customHeight="1" x14ac:dyDescent="0.3">
      <c r="A1798" s="155"/>
      <c r="B1798" s="156"/>
      <c r="C1798" s="3"/>
      <c r="D1798" s="3"/>
      <c r="E1798" s="156"/>
      <c r="F1798" s="3"/>
      <c r="G1798" s="158"/>
      <c r="H1798" s="155"/>
      <c r="I1798" s="155"/>
      <c r="J1798" s="156"/>
      <c r="K1798" s="5"/>
      <c r="L1798" s="3"/>
      <c r="M1798" s="6"/>
      <c r="N1798" s="9"/>
      <c r="O1798" s="158"/>
      <c r="P1798" s="12"/>
      <c r="Q1798" s="12"/>
      <c r="R1798" s="12"/>
      <c r="S1798" s="12"/>
      <c r="T1798" s="12"/>
      <c r="U1798" s="12"/>
      <c r="V1798" s="12"/>
      <c r="W1798" s="12"/>
      <c r="X1798" s="12"/>
      <c r="Y1798" s="12"/>
      <c r="Z1798" s="12"/>
    </row>
    <row r="1799" spans="1:26" ht="14.25" customHeight="1" x14ac:dyDescent="0.3">
      <c r="A1799" s="155"/>
      <c r="B1799" s="156"/>
      <c r="C1799" s="3"/>
      <c r="D1799" s="3"/>
      <c r="E1799" s="156"/>
      <c r="F1799" s="3"/>
      <c r="G1799" s="158"/>
      <c r="H1799" s="155"/>
      <c r="I1799" s="155"/>
      <c r="J1799" s="156"/>
      <c r="K1799" s="5"/>
      <c r="L1799" s="3"/>
      <c r="M1799" s="6"/>
      <c r="N1799" s="9"/>
      <c r="O1799" s="158"/>
      <c r="P1799" s="12"/>
      <c r="Q1799" s="12"/>
      <c r="R1799" s="12"/>
      <c r="S1799" s="12"/>
      <c r="T1799" s="12"/>
      <c r="U1799" s="12"/>
      <c r="V1799" s="12"/>
      <c r="W1799" s="12"/>
      <c r="X1799" s="12"/>
      <c r="Y1799" s="12"/>
      <c r="Z1799" s="12"/>
    </row>
    <row r="1800" spans="1:26" ht="14.25" customHeight="1" x14ac:dyDescent="0.3">
      <c r="A1800" s="155"/>
      <c r="B1800" s="156"/>
      <c r="C1800" s="3"/>
      <c r="D1800" s="3"/>
      <c r="E1800" s="156"/>
      <c r="F1800" s="3"/>
      <c r="G1800" s="158"/>
      <c r="H1800" s="155"/>
      <c r="I1800" s="155"/>
      <c r="J1800" s="156"/>
      <c r="K1800" s="5"/>
      <c r="L1800" s="3"/>
      <c r="M1800" s="6"/>
      <c r="N1800" s="9"/>
      <c r="O1800" s="158"/>
      <c r="P1800" s="12"/>
      <c r="Q1800" s="12"/>
      <c r="R1800" s="12"/>
      <c r="S1800" s="12"/>
      <c r="T1800" s="12"/>
      <c r="U1800" s="12"/>
      <c r="V1800" s="12"/>
      <c r="W1800" s="12"/>
      <c r="X1800" s="12"/>
      <c r="Y1800" s="12"/>
      <c r="Z1800" s="12"/>
    </row>
    <row r="1801" spans="1:26" ht="14.25" customHeight="1" x14ac:dyDescent="0.3">
      <c r="A1801" s="155"/>
      <c r="B1801" s="156"/>
      <c r="C1801" s="3"/>
      <c r="D1801" s="3"/>
      <c r="E1801" s="156"/>
      <c r="F1801" s="3"/>
      <c r="G1801" s="158"/>
      <c r="H1801" s="155"/>
      <c r="I1801" s="155"/>
      <c r="J1801" s="156"/>
      <c r="K1801" s="5"/>
      <c r="L1801" s="3"/>
      <c r="M1801" s="6"/>
      <c r="N1801" s="9"/>
      <c r="O1801" s="158"/>
      <c r="P1801" s="12"/>
      <c r="Q1801" s="12"/>
      <c r="R1801" s="12"/>
      <c r="S1801" s="12"/>
      <c r="T1801" s="12"/>
      <c r="U1801" s="12"/>
      <c r="V1801" s="12"/>
      <c r="W1801" s="12"/>
      <c r="X1801" s="12"/>
      <c r="Y1801" s="12"/>
      <c r="Z1801" s="12"/>
    </row>
    <row r="1802" spans="1:26" ht="14.25" customHeight="1" x14ac:dyDescent="0.3">
      <c r="A1802" s="155"/>
      <c r="B1802" s="156"/>
      <c r="C1802" s="3"/>
      <c r="D1802" s="3"/>
      <c r="E1802" s="156"/>
      <c r="F1802" s="3"/>
      <c r="G1802" s="158"/>
      <c r="H1802" s="155"/>
      <c r="I1802" s="155"/>
      <c r="J1802" s="156"/>
      <c r="K1802" s="5"/>
      <c r="L1802" s="3"/>
      <c r="M1802" s="6"/>
      <c r="N1802" s="9"/>
      <c r="O1802" s="158"/>
      <c r="P1802" s="12"/>
      <c r="Q1802" s="12"/>
      <c r="R1802" s="12"/>
      <c r="S1802" s="12"/>
      <c r="T1802" s="12"/>
      <c r="U1802" s="12"/>
      <c r="V1802" s="12"/>
      <c r="W1802" s="12"/>
      <c r="X1802" s="12"/>
      <c r="Y1802" s="12"/>
      <c r="Z1802" s="12"/>
    </row>
    <row r="1803" spans="1:26" ht="14.25" customHeight="1" x14ac:dyDescent="0.3">
      <c r="A1803" s="155"/>
      <c r="B1803" s="156"/>
      <c r="C1803" s="3"/>
      <c r="D1803" s="3"/>
      <c r="E1803" s="156"/>
      <c r="F1803" s="3"/>
      <c r="G1803" s="158"/>
      <c r="H1803" s="155"/>
      <c r="I1803" s="155"/>
      <c r="J1803" s="156"/>
      <c r="K1803" s="5"/>
      <c r="L1803" s="3"/>
      <c r="M1803" s="6"/>
      <c r="N1803" s="9"/>
      <c r="O1803" s="158"/>
      <c r="P1803" s="12"/>
      <c r="Q1803" s="12"/>
      <c r="R1803" s="12"/>
      <c r="S1803" s="12"/>
      <c r="T1803" s="12"/>
      <c r="U1803" s="12"/>
      <c r="V1803" s="12"/>
      <c r="W1803" s="12"/>
      <c r="X1803" s="12"/>
      <c r="Y1803" s="12"/>
      <c r="Z1803" s="12"/>
    </row>
    <row r="1804" spans="1:26" ht="14.25" customHeight="1" x14ac:dyDescent="0.3">
      <c r="A1804" s="155"/>
      <c r="B1804" s="156"/>
      <c r="C1804" s="3"/>
      <c r="D1804" s="3"/>
      <c r="E1804" s="156"/>
      <c r="F1804" s="3"/>
      <c r="G1804" s="158"/>
      <c r="H1804" s="155"/>
      <c r="I1804" s="155"/>
      <c r="J1804" s="156"/>
      <c r="K1804" s="5"/>
      <c r="L1804" s="3"/>
      <c r="M1804" s="6"/>
      <c r="N1804" s="9"/>
      <c r="O1804" s="158"/>
      <c r="P1804" s="12"/>
      <c r="Q1804" s="12"/>
      <c r="R1804" s="12"/>
      <c r="S1804" s="12"/>
      <c r="T1804" s="12"/>
      <c r="U1804" s="12"/>
      <c r="V1804" s="12"/>
      <c r="W1804" s="12"/>
      <c r="X1804" s="12"/>
      <c r="Y1804" s="12"/>
      <c r="Z1804" s="12"/>
    </row>
    <row r="1805" spans="1:26" ht="14.25" customHeight="1" x14ac:dyDescent="0.3">
      <c r="A1805" s="155"/>
      <c r="B1805" s="156"/>
      <c r="C1805" s="3"/>
      <c r="D1805" s="3"/>
      <c r="E1805" s="156"/>
      <c r="F1805" s="3"/>
      <c r="G1805" s="158"/>
      <c r="H1805" s="155"/>
      <c r="I1805" s="155"/>
      <c r="J1805" s="156"/>
      <c r="K1805" s="5"/>
      <c r="L1805" s="3"/>
      <c r="M1805" s="6"/>
      <c r="N1805" s="9"/>
      <c r="O1805" s="158"/>
      <c r="P1805" s="12"/>
      <c r="Q1805" s="12"/>
      <c r="R1805" s="12"/>
      <c r="S1805" s="12"/>
      <c r="T1805" s="12"/>
      <c r="U1805" s="12"/>
      <c r="V1805" s="12"/>
      <c r="W1805" s="12"/>
      <c r="X1805" s="12"/>
      <c r="Y1805" s="12"/>
      <c r="Z1805" s="12"/>
    </row>
    <row r="1806" spans="1:26" ht="14.25" customHeight="1" x14ac:dyDescent="0.3">
      <c r="A1806" s="155"/>
      <c r="B1806" s="156"/>
      <c r="C1806" s="3"/>
      <c r="D1806" s="3"/>
      <c r="E1806" s="156"/>
      <c r="F1806" s="3"/>
      <c r="G1806" s="158"/>
      <c r="H1806" s="155"/>
      <c r="I1806" s="155"/>
      <c r="J1806" s="156"/>
      <c r="K1806" s="5"/>
      <c r="L1806" s="3"/>
      <c r="M1806" s="6"/>
      <c r="N1806" s="9"/>
      <c r="O1806" s="158"/>
      <c r="P1806" s="12"/>
      <c r="Q1806" s="12"/>
      <c r="R1806" s="12"/>
      <c r="S1806" s="12"/>
      <c r="T1806" s="12"/>
      <c r="U1806" s="12"/>
      <c r="V1806" s="12"/>
      <c r="W1806" s="12"/>
      <c r="X1806" s="12"/>
      <c r="Y1806" s="12"/>
      <c r="Z1806" s="12"/>
    </row>
    <row r="1807" spans="1:26" ht="14.25" customHeight="1" x14ac:dyDescent="0.3">
      <c r="A1807" s="155"/>
      <c r="B1807" s="156"/>
      <c r="C1807" s="3"/>
      <c r="D1807" s="3"/>
      <c r="E1807" s="156"/>
      <c r="F1807" s="3"/>
      <c r="G1807" s="158"/>
      <c r="H1807" s="155"/>
      <c r="I1807" s="155"/>
      <c r="J1807" s="156"/>
      <c r="K1807" s="5"/>
      <c r="L1807" s="3"/>
      <c r="M1807" s="6"/>
      <c r="N1807" s="9"/>
      <c r="O1807" s="158"/>
      <c r="P1807" s="12"/>
      <c r="Q1807" s="12"/>
      <c r="R1807" s="12"/>
      <c r="S1807" s="12"/>
      <c r="T1807" s="12"/>
      <c r="U1807" s="12"/>
      <c r="V1807" s="12"/>
      <c r="W1807" s="12"/>
      <c r="X1807" s="12"/>
      <c r="Y1807" s="12"/>
      <c r="Z1807" s="12"/>
    </row>
    <row r="1808" spans="1:26" ht="14.25" customHeight="1" x14ac:dyDescent="0.3">
      <c r="A1808" s="155"/>
      <c r="B1808" s="156"/>
      <c r="C1808" s="3"/>
      <c r="D1808" s="3"/>
      <c r="E1808" s="156"/>
      <c r="F1808" s="3"/>
      <c r="G1808" s="158"/>
      <c r="H1808" s="155"/>
      <c r="I1808" s="155"/>
      <c r="J1808" s="156"/>
      <c r="K1808" s="5"/>
      <c r="L1808" s="3"/>
      <c r="M1808" s="6"/>
      <c r="N1808" s="9"/>
      <c r="O1808" s="158"/>
      <c r="P1808" s="12"/>
      <c r="Q1808" s="12"/>
      <c r="R1808" s="12"/>
      <c r="S1808" s="12"/>
      <c r="T1808" s="12"/>
      <c r="U1808" s="12"/>
      <c r="V1808" s="12"/>
      <c r="W1808" s="12"/>
      <c r="X1808" s="12"/>
      <c r="Y1808" s="12"/>
      <c r="Z1808" s="12"/>
    </row>
    <row r="1809" spans="1:26" ht="14.25" customHeight="1" x14ac:dyDescent="0.3">
      <c r="A1809" s="155"/>
      <c r="B1809" s="156"/>
      <c r="C1809" s="3"/>
      <c r="D1809" s="3"/>
      <c r="E1809" s="156"/>
      <c r="F1809" s="3"/>
      <c r="G1809" s="158"/>
      <c r="H1809" s="155"/>
      <c r="I1809" s="155"/>
      <c r="J1809" s="156"/>
      <c r="K1809" s="5"/>
      <c r="L1809" s="3"/>
      <c r="M1809" s="6"/>
      <c r="N1809" s="9"/>
      <c r="O1809" s="158"/>
      <c r="P1809" s="12"/>
      <c r="Q1809" s="12"/>
      <c r="R1809" s="12"/>
      <c r="S1809" s="12"/>
      <c r="T1809" s="12"/>
      <c r="U1809" s="12"/>
      <c r="V1809" s="12"/>
      <c r="W1809" s="12"/>
      <c r="X1809" s="12"/>
      <c r="Y1809" s="12"/>
      <c r="Z1809" s="12"/>
    </row>
    <row r="1810" spans="1:26" ht="14.25" customHeight="1" x14ac:dyDescent="0.3">
      <c r="A1810" s="155"/>
      <c r="B1810" s="156"/>
      <c r="C1810" s="3"/>
      <c r="D1810" s="3"/>
      <c r="E1810" s="156"/>
      <c r="F1810" s="3"/>
      <c r="G1810" s="158"/>
      <c r="H1810" s="155"/>
      <c r="I1810" s="155"/>
      <c r="J1810" s="156"/>
      <c r="K1810" s="5"/>
      <c r="L1810" s="3"/>
      <c r="M1810" s="6"/>
      <c r="N1810" s="9"/>
      <c r="O1810" s="158"/>
      <c r="P1810" s="12"/>
      <c r="Q1810" s="12"/>
      <c r="R1810" s="12"/>
      <c r="S1810" s="12"/>
      <c r="T1810" s="12"/>
      <c r="U1810" s="12"/>
      <c r="V1810" s="12"/>
      <c r="W1810" s="12"/>
      <c r="X1810" s="12"/>
      <c r="Y1810" s="12"/>
      <c r="Z1810" s="12"/>
    </row>
    <row r="1811" spans="1:26" ht="14.25" customHeight="1" x14ac:dyDescent="0.3">
      <c r="A1811" s="155"/>
      <c r="B1811" s="156"/>
      <c r="C1811" s="3"/>
      <c r="D1811" s="3"/>
      <c r="E1811" s="156"/>
      <c r="F1811" s="3"/>
      <c r="G1811" s="158"/>
      <c r="H1811" s="155"/>
      <c r="I1811" s="155"/>
      <c r="J1811" s="156"/>
      <c r="K1811" s="5"/>
      <c r="L1811" s="3"/>
      <c r="M1811" s="6"/>
      <c r="N1811" s="9"/>
      <c r="O1811" s="158"/>
      <c r="P1811" s="12"/>
      <c r="Q1811" s="12"/>
      <c r="R1811" s="12"/>
      <c r="S1811" s="12"/>
      <c r="T1811" s="12"/>
      <c r="U1811" s="12"/>
      <c r="V1811" s="12"/>
      <c r="W1811" s="12"/>
      <c r="X1811" s="12"/>
      <c r="Y1811" s="12"/>
      <c r="Z1811" s="12"/>
    </row>
    <row r="1812" spans="1:26" ht="14.25" customHeight="1" x14ac:dyDescent="0.3">
      <c r="A1812" s="155"/>
      <c r="B1812" s="156"/>
      <c r="C1812" s="3"/>
      <c r="D1812" s="3"/>
      <c r="E1812" s="156"/>
      <c r="F1812" s="3"/>
      <c r="G1812" s="158"/>
      <c r="H1812" s="155"/>
      <c r="I1812" s="155"/>
      <c r="J1812" s="156"/>
      <c r="K1812" s="5"/>
      <c r="L1812" s="3"/>
      <c r="M1812" s="6"/>
      <c r="N1812" s="9"/>
      <c r="O1812" s="158"/>
      <c r="P1812" s="12"/>
      <c r="Q1812" s="12"/>
      <c r="R1812" s="12"/>
      <c r="S1812" s="12"/>
      <c r="T1812" s="12"/>
      <c r="U1812" s="12"/>
      <c r="V1812" s="12"/>
      <c r="W1812" s="12"/>
      <c r="X1812" s="12"/>
      <c r="Y1812" s="12"/>
      <c r="Z1812" s="12"/>
    </row>
    <row r="1813" spans="1:26" ht="14.25" customHeight="1" x14ac:dyDescent="0.3">
      <c r="A1813" s="155"/>
      <c r="B1813" s="156"/>
      <c r="C1813" s="3"/>
      <c r="D1813" s="3"/>
      <c r="E1813" s="156"/>
      <c r="F1813" s="3"/>
      <c r="G1813" s="158"/>
      <c r="H1813" s="155"/>
      <c r="I1813" s="155"/>
      <c r="J1813" s="156"/>
      <c r="K1813" s="5"/>
      <c r="L1813" s="3"/>
      <c r="M1813" s="6"/>
      <c r="N1813" s="9"/>
      <c r="O1813" s="158"/>
      <c r="P1813" s="12"/>
      <c r="Q1813" s="12"/>
      <c r="R1813" s="12"/>
      <c r="S1813" s="12"/>
      <c r="T1813" s="12"/>
      <c r="U1813" s="12"/>
      <c r="V1813" s="12"/>
      <c r="W1813" s="12"/>
      <c r="X1813" s="12"/>
      <c r="Y1813" s="12"/>
      <c r="Z1813" s="12"/>
    </row>
    <row r="1814" spans="1:26" ht="14.25" customHeight="1" x14ac:dyDescent="0.3">
      <c r="A1814" s="155"/>
      <c r="B1814" s="156"/>
      <c r="C1814" s="3"/>
      <c r="D1814" s="3"/>
      <c r="E1814" s="156"/>
      <c r="F1814" s="3"/>
      <c r="G1814" s="158"/>
      <c r="H1814" s="155"/>
      <c r="I1814" s="155"/>
      <c r="J1814" s="156"/>
      <c r="K1814" s="5"/>
      <c r="L1814" s="3"/>
      <c r="M1814" s="6"/>
      <c r="N1814" s="9"/>
      <c r="O1814" s="158"/>
      <c r="P1814" s="12"/>
      <c r="Q1814" s="12"/>
      <c r="R1814" s="12"/>
      <c r="S1814" s="12"/>
      <c r="T1814" s="12"/>
      <c r="U1814" s="12"/>
      <c r="V1814" s="12"/>
      <c r="W1814" s="12"/>
      <c r="X1814" s="12"/>
      <c r="Y1814" s="12"/>
      <c r="Z1814" s="12"/>
    </row>
    <row r="1815" spans="1:26" ht="14.25" customHeight="1" x14ac:dyDescent="0.3">
      <c r="A1815" s="155"/>
      <c r="B1815" s="156"/>
      <c r="C1815" s="3"/>
      <c r="D1815" s="3"/>
      <c r="E1815" s="156"/>
      <c r="F1815" s="3"/>
      <c r="G1815" s="158"/>
      <c r="H1815" s="155"/>
      <c r="I1815" s="155"/>
      <c r="J1815" s="156"/>
      <c r="K1815" s="5"/>
      <c r="L1815" s="3"/>
      <c r="M1815" s="6"/>
      <c r="N1815" s="9"/>
      <c r="O1815" s="158"/>
      <c r="P1815" s="12"/>
      <c r="Q1815" s="12"/>
      <c r="R1815" s="12"/>
      <c r="S1815" s="12"/>
      <c r="T1815" s="12"/>
      <c r="U1815" s="12"/>
      <c r="V1815" s="12"/>
      <c r="W1815" s="12"/>
      <c r="X1815" s="12"/>
      <c r="Y1815" s="12"/>
      <c r="Z1815" s="12"/>
    </row>
    <row r="1816" spans="1:26" ht="14.25" customHeight="1" x14ac:dyDescent="0.3">
      <c r="A1816" s="155"/>
      <c r="B1816" s="156"/>
      <c r="C1816" s="3"/>
      <c r="D1816" s="3"/>
      <c r="E1816" s="156"/>
      <c r="F1816" s="3"/>
      <c r="G1816" s="158"/>
      <c r="H1816" s="155"/>
      <c r="I1816" s="155"/>
      <c r="J1816" s="156"/>
      <c r="K1816" s="5"/>
      <c r="L1816" s="3"/>
      <c r="M1816" s="6"/>
      <c r="N1816" s="9"/>
      <c r="O1816" s="158"/>
      <c r="P1816" s="12"/>
      <c r="Q1816" s="12"/>
      <c r="R1816" s="12"/>
      <c r="S1816" s="12"/>
      <c r="T1816" s="12"/>
      <c r="U1816" s="12"/>
      <c r="V1816" s="12"/>
      <c r="W1816" s="12"/>
      <c r="X1816" s="12"/>
      <c r="Y1816" s="12"/>
      <c r="Z1816" s="12"/>
    </row>
    <row r="1817" spans="1:26" ht="14.25" customHeight="1" x14ac:dyDescent="0.3">
      <c r="A1817" s="155"/>
      <c r="B1817" s="156"/>
      <c r="C1817" s="3"/>
      <c r="D1817" s="3"/>
      <c r="E1817" s="156"/>
      <c r="F1817" s="3"/>
      <c r="G1817" s="158"/>
      <c r="H1817" s="155"/>
      <c r="I1817" s="155"/>
      <c r="J1817" s="156"/>
      <c r="K1817" s="5"/>
      <c r="L1817" s="3"/>
      <c r="M1817" s="6"/>
      <c r="N1817" s="9"/>
      <c r="O1817" s="158"/>
      <c r="P1817" s="12"/>
      <c r="Q1817" s="12"/>
      <c r="R1817" s="12"/>
      <c r="S1817" s="12"/>
      <c r="T1817" s="12"/>
      <c r="U1817" s="12"/>
      <c r="V1817" s="12"/>
      <c r="W1817" s="12"/>
      <c r="X1817" s="12"/>
      <c r="Y1817" s="12"/>
      <c r="Z1817" s="12"/>
    </row>
    <row r="1818" spans="1:26" ht="14.25" customHeight="1" x14ac:dyDescent="0.3">
      <c r="A1818" s="155"/>
      <c r="B1818" s="156"/>
      <c r="C1818" s="3"/>
      <c r="D1818" s="3"/>
      <c r="E1818" s="156"/>
      <c r="F1818" s="3"/>
      <c r="G1818" s="158"/>
      <c r="H1818" s="155"/>
      <c r="I1818" s="155"/>
      <c r="J1818" s="156"/>
      <c r="K1818" s="5"/>
      <c r="L1818" s="3"/>
      <c r="M1818" s="6"/>
      <c r="N1818" s="9"/>
      <c r="O1818" s="158"/>
      <c r="P1818" s="12"/>
      <c r="Q1818" s="12"/>
      <c r="R1818" s="12"/>
      <c r="S1818" s="12"/>
      <c r="T1818" s="12"/>
      <c r="U1818" s="12"/>
      <c r="V1818" s="12"/>
      <c r="W1818" s="12"/>
      <c r="X1818" s="12"/>
      <c r="Y1818" s="12"/>
      <c r="Z1818" s="12"/>
    </row>
    <row r="1819" spans="1:26" ht="14.25" customHeight="1" x14ac:dyDescent="0.3">
      <c r="A1819" s="155"/>
      <c r="B1819" s="156"/>
      <c r="C1819" s="3"/>
      <c r="D1819" s="3"/>
      <c r="E1819" s="156"/>
      <c r="F1819" s="3"/>
      <c r="G1819" s="158"/>
      <c r="H1819" s="155"/>
      <c r="I1819" s="155"/>
      <c r="J1819" s="156"/>
      <c r="K1819" s="5"/>
      <c r="L1819" s="3"/>
      <c r="M1819" s="6"/>
      <c r="N1819" s="9"/>
      <c r="O1819" s="158"/>
      <c r="P1819" s="12"/>
      <c r="Q1819" s="12"/>
      <c r="R1819" s="12"/>
      <c r="S1819" s="12"/>
      <c r="T1819" s="12"/>
      <c r="U1819" s="12"/>
      <c r="V1819" s="12"/>
      <c r="W1819" s="12"/>
      <c r="X1819" s="12"/>
      <c r="Y1819" s="12"/>
      <c r="Z1819" s="12"/>
    </row>
    <row r="1820" spans="1:26" ht="14.25" customHeight="1" x14ac:dyDescent="0.3">
      <c r="A1820" s="155"/>
      <c r="B1820" s="156"/>
      <c r="C1820" s="3"/>
      <c r="D1820" s="3"/>
      <c r="E1820" s="156"/>
      <c r="F1820" s="3"/>
      <c r="G1820" s="158"/>
      <c r="H1820" s="155"/>
      <c r="I1820" s="155"/>
      <c r="J1820" s="156"/>
      <c r="K1820" s="5"/>
      <c r="L1820" s="3"/>
      <c r="M1820" s="6"/>
      <c r="N1820" s="9"/>
      <c r="O1820" s="158"/>
      <c r="P1820" s="12"/>
      <c r="Q1820" s="12"/>
      <c r="R1820" s="12"/>
      <c r="S1820" s="12"/>
      <c r="T1820" s="12"/>
      <c r="U1820" s="12"/>
      <c r="V1820" s="12"/>
      <c r="W1820" s="12"/>
      <c r="X1820" s="12"/>
      <c r="Y1820" s="12"/>
      <c r="Z1820" s="12"/>
    </row>
    <row r="1821" spans="1:26" ht="14.25" customHeight="1" x14ac:dyDescent="0.3">
      <c r="A1821" s="155"/>
      <c r="B1821" s="156"/>
      <c r="C1821" s="3"/>
      <c r="D1821" s="3"/>
      <c r="E1821" s="156"/>
      <c r="F1821" s="3"/>
      <c r="G1821" s="158"/>
      <c r="H1821" s="155"/>
      <c r="I1821" s="155"/>
      <c r="J1821" s="156"/>
      <c r="K1821" s="5"/>
      <c r="L1821" s="3"/>
      <c r="M1821" s="6"/>
      <c r="N1821" s="9"/>
      <c r="O1821" s="158"/>
      <c r="P1821" s="12"/>
      <c r="Q1821" s="12"/>
      <c r="R1821" s="12"/>
      <c r="S1821" s="12"/>
      <c r="T1821" s="12"/>
      <c r="U1821" s="12"/>
      <c r="V1821" s="12"/>
      <c r="W1821" s="12"/>
      <c r="X1821" s="12"/>
      <c r="Y1821" s="12"/>
      <c r="Z1821" s="12"/>
    </row>
    <row r="1822" spans="1:26" ht="14.25" customHeight="1" x14ac:dyDescent="0.3">
      <c r="A1822" s="155"/>
      <c r="B1822" s="156"/>
      <c r="C1822" s="3"/>
      <c r="D1822" s="3"/>
      <c r="E1822" s="156"/>
      <c r="F1822" s="3"/>
      <c r="G1822" s="158"/>
      <c r="H1822" s="155"/>
      <c r="I1822" s="155"/>
      <c r="J1822" s="156"/>
      <c r="K1822" s="5"/>
      <c r="L1822" s="3"/>
      <c r="M1822" s="6"/>
      <c r="N1822" s="9"/>
      <c r="O1822" s="158"/>
      <c r="P1822" s="12"/>
      <c r="Q1822" s="12"/>
      <c r="R1822" s="12"/>
      <c r="S1822" s="12"/>
      <c r="T1822" s="12"/>
      <c r="U1822" s="12"/>
      <c r="V1822" s="12"/>
      <c r="W1822" s="12"/>
      <c r="X1822" s="12"/>
      <c r="Y1822" s="12"/>
      <c r="Z1822" s="12"/>
    </row>
    <row r="1823" spans="1:26" ht="14.25" customHeight="1" x14ac:dyDescent="0.3">
      <c r="A1823" s="155"/>
      <c r="B1823" s="156"/>
      <c r="C1823" s="3"/>
      <c r="D1823" s="3"/>
      <c r="E1823" s="156"/>
      <c r="F1823" s="3"/>
      <c r="G1823" s="158"/>
      <c r="H1823" s="155"/>
      <c r="I1823" s="155"/>
      <c r="J1823" s="156"/>
      <c r="K1823" s="5"/>
      <c r="L1823" s="3"/>
      <c r="M1823" s="6"/>
      <c r="N1823" s="9"/>
      <c r="O1823" s="158"/>
      <c r="P1823" s="12"/>
      <c r="Q1823" s="12"/>
      <c r="R1823" s="12"/>
      <c r="S1823" s="12"/>
      <c r="T1823" s="12"/>
      <c r="U1823" s="12"/>
      <c r="V1823" s="12"/>
      <c r="W1823" s="12"/>
      <c r="X1823" s="12"/>
      <c r="Y1823" s="12"/>
      <c r="Z1823" s="12"/>
    </row>
    <row r="1824" spans="1:26" ht="14.25" customHeight="1" x14ac:dyDescent="0.3">
      <c r="A1824" s="155"/>
      <c r="B1824" s="156"/>
      <c r="C1824" s="3"/>
      <c r="D1824" s="3"/>
      <c r="E1824" s="156"/>
      <c r="F1824" s="3"/>
      <c r="G1824" s="158"/>
      <c r="H1824" s="155"/>
      <c r="I1824" s="155"/>
      <c r="J1824" s="156"/>
      <c r="K1824" s="5"/>
      <c r="L1824" s="3"/>
      <c r="M1824" s="6"/>
      <c r="N1824" s="9"/>
      <c r="O1824" s="158"/>
      <c r="P1824" s="12"/>
      <c r="Q1824" s="12"/>
      <c r="R1824" s="12"/>
      <c r="S1824" s="12"/>
      <c r="T1824" s="12"/>
      <c r="U1824" s="12"/>
      <c r="V1824" s="12"/>
      <c r="W1824" s="12"/>
      <c r="X1824" s="12"/>
      <c r="Y1824" s="12"/>
      <c r="Z1824" s="12"/>
    </row>
    <row r="1825" spans="1:26" ht="14.25" customHeight="1" x14ac:dyDescent="0.3">
      <c r="A1825" s="155"/>
      <c r="B1825" s="156"/>
      <c r="C1825" s="3"/>
      <c r="D1825" s="3"/>
      <c r="E1825" s="156"/>
      <c r="F1825" s="3"/>
      <c r="G1825" s="158"/>
      <c r="H1825" s="155"/>
      <c r="I1825" s="155"/>
      <c r="J1825" s="156"/>
      <c r="K1825" s="5"/>
      <c r="L1825" s="3"/>
      <c r="M1825" s="6"/>
      <c r="N1825" s="9"/>
      <c r="O1825" s="158"/>
      <c r="P1825" s="12"/>
      <c r="Q1825" s="12"/>
      <c r="R1825" s="12"/>
      <c r="S1825" s="12"/>
      <c r="T1825" s="12"/>
      <c r="U1825" s="12"/>
      <c r="V1825" s="12"/>
      <c r="W1825" s="12"/>
      <c r="X1825" s="12"/>
      <c r="Y1825" s="12"/>
      <c r="Z1825" s="12"/>
    </row>
    <row r="1826" spans="1:26" ht="14.25" customHeight="1" x14ac:dyDescent="0.3">
      <c r="A1826" s="155"/>
      <c r="B1826" s="156"/>
      <c r="C1826" s="3"/>
      <c r="D1826" s="3"/>
      <c r="E1826" s="156"/>
      <c r="F1826" s="3"/>
      <c r="G1826" s="158"/>
      <c r="H1826" s="155"/>
      <c r="I1826" s="155"/>
      <c r="J1826" s="156"/>
      <c r="K1826" s="5"/>
      <c r="L1826" s="3"/>
      <c r="M1826" s="6"/>
      <c r="N1826" s="9"/>
      <c r="O1826" s="158"/>
      <c r="P1826" s="12"/>
      <c r="Q1826" s="12"/>
      <c r="R1826" s="12"/>
      <c r="S1826" s="12"/>
      <c r="T1826" s="12"/>
      <c r="U1826" s="12"/>
      <c r="V1826" s="12"/>
      <c r="W1826" s="12"/>
      <c r="X1826" s="12"/>
      <c r="Y1826" s="12"/>
      <c r="Z1826" s="12"/>
    </row>
    <row r="1827" spans="1:26" ht="14.25" customHeight="1" x14ac:dyDescent="0.3">
      <c r="A1827" s="155"/>
      <c r="B1827" s="156"/>
      <c r="C1827" s="3"/>
      <c r="D1827" s="3"/>
      <c r="E1827" s="156"/>
      <c r="F1827" s="3"/>
      <c r="G1827" s="158"/>
      <c r="H1827" s="155"/>
      <c r="I1827" s="155"/>
      <c r="J1827" s="156"/>
      <c r="K1827" s="5"/>
      <c r="L1827" s="3"/>
      <c r="M1827" s="6"/>
      <c r="N1827" s="9"/>
      <c r="O1827" s="158"/>
      <c r="P1827" s="12"/>
      <c r="Q1827" s="12"/>
      <c r="R1827" s="12"/>
      <c r="S1827" s="12"/>
      <c r="T1827" s="12"/>
      <c r="U1827" s="12"/>
      <c r="V1827" s="12"/>
      <c r="W1827" s="12"/>
      <c r="X1827" s="12"/>
      <c r="Y1827" s="12"/>
      <c r="Z1827" s="12"/>
    </row>
    <row r="1828" spans="1:26" ht="14.25" customHeight="1" x14ac:dyDescent="0.3">
      <c r="A1828" s="155"/>
      <c r="B1828" s="156"/>
      <c r="C1828" s="3"/>
      <c r="D1828" s="3"/>
      <c r="E1828" s="156"/>
      <c r="F1828" s="3"/>
      <c r="G1828" s="158"/>
      <c r="H1828" s="155"/>
      <c r="I1828" s="155"/>
      <c r="J1828" s="156"/>
      <c r="K1828" s="5"/>
      <c r="L1828" s="3"/>
      <c r="M1828" s="6"/>
      <c r="N1828" s="9"/>
      <c r="O1828" s="158"/>
      <c r="P1828" s="12"/>
      <c r="Q1828" s="12"/>
      <c r="R1828" s="12"/>
      <c r="S1828" s="12"/>
      <c r="T1828" s="12"/>
      <c r="U1828" s="12"/>
      <c r="V1828" s="12"/>
      <c r="W1828" s="12"/>
      <c r="X1828" s="12"/>
      <c r="Y1828" s="12"/>
      <c r="Z1828" s="12"/>
    </row>
    <row r="1829" spans="1:26" ht="14.25" customHeight="1" x14ac:dyDescent="0.3">
      <c r="A1829" s="155"/>
      <c r="B1829" s="156"/>
      <c r="C1829" s="3"/>
      <c r="D1829" s="3"/>
      <c r="E1829" s="156"/>
      <c r="F1829" s="3"/>
      <c r="G1829" s="158"/>
      <c r="H1829" s="155"/>
      <c r="I1829" s="155"/>
      <c r="J1829" s="156"/>
      <c r="K1829" s="5"/>
      <c r="L1829" s="3"/>
      <c r="M1829" s="6"/>
      <c r="N1829" s="9"/>
      <c r="O1829" s="158"/>
      <c r="P1829" s="12"/>
      <c r="Q1829" s="12"/>
      <c r="R1829" s="12"/>
      <c r="S1829" s="12"/>
      <c r="T1829" s="12"/>
      <c r="U1829" s="12"/>
      <c r="V1829" s="12"/>
      <c r="W1829" s="12"/>
      <c r="X1829" s="12"/>
      <c r="Y1829" s="12"/>
      <c r="Z1829" s="12"/>
    </row>
    <row r="1830" spans="1:26" ht="14.25" customHeight="1" x14ac:dyDescent="0.3">
      <c r="A1830" s="155"/>
      <c r="B1830" s="156"/>
      <c r="C1830" s="3"/>
      <c r="D1830" s="3"/>
      <c r="E1830" s="156"/>
      <c r="F1830" s="3"/>
      <c r="G1830" s="158"/>
      <c r="H1830" s="155"/>
      <c r="I1830" s="155"/>
      <c r="J1830" s="156"/>
      <c r="K1830" s="5"/>
      <c r="L1830" s="3"/>
      <c r="M1830" s="6"/>
      <c r="N1830" s="9"/>
      <c r="O1830" s="158"/>
      <c r="P1830" s="12"/>
      <c r="Q1830" s="12"/>
      <c r="R1830" s="12"/>
      <c r="S1830" s="12"/>
      <c r="T1830" s="12"/>
      <c r="U1830" s="12"/>
      <c r="V1830" s="12"/>
      <c r="W1830" s="12"/>
      <c r="X1830" s="12"/>
      <c r="Y1830" s="12"/>
      <c r="Z1830" s="12"/>
    </row>
    <row r="1831" spans="1:26" ht="14.25" customHeight="1" x14ac:dyDescent="0.3">
      <c r="A1831" s="155"/>
      <c r="B1831" s="156"/>
      <c r="C1831" s="3"/>
      <c r="D1831" s="3"/>
      <c r="E1831" s="156"/>
      <c r="F1831" s="3"/>
      <c r="G1831" s="158"/>
      <c r="H1831" s="155"/>
      <c r="I1831" s="155"/>
      <c r="J1831" s="156"/>
      <c r="K1831" s="5"/>
      <c r="L1831" s="3"/>
      <c r="M1831" s="6"/>
      <c r="N1831" s="9"/>
      <c r="O1831" s="158"/>
      <c r="P1831" s="12"/>
      <c r="Q1831" s="12"/>
      <c r="R1831" s="12"/>
      <c r="S1831" s="12"/>
      <c r="T1831" s="12"/>
      <c r="U1831" s="12"/>
      <c r="V1831" s="12"/>
      <c r="W1831" s="12"/>
      <c r="X1831" s="12"/>
      <c r="Y1831" s="12"/>
      <c r="Z1831" s="12"/>
    </row>
    <row r="1832" spans="1:26" ht="14.25" customHeight="1" x14ac:dyDescent="0.3">
      <c r="A1832" s="155"/>
      <c r="B1832" s="156"/>
      <c r="C1832" s="3"/>
      <c r="D1832" s="3"/>
      <c r="E1832" s="156"/>
      <c r="F1832" s="3"/>
      <c r="G1832" s="158"/>
      <c r="H1832" s="155"/>
      <c r="I1832" s="155"/>
      <c r="J1832" s="156"/>
      <c r="K1832" s="5"/>
      <c r="L1832" s="3"/>
      <c r="M1832" s="6"/>
      <c r="N1832" s="9"/>
      <c r="O1832" s="158"/>
      <c r="P1832" s="12"/>
      <c r="Q1832" s="12"/>
      <c r="R1832" s="12"/>
      <c r="S1832" s="12"/>
      <c r="T1832" s="12"/>
      <c r="U1832" s="12"/>
      <c r="V1832" s="12"/>
      <c r="W1832" s="12"/>
      <c r="X1832" s="12"/>
      <c r="Y1832" s="12"/>
      <c r="Z1832" s="12"/>
    </row>
    <row r="1833" spans="1:26" ht="14.25" customHeight="1" x14ac:dyDescent="0.3">
      <c r="A1833" s="155"/>
      <c r="B1833" s="156"/>
      <c r="C1833" s="3"/>
      <c r="D1833" s="3"/>
      <c r="E1833" s="156"/>
      <c r="F1833" s="3"/>
      <c r="G1833" s="158"/>
      <c r="H1833" s="155"/>
      <c r="I1833" s="155"/>
      <c r="J1833" s="156"/>
      <c r="K1833" s="5"/>
      <c r="L1833" s="3"/>
      <c r="M1833" s="6"/>
      <c r="N1833" s="9"/>
      <c r="O1833" s="158"/>
      <c r="P1833" s="12"/>
      <c r="Q1833" s="12"/>
      <c r="R1833" s="12"/>
      <c r="S1833" s="12"/>
      <c r="T1833" s="12"/>
      <c r="U1833" s="12"/>
      <c r="V1833" s="12"/>
      <c r="W1833" s="12"/>
      <c r="X1833" s="12"/>
      <c r="Y1833" s="12"/>
      <c r="Z1833" s="12"/>
    </row>
    <row r="1834" spans="1:26" ht="14.25" customHeight="1" x14ac:dyDescent="0.3">
      <c r="A1834" s="155"/>
      <c r="B1834" s="156"/>
      <c r="C1834" s="3"/>
      <c r="D1834" s="3"/>
      <c r="E1834" s="156"/>
      <c r="F1834" s="3"/>
      <c r="G1834" s="158"/>
      <c r="H1834" s="155"/>
      <c r="I1834" s="155"/>
      <c r="J1834" s="156"/>
      <c r="K1834" s="5"/>
      <c r="L1834" s="3"/>
      <c r="M1834" s="6"/>
      <c r="N1834" s="9"/>
      <c r="O1834" s="158"/>
      <c r="P1834" s="12"/>
      <c r="Q1834" s="12"/>
      <c r="R1834" s="12"/>
      <c r="S1834" s="12"/>
      <c r="T1834" s="12"/>
      <c r="U1834" s="12"/>
      <c r="V1834" s="12"/>
      <c r="W1834" s="12"/>
      <c r="X1834" s="12"/>
      <c r="Y1834" s="12"/>
      <c r="Z1834" s="12"/>
    </row>
    <row r="1835" spans="1:26" ht="14.25" customHeight="1" x14ac:dyDescent="0.3">
      <c r="A1835" s="155"/>
      <c r="B1835" s="156"/>
      <c r="C1835" s="3"/>
      <c r="D1835" s="3"/>
      <c r="E1835" s="156"/>
      <c r="F1835" s="3"/>
      <c r="G1835" s="158"/>
      <c r="H1835" s="155"/>
      <c r="I1835" s="155"/>
      <c r="J1835" s="156"/>
      <c r="K1835" s="5"/>
      <c r="L1835" s="3"/>
      <c r="M1835" s="6"/>
      <c r="N1835" s="9"/>
      <c r="O1835" s="158"/>
      <c r="P1835" s="12"/>
      <c r="Q1835" s="12"/>
      <c r="R1835" s="12"/>
      <c r="S1835" s="12"/>
      <c r="T1835" s="12"/>
      <c r="U1835" s="12"/>
      <c r="V1835" s="12"/>
      <c r="W1835" s="12"/>
      <c r="X1835" s="12"/>
      <c r="Y1835" s="12"/>
      <c r="Z1835" s="12"/>
    </row>
    <row r="1836" spans="1:26" ht="14.25" customHeight="1" x14ac:dyDescent="0.3">
      <c r="A1836" s="155"/>
      <c r="B1836" s="156"/>
      <c r="C1836" s="3"/>
      <c r="D1836" s="3"/>
      <c r="E1836" s="156"/>
      <c r="F1836" s="3"/>
      <c r="G1836" s="158"/>
      <c r="H1836" s="155"/>
      <c r="I1836" s="155"/>
      <c r="J1836" s="156"/>
      <c r="K1836" s="5"/>
      <c r="L1836" s="3"/>
      <c r="M1836" s="6"/>
      <c r="N1836" s="9"/>
      <c r="O1836" s="158"/>
      <c r="P1836" s="12"/>
      <c r="Q1836" s="12"/>
      <c r="R1836" s="12"/>
      <c r="S1836" s="12"/>
      <c r="T1836" s="12"/>
      <c r="U1836" s="12"/>
      <c r="V1836" s="12"/>
      <c r="W1836" s="12"/>
      <c r="X1836" s="12"/>
      <c r="Y1836" s="12"/>
      <c r="Z1836" s="12"/>
    </row>
    <row r="1837" spans="1:26" ht="14.25" customHeight="1" x14ac:dyDescent="0.3">
      <c r="A1837" s="155"/>
      <c r="B1837" s="156"/>
      <c r="C1837" s="3"/>
      <c r="D1837" s="3"/>
      <c r="E1837" s="156"/>
      <c r="F1837" s="3"/>
      <c r="G1837" s="158"/>
      <c r="H1837" s="155"/>
      <c r="I1837" s="155"/>
      <c r="J1837" s="156"/>
      <c r="K1837" s="5"/>
      <c r="L1837" s="3"/>
      <c r="M1837" s="6"/>
      <c r="N1837" s="9"/>
      <c r="O1837" s="158"/>
      <c r="P1837" s="12"/>
      <c r="Q1837" s="12"/>
      <c r="R1837" s="12"/>
      <c r="S1837" s="12"/>
      <c r="T1837" s="12"/>
      <c r="U1837" s="12"/>
      <c r="V1837" s="12"/>
      <c r="W1837" s="12"/>
      <c r="X1837" s="12"/>
      <c r="Y1837" s="12"/>
      <c r="Z1837" s="12"/>
    </row>
    <row r="1838" spans="1:26" ht="14.25" customHeight="1" x14ac:dyDescent="0.3">
      <c r="A1838" s="155"/>
      <c r="B1838" s="156"/>
      <c r="C1838" s="3"/>
      <c r="D1838" s="3"/>
      <c r="E1838" s="156"/>
      <c r="F1838" s="3"/>
      <c r="G1838" s="158"/>
      <c r="H1838" s="155"/>
      <c r="I1838" s="155"/>
      <c r="J1838" s="156"/>
      <c r="K1838" s="5"/>
      <c r="L1838" s="3"/>
      <c r="M1838" s="6"/>
      <c r="N1838" s="9"/>
      <c r="O1838" s="158"/>
      <c r="P1838" s="12"/>
      <c r="Q1838" s="12"/>
      <c r="R1838" s="12"/>
      <c r="S1838" s="12"/>
      <c r="T1838" s="12"/>
      <c r="U1838" s="12"/>
      <c r="V1838" s="12"/>
      <c r="W1838" s="12"/>
      <c r="X1838" s="12"/>
      <c r="Y1838" s="12"/>
      <c r="Z1838" s="12"/>
    </row>
    <row r="1839" spans="1:26" ht="14.25" customHeight="1" x14ac:dyDescent="0.3">
      <c r="A1839" s="155"/>
      <c r="B1839" s="156"/>
      <c r="C1839" s="3"/>
      <c r="D1839" s="3"/>
      <c r="E1839" s="156"/>
      <c r="F1839" s="3"/>
      <c r="G1839" s="158"/>
      <c r="H1839" s="155"/>
      <c r="I1839" s="155"/>
      <c r="J1839" s="156"/>
      <c r="K1839" s="5"/>
      <c r="L1839" s="3"/>
      <c r="M1839" s="6"/>
      <c r="N1839" s="9"/>
      <c r="O1839" s="158"/>
      <c r="P1839" s="12"/>
      <c r="Q1839" s="12"/>
      <c r="R1839" s="12"/>
      <c r="S1839" s="12"/>
      <c r="T1839" s="12"/>
      <c r="U1839" s="12"/>
      <c r="V1839" s="12"/>
      <c r="W1839" s="12"/>
      <c r="X1839" s="12"/>
      <c r="Y1839" s="12"/>
      <c r="Z1839" s="12"/>
    </row>
    <row r="1840" spans="1:26" ht="14.25" customHeight="1" x14ac:dyDescent="0.3">
      <c r="A1840" s="155"/>
      <c r="B1840" s="156"/>
      <c r="C1840" s="3"/>
      <c r="D1840" s="3"/>
      <c r="E1840" s="156"/>
      <c r="F1840" s="3"/>
      <c r="G1840" s="158"/>
      <c r="H1840" s="155"/>
      <c r="I1840" s="155"/>
      <c r="J1840" s="156"/>
      <c r="K1840" s="5"/>
      <c r="L1840" s="3"/>
      <c r="M1840" s="6"/>
      <c r="N1840" s="9"/>
      <c r="O1840" s="158"/>
      <c r="P1840" s="12"/>
      <c r="Q1840" s="12"/>
      <c r="R1840" s="12"/>
      <c r="S1840" s="12"/>
      <c r="T1840" s="12"/>
      <c r="U1840" s="12"/>
      <c r="V1840" s="12"/>
      <c r="W1840" s="12"/>
      <c r="X1840" s="12"/>
      <c r="Y1840" s="12"/>
      <c r="Z1840" s="12"/>
    </row>
    <row r="1841" spans="1:26" ht="14.25" customHeight="1" x14ac:dyDescent="0.3">
      <c r="A1841" s="155"/>
      <c r="B1841" s="156"/>
      <c r="C1841" s="3"/>
      <c r="D1841" s="3"/>
      <c r="E1841" s="156"/>
      <c r="F1841" s="3"/>
      <c r="G1841" s="158"/>
      <c r="H1841" s="155"/>
      <c r="I1841" s="155"/>
      <c r="J1841" s="156"/>
      <c r="K1841" s="5"/>
      <c r="L1841" s="3"/>
      <c r="M1841" s="6"/>
      <c r="N1841" s="9"/>
      <c r="O1841" s="158"/>
      <c r="P1841" s="12"/>
      <c r="Q1841" s="12"/>
      <c r="R1841" s="12"/>
      <c r="S1841" s="12"/>
      <c r="T1841" s="12"/>
      <c r="U1841" s="12"/>
      <c r="V1841" s="12"/>
      <c r="W1841" s="12"/>
      <c r="X1841" s="12"/>
      <c r="Y1841" s="12"/>
      <c r="Z1841" s="12"/>
    </row>
    <row r="1842" spans="1:26" ht="14.25" customHeight="1" x14ac:dyDescent="0.3">
      <c r="A1842" s="155"/>
      <c r="B1842" s="156"/>
      <c r="C1842" s="3"/>
      <c r="D1842" s="3"/>
      <c r="E1842" s="156"/>
      <c r="F1842" s="3"/>
      <c r="G1842" s="158"/>
      <c r="H1842" s="155"/>
      <c r="I1842" s="155"/>
      <c r="J1842" s="156"/>
      <c r="K1842" s="5"/>
      <c r="L1842" s="3"/>
      <c r="M1842" s="6"/>
      <c r="N1842" s="9"/>
      <c r="O1842" s="158"/>
      <c r="P1842" s="12"/>
      <c r="Q1842" s="12"/>
      <c r="R1842" s="12"/>
      <c r="S1842" s="12"/>
      <c r="T1842" s="12"/>
      <c r="U1842" s="12"/>
      <c r="V1842" s="12"/>
      <c r="W1842" s="12"/>
      <c r="X1842" s="12"/>
      <c r="Y1842" s="12"/>
      <c r="Z1842" s="12"/>
    </row>
    <row r="1843" spans="1:26" ht="14.25" customHeight="1" x14ac:dyDescent="0.3">
      <c r="A1843" s="155"/>
      <c r="B1843" s="156"/>
      <c r="C1843" s="3"/>
      <c r="D1843" s="3"/>
      <c r="E1843" s="156"/>
      <c r="F1843" s="3"/>
      <c r="G1843" s="158"/>
      <c r="H1843" s="155"/>
      <c r="I1843" s="155"/>
      <c r="J1843" s="156"/>
      <c r="K1843" s="5"/>
      <c r="L1843" s="3"/>
      <c r="M1843" s="6"/>
      <c r="N1843" s="9"/>
      <c r="O1843" s="158"/>
      <c r="P1843" s="12"/>
      <c r="Q1843" s="12"/>
      <c r="R1843" s="12"/>
      <c r="S1843" s="12"/>
      <c r="T1843" s="12"/>
      <c r="U1843" s="12"/>
      <c r="V1843" s="12"/>
      <c r="W1843" s="12"/>
      <c r="X1843" s="12"/>
      <c r="Y1843" s="12"/>
      <c r="Z1843" s="12"/>
    </row>
    <row r="1844" spans="1:26" ht="14.25" customHeight="1" x14ac:dyDescent="0.3">
      <c r="A1844" s="155"/>
      <c r="B1844" s="156"/>
      <c r="C1844" s="3"/>
      <c r="D1844" s="3"/>
      <c r="E1844" s="156"/>
      <c r="F1844" s="3"/>
      <c r="G1844" s="158"/>
      <c r="H1844" s="155"/>
      <c r="I1844" s="155"/>
      <c r="J1844" s="156"/>
      <c r="K1844" s="5"/>
      <c r="L1844" s="3"/>
      <c r="M1844" s="6"/>
      <c r="N1844" s="9"/>
      <c r="O1844" s="158"/>
      <c r="P1844" s="12"/>
      <c r="Q1844" s="12"/>
      <c r="R1844" s="12"/>
      <c r="S1844" s="12"/>
      <c r="T1844" s="12"/>
      <c r="U1844" s="12"/>
      <c r="V1844" s="12"/>
      <c r="W1844" s="12"/>
      <c r="X1844" s="12"/>
      <c r="Y1844" s="12"/>
      <c r="Z1844" s="12"/>
    </row>
    <row r="1845" spans="1:26" ht="14.25" customHeight="1" x14ac:dyDescent="0.3">
      <c r="A1845" s="155"/>
      <c r="B1845" s="156"/>
      <c r="C1845" s="3"/>
      <c r="D1845" s="3"/>
      <c r="E1845" s="156"/>
      <c r="F1845" s="3"/>
      <c r="G1845" s="158"/>
      <c r="H1845" s="155"/>
      <c r="I1845" s="155"/>
      <c r="J1845" s="156"/>
      <c r="K1845" s="5"/>
      <c r="L1845" s="3"/>
      <c r="M1845" s="6"/>
      <c r="N1845" s="9"/>
      <c r="O1845" s="158"/>
      <c r="P1845" s="12"/>
      <c r="Q1845" s="12"/>
      <c r="R1845" s="12"/>
      <c r="S1845" s="12"/>
      <c r="T1845" s="12"/>
      <c r="U1845" s="12"/>
      <c r="V1845" s="12"/>
      <c r="W1845" s="12"/>
      <c r="X1845" s="12"/>
      <c r="Y1845" s="12"/>
      <c r="Z1845" s="12"/>
    </row>
    <row r="1846" spans="1:26" ht="14.25" customHeight="1" x14ac:dyDescent="0.3">
      <c r="A1846" s="155"/>
      <c r="B1846" s="156"/>
      <c r="C1846" s="3"/>
      <c r="D1846" s="3"/>
      <c r="E1846" s="156"/>
      <c r="F1846" s="3"/>
      <c r="G1846" s="158"/>
      <c r="H1846" s="155"/>
      <c r="I1846" s="155"/>
      <c r="J1846" s="156"/>
      <c r="K1846" s="5"/>
      <c r="L1846" s="3"/>
      <c r="M1846" s="6"/>
      <c r="N1846" s="9"/>
      <c r="O1846" s="158"/>
      <c r="P1846" s="12"/>
      <c r="Q1846" s="12"/>
      <c r="R1846" s="12"/>
      <c r="S1846" s="12"/>
      <c r="T1846" s="12"/>
      <c r="U1846" s="12"/>
      <c r="V1846" s="12"/>
      <c r="W1846" s="12"/>
      <c r="X1846" s="12"/>
      <c r="Y1846" s="12"/>
      <c r="Z1846" s="12"/>
    </row>
    <row r="1847" spans="1:26" ht="14.25" customHeight="1" x14ac:dyDescent="0.3">
      <c r="A1847" s="155"/>
      <c r="B1847" s="156"/>
      <c r="C1847" s="3"/>
      <c r="D1847" s="3"/>
      <c r="E1847" s="156"/>
      <c r="F1847" s="3"/>
      <c r="G1847" s="158"/>
      <c r="H1847" s="155"/>
      <c r="I1847" s="155"/>
      <c r="J1847" s="156"/>
      <c r="K1847" s="5"/>
      <c r="L1847" s="3"/>
      <c r="M1847" s="6"/>
      <c r="N1847" s="9"/>
      <c r="O1847" s="158"/>
      <c r="P1847" s="12"/>
      <c r="Q1847" s="12"/>
      <c r="R1847" s="12"/>
      <c r="S1847" s="12"/>
      <c r="T1847" s="12"/>
      <c r="U1847" s="12"/>
      <c r="V1847" s="12"/>
      <c r="W1847" s="12"/>
      <c r="X1847" s="12"/>
      <c r="Y1847" s="12"/>
      <c r="Z1847" s="12"/>
    </row>
    <row r="1848" spans="1:26" ht="14.25" customHeight="1" x14ac:dyDescent="0.3">
      <c r="A1848" s="155"/>
      <c r="B1848" s="156"/>
      <c r="C1848" s="3"/>
      <c r="D1848" s="3"/>
      <c r="E1848" s="156"/>
      <c r="F1848" s="3"/>
      <c r="G1848" s="158"/>
      <c r="H1848" s="155"/>
      <c r="I1848" s="155"/>
      <c r="J1848" s="156"/>
      <c r="K1848" s="5"/>
      <c r="L1848" s="3"/>
      <c r="M1848" s="6"/>
      <c r="N1848" s="9"/>
      <c r="O1848" s="158"/>
      <c r="P1848" s="12"/>
      <c r="Q1848" s="12"/>
      <c r="R1848" s="12"/>
      <c r="S1848" s="12"/>
      <c r="T1848" s="12"/>
      <c r="U1848" s="12"/>
      <c r="V1848" s="12"/>
      <c r="W1848" s="12"/>
      <c r="X1848" s="12"/>
      <c r="Y1848" s="12"/>
      <c r="Z1848" s="12"/>
    </row>
    <row r="1849" spans="1:26" ht="14.25" customHeight="1" x14ac:dyDescent="0.3">
      <c r="A1849" s="155"/>
      <c r="B1849" s="156"/>
      <c r="C1849" s="3"/>
      <c r="D1849" s="3"/>
      <c r="E1849" s="156"/>
      <c r="F1849" s="3"/>
      <c r="G1849" s="158"/>
      <c r="H1849" s="155"/>
      <c r="I1849" s="155"/>
      <c r="J1849" s="156"/>
      <c r="K1849" s="5"/>
      <c r="L1849" s="3"/>
      <c r="M1849" s="6"/>
      <c r="N1849" s="9"/>
      <c r="O1849" s="158"/>
      <c r="P1849" s="12"/>
      <c r="Q1849" s="12"/>
      <c r="R1849" s="12"/>
      <c r="S1849" s="12"/>
      <c r="T1849" s="12"/>
      <c r="U1849" s="12"/>
      <c r="V1849" s="12"/>
      <c r="W1849" s="12"/>
      <c r="X1849" s="12"/>
      <c r="Y1849" s="12"/>
      <c r="Z1849" s="12"/>
    </row>
    <row r="1850" spans="1:26" ht="14.25" customHeight="1" x14ac:dyDescent="0.3">
      <c r="A1850" s="155"/>
      <c r="B1850" s="156"/>
      <c r="C1850" s="3"/>
      <c r="D1850" s="3"/>
      <c r="E1850" s="156"/>
      <c r="F1850" s="3"/>
      <c r="G1850" s="158"/>
      <c r="H1850" s="155"/>
      <c r="I1850" s="155"/>
      <c r="J1850" s="156"/>
      <c r="K1850" s="5"/>
      <c r="L1850" s="3"/>
      <c r="M1850" s="6"/>
      <c r="N1850" s="9"/>
      <c r="O1850" s="158"/>
      <c r="P1850" s="12"/>
      <c r="Q1850" s="12"/>
      <c r="R1850" s="12"/>
      <c r="S1850" s="12"/>
      <c r="T1850" s="12"/>
      <c r="U1850" s="12"/>
      <c r="V1850" s="12"/>
      <c r="W1850" s="12"/>
      <c r="X1850" s="12"/>
      <c r="Y1850" s="12"/>
      <c r="Z1850" s="12"/>
    </row>
    <row r="1851" spans="1:26" ht="14.25" customHeight="1" x14ac:dyDescent="0.3">
      <c r="A1851" s="155"/>
      <c r="B1851" s="156"/>
      <c r="C1851" s="3"/>
      <c r="D1851" s="3"/>
      <c r="E1851" s="156"/>
      <c r="F1851" s="3"/>
      <c r="G1851" s="158"/>
      <c r="H1851" s="155"/>
      <c r="I1851" s="155"/>
      <c r="J1851" s="156"/>
      <c r="K1851" s="5"/>
      <c r="L1851" s="3"/>
      <c r="M1851" s="6"/>
      <c r="N1851" s="9"/>
      <c r="O1851" s="158"/>
      <c r="P1851" s="12"/>
      <c r="Q1851" s="12"/>
      <c r="R1851" s="12"/>
      <c r="S1851" s="12"/>
      <c r="T1851" s="12"/>
      <c r="U1851" s="12"/>
      <c r="V1851" s="12"/>
      <c r="W1851" s="12"/>
      <c r="X1851" s="12"/>
      <c r="Y1851" s="12"/>
      <c r="Z1851" s="12"/>
    </row>
    <row r="1852" spans="1:26" ht="14.25" customHeight="1" x14ac:dyDescent="0.3">
      <c r="A1852" s="155"/>
      <c r="B1852" s="156"/>
      <c r="C1852" s="3"/>
      <c r="D1852" s="3"/>
      <c r="E1852" s="156"/>
      <c r="F1852" s="3"/>
      <c r="G1852" s="158"/>
      <c r="H1852" s="155"/>
      <c r="I1852" s="155"/>
      <c r="J1852" s="156"/>
      <c r="K1852" s="5"/>
      <c r="L1852" s="3"/>
      <c r="M1852" s="6"/>
      <c r="N1852" s="9"/>
      <c r="O1852" s="158"/>
      <c r="P1852" s="12"/>
      <c r="Q1852" s="12"/>
      <c r="R1852" s="12"/>
      <c r="S1852" s="12"/>
      <c r="T1852" s="12"/>
      <c r="U1852" s="12"/>
      <c r="V1852" s="12"/>
      <c r="W1852" s="12"/>
      <c r="X1852" s="12"/>
      <c r="Y1852" s="12"/>
      <c r="Z1852" s="12"/>
    </row>
    <row r="1853" spans="1:26" ht="14.25" customHeight="1" x14ac:dyDescent="0.3">
      <c r="A1853" s="155"/>
      <c r="B1853" s="156"/>
      <c r="C1853" s="3"/>
      <c r="D1853" s="3"/>
      <c r="E1853" s="156"/>
      <c r="F1853" s="3"/>
      <c r="G1853" s="158"/>
      <c r="H1853" s="155"/>
      <c r="I1853" s="155"/>
      <c r="J1853" s="156"/>
      <c r="K1853" s="5"/>
      <c r="L1853" s="3"/>
      <c r="M1853" s="6"/>
      <c r="N1853" s="9"/>
      <c r="O1853" s="158"/>
      <c r="P1853" s="12"/>
      <c r="Q1853" s="12"/>
      <c r="R1853" s="12"/>
      <c r="S1853" s="12"/>
      <c r="T1853" s="12"/>
      <c r="U1853" s="12"/>
      <c r="V1853" s="12"/>
      <c r="W1853" s="12"/>
      <c r="X1853" s="12"/>
      <c r="Y1853" s="12"/>
      <c r="Z1853" s="12"/>
    </row>
    <row r="1854" spans="1:26" ht="14.25" customHeight="1" x14ac:dyDescent="0.3">
      <c r="A1854" s="155"/>
      <c r="B1854" s="156"/>
      <c r="C1854" s="3"/>
      <c r="D1854" s="3"/>
      <c r="E1854" s="156"/>
      <c r="F1854" s="3"/>
      <c r="G1854" s="158"/>
      <c r="H1854" s="155"/>
      <c r="I1854" s="155"/>
      <c r="J1854" s="156"/>
      <c r="K1854" s="5"/>
      <c r="L1854" s="3"/>
      <c r="M1854" s="6"/>
      <c r="N1854" s="9"/>
      <c r="O1854" s="158"/>
      <c r="P1854" s="12"/>
      <c r="Q1854" s="12"/>
      <c r="R1854" s="12"/>
      <c r="S1854" s="12"/>
      <c r="T1854" s="12"/>
      <c r="U1854" s="12"/>
      <c r="V1854" s="12"/>
      <c r="W1854" s="12"/>
      <c r="X1854" s="12"/>
      <c r="Y1854" s="12"/>
      <c r="Z1854" s="12"/>
    </row>
    <row r="1855" spans="1:26" ht="14.25" customHeight="1" x14ac:dyDescent="0.3">
      <c r="A1855" s="155"/>
      <c r="B1855" s="156"/>
      <c r="C1855" s="3"/>
      <c r="D1855" s="3"/>
      <c r="E1855" s="156"/>
      <c r="F1855" s="3"/>
      <c r="G1855" s="158"/>
      <c r="H1855" s="155"/>
      <c r="I1855" s="155"/>
      <c r="J1855" s="156"/>
      <c r="K1855" s="5"/>
      <c r="L1855" s="3"/>
      <c r="M1855" s="6"/>
      <c r="N1855" s="9"/>
      <c r="O1855" s="158"/>
      <c r="P1855" s="12"/>
      <c r="Q1855" s="12"/>
      <c r="R1855" s="12"/>
      <c r="S1855" s="12"/>
      <c r="T1855" s="12"/>
      <c r="U1855" s="12"/>
      <c r="V1855" s="12"/>
      <c r="W1855" s="12"/>
      <c r="X1855" s="12"/>
      <c r="Y1855" s="12"/>
      <c r="Z1855" s="12"/>
    </row>
    <row r="1856" spans="1:26" ht="14.25" customHeight="1" x14ac:dyDescent="0.3">
      <c r="A1856" s="155"/>
      <c r="B1856" s="156"/>
      <c r="C1856" s="3"/>
      <c r="D1856" s="3"/>
      <c r="E1856" s="156"/>
      <c r="F1856" s="3"/>
      <c r="G1856" s="158"/>
      <c r="H1856" s="155"/>
      <c r="I1856" s="155"/>
      <c r="J1856" s="156"/>
      <c r="K1856" s="5"/>
      <c r="L1856" s="3"/>
      <c r="M1856" s="6"/>
      <c r="N1856" s="9"/>
      <c r="O1856" s="158"/>
      <c r="P1856" s="12"/>
      <c r="Q1856" s="12"/>
      <c r="R1856" s="12"/>
      <c r="S1856" s="12"/>
      <c r="T1856" s="12"/>
      <c r="U1856" s="12"/>
      <c r="V1856" s="12"/>
      <c r="W1856" s="12"/>
      <c r="X1856" s="12"/>
      <c r="Y1856" s="12"/>
      <c r="Z1856" s="12"/>
    </row>
    <row r="1857" spans="1:26" ht="14.25" customHeight="1" x14ac:dyDescent="0.3">
      <c r="A1857" s="155"/>
      <c r="B1857" s="156"/>
      <c r="C1857" s="3"/>
      <c r="D1857" s="3"/>
      <c r="E1857" s="156"/>
      <c r="F1857" s="3"/>
      <c r="G1857" s="158"/>
      <c r="H1857" s="155"/>
      <c r="I1857" s="155"/>
      <c r="J1857" s="156"/>
      <c r="K1857" s="5"/>
      <c r="L1857" s="3"/>
      <c r="M1857" s="6"/>
      <c r="N1857" s="9"/>
      <c r="O1857" s="158"/>
      <c r="P1857" s="12"/>
      <c r="Q1857" s="12"/>
      <c r="R1857" s="12"/>
      <c r="S1857" s="12"/>
      <c r="T1857" s="12"/>
      <c r="U1857" s="12"/>
      <c r="V1857" s="12"/>
      <c r="W1857" s="12"/>
      <c r="X1857" s="12"/>
      <c r="Y1857" s="12"/>
      <c r="Z1857" s="12"/>
    </row>
    <row r="1858" spans="1:26" ht="14.25" customHeight="1" x14ac:dyDescent="0.3">
      <c r="A1858" s="155"/>
      <c r="B1858" s="156"/>
      <c r="C1858" s="3"/>
      <c r="D1858" s="3"/>
      <c r="E1858" s="156"/>
      <c r="F1858" s="3"/>
      <c r="G1858" s="158"/>
      <c r="H1858" s="155"/>
      <c r="I1858" s="155"/>
      <c r="J1858" s="156"/>
      <c r="K1858" s="5"/>
      <c r="L1858" s="3"/>
      <c r="M1858" s="6"/>
      <c r="N1858" s="9"/>
      <c r="O1858" s="158"/>
      <c r="P1858" s="12"/>
      <c r="Q1858" s="12"/>
      <c r="R1858" s="12"/>
      <c r="S1858" s="12"/>
      <c r="T1858" s="12"/>
      <c r="U1858" s="12"/>
      <c r="V1858" s="12"/>
      <c r="W1858" s="12"/>
      <c r="X1858" s="12"/>
      <c r="Y1858" s="12"/>
      <c r="Z1858" s="12"/>
    </row>
    <row r="1859" spans="1:26" ht="14.25" customHeight="1" x14ac:dyDescent="0.3">
      <c r="A1859" s="155"/>
      <c r="B1859" s="156"/>
      <c r="C1859" s="3"/>
      <c r="D1859" s="3"/>
      <c r="E1859" s="156"/>
      <c r="F1859" s="3"/>
      <c r="G1859" s="158"/>
      <c r="H1859" s="155"/>
      <c r="I1859" s="155"/>
      <c r="J1859" s="156"/>
      <c r="K1859" s="5"/>
      <c r="L1859" s="3"/>
      <c r="M1859" s="6"/>
      <c r="N1859" s="9"/>
      <c r="O1859" s="158"/>
      <c r="P1859" s="12"/>
      <c r="Q1859" s="12"/>
      <c r="R1859" s="12"/>
      <c r="S1859" s="12"/>
      <c r="T1859" s="12"/>
      <c r="U1859" s="12"/>
      <c r="V1859" s="12"/>
      <c r="W1859" s="12"/>
      <c r="X1859" s="12"/>
      <c r="Y1859" s="12"/>
      <c r="Z1859" s="12"/>
    </row>
    <row r="1860" spans="1:26" ht="14.25" customHeight="1" x14ac:dyDescent="0.3">
      <c r="A1860" s="155"/>
      <c r="B1860" s="156"/>
      <c r="C1860" s="3"/>
      <c r="D1860" s="3"/>
      <c r="E1860" s="156"/>
      <c r="F1860" s="3"/>
      <c r="G1860" s="158"/>
      <c r="H1860" s="155"/>
      <c r="I1860" s="155"/>
      <c r="J1860" s="156"/>
      <c r="K1860" s="5"/>
      <c r="L1860" s="3"/>
      <c r="M1860" s="6"/>
      <c r="N1860" s="9"/>
      <c r="O1860" s="158"/>
      <c r="P1860" s="12"/>
      <c r="Q1860" s="12"/>
      <c r="R1860" s="12"/>
      <c r="S1860" s="12"/>
      <c r="T1860" s="12"/>
      <c r="U1860" s="12"/>
      <c r="V1860" s="12"/>
      <c r="W1860" s="12"/>
      <c r="X1860" s="12"/>
      <c r="Y1860" s="12"/>
      <c r="Z1860" s="12"/>
    </row>
    <row r="1861" spans="1:26" ht="14.25" customHeight="1" x14ac:dyDescent="0.3">
      <c r="A1861" s="155"/>
      <c r="B1861" s="156"/>
      <c r="C1861" s="3"/>
      <c r="D1861" s="3"/>
      <c r="E1861" s="156"/>
      <c r="F1861" s="3"/>
      <c r="G1861" s="158"/>
      <c r="H1861" s="155"/>
      <c r="I1861" s="155"/>
      <c r="J1861" s="156"/>
      <c r="K1861" s="5"/>
      <c r="L1861" s="3"/>
      <c r="M1861" s="6"/>
      <c r="N1861" s="9"/>
      <c r="O1861" s="158"/>
      <c r="P1861" s="12"/>
      <c r="Q1861" s="12"/>
      <c r="R1861" s="12"/>
      <c r="S1861" s="12"/>
      <c r="T1861" s="12"/>
      <c r="U1861" s="12"/>
      <c r="V1861" s="12"/>
      <c r="W1861" s="12"/>
      <c r="X1861" s="12"/>
      <c r="Y1861" s="12"/>
      <c r="Z1861" s="12"/>
    </row>
    <row r="1862" spans="1:26" ht="14.25" customHeight="1" x14ac:dyDescent="0.3">
      <c r="A1862" s="155"/>
      <c r="B1862" s="156"/>
      <c r="C1862" s="3"/>
      <c r="D1862" s="3"/>
      <c r="E1862" s="156"/>
      <c r="F1862" s="3"/>
      <c r="G1862" s="158"/>
      <c r="H1862" s="155"/>
      <c r="I1862" s="155"/>
      <c r="J1862" s="156"/>
      <c r="K1862" s="5"/>
      <c r="L1862" s="3"/>
      <c r="M1862" s="6"/>
      <c r="N1862" s="9"/>
      <c r="O1862" s="158"/>
      <c r="P1862" s="12"/>
      <c r="Q1862" s="12"/>
      <c r="R1862" s="12"/>
      <c r="S1862" s="12"/>
      <c r="T1862" s="12"/>
      <c r="U1862" s="12"/>
      <c r="V1862" s="12"/>
      <c r="W1862" s="12"/>
      <c r="X1862" s="12"/>
      <c r="Y1862" s="12"/>
      <c r="Z1862" s="12"/>
    </row>
    <row r="1863" spans="1:26" ht="14.25" customHeight="1" x14ac:dyDescent="0.3">
      <c r="A1863" s="155"/>
      <c r="B1863" s="156"/>
      <c r="C1863" s="3"/>
      <c r="D1863" s="3"/>
      <c r="E1863" s="156"/>
      <c r="F1863" s="3"/>
      <c r="G1863" s="158"/>
      <c r="H1863" s="155"/>
      <c r="I1863" s="155"/>
      <c r="J1863" s="156"/>
      <c r="K1863" s="5"/>
      <c r="L1863" s="3"/>
      <c r="M1863" s="6"/>
      <c r="N1863" s="9"/>
      <c r="O1863" s="158"/>
      <c r="P1863" s="12"/>
      <c r="Q1863" s="12"/>
      <c r="R1863" s="12"/>
      <c r="S1863" s="12"/>
      <c r="T1863" s="12"/>
      <c r="U1863" s="12"/>
      <c r="V1863" s="12"/>
      <c r="W1863" s="12"/>
      <c r="X1863" s="12"/>
      <c r="Y1863" s="12"/>
      <c r="Z1863" s="12"/>
    </row>
    <row r="1864" spans="1:26" ht="14.25" customHeight="1" x14ac:dyDescent="0.3">
      <c r="A1864" s="155"/>
      <c r="B1864" s="156"/>
      <c r="C1864" s="3"/>
      <c r="D1864" s="3"/>
      <c r="E1864" s="156"/>
      <c r="F1864" s="3"/>
      <c r="G1864" s="158"/>
      <c r="H1864" s="155"/>
      <c r="I1864" s="155"/>
      <c r="J1864" s="156"/>
      <c r="K1864" s="5"/>
      <c r="L1864" s="3"/>
      <c r="M1864" s="6"/>
      <c r="N1864" s="9"/>
      <c r="O1864" s="158"/>
      <c r="P1864" s="12"/>
      <c r="Q1864" s="12"/>
      <c r="R1864" s="12"/>
      <c r="S1864" s="12"/>
      <c r="T1864" s="12"/>
      <c r="U1864" s="12"/>
      <c r="V1864" s="12"/>
      <c r="W1864" s="12"/>
      <c r="X1864" s="12"/>
      <c r="Y1864" s="12"/>
      <c r="Z1864" s="12"/>
    </row>
    <row r="1865" spans="1:26" ht="14.25" customHeight="1" x14ac:dyDescent="0.3">
      <c r="A1865" s="155"/>
      <c r="B1865" s="156"/>
      <c r="C1865" s="3"/>
      <c r="D1865" s="3"/>
      <c r="E1865" s="156"/>
      <c r="F1865" s="3"/>
      <c r="G1865" s="158"/>
      <c r="H1865" s="155"/>
      <c r="I1865" s="155"/>
      <c r="J1865" s="156"/>
      <c r="K1865" s="5"/>
      <c r="L1865" s="3"/>
      <c r="M1865" s="6"/>
      <c r="N1865" s="9"/>
      <c r="O1865" s="158"/>
      <c r="P1865" s="12"/>
      <c r="Q1865" s="12"/>
      <c r="R1865" s="12"/>
      <c r="S1865" s="12"/>
      <c r="T1865" s="12"/>
      <c r="U1865" s="12"/>
      <c r="V1865" s="12"/>
      <c r="W1865" s="12"/>
      <c r="X1865" s="12"/>
      <c r="Y1865" s="12"/>
      <c r="Z1865" s="12"/>
    </row>
    <row r="1866" spans="1:26" ht="14.25" customHeight="1" x14ac:dyDescent="0.3">
      <c r="A1866" s="155"/>
      <c r="B1866" s="156"/>
      <c r="C1866" s="3"/>
      <c r="D1866" s="3"/>
      <c r="E1866" s="156"/>
      <c r="F1866" s="3"/>
      <c r="G1866" s="158"/>
      <c r="H1866" s="155"/>
      <c r="I1866" s="155"/>
      <c r="J1866" s="156"/>
      <c r="K1866" s="5"/>
      <c r="L1866" s="3"/>
      <c r="M1866" s="6"/>
      <c r="N1866" s="9"/>
      <c r="O1866" s="158"/>
      <c r="P1866" s="12"/>
      <c r="Q1866" s="12"/>
      <c r="R1866" s="12"/>
      <c r="S1866" s="12"/>
      <c r="T1866" s="12"/>
      <c r="U1866" s="12"/>
      <c r="V1866" s="12"/>
      <c r="W1866" s="12"/>
      <c r="X1866" s="12"/>
      <c r="Y1866" s="12"/>
      <c r="Z1866" s="12"/>
    </row>
    <row r="1867" spans="1:26" ht="14.25" customHeight="1" x14ac:dyDescent="0.3">
      <c r="A1867" s="155"/>
      <c r="B1867" s="156"/>
      <c r="C1867" s="3"/>
      <c r="D1867" s="3"/>
      <c r="E1867" s="156"/>
      <c r="F1867" s="3"/>
      <c r="G1867" s="158"/>
      <c r="H1867" s="155"/>
      <c r="I1867" s="155"/>
      <c r="J1867" s="156"/>
      <c r="K1867" s="5"/>
      <c r="L1867" s="3"/>
      <c r="M1867" s="6"/>
      <c r="N1867" s="9"/>
      <c r="O1867" s="158"/>
      <c r="P1867" s="12"/>
      <c r="Q1867" s="12"/>
      <c r="R1867" s="12"/>
      <c r="S1867" s="12"/>
      <c r="T1867" s="12"/>
      <c r="U1867" s="12"/>
      <c r="V1867" s="12"/>
      <c r="W1867" s="12"/>
      <c r="X1867" s="12"/>
      <c r="Y1867" s="12"/>
      <c r="Z1867" s="12"/>
    </row>
    <row r="1868" spans="1:26" ht="14.25" customHeight="1" x14ac:dyDescent="0.3">
      <c r="A1868" s="155"/>
      <c r="B1868" s="156"/>
      <c r="C1868" s="3"/>
      <c r="D1868" s="3"/>
      <c r="E1868" s="156"/>
      <c r="F1868" s="3"/>
      <c r="G1868" s="158"/>
      <c r="H1868" s="155"/>
      <c r="I1868" s="155"/>
      <c r="J1868" s="156"/>
      <c r="K1868" s="5"/>
      <c r="L1868" s="3"/>
      <c r="M1868" s="6"/>
      <c r="N1868" s="9"/>
      <c r="O1868" s="158"/>
      <c r="P1868" s="12"/>
      <c r="Q1868" s="12"/>
      <c r="R1868" s="12"/>
      <c r="S1868" s="12"/>
      <c r="T1868" s="12"/>
      <c r="U1868" s="12"/>
      <c r="V1868" s="12"/>
      <c r="W1868" s="12"/>
      <c r="X1868" s="12"/>
      <c r="Y1868" s="12"/>
      <c r="Z1868" s="12"/>
    </row>
    <row r="1869" spans="1:26" ht="14.25" customHeight="1" x14ac:dyDescent="0.3">
      <c r="A1869" s="155"/>
      <c r="B1869" s="156"/>
      <c r="C1869" s="3"/>
      <c r="D1869" s="3"/>
      <c r="E1869" s="156"/>
      <c r="F1869" s="3"/>
      <c r="G1869" s="158"/>
      <c r="H1869" s="155"/>
      <c r="I1869" s="155"/>
      <c r="J1869" s="156"/>
      <c r="K1869" s="5"/>
      <c r="L1869" s="3"/>
      <c r="M1869" s="6"/>
      <c r="N1869" s="9"/>
      <c r="O1869" s="158"/>
      <c r="P1869" s="12"/>
      <c r="Q1869" s="12"/>
      <c r="R1869" s="12"/>
      <c r="S1869" s="12"/>
      <c r="T1869" s="12"/>
      <c r="U1869" s="12"/>
      <c r="V1869" s="12"/>
      <c r="W1869" s="12"/>
      <c r="X1869" s="12"/>
      <c r="Y1869" s="12"/>
      <c r="Z1869" s="12"/>
    </row>
    <row r="1870" spans="1:26" ht="14.25" customHeight="1" x14ac:dyDescent="0.3">
      <c r="A1870" s="155"/>
      <c r="B1870" s="156"/>
      <c r="C1870" s="3"/>
      <c r="D1870" s="3"/>
      <c r="E1870" s="156"/>
      <c r="F1870" s="3"/>
      <c r="G1870" s="158"/>
      <c r="H1870" s="155"/>
      <c r="I1870" s="155"/>
      <c r="J1870" s="156"/>
      <c r="K1870" s="5"/>
      <c r="L1870" s="3"/>
      <c r="M1870" s="6"/>
      <c r="N1870" s="9"/>
      <c r="O1870" s="158"/>
      <c r="P1870" s="12"/>
      <c r="Q1870" s="12"/>
      <c r="R1870" s="12"/>
      <c r="S1870" s="12"/>
      <c r="T1870" s="12"/>
      <c r="U1870" s="12"/>
      <c r="V1870" s="12"/>
      <c r="W1870" s="12"/>
      <c r="X1870" s="12"/>
      <c r="Y1870" s="12"/>
      <c r="Z1870" s="12"/>
    </row>
    <row r="1871" spans="1:26" ht="14.25" customHeight="1" x14ac:dyDescent="0.3">
      <c r="A1871" s="155"/>
      <c r="B1871" s="156"/>
      <c r="C1871" s="3"/>
      <c r="D1871" s="3"/>
      <c r="E1871" s="156"/>
      <c r="F1871" s="3"/>
      <c r="G1871" s="158"/>
      <c r="H1871" s="155"/>
      <c r="I1871" s="155"/>
      <c r="J1871" s="156"/>
      <c r="K1871" s="5"/>
      <c r="L1871" s="3"/>
      <c r="M1871" s="6"/>
      <c r="N1871" s="9"/>
      <c r="O1871" s="158"/>
      <c r="P1871" s="12"/>
      <c r="Q1871" s="12"/>
      <c r="R1871" s="12"/>
      <c r="S1871" s="12"/>
      <c r="T1871" s="12"/>
      <c r="U1871" s="12"/>
      <c r="V1871" s="12"/>
      <c r="W1871" s="12"/>
      <c r="X1871" s="12"/>
      <c r="Y1871" s="12"/>
      <c r="Z1871" s="12"/>
    </row>
    <row r="1872" spans="1:26" ht="14.25" customHeight="1" x14ac:dyDescent="0.3">
      <c r="A1872" s="155"/>
      <c r="B1872" s="156"/>
      <c r="C1872" s="3"/>
      <c r="D1872" s="3"/>
      <c r="E1872" s="156"/>
      <c r="F1872" s="3"/>
      <c r="G1872" s="158"/>
      <c r="H1872" s="155"/>
      <c r="I1872" s="155"/>
      <c r="J1872" s="156"/>
      <c r="K1872" s="5"/>
      <c r="L1872" s="3"/>
      <c r="M1872" s="6"/>
      <c r="N1872" s="9"/>
      <c r="O1872" s="158"/>
      <c r="P1872" s="12"/>
      <c r="Q1872" s="12"/>
      <c r="R1872" s="12"/>
      <c r="S1872" s="12"/>
      <c r="T1872" s="12"/>
      <c r="U1872" s="12"/>
      <c r="V1872" s="12"/>
      <c r="W1872" s="12"/>
      <c r="X1872" s="12"/>
      <c r="Y1872" s="12"/>
      <c r="Z1872" s="12"/>
    </row>
    <row r="1873" spans="1:26" ht="14.25" customHeight="1" x14ac:dyDescent="0.3">
      <c r="A1873" s="155"/>
      <c r="B1873" s="156"/>
      <c r="C1873" s="3"/>
      <c r="D1873" s="3"/>
      <c r="E1873" s="156"/>
      <c r="F1873" s="3"/>
      <c r="G1873" s="158"/>
      <c r="H1873" s="155"/>
      <c r="I1873" s="155"/>
      <c r="J1873" s="156"/>
      <c r="K1873" s="5"/>
      <c r="L1873" s="3"/>
      <c r="M1873" s="6"/>
      <c r="N1873" s="9"/>
      <c r="O1873" s="158"/>
      <c r="P1873" s="12"/>
      <c r="Q1873" s="12"/>
      <c r="R1873" s="12"/>
      <c r="S1873" s="12"/>
      <c r="T1873" s="12"/>
      <c r="U1873" s="12"/>
      <c r="V1873" s="12"/>
      <c r="W1873" s="12"/>
      <c r="X1873" s="12"/>
      <c r="Y1873" s="12"/>
      <c r="Z1873" s="12"/>
    </row>
    <row r="1874" spans="1:26" ht="14.25" customHeight="1" x14ac:dyDescent="0.3">
      <c r="A1874" s="155"/>
      <c r="B1874" s="156"/>
      <c r="C1874" s="3"/>
      <c r="D1874" s="3"/>
      <c r="E1874" s="156"/>
      <c r="F1874" s="3"/>
      <c r="G1874" s="158"/>
      <c r="H1874" s="155"/>
      <c r="I1874" s="155"/>
      <c r="J1874" s="156"/>
      <c r="K1874" s="5"/>
      <c r="L1874" s="3"/>
      <c r="M1874" s="6"/>
      <c r="N1874" s="9"/>
      <c r="O1874" s="158"/>
      <c r="P1874" s="12"/>
      <c r="Q1874" s="12"/>
      <c r="R1874" s="12"/>
      <c r="S1874" s="12"/>
      <c r="T1874" s="12"/>
      <c r="U1874" s="12"/>
      <c r="V1874" s="12"/>
      <c r="W1874" s="12"/>
      <c r="X1874" s="12"/>
      <c r="Y1874" s="12"/>
      <c r="Z1874" s="12"/>
    </row>
    <row r="1875" spans="1:26" ht="14.25" customHeight="1" x14ac:dyDescent="0.3">
      <c r="A1875" s="155"/>
      <c r="B1875" s="156"/>
      <c r="C1875" s="3"/>
      <c r="D1875" s="3"/>
      <c r="E1875" s="156"/>
      <c r="F1875" s="3"/>
      <c r="G1875" s="158"/>
      <c r="H1875" s="155"/>
      <c r="I1875" s="155"/>
      <c r="J1875" s="156"/>
      <c r="K1875" s="5"/>
      <c r="L1875" s="3"/>
      <c r="M1875" s="6"/>
      <c r="N1875" s="9"/>
      <c r="O1875" s="158"/>
      <c r="P1875" s="12"/>
      <c r="Q1875" s="12"/>
      <c r="R1875" s="12"/>
      <c r="S1875" s="12"/>
      <c r="T1875" s="12"/>
      <c r="U1875" s="12"/>
      <c r="V1875" s="12"/>
      <c r="W1875" s="12"/>
      <c r="X1875" s="12"/>
      <c r="Y1875" s="12"/>
      <c r="Z1875" s="12"/>
    </row>
    <row r="1876" spans="1:26" ht="14.25" customHeight="1" x14ac:dyDescent="0.3">
      <c r="A1876" s="155"/>
      <c r="B1876" s="156"/>
      <c r="C1876" s="3"/>
      <c r="D1876" s="3"/>
      <c r="E1876" s="156"/>
      <c r="F1876" s="3"/>
      <c r="G1876" s="158"/>
      <c r="H1876" s="155"/>
      <c r="I1876" s="155"/>
      <c r="J1876" s="156"/>
      <c r="K1876" s="5"/>
      <c r="L1876" s="3"/>
      <c r="M1876" s="6"/>
      <c r="N1876" s="9"/>
      <c r="O1876" s="158"/>
      <c r="P1876" s="12"/>
      <c r="Q1876" s="12"/>
      <c r="R1876" s="12"/>
      <c r="S1876" s="12"/>
      <c r="T1876" s="12"/>
      <c r="U1876" s="12"/>
      <c r="V1876" s="12"/>
      <c r="W1876" s="12"/>
      <c r="X1876" s="12"/>
      <c r="Y1876" s="12"/>
      <c r="Z1876" s="12"/>
    </row>
    <row r="1877" spans="1:26" ht="14.25" customHeight="1" x14ac:dyDescent="0.3">
      <c r="A1877" s="155"/>
      <c r="B1877" s="156"/>
      <c r="C1877" s="3"/>
      <c r="D1877" s="3"/>
      <c r="E1877" s="156"/>
      <c r="F1877" s="3"/>
      <c r="G1877" s="158"/>
      <c r="H1877" s="155"/>
      <c r="I1877" s="155"/>
      <c r="J1877" s="156"/>
      <c r="K1877" s="5"/>
      <c r="L1877" s="3"/>
      <c r="M1877" s="6"/>
      <c r="N1877" s="9"/>
      <c r="O1877" s="158"/>
      <c r="P1877" s="12"/>
      <c r="Q1877" s="12"/>
      <c r="R1877" s="12"/>
      <c r="S1877" s="12"/>
      <c r="T1877" s="12"/>
      <c r="U1877" s="12"/>
      <c r="V1877" s="12"/>
      <c r="W1877" s="12"/>
      <c r="X1877" s="12"/>
      <c r="Y1877" s="12"/>
      <c r="Z1877" s="12"/>
    </row>
    <row r="1878" spans="1:26" ht="14.25" customHeight="1" x14ac:dyDescent="0.3">
      <c r="A1878" s="155"/>
      <c r="B1878" s="156"/>
      <c r="C1878" s="3"/>
      <c r="D1878" s="3"/>
      <c r="E1878" s="156"/>
      <c r="F1878" s="3"/>
      <c r="G1878" s="158"/>
      <c r="H1878" s="155"/>
      <c r="I1878" s="155"/>
      <c r="J1878" s="156"/>
      <c r="K1878" s="5"/>
      <c r="L1878" s="3"/>
      <c r="M1878" s="6"/>
      <c r="N1878" s="9"/>
      <c r="O1878" s="158"/>
      <c r="P1878" s="12"/>
      <c r="Q1878" s="12"/>
      <c r="R1878" s="12"/>
      <c r="S1878" s="12"/>
      <c r="T1878" s="12"/>
      <c r="U1878" s="12"/>
      <c r="V1878" s="12"/>
      <c r="W1878" s="12"/>
      <c r="X1878" s="12"/>
      <c r="Y1878" s="12"/>
      <c r="Z1878" s="12"/>
    </row>
    <row r="1879" spans="1:26" ht="14.25" customHeight="1" x14ac:dyDescent="0.3">
      <c r="A1879" s="155"/>
      <c r="B1879" s="156"/>
      <c r="C1879" s="3"/>
      <c r="D1879" s="3"/>
      <c r="E1879" s="156"/>
      <c r="F1879" s="3"/>
      <c r="G1879" s="158"/>
      <c r="H1879" s="155"/>
      <c r="I1879" s="155"/>
      <c r="J1879" s="156"/>
      <c r="K1879" s="5"/>
      <c r="L1879" s="3"/>
      <c r="M1879" s="6"/>
      <c r="N1879" s="9"/>
      <c r="O1879" s="158"/>
      <c r="P1879" s="12"/>
      <c r="Q1879" s="12"/>
      <c r="R1879" s="12"/>
      <c r="S1879" s="12"/>
      <c r="T1879" s="12"/>
      <c r="U1879" s="12"/>
      <c r="V1879" s="12"/>
      <c r="W1879" s="12"/>
      <c r="X1879" s="12"/>
      <c r="Y1879" s="12"/>
      <c r="Z1879" s="12"/>
    </row>
    <row r="1880" spans="1:26" ht="14.25" customHeight="1" x14ac:dyDescent="0.3">
      <c r="A1880" s="155"/>
      <c r="B1880" s="156"/>
      <c r="C1880" s="3"/>
      <c r="D1880" s="3"/>
      <c r="E1880" s="156"/>
      <c r="F1880" s="3"/>
      <c r="G1880" s="158"/>
      <c r="H1880" s="155"/>
      <c r="I1880" s="155"/>
      <c r="J1880" s="156"/>
      <c r="K1880" s="5"/>
      <c r="L1880" s="3"/>
      <c r="M1880" s="6"/>
      <c r="N1880" s="9"/>
      <c r="O1880" s="158"/>
      <c r="P1880" s="12"/>
      <c r="Q1880" s="12"/>
      <c r="R1880" s="12"/>
      <c r="S1880" s="12"/>
      <c r="T1880" s="12"/>
      <c r="U1880" s="12"/>
      <c r="V1880" s="12"/>
      <c r="W1880" s="12"/>
      <c r="X1880" s="12"/>
      <c r="Y1880" s="12"/>
      <c r="Z1880" s="12"/>
    </row>
    <row r="1881" spans="1:26" ht="14.25" customHeight="1" x14ac:dyDescent="0.3">
      <c r="A1881" s="155"/>
      <c r="B1881" s="156"/>
      <c r="C1881" s="3"/>
      <c r="D1881" s="3"/>
      <c r="E1881" s="156"/>
      <c r="F1881" s="3"/>
      <c r="G1881" s="158"/>
      <c r="H1881" s="155"/>
      <c r="I1881" s="155"/>
      <c r="J1881" s="156"/>
      <c r="K1881" s="5"/>
      <c r="L1881" s="3"/>
      <c r="M1881" s="6"/>
      <c r="N1881" s="9"/>
      <c r="O1881" s="158"/>
      <c r="P1881" s="12"/>
      <c r="Q1881" s="12"/>
      <c r="R1881" s="12"/>
      <c r="S1881" s="12"/>
      <c r="T1881" s="12"/>
      <c r="U1881" s="12"/>
      <c r="V1881" s="12"/>
      <c r="W1881" s="12"/>
      <c r="X1881" s="12"/>
      <c r="Y1881" s="12"/>
      <c r="Z1881" s="12"/>
    </row>
    <row r="1882" spans="1:26" ht="14.25" customHeight="1" x14ac:dyDescent="0.3">
      <c r="A1882" s="155"/>
      <c r="B1882" s="156"/>
      <c r="C1882" s="3"/>
      <c r="D1882" s="3"/>
      <c r="E1882" s="156"/>
      <c r="F1882" s="3"/>
      <c r="G1882" s="158"/>
      <c r="H1882" s="155"/>
      <c r="I1882" s="155"/>
      <c r="J1882" s="156"/>
      <c r="K1882" s="5"/>
      <c r="L1882" s="3"/>
      <c r="M1882" s="6"/>
      <c r="N1882" s="9"/>
      <c r="O1882" s="158"/>
      <c r="P1882" s="12"/>
      <c r="Q1882" s="12"/>
      <c r="R1882" s="12"/>
      <c r="S1882" s="12"/>
      <c r="T1882" s="12"/>
      <c r="U1882" s="12"/>
      <c r="V1882" s="12"/>
      <c r="W1882" s="12"/>
      <c r="X1882" s="12"/>
      <c r="Y1882" s="12"/>
      <c r="Z1882" s="12"/>
    </row>
    <row r="1883" spans="1:26" ht="14.25" customHeight="1" x14ac:dyDescent="0.3">
      <c r="A1883" s="155"/>
      <c r="B1883" s="156"/>
      <c r="C1883" s="3"/>
      <c r="D1883" s="3"/>
      <c r="E1883" s="156"/>
      <c r="F1883" s="3"/>
      <c r="G1883" s="158"/>
      <c r="H1883" s="155"/>
      <c r="I1883" s="155"/>
      <c r="J1883" s="156"/>
      <c r="K1883" s="5"/>
      <c r="L1883" s="3"/>
      <c r="M1883" s="6"/>
      <c r="N1883" s="9"/>
      <c r="O1883" s="158"/>
      <c r="P1883" s="12"/>
      <c r="Q1883" s="12"/>
      <c r="R1883" s="12"/>
      <c r="S1883" s="12"/>
      <c r="T1883" s="12"/>
      <c r="U1883" s="12"/>
      <c r="V1883" s="12"/>
      <c r="W1883" s="12"/>
      <c r="X1883" s="12"/>
      <c r="Y1883" s="12"/>
      <c r="Z1883" s="12"/>
    </row>
    <row r="1884" spans="1:26" ht="14.25" customHeight="1" x14ac:dyDescent="0.3">
      <c r="A1884" s="155"/>
      <c r="B1884" s="156"/>
      <c r="C1884" s="3"/>
      <c r="D1884" s="3"/>
      <c r="E1884" s="156"/>
      <c r="F1884" s="3"/>
      <c r="G1884" s="158"/>
      <c r="H1884" s="155"/>
      <c r="I1884" s="155"/>
      <c r="J1884" s="156"/>
      <c r="K1884" s="5"/>
      <c r="L1884" s="3"/>
      <c r="M1884" s="6"/>
      <c r="N1884" s="9"/>
      <c r="O1884" s="158"/>
      <c r="P1884" s="12"/>
      <c r="Q1884" s="12"/>
      <c r="R1884" s="12"/>
      <c r="S1884" s="12"/>
      <c r="T1884" s="12"/>
      <c r="U1884" s="12"/>
      <c r="V1884" s="12"/>
      <c r="W1884" s="12"/>
      <c r="X1884" s="12"/>
      <c r="Y1884" s="12"/>
      <c r="Z1884" s="12"/>
    </row>
    <row r="1885" spans="1:26" ht="14.25" customHeight="1" x14ac:dyDescent="0.3">
      <c r="A1885" s="155"/>
      <c r="B1885" s="156"/>
      <c r="C1885" s="3"/>
      <c r="D1885" s="3"/>
      <c r="E1885" s="156"/>
      <c r="F1885" s="3"/>
      <c r="G1885" s="158"/>
      <c r="H1885" s="155"/>
      <c r="I1885" s="155"/>
      <c r="J1885" s="156"/>
      <c r="K1885" s="5"/>
      <c r="L1885" s="3"/>
      <c r="M1885" s="6"/>
      <c r="N1885" s="9"/>
      <c r="O1885" s="158"/>
      <c r="P1885" s="12"/>
      <c r="Q1885" s="12"/>
      <c r="R1885" s="12"/>
      <c r="S1885" s="12"/>
      <c r="T1885" s="12"/>
      <c r="U1885" s="12"/>
      <c r="V1885" s="12"/>
      <c r="W1885" s="12"/>
      <c r="X1885" s="12"/>
      <c r="Y1885" s="12"/>
      <c r="Z1885" s="12"/>
    </row>
    <row r="1886" spans="1:26" ht="14.25" customHeight="1" x14ac:dyDescent="0.3">
      <c r="A1886" s="155"/>
      <c r="B1886" s="156"/>
      <c r="C1886" s="3"/>
      <c r="D1886" s="3"/>
      <c r="E1886" s="156"/>
      <c r="F1886" s="3"/>
      <c r="G1886" s="158"/>
      <c r="H1886" s="155"/>
      <c r="I1886" s="155"/>
      <c r="J1886" s="156"/>
      <c r="K1886" s="5"/>
      <c r="L1886" s="3"/>
      <c r="M1886" s="6"/>
      <c r="N1886" s="9"/>
      <c r="O1886" s="158"/>
      <c r="P1886" s="12"/>
      <c r="Q1886" s="12"/>
      <c r="R1886" s="12"/>
      <c r="S1886" s="12"/>
      <c r="T1886" s="12"/>
      <c r="U1886" s="12"/>
      <c r="V1886" s="12"/>
      <c r="W1886" s="12"/>
      <c r="X1886" s="12"/>
      <c r="Y1886" s="12"/>
      <c r="Z1886" s="12"/>
    </row>
    <row r="1887" spans="1:26" ht="14.25" customHeight="1" x14ac:dyDescent="0.3">
      <c r="A1887" s="155"/>
      <c r="B1887" s="156"/>
      <c r="C1887" s="3"/>
      <c r="D1887" s="3"/>
      <c r="E1887" s="156"/>
      <c r="F1887" s="3"/>
      <c r="G1887" s="158"/>
      <c r="H1887" s="155"/>
      <c r="I1887" s="155"/>
      <c r="J1887" s="156"/>
      <c r="K1887" s="5"/>
      <c r="L1887" s="3"/>
      <c r="M1887" s="6"/>
      <c r="N1887" s="9"/>
      <c r="O1887" s="158"/>
      <c r="P1887" s="12"/>
      <c r="Q1887" s="12"/>
      <c r="R1887" s="12"/>
      <c r="S1887" s="12"/>
      <c r="T1887" s="12"/>
      <c r="U1887" s="12"/>
      <c r="V1887" s="12"/>
      <c r="W1887" s="12"/>
      <c r="X1887" s="12"/>
      <c r="Y1887" s="12"/>
      <c r="Z1887" s="12"/>
    </row>
    <row r="1888" spans="1:26" ht="14.25" customHeight="1" x14ac:dyDescent="0.3">
      <c r="A1888" s="155"/>
      <c r="B1888" s="156"/>
      <c r="C1888" s="3"/>
      <c r="D1888" s="3"/>
      <c r="E1888" s="156"/>
      <c r="F1888" s="3"/>
      <c r="G1888" s="158"/>
      <c r="H1888" s="155"/>
      <c r="I1888" s="155"/>
      <c r="J1888" s="156"/>
      <c r="K1888" s="5"/>
      <c r="L1888" s="3"/>
      <c r="M1888" s="6"/>
      <c r="N1888" s="9"/>
      <c r="O1888" s="158"/>
      <c r="P1888" s="12"/>
      <c r="Q1888" s="12"/>
      <c r="R1888" s="12"/>
      <c r="S1888" s="12"/>
      <c r="T1888" s="12"/>
      <c r="U1888" s="12"/>
      <c r="V1888" s="12"/>
      <c r="W1888" s="12"/>
      <c r="X1888" s="12"/>
      <c r="Y1888" s="12"/>
      <c r="Z1888" s="12"/>
    </row>
    <row r="1889" spans="1:26" ht="14.25" customHeight="1" x14ac:dyDescent="0.3">
      <c r="A1889" s="155"/>
      <c r="B1889" s="156"/>
      <c r="C1889" s="3"/>
      <c r="D1889" s="3"/>
      <c r="E1889" s="156"/>
      <c r="F1889" s="3"/>
      <c r="G1889" s="158"/>
      <c r="H1889" s="155"/>
      <c r="I1889" s="155"/>
      <c r="J1889" s="156"/>
      <c r="K1889" s="5"/>
      <c r="L1889" s="3"/>
      <c r="M1889" s="6"/>
      <c r="N1889" s="9"/>
      <c r="O1889" s="158"/>
      <c r="P1889" s="12"/>
      <c r="Q1889" s="12"/>
      <c r="R1889" s="12"/>
      <c r="S1889" s="12"/>
      <c r="T1889" s="12"/>
      <c r="U1889" s="12"/>
      <c r="V1889" s="12"/>
      <c r="W1889" s="12"/>
      <c r="X1889" s="12"/>
      <c r="Y1889" s="12"/>
      <c r="Z1889" s="12"/>
    </row>
    <row r="1890" spans="1:26" ht="14.25" customHeight="1" x14ac:dyDescent="0.3">
      <c r="A1890" s="155"/>
      <c r="B1890" s="156"/>
      <c r="C1890" s="3"/>
      <c r="D1890" s="3"/>
      <c r="E1890" s="156"/>
      <c r="F1890" s="3"/>
      <c r="G1890" s="158"/>
      <c r="H1890" s="155"/>
      <c r="I1890" s="155"/>
      <c r="J1890" s="156"/>
      <c r="K1890" s="5"/>
      <c r="L1890" s="3"/>
      <c r="M1890" s="6"/>
      <c r="N1890" s="9"/>
      <c r="O1890" s="158"/>
      <c r="P1890" s="12"/>
      <c r="Q1890" s="12"/>
      <c r="R1890" s="12"/>
      <c r="S1890" s="12"/>
      <c r="T1890" s="12"/>
      <c r="U1890" s="12"/>
      <c r="V1890" s="12"/>
      <c r="W1890" s="12"/>
      <c r="X1890" s="12"/>
      <c r="Y1890" s="12"/>
      <c r="Z1890" s="12"/>
    </row>
    <row r="1891" spans="1:26" ht="14.25" customHeight="1" x14ac:dyDescent="0.3">
      <c r="A1891" s="155"/>
      <c r="B1891" s="156"/>
      <c r="C1891" s="3"/>
      <c r="D1891" s="3"/>
      <c r="E1891" s="156"/>
      <c r="F1891" s="3"/>
      <c r="G1891" s="158"/>
      <c r="H1891" s="155"/>
      <c r="I1891" s="155"/>
      <c r="J1891" s="156"/>
      <c r="K1891" s="5"/>
      <c r="L1891" s="3"/>
      <c r="M1891" s="6"/>
      <c r="N1891" s="9"/>
      <c r="O1891" s="158"/>
      <c r="P1891" s="12"/>
      <c r="Q1891" s="12"/>
      <c r="R1891" s="12"/>
      <c r="S1891" s="12"/>
      <c r="T1891" s="12"/>
      <c r="U1891" s="12"/>
      <c r="V1891" s="12"/>
      <c r="W1891" s="12"/>
      <c r="X1891" s="12"/>
      <c r="Y1891" s="12"/>
      <c r="Z1891" s="12"/>
    </row>
    <row r="1892" spans="1:26" ht="14.25" customHeight="1" x14ac:dyDescent="0.3">
      <c r="A1892" s="155"/>
      <c r="B1892" s="156"/>
      <c r="C1892" s="3"/>
      <c r="D1892" s="3"/>
      <c r="E1892" s="156"/>
      <c r="F1892" s="3"/>
      <c r="G1892" s="158"/>
      <c r="H1892" s="155"/>
      <c r="I1892" s="155"/>
      <c r="J1892" s="156"/>
      <c r="K1892" s="5"/>
      <c r="L1892" s="3"/>
      <c r="M1892" s="6"/>
      <c r="N1892" s="9"/>
      <c r="O1892" s="158"/>
      <c r="P1892" s="12"/>
      <c r="Q1892" s="12"/>
      <c r="R1892" s="12"/>
      <c r="S1892" s="12"/>
      <c r="T1892" s="12"/>
      <c r="U1892" s="12"/>
      <c r="V1892" s="12"/>
      <c r="W1892" s="12"/>
      <c r="X1892" s="12"/>
      <c r="Y1892" s="12"/>
      <c r="Z1892" s="12"/>
    </row>
    <row r="1893" spans="1:26" ht="14.25" customHeight="1" x14ac:dyDescent="0.3">
      <c r="A1893" s="155"/>
      <c r="B1893" s="156"/>
      <c r="C1893" s="3"/>
      <c r="D1893" s="3"/>
      <c r="E1893" s="156"/>
      <c r="F1893" s="3"/>
      <c r="G1893" s="158"/>
      <c r="H1893" s="155"/>
      <c r="I1893" s="155"/>
      <c r="J1893" s="156"/>
      <c r="K1893" s="5"/>
      <c r="L1893" s="3"/>
      <c r="M1893" s="6"/>
      <c r="N1893" s="9"/>
      <c r="O1893" s="158"/>
      <c r="P1893" s="12"/>
      <c r="Q1893" s="12"/>
      <c r="R1893" s="12"/>
      <c r="S1893" s="12"/>
      <c r="T1893" s="12"/>
      <c r="U1893" s="12"/>
      <c r="V1893" s="12"/>
      <c r="W1893" s="12"/>
      <c r="X1893" s="12"/>
      <c r="Y1893" s="12"/>
      <c r="Z1893" s="12"/>
    </row>
    <row r="1894" spans="1:26" ht="14.25" customHeight="1" x14ac:dyDescent="0.3">
      <c r="A1894" s="155"/>
      <c r="B1894" s="156"/>
      <c r="C1894" s="3"/>
      <c r="D1894" s="3"/>
      <c r="E1894" s="156"/>
      <c r="F1894" s="3"/>
      <c r="G1894" s="158"/>
      <c r="H1894" s="155"/>
      <c r="I1894" s="155"/>
      <c r="J1894" s="156"/>
      <c r="K1894" s="5"/>
      <c r="L1894" s="3"/>
      <c r="M1894" s="6"/>
      <c r="N1894" s="9"/>
      <c r="O1894" s="158"/>
      <c r="P1894" s="12"/>
      <c r="Q1894" s="12"/>
      <c r="R1894" s="12"/>
      <c r="S1894" s="12"/>
      <c r="T1894" s="12"/>
      <c r="U1894" s="12"/>
      <c r="V1894" s="12"/>
      <c r="W1894" s="12"/>
      <c r="X1894" s="12"/>
      <c r="Y1894" s="12"/>
      <c r="Z1894" s="12"/>
    </row>
    <row r="1895" spans="1:26" ht="14.25" customHeight="1" x14ac:dyDescent="0.3">
      <c r="A1895" s="155"/>
      <c r="B1895" s="156"/>
      <c r="C1895" s="3"/>
      <c r="D1895" s="3"/>
      <c r="E1895" s="156"/>
      <c r="F1895" s="3"/>
      <c r="G1895" s="158"/>
      <c r="H1895" s="155"/>
      <c r="I1895" s="155"/>
      <c r="J1895" s="156"/>
      <c r="K1895" s="5"/>
      <c r="L1895" s="3"/>
      <c r="M1895" s="6"/>
      <c r="N1895" s="9"/>
      <c r="O1895" s="158"/>
      <c r="P1895" s="12"/>
      <c r="Q1895" s="12"/>
      <c r="R1895" s="12"/>
      <c r="S1895" s="12"/>
      <c r="T1895" s="12"/>
      <c r="U1895" s="12"/>
      <c r="V1895" s="12"/>
      <c r="W1895" s="12"/>
      <c r="X1895" s="12"/>
      <c r="Y1895" s="12"/>
      <c r="Z1895" s="12"/>
    </row>
    <row r="1896" spans="1:26" ht="14.25" customHeight="1" x14ac:dyDescent="0.3">
      <c r="A1896" s="155"/>
      <c r="B1896" s="156"/>
      <c r="C1896" s="3"/>
      <c r="D1896" s="3"/>
      <c r="E1896" s="156"/>
      <c r="F1896" s="3"/>
      <c r="G1896" s="158"/>
      <c r="H1896" s="155"/>
      <c r="I1896" s="155"/>
      <c r="J1896" s="156"/>
      <c r="K1896" s="5"/>
      <c r="L1896" s="3"/>
      <c r="M1896" s="6"/>
      <c r="N1896" s="9"/>
      <c r="O1896" s="158"/>
      <c r="P1896" s="12"/>
      <c r="Q1896" s="12"/>
      <c r="R1896" s="12"/>
      <c r="S1896" s="12"/>
      <c r="T1896" s="12"/>
      <c r="U1896" s="12"/>
      <c r="V1896" s="12"/>
      <c r="W1896" s="12"/>
      <c r="X1896" s="12"/>
      <c r="Y1896" s="12"/>
      <c r="Z1896" s="12"/>
    </row>
    <row r="1897" spans="1:26" ht="14.25" customHeight="1" x14ac:dyDescent="0.3">
      <c r="A1897" s="155"/>
      <c r="B1897" s="156"/>
      <c r="C1897" s="3"/>
      <c r="D1897" s="3"/>
      <c r="E1897" s="156"/>
      <c r="F1897" s="3"/>
      <c r="G1897" s="158"/>
      <c r="H1897" s="155"/>
      <c r="I1897" s="155"/>
      <c r="J1897" s="156"/>
      <c r="K1897" s="5"/>
      <c r="L1897" s="3"/>
      <c r="M1897" s="6"/>
      <c r="N1897" s="9"/>
      <c r="O1897" s="158"/>
      <c r="P1897" s="12"/>
      <c r="Q1897" s="12"/>
      <c r="R1897" s="12"/>
      <c r="S1897" s="12"/>
      <c r="T1897" s="12"/>
      <c r="U1897" s="12"/>
      <c r="V1897" s="12"/>
      <c r="W1897" s="12"/>
      <c r="X1897" s="12"/>
      <c r="Y1897" s="12"/>
      <c r="Z1897" s="12"/>
    </row>
    <row r="1898" spans="1:26" ht="14.25" customHeight="1" x14ac:dyDescent="0.3">
      <c r="A1898" s="155"/>
      <c r="B1898" s="156"/>
      <c r="C1898" s="3"/>
      <c r="D1898" s="3"/>
      <c r="E1898" s="156"/>
      <c r="F1898" s="3"/>
      <c r="G1898" s="158"/>
      <c r="H1898" s="155"/>
      <c r="I1898" s="155"/>
      <c r="J1898" s="156"/>
      <c r="K1898" s="5"/>
      <c r="L1898" s="3"/>
      <c r="M1898" s="6"/>
      <c r="N1898" s="9"/>
      <c r="O1898" s="158"/>
      <c r="P1898" s="12"/>
      <c r="Q1898" s="12"/>
      <c r="R1898" s="12"/>
      <c r="S1898" s="12"/>
      <c r="T1898" s="12"/>
      <c r="U1898" s="12"/>
      <c r="V1898" s="12"/>
      <c r="W1898" s="12"/>
      <c r="X1898" s="12"/>
      <c r="Y1898" s="12"/>
      <c r="Z1898" s="12"/>
    </row>
    <row r="1899" spans="1:26" ht="14.25" customHeight="1" x14ac:dyDescent="0.3">
      <c r="A1899" s="155"/>
      <c r="B1899" s="156"/>
      <c r="C1899" s="3"/>
      <c r="D1899" s="3"/>
      <c r="E1899" s="156"/>
      <c r="F1899" s="3"/>
      <c r="G1899" s="158"/>
      <c r="H1899" s="155"/>
      <c r="I1899" s="155"/>
      <c r="J1899" s="156"/>
      <c r="K1899" s="5"/>
      <c r="L1899" s="3"/>
      <c r="M1899" s="6"/>
      <c r="N1899" s="9"/>
      <c r="O1899" s="158"/>
      <c r="P1899" s="12"/>
      <c r="Q1899" s="12"/>
      <c r="R1899" s="12"/>
      <c r="S1899" s="12"/>
      <c r="T1899" s="12"/>
      <c r="U1899" s="12"/>
      <c r="V1899" s="12"/>
      <c r="W1899" s="12"/>
      <c r="X1899" s="12"/>
      <c r="Y1899" s="12"/>
      <c r="Z1899" s="12"/>
    </row>
    <row r="1900" spans="1:26" ht="14.25" customHeight="1" x14ac:dyDescent="0.3">
      <c r="A1900" s="155"/>
      <c r="B1900" s="156"/>
      <c r="C1900" s="3"/>
      <c r="D1900" s="3"/>
      <c r="E1900" s="156"/>
      <c r="F1900" s="3"/>
      <c r="G1900" s="158"/>
      <c r="H1900" s="155"/>
      <c r="I1900" s="155"/>
      <c r="J1900" s="156"/>
      <c r="K1900" s="5"/>
      <c r="L1900" s="3"/>
      <c r="M1900" s="6"/>
      <c r="N1900" s="9"/>
      <c r="O1900" s="158"/>
      <c r="P1900" s="12"/>
      <c r="Q1900" s="12"/>
      <c r="R1900" s="12"/>
      <c r="S1900" s="12"/>
      <c r="T1900" s="12"/>
      <c r="U1900" s="12"/>
      <c r="V1900" s="12"/>
      <c r="W1900" s="12"/>
      <c r="X1900" s="12"/>
      <c r="Y1900" s="12"/>
      <c r="Z1900" s="12"/>
    </row>
    <row r="1901" spans="1:26" ht="14.25" customHeight="1" x14ac:dyDescent="0.3">
      <c r="A1901" s="155"/>
      <c r="B1901" s="156"/>
      <c r="C1901" s="3"/>
      <c r="D1901" s="3"/>
      <c r="E1901" s="156"/>
      <c r="F1901" s="3"/>
      <c r="G1901" s="158"/>
      <c r="H1901" s="155"/>
      <c r="I1901" s="155"/>
      <c r="J1901" s="156"/>
      <c r="K1901" s="5"/>
      <c r="L1901" s="3"/>
      <c r="M1901" s="6"/>
      <c r="N1901" s="9"/>
      <c r="O1901" s="158"/>
      <c r="P1901" s="12"/>
      <c r="Q1901" s="12"/>
      <c r="R1901" s="12"/>
      <c r="S1901" s="12"/>
      <c r="T1901" s="12"/>
      <c r="U1901" s="12"/>
      <c r="V1901" s="12"/>
      <c r="W1901" s="12"/>
      <c r="X1901" s="12"/>
      <c r="Y1901" s="12"/>
      <c r="Z1901" s="12"/>
    </row>
    <row r="1902" spans="1:26" ht="14.25" customHeight="1" x14ac:dyDescent="0.3">
      <c r="A1902" s="155"/>
      <c r="B1902" s="156"/>
      <c r="C1902" s="3"/>
      <c r="D1902" s="3"/>
      <c r="E1902" s="156"/>
      <c r="F1902" s="3"/>
      <c r="G1902" s="158"/>
      <c r="H1902" s="155"/>
      <c r="I1902" s="155"/>
      <c r="J1902" s="156"/>
      <c r="K1902" s="5"/>
      <c r="L1902" s="3"/>
      <c r="M1902" s="6"/>
      <c r="N1902" s="9"/>
      <c r="O1902" s="158"/>
      <c r="P1902" s="12"/>
      <c r="Q1902" s="12"/>
      <c r="R1902" s="12"/>
      <c r="S1902" s="12"/>
      <c r="T1902" s="12"/>
      <c r="U1902" s="12"/>
      <c r="V1902" s="12"/>
      <c r="W1902" s="12"/>
      <c r="X1902" s="12"/>
      <c r="Y1902" s="12"/>
      <c r="Z1902" s="12"/>
    </row>
    <row r="1903" spans="1:26" ht="14.25" customHeight="1" x14ac:dyDescent="0.3">
      <c r="A1903" s="155"/>
      <c r="B1903" s="156"/>
      <c r="C1903" s="3"/>
      <c r="D1903" s="3"/>
      <c r="E1903" s="156"/>
      <c r="F1903" s="3"/>
      <c r="G1903" s="158"/>
      <c r="H1903" s="155"/>
      <c r="I1903" s="155"/>
      <c r="J1903" s="156"/>
      <c r="K1903" s="5"/>
      <c r="L1903" s="3"/>
      <c r="M1903" s="6"/>
      <c r="N1903" s="9"/>
      <c r="O1903" s="158"/>
      <c r="P1903" s="12"/>
      <c r="Q1903" s="12"/>
      <c r="R1903" s="12"/>
      <c r="S1903" s="12"/>
      <c r="T1903" s="12"/>
      <c r="U1903" s="12"/>
      <c r="V1903" s="12"/>
      <c r="W1903" s="12"/>
      <c r="X1903" s="12"/>
      <c r="Y1903" s="12"/>
      <c r="Z1903" s="12"/>
    </row>
    <row r="1904" spans="1:26" ht="14.25" customHeight="1" x14ac:dyDescent="0.3">
      <c r="A1904" s="155"/>
      <c r="B1904" s="156"/>
      <c r="C1904" s="3"/>
      <c r="D1904" s="3"/>
      <c r="E1904" s="156"/>
      <c r="F1904" s="3"/>
      <c r="G1904" s="158"/>
      <c r="H1904" s="155"/>
      <c r="I1904" s="155"/>
      <c r="J1904" s="156"/>
      <c r="K1904" s="5"/>
      <c r="L1904" s="3"/>
      <c r="M1904" s="6"/>
      <c r="N1904" s="9"/>
      <c r="O1904" s="158"/>
      <c r="P1904" s="12"/>
      <c r="Q1904" s="12"/>
      <c r="R1904" s="12"/>
      <c r="S1904" s="12"/>
      <c r="T1904" s="12"/>
      <c r="U1904" s="12"/>
      <c r="V1904" s="12"/>
      <c r="W1904" s="12"/>
      <c r="X1904" s="12"/>
      <c r="Y1904" s="12"/>
      <c r="Z1904" s="12"/>
    </row>
    <row r="1905" spans="1:26" ht="14.25" customHeight="1" x14ac:dyDescent="0.3">
      <c r="A1905" s="155"/>
      <c r="B1905" s="156"/>
      <c r="C1905" s="3"/>
      <c r="D1905" s="3"/>
      <c r="E1905" s="156"/>
      <c r="F1905" s="3"/>
      <c r="G1905" s="158"/>
      <c r="H1905" s="155"/>
      <c r="I1905" s="155"/>
      <c r="J1905" s="156"/>
      <c r="K1905" s="5"/>
      <c r="L1905" s="3"/>
      <c r="M1905" s="6"/>
      <c r="N1905" s="9"/>
      <c r="O1905" s="158"/>
      <c r="P1905" s="12"/>
      <c r="Q1905" s="12"/>
      <c r="R1905" s="12"/>
      <c r="S1905" s="12"/>
      <c r="T1905" s="12"/>
      <c r="U1905" s="12"/>
      <c r="V1905" s="12"/>
      <c r="W1905" s="12"/>
      <c r="X1905" s="12"/>
      <c r="Y1905" s="12"/>
      <c r="Z1905" s="12"/>
    </row>
    <row r="1906" spans="1:26" ht="14.25" customHeight="1" x14ac:dyDescent="0.3">
      <c r="A1906" s="155"/>
      <c r="B1906" s="156"/>
      <c r="C1906" s="3"/>
      <c r="D1906" s="3"/>
      <c r="E1906" s="156"/>
      <c r="F1906" s="3"/>
      <c r="G1906" s="158"/>
      <c r="H1906" s="155"/>
      <c r="I1906" s="155"/>
      <c r="J1906" s="156"/>
      <c r="K1906" s="5"/>
      <c r="L1906" s="3"/>
      <c r="M1906" s="6"/>
      <c r="N1906" s="9"/>
      <c r="O1906" s="158"/>
      <c r="P1906" s="12"/>
      <c r="Q1906" s="12"/>
      <c r="R1906" s="12"/>
      <c r="S1906" s="12"/>
      <c r="T1906" s="12"/>
      <c r="U1906" s="12"/>
      <c r="V1906" s="12"/>
      <c r="W1906" s="12"/>
      <c r="X1906" s="12"/>
      <c r="Y1906" s="12"/>
      <c r="Z1906" s="12"/>
    </row>
    <row r="1907" spans="1:26" ht="14.25" customHeight="1" x14ac:dyDescent="0.3">
      <c r="A1907" s="155"/>
      <c r="B1907" s="156"/>
      <c r="C1907" s="3"/>
      <c r="D1907" s="3"/>
      <c r="E1907" s="156"/>
      <c r="F1907" s="3"/>
      <c r="G1907" s="158"/>
      <c r="H1907" s="155"/>
      <c r="I1907" s="155"/>
      <c r="J1907" s="156"/>
      <c r="K1907" s="5"/>
      <c r="L1907" s="3"/>
      <c r="M1907" s="6"/>
      <c r="N1907" s="9"/>
      <c r="O1907" s="158"/>
      <c r="P1907" s="12"/>
      <c r="Q1907" s="12"/>
      <c r="R1907" s="12"/>
      <c r="S1907" s="12"/>
      <c r="T1907" s="12"/>
      <c r="U1907" s="12"/>
      <c r="V1907" s="12"/>
      <c r="W1907" s="12"/>
      <c r="X1907" s="12"/>
      <c r="Y1907" s="12"/>
      <c r="Z1907" s="12"/>
    </row>
    <row r="1908" spans="1:26" ht="14.25" customHeight="1" x14ac:dyDescent="0.3">
      <c r="A1908" s="155"/>
      <c r="B1908" s="156"/>
      <c r="C1908" s="3"/>
      <c r="D1908" s="3"/>
      <c r="E1908" s="156"/>
      <c r="F1908" s="3"/>
      <c r="G1908" s="158"/>
      <c r="H1908" s="155"/>
      <c r="I1908" s="155"/>
      <c r="J1908" s="156"/>
      <c r="K1908" s="5"/>
      <c r="L1908" s="3"/>
      <c r="M1908" s="6"/>
      <c r="N1908" s="9"/>
      <c r="O1908" s="158"/>
      <c r="P1908" s="12"/>
      <c r="Q1908" s="12"/>
      <c r="R1908" s="12"/>
      <c r="S1908" s="12"/>
      <c r="T1908" s="12"/>
      <c r="U1908" s="12"/>
      <c r="V1908" s="12"/>
      <c r="W1908" s="12"/>
      <c r="X1908" s="12"/>
      <c r="Y1908" s="12"/>
      <c r="Z1908" s="12"/>
    </row>
    <row r="1909" spans="1:26" ht="14.25" customHeight="1" x14ac:dyDescent="0.3">
      <c r="A1909" s="155"/>
      <c r="B1909" s="156"/>
      <c r="C1909" s="3"/>
      <c r="D1909" s="3"/>
      <c r="E1909" s="156"/>
      <c r="F1909" s="3"/>
      <c r="G1909" s="158"/>
      <c r="H1909" s="155"/>
      <c r="I1909" s="155"/>
      <c r="J1909" s="156"/>
      <c r="K1909" s="5"/>
      <c r="L1909" s="3"/>
      <c r="M1909" s="6"/>
      <c r="N1909" s="9"/>
      <c r="O1909" s="158"/>
      <c r="P1909" s="12"/>
      <c r="Q1909" s="12"/>
      <c r="R1909" s="12"/>
      <c r="S1909" s="12"/>
      <c r="T1909" s="12"/>
      <c r="U1909" s="12"/>
      <c r="V1909" s="12"/>
      <c r="W1909" s="12"/>
      <c r="X1909" s="12"/>
      <c r="Y1909" s="12"/>
      <c r="Z1909" s="12"/>
    </row>
    <row r="1910" spans="1:26" ht="14.25" customHeight="1" x14ac:dyDescent="0.3">
      <c r="A1910" s="155"/>
      <c r="B1910" s="156"/>
      <c r="C1910" s="3"/>
      <c r="D1910" s="3"/>
      <c r="E1910" s="156"/>
      <c r="F1910" s="3"/>
      <c r="G1910" s="158"/>
      <c r="H1910" s="155"/>
      <c r="I1910" s="155"/>
      <c r="J1910" s="156"/>
      <c r="K1910" s="5"/>
      <c r="L1910" s="3"/>
      <c r="M1910" s="6"/>
      <c r="N1910" s="9"/>
      <c r="O1910" s="158"/>
      <c r="P1910" s="12"/>
      <c r="Q1910" s="12"/>
      <c r="R1910" s="12"/>
      <c r="S1910" s="12"/>
      <c r="T1910" s="12"/>
      <c r="U1910" s="12"/>
      <c r="V1910" s="12"/>
      <c r="W1910" s="12"/>
      <c r="X1910" s="12"/>
      <c r="Y1910" s="12"/>
      <c r="Z1910" s="12"/>
    </row>
    <row r="1911" spans="1:26" ht="14.25" customHeight="1" x14ac:dyDescent="0.3">
      <c r="A1911" s="155"/>
      <c r="B1911" s="156"/>
      <c r="C1911" s="3"/>
      <c r="D1911" s="3"/>
      <c r="E1911" s="156"/>
      <c r="F1911" s="3"/>
      <c r="G1911" s="158"/>
      <c r="H1911" s="155"/>
      <c r="I1911" s="155"/>
      <c r="J1911" s="156"/>
      <c r="K1911" s="5"/>
      <c r="L1911" s="3"/>
      <c r="M1911" s="6"/>
      <c r="N1911" s="9"/>
      <c r="O1911" s="158"/>
      <c r="P1911" s="12"/>
      <c r="Q1911" s="12"/>
      <c r="R1911" s="12"/>
      <c r="S1911" s="12"/>
      <c r="T1911" s="12"/>
      <c r="U1911" s="12"/>
      <c r="V1911" s="12"/>
      <c r="W1911" s="12"/>
      <c r="X1911" s="12"/>
      <c r="Y1911" s="12"/>
      <c r="Z1911" s="12"/>
    </row>
    <row r="1912" spans="1:26" ht="14.25" customHeight="1" x14ac:dyDescent="0.3">
      <c r="A1912" s="155"/>
      <c r="B1912" s="156"/>
      <c r="C1912" s="3"/>
      <c r="D1912" s="3"/>
      <c r="E1912" s="156"/>
      <c r="F1912" s="3"/>
      <c r="G1912" s="158"/>
      <c r="H1912" s="155"/>
      <c r="I1912" s="155"/>
      <c r="J1912" s="156"/>
      <c r="K1912" s="5"/>
      <c r="L1912" s="3"/>
      <c r="M1912" s="6"/>
      <c r="N1912" s="9"/>
      <c r="O1912" s="158"/>
      <c r="P1912" s="12"/>
      <c r="Q1912" s="12"/>
      <c r="R1912" s="12"/>
      <c r="S1912" s="12"/>
      <c r="T1912" s="12"/>
      <c r="U1912" s="12"/>
      <c r="V1912" s="12"/>
      <c r="W1912" s="12"/>
      <c r="X1912" s="12"/>
      <c r="Y1912" s="12"/>
      <c r="Z1912" s="12"/>
    </row>
    <row r="1913" spans="1:26" ht="14.25" customHeight="1" x14ac:dyDescent="0.3">
      <c r="A1913" s="155"/>
      <c r="B1913" s="156"/>
      <c r="C1913" s="3"/>
      <c r="D1913" s="3"/>
      <c r="E1913" s="156"/>
      <c r="F1913" s="3"/>
      <c r="G1913" s="158"/>
      <c r="H1913" s="155"/>
      <c r="I1913" s="155"/>
      <c r="J1913" s="156"/>
      <c r="K1913" s="5"/>
      <c r="L1913" s="3"/>
      <c r="M1913" s="6"/>
      <c r="N1913" s="9"/>
      <c r="O1913" s="158"/>
      <c r="P1913" s="12"/>
      <c r="Q1913" s="12"/>
      <c r="R1913" s="12"/>
      <c r="S1913" s="12"/>
      <c r="T1913" s="12"/>
      <c r="U1913" s="12"/>
      <c r="V1913" s="12"/>
      <c r="W1913" s="12"/>
      <c r="X1913" s="12"/>
      <c r="Y1913" s="12"/>
      <c r="Z1913" s="12"/>
    </row>
    <row r="1914" spans="1:26" ht="14.25" customHeight="1" x14ac:dyDescent="0.3">
      <c r="A1914" s="155"/>
      <c r="B1914" s="156"/>
      <c r="C1914" s="3"/>
      <c r="D1914" s="3"/>
      <c r="E1914" s="156"/>
      <c r="F1914" s="3"/>
      <c r="G1914" s="158"/>
      <c r="H1914" s="155"/>
      <c r="I1914" s="155"/>
      <c r="J1914" s="156"/>
      <c r="K1914" s="5"/>
      <c r="L1914" s="3"/>
      <c r="M1914" s="6"/>
      <c r="N1914" s="9"/>
      <c r="O1914" s="158"/>
      <c r="P1914" s="12"/>
      <c r="Q1914" s="12"/>
      <c r="R1914" s="12"/>
      <c r="S1914" s="12"/>
      <c r="T1914" s="12"/>
      <c r="U1914" s="12"/>
      <c r="V1914" s="12"/>
      <c r="W1914" s="12"/>
      <c r="X1914" s="12"/>
      <c r="Y1914" s="12"/>
      <c r="Z1914" s="12"/>
    </row>
    <row r="1915" spans="1:26" ht="14.25" customHeight="1" x14ac:dyDescent="0.3">
      <c r="A1915" s="155"/>
      <c r="B1915" s="156"/>
      <c r="C1915" s="3"/>
      <c r="D1915" s="3"/>
      <c r="E1915" s="156"/>
      <c r="F1915" s="3"/>
      <c r="G1915" s="158"/>
      <c r="H1915" s="155"/>
      <c r="I1915" s="155"/>
      <c r="J1915" s="156"/>
      <c r="K1915" s="5"/>
      <c r="L1915" s="3"/>
      <c r="M1915" s="6"/>
      <c r="N1915" s="9"/>
      <c r="O1915" s="158"/>
      <c r="P1915" s="12"/>
      <c r="Q1915" s="12"/>
      <c r="R1915" s="12"/>
      <c r="S1915" s="12"/>
      <c r="T1915" s="12"/>
      <c r="U1915" s="12"/>
      <c r="V1915" s="12"/>
      <c r="W1915" s="12"/>
      <c r="X1915" s="12"/>
      <c r="Y1915" s="12"/>
      <c r="Z1915" s="12"/>
    </row>
    <row r="1916" spans="1:26" ht="14.25" customHeight="1" x14ac:dyDescent="0.3">
      <c r="A1916" s="155"/>
      <c r="B1916" s="156"/>
      <c r="C1916" s="3"/>
      <c r="D1916" s="3"/>
      <c r="E1916" s="156"/>
      <c r="F1916" s="3"/>
      <c r="G1916" s="158"/>
      <c r="H1916" s="155"/>
      <c r="I1916" s="155"/>
      <c r="J1916" s="156"/>
      <c r="K1916" s="5"/>
      <c r="L1916" s="3"/>
      <c r="M1916" s="6"/>
      <c r="N1916" s="9"/>
      <c r="O1916" s="158"/>
      <c r="P1916" s="12"/>
      <c r="Q1916" s="12"/>
      <c r="R1916" s="12"/>
      <c r="S1916" s="12"/>
      <c r="T1916" s="12"/>
      <c r="U1916" s="12"/>
      <c r="V1916" s="12"/>
      <c r="W1916" s="12"/>
      <c r="X1916" s="12"/>
      <c r="Y1916" s="12"/>
      <c r="Z1916" s="12"/>
    </row>
    <row r="1917" spans="1:26" ht="14.25" customHeight="1" x14ac:dyDescent="0.3">
      <c r="A1917" s="155"/>
      <c r="B1917" s="156"/>
      <c r="C1917" s="3"/>
      <c r="D1917" s="3"/>
      <c r="E1917" s="156"/>
      <c r="F1917" s="3"/>
      <c r="G1917" s="158"/>
      <c r="H1917" s="155"/>
      <c r="I1917" s="155"/>
      <c r="J1917" s="156"/>
      <c r="K1917" s="5"/>
      <c r="L1917" s="3"/>
      <c r="M1917" s="6"/>
      <c r="N1917" s="9"/>
      <c r="O1917" s="158"/>
      <c r="P1917" s="12"/>
      <c r="Q1917" s="12"/>
      <c r="R1917" s="12"/>
      <c r="S1917" s="12"/>
      <c r="T1917" s="12"/>
      <c r="U1917" s="12"/>
      <c r="V1917" s="12"/>
      <c r="W1917" s="12"/>
      <c r="X1917" s="12"/>
      <c r="Y1917" s="12"/>
      <c r="Z1917" s="12"/>
    </row>
    <row r="1918" spans="1:26" ht="14.25" customHeight="1" x14ac:dyDescent="0.3">
      <c r="A1918" s="155"/>
      <c r="B1918" s="156"/>
      <c r="C1918" s="3"/>
      <c r="D1918" s="3"/>
      <c r="E1918" s="156"/>
      <c r="F1918" s="3"/>
      <c r="G1918" s="158"/>
      <c r="H1918" s="155"/>
      <c r="I1918" s="155"/>
      <c r="J1918" s="156"/>
      <c r="K1918" s="5"/>
      <c r="L1918" s="3"/>
      <c r="M1918" s="6"/>
      <c r="N1918" s="9"/>
      <c r="O1918" s="158"/>
      <c r="P1918" s="12"/>
      <c r="Q1918" s="12"/>
      <c r="R1918" s="12"/>
      <c r="S1918" s="12"/>
      <c r="T1918" s="12"/>
      <c r="U1918" s="12"/>
      <c r="V1918" s="12"/>
      <c r="W1918" s="12"/>
      <c r="X1918" s="12"/>
      <c r="Y1918" s="12"/>
      <c r="Z1918" s="12"/>
    </row>
    <row r="1919" spans="1:26" ht="14.25" customHeight="1" x14ac:dyDescent="0.3">
      <c r="A1919" s="155"/>
      <c r="B1919" s="156"/>
      <c r="C1919" s="3"/>
      <c r="D1919" s="3"/>
      <c r="E1919" s="156"/>
      <c r="F1919" s="3"/>
      <c r="G1919" s="158"/>
      <c r="H1919" s="155"/>
      <c r="I1919" s="155"/>
      <c r="J1919" s="156"/>
      <c r="K1919" s="5"/>
      <c r="L1919" s="3"/>
      <c r="M1919" s="6"/>
      <c r="N1919" s="9"/>
      <c r="O1919" s="158"/>
      <c r="P1919" s="12"/>
      <c r="Q1919" s="12"/>
      <c r="R1919" s="12"/>
      <c r="S1919" s="12"/>
      <c r="T1919" s="12"/>
      <c r="U1919" s="12"/>
      <c r="V1919" s="12"/>
      <c r="W1919" s="12"/>
      <c r="X1919" s="12"/>
      <c r="Y1919" s="12"/>
      <c r="Z1919" s="12"/>
    </row>
    <row r="1920" spans="1:26" ht="14.25" customHeight="1" x14ac:dyDescent="0.3">
      <c r="A1920" s="155"/>
      <c r="B1920" s="156"/>
      <c r="C1920" s="3"/>
      <c r="D1920" s="3"/>
      <c r="E1920" s="156"/>
      <c r="F1920" s="3"/>
      <c r="G1920" s="158"/>
      <c r="H1920" s="155"/>
      <c r="I1920" s="155"/>
      <c r="J1920" s="156"/>
      <c r="K1920" s="5"/>
      <c r="L1920" s="3"/>
      <c r="M1920" s="6"/>
      <c r="N1920" s="9"/>
      <c r="O1920" s="158"/>
      <c r="P1920" s="12"/>
      <c r="Q1920" s="12"/>
      <c r="R1920" s="12"/>
      <c r="S1920" s="12"/>
      <c r="T1920" s="12"/>
      <c r="U1920" s="12"/>
      <c r="V1920" s="12"/>
      <c r="W1920" s="12"/>
      <c r="X1920" s="12"/>
      <c r="Y1920" s="12"/>
      <c r="Z1920" s="12"/>
    </row>
    <row r="1921" spans="1:26" ht="14.25" customHeight="1" x14ac:dyDescent="0.3">
      <c r="A1921" s="155"/>
      <c r="B1921" s="156"/>
      <c r="C1921" s="3"/>
      <c r="D1921" s="3"/>
      <c r="E1921" s="156"/>
      <c r="F1921" s="3"/>
      <c r="G1921" s="158"/>
      <c r="H1921" s="155"/>
      <c r="I1921" s="155"/>
      <c r="J1921" s="156"/>
      <c r="K1921" s="5"/>
      <c r="L1921" s="3"/>
      <c r="M1921" s="6"/>
      <c r="N1921" s="9"/>
      <c r="O1921" s="158"/>
      <c r="P1921" s="12"/>
      <c r="Q1921" s="12"/>
      <c r="R1921" s="12"/>
      <c r="S1921" s="12"/>
      <c r="T1921" s="12"/>
      <c r="U1921" s="12"/>
      <c r="V1921" s="12"/>
      <c r="W1921" s="12"/>
      <c r="X1921" s="12"/>
      <c r="Y1921" s="12"/>
      <c r="Z1921" s="12"/>
    </row>
    <row r="1922" spans="1:26" ht="14.25" customHeight="1" x14ac:dyDescent="0.3">
      <c r="A1922" s="155"/>
      <c r="B1922" s="156"/>
      <c r="C1922" s="3"/>
      <c r="D1922" s="3"/>
      <c r="E1922" s="156"/>
      <c r="F1922" s="3"/>
      <c r="G1922" s="158"/>
      <c r="H1922" s="155"/>
      <c r="I1922" s="155"/>
      <c r="J1922" s="156"/>
      <c r="K1922" s="5"/>
      <c r="L1922" s="3"/>
      <c r="M1922" s="6"/>
      <c r="N1922" s="9"/>
      <c r="O1922" s="158"/>
      <c r="P1922" s="12"/>
      <c r="Q1922" s="12"/>
      <c r="R1922" s="12"/>
      <c r="S1922" s="12"/>
      <c r="T1922" s="12"/>
      <c r="U1922" s="12"/>
      <c r="V1922" s="12"/>
      <c r="W1922" s="12"/>
      <c r="X1922" s="12"/>
      <c r="Y1922" s="12"/>
      <c r="Z1922" s="12"/>
    </row>
    <row r="1923" spans="1:26" ht="14.25" customHeight="1" x14ac:dyDescent="0.3">
      <c r="A1923" s="155"/>
      <c r="B1923" s="156"/>
      <c r="C1923" s="3"/>
      <c r="D1923" s="3"/>
      <c r="E1923" s="156"/>
      <c r="F1923" s="3"/>
      <c r="G1923" s="158"/>
      <c r="H1923" s="155"/>
      <c r="I1923" s="155"/>
      <c r="J1923" s="156"/>
      <c r="K1923" s="5"/>
      <c r="L1923" s="3"/>
      <c r="M1923" s="6"/>
      <c r="N1923" s="9"/>
      <c r="O1923" s="158"/>
      <c r="P1923" s="12"/>
      <c r="Q1923" s="12"/>
      <c r="R1923" s="12"/>
      <c r="S1923" s="12"/>
      <c r="T1923" s="12"/>
      <c r="U1923" s="12"/>
      <c r="V1923" s="12"/>
      <c r="W1923" s="12"/>
      <c r="X1923" s="12"/>
      <c r="Y1923" s="12"/>
      <c r="Z1923" s="12"/>
    </row>
    <row r="1924" spans="1:26" ht="14.25" customHeight="1" x14ac:dyDescent="0.3">
      <c r="A1924" s="155"/>
      <c r="B1924" s="156"/>
      <c r="C1924" s="3"/>
      <c r="D1924" s="3"/>
      <c r="E1924" s="156"/>
      <c r="F1924" s="3"/>
      <c r="G1924" s="158"/>
      <c r="H1924" s="155"/>
      <c r="I1924" s="155"/>
      <c r="J1924" s="156"/>
      <c r="K1924" s="5"/>
      <c r="L1924" s="3"/>
      <c r="M1924" s="6"/>
      <c r="N1924" s="9"/>
      <c r="O1924" s="158"/>
      <c r="P1924" s="12"/>
      <c r="Q1924" s="12"/>
      <c r="R1924" s="12"/>
      <c r="S1924" s="12"/>
      <c r="T1924" s="12"/>
      <c r="U1924" s="12"/>
      <c r="V1924" s="12"/>
      <c r="W1924" s="12"/>
      <c r="X1924" s="12"/>
      <c r="Y1924" s="12"/>
      <c r="Z1924" s="12"/>
    </row>
    <row r="1925" spans="1:26" ht="14.25" customHeight="1" x14ac:dyDescent="0.3">
      <c r="A1925" s="155"/>
      <c r="B1925" s="156"/>
      <c r="C1925" s="3"/>
      <c r="D1925" s="3"/>
      <c r="E1925" s="156"/>
      <c r="F1925" s="3"/>
      <c r="G1925" s="158"/>
      <c r="H1925" s="155"/>
      <c r="I1925" s="155"/>
      <c r="J1925" s="156"/>
      <c r="K1925" s="5"/>
      <c r="L1925" s="3"/>
      <c r="M1925" s="6"/>
      <c r="N1925" s="9"/>
      <c r="O1925" s="158"/>
      <c r="P1925" s="12"/>
      <c r="Q1925" s="12"/>
      <c r="R1925" s="12"/>
      <c r="S1925" s="12"/>
      <c r="T1925" s="12"/>
      <c r="U1925" s="12"/>
      <c r="V1925" s="12"/>
      <c r="W1925" s="12"/>
      <c r="X1925" s="12"/>
      <c r="Y1925" s="12"/>
      <c r="Z1925" s="12"/>
    </row>
    <row r="1926" spans="1:26" ht="14.25" customHeight="1" x14ac:dyDescent="0.3">
      <c r="A1926" s="155"/>
      <c r="B1926" s="156"/>
      <c r="C1926" s="3"/>
      <c r="D1926" s="3"/>
      <c r="E1926" s="156"/>
      <c r="F1926" s="3"/>
      <c r="G1926" s="158"/>
      <c r="H1926" s="155"/>
      <c r="I1926" s="155"/>
      <c r="J1926" s="156"/>
      <c r="K1926" s="5"/>
      <c r="L1926" s="3"/>
      <c r="M1926" s="6"/>
      <c r="N1926" s="9"/>
      <c r="O1926" s="158"/>
      <c r="P1926" s="12"/>
      <c r="Q1926" s="12"/>
      <c r="R1926" s="12"/>
      <c r="S1926" s="12"/>
      <c r="T1926" s="12"/>
      <c r="U1926" s="12"/>
      <c r="V1926" s="12"/>
      <c r="W1926" s="12"/>
      <c r="X1926" s="12"/>
      <c r="Y1926" s="12"/>
      <c r="Z1926" s="12"/>
    </row>
    <row r="1927" spans="1:26" ht="14.25" customHeight="1" x14ac:dyDescent="0.3">
      <c r="A1927" s="155"/>
      <c r="B1927" s="156"/>
      <c r="C1927" s="3"/>
      <c r="D1927" s="3"/>
      <c r="E1927" s="156"/>
      <c r="F1927" s="3"/>
      <c r="G1927" s="158"/>
      <c r="H1927" s="155"/>
      <c r="I1927" s="155"/>
      <c r="J1927" s="156"/>
      <c r="K1927" s="5"/>
      <c r="L1927" s="3"/>
      <c r="M1927" s="6"/>
      <c r="N1927" s="9"/>
      <c r="O1927" s="158"/>
      <c r="P1927" s="12"/>
      <c r="Q1927" s="12"/>
      <c r="R1927" s="12"/>
      <c r="S1927" s="12"/>
      <c r="T1927" s="12"/>
      <c r="U1927" s="12"/>
      <c r="V1927" s="12"/>
      <c r="W1927" s="12"/>
      <c r="X1927" s="12"/>
      <c r="Y1927" s="12"/>
      <c r="Z1927" s="12"/>
    </row>
    <row r="1928" spans="1:26" ht="14.25" customHeight="1" x14ac:dyDescent="0.3">
      <c r="A1928" s="155"/>
      <c r="B1928" s="156"/>
      <c r="C1928" s="3"/>
      <c r="D1928" s="3"/>
      <c r="E1928" s="156"/>
      <c r="F1928" s="3"/>
      <c r="G1928" s="158"/>
      <c r="H1928" s="155"/>
      <c r="I1928" s="155"/>
      <c r="J1928" s="156"/>
      <c r="K1928" s="5"/>
      <c r="L1928" s="3"/>
      <c r="M1928" s="6"/>
      <c r="N1928" s="9"/>
      <c r="O1928" s="158"/>
      <c r="P1928" s="12"/>
      <c r="Q1928" s="12"/>
      <c r="R1928" s="12"/>
      <c r="S1928" s="12"/>
      <c r="T1928" s="12"/>
      <c r="U1928" s="12"/>
      <c r="V1928" s="12"/>
      <c r="W1928" s="12"/>
      <c r="X1928" s="12"/>
      <c r="Y1928" s="12"/>
      <c r="Z1928" s="12"/>
    </row>
    <row r="1929" spans="1:26" ht="14.25" customHeight="1" x14ac:dyDescent="0.3">
      <c r="A1929" s="155"/>
      <c r="B1929" s="156"/>
      <c r="C1929" s="3"/>
      <c r="D1929" s="3"/>
      <c r="E1929" s="156"/>
      <c r="F1929" s="3"/>
      <c r="G1929" s="158"/>
      <c r="H1929" s="155"/>
      <c r="I1929" s="155"/>
      <c r="J1929" s="156"/>
      <c r="K1929" s="5"/>
      <c r="L1929" s="3"/>
      <c r="M1929" s="6"/>
      <c r="N1929" s="9"/>
      <c r="O1929" s="158"/>
      <c r="P1929" s="12"/>
      <c r="Q1929" s="12"/>
      <c r="R1929" s="12"/>
      <c r="S1929" s="12"/>
      <c r="T1929" s="12"/>
      <c r="U1929" s="12"/>
      <c r="V1929" s="12"/>
      <c r="W1929" s="12"/>
      <c r="X1929" s="12"/>
      <c r="Y1929" s="12"/>
      <c r="Z1929" s="12"/>
    </row>
    <row r="1930" spans="1:26" ht="14.25" customHeight="1" x14ac:dyDescent="0.3">
      <c r="A1930" s="155"/>
      <c r="B1930" s="156"/>
      <c r="C1930" s="3"/>
      <c r="D1930" s="3"/>
      <c r="E1930" s="156"/>
      <c r="F1930" s="3"/>
      <c r="G1930" s="158"/>
      <c r="H1930" s="155"/>
      <c r="I1930" s="155"/>
      <c r="J1930" s="156"/>
      <c r="K1930" s="5"/>
      <c r="L1930" s="3"/>
      <c r="M1930" s="6"/>
      <c r="N1930" s="9"/>
      <c r="O1930" s="158"/>
      <c r="P1930" s="12"/>
      <c r="Q1930" s="12"/>
      <c r="R1930" s="12"/>
      <c r="S1930" s="12"/>
      <c r="T1930" s="12"/>
      <c r="U1930" s="12"/>
      <c r="V1930" s="12"/>
      <c r="W1930" s="12"/>
      <c r="X1930" s="12"/>
      <c r="Y1930" s="12"/>
      <c r="Z1930" s="12"/>
    </row>
    <row r="1931" spans="1:26" ht="14.25" customHeight="1" x14ac:dyDescent="0.3">
      <c r="A1931" s="155"/>
      <c r="B1931" s="156"/>
      <c r="C1931" s="3"/>
      <c r="D1931" s="3"/>
      <c r="E1931" s="156"/>
      <c r="F1931" s="3"/>
      <c r="G1931" s="158"/>
      <c r="H1931" s="155"/>
      <c r="I1931" s="155"/>
      <c r="J1931" s="156"/>
      <c r="K1931" s="5"/>
      <c r="L1931" s="3"/>
      <c r="M1931" s="6"/>
      <c r="N1931" s="9"/>
      <c r="O1931" s="158"/>
      <c r="P1931" s="12"/>
      <c r="Q1931" s="12"/>
      <c r="R1931" s="12"/>
      <c r="S1931" s="12"/>
      <c r="T1931" s="12"/>
      <c r="U1931" s="12"/>
      <c r="V1931" s="12"/>
      <c r="W1931" s="12"/>
      <c r="X1931" s="12"/>
      <c r="Y1931" s="12"/>
      <c r="Z1931" s="12"/>
    </row>
    <row r="1932" spans="1:26" ht="14.25" customHeight="1" x14ac:dyDescent="0.3">
      <c r="A1932" s="155"/>
      <c r="B1932" s="156"/>
      <c r="C1932" s="3"/>
      <c r="D1932" s="3"/>
      <c r="E1932" s="156"/>
      <c r="F1932" s="3"/>
      <c r="G1932" s="158"/>
      <c r="H1932" s="155"/>
      <c r="I1932" s="155"/>
      <c r="J1932" s="156"/>
      <c r="K1932" s="5"/>
      <c r="L1932" s="3"/>
      <c r="M1932" s="6"/>
      <c r="N1932" s="9"/>
      <c r="O1932" s="158"/>
      <c r="P1932" s="12"/>
      <c r="Q1932" s="12"/>
      <c r="R1932" s="12"/>
      <c r="S1932" s="12"/>
      <c r="T1932" s="12"/>
      <c r="U1932" s="12"/>
      <c r="V1932" s="12"/>
      <c r="W1932" s="12"/>
      <c r="X1932" s="12"/>
      <c r="Y1932" s="12"/>
      <c r="Z1932" s="12"/>
    </row>
    <row r="1933" spans="1:26" ht="14.25" customHeight="1" x14ac:dyDescent="0.3">
      <c r="A1933" s="155"/>
      <c r="B1933" s="156"/>
      <c r="C1933" s="3"/>
      <c r="D1933" s="3"/>
      <c r="E1933" s="156"/>
      <c r="F1933" s="3"/>
      <c r="G1933" s="158"/>
      <c r="H1933" s="155"/>
      <c r="I1933" s="155"/>
      <c r="J1933" s="156"/>
      <c r="K1933" s="5"/>
      <c r="L1933" s="3"/>
      <c r="M1933" s="6"/>
      <c r="N1933" s="9"/>
      <c r="O1933" s="158"/>
      <c r="P1933" s="12"/>
      <c r="Q1933" s="12"/>
      <c r="R1933" s="12"/>
      <c r="S1933" s="12"/>
      <c r="T1933" s="12"/>
      <c r="U1933" s="12"/>
      <c r="V1933" s="12"/>
      <c r="W1933" s="12"/>
      <c r="X1933" s="12"/>
      <c r="Y1933" s="12"/>
      <c r="Z1933" s="12"/>
    </row>
    <row r="1934" spans="1:26" ht="14.25" customHeight="1" x14ac:dyDescent="0.3">
      <c r="A1934" s="155"/>
      <c r="B1934" s="156"/>
      <c r="C1934" s="3"/>
      <c r="D1934" s="3"/>
      <c r="E1934" s="156"/>
      <c r="F1934" s="3"/>
      <c r="G1934" s="158"/>
      <c r="H1934" s="155"/>
      <c r="I1934" s="155"/>
      <c r="J1934" s="156"/>
      <c r="K1934" s="5"/>
      <c r="L1934" s="3"/>
      <c r="M1934" s="6"/>
      <c r="N1934" s="9"/>
      <c r="O1934" s="158"/>
      <c r="P1934" s="12"/>
      <c r="Q1934" s="12"/>
      <c r="R1934" s="12"/>
      <c r="S1934" s="12"/>
      <c r="T1934" s="12"/>
      <c r="U1934" s="12"/>
      <c r="V1934" s="12"/>
      <c r="W1934" s="12"/>
      <c r="X1934" s="12"/>
      <c r="Y1934" s="12"/>
      <c r="Z1934" s="12"/>
    </row>
    <row r="1935" spans="1:26" ht="14.25" customHeight="1" x14ac:dyDescent="0.3">
      <c r="A1935" s="155"/>
      <c r="B1935" s="156"/>
      <c r="C1935" s="3"/>
      <c r="D1935" s="3"/>
      <c r="E1935" s="156"/>
      <c r="F1935" s="3"/>
      <c r="G1935" s="158"/>
      <c r="H1935" s="155"/>
      <c r="I1935" s="155"/>
      <c r="J1935" s="156"/>
      <c r="K1935" s="5"/>
      <c r="L1935" s="3"/>
      <c r="M1935" s="6"/>
      <c r="N1935" s="9"/>
      <c r="O1935" s="158"/>
      <c r="P1935" s="12"/>
      <c r="Q1935" s="12"/>
      <c r="R1935" s="12"/>
      <c r="S1935" s="12"/>
      <c r="T1935" s="12"/>
      <c r="U1935" s="12"/>
      <c r="V1935" s="12"/>
      <c r="W1935" s="12"/>
      <c r="X1935" s="12"/>
      <c r="Y1935" s="12"/>
      <c r="Z1935" s="12"/>
    </row>
    <row r="1936" spans="1:26" ht="14.25" customHeight="1" x14ac:dyDescent="0.3">
      <c r="A1936" s="155"/>
      <c r="B1936" s="156"/>
      <c r="C1936" s="3"/>
      <c r="D1936" s="3"/>
      <c r="E1936" s="156"/>
      <c r="F1936" s="3"/>
      <c r="G1936" s="158"/>
      <c r="H1936" s="155"/>
      <c r="I1936" s="155"/>
      <c r="J1936" s="156"/>
      <c r="K1936" s="5"/>
      <c r="L1936" s="3"/>
      <c r="M1936" s="6"/>
      <c r="N1936" s="9"/>
      <c r="O1936" s="158"/>
      <c r="P1936" s="12"/>
      <c r="Q1936" s="12"/>
      <c r="R1936" s="12"/>
      <c r="S1936" s="12"/>
      <c r="T1936" s="12"/>
      <c r="U1936" s="12"/>
      <c r="V1936" s="12"/>
      <c r="W1936" s="12"/>
      <c r="X1936" s="12"/>
      <c r="Y1936" s="12"/>
      <c r="Z1936" s="12"/>
    </row>
    <row r="1937" spans="1:26" ht="14.25" customHeight="1" x14ac:dyDescent="0.3">
      <c r="A1937" s="155"/>
      <c r="B1937" s="156"/>
      <c r="C1937" s="3"/>
      <c r="D1937" s="3"/>
      <c r="E1937" s="156"/>
      <c r="F1937" s="3"/>
      <c r="G1937" s="158"/>
      <c r="H1937" s="155"/>
      <c r="I1937" s="155"/>
      <c r="J1937" s="156"/>
      <c r="K1937" s="5"/>
      <c r="L1937" s="3"/>
      <c r="M1937" s="6"/>
      <c r="N1937" s="9"/>
      <c r="O1937" s="158"/>
      <c r="P1937" s="12"/>
      <c r="Q1937" s="12"/>
      <c r="R1937" s="12"/>
      <c r="S1937" s="12"/>
      <c r="T1937" s="12"/>
      <c r="U1937" s="12"/>
      <c r="V1937" s="12"/>
      <c r="W1937" s="12"/>
      <c r="X1937" s="12"/>
      <c r="Y1937" s="12"/>
      <c r="Z1937" s="12"/>
    </row>
    <row r="1938" spans="1:26" ht="14.25" customHeight="1" x14ac:dyDescent="0.3">
      <c r="A1938" s="155"/>
      <c r="B1938" s="156"/>
      <c r="C1938" s="3"/>
      <c r="D1938" s="3"/>
      <c r="E1938" s="156"/>
      <c r="F1938" s="3"/>
      <c r="G1938" s="158"/>
      <c r="H1938" s="155"/>
      <c r="I1938" s="155"/>
      <c r="J1938" s="156"/>
      <c r="K1938" s="5"/>
      <c r="L1938" s="3"/>
      <c r="M1938" s="6"/>
      <c r="N1938" s="9"/>
      <c r="O1938" s="158"/>
      <c r="P1938" s="12"/>
      <c r="Q1938" s="12"/>
      <c r="R1938" s="12"/>
      <c r="S1938" s="12"/>
      <c r="T1938" s="12"/>
      <c r="U1938" s="12"/>
      <c r="V1938" s="12"/>
      <c r="W1938" s="12"/>
      <c r="X1938" s="12"/>
      <c r="Y1938" s="12"/>
      <c r="Z1938" s="12"/>
    </row>
    <row r="1939" spans="1:26" ht="14.25" customHeight="1" x14ac:dyDescent="0.3">
      <c r="A1939" s="155"/>
      <c r="B1939" s="156"/>
      <c r="C1939" s="3"/>
      <c r="D1939" s="3"/>
      <c r="E1939" s="156"/>
      <c r="F1939" s="3"/>
      <c r="G1939" s="158"/>
      <c r="H1939" s="155"/>
      <c r="I1939" s="155"/>
      <c r="J1939" s="156"/>
      <c r="K1939" s="5"/>
      <c r="L1939" s="3"/>
      <c r="M1939" s="6"/>
      <c r="N1939" s="9"/>
      <c r="O1939" s="158"/>
      <c r="P1939" s="12"/>
      <c r="Q1939" s="12"/>
      <c r="R1939" s="12"/>
      <c r="S1939" s="12"/>
      <c r="T1939" s="12"/>
      <c r="U1939" s="12"/>
      <c r="V1939" s="12"/>
      <c r="W1939" s="12"/>
      <c r="X1939" s="12"/>
      <c r="Y1939" s="12"/>
      <c r="Z1939" s="12"/>
    </row>
    <row r="1940" spans="1:26" ht="14.25" customHeight="1" x14ac:dyDescent="0.3">
      <c r="A1940" s="155"/>
      <c r="B1940" s="156"/>
      <c r="C1940" s="3"/>
      <c r="D1940" s="3"/>
      <c r="E1940" s="156"/>
      <c r="F1940" s="3"/>
      <c r="G1940" s="158"/>
      <c r="H1940" s="155"/>
      <c r="I1940" s="155"/>
      <c r="J1940" s="156"/>
      <c r="K1940" s="5"/>
      <c r="L1940" s="3"/>
      <c r="M1940" s="6"/>
      <c r="N1940" s="9"/>
      <c r="O1940" s="158"/>
      <c r="P1940" s="12"/>
      <c r="Q1940" s="12"/>
      <c r="R1940" s="12"/>
      <c r="S1940" s="12"/>
      <c r="T1940" s="12"/>
      <c r="U1940" s="12"/>
      <c r="V1940" s="12"/>
      <c r="W1940" s="12"/>
      <c r="X1940" s="12"/>
      <c r="Y1940" s="12"/>
      <c r="Z1940" s="12"/>
    </row>
    <row r="1941" spans="1:26" ht="14.25" customHeight="1" x14ac:dyDescent="0.3">
      <c r="A1941" s="155"/>
      <c r="B1941" s="156"/>
      <c r="C1941" s="3"/>
      <c r="D1941" s="3"/>
      <c r="E1941" s="156"/>
      <c r="F1941" s="3"/>
      <c r="G1941" s="158"/>
      <c r="H1941" s="155"/>
      <c r="I1941" s="155"/>
      <c r="J1941" s="156"/>
      <c r="K1941" s="5"/>
      <c r="L1941" s="3"/>
      <c r="M1941" s="6"/>
      <c r="N1941" s="9"/>
      <c r="O1941" s="158"/>
      <c r="P1941" s="12"/>
      <c r="Q1941" s="12"/>
      <c r="R1941" s="12"/>
      <c r="S1941" s="12"/>
      <c r="T1941" s="12"/>
      <c r="U1941" s="12"/>
      <c r="V1941" s="12"/>
      <c r="W1941" s="12"/>
      <c r="X1941" s="12"/>
      <c r="Y1941" s="12"/>
      <c r="Z1941" s="12"/>
    </row>
    <row r="1942" spans="1:26" ht="14.25" customHeight="1" x14ac:dyDescent="0.3">
      <c r="A1942" s="155"/>
      <c r="B1942" s="156"/>
      <c r="C1942" s="3"/>
      <c r="D1942" s="3"/>
      <c r="E1942" s="156"/>
      <c r="F1942" s="3"/>
      <c r="G1942" s="158"/>
      <c r="H1942" s="155"/>
      <c r="I1942" s="155"/>
      <c r="J1942" s="156"/>
      <c r="K1942" s="5"/>
      <c r="L1942" s="3"/>
      <c r="M1942" s="6"/>
      <c r="N1942" s="9"/>
      <c r="O1942" s="158"/>
      <c r="P1942" s="12"/>
      <c r="Q1942" s="12"/>
      <c r="R1942" s="12"/>
      <c r="S1942" s="12"/>
      <c r="T1942" s="12"/>
      <c r="U1942" s="12"/>
      <c r="V1942" s="12"/>
      <c r="W1942" s="12"/>
      <c r="X1942" s="12"/>
      <c r="Y1942" s="12"/>
      <c r="Z1942" s="12"/>
    </row>
    <row r="1943" spans="1:26" ht="14.25" customHeight="1" x14ac:dyDescent="0.3">
      <c r="A1943" s="155"/>
      <c r="B1943" s="156"/>
      <c r="C1943" s="3"/>
      <c r="D1943" s="3"/>
      <c r="E1943" s="156"/>
      <c r="F1943" s="3"/>
      <c r="G1943" s="158"/>
      <c r="H1943" s="155"/>
      <c r="I1943" s="155"/>
      <c r="J1943" s="156"/>
      <c r="K1943" s="5"/>
      <c r="L1943" s="3"/>
      <c r="M1943" s="6"/>
      <c r="N1943" s="9"/>
      <c r="O1943" s="158"/>
      <c r="P1943" s="12"/>
      <c r="Q1943" s="12"/>
      <c r="R1943" s="12"/>
      <c r="S1943" s="12"/>
      <c r="T1943" s="12"/>
      <c r="U1943" s="12"/>
      <c r="V1943" s="12"/>
      <c r="W1943" s="12"/>
      <c r="X1943" s="12"/>
      <c r="Y1943" s="12"/>
      <c r="Z1943" s="12"/>
    </row>
    <row r="1944" spans="1:26" ht="14.25" customHeight="1" x14ac:dyDescent="0.3">
      <c r="A1944" s="155"/>
      <c r="B1944" s="156"/>
      <c r="C1944" s="3"/>
      <c r="D1944" s="3"/>
      <c r="E1944" s="156"/>
      <c r="F1944" s="3"/>
      <c r="G1944" s="158"/>
      <c r="H1944" s="155"/>
      <c r="I1944" s="155"/>
      <c r="J1944" s="156"/>
      <c r="K1944" s="5"/>
      <c r="L1944" s="3"/>
      <c r="M1944" s="6"/>
      <c r="N1944" s="9"/>
      <c r="O1944" s="158"/>
      <c r="P1944" s="12"/>
      <c r="Q1944" s="12"/>
      <c r="R1944" s="12"/>
      <c r="S1944" s="12"/>
      <c r="T1944" s="12"/>
      <c r="U1944" s="12"/>
      <c r="V1944" s="12"/>
      <c r="W1944" s="12"/>
      <c r="X1944" s="12"/>
      <c r="Y1944" s="12"/>
      <c r="Z1944" s="12"/>
    </row>
    <row r="1945" spans="1:26" ht="14.25" customHeight="1" x14ac:dyDescent="0.3">
      <c r="A1945" s="155"/>
      <c r="B1945" s="156"/>
      <c r="C1945" s="3"/>
      <c r="D1945" s="3"/>
      <c r="E1945" s="156"/>
      <c r="F1945" s="3"/>
      <c r="G1945" s="158"/>
      <c r="H1945" s="155"/>
      <c r="I1945" s="155"/>
      <c r="J1945" s="156"/>
      <c r="K1945" s="5"/>
      <c r="L1945" s="3"/>
      <c r="M1945" s="6"/>
      <c r="N1945" s="9"/>
      <c r="O1945" s="158"/>
      <c r="P1945" s="12"/>
      <c r="Q1945" s="12"/>
      <c r="R1945" s="12"/>
      <c r="S1945" s="12"/>
      <c r="T1945" s="12"/>
      <c r="U1945" s="12"/>
      <c r="V1945" s="12"/>
      <c r="W1945" s="12"/>
      <c r="X1945" s="12"/>
      <c r="Y1945" s="12"/>
      <c r="Z1945" s="12"/>
    </row>
    <row r="1946" spans="1:26" ht="14.25" customHeight="1" x14ac:dyDescent="0.3">
      <c r="A1946" s="155"/>
      <c r="B1946" s="156"/>
      <c r="C1946" s="3"/>
      <c r="D1946" s="3"/>
      <c r="E1946" s="156"/>
      <c r="F1946" s="3"/>
      <c r="G1946" s="158"/>
      <c r="H1946" s="155"/>
      <c r="I1946" s="155"/>
      <c r="J1946" s="156"/>
      <c r="K1946" s="5"/>
      <c r="L1946" s="3"/>
      <c r="M1946" s="6"/>
      <c r="N1946" s="9"/>
      <c r="O1946" s="158"/>
      <c r="P1946" s="12"/>
      <c r="Q1946" s="12"/>
      <c r="R1946" s="12"/>
      <c r="S1946" s="12"/>
      <c r="T1946" s="12"/>
      <c r="U1946" s="12"/>
      <c r="V1946" s="12"/>
      <c r="W1946" s="12"/>
      <c r="X1946" s="12"/>
      <c r="Y1946" s="12"/>
      <c r="Z1946" s="12"/>
    </row>
    <row r="1947" spans="1:26" ht="14.25" customHeight="1" x14ac:dyDescent="0.3">
      <c r="A1947" s="155"/>
      <c r="B1947" s="156"/>
      <c r="C1947" s="3"/>
      <c r="D1947" s="3"/>
      <c r="E1947" s="156"/>
      <c r="F1947" s="3"/>
      <c r="G1947" s="158"/>
      <c r="H1947" s="155"/>
      <c r="I1947" s="155"/>
      <c r="J1947" s="156"/>
      <c r="K1947" s="5"/>
      <c r="L1947" s="3"/>
      <c r="M1947" s="6"/>
      <c r="N1947" s="9"/>
      <c r="O1947" s="158"/>
      <c r="P1947" s="12"/>
      <c r="Q1947" s="12"/>
      <c r="R1947" s="12"/>
      <c r="S1947" s="12"/>
      <c r="T1947" s="12"/>
      <c r="U1947" s="12"/>
      <c r="V1947" s="12"/>
      <c r="W1947" s="12"/>
      <c r="X1947" s="12"/>
      <c r="Y1947" s="12"/>
      <c r="Z1947" s="12"/>
    </row>
    <row r="1948" spans="1:26" ht="14.25" customHeight="1" x14ac:dyDescent="0.3">
      <c r="A1948" s="155"/>
      <c r="B1948" s="156"/>
      <c r="C1948" s="3"/>
      <c r="D1948" s="3"/>
      <c r="E1948" s="156"/>
      <c r="F1948" s="3"/>
      <c r="G1948" s="158"/>
      <c r="H1948" s="155"/>
      <c r="I1948" s="155"/>
      <c r="J1948" s="156"/>
      <c r="K1948" s="5"/>
      <c r="L1948" s="3"/>
      <c r="M1948" s="6"/>
      <c r="N1948" s="9"/>
      <c r="O1948" s="158"/>
      <c r="P1948" s="12"/>
      <c r="Q1948" s="12"/>
      <c r="R1948" s="12"/>
      <c r="S1948" s="12"/>
      <c r="T1948" s="12"/>
      <c r="U1948" s="12"/>
      <c r="V1948" s="12"/>
      <c r="W1948" s="12"/>
      <c r="X1948" s="12"/>
      <c r="Y1948" s="12"/>
      <c r="Z1948" s="12"/>
    </row>
    <row r="1949" spans="1:26" ht="14.25" customHeight="1" x14ac:dyDescent="0.3">
      <c r="A1949" s="155"/>
      <c r="B1949" s="156"/>
      <c r="C1949" s="3"/>
      <c r="D1949" s="3"/>
      <c r="E1949" s="156"/>
      <c r="F1949" s="3"/>
      <c r="G1949" s="158"/>
      <c r="H1949" s="155"/>
      <c r="I1949" s="155"/>
      <c r="J1949" s="156"/>
      <c r="K1949" s="5"/>
      <c r="L1949" s="3"/>
      <c r="M1949" s="6"/>
      <c r="N1949" s="9"/>
      <c r="O1949" s="158"/>
      <c r="P1949" s="12"/>
      <c r="Q1949" s="12"/>
      <c r="R1949" s="12"/>
      <c r="S1949" s="12"/>
      <c r="T1949" s="12"/>
      <c r="U1949" s="12"/>
      <c r="V1949" s="12"/>
      <c r="W1949" s="12"/>
      <c r="X1949" s="12"/>
      <c r="Y1949" s="12"/>
      <c r="Z1949" s="12"/>
    </row>
    <row r="1950" spans="1:26" ht="14.25" customHeight="1" x14ac:dyDescent="0.3">
      <c r="A1950" s="155"/>
      <c r="B1950" s="156"/>
      <c r="C1950" s="3"/>
      <c r="D1950" s="3"/>
      <c r="E1950" s="156"/>
      <c r="F1950" s="3"/>
      <c r="G1950" s="158"/>
      <c r="H1950" s="155"/>
      <c r="I1950" s="155"/>
      <c r="J1950" s="156"/>
      <c r="K1950" s="5"/>
      <c r="L1950" s="3"/>
      <c r="M1950" s="6"/>
      <c r="N1950" s="9"/>
      <c r="O1950" s="158"/>
      <c r="P1950" s="12"/>
      <c r="Q1950" s="12"/>
      <c r="R1950" s="12"/>
      <c r="S1950" s="12"/>
      <c r="T1950" s="12"/>
      <c r="U1950" s="12"/>
      <c r="V1950" s="12"/>
      <c r="W1950" s="12"/>
      <c r="X1950" s="12"/>
      <c r="Y1950" s="12"/>
      <c r="Z1950" s="12"/>
    </row>
    <row r="1951" spans="1:26" ht="14.25" customHeight="1" x14ac:dyDescent="0.3">
      <c r="A1951" s="155"/>
      <c r="B1951" s="156"/>
      <c r="C1951" s="3"/>
      <c r="D1951" s="3"/>
      <c r="E1951" s="156"/>
      <c r="F1951" s="3"/>
      <c r="G1951" s="158"/>
      <c r="H1951" s="155"/>
      <c r="I1951" s="155"/>
      <c r="J1951" s="156"/>
      <c r="K1951" s="5"/>
      <c r="L1951" s="3"/>
      <c r="M1951" s="6"/>
      <c r="N1951" s="9"/>
      <c r="O1951" s="158"/>
      <c r="P1951" s="12"/>
      <c r="Q1951" s="12"/>
      <c r="R1951" s="12"/>
      <c r="S1951" s="12"/>
      <c r="T1951" s="12"/>
      <c r="U1951" s="12"/>
      <c r="V1951" s="12"/>
      <c r="W1951" s="12"/>
      <c r="X1951" s="12"/>
      <c r="Y1951" s="12"/>
      <c r="Z1951" s="12"/>
    </row>
    <row r="1952" spans="1:26" ht="14.25" customHeight="1" x14ac:dyDescent="0.3">
      <c r="A1952" s="155"/>
      <c r="B1952" s="156"/>
      <c r="C1952" s="3"/>
      <c r="D1952" s="3"/>
      <c r="E1952" s="156"/>
      <c r="F1952" s="3"/>
      <c r="G1952" s="158"/>
      <c r="H1952" s="155"/>
      <c r="I1952" s="155"/>
      <c r="J1952" s="156"/>
      <c r="K1952" s="5"/>
      <c r="L1952" s="3"/>
      <c r="M1952" s="6"/>
      <c r="N1952" s="9"/>
      <c r="O1952" s="158"/>
      <c r="P1952" s="12"/>
      <c r="Q1952" s="12"/>
      <c r="R1952" s="12"/>
      <c r="S1952" s="12"/>
      <c r="T1952" s="12"/>
      <c r="U1952" s="12"/>
      <c r="V1952" s="12"/>
      <c r="W1952" s="12"/>
      <c r="X1952" s="12"/>
      <c r="Y1952" s="12"/>
      <c r="Z1952" s="12"/>
    </row>
    <row r="1953" spans="1:26" ht="14.25" customHeight="1" x14ac:dyDescent="0.3">
      <c r="A1953" s="155"/>
      <c r="B1953" s="156"/>
      <c r="C1953" s="3"/>
      <c r="D1953" s="3"/>
      <c r="E1953" s="156"/>
      <c r="F1953" s="3"/>
      <c r="G1953" s="158"/>
      <c r="H1953" s="155"/>
      <c r="I1953" s="155"/>
      <c r="J1953" s="156"/>
      <c r="K1953" s="5"/>
      <c r="L1953" s="3"/>
      <c r="M1953" s="6"/>
      <c r="N1953" s="9"/>
      <c r="O1953" s="158"/>
      <c r="P1953" s="12"/>
      <c r="Q1953" s="12"/>
      <c r="R1953" s="12"/>
      <c r="S1953" s="12"/>
      <c r="T1953" s="12"/>
      <c r="U1953" s="12"/>
      <c r="V1953" s="12"/>
      <c r="W1953" s="12"/>
      <c r="X1953" s="12"/>
      <c r="Y1953" s="12"/>
      <c r="Z1953" s="12"/>
    </row>
    <row r="1954" spans="1:26" ht="14.25" customHeight="1" x14ac:dyDescent="0.3">
      <c r="A1954" s="155"/>
      <c r="B1954" s="156"/>
      <c r="C1954" s="3"/>
      <c r="D1954" s="3"/>
      <c r="E1954" s="156"/>
      <c r="F1954" s="3"/>
      <c r="G1954" s="158"/>
      <c r="H1954" s="155"/>
      <c r="I1954" s="155"/>
      <c r="J1954" s="156"/>
      <c r="K1954" s="5"/>
      <c r="L1954" s="3"/>
      <c r="M1954" s="6"/>
      <c r="N1954" s="9"/>
      <c r="O1954" s="158"/>
      <c r="P1954" s="12"/>
      <c r="Q1954" s="12"/>
      <c r="R1954" s="12"/>
      <c r="S1954" s="12"/>
      <c r="T1954" s="12"/>
      <c r="U1954" s="12"/>
      <c r="V1954" s="12"/>
      <c r="W1954" s="12"/>
      <c r="X1954" s="12"/>
      <c r="Y1954" s="12"/>
      <c r="Z1954" s="12"/>
    </row>
    <row r="1955" spans="1:26" ht="14.25" customHeight="1" x14ac:dyDescent="0.3">
      <c r="A1955" s="155"/>
      <c r="B1955" s="156"/>
      <c r="C1955" s="3"/>
      <c r="D1955" s="3"/>
      <c r="E1955" s="156"/>
      <c r="F1955" s="3"/>
      <c r="G1955" s="158"/>
      <c r="H1955" s="155"/>
      <c r="I1955" s="155"/>
      <c r="J1955" s="156"/>
      <c r="K1955" s="5"/>
      <c r="L1955" s="3"/>
      <c r="M1955" s="6"/>
      <c r="N1955" s="9"/>
      <c r="O1955" s="158"/>
      <c r="P1955" s="12"/>
      <c r="Q1955" s="12"/>
      <c r="R1955" s="12"/>
      <c r="S1955" s="12"/>
      <c r="T1955" s="12"/>
      <c r="U1955" s="12"/>
      <c r="V1955" s="12"/>
      <c r="W1955" s="12"/>
      <c r="X1955" s="12"/>
      <c r="Y1955" s="12"/>
      <c r="Z1955" s="12"/>
    </row>
    <row r="1956" spans="1:26" ht="14.25" customHeight="1" x14ac:dyDescent="0.3">
      <c r="A1956" s="155"/>
      <c r="B1956" s="156"/>
      <c r="C1956" s="3"/>
      <c r="D1956" s="3"/>
      <c r="E1956" s="156"/>
      <c r="F1956" s="3"/>
      <c r="G1956" s="158"/>
      <c r="H1956" s="155"/>
      <c r="I1956" s="155"/>
      <c r="J1956" s="156"/>
      <c r="K1956" s="5"/>
      <c r="L1956" s="3"/>
      <c r="M1956" s="6"/>
      <c r="N1956" s="9"/>
      <c r="O1956" s="158"/>
      <c r="P1956" s="12"/>
      <c r="Q1956" s="12"/>
      <c r="R1956" s="12"/>
      <c r="S1956" s="12"/>
      <c r="T1956" s="12"/>
      <c r="U1956" s="12"/>
      <c r="V1956" s="12"/>
      <c r="W1956" s="12"/>
      <c r="X1956" s="12"/>
      <c r="Y1956" s="12"/>
      <c r="Z1956" s="12"/>
    </row>
    <row r="1957" spans="1:26" ht="14.25" customHeight="1" x14ac:dyDescent="0.3">
      <c r="A1957" s="155"/>
      <c r="B1957" s="156"/>
      <c r="C1957" s="3"/>
      <c r="D1957" s="3"/>
      <c r="E1957" s="156"/>
      <c r="F1957" s="3"/>
      <c r="G1957" s="158"/>
      <c r="H1957" s="155"/>
      <c r="I1957" s="155"/>
      <c r="J1957" s="156"/>
      <c r="K1957" s="5"/>
      <c r="L1957" s="3"/>
      <c r="M1957" s="6"/>
      <c r="N1957" s="9"/>
      <c r="O1957" s="158"/>
      <c r="P1957" s="12"/>
      <c r="Q1957" s="12"/>
      <c r="R1957" s="12"/>
      <c r="S1957" s="12"/>
      <c r="T1957" s="12"/>
      <c r="U1957" s="12"/>
      <c r="V1957" s="12"/>
      <c r="W1957" s="12"/>
      <c r="X1957" s="12"/>
      <c r="Y1957" s="12"/>
      <c r="Z1957" s="12"/>
    </row>
    <row r="1958" spans="1:26" ht="14.25" customHeight="1" x14ac:dyDescent="0.3">
      <c r="A1958" s="155"/>
      <c r="B1958" s="156"/>
      <c r="C1958" s="3"/>
      <c r="D1958" s="3"/>
      <c r="E1958" s="156"/>
      <c r="F1958" s="3"/>
      <c r="G1958" s="158"/>
      <c r="H1958" s="155"/>
      <c r="I1958" s="155"/>
      <c r="J1958" s="156"/>
      <c r="K1958" s="5"/>
      <c r="L1958" s="3"/>
      <c r="M1958" s="6"/>
      <c r="N1958" s="9"/>
      <c r="O1958" s="158"/>
      <c r="P1958" s="12"/>
      <c r="Q1958" s="12"/>
      <c r="R1958" s="12"/>
      <c r="S1958" s="12"/>
      <c r="T1958" s="12"/>
      <c r="U1958" s="12"/>
      <c r="V1958" s="12"/>
      <c r="W1958" s="12"/>
      <c r="X1958" s="12"/>
      <c r="Y1958" s="12"/>
      <c r="Z1958" s="12"/>
    </row>
    <row r="1959" spans="1:26" ht="14.25" customHeight="1" x14ac:dyDescent="0.3">
      <c r="A1959" s="155"/>
      <c r="B1959" s="156"/>
      <c r="C1959" s="3"/>
      <c r="D1959" s="3"/>
      <c r="E1959" s="156"/>
      <c r="F1959" s="3"/>
      <c r="G1959" s="158"/>
      <c r="H1959" s="155"/>
      <c r="I1959" s="155"/>
      <c r="J1959" s="156"/>
      <c r="K1959" s="5"/>
      <c r="L1959" s="3"/>
      <c r="M1959" s="6"/>
      <c r="N1959" s="9"/>
      <c r="O1959" s="158"/>
      <c r="P1959" s="12"/>
      <c r="Q1959" s="12"/>
      <c r="R1959" s="12"/>
      <c r="S1959" s="12"/>
      <c r="T1959" s="12"/>
      <c r="U1959" s="12"/>
      <c r="V1959" s="12"/>
      <c r="W1959" s="12"/>
      <c r="X1959" s="12"/>
      <c r="Y1959" s="12"/>
      <c r="Z1959" s="12"/>
    </row>
    <row r="1960" spans="1:26" ht="14.25" customHeight="1" x14ac:dyDescent="0.3">
      <c r="A1960" s="155"/>
      <c r="B1960" s="156"/>
      <c r="C1960" s="3"/>
      <c r="D1960" s="3"/>
      <c r="E1960" s="156"/>
      <c r="F1960" s="3"/>
      <c r="G1960" s="158"/>
      <c r="H1960" s="155"/>
      <c r="I1960" s="155"/>
      <c r="J1960" s="156"/>
      <c r="K1960" s="5"/>
      <c r="L1960" s="3"/>
      <c r="M1960" s="6"/>
      <c r="N1960" s="9"/>
      <c r="O1960" s="158"/>
      <c r="P1960" s="12"/>
      <c r="Q1960" s="12"/>
      <c r="R1960" s="12"/>
      <c r="S1960" s="12"/>
      <c r="T1960" s="12"/>
      <c r="U1960" s="12"/>
      <c r="V1960" s="12"/>
      <c r="W1960" s="12"/>
      <c r="X1960" s="12"/>
      <c r="Y1960" s="12"/>
      <c r="Z1960" s="12"/>
    </row>
    <row r="1961" spans="1:26" ht="14.25" customHeight="1" x14ac:dyDescent="0.3">
      <c r="A1961" s="155"/>
      <c r="B1961" s="156"/>
      <c r="C1961" s="3"/>
      <c r="D1961" s="3"/>
      <c r="E1961" s="156"/>
      <c r="F1961" s="3"/>
      <c r="G1961" s="158"/>
      <c r="H1961" s="155"/>
      <c r="I1961" s="155"/>
      <c r="J1961" s="156"/>
      <c r="K1961" s="5"/>
      <c r="L1961" s="3"/>
      <c r="M1961" s="6"/>
      <c r="N1961" s="9"/>
      <c r="O1961" s="158"/>
      <c r="P1961" s="12"/>
      <c r="Q1961" s="12"/>
      <c r="R1961" s="12"/>
      <c r="S1961" s="12"/>
      <c r="T1961" s="12"/>
      <c r="U1961" s="12"/>
      <c r="V1961" s="12"/>
      <c r="W1961" s="12"/>
      <c r="X1961" s="12"/>
      <c r="Y1961" s="12"/>
      <c r="Z1961" s="12"/>
    </row>
    <row r="1962" spans="1:26" ht="14.25" customHeight="1" x14ac:dyDescent="0.3">
      <c r="A1962" s="155"/>
      <c r="B1962" s="156"/>
      <c r="C1962" s="3"/>
      <c r="D1962" s="3"/>
      <c r="E1962" s="156"/>
      <c r="F1962" s="3"/>
      <c r="G1962" s="158"/>
      <c r="H1962" s="155"/>
      <c r="I1962" s="155"/>
      <c r="J1962" s="156"/>
      <c r="K1962" s="5"/>
      <c r="L1962" s="3"/>
      <c r="M1962" s="6"/>
      <c r="N1962" s="9"/>
      <c r="O1962" s="158"/>
      <c r="P1962" s="12"/>
      <c r="Q1962" s="12"/>
      <c r="R1962" s="12"/>
      <c r="S1962" s="12"/>
      <c r="T1962" s="12"/>
      <c r="U1962" s="12"/>
      <c r="V1962" s="12"/>
      <c r="W1962" s="12"/>
      <c r="X1962" s="12"/>
      <c r="Y1962" s="12"/>
      <c r="Z1962" s="12"/>
    </row>
    <row r="1963" spans="1:26" ht="14.25" customHeight="1" x14ac:dyDescent="0.3">
      <c r="A1963" s="155"/>
      <c r="B1963" s="156"/>
      <c r="C1963" s="3"/>
      <c r="D1963" s="3"/>
      <c r="E1963" s="156"/>
      <c r="F1963" s="3"/>
      <c r="G1963" s="158"/>
      <c r="H1963" s="155"/>
      <c r="I1963" s="155"/>
      <c r="J1963" s="156"/>
      <c r="K1963" s="5"/>
      <c r="L1963" s="3"/>
      <c r="M1963" s="6"/>
      <c r="N1963" s="9"/>
      <c r="O1963" s="158"/>
      <c r="P1963" s="12"/>
      <c r="Q1963" s="12"/>
      <c r="R1963" s="12"/>
      <c r="S1963" s="12"/>
      <c r="T1963" s="12"/>
      <c r="U1963" s="12"/>
      <c r="V1963" s="12"/>
      <c r="W1963" s="12"/>
      <c r="X1963" s="12"/>
      <c r="Y1963" s="12"/>
      <c r="Z1963" s="12"/>
    </row>
    <row r="1964" spans="1:26" ht="14.25" customHeight="1" x14ac:dyDescent="0.3">
      <c r="A1964" s="155"/>
      <c r="B1964" s="156"/>
      <c r="C1964" s="3"/>
      <c r="D1964" s="3"/>
      <c r="E1964" s="156"/>
      <c r="F1964" s="3"/>
      <c r="G1964" s="158"/>
      <c r="H1964" s="155"/>
      <c r="I1964" s="155"/>
      <c r="J1964" s="156"/>
      <c r="K1964" s="5"/>
      <c r="L1964" s="3"/>
      <c r="M1964" s="6"/>
      <c r="N1964" s="9"/>
      <c r="O1964" s="158"/>
      <c r="P1964" s="12"/>
      <c r="Q1964" s="12"/>
      <c r="R1964" s="12"/>
      <c r="S1964" s="12"/>
      <c r="T1964" s="12"/>
      <c r="U1964" s="12"/>
      <c r="V1964" s="12"/>
      <c r="W1964" s="12"/>
      <c r="X1964" s="12"/>
      <c r="Y1964" s="12"/>
      <c r="Z1964" s="12"/>
    </row>
    <row r="1965" spans="1:26" ht="14.25" customHeight="1" x14ac:dyDescent="0.3">
      <c r="A1965" s="155"/>
      <c r="B1965" s="156"/>
      <c r="C1965" s="3"/>
      <c r="D1965" s="3"/>
      <c r="E1965" s="156"/>
      <c r="F1965" s="3"/>
      <c r="G1965" s="158"/>
      <c r="H1965" s="155"/>
      <c r="I1965" s="155"/>
      <c r="J1965" s="156"/>
      <c r="K1965" s="5"/>
      <c r="L1965" s="3"/>
      <c r="M1965" s="6"/>
      <c r="N1965" s="9"/>
      <c r="O1965" s="158"/>
      <c r="P1965" s="12"/>
      <c r="Q1965" s="12"/>
      <c r="R1965" s="12"/>
      <c r="S1965" s="12"/>
      <c r="T1965" s="12"/>
      <c r="U1965" s="12"/>
      <c r="V1965" s="12"/>
      <c r="W1965" s="12"/>
      <c r="X1965" s="12"/>
      <c r="Y1965" s="12"/>
      <c r="Z1965" s="12"/>
    </row>
    <row r="1966" spans="1:26" ht="14.25" customHeight="1" x14ac:dyDescent="0.3">
      <c r="A1966" s="155"/>
      <c r="B1966" s="156"/>
      <c r="C1966" s="3"/>
      <c r="D1966" s="3"/>
      <c r="E1966" s="156"/>
      <c r="F1966" s="3"/>
      <c r="G1966" s="158"/>
      <c r="H1966" s="155"/>
      <c r="I1966" s="155"/>
      <c r="J1966" s="156"/>
      <c r="K1966" s="5"/>
      <c r="L1966" s="3"/>
      <c r="M1966" s="6"/>
      <c r="N1966" s="9"/>
      <c r="O1966" s="158"/>
      <c r="P1966" s="12"/>
      <c r="Q1966" s="12"/>
      <c r="R1966" s="12"/>
      <c r="S1966" s="12"/>
      <c r="T1966" s="12"/>
      <c r="U1966" s="12"/>
      <c r="V1966" s="12"/>
      <c r="W1966" s="12"/>
      <c r="X1966" s="12"/>
      <c r="Y1966" s="12"/>
      <c r="Z1966" s="12"/>
    </row>
    <row r="1967" spans="1:26" ht="14.25" customHeight="1" x14ac:dyDescent="0.3">
      <c r="A1967" s="155"/>
      <c r="B1967" s="156"/>
      <c r="C1967" s="3"/>
      <c r="D1967" s="3"/>
      <c r="E1967" s="156"/>
      <c r="F1967" s="3"/>
      <c r="G1967" s="158"/>
      <c r="H1967" s="155"/>
      <c r="I1967" s="155"/>
      <c r="J1967" s="156"/>
      <c r="K1967" s="5"/>
      <c r="L1967" s="3"/>
      <c r="M1967" s="6"/>
      <c r="N1967" s="9"/>
      <c r="O1967" s="158"/>
      <c r="P1967" s="12"/>
      <c r="Q1967" s="12"/>
      <c r="R1967" s="12"/>
      <c r="S1967" s="12"/>
      <c r="T1967" s="12"/>
      <c r="U1967" s="12"/>
      <c r="V1967" s="12"/>
      <c r="W1967" s="12"/>
      <c r="X1967" s="12"/>
      <c r="Y1967" s="12"/>
      <c r="Z1967" s="12"/>
    </row>
    <row r="1968" spans="1:26" ht="14.25" customHeight="1" x14ac:dyDescent="0.3">
      <c r="A1968" s="155"/>
      <c r="B1968" s="156"/>
      <c r="C1968" s="3"/>
      <c r="D1968" s="3"/>
      <c r="E1968" s="156"/>
      <c r="F1968" s="3"/>
      <c r="G1968" s="158"/>
      <c r="H1968" s="155"/>
      <c r="I1968" s="155"/>
      <c r="J1968" s="156"/>
      <c r="K1968" s="5"/>
      <c r="L1968" s="3"/>
      <c r="M1968" s="6"/>
      <c r="N1968" s="9"/>
      <c r="O1968" s="158"/>
      <c r="P1968" s="12"/>
      <c r="Q1968" s="12"/>
      <c r="R1968" s="12"/>
      <c r="S1968" s="12"/>
      <c r="T1968" s="12"/>
      <c r="U1968" s="12"/>
      <c r="V1968" s="12"/>
      <c r="W1968" s="12"/>
      <c r="X1968" s="12"/>
      <c r="Y1968" s="12"/>
      <c r="Z1968" s="12"/>
    </row>
    <row r="1969" spans="1:26" ht="14.25" customHeight="1" x14ac:dyDescent="0.3">
      <c r="A1969" s="155"/>
      <c r="B1969" s="156"/>
      <c r="C1969" s="3"/>
      <c r="D1969" s="3"/>
      <c r="E1969" s="156"/>
      <c r="F1969" s="3"/>
      <c r="G1969" s="158"/>
      <c r="H1969" s="155"/>
      <c r="I1969" s="155"/>
      <c r="J1969" s="156"/>
      <c r="K1969" s="5"/>
      <c r="L1969" s="3"/>
      <c r="M1969" s="6"/>
      <c r="N1969" s="9"/>
      <c r="O1969" s="158"/>
      <c r="P1969" s="12"/>
      <c r="Q1969" s="12"/>
      <c r="R1969" s="12"/>
      <c r="S1969" s="12"/>
      <c r="T1969" s="12"/>
      <c r="U1969" s="12"/>
      <c r="V1969" s="12"/>
      <c r="W1969" s="12"/>
      <c r="X1969" s="12"/>
      <c r="Y1969" s="12"/>
      <c r="Z1969" s="12"/>
    </row>
    <row r="1970" spans="1:26" ht="14.25" customHeight="1" x14ac:dyDescent="0.3">
      <c r="A1970" s="155"/>
      <c r="B1970" s="156"/>
      <c r="C1970" s="3"/>
      <c r="D1970" s="3"/>
      <c r="E1970" s="156"/>
      <c r="F1970" s="3"/>
      <c r="G1970" s="158"/>
      <c r="H1970" s="155"/>
      <c r="I1970" s="155"/>
      <c r="J1970" s="156"/>
      <c r="K1970" s="5"/>
      <c r="L1970" s="3"/>
      <c r="M1970" s="6"/>
      <c r="N1970" s="9"/>
      <c r="O1970" s="158"/>
      <c r="P1970" s="12"/>
      <c r="Q1970" s="12"/>
      <c r="R1970" s="12"/>
      <c r="S1970" s="12"/>
      <c r="T1970" s="12"/>
      <c r="U1970" s="12"/>
      <c r="V1970" s="12"/>
      <c r="W1970" s="12"/>
      <c r="X1970" s="12"/>
      <c r="Y1970" s="12"/>
      <c r="Z1970" s="12"/>
    </row>
    <row r="1971" spans="1:26" ht="14.25" customHeight="1" x14ac:dyDescent="0.3">
      <c r="A1971" s="155"/>
      <c r="B1971" s="156"/>
      <c r="C1971" s="3"/>
      <c r="D1971" s="3"/>
      <c r="E1971" s="156"/>
      <c r="F1971" s="3"/>
      <c r="G1971" s="158"/>
      <c r="H1971" s="155"/>
      <c r="I1971" s="155"/>
      <c r="J1971" s="156"/>
      <c r="K1971" s="5"/>
      <c r="L1971" s="3"/>
      <c r="M1971" s="6"/>
      <c r="N1971" s="9"/>
      <c r="O1971" s="158"/>
      <c r="P1971" s="12"/>
      <c r="Q1971" s="12"/>
      <c r="R1971" s="12"/>
      <c r="S1971" s="12"/>
      <c r="T1971" s="12"/>
      <c r="U1971" s="12"/>
      <c r="V1971" s="12"/>
      <c r="W1971" s="12"/>
      <c r="X1971" s="12"/>
      <c r="Y1971" s="12"/>
      <c r="Z1971" s="12"/>
    </row>
    <row r="1972" spans="1:26" ht="14.25" customHeight="1" x14ac:dyDescent="0.3">
      <c r="A1972" s="155"/>
      <c r="B1972" s="156"/>
      <c r="C1972" s="3"/>
      <c r="D1972" s="3"/>
      <c r="E1972" s="156"/>
      <c r="F1972" s="3"/>
      <c r="G1972" s="158"/>
      <c r="H1972" s="155"/>
      <c r="I1972" s="155"/>
      <c r="J1972" s="156"/>
      <c r="K1972" s="5"/>
      <c r="L1972" s="3"/>
      <c r="M1972" s="6"/>
      <c r="N1972" s="9"/>
      <c r="O1972" s="158"/>
      <c r="P1972" s="12"/>
      <c r="Q1972" s="12"/>
      <c r="R1972" s="12"/>
      <c r="S1972" s="12"/>
      <c r="T1972" s="12"/>
      <c r="U1972" s="12"/>
      <c r="V1972" s="12"/>
      <c r="W1972" s="12"/>
      <c r="X1972" s="12"/>
      <c r="Y1972" s="12"/>
      <c r="Z1972" s="12"/>
    </row>
    <row r="1973" spans="1:26" ht="14.25" customHeight="1" x14ac:dyDescent="0.3">
      <c r="A1973" s="155"/>
      <c r="B1973" s="156"/>
      <c r="C1973" s="3"/>
      <c r="D1973" s="3"/>
      <c r="E1973" s="156"/>
      <c r="F1973" s="3"/>
      <c r="G1973" s="158"/>
      <c r="H1973" s="155"/>
      <c r="I1973" s="155"/>
      <c r="J1973" s="156"/>
      <c r="K1973" s="5"/>
      <c r="L1973" s="3"/>
      <c r="M1973" s="6"/>
      <c r="N1973" s="9"/>
      <c r="O1973" s="158"/>
      <c r="P1973" s="12"/>
      <c r="Q1973" s="12"/>
      <c r="R1973" s="12"/>
      <c r="S1973" s="12"/>
      <c r="T1973" s="12"/>
      <c r="U1973" s="12"/>
      <c r="V1973" s="12"/>
      <c r="W1973" s="12"/>
      <c r="X1973" s="12"/>
      <c r="Y1973" s="12"/>
      <c r="Z1973" s="12"/>
    </row>
    <row r="1974" spans="1:26" ht="14.25" customHeight="1" x14ac:dyDescent="0.3">
      <c r="A1974" s="155"/>
      <c r="B1974" s="156"/>
      <c r="C1974" s="3"/>
      <c r="D1974" s="3"/>
      <c r="E1974" s="156"/>
      <c r="F1974" s="3"/>
      <c r="G1974" s="158"/>
      <c r="H1974" s="155"/>
      <c r="I1974" s="155"/>
      <c r="J1974" s="156"/>
      <c r="K1974" s="5"/>
      <c r="L1974" s="3"/>
      <c r="M1974" s="6"/>
      <c r="N1974" s="9"/>
      <c r="O1974" s="158"/>
      <c r="P1974" s="12"/>
      <c r="Q1974" s="12"/>
      <c r="R1974" s="12"/>
      <c r="S1974" s="12"/>
      <c r="T1974" s="12"/>
      <c r="U1974" s="12"/>
      <c r="V1974" s="12"/>
      <c r="W1974" s="12"/>
      <c r="X1974" s="12"/>
      <c r="Y1974" s="12"/>
      <c r="Z1974" s="12"/>
    </row>
    <row r="1975" spans="1:26" ht="14.25" customHeight="1" x14ac:dyDescent="0.3">
      <c r="A1975" s="155"/>
      <c r="B1975" s="156"/>
      <c r="C1975" s="3"/>
      <c r="D1975" s="3"/>
      <c r="E1975" s="156"/>
      <c r="F1975" s="3"/>
      <c r="G1975" s="158"/>
      <c r="H1975" s="155"/>
      <c r="I1975" s="155"/>
      <c r="J1975" s="156"/>
      <c r="K1975" s="5"/>
      <c r="L1975" s="3"/>
      <c r="M1975" s="6"/>
      <c r="N1975" s="9"/>
      <c r="O1975" s="158"/>
      <c r="P1975" s="12"/>
      <c r="Q1975" s="12"/>
      <c r="R1975" s="12"/>
      <c r="S1975" s="12"/>
      <c r="T1975" s="12"/>
      <c r="U1975" s="12"/>
      <c r="V1975" s="12"/>
      <c r="W1975" s="12"/>
      <c r="X1975" s="12"/>
      <c r="Y1975" s="12"/>
      <c r="Z1975" s="12"/>
    </row>
    <row r="1976" spans="1:26" ht="14.25" customHeight="1" x14ac:dyDescent="0.3">
      <c r="A1976" s="155"/>
      <c r="B1976" s="156"/>
      <c r="C1976" s="3"/>
      <c r="D1976" s="3"/>
      <c r="E1976" s="156"/>
      <c r="F1976" s="3"/>
      <c r="G1976" s="158"/>
      <c r="H1976" s="155"/>
      <c r="I1976" s="155"/>
      <c r="J1976" s="156"/>
      <c r="K1976" s="5"/>
      <c r="L1976" s="3"/>
      <c r="M1976" s="6"/>
      <c r="N1976" s="9"/>
      <c r="O1976" s="158"/>
      <c r="P1976" s="12"/>
      <c r="Q1976" s="12"/>
      <c r="R1976" s="12"/>
      <c r="S1976" s="12"/>
      <c r="T1976" s="12"/>
      <c r="U1976" s="12"/>
      <c r="V1976" s="12"/>
      <c r="W1976" s="12"/>
      <c r="X1976" s="12"/>
      <c r="Y1976" s="12"/>
      <c r="Z1976" s="12"/>
    </row>
    <row r="1977" spans="1:26" ht="14.25" customHeight="1" x14ac:dyDescent="0.3">
      <c r="A1977" s="155"/>
      <c r="B1977" s="156"/>
      <c r="C1977" s="3"/>
      <c r="D1977" s="3"/>
      <c r="E1977" s="156"/>
      <c r="F1977" s="3"/>
      <c r="G1977" s="158"/>
      <c r="H1977" s="155"/>
      <c r="I1977" s="155"/>
      <c r="J1977" s="156"/>
      <c r="K1977" s="5"/>
      <c r="L1977" s="3"/>
      <c r="M1977" s="6"/>
      <c r="N1977" s="9"/>
      <c r="O1977" s="158"/>
      <c r="P1977" s="12"/>
      <c r="Q1977" s="12"/>
      <c r="R1977" s="12"/>
      <c r="S1977" s="12"/>
      <c r="T1977" s="12"/>
      <c r="U1977" s="12"/>
      <c r="V1977" s="12"/>
      <c r="W1977" s="12"/>
      <c r="X1977" s="12"/>
      <c r="Y1977" s="12"/>
      <c r="Z1977" s="12"/>
    </row>
    <row r="1978" spans="1:26" ht="14.25" customHeight="1" x14ac:dyDescent="0.3">
      <c r="A1978" s="155"/>
      <c r="B1978" s="156"/>
      <c r="C1978" s="3"/>
      <c r="D1978" s="3"/>
      <c r="E1978" s="156"/>
      <c r="F1978" s="3"/>
      <c r="G1978" s="158"/>
      <c r="H1978" s="155"/>
      <c r="I1978" s="155"/>
      <c r="J1978" s="156"/>
      <c r="K1978" s="5"/>
      <c r="L1978" s="3"/>
      <c r="M1978" s="6"/>
      <c r="N1978" s="9"/>
      <c r="O1978" s="158"/>
      <c r="P1978" s="12"/>
      <c r="Q1978" s="12"/>
      <c r="R1978" s="12"/>
      <c r="S1978" s="12"/>
      <c r="T1978" s="12"/>
      <c r="U1978" s="12"/>
      <c r="V1978" s="12"/>
      <c r="W1978" s="12"/>
      <c r="X1978" s="12"/>
      <c r="Y1978" s="12"/>
      <c r="Z1978" s="12"/>
    </row>
    <row r="1979" spans="1:26" ht="14.25" customHeight="1" x14ac:dyDescent="0.3">
      <c r="A1979" s="155"/>
      <c r="B1979" s="156"/>
      <c r="C1979" s="3"/>
      <c r="D1979" s="3"/>
      <c r="E1979" s="156"/>
      <c r="F1979" s="3"/>
      <c r="G1979" s="158"/>
      <c r="H1979" s="155"/>
      <c r="I1979" s="155"/>
      <c r="J1979" s="156"/>
      <c r="K1979" s="5"/>
      <c r="L1979" s="3"/>
      <c r="M1979" s="6"/>
      <c r="N1979" s="9"/>
      <c r="O1979" s="158"/>
      <c r="P1979" s="12"/>
      <c r="Q1979" s="12"/>
      <c r="R1979" s="12"/>
      <c r="S1979" s="12"/>
      <c r="T1979" s="12"/>
      <c r="U1979" s="12"/>
      <c r="V1979" s="12"/>
      <c r="W1979" s="12"/>
      <c r="X1979" s="12"/>
      <c r="Y1979" s="12"/>
      <c r="Z1979" s="12"/>
    </row>
    <row r="1980" spans="1:26" ht="14.25" customHeight="1" x14ac:dyDescent="0.3">
      <c r="A1980" s="155"/>
      <c r="B1980" s="156"/>
      <c r="C1980" s="3"/>
      <c r="D1980" s="3"/>
      <c r="E1980" s="156"/>
      <c r="F1980" s="3"/>
      <c r="G1980" s="158"/>
      <c r="H1980" s="155"/>
      <c r="I1980" s="155"/>
      <c r="J1980" s="156"/>
      <c r="K1980" s="5"/>
      <c r="L1980" s="3"/>
      <c r="M1980" s="6"/>
      <c r="N1980" s="9"/>
      <c r="O1980" s="158"/>
      <c r="P1980" s="12"/>
      <c r="Q1980" s="12"/>
      <c r="R1980" s="12"/>
      <c r="S1980" s="12"/>
      <c r="T1980" s="12"/>
      <c r="U1980" s="12"/>
      <c r="V1980" s="12"/>
      <c r="W1980" s="12"/>
      <c r="X1980" s="12"/>
      <c r="Y1980" s="12"/>
      <c r="Z1980" s="12"/>
    </row>
    <row r="1981" spans="1:26" ht="14.25" customHeight="1" x14ac:dyDescent="0.3">
      <c r="A1981" s="155"/>
      <c r="B1981" s="156"/>
      <c r="C1981" s="3"/>
      <c r="D1981" s="3"/>
      <c r="E1981" s="156"/>
      <c r="F1981" s="3"/>
      <c r="G1981" s="158"/>
      <c r="H1981" s="155"/>
      <c r="I1981" s="155"/>
      <c r="J1981" s="156"/>
      <c r="K1981" s="5"/>
      <c r="L1981" s="3"/>
      <c r="M1981" s="6"/>
      <c r="N1981" s="9"/>
      <c r="O1981" s="158"/>
      <c r="P1981" s="12"/>
      <c r="Q1981" s="12"/>
      <c r="R1981" s="12"/>
      <c r="S1981" s="12"/>
      <c r="T1981" s="12"/>
      <c r="U1981" s="12"/>
      <c r="V1981" s="12"/>
      <c r="W1981" s="12"/>
      <c r="X1981" s="12"/>
      <c r="Y1981" s="12"/>
      <c r="Z1981" s="12"/>
    </row>
    <row r="1982" spans="1:26" ht="14.25" customHeight="1" x14ac:dyDescent="0.3">
      <c r="A1982" s="155"/>
      <c r="B1982" s="156"/>
      <c r="C1982" s="3"/>
      <c r="D1982" s="3"/>
      <c r="E1982" s="156"/>
      <c r="F1982" s="3"/>
      <c r="G1982" s="158"/>
      <c r="H1982" s="155"/>
      <c r="I1982" s="155"/>
      <c r="J1982" s="156"/>
      <c r="K1982" s="5"/>
      <c r="L1982" s="3"/>
      <c r="M1982" s="6"/>
      <c r="N1982" s="9"/>
      <c r="O1982" s="158"/>
      <c r="P1982" s="12"/>
      <c r="Q1982" s="12"/>
      <c r="R1982" s="12"/>
      <c r="S1982" s="12"/>
      <c r="T1982" s="12"/>
      <c r="U1982" s="12"/>
      <c r="V1982" s="12"/>
      <c r="W1982" s="12"/>
      <c r="X1982" s="12"/>
      <c r="Y1982" s="12"/>
      <c r="Z1982" s="12"/>
    </row>
    <row r="1983" spans="1:26" ht="14.25" customHeight="1" x14ac:dyDescent="0.3">
      <c r="A1983" s="155"/>
      <c r="B1983" s="156"/>
      <c r="C1983" s="3"/>
      <c r="D1983" s="3"/>
      <c r="E1983" s="156"/>
      <c r="F1983" s="3"/>
      <c r="G1983" s="158"/>
      <c r="H1983" s="155"/>
      <c r="I1983" s="155"/>
      <c r="J1983" s="156"/>
      <c r="K1983" s="5"/>
      <c r="L1983" s="3"/>
      <c r="M1983" s="6"/>
      <c r="N1983" s="9"/>
      <c r="O1983" s="158"/>
      <c r="P1983" s="12"/>
      <c r="Q1983" s="12"/>
      <c r="R1983" s="12"/>
      <c r="S1983" s="12"/>
      <c r="T1983" s="12"/>
      <c r="U1983" s="12"/>
      <c r="V1983" s="12"/>
      <c r="W1983" s="12"/>
      <c r="X1983" s="12"/>
      <c r="Y1983" s="12"/>
      <c r="Z1983" s="12"/>
    </row>
    <row r="1984" spans="1:26" ht="14.25" customHeight="1" x14ac:dyDescent="0.3">
      <c r="A1984" s="155"/>
      <c r="B1984" s="156"/>
      <c r="C1984" s="3"/>
      <c r="D1984" s="3"/>
      <c r="E1984" s="156"/>
      <c r="F1984" s="3"/>
      <c r="G1984" s="158"/>
      <c r="H1984" s="155"/>
      <c r="I1984" s="155"/>
      <c r="J1984" s="156"/>
      <c r="K1984" s="5"/>
      <c r="L1984" s="3"/>
      <c r="M1984" s="6"/>
      <c r="N1984" s="9"/>
      <c r="O1984" s="158"/>
      <c r="P1984" s="12"/>
      <c r="Q1984" s="12"/>
      <c r="R1984" s="12"/>
      <c r="S1984" s="12"/>
      <c r="T1984" s="12"/>
      <c r="U1984" s="12"/>
      <c r="V1984" s="12"/>
      <c r="W1984" s="12"/>
      <c r="X1984" s="12"/>
      <c r="Y1984" s="12"/>
      <c r="Z1984" s="12"/>
    </row>
    <row r="1985" spans="1:26" ht="14.25" customHeight="1" x14ac:dyDescent="0.3">
      <c r="A1985" s="155"/>
      <c r="B1985" s="156"/>
      <c r="C1985" s="3"/>
      <c r="D1985" s="3"/>
      <c r="E1985" s="156"/>
      <c r="F1985" s="3"/>
      <c r="G1985" s="158"/>
      <c r="H1985" s="155"/>
      <c r="I1985" s="155"/>
      <c r="J1985" s="156"/>
      <c r="K1985" s="5"/>
      <c r="L1985" s="3"/>
      <c r="M1985" s="6"/>
      <c r="N1985" s="9"/>
      <c r="O1985" s="158"/>
      <c r="P1985" s="12"/>
      <c r="Q1985" s="12"/>
      <c r="R1985" s="12"/>
      <c r="S1985" s="12"/>
      <c r="T1985" s="12"/>
      <c r="U1985" s="12"/>
      <c r="V1985" s="12"/>
      <c r="W1985" s="12"/>
      <c r="X1985" s="12"/>
      <c r="Y1985" s="12"/>
      <c r="Z1985" s="12"/>
    </row>
    <row r="1986" spans="1:26" ht="14.25" customHeight="1" x14ac:dyDescent="0.3">
      <c r="A1986" s="155"/>
      <c r="B1986" s="156"/>
      <c r="C1986" s="3"/>
      <c r="D1986" s="3"/>
      <c r="E1986" s="156"/>
      <c r="F1986" s="3"/>
      <c r="G1986" s="158"/>
      <c r="H1986" s="155"/>
      <c r="I1986" s="155"/>
      <c r="J1986" s="156"/>
      <c r="K1986" s="5"/>
      <c r="L1986" s="3"/>
      <c r="M1986" s="6"/>
      <c r="N1986" s="9"/>
      <c r="O1986" s="158"/>
      <c r="P1986" s="12"/>
      <c r="Q1986" s="12"/>
      <c r="R1986" s="12"/>
      <c r="S1986" s="12"/>
      <c r="T1986" s="12"/>
      <c r="U1986" s="12"/>
      <c r="V1986" s="12"/>
      <c r="W1986" s="12"/>
      <c r="X1986" s="12"/>
      <c r="Y1986" s="12"/>
      <c r="Z1986" s="12"/>
    </row>
    <row r="1987" spans="1:26" ht="14.25" customHeight="1" x14ac:dyDescent="0.3">
      <c r="A1987" s="155"/>
      <c r="B1987" s="156"/>
      <c r="C1987" s="3"/>
      <c r="D1987" s="3"/>
      <c r="E1987" s="156"/>
      <c r="F1987" s="3"/>
      <c r="G1987" s="158"/>
      <c r="H1987" s="155"/>
      <c r="I1987" s="155"/>
      <c r="J1987" s="156"/>
      <c r="K1987" s="5"/>
      <c r="L1987" s="3"/>
      <c r="M1987" s="6"/>
      <c r="N1987" s="9"/>
      <c r="O1987" s="158"/>
      <c r="P1987" s="12"/>
      <c r="Q1987" s="12"/>
      <c r="R1987" s="12"/>
      <c r="S1987" s="12"/>
      <c r="T1987" s="12"/>
      <c r="U1987" s="12"/>
      <c r="V1987" s="12"/>
      <c r="W1987" s="12"/>
      <c r="X1987" s="12"/>
      <c r="Y1987" s="12"/>
      <c r="Z1987" s="12"/>
    </row>
    <row r="1988" spans="1:26" ht="14.25" customHeight="1" x14ac:dyDescent="0.3">
      <c r="A1988" s="155"/>
      <c r="B1988" s="156"/>
      <c r="C1988" s="3"/>
      <c r="D1988" s="3"/>
      <c r="E1988" s="156"/>
      <c r="F1988" s="3"/>
      <c r="G1988" s="158"/>
      <c r="H1988" s="155"/>
      <c r="I1988" s="155"/>
      <c r="J1988" s="156"/>
      <c r="K1988" s="5"/>
      <c r="L1988" s="3"/>
      <c r="M1988" s="6"/>
      <c r="N1988" s="9"/>
      <c r="O1988" s="158"/>
      <c r="P1988" s="12"/>
      <c r="Q1988" s="12"/>
      <c r="R1988" s="12"/>
      <c r="S1988" s="12"/>
      <c r="T1988" s="12"/>
      <c r="U1988" s="12"/>
      <c r="V1988" s="12"/>
      <c r="W1988" s="12"/>
      <c r="X1988" s="12"/>
      <c r="Y1988" s="12"/>
      <c r="Z1988" s="12"/>
    </row>
    <row r="1989" spans="1:26" ht="14.25" customHeight="1" x14ac:dyDescent="0.3">
      <c r="A1989" s="155"/>
      <c r="B1989" s="156"/>
      <c r="C1989" s="3"/>
      <c r="D1989" s="3"/>
      <c r="E1989" s="156"/>
      <c r="F1989" s="3"/>
      <c r="G1989" s="158"/>
      <c r="H1989" s="155"/>
      <c r="I1989" s="155"/>
      <c r="J1989" s="156"/>
      <c r="K1989" s="5"/>
      <c r="L1989" s="3"/>
      <c r="M1989" s="6"/>
      <c r="N1989" s="9"/>
      <c r="O1989" s="158"/>
      <c r="P1989" s="12"/>
      <c r="Q1989" s="12"/>
      <c r="R1989" s="12"/>
      <c r="S1989" s="12"/>
      <c r="T1989" s="12"/>
      <c r="U1989" s="12"/>
      <c r="V1989" s="12"/>
      <c r="W1989" s="12"/>
      <c r="X1989" s="12"/>
      <c r="Y1989" s="12"/>
      <c r="Z1989" s="12"/>
    </row>
    <row r="1990" spans="1:26" ht="14.25" customHeight="1" x14ac:dyDescent="0.3">
      <c r="A1990" s="155"/>
      <c r="B1990" s="156"/>
      <c r="C1990" s="3"/>
      <c r="D1990" s="3"/>
      <c r="E1990" s="156"/>
      <c r="F1990" s="3"/>
      <c r="G1990" s="158"/>
      <c r="H1990" s="155"/>
      <c r="I1990" s="155"/>
      <c r="J1990" s="156"/>
      <c r="K1990" s="5"/>
      <c r="L1990" s="3"/>
      <c r="M1990" s="6"/>
      <c r="N1990" s="9"/>
      <c r="O1990" s="158"/>
      <c r="P1990" s="12"/>
      <c r="Q1990" s="12"/>
      <c r="R1990" s="12"/>
      <c r="S1990" s="12"/>
      <c r="T1990" s="12"/>
      <c r="U1990" s="12"/>
      <c r="V1990" s="12"/>
      <c r="W1990" s="12"/>
      <c r="X1990" s="12"/>
      <c r="Y1990" s="12"/>
      <c r="Z1990" s="12"/>
    </row>
    <row r="1991" spans="1:26" ht="14.25" customHeight="1" x14ac:dyDescent="0.3">
      <c r="A1991" s="155"/>
      <c r="B1991" s="156"/>
      <c r="C1991" s="3"/>
      <c r="D1991" s="3"/>
      <c r="E1991" s="156"/>
      <c r="F1991" s="3"/>
      <c r="G1991" s="158"/>
      <c r="H1991" s="155"/>
      <c r="I1991" s="155"/>
      <c r="J1991" s="156"/>
      <c r="K1991" s="5"/>
      <c r="L1991" s="3"/>
      <c r="M1991" s="6"/>
      <c r="N1991" s="9"/>
      <c r="O1991" s="158"/>
      <c r="P1991" s="12"/>
      <c r="Q1991" s="12"/>
      <c r="R1991" s="12"/>
      <c r="S1991" s="12"/>
      <c r="T1991" s="12"/>
      <c r="U1991" s="12"/>
      <c r="V1991" s="12"/>
      <c r="W1991" s="12"/>
      <c r="X1991" s="12"/>
      <c r="Y1991" s="12"/>
      <c r="Z1991" s="12"/>
    </row>
    <row r="1992" spans="1:26" ht="14.25" customHeight="1" x14ac:dyDescent="0.3">
      <c r="A1992" s="155"/>
      <c r="B1992" s="156"/>
      <c r="C1992" s="3"/>
      <c r="D1992" s="3"/>
      <c r="E1992" s="156"/>
      <c r="F1992" s="3"/>
      <c r="G1992" s="158"/>
      <c r="H1992" s="155"/>
      <c r="I1992" s="155"/>
      <c r="J1992" s="156"/>
      <c r="K1992" s="5"/>
      <c r="L1992" s="3"/>
      <c r="M1992" s="6"/>
      <c r="N1992" s="9"/>
      <c r="O1992" s="158"/>
      <c r="P1992" s="12"/>
      <c r="Q1992" s="12"/>
      <c r="R1992" s="12"/>
      <c r="S1992" s="12"/>
      <c r="T1992" s="12"/>
      <c r="U1992" s="12"/>
      <c r="V1992" s="12"/>
      <c r="W1992" s="12"/>
      <c r="X1992" s="12"/>
      <c r="Y1992" s="12"/>
      <c r="Z1992" s="12"/>
    </row>
    <row r="1993" spans="1:26" ht="14.25" customHeight="1" x14ac:dyDescent="0.3">
      <c r="A1993" s="155"/>
      <c r="B1993" s="156"/>
      <c r="C1993" s="3"/>
      <c r="D1993" s="3"/>
      <c r="E1993" s="156"/>
      <c r="F1993" s="3"/>
      <c r="G1993" s="158"/>
      <c r="H1993" s="155"/>
      <c r="I1993" s="155"/>
      <c r="J1993" s="156"/>
      <c r="K1993" s="5"/>
      <c r="L1993" s="3"/>
      <c r="M1993" s="6"/>
      <c r="N1993" s="9"/>
      <c r="O1993" s="158"/>
      <c r="P1993" s="12"/>
      <c r="Q1993" s="12"/>
      <c r="R1993" s="12"/>
      <c r="S1993" s="12"/>
      <c r="T1993" s="12"/>
      <c r="U1993" s="12"/>
      <c r="V1993" s="12"/>
      <c r="W1993" s="12"/>
      <c r="X1993" s="12"/>
      <c r="Y1993" s="12"/>
      <c r="Z1993" s="12"/>
    </row>
    <row r="1994" spans="1:26" ht="14.25" customHeight="1" x14ac:dyDescent="0.3">
      <c r="A1994" s="155"/>
      <c r="B1994" s="156"/>
      <c r="C1994" s="3"/>
      <c r="D1994" s="3"/>
      <c r="E1994" s="156"/>
      <c r="F1994" s="3"/>
      <c r="G1994" s="158"/>
      <c r="H1994" s="155"/>
      <c r="I1994" s="155"/>
      <c r="J1994" s="156"/>
      <c r="K1994" s="5"/>
      <c r="L1994" s="3"/>
      <c r="M1994" s="6"/>
      <c r="N1994" s="9"/>
      <c r="O1994" s="158"/>
      <c r="P1994" s="12"/>
      <c r="Q1994" s="12"/>
      <c r="R1994" s="12"/>
      <c r="S1994" s="12"/>
      <c r="T1994" s="12"/>
      <c r="U1994" s="12"/>
      <c r="V1994" s="12"/>
      <c r="W1994" s="12"/>
      <c r="X1994" s="12"/>
      <c r="Y1994" s="12"/>
      <c r="Z1994" s="12"/>
    </row>
    <row r="1995" spans="1:26" ht="14.25" customHeight="1" x14ac:dyDescent="0.3">
      <c r="A1995" s="155"/>
      <c r="B1995" s="156"/>
      <c r="C1995" s="3"/>
      <c r="D1995" s="3"/>
      <c r="E1995" s="156"/>
      <c r="F1995" s="3"/>
      <c r="G1995" s="158"/>
      <c r="H1995" s="155"/>
      <c r="I1995" s="155"/>
      <c r="J1995" s="156"/>
      <c r="K1995" s="5"/>
      <c r="L1995" s="3"/>
      <c r="M1995" s="6"/>
      <c r="N1995" s="9"/>
      <c r="O1995" s="158"/>
      <c r="P1995" s="12"/>
      <c r="Q1995" s="12"/>
      <c r="R1995" s="12"/>
      <c r="S1995" s="12"/>
      <c r="T1995" s="12"/>
      <c r="U1995" s="12"/>
      <c r="V1995" s="12"/>
      <c r="W1995" s="12"/>
      <c r="X1995" s="12"/>
      <c r="Y1995" s="12"/>
      <c r="Z1995" s="12"/>
    </row>
    <row r="1996" spans="1:26" ht="14.25" customHeight="1" x14ac:dyDescent="0.3">
      <c r="A1996" s="155"/>
      <c r="B1996" s="156"/>
      <c r="C1996" s="3"/>
      <c r="D1996" s="3"/>
      <c r="E1996" s="156"/>
      <c r="F1996" s="3"/>
      <c r="G1996" s="158"/>
      <c r="H1996" s="155"/>
      <c r="I1996" s="155"/>
      <c r="J1996" s="156"/>
      <c r="K1996" s="5"/>
      <c r="L1996" s="3"/>
      <c r="M1996" s="6"/>
      <c r="N1996" s="9"/>
      <c r="O1996" s="158"/>
      <c r="P1996" s="12"/>
      <c r="Q1996" s="12"/>
      <c r="R1996" s="12"/>
      <c r="S1996" s="12"/>
      <c r="T1996" s="12"/>
      <c r="U1996" s="12"/>
      <c r="V1996" s="12"/>
      <c r="W1996" s="12"/>
      <c r="X1996" s="12"/>
      <c r="Y1996" s="12"/>
      <c r="Z1996" s="12"/>
    </row>
    <row r="1997" spans="1:26" ht="14.25" customHeight="1" x14ac:dyDescent="0.3">
      <c r="A1997" s="155"/>
      <c r="B1997" s="156"/>
      <c r="C1997" s="3"/>
      <c r="D1997" s="3"/>
      <c r="E1997" s="156"/>
      <c r="F1997" s="3"/>
      <c r="G1997" s="158"/>
      <c r="H1997" s="155"/>
      <c r="I1997" s="155"/>
      <c r="J1997" s="156"/>
      <c r="K1997" s="5"/>
      <c r="L1997" s="3"/>
      <c r="M1997" s="6"/>
      <c r="N1997" s="9"/>
      <c r="O1997" s="158"/>
      <c r="P1997" s="12"/>
      <c r="Q1997" s="12"/>
      <c r="R1997" s="12"/>
      <c r="S1997" s="12"/>
      <c r="T1997" s="12"/>
      <c r="U1997" s="12"/>
      <c r="V1997" s="12"/>
      <c r="W1997" s="12"/>
      <c r="X1997" s="12"/>
      <c r="Y1997" s="12"/>
      <c r="Z1997" s="12"/>
    </row>
    <row r="1998" spans="1:26" ht="14.25" customHeight="1" x14ac:dyDescent="0.3">
      <c r="A1998" s="155"/>
      <c r="B1998" s="156"/>
      <c r="C1998" s="3"/>
      <c r="D1998" s="3"/>
      <c r="E1998" s="156"/>
      <c r="F1998" s="3"/>
      <c r="G1998" s="158"/>
      <c r="H1998" s="155"/>
      <c r="I1998" s="155"/>
      <c r="J1998" s="156"/>
      <c r="K1998" s="5"/>
      <c r="L1998" s="3"/>
      <c r="M1998" s="6"/>
      <c r="N1998" s="9"/>
      <c r="O1998" s="158"/>
      <c r="P1998" s="12"/>
      <c r="Q1998" s="12"/>
      <c r="R1998" s="12"/>
      <c r="S1998" s="12"/>
      <c r="T1998" s="12"/>
      <c r="U1998" s="12"/>
      <c r="V1998" s="12"/>
      <c r="W1998" s="12"/>
      <c r="X1998" s="12"/>
      <c r="Y1998" s="12"/>
      <c r="Z1998" s="12"/>
    </row>
    <row r="1999" spans="1:26" ht="14.25" customHeight="1" x14ac:dyDescent="0.3">
      <c r="A1999" s="155"/>
      <c r="B1999" s="156"/>
      <c r="C1999" s="3"/>
      <c r="D1999" s="3"/>
      <c r="E1999" s="156"/>
      <c r="F1999" s="3"/>
      <c r="G1999" s="158"/>
      <c r="H1999" s="155"/>
      <c r="I1999" s="155"/>
      <c r="J1999" s="156"/>
      <c r="K1999" s="5"/>
      <c r="L1999" s="3"/>
      <c r="M1999" s="6"/>
      <c r="N1999" s="9"/>
      <c r="O1999" s="158"/>
      <c r="P1999" s="12"/>
      <c r="Q1999" s="12"/>
      <c r="R1999" s="12"/>
      <c r="S1999" s="12"/>
      <c r="T1999" s="12"/>
      <c r="U1999" s="12"/>
      <c r="V1999" s="12"/>
      <c r="W1999" s="12"/>
      <c r="X1999" s="12"/>
      <c r="Y1999" s="12"/>
      <c r="Z1999" s="12"/>
    </row>
    <row r="2000" spans="1:26" ht="14.25" customHeight="1" x14ac:dyDescent="0.3">
      <c r="A2000" s="155"/>
      <c r="B2000" s="156"/>
      <c r="C2000" s="3"/>
      <c r="D2000" s="3"/>
      <c r="E2000" s="156"/>
      <c r="F2000" s="3"/>
      <c r="G2000" s="158"/>
      <c r="H2000" s="155"/>
      <c r="I2000" s="155"/>
      <c r="J2000" s="156"/>
      <c r="K2000" s="5"/>
      <c r="L2000" s="3"/>
      <c r="M2000" s="6"/>
      <c r="N2000" s="9"/>
      <c r="O2000" s="158"/>
      <c r="P2000" s="12"/>
      <c r="Q2000" s="12"/>
      <c r="R2000" s="12"/>
      <c r="S2000" s="12"/>
      <c r="T2000" s="12"/>
      <c r="U2000" s="12"/>
      <c r="V2000" s="12"/>
      <c r="W2000" s="12"/>
      <c r="X2000" s="12"/>
      <c r="Y2000" s="12"/>
      <c r="Z2000" s="12"/>
    </row>
    <row r="2001" spans="1:26" ht="14.25" customHeight="1" x14ac:dyDescent="0.3">
      <c r="A2001" s="155"/>
      <c r="B2001" s="156"/>
      <c r="C2001" s="3"/>
      <c r="D2001" s="3"/>
      <c r="E2001" s="156"/>
      <c r="F2001" s="3"/>
      <c r="G2001" s="158"/>
      <c r="H2001" s="155"/>
      <c r="I2001" s="155"/>
      <c r="J2001" s="156"/>
      <c r="K2001" s="5"/>
      <c r="L2001" s="3"/>
      <c r="M2001" s="6"/>
      <c r="N2001" s="9"/>
      <c r="O2001" s="158"/>
      <c r="P2001" s="12"/>
      <c r="Q2001" s="12"/>
      <c r="R2001" s="12"/>
      <c r="S2001" s="12"/>
      <c r="T2001" s="12"/>
      <c r="U2001" s="12"/>
      <c r="V2001" s="12"/>
      <c r="W2001" s="12"/>
      <c r="X2001" s="12"/>
      <c r="Y2001" s="12"/>
      <c r="Z2001" s="12"/>
    </row>
    <row r="2002" spans="1:26" ht="14.25" customHeight="1" x14ac:dyDescent="0.3">
      <c r="A2002" s="155"/>
      <c r="B2002" s="156"/>
      <c r="C2002" s="3"/>
      <c r="D2002" s="3"/>
      <c r="E2002" s="156"/>
      <c r="F2002" s="3"/>
      <c r="G2002" s="158"/>
      <c r="H2002" s="155"/>
      <c r="I2002" s="155"/>
      <c r="J2002" s="156"/>
      <c r="K2002" s="5"/>
      <c r="L2002" s="3"/>
      <c r="M2002" s="6"/>
      <c r="N2002" s="9"/>
      <c r="O2002" s="158"/>
      <c r="P2002" s="12"/>
      <c r="Q2002" s="12"/>
      <c r="R2002" s="12"/>
      <c r="S2002" s="12"/>
      <c r="T2002" s="12"/>
      <c r="U2002" s="12"/>
      <c r="V2002" s="12"/>
      <c r="W2002" s="12"/>
      <c r="X2002" s="12"/>
      <c r="Y2002" s="12"/>
      <c r="Z2002" s="12"/>
    </row>
    <row r="2003" spans="1:26" ht="14.25" customHeight="1" x14ac:dyDescent="0.3">
      <c r="A2003" s="155"/>
      <c r="B2003" s="156"/>
      <c r="C2003" s="3"/>
      <c r="D2003" s="3"/>
      <c r="E2003" s="156"/>
      <c r="F2003" s="3"/>
      <c r="G2003" s="158"/>
      <c r="H2003" s="155"/>
      <c r="I2003" s="155"/>
      <c r="J2003" s="156"/>
      <c r="K2003" s="5"/>
      <c r="L2003" s="3"/>
      <c r="M2003" s="6"/>
      <c r="N2003" s="9"/>
      <c r="O2003" s="158"/>
      <c r="P2003" s="12"/>
      <c r="Q2003" s="12"/>
      <c r="R2003" s="12"/>
      <c r="S2003" s="12"/>
      <c r="T2003" s="12"/>
      <c r="U2003" s="12"/>
      <c r="V2003" s="12"/>
      <c r="W2003" s="12"/>
      <c r="X2003" s="12"/>
      <c r="Y2003" s="12"/>
      <c r="Z2003" s="12"/>
    </row>
    <row r="2004" spans="1:26" ht="14.25" customHeight="1" x14ac:dyDescent="0.3">
      <c r="A2004" s="155"/>
      <c r="B2004" s="156"/>
      <c r="C2004" s="3"/>
      <c r="D2004" s="3"/>
      <c r="E2004" s="156"/>
      <c r="F2004" s="3"/>
      <c r="G2004" s="158"/>
      <c r="H2004" s="155"/>
      <c r="I2004" s="155"/>
      <c r="J2004" s="156"/>
      <c r="K2004" s="5"/>
      <c r="L2004" s="3"/>
      <c r="M2004" s="6"/>
      <c r="N2004" s="9"/>
      <c r="O2004" s="158"/>
      <c r="P2004" s="12"/>
      <c r="Q2004" s="12"/>
      <c r="R2004" s="12"/>
      <c r="S2004" s="12"/>
      <c r="T2004" s="12"/>
      <c r="U2004" s="12"/>
      <c r="V2004" s="12"/>
      <c r="W2004" s="12"/>
      <c r="X2004" s="12"/>
      <c r="Y2004" s="12"/>
      <c r="Z2004" s="12"/>
    </row>
    <row r="2005" spans="1:26" ht="14.25" customHeight="1" x14ac:dyDescent="0.3">
      <c r="A2005" s="155"/>
      <c r="B2005" s="156"/>
      <c r="C2005" s="3"/>
      <c r="D2005" s="3"/>
      <c r="E2005" s="156"/>
      <c r="F2005" s="3"/>
      <c r="G2005" s="158"/>
      <c r="H2005" s="155"/>
      <c r="I2005" s="155"/>
      <c r="J2005" s="156"/>
      <c r="K2005" s="5"/>
      <c r="L2005" s="3"/>
      <c r="M2005" s="6"/>
      <c r="N2005" s="9"/>
      <c r="O2005" s="158"/>
      <c r="P2005" s="12"/>
      <c r="Q2005" s="12"/>
      <c r="R2005" s="12"/>
      <c r="S2005" s="12"/>
      <c r="T2005" s="12"/>
      <c r="U2005" s="12"/>
      <c r="V2005" s="12"/>
      <c r="W2005" s="12"/>
      <c r="X2005" s="12"/>
      <c r="Y2005" s="12"/>
      <c r="Z2005" s="12"/>
    </row>
    <row r="2006" spans="1:26" ht="14.25" customHeight="1" x14ac:dyDescent="0.3">
      <c r="A2006" s="155"/>
      <c r="B2006" s="156"/>
      <c r="C2006" s="3"/>
      <c r="D2006" s="3"/>
      <c r="E2006" s="156"/>
      <c r="F2006" s="3"/>
      <c r="G2006" s="158"/>
      <c r="H2006" s="155"/>
      <c r="I2006" s="155"/>
      <c r="J2006" s="156"/>
      <c r="K2006" s="5"/>
      <c r="L2006" s="3"/>
      <c r="M2006" s="6"/>
      <c r="N2006" s="9"/>
      <c r="O2006" s="158"/>
      <c r="P2006" s="12"/>
      <c r="Q2006" s="12"/>
      <c r="R2006" s="12"/>
      <c r="S2006" s="12"/>
      <c r="T2006" s="12"/>
      <c r="U2006" s="12"/>
      <c r="V2006" s="12"/>
      <c r="W2006" s="12"/>
      <c r="X2006" s="12"/>
      <c r="Y2006" s="12"/>
      <c r="Z2006" s="12"/>
    </row>
    <row r="2007" spans="1:26" ht="14.25" customHeight="1" x14ac:dyDescent="0.3">
      <c r="A2007" s="155"/>
      <c r="B2007" s="156"/>
      <c r="C2007" s="3"/>
      <c r="D2007" s="3"/>
      <c r="E2007" s="156"/>
      <c r="F2007" s="3"/>
      <c r="G2007" s="158"/>
      <c r="H2007" s="155"/>
      <c r="I2007" s="155"/>
      <c r="J2007" s="156"/>
      <c r="K2007" s="5"/>
      <c r="L2007" s="3"/>
      <c r="M2007" s="6"/>
      <c r="N2007" s="9"/>
      <c r="O2007" s="158"/>
      <c r="P2007" s="12"/>
      <c r="Q2007" s="12"/>
      <c r="R2007" s="12"/>
      <c r="S2007" s="12"/>
      <c r="T2007" s="12"/>
      <c r="U2007" s="12"/>
      <c r="V2007" s="12"/>
      <c r="W2007" s="12"/>
      <c r="X2007" s="12"/>
      <c r="Y2007" s="12"/>
      <c r="Z2007" s="12"/>
    </row>
    <row r="2008" spans="1:26" ht="14.25" customHeight="1" x14ac:dyDescent="0.3">
      <c r="A2008" s="155"/>
      <c r="B2008" s="156"/>
      <c r="C2008" s="3"/>
      <c r="D2008" s="3"/>
      <c r="E2008" s="156"/>
      <c r="F2008" s="3"/>
      <c r="G2008" s="158"/>
      <c r="H2008" s="155"/>
      <c r="I2008" s="155"/>
      <c r="J2008" s="156"/>
      <c r="K2008" s="5"/>
      <c r="L2008" s="3"/>
      <c r="M2008" s="6"/>
      <c r="N2008" s="9"/>
      <c r="O2008" s="158"/>
      <c r="P2008" s="12"/>
      <c r="Q2008" s="12"/>
      <c r="R2008" s="12"/>
      <c r="S2008" s="12"/>
      <c r="T2008" s="12"/>
      <c r="U2008" s="12"/>
      <c r="V2008" s="12"/>
      <c r="W2008" s="12"/>
      <c r="X2008" s="12"/>
      <c r="Y2008" s="12"/>
      <c r="Z2008" s="12"/>
    </row>
    <row r="2009" spans="1:26" ht="14.25" customHeight="1" x14ac:dyDescent="0.3">
      <c r="A2009" s="155"/>
      <c r="B2009" s="156"/>
      <c r="C2009" s="3"/>
      <c r="D2009" s="3"/>
      <c r="E2009" s="156"/>
      <c r="F2009" s="3"/>
      <c r="G2009" s="158"/>
      <c r="H2009" s="155"/>
      <c r="I2009" s="155"/>
      <c r="J2009" s="156"/>
      <c r="K2009" s="5"/>
      <c r="L2009" s="3"/>
      <c r="M2009" s="6"/>
      <c r="N2009" s="9"/>
      <c r="O2009" s="158"/>
      <c r="P2009" s="12"/>
      <c r="Q2009" s="12"/>
      <c r="R2009" s="12"/>
      <c r="S2009" s="12"/>
      <c r="T2009" s="12"/>
      <c r="U2009" s="12"/>
      <c r="V2009" s="12"/>
      <c r="W2009" s="12"/>
      <c r="X2009" s="12"/>
      <c r="Y2009" s="12"/>
      <c r="Z2009" s="12"/>
    </row>
    <row r="2010" spans="1:26" ht="14.25" customHeight="1" x14ac:dyDescent="0.3">
      <c r="A2010" s="155"/>
      <c r="B2010" s="156"/>
      <c r="C2010" s="3"/>
      <c r="D2010" s="3"/>
      <c r="E2010" s="156"/>
      <c r="F2010" s="3"/>
      <c r="G2010" s="158"/>
      <c r="H2010" s="155"/>
      <c r="I2010" s="155"/>
      <c r="J2010" s="156"/>
      <c r="K2010" s="5"/>
      <c r="L2010" s="3"/>
      <c r="M2010" s="6"/>
      <c r="N2010" s="9"/>
      <c r="O2010" s="158"/>
      <c r="P2010" s="12"/>
      <c r="Q2010" s="12"/>
      <c r="R2010" s="12"/>
      <c r="S2010" s="12"/>
      <c r="T2010" s="12"/>
      <c r="U2010" s="12"/>
      <c r="V2010" s="12"/>
      <c r="W2010" s="12"/>
      <c r="X2010" s="12"/>
      <c r="Y2010" s="12"/>
      <c r="Z2010" s="12"/>
    </row>
    <row r="2011" spans="1:26" ht="14.25" customHeight="1" x14ac:dyDescent="0.3">
      <c r="A2011" s="155"/>
      <c r="B2011" s="156"/>
      <c r="C2011" s="3"/>
      <c r="D2011" s="3"/>
      <c r="E2011" s="156"/>
      <c r="F2011" s="3"/>
      <c r="G2011" s="158"/>
      <c r="H2011" s="155"/>
      <c r="I2011" s="155"/>
      <c r="J2011" s="156"/>
      <c r="K2011" s="5"/>
      <c r="L2011" s="3"/>
      <c r="M2011" s="6"/>
      <c r="N2011" s="9"/>
      <c r="O2011" s="158"/>
      <c r="P2011" s="12"/>
      <c r="Q2011" s="12"/>
      <c r="R2011" s="12"/>
      <c r="S2011" s="12"/>
      <c r="T2011" s="12"/>
      <c r="U2011" s="12"/>
      <c r="V2011" s="12"/>
      <c r="W2011" s="12"/>
      <c r="X2011" s="12"/>
      <c r="Y2011" s="12"/>
      <c r="Z2011" s="12"/>
    </row>
    <row r="2012" spans="1:26" ht="14.25" customHeight="1" x14ac:dyDescent="0.3">
      <c r="A2012" s="155"/>
      <c r="B2012" s="156"/>
      <c r="C2012" s="3"/>
      <c r="D2012" s="3"/>
      <c r="E2012" s="156"/>
      <c r="F2012" s="3"/>
      <c r="G2012" s="158"/>
      <c r="H2012" s="155"/>
      <c r="I2012" s="155"/>
      <c r="J2012" s="156"/>
      <c r="K2012" s="5"/>
      <c r="L2012" s="3"/>
      <c r="M2012" s="6"/>
      <c r="N2012" s="9"/>
      <c r="O2012" s="158"/>
      <c r="P2012" s="12"/>
      <c r="Q2012" s="12"/>
      <c r="R2012" s="12"/>
      <c r="S2012" s="12"/>
      <c r="T2012" s="12"/>
      <c r="U2012" s="12"/>
      <c r="V2012" s="12"/>
      <c r="W2012" s="12"/>
      <c r="X2012" s="12"/>
      <c r="Y2012" s="12"/>
      <c r="Z2012" s="12"/>
    </row>
    <row r="2013" spans="1:26" ht="14.25" customHeight="1" x14ac:dyDescent="0.3">
      <c r="A2013" s="155"/>
      <c r="B2013" s="156"/>
      <c r="C2013" s="3"/>
      <c r="D2013" s="3"/>
      <c r="E2013" s="156"/>
      <c r="F2013" s="3"/>
      <c r="G2013" s="158"/>
      <c r="H2013" s="155"/>
      <c r="I2013" s="155"/>
      <c r="J2013" s="156"/>
      <c r="K2013" s="5"/>
      <c r="L2013" s="3"/>
      <c r="M2013" s="6"/>
      <c r="N2013" s="9"/>
      <c r="O2013" s="158"/>
      <c r="P2013" s="12"/>
      <c r="Q2013" s="12"/>
      <c r="R2013" s="12"/>
      <c r="S2013" s="12"/>
      <c r="T2013" s="12"/>
      <c r="U2013" s="12"/>
      <c r="V2013" s="12"/>
      <c r="W2013" s="12"/>
      <c r="X2013" s="12"/>
      <c r="Y2013" s="12"/>
      <c r="Z2013" s="12"/>
    </row>
    <row r="2014" spans="1:26" ht="14.25" customHeight="1" x14ac:dyDescent="0.3">
      <c r="A2014" s="155"/>
      <c r="B2014" s="156"/>
      <c r="C2014" s="3"/>
      <c r="D2014" s="3"/>
      <c r="E2014" s="156"/>
      <c r="F2014" s="3"/>
      <c r="G2014" s="158"/>
      <c r="H2014" s="155"/>
      <c r="I2014" s="155"/>
      <c r="J2014" s="156"/>
      <c r="K2014" s="5"/>
      <c r="L2014" s="3"/>
      <c r="M2014" s="6"/>
      <c r="N2014" s="9"/>
      <c r="O2014" s="158"/>
      <c r="P2014" s="12"/>
      <c r="Q2014" s="12"/>
      <c r="R2014" s="12"/>
      <c r="S2014" s="12"/>
      <c r="T2014" s="12"/>
      <c r="U2014" s="12"/>
      <c r="V2014" s="12"/>
      <c r="W2014" s="12"/>
      <c r="X2014" s="12"/>
      <c r="Y2014" s="12"/>
      <c r="Z2014" s="12"/>
    </row>
    <row r="2015" spans="1:26" ht="14.25" customHeight="1" x14ac:dyDescent="0.3">
      <c r="A2015" s="155"/>
      <c r="B2015" s="156"/>
      <c r="C2015" s="3"/>
      <c r="D2015" s="3"/>
      <c r="E2015" s="156"/>
      <c r="F2015" s="3"/>
      <c r="G2015" s="158"/>
      <c r="H2015" s="155"/>
      <c r="I2015" s="155"/>
      <c r="J2015" s="156"/>
      <c r="K2015" s="5"/>
      <c r="L2015" s="3"/>
      <c r="M2015" s="6"/>
      <c r="N2015" s="9"/>
      <c r="O2015" s="158"/>
      <c r="P2015" s="12"/>
      <c r="Q2015" s="12"/>
      <c r="R2015" s="12"/>
      <c r="S2015" s="12"/>
      <c r="T2015" s="12"/>
      <c r="U2015" s="12"/>
      <c r="V2015" s="12"/>
      <c r="W2015" s="12"/>
      <c r="X2015" s="12"/>
      <c r="Y2015" s="12"/>
      <c r="Z2015" s="12"/>
    </row>
    <row r="2016" spans="1:26" ht="14.25" customHeight="1" x14ac:dyDescent="0.3">
      <c r="A2016" s="155"/>
      <c r="B2016" s="156"/>
      <c r="C2016" s="3"/>
      <c r="D2016" s="3"/>
      <c r="E2016" s="156"/>
      <c r="F2016" s="3"/>
      <c r="G2016" s="158"/>
      <c r="H2016" s="155"/>
      <c r="I2016" s="155"/>
      <c r="J2016" s="156"/>
      <c r="K2016" s="5"/>
      <c r="L2016" s="3"/>
      <c r="M2016" s="6"/>
      <c r="N2016" s="9"/>
      <c r="O2016" s="158"/>
      <c r="P2016" s="12"/>
      <c r="Q2016" s="12"/>
      <c r="R2016" s="12"/>
      <c r="S2016" s="12"/>
      <c r="T2016" s="12"/>
      <c r="U2016" s="12"/>
      <c r="V2016" s="12"/>
      <c r="W2016" s="12"/>
      <c r="X2016" s="12"/>
      <c r="Y2016" s="12"/>
      <c r="Z2016" s="12"/>
    </row>
    <row r="2017" spans="1:26" ht="14.25" customHeight="1" x14ac:dyDescent="0.3">
      <c r="A2017" s="155"/>
      <c r="B2017" s="156"/>
      <c r="C2017" s="3"/>
      <c r="D2017" s="3"/>
      <c r="E2017" s="156"/>
      <c r="F2017" s="3"/>
      <c r="G2017" s="158"/>
      <c r="H2017" s="155"/>
      <c r="I2017" s="155"/>
      <c r="J2017" s="156"/>
      <c r="K2017" s="5"/>
      <c r="L2017" s="3"/>
      <c r="M2017" s="6"/>
      <c r="N2017" s="9"/>
      <c r="O2017" s="158"/>
      <c r="P2017" s="12"/>
      <c r="Q2017" s="12"/>
      <c r="R2017" s="12"/>
      <c r="S2017" s="12"/>
      <c r="T2017" s="12"/>
      <c r="U2017" s="12"/>
      <c r="V2017" s="12"/>
      <c r="W2017" s="12"/>
      <c r="X2017" s="12"/>
      <c r="Y2017" s="12"/>
      <c r="Z2017" s="12"/>
    </row>
    <row r="2018" spans="1:26" ht="14.25" customHeight="1" x14ac:dyDescent="0.3">
      <c r="A2018" s="155"/>
      <c r="B2018" s="156"/>
      <c r="C2018" s="3"/>
      <c r="D2018" s="3"/>
      <c r="E2018" s="156"/>
      <c r="F2018" s="3"/>
      <c r="G2018" s="158"/>
      <c r="H2018" s="155"/>
      <c r="I2018" s="155"/>
      <c r="J2018" s="156"/>
      <c r="K2018" s="5"/>
      <c r="L2018" s="3"/>
      <c r="M2018" s="6"/>
      <c r="N2018" s="9"/>
      <c r="O2018" s="158"/>
      <c r="P2018" s="12"/>
      <c r="Q2018" s="12"/>
      <c r="R2018" s="12"/>
      <c r="S2018" s="12"/>
      <c r="T2018" s="12"/>
      <c r="U2018" s="12"/>
      <c r="V2018" s="12"/>
      <c r="W2018" s="12"/>
      <c r="X2018" s="12"/>
      <c r="Y2018" s="12"/>
      <c r="Z2018" s="12"/>
    </row>
    <row r="2019" spans="1:26" ht="14.25" customHeight="1" x14ac:dyDescent="0.3">
      <c r="A2019" s="155"/>
      <c r="B2019" s="156"/>
      <c r="C2019" s="3"/>
      <c r="D2019" s="3"/>
      <c r="E2019" s="156"/>
      <c r="F2019" s="3"/>
      <c r="G2019" s="158"/>
      <c r="H2019" s="155"/>
      <c r="I2019" s="155"/>
      <c r="J2019" s="156"/>
      <c r="K2019" s="5"/>
      <c r="L2019" s="3"/>
      <c r="M2019" s="6"/>
      <c r="N2019" s="9"/>
      <c r="O2019" s="158"/>
      <c r="P2019" s="12"/>
      <c r="Q2019" s="12"/>
      <c r="R2019" s="12"/>
      <c r="S2019" s="12"/>
      <c r="T2019" s="12"/>
      <c r="U2019" s="12"/>
      <c r="V2019" s="12"/>
      <c r="W2019" s="12"/>
      <c r="X2019" s="12"/>
      <c r="Y2019" s="12"/>
      <c r="Z2019" s="12"/>
    </row>
    <row r="2020" spans="1:26" ht="14.25" customHeight="1" x14ac:dyDescent="0.3">
      <c r="A2020" s="155"/>
      <c r="B2020" s="156"/>
      <c r="C2020" s="3"/>
      <c r="D2020" s="3"/>
      <c r="E2020" s="156"/>
      <c r="F2020" s="3"/>
      <c r="G2020" s="158"/>
      <c r="H2020" s="155"/>
      <c r="I2020" s="155"/>
      <c r="J2020" s="156"/>
      <c r="K2020" s="5"/>
      <c r="L2020" s="3"/>
      <c r="M2020" s="6"/>
      <c r="N2020" s="9"/>
      <c r="O2020" s="158"/>
      <c r="P2020" s="12"/>
      <c r="Q2020" s="12"/>
      <c r="R2020" s="12"/>
      <c r="S2020" s="12"/>
      <c r="T2020" s="12"/>
      <c r="U2020" s="12"/>
      <c r="V2020" s="12"/>
      <c r="W2020" s="12"/>
      <c r="X2020" s="12"/>
      <c r="Y2020" s="12"/>
      <c r="Z2020" s="12"/>
    </row>
    <row r="2021" spans="1:26" ht="14.25" customHeight="1" x14ac:dyDescent="0.3">
      <c r="A2021" s="155"/>
      <c r="B2021" s="156"/>
      <c r="C2021" s="3"/>
      <c r="D2021" s="3"/>
      <c r="E2021" s="156"/>
      <c r="F2021" s="3"/>
      <c r="G2021" s="158"/>
      <c r="H2021" s="155"/>
      <c r="I2021" s="155"/>
      <c r="J2021" s="156"/>
      <c r="K2021" s="5"/>
      <c r="L2021" s="3"/>
      <c r="M2021" s="6"/>
      <c r="N2021" s="9"/>
      <c r="O2021" s="158"/>
      <c r="P2021" s="12"/>
      <c r="Q2021" s="12"/>
      <c r="R2021" s="12"/>
      <c r="S2021" s="12"/>
      <c r="T2021" s="12"/>
      <c r="U2021" s="12"/>
      <c r="V2021" s="12"/>
      <c r="W2021" s="12"/>
      <c r="X2021" s="12"/>
      <c r="Y2021" s="12"/>
      <c r="Z2021" s="12"/>
    </row>
    <row r="2022" spans="1:26" ht="14.25" customHeight="1" x14ac:dyDescent="0.3">
      <c r="A2022" s="155"/>
      <c r="B2022" s="156"/>
      <c r="C2022" s="3"/>
      <c r="D2022" s="3"/>
      <c r="E2022" s="156"/>
      <c r="F2022" s="3"/>
      <c r="G2022" s="158"/>
      <c r="H2022" s="155"/>
      <c r="I2022" s="155"/>
      <c r="J2022" s="156"/>
      <c r="K2022" s="5"/>
      <c r="L2022" s="3"/>
      <c r="M2022" s="6"/>
      <c r="N2022" s="9"/>
      <c r="O2022" s="158"/>
      <c r="P2022" s="12"/>
      <c r="Q2022" s="12"/>
      <c r="R2022" s="12"/>
      <c r="S2022" s="12"/>
      <c r="T2022" s="12"/>
      <c r="U2022" s="12"/>
      <c r="V2022" s="12"/>
      <c r="W2022" s="12"/>
      <c r="X2022" s="12"/>
      <c r="Y2022" s="12"/>
      <c r="Z2022" s="12"/>
    </row>
    <row r="2023" spans="1:26" ht="14.25" customHeight="1" x14ac:dyDescent="0.3">
      <c r="A2023" s="155"/>
      <c r="B2023" s="156"/>
      <c r="C2023" s="3"/>
      <c r="D2023" s="3"/>
      <c r="E2023" s="156"/>
      <c r="F2023" s="3"/>
      <c r="G2023" s="158"/>
      <c r="H2023" s="155"/>
      <c r="I2023" s="155"/>
      <c r="J2023" s="156"/>
      <c r="K2023" s="5"/>
      <c r="L2023" s="3"/>
      <c r="M2023" s="6"/>
      <c r="N2023" s="9"/>
      <c r="O2023" s="158"/>
      <c r="P2023" s="12"/>
      <c r="Q2023" s="12"/>
      <c r="R2023" s="12"/>
      <c r="S2023" s="12"/>
      <c r="T2023" s="12"/>
      <c r="U2023" s="12"/>
      <c r="V2023" s="12"/>
      <c r="W2023" s="12"/>
      <c r="X2023" s="12"/>
      <c r="Y2023" s="12"/>
      <c r="Z2023" s="12"/>
    </row>
    <row r="2024" spans="1:26" ht="14.25" customHeight="1" x14ac:dyDescent="0.3">
      <c r="A2024" s="155"/>
      <c r="B2024" s="156"/>
      <c r="C2024" s="3"/>
      <c r="D2024" s="3"/>
      <c r="E2024" s="156"/>
      <c r="F2024" s="3"/>
      <c r="G2024" s="158"/>
      <c r="H2024" s="155"/>
      <c r="I2024" s="155"/>
      <c r="J2024" s="156"/>
      <c r="K2024" s="5"/>
      <c r="L2024" s="3"/>
      <c r="M2024" s="6"/>
      <c r="N2024" s="9"/>
      <c r="O2024" s="158"/>
      <c r="P2024" s="12"/>
      <c r="Q2024" s="12"/>
      <c r="R2024" s="12"/>
      <c r="S2024" s="12"/>
      <c r="T2024" s="12"/>
      <c r="U2024" s="12"/>
      <c r="V2024" s="12"/>
      <c r="W2024" s="12"/>
      <c r="X2024" s="12"/>
      <c r="Y2024" s="12"/>
      <c r="Z2024" s="12"/>
    </row>
    <row r="2025" spans="1:26" ht="14.25" customHeight="1" x14ac:dyDescent="0.3">
      <c r="A2025" s="155"/>
      <c r="B2025" s="156"/>
      <c r="C2025" s="3"/>
      <c r="D2025" s="3"/>
      <c r="E2025" s="156"/>
      <c r="F2025" s="3"/>
      <c r="G2025" s="158"/>
      <c r="H2025" s="155"/>
      <c r="I2025" s="155"/>
      <c r="J2025" s="156"/>
      <c r="K2025" s="5"/>
      <c r="L2025" s="3"/>
      <c r="M2025" s="6"/>
      <c r="N2025" s="9"/>
      <c r="O2025" s="158"/>
      <c r="P2025" s="12"/>
      <c r="Q2025" s="12"/>
      <c r="R2025" s="12"/>
      <c r="S2025" s="12"/>
      <c r="T2025" s="12"/>
      <c r="U2025" s="12"/>
      <c r="V2025" s="12"/>
      <c r="W2025" s="12"/>
      <c r="X2025" s="12"/>
      <c r="Y2025" s="12"/>
      <c r="Z2025" s="12"/>
    </row>
    <row r="2026" spans="1:26" ht="14.25" customHeight="1" x14ac:dyDescent="0.3">
      <c r="A2026" s="155"/>
      <c r="B2026" s="156"/>
      <c r="C2026" s="3"/>
      <c r="D2026" s="3"/>
      <c r="E2026" s="156"/>
      <c r="F2026" s="3"/>
      <c r="G2026" s="158"/>
      <c r="H2026" s="155"/>
      <c r="I2026" s="155"/>
      <c r="J2026" s="156"/>
      <c r="K2026" s="5"/>
      <c r="L2026" s="3"/>
      <c r="M2026" s="6"/>
      <c r="N2026" s="9"/>
      <c r="O2026" s="158"/>
      <c r="P2026" s="12"/>
      <c r="Q2026" s="12"/>
      <c r="R2026" s="12"/>
      <c r="S2026" s="12"/>
      <c r="T2026" s="12"/>
      <c r="U2026" s="12"/>
      <c r="V2026" s="12"/>
      <c r="W2026" s="12"/>
      <c r="X2026" s="12"/>
      <c r="Y2026" s="12"/>
      <c r="Z2026" s="12"/>
    </row>
    <row r="2027" spans="1:26" ht="14.25" customHeight="1" x14ac:dyDescent="0.3">
      <c r="A2027" s="155"/>
      <c r="B2027" s="156"/>
      <c r="C2027" s="3"/>
      <c r="D2027" s="3"/>
      <c r="E2027" s="156"/>
      <c r="F2027" s="3"/>
      <c r="G2027" s="158"/>
      <c r="H2027" s="155"/>
      <c r="I2027" s="155"/>
      <c r="J2027" s="156"/>
      <c r="K2027" s="5"/>
      <c r="L2027" s="3"/>
      <c r="M2027" s="6"/>
      <c r="N2027" s="9"/>
      <c r="O2027" s="158"/>
      <c r="P2027" s="12"/>
      <c r="Q2027" s="12"/>
      <c r="R2027" s="12"/>
      <c r="S2027" s="12"/>
      <c r="T2027" s="12"/>
      <c r="U2027" s="12"/>
      <c r="V2027" s="12"/>
      <c r="W2027" s="12"/>
      <c r="X2027" s="12"/>
      <c r="Y2027" s="12"/>
      <c r="Z2027" s="12"/>
    </row>
    <row r="2028" spans="1:26" ht="14.25" customHeight="1" x14ac:dyDescent="0.3">
      <c r="A2028" s="155"/>
      <c r="B2028" s="156"/>
      <c r="C2028" s="3"/>
      <c r="D2028" s="3"/>
      <c r="E2028" s="156"/>
      <c r="F2028" s="3"/>
      <c r="G2028" s="158"/>
      <c r="H2028" s="155"/>
      <c r="I2028" s="155"/>
      <c r="J2028" s="156"/>
      <c r="K2028" s="5"/>
      <c r="L2028" s="3"/>
      <c r="M2028" s="6"/>
      <c r="N2028" s="9"/>
      <c r="O2028" s="158"/>
      <c r="P2028" s="12"/>
      <c r="Q2028" s="12"/>
      <c r="R2028" s="12"/>
      <c r="S2028" s="12"/>
      <c r="T2028" s="12"/>
      <c r="U2028" s="12"/>
      <c r="V2028" s="12"/>
      <c r="W2028" s="12"/>
      <c r="X2028" s="12"/>
      <c r="Y2028" s="12"/>
      <c r="Z2028" s="12"/>
    </row>
    <row r="2029" spans="1:26" ht="14.25" customHeight="1" x14ac:dyDescent="0.3">
      <c r="A2029" s="155"/>
      <c r="B2029" s="156"/>
      <c r="C2029" s="3"/>
      <c r="D2029" s="3"/>
      <c r="E2029" s="156"/>
      <c r="F2029" s="3"/>
      <c r="G2029" s="158"/>
      <c r="H2029" s="155"/>
      <c r="I2029" s="155"/>
      <c r="J2029" s="156"/>
      <c r="K2029" s="5"/>
      <c r="L2029" s="3"/>
      <c r="M2029" s="6"/>
      <c r="N2029" s="9"/>
      <c r="O2029" s="158"/>
      <c r="P2029" s="12"/>
      <c r="Q2029" s="12"/>
      <c r="R2029" s="12"/>
      <c r="S2029" s="12"/>
      <c r="T2029" s="12"/>
      <c r="U2029" s="12"/>
      <c r="V2029" s="12"/>
      <c r="W2029" s="12"/>
      <c r="X2029" s="12"/>
      <c r="Y2029" s="12"/>
      <c r="Z2029" s="12"/>
    </row>
    <row r="2030" spans="1:26" ht="14.25" customHeight="1" x14ac:dyDescent="0.3">
      <c r="A2030" s="155"/>
      <c r="B2030" s="156"/>
      <c r="C2030" s="3"/>
      <c r="D2030" s="3"/>
      <c r="E2030" s="156"/>
      <c r="F2030" s="3"/>
      <c r="G2030" s="158"/>
      <c r="H2030" s="155"/>
      <c r="I2030" s="155"/>
      <c r="J2030" s="156"/>
      <c r="K2030" s="5"/>
      <c r="L2030" s="3"/>
      <c r="M2030" s="6"/>
      <c r="N2030" s="9"/>
      <c r="O2030" s="158"/>
      <c r="P2030" s="12"/>
      <c r="Q2030" s="12"/>
      <c r="R2030" s="12"/>
      <c r="S2030" s="12"/>
      <c r="T2030" s="12"/>
      <c r="U2030" s="12"/>
      <c r="V2030" s="12"/>
      <c r="W2030" s="12"/>
      <c r="X2030" s="12"/>
      <c r="Y2030" s="12"/>
      <c r="Z2030" s="12"/>
    </row>
    <row r="2031" spans="1:26" ht="14.25" customHeight="1" x14ac:dyDescent="0.3">
      <c r="A2031" s="155"/>
      <c r="B2031" s="156"/>
      <c r="C2031" s="3"/>
      <c r="D2031" s="3"/>
      <c r="E2031" s="156"/>
      <c r="F2031" s="3"/>
      <c r="G2031" s="158"/>
      <c r="H2031" s="155"/>
      <c r="I2031" s="155"/>
      <c r="J2031" s="156"/>
      <c r="K2031" s="5"/>
      <c r="L2031" s="3"/>
      <c r="M2031" s="6"/>
      <c r="N2031" s="9"/>
      <c r="O2031" s="158"/>
      <c r="P2031" s="12"/>
      <c r="Q2031" s="12"/>
      <c r="R2031" s="12"/>
      <c r="S2031" s="12"/>
      <c r="T2031" s="12"/>
      <c r="U2031" s="12"/>
      <c r="V2031" s="12"/>
      <c r="W2031" s="12"/>
      <c r="X2031" s="12"/>
      <c r="Y2031" s="12"/>
      <c r="Z2031" s="12"/>
    </row>
    <row r="2032" spans="1:26" ht="14.25" customHeight="1" x14ac:dyDescent="0.3">
      <c r="A2032" s="155"/>
      <c r="B2032" s="156"/>
      <c r="C2032" s="3"/>
      <c r="D2032" s="3"/>
      <c r="E2032" s="156"/>
      <c r="F2032" s="3"/>
      <c r="G2032" s="158"/>
      <c r="H2032" s="155"/>
      <c r="I2032" s="155"/>
      <c r="J2032" s="156"/>
      <c r="K2032" s="5"/>
      <c r="L2032" s="3"/>
      <c r="M2032" s="6"/>
      <c r="N2032" s="9"/>
      <c r="O2032" s="158"/>
      <c r="P2032" s="12"/>
      <c r="Q2032" s="12"/>
      <c r="R2032" s="12"/>
      <c r="S2032" s="12"/>
      <c r="T2032" s="12"/>
      <c r="U2032" s="12"/>
      <c r="V2032" s="12"/>
      <c r="W2032" s="12"/>
      <c r="X2032" s="12"/>
      <c r="Y2032" s="12"/>
      <c r="Z2032" s="12"/>
    </row>
    <row r="2033" spans="1:26" ht="14.25" customHeight="1" x14ac:dyDescent="0.3">
      <c r="A2033" s="155"/>
      <c r="B2033" s="156"/>
      <c r="C2033" s="3"/>
      <c r="D2033" s="3"/>
      <c r="E2033" s="156"/>
      <c r="F2033" s="3"/>
      <c r="G2033" s="158"/>
      <c r="H2033" s="155"/>
      <c r="I2033" s="155"/>
      <c r="J2033" s="156"/>
      <c r="K2033" s="5"/>
      <c r="L2033" s="3"/>
      <c r="M2033" s="6"/>
      <c r="N2033" s="9"/>
      <c r="O2033" s="158"/>
      <c r="P2033" s="12"/>
      <c r="Q2033" s="12"/>
      <c r="R2033" s="12"/>
      <c r="S2033" s="12"/>
      <c r="T2033" s="12"/>
      <c r="U2033" s="12"/>
      <c r="V2033" s="12"/>
      <c r="W2033" s="12"/>
      <c r="X2033" s="12"/>
      <c r="Y2033" s="12"/>
      <c r="Z2033" s="12"/>
    </row>
    <row r="2034" spans="1:26" ht="14.25" customHeight="1" x14ac:dyDescent="0.3">
      <c r="A2034" s="155"/>
      <c r="B2034" s="156"/>
      <c r="C2034" s="3"/>
      <c r="D2034" s="3"/>
      <c r="E2034" s="156"/>
      <c r="F2034" s="3"/>
      <c r="G2034" s="158"/>
      <c r="H2034" s="155"/>
      <c r="I2034" s="155"/>
      <c r="J2034" s="156"/>
      <c r="K2034" s="5"/>
      <c r="L2034" s="3"/>
      <c r="M2034" s="6"/>
      <c r="N2034" s="9"/>
      <c r="O2034" s="158"/>
      <c r="P2034" s="12"/>
      <c r="Q2034" s="12"/>
      <c r="R2034" s="12"/>
      <c r="S2034" s="12"/>
      <c r="T2034" s="12"/>
      <c r="U2034" s="12"/>
      <c r="V2034" s="12"/>
      <c r="W2034" s="12"/>
      <c r="X2034" s="12"/>
      <c r="Y2034" s="12"/>
      <c r="Z2034" s="12"/>
    </row>
    <row r="2035" spans="1:26" ht="14.25" customHeight="1" x14ac:dyDescent="0.3">
      <c r="A2035" s="155"/>
      <c r="B2035" s="156"/>
      <c r="C2035" s="3"/>
      <c r="D2035" s="3"/>
      <c r="E2035" s="156"/>
      <c r="F2035" s="3"/>
      <c r="G2035" s="158"/>
      <c r="H2035" s="155"/>
      <c r="I2035" s="155"/>
      <c r="J2035" s="156"/>
      <c r="K2035" s="5"/>
      <c r="L2035" s="3"/>
      <c r="M2035" s="6"/>
      <c r="N2035" s="9"/>
      <c r="O2035" s="158"/>
      <c r="P2035" s="12"/>
      <c r="Q2035" s="12"/>
      <c r="R2035" s="12"/>
      <c r="S2035" s="12"/>
      <c r="T2035" s="12"/>
      <c r="U2035" s="12"/>
      <c r="V2035" s="12"/>
      <c r="W2035" s="12"/>
      <c r="X2035" s="12"/>
      <c r="Y2035" s="12"/>
      <c r="Z2035" s="12"/>
    </row>
    <row r="2036" spans="1:26" ht="14.25" customHeight="1" x14ac:dyDescent="0.3">
      <c r="A2036" s="155"/>
      <c r="B2036" s="156"/>
      <c r="C2036" s="3"/>
      <c r="D2036" s="3"/>
      <c r="E2036" s="156"/>
      <c r="F2036" s="3"/>
      <c r="G2036" s="158"/>
      <c r="H2036" s="155"/>
      <c r="I2036" s="155"/>
      <c r="J2036" s="156"/>
      <c r="K2036" s="5"/>
      <c r="L2036" s="3"/>
      <c r="M2036" s="6"/>
      <c r="N2036" s="9"/>
      <c r="O2036" s="158"/>
      <c r="P2036" s="12"/>
      <c r="Q2036" s="12"/>
      <c r="R2036" s="12"/>
      <c r="S2036" s="12"/>
      <c r="T2036" s="12"/>
      <c r="U2036" s="12"/>
      <c r="V2036" s="12"/>
      <c r="W2036" s="12"/>
      <c r="X2036" s="12"/>
      <c r="Y2036" s="12"/>
      <c r="Z2036" s="12"/>
    </row>
    <row r="2037" spans="1:26" ht="14.25" customHeight="1" x14ac:dyDescent="0.3">
      <c r="A2037" s="155"/>
      <c r="B2037" s="156"/>
      <c r="C2037" s="3"/>
      <c r="D2037" s="3"/>
      <c r="E2037" s="156"/>
      <c r="F2037" s="3"/>
      <c r="G2037" s="158"/>
      <c r="H2037" s="155"/>
      <c r="I2037" s="155"/>
      <c r="J2037" s="156"/>
      <c r="K2037" s="5"/>
      <c r="L2037" s="3"/>
      <c r="M2037" s="6"/>
      <c r="N2037" s="9"/>
      <c r="O2037" s="158"/>
      <c r="P2037" s="12"/>
      <c r="Q2037" s="12"/>
      <c r="R2037" s="12"/>
      <c r="S2037" s="12"/>
      <c r="T2037" s="12"/>
      <c r="U2037" s="12"/>
      <c r="V2037" s="12"/>
      <c r="W2037" s="12"/>
      <c r="X2037" s="12"/>
      <c r="Y2037" s="12"/>
      <c r="Z2037" s="12"/>
    </row>
    <row r="2038" spans="1:26" ht="14.25" customHeight="1" x14ac:dyDescent="0.3">
      <c r="A2038" s="155"/>
      <c r="B2038" s="156"/>
      <c r="C2038" s="3"/>
      <c r="D2038" s="3"/>
      <c r="E2038" s="156"/>
      <c r="F2038" s="3"/>
      <c r="G2038" s="158"/>
      <c r="H2038" s="155"/>
      <c r="I2038" s="155"/>
      <c r="J2038" s="156"/>
      <c r="K2038" s="5"/>
      <c r="L2038" s="3"/>
      <c r="M2038" s="6"/>
      <c r="N2038" s="9"/>
      <c r="O2038" s="158"/>
      <c r="P2038" s="12"/>
      <c r="Q2038" s="12"/>
      <c r="R2038" s="12"/>
      <c r="S2038" s="12"/>
      <c r="T2038" s="12"/>
      <c r="U2038" s="12"/>
      <c r="V2038" s="12"/>
      <c r="W2038" s="12"/>
      <c r="X2038" s="12"/>
      <c r="Y2038" s="12"/>
      <c r="Z2038" s="12"/>
    </row>
    <row r="2039" spans="1:26" ht="14.25" customHeight="1" x14ac:dyDescent="0.3">
      <c r="A2039" s="155"/>
      <c r="B2039" s="156"/>
      <c r="C2039" s="3"/>
      <c r="D2039" s="3"/>
      <c r="E2039" s="156"/>
      <c r="F2039" s="3"/>
      <c r="G2039" s="158"/>
      <c r="H2039" s="155"/>
      <c r="I2039" s="155"/>
      <c r="J2039" s="156"/>
      <c r="K2039" s="5"/>
      <c r="L2039" s="3"/>
      <c r="M2039" s="6"/>
      <c r="N2039" s="9"/>
      <c r="O2039" s="158"/>
      <c r="P2039" s="12"/>
      <c r="Q2039" s="12"/>
      <c r="R2039" s="12"/>
      <c r="S2039" s="12"/>
      <c r="T2039" s="12"/>
      <c r="U2039" s="12"/>
      <c r="V2039" s="12"/>
      <c r="W2039" s="12"/>
      <c r="X2039" s="12"/>
      <c r="Y2039" s="12"/>
      <c r="Z2039" s="12"/>
    </row>
    <row r="2040" spans="1:26" ht="14.25" customHeight="1" x14ac:dyDescent="0.3">
      <c r="A2040" s="155"/>
      <c r="B2040" s="156"/>
      <c r="C2040" s="3"/>
      <c r="D2040" s="3"/>
      <c r="E2040" s="156"/>
      <c r="F2040" s="3"/>
      <c r="G2040" s="158"/>
      <c r="H2040" s="155"/>
      <c r="I2040" s="155"/>
      <c r="J2040" s="156"/>
      <c r="K2040" s="5"/>
      <c r="L2040" s="3"/>
      <c r="M2040" s="6"/>
      <c r="N2040" s="9"/>
      <c r="O2040" s="158"/>
      <c r="P2040" s="12"/>
      <c r="Q2040" s="12"/>
      <c r="R2040" s="12"/>
      <c r="S2040" s="12"/>
      <c r="T2040" s="12"/>
      <c r="U2040" s="12"/>
      <c r="V2040" s="12"/>
      <c r="W2040" s="12"/>
      <c r="X2040" s="12"/>
      <c r="Y2040" s="12"/>
      <c r="Z2040" s="12"/>
    </row>
    <row r="2041" spans="1:26" ht="14.25" customHeight="1" x14ac:dyDescent="0.3">
      <c r="A2041" s="155"/>
      <c r="B2041" s="156"/>
      <c r="C2041" s="3"/>
      <c r="D2041" s="3"/>
      <c r="E2041" s="156"/>
      <c r="F2041" s="3"/>
      <c r="G2041" s="158"/>
      <c r="H2041" s="155"/>
      <c r="I2041" s="155"/>
      <c r="J2041" s="156"/>
      <c r="K2041" s="5"/>
      <c r="L2041" s="3"/>
      <c r="M2041" s="6"/>
      <c r="N2041" s="9"/>
      <c r="O2041" s="158"/>
      <c r="P2041" s="12"/>
      <c r="Q2041" s="12"/>
      <c r="R2041" s="12"/>
      <c r="S2041" s="12"/>
      <c r="T2041" s="12"/>
      <c r="U2041" s="12"/>
      <c r="V2041" s="12"/>
      <c r="W2041" s="12"/>
      <c r="X2041" s="12"/>
      <c r="Y2041" s="12"/>
      <c r="Z2041" s="12"/>
    </row>
    <row r="2042" spans="1:26" ht="14.25" customHeight="1" x14ac:dyDescent="0.3">
      <c r="A2042" s="155"/>
      <c r="B2042" s="156"/>
      <c r="C2042" s="3"/>
      <c r="D2042" s="3"/>
      <c r="E2042" s="156"/>
      <c r="F2042" s="3"/>
      <c r="G2042" s="158"/>
      <c r="H2042" s="155"/>
      <c r="I2042" s="155"/>
      <c r="J2042" s="156"/>
      <c r="K2042" s="5"/>
      <c r="L2042" s="3"/>
      <c r="M2042" s="6"/>
      <c r="N2042" s="9"/>
      <c r="O2042" s="158"/>
      <c r="P2042" s="12"/>
      <c r="Q2042" s="12"/>
      <c r="R2042" s="12"/>
      <c r="S2042" s="12"/>
      <c r="T2042" s="12"/>
      <c r="U2042" s="12"/>
      <c r="V2042" s="12"/>
      <c r="W2042" s="12"/>
      <c r="X2042" s="12"/>
      <c r="Y2042" s="12"/>
      <c r="Z2042" s="12"/>
    </row>
    <row r="2043" spans="1:26" ht="14.25" customHeight="1" x14ac:dyDescent="0.3">
      <c r="A2043" s="155"/>
      <c r="B2043" s="156"/>
      <c r="C2043" s="3"/>
      <c r="D2043" s="3"/>
      <c r="E2043" s="156"/>
      <c r="F2043" s="3"/>
      <c r="G2043" s="158"/>
      <c r="H2043" s="155"/>
      <c r="I2043" s="155"/>
      <c r="J2043" s="156"/>
      <c r="K2043" s="5"/>
      <c r="L2043" s="3"/>
      <c r="M2043" s="6"/>
      <c r="N2043" s="9"/>
      <c r="O2043" s="158"/>
      <c r="P2043" s="12"/>
      <c r="Q2043" s="12"/>
      <c r="R2043" s="12"/>
      <c r="S2043" s="12"/>
      <c r="T2043" s="12"/>
      <c r="U2043" s="12"/>
      <c r="V2043" s="12"/>
      <c r="W2043" s="12"/>
      <c r="X2043" s="12"/>
      <c r="Y2043" s="12"/>
      <c r="Z2043" s="12"/>
    </row>
    <row r="2044" spans="1:26" ht="14.25" customHeight="1" x14ac:dyDescent="0.3">
      <c r="A2044" s="155"/>
      <c r="B2044" s="156"/>
      <c r="C2044" s="3"/>
      <c r="D2044" s="3"/>
      <c r="E2044" s="156"/>
      <c r="F2044" s="3"/>
      <c r="G2044" s="158"/>
      <c r="H2044" s="155"/>
      <c r="I2044" s="155"/>
      <c r="J2044" s="156"/>
      <c r="K2044" s="5"/>
      <c r="L2044" s="3"/>
      <c r="M2044" s="6"/>
      <c r="N2044" s="9"/>
      <c r="O2044" s="158"/>
      <c r="P2044" s="12"/>
      <c r="Q2044" s="12"/>
      <c r="R2044" s="12"/>
      <c r="S2044" s="12"/>
      <c r="T2044" s="12"/>
      <c r="U2044" s="12"/>
      <c r="V2044" s="12"/>
      <c r="W2044" s="12"/>
      <c r="X2044" s="12"/>
      <c r="Y2044" s="12"/>
      <c r="Z2044" s="12"/>
    </row>
    <row r="2045" spans="1:26" ht="14.25" customHeight="1" x14ac:dyDescent="0.3">
      <c r="A2045" s="155"/>
      <c r="B2045" s="156"/>
      <c r="C2045" s="3"/>
      <c r="D2045" s="3"/>
      <c r="E2045" s="156"/>
      <c r="F2045" s="3"/>
      <c r="G2045" s="158"/>
      <c r="H2045" s="155"/>
      <c r="I2045" s="155"/>
      <c r="J2045" s="156"/>
      <c r="K2045" s="5"/>
      <c r="L2045" s="3"/>
      <c r="M2045" s="6"/>
      <c r="N2045" s="9"/>
      <c r="O2045" s="158"/>
      <c r="P2045" s="12"/>
      <c r="Q2045" s="12"/>
      <c r="R2045" s="12"/>
      <c r="S2045" s="12"/>
      <c r="T2045" s="12"/>
      <c r="U2045" s="12"/>
      <c r="V2045" s="12"/>
      <c r="W2045" s="12"/>
      <c r="X2045" s="12"/>
      <c r="Y2045" s="12"/>
      <c r="Z2045" s="12"/>
    </row>
    <row r="2046" spans="1:26" ht="14.25" customHeight="1" x14ac:dyDescent="0.3">
      <c r="A2046" s="155"/>
      <c r="B2046" s="156"/>
      <c r="C2046" s="3"/>
      <c r="D2046" s="3"/>
      <c r="E2046" s="156"/>
      <c r="F2046" s="3"/>
      <c r="G2046" s="158"/>
      <c r="H2046" s="155"/>
      <c r="I2046" s="155"/>
      <c r="J2046" s="156"/>
      <c r="K2046" s="5"/>
      <c r="L2046" s="3"/>
      <c r="M2046" s="6"/>
      <c r="N2046" s="9"/>
      <c r="O2046" s="158"/>
      <c r="P2046" s="12"/>
      <c r="Q2046" s="12"/>
      <c r="R2046" s="12"/>
      <c r="S2046" s="12"/>
      <c r="T2046" s="12"/>
      <c r="U2046" s="12"/>
      <c r="V2046" s="12"/>
      <c r="W2046" s="12"/>
      <c r="X2046" s="12"/>
      <c r="Y2046" s="12"/>
      <c r="Z2046" s="12"/>
    </row>
    <row r="2047" spans="1:26" ht="14.25" customHeight="1" x14ac:dyDescent="0.3">
      <c r="A2047" s="155"/>
      <c r="B2047" s="156"/>
      <c r="C2047" s="3"/>
      <c r="D2047" s="3"/>
      <c r="E2047" s="156"/>
      <c r="F2047" s="3"/>
      <c r="G2047" s="158"/>
      <c r="H2047" s="155"/>
      <c r="I2047" s="155"/>
      <c r="J2047" s="156"/>
      <c r="K2047" s="5"/>
      <c r="L2047" s="3"/>
      <c r="M2047" s="6"/>
      <c r="N2047" s="9"/>
      <c r="O2047" s="158"/>
      <c r="P2047" s="12"/>
      <c r="Q2047" s="12"/>
      <c r="R2047" s="12"/>
      <c r="S2047" s="12"/>
      <c r="T2047" s="12"/>
      <c r="U2047" s="12"/>
      <c r="V2047" s="12"/>
      <c r="W2047" s="12"/>
      <c r="X2047" s="12"/>
      <c r="Y2047" s="12"/>
      <c r="Z2047" s="12"/>
    </row>
    <row r="2048" spans="1:26" ht="14.25" customHeight="1" x14ac:dyDescent="0.3">
      <c r="A2048" s="155"/>
      <c r="B2048" s="156"/>
      <c r="C2048" s="3"/>
      <c r="D2048" s="3"/>
      <c r="E2048" s="156"/>
      <c r="F2048" s="3"/>
      <c r="G2048" s="158"/>
      <c r="H2048" s="155"/>
      <c r="I2048" s="155"/>
      <c r="J2048" s="156"/>
      <c r="K2048" s="5"/>
      <c r="L2048" s="3"/>
      <c r="M2048" s="6"/>
      <c r="N2048" s="9"/>
      <c r="O2048" s="158"/>
      <c r="P2048" s="12"/>
      <c r="Q2048" s="12"/>
      <c r="R2048" s="12"/>
      <c r="S2048" s="12"/>
      <c r="T2048" s="12"/>
      <c r="U2048" s="12"/>
      <c r="V2048" s="12"/>
      <c r="W2048" s="12"/>
      <c r="X2048" s="12"/>
      <c r="Y2048" s="12"/>
      <c r="Z2048" s="12"/>
    </row>
    <row r="2049" spans="1:26" ht="14.25" customHeight="1" x14ac:dyDescent="0.3">
      <c r="A2049" s="155"/>
      <c r="B2049" s="156"/>
      <c r="C2049" s="3"/>
      <c r="D2049" s="3"/>
      <c r="E2049" s="156"/>
      <c r="F2049" s="3"/>
      <c r="G2049" s="158"/>
      <c r="H2049" s="155"/>
      <c r="I2049" s="155"/>
      <c r="J2049" s="156"/>
      <c r="K2049" s="5"/>
      <c r="L2049" s="3"/>
      <c r="M2049" s="6"/>
      <c r="N2049" s="9"/>
      <c r="O2049" s="158"/>
      <c r="P2049" s="12"/>
      <c r="Q2049" s="12"/>
      <c r="R2049" s="12"/>
      <c r="S2049" s="12"/>
      <c r="T2049" s="12"/>
      <c r="U2049" s="12"/>
      <c r="V2049" s="12"/>
      <c r="W2049" s="12"/>
      <c r="X2049" s="12"/>
      <c r="Y2049" s="12"/>
      <c r="Z2049" s="12"/>
    </row>
    <row r="2050" spans="1:26" ht="14.25" customHeight="1" x14ac:dyDescent="0.3">
      <c r="A2050" s="155"/>
      <c r="B2050" s="156"/>
      <c r="C2050" s="3"/>
      <c r="D2050" s="3"/>
      <c r="E2050" s="156"/>
      <c r="F2050" s="3"/>
      <c r="G2050" s="158"/>
      <c r="H2050" s="155"/>
      <c r="I2050" s="155"/>
      <c r="J2050" s="156"/>
      <c r="K2050" s="5"/>
      <c r="L2050" s="3"/>
      <c r="M2050" s="6"/>
      <c r="N2050" s="9"/>
      <c r="O2050" s="158"/>
      <c r="P2050" s="12"/>
      <c r="Q2050" s="12"/>
      <c r="R2050" s="12"/>
      <c r="S2050" s="12"/>
      <c r="T2050" s="12"/>
      <c r="U2050" s="12"/>
      <c r="V2050" s="12"/>
      <c r="W2050" s="12"/>
      <c r="X2050" s="12"/>
      <c r="Y2050" s="12"/>
      <c r="Z2050" s="12"/>
    </row>
    <row r="2051" spans="1:26" ht="14.25" customHeight="1" x14ac:dyDescent="0.3">
      <c r="A2051" s="155"/>
      <c r="B2051" s="156"/>
      <c r="C2051" s="3"/>
      <c r="D2051" s="3"/>
      <c r="E2051" s="156"/>
      <c r="F2051" s="3"/>
      <c r="G2051" s="158"/>
      <c r="H2051" s="155"/>
      <c r="I2051" s="155"/>
      <c r="J2051" s="156"/>
      <c r="K2051" s="5"/>
      <c r="L2051" s="3"/>
      <c r="M2051" s="6"/>
      <c r="N2051" s="9"/>
      <c r="O2051" s="158"/>
      <c r="P2051" s="12"/>
      <c r="Q2051" s="12"/>
      <c r="R2051" s="12"/>
      <c r="S2051" s="12"/>
      <c r="T2051" s="12"/>
      <c r="U2051" s="12"/>
      <c r="V2051" s="12"/>
      <c r="W2051" s="12"/>
      <c r="X2051" s="12"/>
      <c r="Y2051" s="12"/>
      <c r="Z2051" s="12"/>
    </row>
    <row r="2052" spans="1:26" ht="14.25" customHeight="1" x14ac:dyDescent="0.3">
      <c r="A2052" s="155"/>
      <c r="B2052" s="156"/>
      <c r="C2052" s="3"/>
      <c r="D2052" s="3"/>
      <c r="E2052" s="156"/>
      <c r="F2052" s="3"/>
      <c r="G2052" s="158"/>
      <c r="H2052" s="155"/>
      <c r="I2052" s="155"/>
      <c r="J2052" s="156"/>
      <c r="K2052" s="5"/>
      <c r="L2052" s="3"/>
      <c r="M2052" s="6"/>
      <c r="N2052" s="9"/>
      <c r="O2052" s="158"/>
      <c r="P2052" s="12"/>
      <c r="Q2052" s="12"/>
      <c r="R2052" s="12"/>
      <c r="S2052" s="12"/>
      <c r="T2052" s="12"/>
      <c r="U2052" s="12"/>
      <c r="V2052" s="12"/>
      <c r="W2052" s="12"/>
      <c r="X2052" s="12"/>
      <c r="Y2052" s="12"/>
      <c r="Z2052" s="12"/>
    </row>
    <row r="2053" spans="1:26" ht="14.25" customHeight="1" x14ac:dyDescent="0.3">
      <c r="A2053" s="155"/>
      <c r="B2053" s="156"/>
      <c r="C2053" s="3"/>
      <c r="D2053" s="3"/>
      <c r="E2053" s="156"/>
      <c r="F2053" s="3"/>
      <c r="G2053" s="158"/>
      <c r="H2053" s="155"/>
      <c r="I2053" s="155"/>
      <c r="J2053" s="156"/>
      <c r="K2053" s="5"/>
      <c r="L2053" s="3"/>
      <c r="M2053" s="6"/>
      <c r="N2053" s="9"/>
      <c r="O2053" s="158"/>
      <c r="P2053" s="12"/>
      <c r="Q2053" s="12"/>
      <c r="R2053" s="12"/>
      <c r="S2053" s="12"/>
      <c r="T2053" s="12"/>
      <c r="U2053" s="12"/>
      <c r="V2053" s="12"/>
      <c r="W2053" s="12"/>
      <c r="X2053" s="12"/>
      <c r="Y2053" s="12"/>
      <c r="Z2053" s="12"/>
    </row>
    <row r="2054" spans="1:26" ht="14.25" customHeight="1" x14ac:dyDescent="0.3">
      <c r="A2054" s="155"/>
      <c r="B2054" s="156"/>
      <c r="C2054" s="3"/>
      <c r="D2054" s="3"/>
      <c r="E2054" s="156"/>
      <c r="F2054" s="3"/>
      <c r="G2054" s="158"/>
      <c r="H2054" s="155"/>
      <c r="I2054" s="155"/>
      <c r="J2054" s="156"/>
      <c r="K2054" s="5"/>
      <c r="L2054" s="3"/>
      <c r="M2054" s="6"/>
      <c r="N2054" s="9"/>
      <c r="O2054" s="158"/>
      <c r="P2054" s="12"/>
      <c r="Q2054" s="12"/>
      <c r="R2054" s="12"/>
      <c r="S2054" s="12"/>
      <c r="T2054" s="12"/>
      <c r="U2054" s="12"/>
      <c r="V2054" s="12"/>
      <c r="W2054" s="12"/>
      <c r="X2054" s="12"/>
      <c r="Y2054" s="12"/>
      <c r="Z2054" s="12"/>
    </row>
    <row r="2055" spans="1:26" ht="14.25" customHeight="1" x14ac:dyDescent="0.3">
      <c r="A2055" s="155"/>
      <c r="B2055" s="156"/>
      <c r="C2055" s="3"/>
      <c r="D2055" s="3"/>
      <c r="E2055" s="156"/>
      <c r="F2055" s="3"/>
      <c r="G2055" s="158"/>
      <c r="H2055" s="155"/>
      <c r="I2055" s="155"/>
      <c r="J2055" s="156"/>
      <c r="K2055" s="5"/>
      <c r="L2055" s="3"/>
      <c r="M2055" s="6"/>
      <c r="N2055" s="9"/>
      <c r="O2055" s="158"/>
      <c r="P2055" s="12"/>
      <c r="Q2055" s="12"/>
      <c r="R2055" s="12"/>
      <c r="S2055" s="12"/>
      <c r="T2055" s="12"/>
      <c r="U2055" s="12"/>
      <c r="V2055" s="12"/>
      <c r="W2055" s="12"/>
      <c r="X2055" s="12"/>
      <c r="Y2055" s="12"/>
      <c r="Z2055" s="12"/>
    </row>
    <row r="2056" spans="1:26" ht="14.25" customHeight="1" x14ac:dyDescent="0.3">
      <c r="A2056" s="155"/>
      <c r="B2056" s="156"/>
      <c r="C2056" s="3"/>
      <c r="D2056" s="3"/>
      <c r="E2056" s="156"/>
      <c r="F2056" s="3"/>
      <c r="G2056" s="158"/>
      <c r="H2056" s="155"/>
      <c r="I2056" s="155"/>
      <c r="J2056" s="156"/>
      <c r="K2056" s="5"/>
      <c r="L2056" s="3"/>
      <c r="M2056" s="6"/>
      <c r="N2056" s="9"/>
      <c r="O2056" s="158"/>
      <c r="P2056" s="12"/>
      <c r="Q2056" s="12"/>
      <c r="R2056" s="12"/>
      <c r="S2056" s="12"/>
      <c r="T2056" s="12"/>
      <c r="U2056" s="12"/>
      <c r="V2056" s="12"/>
      <c r="W2056" s="12"/>
      <c r="X2056" s="12"/>
      <c r="Y2056" s="12"/>
      <c r="Z2056" s="12"/>
    </row>
    <row r="2057" spans="1:26" ht="14.25" customHeight="1" x14ac:dyDescent="0.3">
      <c r="A2057" s="155"/>
      <c r="B2057" s="156"/>
      <c r="C2057" s="3"/>
      <c r="D2057" s="3"/>
      <c r="E2057" s="156"/>
      <c r="F2057" s="3"/>
      <c r="G2057" s="158"/>
      <c r="H2057" s="155"/>
      <c r="I2057" s="155"/>
      <c r="J2057" s="156"/>
      <c r="K2057" s="5"/>
      <c r="L2057" s="3"/>
      <c r="M2057" s="6"/>
      <c r="N2057" s="9"/>
      <c r="O2057" s="158"/>
      <c r="P2057" s="12"/>
      <c r="Q2057" s="12"/>
      <c r="R2057" s="12"/>
      <c r="S2057" s="12"/>
      <c r="T2057" s="12"/>
      <c r="U2057" s="12"/>
      <c r="V2057" s="12"/>
      <c r="W2057" s="12"/>
      <c r="X2057" s="12"/>
      <c r="Y2057" s="12"/>
      <c r="Z2057" s="12"/>
    </row>
    <row r="2058" spans="1:26" ht="14.25" customHeight="1" x14ac:dyDescent="0.3">
      <c r="A2058" s="155"/>
      <c r="B2058" s="156"/>
      <c r="C2058" s="3"/>
      <c r="D2058" s="3"/>
      <c r="E2058" s="156"/>
      <c r="F2058" s="3"/>
      <c r="G2058" s="158"/>
      <c r="H2058" s="155"/>
      <c r="I2058" s="155"/>
      <c r="J2058" s="156"/>
      <c r="K2058" s="5"/>
      <c r="L2058" s="3"/>
      <c r="M2058" s="6"/>
      <c r="N2058" s="9"/>
      <c r="O2058" s="158"/>
      <c r="P2058" s="12"/>
      <c r="Q2058" s="12"/>
      <c r="R2058" s="12"/>
      <c r="S2058" s="12"/>
      <c r="T2058" s="12"/>
      <c r="U2058" s="12"/>
      <c r="V2058" s="12"/>
      <c r="W2058" s="12"/>
      <c r="X2058" s="12"/>
      <c r="Y2058" s="12"/>
      <c r="Z2058" s="12"/>
    </row>
    <row r="2059" spans="1:26" ht="14.25" customHeight="1" x14ac:dyDescent="0.3">
      <c r="A2059" s="155"/>
      <c r="B2059" s="156"/>
      <c r="C2059" s="3"/>
      <c r="D2059" s="3"/>
      <c r="E2059" s="156"/>
      <c r="F2059" s="3"/>
      <c r="G2059" s="158"/>
      <c r="H2059" s="155"/>
      <c r="I2059" s="155"/>
      <c r="J2059" s="156"/>
      <c r="K2059" s="5"/>
      <c r="L2059" s="3"/>
      <c r="M2059" s="6"/>
      <c r="N2059" s="9"/>
      <c r="O2059" s="158"/>
      <c r="P2059" s="12"/>
      <c r="Q2059" s="12"/>
      <c r="R2059" s="12"/>
      <c r="S2059" s="12"/>
      <c r="T2059" s="12"/>
      <c r="U2059" s="12"/>
      <c r="V2059" s="12"/>
      <c r="W2059" s="12"/>
      <c r="X2059" s="12"/>
      <c r="Y2059" s="12"/>
      <c r="Z2059" s="12"/>
    </row>
    <row r="2060" spans="1:26" ht="14.25" customHeight="1" x14ac:dyDescent="0.3">
      <c r="A2060" s="155"/>
      <c r="B2060" s="156"/>
      <c r="C2060" s="3"/>
      <c r="D2060" s="3"/>
      <c r="E2060" s="156"/>
      <c r="F2060" s="3"/>
      <c r="G2060" s="158"/>
      <c r="H2060" s="155"/>
      <c r="I2060" s="155"/>
      <c r="J2060" s="156"/>
      <c r="K2060" s="5"/>
      <c r="L2060" s="3"/>
      <c r="M2060" s="6"/>
      <c r="N2060" s="9"/>
      <c r="O2060" s="158"/>
      <c r="P2060" s="12"/>
      <c r="Q2060" s="12"/>
      <c r="R2060" s="12"/>
      <c r="S2060" s="12"/>
      <c r="T2060" s="12"/>
      <c r="U2060" s="12"/>
      <c r="V2060" s="12"/>
      <c r="W2060" s="12"/>
      <c r="X2060" s="12"/>
      <c r="Y2060" s="12"/>
      <c r="Z2060" s="12"/>
    </row>
    <row r="2061" spans="1:26" ht="14.25" customHeight="1" x14ac:dyDescent="0.3">
      <c r="A2061" s="155"/>
      <c r="B2061" s="156"/>
      <c r="C2061" s="3"/>
      <c r="D2061" s="3"/>
      <c r="E2061" s="156"/>
      <c r="F2061" s="3"/>
      <c r="G2061" s="158"/>
      <c r="H2061" s="155"/>
      <c r="I2061" s="155"/>
      <c r="J2061" s="156"/>
      <c r="K2061" s="5"/>
      <c r="L2061" s="3"/>
      <c r="M2061" s="6"/>
      <c r="N2061" s="9"/>
      <c r="O2061" s="158"/>
      <c r="P2061" s="12"/>
      <c r="Q2061" s="12"/>
      <c r="R2061" s="12"/>
      <c r="S2061" s="12"/>
      <c r="T2061" s="12"/>
      <c r="U2061" s="12"/>
      <c r="V2061" s="12"/>
      <c r="W2061" s="12"/>
      <c r="X2061" s="12"/>
      <c r="Y2061" s="12"/>
      <c r="Z2061" s="12"/>
    </row>
    <row r="2062" spans="1:26" ht="14.25" customHeight="1" x14ac:dyDescent="0.3">
      <c r="A2062" s="155"/>
      <c r="B2062" s="156"/>
      <c r="C2062" s="3"/>
      <c r="D2062" s="3"/>
      <c r="E2062" s="156"/>
      <c r="F2062" s="3"/>
      <c r="G2062" s="158"/>
      <c r="H2062" s="155"/>
      <c r="I2062" s="155"/>
      <c r="J2062" s="156"/>
      <c r="K2062" s="5"/>
      <c r="L2062" s="3"/>
      <c r="M2062" s="6"/>
      <c r="N2062" s="9"/>
      <c r="O2062" s="158"/>
      <c r="P2062" s="12"/>
      <c r="Q2062" s="12"/>
      <c r="R2062" s="12"/>
      <c r="S2062" s="12"/>
      <c r="T2062" s="12"/>
      <c r="U2062" s="12"/>
      <c r="V2062" s="12"/>
      <c r="W2062" s="12"/>
      <c r="X2062" s="12"/>
      <c r="Y2062" s="12"/>
      <c r="Z2062" s="12"/>
    </row>
    <row r="2063" spans="1:26" ht="14.25" customHeight="1" x14ac:dyDescent="0.3">
      <c r="A2063" s="155"/>
      <c r="B2063" s="156"/>
      <c r="C2063" s="3"/>
      <c r="D2063" s="3"/>
      <c r="E2063" s="156"/>
      <c r="F2063" s="3"/>
      <c r="G2063" s="158"/>
      <c r="H2063" s="155"/>
      <c r="I2063" s="155"/>
      <c r="J2063" s="156"/>
      <c r="K2063" s="5"/>
      <c r="L2063" s="3"/>
      <c r="M2063" s="6"/>
      <c r="N2063" s="9"/>
      <c r="O2063" s="158"/>
      <c r="P2063" s="12"/>
      <c r="Q2063" s="12"/>
      <c r="R2063" s="12"/>
      <c r="S2063" s="12"/>
      <c r="T2063" s="12"/>
      <c r="U2063" s="12"/>
      <c r="V2063" s="12"/>
      <c r="W2063" s="12"/>
      <c r="X2063" s="12"/>
      <c r="Y2063" s="12"/>
      <c r="Z2063" s="12"/>
    </row>
    <row r="2064" spans="1:26" ht="14.25" customHeight="1" x14ac:dyDescent="0.3">
      <c r="A2064" s="155"/>
      <c r="B2064" s="156"/>
      <c r="C2064" s="3"/>
      <c r="D2064" s="3"/>
      <c r="E2064" s="156"/>
      <c r="F2064" s="3"/>
      <c r="G2064" s="158"/>
      <c r="H2064" s="155"/>
      <c r="I2064" s="155"/>
      <c r="J2064" s="156"/>
      <c r="K2064" s="5"/>
      <c r="L2064" s="3"/>
      <c r="M2064" s="6"/>
      <c r="N2064" s="9"/>
      <c r="O2064" s="158"/>
      <c r="P2064" s="12"/>
      <c r="Q2064" s="12"/>
      <c r="R2064" s="12"/>
      <c r="S2064" s="12"/>
      <c r="T2064" s="12"/>
      <c r="U2064" s="12"/>
      <c r="V2064" s="12"/>
      <c r="W2064" s="12"/>
      <c r="X2064" s="12"/>
      <c r="Y2064" s="12"/>
      <c r="Z2064" s="12"/>
    </row>
    <row r="2065" spans="1:26" ht="14.25" customHeight="1" x14ac:dyDescent="0.3">
      <c r="A2065" s="155"/>
      <c r="B2065" s="156"/>
      <c r="C2065" s="3"/>
      <c r="D2065" s="3"/>
      <c r="E2065" s="156"/>
      <c r="F2065" s="3"/>
      <c r="G2065" s="158"/>
      <c r="H2065" s="155"/>
      <c r="I2065" s="155"/>
      <c r="J2065" s="156"/>
      <c r="K2065" s="5"/>
      <c r="L2065" s="3"/>
      <c r="M2065" s="6"/>
      <c r="N2065" s="9"/>
      <c r="O2065" s="158"/>
      <c r="P2065" s="12"/>
      <c r="Q2065" s="12"/>
      <c r="R2065" s="12"/>
      <c r="S2065" s="12"/>
      <c r="T2065" s="12"/>
      <c r="U2065" s="12"/>
      <c r="V2065" s="12"/>
      <c r="W2065" s="12"/>
      <c r="X2065" s="12"/>
      <c r="Y2065" s="12"/>
      <c r="Z2065" s="12"/>
    </row>
    <row r="2066" spans="1:26" ht="14.25" customHeight="1" x14ac:dyDescent="0.3">
      <c r="A2066" s="155"/>
      <c r="B2066" s="156"/>
      <c r="C2066" s="3"/>
      <c r="D2066" s="3"/>
      <c r="E2066" s="156"/>
      <c r="F2066" s="3"/>
      <c r="G2066" s="158"/>
      <c r="H2066" s="155"/>
      <c r="I2066" s="155"/>
      <c r="J2066" s="156"/>
      <c r="K2066" s="5"/>
      <c r="L2066" s="3"/>
      <c r="M2066" s="6"/>
      <c r="N2066" s="9"/>
      <c r="O2066" s="158"/>
      <c r="P2066" s="12"/>
      <c r="Q2066" s="12"/>
      <c r="R2066" s="12"/>
      <c r="S2066" s="12"/>
      <c r="T2066" s="12"/>
      <c r="U2066" s="12"/>
      <c r="V2066" s="12"/>
      <c r="W2066" s="12"/>
      <c r="X2066" s="12"/>
      <c r="Y2066" s="12"/>
      <c r="Z2066" s="12"/>
    </row>
    <row r="2067" spans="1:26" ht="14.25" customHeight="1" x14ac:dyDescent="0.3">
      <c r="A2067" s="155"/>
      <c r="B2067" s="156"/>
      <c r="C2067" s="3"/>
      <c r="D2067" s="3"/>
      <c r="E2067" s="156"/>
      <c r="F2067" s="3"/>
      <c r="G2067" s="158"/>
      <c r="H2067" s="155"/>
      <c r="I2067" s="155"/>
      <c r="J2067" s="156"/>
      <c r="K2067" s="5"/>
      <c r="L2067" s="3"/>
      <c r="M2067" s="6"/>
      <c r="N2067" s="9"/>
      <c r="O2067" s="158"/>
      <c r="P2067" s="12"/>
      <c r="Q2067" s="12"/>
      <c r="R2067" s="12"/>
      <c r="S2067" s="12"/>
      <c r="T2067" s="12"/>
      <c r="U2067" s="12"/>
      <c r="V2067" s="12"/>
      <c r="W2067" s="12"/>
      <c r="X2067" s="12"/>
      <c r="Y2067" s="12"/>
      <c r="Z2067" s="12"/>
    </row>
    <row r="2068" spans="1:26" ht="14.25" customHeight="1" x14ac:dyDescent="0.3">
      <c r="A2068" s="155"/>
      <c r="B2068" s="156"/>
      <c r="C2068" s="3"/>
      <c r="D2068" s="3"/>
      <c r="E2068" s="156"/>
      <c r="F2068" s="3"/>
      <c r="G2068" s="158"/>
      <c r="H2068" s="155"/>
      <c r="I2068" s="155"/>
      <c r="J2068" s="156"/>
      <c r="K2068" s="5"/>
      <c r="L2068" s="3"/>
      <c r="M2068" s="6"/>
      <c r="N2068" s="9"/>
      <c r="O2068" s="158"/>
      <c r="P2068" s="12"/>
      <c r="Q2068" s="12"/>
      <c r="R2068" s="12"/>
      <c r="S2068" s="12"/>
      <c r="T2068" s="12"/>
      <c r="U2068" s="12"/>
      <c r="V2068" s="12"/>
      <c r="W2068" s="12"/>
      <c r="X2068" s="12"/>
      <c r="Y2068" s="12"/>
      <c r="Z2068" s="12"/>
    </row>
    <row r="2069" spans="1:26" ht="14.25" customHeight="1" x14ac:dyDescent="0.3">
      <c r="A2069" s="155"/>
      <c r="B2069" s="156"/>
      <c r="C2069" s="3"/>
      <c r="D2069" s="3"/>
      <c r="E2069" s="156"/>
      <c r="F2069" s="3"/>
      <c r="G2069" s="158"/>
      <c r="H2069" s="155"/>
      <c r="I2069" s="155"/>
      <c r="J2069" s="156"/>
      <c r="K2069" s="5"/>
      <c r="L2069" s="3"/>
      <c r="M2069" s="6"/>
      <c r="N2069" s="9"/>
      <c r="O2069" s="158"/>
      <c r="P2069" s="12"/>
      <c r="Q2069" s="12"/>
      <c r="R2069" s="12"/>
      <c r="S2069" s="12"/>
      <c r="T2069" s="12"/>
      <c r="U2069" s="12"/>
      <c r="V2069" s="12"/>
      <c r="W2069" s="12"/>
      <c r="X2069" s="12"/>
      <c r="Y2069" s="12"/>
      <c r="Z2069" s="12"/>
    </row>
    <row r="2070" spans="1:26" ht="14.25" customHeight="1" x14ac:dyDescent="0.3">
      <c r="A2070" s="155"/>
      <c r="B2070" s="156"/>
      <c r="C2070" s="3"/>
      <c r="D2070" s="3"/>
      <c r="E2070" s="156"/>
      <c r="F2070" s="3"/>
      <c r="G2070" s="158"/>
      <c r="H2070" s="155"/>
      <c r="I2070" s="155"/>
      <c r="J2070" s="156"/>
      <c r="K2070" s="5"/>
      <c r="L2070" s="3"/>
      <c r="M2070" s="6"/>
      <c r="N2070" s="9"/>
      <c r="O2070" s="158"/>
      <c r="P2070" s="12"/>
      <c r="Q2070" s="12"/>
      <c r="R2070" s="12"/>
      <c r="S2070" s="12"/>
      <c r="T2070" s="12"/>
      <c r="U2070" s="12"/>
      <c r="V2070" s="12"/>
      <c r="W2070" s="12"/>
      <c r="X2070" s="12"/>
      <c r="Y2070" s="12"/>
      <c r="Z2070" s="12"/>
    </row>
    <row r="2071" spans="1:26" ht="14.25" customHeight="1" x14ac:dyDescent="0.3">
      <c r="A2071" s="155"/>
      <c r="B2071" s="156"/>
      <c r="C2071" s="3"/>
      <c r="D2071" s="3"/>
      <c r="E2071" s="156"/>
      <c r="F2071" s="3"/>
      <c r="G2071" s="158"/>
      <c r="H2071" s="155"/>
      <c r="I2071" s="155"/>
      <c r="J2071" s="156"/>
      <c r="K2071" s="5"/>
      <c r="L2071" s="3"/>
      <c r="M2071" s="6"/>
      <c r="N2071" s="9"/>
      <c r="O2071" s="158"/>
      <c r="P2071" s="12"/>
      <c r="Q2071" s="12"/>
      <c r="R2071" s="12"/>
      <c r="S2071" s="12"/>
      <c r="T2071" s="12"/>
      <c r="U2071" s="12"/>
      <c r="V2071" s="12"/>
      <c r="W2071" s="12"/>
      <c r="X2071" s="12"/>
      <c r="Y2071" s="12"/>
      <c r="Z2071" s="12"/>
    </row>
    <row r="2072" spans="1:26" ht="14.25" customHeight="1" x14ac:dyDescent="0.3">
      <c r="A2072" s="155"/>
      <c r="B2072" s="156"/>
      <c r="C2072" s="3"/>
      <c r="D2072" s="3"/>
      <c r="E2072" s="156"/>
      <c r="F2072" s="3"/>
      <c r="G2072" s="158"/>
      <c r="H2072" s="155"/>
      <c r="I2072" s="155"/>
      <c r="J2072" s="156"/>
      <c r="K2072" s="5"/>
      <c r="L2072" s="3"/>
      <c r="M2072" s="6"/>
      <c r="N2072" s="9"/>
      <c r="O2072" s="158"/>
      <c r="P2072" s="12"/>
      <c r="Q2072" s="12"/>
      <c r="R2072" s="12"/>
      <c r="S2072" s="12"/>
      <c r="T2072" s="12"/>
      <c r="U2072" s="12"/>
      <c r="V2072" s="12"/>
      <c r="W2072" s="12"/>
      <c r="X2072" s="12"/>
      <c r="Y2072" s="12"/>
      <c r="Z2072" s="12"/>
    </row>
    <row r="2073" spans="1:26" ht="14.25" customHeight="1" x14ac:dyDescent="0.3">
      <c r="A2073" s="155"/>
      <c r="B2073" s="156"/>
      <c r="C2073" s="3"/>
      <c r="D2073" s="3"/>
      <c r="E2073" s="156"/>
      <c r="F2073" s="3"/>
      <c r="G2073" s="158"/>
      <c r="H2073" s="155"/>
      <c r="I2073" s="155"/>
      <c r="J2073" s="156"/>
      <c r="K2073" s="5"/>
      <c r="L2073" s="3"/>
      <c r="M2073" s="6"/>
      <c r="N2073" s="9"/>
      <c r="O2073" s="158"/>
      <c r="P2073" s="12"/>
      <c r="Q2073" s="12"/>
      <c r="R2073" s="12"/>
      <c r="S2073" s="12"/>
      <c r="T2073" s="12"/>
      <c r="U2073" s="12"/>
      <c r="V2073" s="12"/>
      <c r="W2073" s="12"/>
      <c r="X2073" s="12"/>
      <c r="Y2073" s="12"/>
      <c r="Z2073" s="12"/>
    </row>
    <row r="2074" spans="1:26" ht="14.25" customHeight="1" x14ac:dyDescent="0.3">
      <c r="A2074" s="155"/>
      <c r="B2074" s="156"/>
      <c r="C2074" s="3"/>
      <c r="D2074" s="3"/>
      <c r="E2074" s="156"/>
      <c r="F2074" s="3"/>
      <c r="G2074" s="158"/>
      <c r="H2074" s="155"/>
      <c r="I2074" s="155"/>
      <c r="J2074" s="156"/>
      <c r="K2074" s="5"/>
      <c r="L2074" s="3"/>
      <c r="M2074" s="6"/>
      <c r="N2074" s="9"/>
      <c r="O2074" s="158"/>
      <c r="P2074" s="12"/>
      <c r="Q2074" s="12"/>
      <c r="R2074" s="12"/>
      <c r="S2074" s="12"/>
      <c r="T2074" s="12"/>
      <c r="U2074" s="12"/>
      <c r="V2074" s="12"/>
      <c r="W2074" s="12"/>
      <c r="X2074" s="12"/>
      <c r="Y2074" s="12"/>
      <c r="Z2074" s="12"/>
    </row>
    <row r="2075" spans="1:26" ht="14.25" customHeight="1" x14ac:dyDescent="0.3">
      <c r="A2075" s="155"/>
      <c r="B2075" s="156"/>
      <c r="C2075" s="3"/>
      <c r="D2075" s="3"/>
      <c r="E2075" s="156"/>
      <c r="F2075" s="3"/>
      <c r="G2075" s="158"/>
      <c r="H2075" s="155"/>
      <c r="I2075" s="155"/>
      <c r="J2075" s="156"/>
      <c r="K2075" s="5"/>
      <c r="L2075" s="3"/>
      <c r="M2075" s="6"/>
      <c r="N2075" s="9"/>
      <c r="O2075" s="158"/>
      <c r="P2075" s="12"/>
      <c r="Q2075" s="12"/>
      <c r="R2075" s="12"/>
      <c r="S2075" s="12"/>
      <c r="T2075" s="12"/>
      <c r="U2075" s="12"/>
      <c r="V2075" s="12"/>
      <c r="W2075" s="12"/>
      <c r="X2075" s="12"/>
      <c r="Y2075" s="12"/>
      <c r="Z2075" s="12"/>
    </row>
    <row r="2076" spans="1:26" ht="14.25" customHeight="1" x14ac:dyDescent="0.3">
      <c r="A2076" s="155"/>
      <c r="B2076" s="156"/>
      <c r="C2076" s="3"/>
      <c r="D2076" s="3"/>
      <c r="E2076" s="156"/>
      <c r="F2076" s="3"/>
      <c r="G2076" s="158"/>
      <c r="H2076" s="155"/>
      <c r="I2076" s="155"/>
      <c r="J2076" s="156"/>
      <c r="K2076" s="5"/>
      <c r="L2076" s="3"/>
      <c r="M2076" s="6"/>
      <c r="N2076" s="9"/>
      <c r="O2076" s="158"/>
      <c r="P2076" s="12"/>
      <c r="Q2076" s="12"/>
      <c r="R2076" s="12"/>
      <c r="S2076" s="12"/>
      <c r="T2076" s="12"/>
      <c r="U2076" s="12"/>
      <c r="V2076" s="12"/>
      <c r="W2076" s="12"/>
      <c r="X2076" s="12"/>
      <c r="Y2076" s="12"/>
      <c r="Z2076" s="12"/>
    </row>
    <row r="2077" spans="1:26" ht="14.25" customHeight="1" x14ac:dyDescent="0.3">
      <c r="A2077" s="155"/>
      <c r="B2077" s="156"/>
      <c r="C2077" s="3"/>
      <c r="D2077" s="3"/>
      <c r="E2077" s="156"/>
      <c r="F2077" s="3"/>
      <c r="G2077" s="158"/>
      <c r="H2077" s="155"/>
      <c r="I2077" s="155"/>
      <c r="J2077" s="156"/>
      <c r="K2077" s="5"/>
      <c r="L2077" s="3"/>
      <c r="M2077" s="6"/>
      <c r="N2077" s="9"/>
      <c r="O2077" s="158"/>
      <c r="P2077" s="12"/>
      <c r="Q2077" s="12"/>
      <c r="R2077" s="12"/>
      <c r="S2077" s="12"/>
      <c r="T2077" s="12"/>
      <c r="U2077" s="12"/>
      <c r="V2077" s="12"/>
      <c r="W2077" s="12"/>
      <c r="X2077" s="12"/>
      <c r="Y2077" s="12"/>
      <c r="Z2077" s="12"/>
    </row>
    <row r="2078" spans="1:26" ht="14.25" customHeight="1" x14ac:dyDescent="0.3">
      <c r="A2078" s="155"/>
      <c r="B2078" s="156"/>
      <c r="C2078" s="3"/>
      <c r="D2078" s="3"/>
      <c r="E2078" s="156"/>
      <c r="F2078" s="3"/>
      <c r="G2078" s="158"/>
      <c r="H2078" s="155"/>
      <c r="I2078" s="155"/>
      <c r="J2078" s="156"/>
      <c r="K2078" s="5"/>
      <c r="L2078" s="3"/>
      <c r="M2078" s="6"/>
      <c r="N2078" s="9"/>
      <c r="O2078" s="158"/>
      <c r="P2078" s="12"/>
      <c r="Q2078" s="12"/>
      <c r="R2078" s="12"/>
      <c r="S2078" s="12"/>
      <c r="T2078" s="12"/>
      <c r="U2078" s="12"/>
      <c r="V2078" s="12"/>
      <c r="W2078" s="12"/>
      <c r="X2078" s="12"/>
      <c r="Y2078" s="12"/>
      <c r="Z2078" s="12"/>
    </row>
    <row r="2079" spans="1:26" ht="14.25" customHeight="1" x14ac:dyDescent="0.3">
      <c r="A2079" s="155"/>
      <c r="B2079" s="156"/>
      <c r="C2079" s="3"/>
      <c r="D2079" s="3"/>
      <c r="E2079" s="156"/>
      <c r="F2079" s="3"/>
      <c r="G2079" s="158"/>
      <c r="H2079" s="155"/>
      <c r="I2079" s="155"/>
      <c r="J2079" s="156"/>
      <c r="K2079" s="5"/>
      <c r="L2079" s="3"/>
      <c r="M2079" s="6"/>
      <c r="N2079" s="9"/>
      <c r="O2079" s="158"/>
      <c r="P2079" s="12"/>
      <c r="Q2079" s="12"/>
      <c r="R2079" s="12"/>
      <c r="S2079" s="12"/>
      <c r="T2079" s="12"/>
      <c r="U2079" s="12"/>
      <c r="V2079" s="12"/>
      <c r="W2079" s="12"/>
      <c r="X2079" s="12"/>
      <c r="Y2079" s="12"/>
      <c r="Z2079" s="12"/>
    </row>
    <row r="2080" spans="1:26" ht="14.25" customHeight="1" x14ac:dyDescent="0.3">
      <c r="A2080" s="155"/>
      <c r="B2080" s="156"/>
      <c r="C2080" s="3"/>
      <c r="D2080" s="3"/>
      <c r="E2080" s="156"/>
      <c r="F2080" s="3"/>
      <c r="G2080" s="158"/>
      <c r="H2080" s="155"/>
      <c r="I2080" s="155"/>
      <c r="J2080" s="156"/>
      <c r="K2080" s="5"/>
      <c r="L2080" s="3"/>
      <c r="M2080" s="6"/>
      <c r="N2080" s="9"/>
      <c r="O2080" s="158"/>
      <c r="P2080" s="12"/>
      <c r="Q2080" s="12"/>
      <c r="R2080" s="12"/>
      <c r="S2080" s="12"/>
      <c r="T2080" s="12"/>
      <c r="U2080" s="12"/>
      <c r="V2080" s="12"/>
      <c r="W2080" s="12"/>
      <c r="X2080" s="12"/>
      <c r="Y2080" s="12"/>
      <c r="Z2080" s="12"/>
    </row>
    <row r="2081" spans="1:26" ht="14.25" customHeight="1" x14ac:dyDescent="0.3">
      <c r="A2081" s="155"/>
      <c r="B2081" s="156"/>
      <c r="C2081" s="3"/>
      <c r="D2081" s="3"/>
      <c r="E2081" s="156"/>
      <c r="F2081" s="3"/>
      <c r="G2081" s="158"/>
      <c r="H2081" s="155"/>
      <c r="I2081" s="155"/>
      <c r="J2081" s="156"/>
      <c r="K2081" s="5"/>
      <c r="L2081" s="3"/>
      <c r="M2081" s="6"/>
      <c r="N2081" s="9"/>
      <c r="O2081" s="158"/>
      <c r="P2081" s="12"/>
      <c r="Q2081" s="12"/>
      <c r="R2081" s="12"/>
      <c r="S2081" s="12"/>
      <c r="T2081" s="12"/>
      <c r="U2081" s="12"/>
      <c r="V2081" s="12"/>
      <c r="W2081" s="12"/>
      <c r="X2081" s="12"/>
      <c r="Y2081" s="12"/>
      <c r="Z2081" s="12"/>
    </row>
    <row r="2082" spans="1:26" ht="14.25" customHeight="1" x14ac:dyDescent="0.3">
      <c r="A2082" s="155"/>
      <c r="B2082" s="156"/>
      <c r="C2082" s="3"/>
      <c r="D2082" s="3"/>
      <c r="E2082" s="156"/>
      <c r="F2082" s="3"/>
      <c r="G2082" s="158"/>
      <c r="H2082" s="155"/>
      <c r="I2082" s="155"/>
      <c r="J2082" s="156"/>
      <c r="K2082" s="5"/>
      <c r="L2082" s="3"/>
      <c r="M2082" s="6"/>
      <c r="N2082" s="9"/>
      <c r="O2082" s="158"/>
      <c r="P2082" s="12"/>
      <c r="Q2082" s="12"/>
      <c r="R2082" s="12"/>
      <c r="S2082" s="12"/>
      <c r="T2082" s="12"/>
      <c r="U2082" s="12"/>
      <c r="V2082" s="12"/>
      <c r="W2082" s="12"/>
      <c r="X2082" s="12"/>
      <c r="Y2082" s="12"/>
      <c r="Z2082" s="12"/>
    </row>
    <row r="2083" spans="1:26" ht="14.25" customHeight="1" x14ac:dyDescent="0.3">
      <c r="A2083" s="155"/>
      <c r="B2083" s="156"/>
      <c r="C2083" s="3"/>
      <c r="D2083" s="3"/>
      <c r="E2083" s="156"/>
      <c r="F2083" s="3"/>
      <c r="G2083" s="158"/>
      <c r="H2083" s="155"/>
      <c r="I2083" s="155"/>
      <c r="J2083" s="156"/>
      <c r="K2083" s="5"/>
      <c r="L2083" s="3"/>
      <c r="M2083" s="6"/>
      <c r="N2083" s="9"/>
      <c r="O2083" s="158"/>
      <c r="P2083" s="12"/>
      <c r="Q2083" s="12"/>
      <c r="R2083" s="12"/>
      <c r="S2083" s="12"/>
      <c r="T2083" s="12"/>
      <c r="U2083" s="12"/>
      <c r="V2083" s="12"/>
      <c r="W2083" s="12"/>
      <c r="X2083" s="12"/>
      <c r="Y2083" s="12"/>
      <c r="Z2083" s="12"/>
    </row>
    <row r="2084" spans="1:26" ht="14.25" customHeight="1" x14ac:dyDescent="0.3">
      <c r="A2084" s="155"/>
      <c r="B2084" s="156"/>
      <c r="C2084" s="3"/>
      <c r="D2084" s="3"/>
      <c r="E2084" s="156"/>
      <c r="F2084" s="3"/>
      <c r="G2084" s="158"/>
      <c r="H2084" s="155"/>
      <c r="I2084" s="155"/>
      <c r="J2084" s="156"/>
      <c r="K2084" s="5"/>
      <c r="L2084" s="3"/>
      <c r="M2084" s="6"/>
      <c r="N2084" s="9"/>
      <c r="O2084" s="158"/>
      <c r="P2084" s="12"/>
      <c r="Q2084" s="12"/>
      <c r="R2084" s="12"/>
      <c r="S2084" s="12"/>
      <c r="T2084" s="12"/>
      <c r="U2084" s="12"/>
      <c r="V2084" s="12"/>
      <c r="W2084" s="12"/>
      <c r="X2084" s="12"/>
      <c r="Y2084" s="12"/>
      <c r="Z2084" s="12"/>
    </row>
    <row r="2085" spans="1:26" ht="14.25" customHeight="1" x14ac:dyDescent="0.3">
      <c r="A2085" s="155"/>
      <c r="B2085" s="156"/>
      <c r="C2085" s="3"/>
      <c r="D2085" s="3"/>
      <c r="E2085" s="156"/>
      <c r="F2085" s="3"/>
      <c r="G2085" s="158"/>
      <c r="H2085" s="155"/>
      <c r="I2085" s="155"/>
      <c r="J2085" s="156"/>
      <c r="K2085" s="5"/>
      <c r="L2085" s="3"/>
      <c r="M2085" s="6"/>
      <c r="N2085" s="9"/>
      <c r="O2085" s="158"/>
      <c r="P2085" s="12"/>
      <c r="Q2085" s="12"/>
      <c r="R2085" s="12"/>
      <c r="S2085" s="12"/>
      <c r="T2085" s="12"/>
      <c r="U2085" s="12"/>
      <c r="V2085" s="12"/>
      <c r="W2085" s="12"/>
      <c r="X2085" s="12"/>
      <c r="Y2085" s="12"/>
      <c r="Z2085" s="12"/>
    </row>
    <row r="2086" spans="1:26" ht="14.25" customHeight="1" x14ac:dyDescent="0.3">
      <c r="A2086" s="155"/>
      <c r="B2086" s="156"/>
      <c r="C2086" s="3"/>
      <c r="D2086" s="3"/>
      <c r="E2086" s="156"/>
      <c r="F2086" s="3"/>
      <c r="G2086" s="158"/>
      <c r="H2086" s="155"/>
      <c r="I2086" s="155"/>
      <c r="J2086" s="156"/>
      <c r="K2086" s="5"/>
      <c r="L2086" s="3"/>
      <c r="M2086" s="6"/>
      <c r="N2086" s="9"/>
      <c r="O2086" s="158"/>
      <c r="P2086" s="12"/>
      <c r="Q2086" s="12"/>
      <c r="R2086" s="12"/>
      <c r="S2086" s="12"/>
      <c r="T2086" s="12"/>
      <c r="U2086" s="12"/>
      <c r="V2086" s="12"/>
      <c r="W2086" s="12"/>
      <c r="X2086" s="12"/>
      <c r="Y2086" s="12"/>
      <c r="Z2086" s="12"/>
    </row>
    <row r="2087" spans="1:26" ht="14.25" customHeight="1" x14ac:dyDescent="0.3">
      <c r="A2087" s="155"/>
      <c r="B2087" s="156"/>
      <c r="C2087" s="3"/>
      <c r="D2087" s="3"/>
      <c r="E2087" s="156"/>
      <c r="F2087" s="3"/>
      <c r="G2087" s="158"/>
      <c r="H2087" s="155"/>
      <c r="I2087" s="155"/>
      <c r="J2087" s="156"/>
      <c r="K2087" s="5"/>
      <c r="L2087" s="3"/>
      <c r="M2087" s="6"/>
      <c r="N2087" s="9"/>
      <c r="O2087" s="158"/>
      <c r="P2087" s="12"/>
      <c r="Q2087" s="12"/>
      <c r="R2087" s="12"/>
      <c r="S2087" s="12"/>
      <c r="T2087" s="12"/>
      <c r="U2087" s="12"/>
      <c r="V2087" s="12"/>
      <c r="W2087" s="12"/>
      <c r="X2087" s="12"/>
      <c r="Y2087" s="12"/>
      <c r="Z2087" s="12"/>
    </row>
    <row r="2088" spans="1:26" ht="14.25" customHeight="1" x14ac:dyDescent="0.3">
      <c r="A2088" s="155"/>
      <c r="B2088" s="156"/>
      <c r="C2088" s="3"/>
      <c r="D2088" s="3"/>
      <c r="E2088" s="156"/>
      <c r="F2088" s="3"/>
      <c r="G2088" s="158"/>
      <c r="H2088" s="155"/>
      <c r="I2088" s="155"/>
      <c r="J2088" s="156"/>
      <c r="K2088" s="5"/>
      <c r="L2088" s="3"/>
      <c r="M2088" s="6"/>
      <c r="N2088" s="9"/>
      <c r="O2088" s="158"/>
      <c r="P2088" s="12"/>
      <c r="Q2088" s="12"/>
      <c r="R2088" s="12"/>
      <c r="S2088" s="12"/>
      <c r="T2088" s="12"/>
      <c r="U2088" s="12"/>
      <c r="V2088" s="12"/>
      <c r="W2088" s="12"/>
      <c r="X2088" s="12"/>
      <c r="Y2088" s="12"/>
      <c r="Z2088" s="12"/>
    </row>
    <row r="2089" spans="1:26" ht="14.25" customHeight="1" x14ac:dyDescent="0.3">
      <c r="A2089" s="155"/>
      <c r="B2089" s="156"/>
      <c r="C2089" s="3"/>
      <c r="D2089" s="3"/>
      <c r="E2089" s="156"/>
      <c r="F2089" s="3"/>
      <c r="G2089" s="158"/>
      <c r="H2089" s="155"/>
      <c r="I2089" s="155"/>
      <c r="J2089" s="156"/>
      <c r="K2089" s="5"/>
      <c r="L2089" s="3"/>
      <c r="M2089" s="6"/>
      <c r="N2089" s="9"/>
      <c r="O2089" s="158"/>
      <c r="P2089" s="12"/>
      <c r="Q2089" s="12"/>
      <c r="R2089" s="12"/>
      <c r="S2089" s="12"/>
      <c r="T2089" s="12"/>
      <c r="U2089" s="12"/>
      <c r="V2089" s="12"/>
      <c r="W2089" s="12"/>
      <c r="X2089" s="12"/>
      <c r="Y2089" s="12"/>
      <c r="Z2089" s="12"/>
    </row>
    <row r="2090" spans="1:26" ht="14.25" customHeight="1" x14ac:dyDescent="0.3">
      <c r="A2090" s="155"/>
      <c r="B2090" s="156"/>
      <c r="C2090" s="3"/>
      <c r="D2090" s="3"/>
      <c r="E2090" s="156"/>
      <c r="F2090" s="3"/>
      <c r="G2090" s="158"/>
      <c r="H2090" s="155"/>
      <c r="I2090" s="155"/>
      <c r="J2090" s="156"/>
      <c r="K2090" s="5"/>
      <c r="L2090" s="3"/>
      <c r="M2090" s="6"/>
      <c r="N2090" s="9"/>
      <c r="O2090" s="158"/>
      <c r="P2090" s="12"/>
      <c r="Q2090" s="12"/>
      <c r="R2090" s="12"/>
      <c r="S2090" s="12"/>
      <c r="T2090" s="12"/>
      <c r="U2090" s="12"/>
      <c r="V2090" s="12"/>
      <c r="W2090" s="12"/>
      <c r="X2090" s="12"/>
      <c r="Y2090" s="12"/>
      <c r="Z2090" s="12"/>
    </row>
    <row r="2091" spans="1:26" ht="14.25" customHeight="1" x14ac:dyDescent="0.3">
      <c r="A2091" s="155"/>
      <c r="B2091" s="156"/>
      <c r="C2091" s="3"/>
      <c r="D2091" s="3"/>
      <c r="E2091" s="156"/>
      <c r="F2091" s="3"/>
      <c r="G2091" s="158"/>
      <c r="H2091" s="155"/>
      <c r="I2091" s="155"/>
      <c r="J2091" s="156"/>
      <c r="K2091" s="5"/>
      <c r="L2091" s="3"/>
      <c r="M2091" s="6"/>
      <c r="N2091" s="9"/>
      <c r="O2091" s="158"/>
      <c r="P2091" s="12"/>
      <c r="Q2091" s="12"/>
      <c r="R2091" s="12"/>
      <c r="S2091" s="12"/>
      <c r="T2091" s="12"/>
      <c r="U2091" s="12"/>
      <c r="V2091" s="12"/>
      <c r="W2091" s="12"/>
      <c r="X2091" s="12"/>
      <c r="Y2091" s="12"/>
      <c r="Z2091" s="12"/>
    </row>
    <row r="2092" spans="1:26" ht="14.25" customHeight="1" x14ac:dyDescent="0.3">
      <c r="A2092" s="155"/>
      <c r="B2092" s="156"/>
      <c r="C2092" s="3"/>
      <c r="D2092" s="3"/>
      <c r="E2092" s="156"/>
      <c r="F2092" s="3"/>
      <c r="G2092" s="158"/>
      <c r="H2092" s="155"/>
      <c r="I2092" s="155"/>
      <c r="J2092" s="156"/>
      <c r="K2092" s="5"/>
      <c r="L2092" s="3"/>
      <c r="M2092" s="6"/>
      <c r="N2092" s="9"/>
      <c r="O2092" s="158"/>
      <c r="P2092" s="12"/>
      <c r="Q2092" s="12"/>
      <c r="R2092" s="12"/>
      <c r="S2092" s="12"/>
      <c r="T2092" s="12"/>
      <c r="U2092" s="12"/>
      <c r="V2092" s="12"/>
      <c r="W2092" s="12"/>
      <c r="X2092" s="12"/>
      <c r="Y2092" s="12"/>
      <c r="Z2092" s="12"/>
    </row>
    <row r="2093" spans="1:26" ht="14.25" customHeight="1" x14ac:dyDescent="0.3">
      <c r="A2093" s="155"/>
      <c r="B2093" s="156"/>
      <c r="C2093" s="3"/>
      <c r="D2093" s="3"/>
      <c r="E2093" s="156"/>
      <c r="F2093" s="3"/>
      <c r="G2093" s="158"/>
      <c r="H2093" s="155"/>
      <c r="I2093" s="155"/>
      <c r="J2093" s="156"/>
      <c r="K2093" s="5"/>
      <c r="L2093" s="3"/>
      <c r="M2093" s="6"/>
      <c r="N2093" s="9"/>
      <c r="O2093" s="158"/>
      <c r="P2093" s="12"/>
      <c r="Q2093" s="12"/>
      <c r="R2093" s="12"/>
      <c r="S2093" s="12"/>
      <c r="T2093" s="12"/>
      <c r="U2093" s="12"/>
      <c r="V2093" s="12"/>
      <c r="W2093" s="12"/>
      <c r="X2093" s="12"/>
      <c r="Y2093" s="12"/>
      <c r="Z2093" s="12"/>
    </row>
    <row r="2094" spans="1:26" ht="14.25" customHeight="1" x14ac:dyDescent="0.3">
      <c r="A2094" s="155"/>
      <c r="B2094" s="156"/>
      <c r="C2094" s="3"/>
      <c r="D2094" s="3"/>
      <c r="E2094" s="156"/>
      <c r="F2094" s="3"/>
      <c r="G2094" s="158"/>
      <c r="H2094" s="155"/>
      <c r="I2094" s="155"/>
      <c r="J2094" s="156"/>
      <c r="K2094" s="5"/>
      <c r="L2094" s="3"/>
      <c r="M2094" s="6"/>
      <c r="N2094" s="9"/>
      <c r="O2094" s="158"/>
      <c r="P2094" s="12"/>
      <c r="Q2094" s="12"/>
      <c r="R2094" s="12"/>
      <c r="S2094" s="12"/>
      <c r="T2094" s="12"/>
      <c r="U2094" s="12"/>
      <c r="V2094" s="12"/>
      <c r="W2094" s="12"/>
      <c r="X2094" s="12"/>
      <c r="Y2094" s="12"/>
      <c r="Z2094" s="12"/>
    </row>
    <row r="2095" spans="1:26" ht="14.25" customHeight="1" x14ac:dyDescent="0.3">
      <c r="A2095" s="155"/>
      <c r="B2095" s="156"/>
      <c r="C2095" s="3"/>
      <c r="D2095" s="3"/>
      <c r="E2095" s="156"/>
      <c r="F2095" s="3"/>
      <c r="G2095" s="158"/>
      <c r="H2095" s="155"/>
      <c r="I2095" s="155"/>
      <c r="J2095" s="156"/>
      <c r="K2095" s="5"/>
      <c r="L2095" s="3"/>
      <c r="M2095" s="6"/>
      <c r="N2095" s="9"/>
      <c r="O2095" s="158"/>
      <c r="P2095" s="12"/>
      <c r="Q2095" s="12"/>
      <c r="R2095" s="12"/>
      <c r="S2095" s="12"/>
      <c r="T2095" s="12"/>
      <c r="U2095" s="12"/>
      <c r="V2095" s="12"/>
      <c r="W2095" s="12"/>
      <c r="X2095" s="12"/>
      <c r="Y2095" s="12"/>
      <c r="Z2095" s="12"/>
    </row>
    <row r="2096" spans="1:26" ht="14.25" customHeight="1" x14ac:dyDescent="0.3">
      <c r="A2096" s="155"/>
      <c r="B2096" s="156"/>
      <c r="C2096" s="3"/>
      <c r="D2096" s="3"/>
      <c r="E2096" s="156"/>
      <c r="F2096" s="3"/>
      <c r="G2096" s="158"/>
      <c r="H2096" s="155"/>
      <c r="I2096" s="155"/>
      <c r="J2096" s="156"/>
      <c r="K2096" s="5"/>
      <c r="L2096" s="3"/>
      <c r="M2096" s="6"/>
      <c r="N2096" s="9"/>
      <c r="O2096" s="158"/>
      <c r="P2096" s="12"/>
      <c r="Q2096" s="12"/>
      <c r="R2096" s="12"/>
      <c r="S2096" s="12"/>
      <c r="T2096" s="12"/>
      <c r="U2096" s="12"/>
      <c r="V2096" s="12"/>
      <c r="W2096" s="12"/>
      <c r="X2096" s="12"/>
      <c r="Y2096" s="12"/>
      <c r="Z2096" s="12"/>
    </row>
    <row r="2097" spans="1:26" ht="14.25" customHeight="1" x14ac:dyDescent="0.3">
      <c r="A2097" s="155"/>
      <c r="B2097" s="156"/>
      <c r="C2097" s="3"/>
      <c r="D2097" s="3"/>
      <c r="E2097" s="156"/>
      <c r="F2097" s="3"/>
      <c r="G2097" s="158"/>
      <c r="H2097" s="155"/>
      <c r="I2097" s="155"/>
      <c r="J2097" s="156"/>
      <c r="K2097" s="5"/>
      <c r="L2097" s="3"/>
      <c r="M2097" s="6"/>
      <c r="N2097" s="9"/>
      <c r="O2097" s="158"/>
      <c r="P2097" s="12"/>
      <c r="Q2097" s="12"/>
      <c r="R2097" s="12"/>
      <c r="S2097" s="12"/>
      <c r="T2097" s="12"/>
      <c r="U2097" s="12"/>
      <c r="V2097" s="12"/>
      <c r="W2097" s="12"/>
      <c r="X2097" s="12"/>
      <c r="Y2097" s="12"/>
      <c r="Z2097" s="12"/>
    </row>
    <row r="2098" spans="1:26" ht="14.25" customHeight="1" x14ac:dyDescent="0.3">
      <c r="A2098" s="155"/>
      <c r="B2098" s="156"/>
      <c r="C2098" s="3"/>
      <c r="D2098" s="3"/>
      <c r="E2098" s="156"/>
      <c r="F2098" s="3"/>
      <c r="G2098" s="158"/>
      <c r="H2098" s="155"/>
      <c r="I2098" s="155"/>
      <c r="J2098" s="156"/>
      <c r="K2098" s="5"/>
      <c r="L2098" s="3"/>
      <c r="M2098" s="6"/>
      <c r="N2098" s="9"/>
      <c r="O2098" s="158"/>
      <c r="P2098" s="12"/>
      <c r="Q2098" s="12"/>
      <c r="R2098" s="12"/>
      <c r="S2098" s="12"/>
      <c r="T2098" s="12"/>
      <c r="U2098" s="12"/>
      <c r="V2098" s="12"/>
      <c r="W2098" s="12"/>
      <c r="X2098" s="12"/>
      <c r="Y2098" s="12"/>
      <c r="Z2098" s="12"/>
    </row>
    <row r="2099" spans="1:26" ht="14.25" customHeight="1" x14ac:dyDescent="0.3">
      <c r="A2099" s="155"/>
      <c r="B2099" s="156"/>
      <c r="C2099" s="3"/>
      <c r="D2099" s="3"/>
      <c r="E2099" s="156"/>
      <c r="F2099" s="3"/>
      <c r="G2099" s="158"/>
      <c r="H2099" s="155"/>
      <c r="I2099" s="155"/>
      <c r="J2099" s="156"/>
      <c r="K2099" s="5"/>
      <c r="L2099" s="3"/>
      <c r="M2099" s="6"/>
      <c r="N2099" s="9"/>
      <c r="O2099" s="158"/>
      <c r="P2099" s="12"/>
      <c r="Q2099" s="12"/>
      <c r="R2099" s="12"/>
      <c r="S2099" s="12"/>
      <c r="T2099" s="12"/>
      <c r="U2099" s="12"/>
      <c r="V2099" s="12"/>
      <c r="W2099" s="12"/>
      <c r="X2099" s="12"/>
      <c r="Y2099" s="12"/>
      <c r="Z2099" s="12"/>
    </row>
    <row r="2100" spans="1:26" ht="14.25" customHeight="1" x14ac:dyDescent="0.3">
      <c r="A2100" s="155"/>
      <c r="B2100" s="156"/>
      <c r="C2100" s="3"/>
      <c r="D2100" s="3"/>
      <c r="E2100" s="156"/>
      <c r="F2100" s="3"/>
      <c r="G2100" s="158"/>
      <c r="H2100" s="155"/>
      <c r="I2100" s="155"/>
      <c r="J2100" s="156"/>
      <c r="K2100" s="5"/>
      <c r="L2100" s="3"/>
      <c r="M2100" s="6"/>
      <c r="N2100" s="9"/>
      <c r="O2100" s="158"/>
      <c r="P2100" s="12"/>
      <c r="Q2100" s="12"/>
      <c r="R2100" s="12"/>
      <c r="S2100" s="12"/>
      <c r="T2100" s="12"/>
      <c r="U2100" s="12"/>
      <c r="V2100" s="12"/>
      <c r="W2100" s="12"/>
      <c r="X2100" s="12"/>
      <c r="Y2100" s="12"/>
      <c r="Z2100" s="12"/>
    </row>
    <row r="2101" spans="1:26" ht="14.25" customHeight="1" x14ac:dyDescent="0.3">
      <c r="A2101" s="155"/>
      <c r="B2101" s="156"/>
      <c r="C2101" s="3"/>
      <c r="D2101" s="3"/>
      <c r="E2101" s="156"/>
      <c r="F2101" s="3"/>
      <c r="G2101" s="158"/>
      <c r="H2101" s="155"/>
      <c r="I2101" s="155"/>
      <c r="J2101" s="156"/>
      <c r="K2101" s="5"/>
      <c r="L2101" s="3"/>
      <c r="M2101" s="6"/>
      <c r="N2101" s="9"/>
      <c r="O2101" s="158"/>
      <c r="P2101" s="12"/>
      <c r="Q2101" s="12"/>
      <c r="R2101" s="12"/>
      <c r="S2101" s="12"/>
      <c r="T2101" s="12"/>
      <c r="U2101" s="12"/>
      <c r="V2101" s="12"/>
      <c r="W2101" s="12"/>
      <c r="X2101" s="12"/>
      <c r="Y2101" s="12"/>
      <c r="Z2101" s="12"/>
    </row>
    <row r="2102" spans="1:26" ht="14.25" customHeight="1" x14ac:dyDescent="0.3">
      <c r="A2102" s="155"/>
      <c r="B2102" s="156"/>
      <c r="C2102" s="3"/>
      <c r="D2102" s="3"/>
      <c r="E2102" s="156"/>
      <c r="F2102" s="3"/>
      <c r="G2102" s="158"/>
      <c r="H2102" s="155"/>
      <c r="I2102" s="155"/>
      <c r="J2102" s="156"/>
      <c r="K2102" s="5"/>
      <c r="L2102" s="3"/>
      <c r="M2102" s="6"/>
      <c r="N2102" s="9"/>
      <c r="O2102" s="158"/>
      <c r="P2102" s="12"/>
      <c r="Q2102" s="12"/>
      <c r="R2102" s="12"/>
      <c r="S2102" s="12"/>
      <c r="T2102" s="12"/>
      <c r="U2102" s="12"/>
      <c r="V2102" s="12"/>
      <c r="W2102" s="12"/>
      <c r="X2102" s="12"/>
      <c r="Y2102" s="12"/>
      <c r="Z2102" s="12"/>
    </row>
    <row r="2103" spans="1:26" ht="14.25" customHeight="1" x14ac:dyDescent="0.3">
      <c r="A2103" s="155"/>
      <c r="B2103" s="156"/>
      <c r="C2103" s="3"/>
      <c r="D2103" s="3"/>
      <c r="E2103" s="156"/>
      <c r="F2103" s="3"/>
      <c r="G2103" s="158"/>
      <c r="H2103" s="155"/>
      <c r="I2103" s="155"/>
      <c r="J2103" s="156"/>
      <c r="K2103" s="5"/>
      <c r="L2103" s="3"/>
      <c r="M2103" s="6"/>
      <c r="N2103" s="9"/>
      <c r="O2103" s="158"/>
      <c r="P2103" s="12"/>
      <c r="Q2103" s="12"/>
      <c r="R2103" s="12"/>
      <c r="S2103" s="12"/>
      <c r="T2103" s="12"/>
      <c r="U2103" s="12"/>
      <c r="V2103" s="12"/>
      <c r="W2103" s="12"/>
      <c r="X2103" s="12"/>
      <c r="Y2103" s="12"/>
      <c r="Z2103" s="12"/>
    </row>
    <row r="2104" spans="1:26" ht="14.25" customHeight="1" x14ac:dyDescent="0.3">
      <c r="A2104" s="155"/>
      <c r="B2104" s="156"/>
      <c r="C2104" s="3"/>
      <c r="D2104" s="3"/>
      <c r="E2104" s="156"/>
      <c r="F2104" s="3"/>
      <c r="G2104" s="158"/>
      <c r="H2104" s="155"/>
      <c r="I2104" s="155"/>
      <c r="J2104" s="156"/>
      <c r="K2104" s="5"/>
      <c r="L2104" s="3"/>
      <c r="M2104" s="6"/>
      <c r="N2104" s="9"/>
      <c r="O2104" s="158"/>
      <c r="P2104" s="12"/>
      <c r="Q2104" s="12"/>
      <c r="R2104" s="12"/>
      <c r="S2104" s="12"/>
      <c r="T2104" s="12"/>
      <c r="U2104" s="12"/>
      <c r="V2104" s="12"/>
      <c r="W2104" s="12"/>
      <c r="X2104" s="12"/>
      <c r="Y2104" s="12"/>
      <c r="Z2104" s="12"/>
    </row>
    <row r="2105" spans="1:26" ht="14.25" customHeight="1" x14ac:dyDescent="0.3">
      <c r="A2105" s="155"/>
      <c r="B2105" s="156"/>
      <c r="C2105" s="3"/>
      <c r="D2105" s="3"/>
      <c r="E2105" s="156"/>
      <c r="F2105" s="3"/>
      <c r="G2105" s="158"/>
      <c r="H2105" s="155"/>
      <c r="I2105" s="155"/>
      <c r="J2105" s="156"/>
      <c r="K2105" s="5"/>
      <c r="L2105" s="3"/>
      <c r="M2105" s="6"/>
      <c r="N2105" s="9"/>
      <c r="O2105" s="158"/>
      <c r="P2105" s="12"/>
      <c r="Q2105" s="12"/>
      <c r="R2105" s="12"/>
      <c r="S2105" s="12"/>
      <c r="T2105" s="12"/>
      <c r="U2105" s="12"/>
      <c r="V2105" s="12"/>
      <c r="W2105" s="12"/>
      <c r="X2105" s="12"/>
      <c r="Y2105" s="12"/>
      <c r="Z2105" s="12"/>
    </row>
    <row r="2106" spans="1:26" ht="14.25" customHeight="1" x14ac:dyDescent="0.3">
      <c r="A2106" s="155"/>
      <c r="B2106" s="156"/>
      <c r="C2106" s="3"/>
      <c r="D2106" s="3"/>
      <c r="E2106" s="156"/>
      <c r="F2106" s="3"/>
      <c r="G2106" s="158"/>
      <c r="H2106" s="155"/>
      <c r="I2106" s="155"/>
      <c r="J2106" s="156"/>
      <c r="K2106" s="5"/>
      <c r="L2106" s="3"/>
      <c r="M2106" s="6"/>
      <c r="N2106" s="9"/>
      <c r="O2106" s="158"/>
      <c r="P2106" s="12"/>
      <c r="Q2106" s="12"/>
      <c r="R2106" s="12"/>
      <c r="S2106" s="12"/>
      <c r="T2106" s="12"/>
      <c r="U2106" s="12"/>
      <c r="V2106" s="12"/>
      <c r="W2106" s="12"/>
      <c r="X2106" s="12"/>
      <c r="Y2106" s="12"/>
      <c r="Z2106" s="12"/>
    </row>
    <row r="2107" spans="1:26" ht="14.25" customHeight="1" x14ac:dyDescent="0.3">
      <c r="A2107" s="155"/>
      <c r="B2107" s="156"/>
      <c r="C2107" s="3"/>
      <c r="D2107" s="3"/>
      <c r="E2107" s="156"/>
      <c r="F2107" s="3"/>
      <c r="G2107" s="158"/>
      <c r="H2107" s="155"/>
      <c r="I2107" s="155"/>
      <c r="J2107" s="156"/>
      <c r="K2107" s="5"/>
      <c r="L2107" s="3"/>
      <c r="M2107" s="6"/>
      <c r="N2107" s="9"/>
      <c r="O2107" s="158"/>
      <c r="P2107" s="12"/>
      <c r="Q2107" s="12"/>
      <c r="R2107" s="12"/>
      <c r="S2107" s="12"/>
      <c r="T2107" s="12"/>
      <c r="U2107" s="12"/>
      <c r="V2107" s="12"/>
      <c r="W2107" s="12"/>
      <c r="X2107" s="12"/>
      <c r="Y2107" s="12"/>
      <c r="Z2107" s="12"/>
    </row>
    <row r="2108" spans="1:26" ht="14.25" customHeight="1" x14ac:dyDescent="0.3">
      <c r="A2108" s="155"/>
      <c r="B2108" s="156"/>
      <c r="C2108" s="3"/>
      <c r="D2108" s="3"/>
      <c r="E2108" s="156"/>
      <c r="F2108" s="3"/>
      <c r="G2108" s="158"/>
      <c r="H2108" s="155"/>
      <c r="I2108" s="155"/>
      <c r="J2108" s="156"/>
      <c r="K2108" s="5"/>
      <c r="L2108" s="3"/>
      <c r="M2108" s="6"/>
      <c r="N2108" s="9"/>
      <c r="O2108" s="158"/>
      <c r="P2108" s="12"/>
      <c r="Q2108" s="12"/>
      <c r="R2108" s="12"/>
      <c r="S2108" s="12"/>
      <c r="T2108" s="12"/>
      <c r="U2108" s="12"/>
      <c r="V2108" s="12"/>
      <c r="W2108" s="12"/>
      <c r="X2108" s="12"/>
      <c r="Y2108" s="12"/>
      <c r="Z2108" s="12"/>
    </row>
    <row r="2109" spans="1:26" ht="14.25" customHeight="1" x14ac:dyDescent="0.3">
      <c r="A2109" s="155"/>
      <c r="B2109" s="156"/>
      <c r="C2109" s="3"/>
      <c r="D2109" s="3"/>
      <c r="E2109" s="156"/>
      <c r="F2109" s="3"/>
      <c r="G2109" s="158"/>
      <c r="H2109" s="155"/>
      <c r="I2109" s="155"/>
      <c r="J2109" s="156"/>
      <c r="K2109" s="5"/>
      <c r="L2109" s="3"/>
      <c r="M2109" s="6"/>
      <c r="N2109" s="9"/>
      <c r="O2109" s="158"/>
      <c r="P2109" s="12"/>
      <c r="Q2109" s="12"/>
      <c r="R2109" s="12"/>
      <c r="S2109" s="12"/>
      <c r="T2109" s="12"/>
      <c r="U2109" s="12"/>
      <c r="V2109" s="12"/>
      <c r="W2109" s="12"/>
      <c r="X2109" s="12"/>
      <c r="Y2109" s="12"/>
      <c r="Z2109" s="12"/>
    </row>
    <row r="2110" spans="1:26" ht="14.25" customHeight="1" x14ac:dyDescent="0.3">
      <c r="A2110" s="155"/>
      <c r="B2110" s="156"/>
      <c r="C2110" s="3"/>
      <c r="D2110" s="3"/>
      <c r="E2110" s="156"/>
      <c r="F2110" s="3"/>
      <c r="G2110" s="158"/>
      <c r="H2110" s="155"/>
      <c r="I2110" s="155"/>
      <c r="J2110" s="156"/>
      <c r="K2110" s="5"/>
      <c r="L2110" s="3"/>
      <c r="M2110" s="6"/>
      <c r="N2110" s="9"/>
      <c r="O2110" s="158"/>
      <c r="P2110" s="12"/>
      <c r="Q2110" s="12"/>
      <c r="R2110" s="12"/>
      <c r="S2110" s="12"/>
      <c r="T2110" s="12"/>
      <c r="U2110" s="12"/>
      <c r="V2110" s="12"/>
      <c r="W2110" s="12"/>
      <c r="X2110" s="12"/>
      <c r="Y2110" s="12"/>
      <c r="Z2110" s="12"/>
    </row>
    <row r="2111" spans="1:26" ht="14.25" customHeight="1" x14ac:dyDescent="0.3">
      <c r="A2111" s="155"/>
      <c r="B2111" s="156"/>
      <c r="C2111" s="3"/>
      <c r="D2111" s="3"/>
      <c r="E2111" s="156"/>
      <c r="F2111" s="3"/>
      <c r="G2111" s="158"/>
      <c r="H2111" s="155"/>
      <c r="I2111" s="155"/>
      <c r="J2111" s="156"/>
      <c r="K2111" s="5"/>
      <c r="L2111" s="3"/>
      <c r="M2111" s="6"/>
      <c r="N2111" s="9"/>
      <c r="O2111" s="158"/>
      <c r="P2111" s="12"/>
      <c r="Q2111" s="12"/>
      <c r="R2111" s="12"/>
      <c r="S2111" s="12"/>
      <c r="T2111" s="12"/>
      <c r="U2111" s="12"/>
      <c r="V2111" s="12"/>
      <c r="W2111" s="12"/>
      <c r="X2111" s="12"/>
      <c r="Y2111" s="12"/>
      <c r="Z2111" s="12"/>
    </row>
    <row r="2112" spans="1:26" ht="14.25" customHeight="1" x14ac:dyDescent="0.3">
      <c r="A2112" s="155"/>
      <c r="B2112" s="156"/>
      <c r="C2112" s="3"/>
      <c r="D2112" s="3"/>
      <c r="E2112" s="156"/>
      <c r="F2112" s="3"/>
      <c r="G2112" s="158"/>
      <c r="H2112" s="155"/>
      <c r="I2112" s="155"/>
      <c r="J2112" s="156"/>
      <c r="K2112" s="5"/>
      <c r="L2112" s="3"/>
      <c r="M2112" s="6"/>
      <c r="N2112" s="9"/>
      <c r="O2112" s="158"/>
      <c r="P2112" s="12"/>
      <c r="Q2112" s="12"/>
      <c r="R2112" s="12"/>
      <c r="S2112" s="12"/>
      <c r="T2112" s="12"/>
      <c r="U2112" s="12"/>
      <c r="V2112" s="12"/>
      <c r="W2112" s="12"/>
      <c r="X2112" s="12"/>
      <c r="Y2112" s="12"/>
      <c r="Z2112" s="12"/>
    </row>
    <row r="2113" spans="1:26" ht="14.25" customHeight="1" x14ac:dyDescent="0.3">
      <c r="A2113" s="155"/>
      <c r="B2113" s="156"/>
      <c r="C2113" s="3"/>
      <c r="D2113" s="3"/>
      <c r="E2113" s="156"/>
      <c r="F2113" s="3"/>
      <c r="G2113" s="158"/>
      <c r="H2113" s="155"/>
      <c r="I2113" s="155"/>
      <c r="J2113" s="156"/>
      <c r="K2113" s="5"/>
      <c r="L2113" s="3"/>
      <c r="M2113" s="6"/>
      <c r="N2113" s="9"/>
      <c r="O2113" s="158"/>
      <c r="P2113" s="12"/>
      <c r="Q2113" s="12"/>
      <c r="R2113" s="12"/>
      <c r="S2113" s="12"/>
      <c r="T2113" s="12"/>
      <c r="U2113" s="12"/>
      <c r="V2113" s="12"/>
      <c r="W2113" s="12"/>
      <c r="X2113" s="12"/>
      <c r="Y2113" s="12"/>
      <c r="Z2113" s="12"/>
    </row>
    <row r="2114" spans="1:26" ht="14.25" customHeight="1" x14ac:dyDescent="0.3">
      <c r="A2114" s="155"/>
      <c r="B2114" s="156"/>
      <c r="C2114" s="3"/>
      <c r="D2114" s="3"/>
      <c r="E2114" s="156"/>
      <c r="F2114" s="3"/>
      <c r="G2114" s="158"/>
      <c r="H2114" s="155"/>
      <c r="I2114" s="155"/>
      <c r="J2114" s="156"/>
      <c r="K2114" s="5"/>
      <c r="L2114" s="3"/>
      <c r="M2114" s="6"/>
      <c r="N2114" s="9"/>
      <c r="O2114" s="158"/>
      <c r="P2114" s="12"/>
      <c r="Q2114" s="12"/>
      <c r="R2114" s="12"/>
      <c r="S2114" s="12"/>
      <c r="T2114" s="12"/>
      <c r="U2114" s="12"/>
      <c r="V2114" s="12"/>
      <c r="W2114" s="12"/>
      <c r="X2114" s="12"/>
      <c r="Y2114" s="12"/>
      <c r="Z2114" s="12"/>
    </row>
    <row r="2115" spans="1:26" ht="14.25" customHeight="1" x14ac:dyDescent="0.3">
      <c r="A2115" s="155"/>
      <c r="B2115" s="156"/>
      <c r="C2115" s="3"/>
      <c r="D2115" s="3"/>
      <c r="E2115" s="156"/>
      <c r="F2115" s="3"/>
      <c r="G2115" s="158"/>
      <c r="H2115" s="155"/>
      <c r="I2115" s="155"/>
      <c r="J2115" s="156"/>
      <c r="K2115" s="5"/>
      <c r="L2115" s="3"/>
      <c r="M2115" s="6"/>
      <c r="N2115" s="9"/>
      <c r="O2115" s="158"/>
      <c r="P2115" s="12"/>
      <c r="Q2115" s="12"/>
      <c r="R2115" s="12"/>
      <c r="S2115" s="12"/>
      <c r="T2115" s="12"/>
      <c r="U2115" s="12"/>
      <c r="V2115" s="12"/>
      <c r="W2115" s="12"/>
      <c r="X2115" s="12"/>
      <c r="Y2115" s="12"/>
      <c r="Z2115" s="12"/>
    </row>
    <row r="2116" spans="1:26" ht="14.25" customHeight="1" x14ac:dyDescent="0.3">
      <c r="A2116" s="155"/>
      <c r="B2116" s="156"/>
      <c r="C2116" s="3"/>
      <c r="D2116" s="3"/>
      <c r="E2116" s="156"/>
      <c r="F2116" s="3"/>
      <c r="G2116" s="158"/>
      <c r="H2116" s="155"/>
      <c r="I2116" s="155"/>
      <c r="J2116" s="156"/>
      <c r="K2116" s="5"/>
      <c r="L2116" s="3"/>
      <c r="M2116" s="6"/>
      <c r="N2116" s="9"/>
      <c r="O2116" s="158"/>
      <c r="P2116" s="12"/>
      <c r="Q2116" s="12"/>
      <c r="R2116" s="12"/>
      <c r="S2116" s="12"/>
      <c r="T2116" s="12"/>
      <c r="U2116" s="12"/>
      <c r="V2116" s="12"/>
      <c r="W2116" s="12"/>
      <c r="X2116" s="12"/>
      <c r="Y2116" s="12"/>
      <c r="Z2116" s="12"/>
    </row>
    <row r="2117" spans="1:26" ht="14.25" customHeight="1" x14ac:dyDescent="0.3">
      <c r="A2117" s="155"/>
      <c r="B2117" s="156"/>
      <c r="C2117" s="3"/>
      <c r="D2117" s="3"/>
      <c r="E2117" s="156"/>
      <c r="F2117" s="3"/>
      <c r="G2117" s="158"/>
      <c r="H2117" s="155"/>
      <c r="I2117" s="155"/>
      <c r="J2117" s="156"/>
      <c r="K2117" s="5"/>
      <c r="L2117" s="3"/>
      <c r="M2117" s="6"/>
      <c r="N2117" s="9"/>
      <c r="O2117" s="158"/>
      <c r="P2117" s="12"/>
      <c r="Q2117" s="12"/>
      <c r="R2117" s="12"/>
      <c r="S2117" s="12"/>
      <c r="T2117" s="12"/>
      <c r="U2117" s="12"/>
      <c r="V2117" s="12"/>
      <c r="W2117" s="12"/>
      <c r="X2117" s="12"/>
      <c r="Y2117" s="12"/>
      <c r="Z2117" s="12"/>
    </row>
    <row r="2118" spans="1:26" ht="14.25" customHeight="1" x14ac:dyDescent="0.3">
      <c r="A2118" s="155"/>
      <c r="B2118" s="156"/>
      <c r="C2118" s="3"/>
      <c r="D2118" s="3"/>
      <c r="E2118" s="156"/>
      <c r="F2118" s="3"/>
      <c r="G2118" s="158"/>
      <c r="H2118" s="155"/>
      <c r="I2118" s="155"/>
      <c r="J2118" s="156"/>
      <c r="K2118" s="5"/>
      <c r="L2118" s="3"/>
      <c r="M2118" s="6"/>
      <c r="N2118" s="9"/>
      <c r="O2118" s="158"/>
      <c r="P2118" s="12"/>
      <c r="Q2118" s="12"/>
      <c r="R2118" s="12"/>
      <c r="S2118" s="12"/>
      <c r="T2118" s="12"/>
      <c r="U2118" s="12"/>
      <c r="V2118" s="12"/>
      <c r="W2118" s="12"/>
      <c r="X2118" s="12"/>
      <c r="Y2118" s="12"/>
      <c r="Z2118" s="12"/>
    </row>
    <row r="2119" spans="1:26" ht="14.25" customHeight="1" x14ac:dyDescent="0.3">
      <c r="A2119" s="155"/>
      <c r="B2119" s="156"/>
      <c r="C2119" s="3"/>
      <c r="D2119" s="3"/>
      <c r="E2119" s="156"/>
      <c r="F2119" s="3"/>
      <c r="G2119" s="158"/>
      <c r="H2119" s="155"/>
      <c r="I2119" s="155"/>
      <c r="J2119" s="156"/>
      <c r="K2119" s="5"/>
      <c r="L2119" s="3"/>
      <c r="M2119" s="6"/>
      <c r="N2119" s="9"/>
      <c r="O2119" s="158"/>
      <c r="P2119" s="12"/>
      <c r="Q2119" s="12"/>
      <c r="R2119" s="12"/>
      <c r="S2119" s="12"/>
      <c r="T2119" s="12"/>
      <c r="U2119" s="12"/>
      <c r="V2119" s="12"/>
      <c r="W2119" s="12"/>
      <c r="X2119" s="12"/>
      <c r="Y2119" s="12"/>
      <c r="Z2119" s="12"/>
    </row>
    <row r="2120" spans="1:26" ht="14.25" customHeight="1" x14ac:dyDescent="0.3">
      <c r="A2120" s="155"/>
      <c r="B2120" s="156"/>
      <c r="C2120" s="3"/>
      <c r="D2120" s="3"/>
      <c r="E2120" s="156"/>
      <c r="F2120" s="3"/>
      <c r="G2120" s="158"/>
      <c r="H2120" s="155"/>
      <c r="I2120" s="155"/>
      <c r="J2120" s="156"/>
      <c r="K2120" s="5"/>
      <c r="L2120" s="3"/>
      <c r="M2120" s="6"/>
      <c r="N2120" s="9"/>
      <c r="O2120" s="158"/>
      <c r="P2120" s="12"/>
      <c r="Q2120" s="12"/>
      <c r="R2120" s="12"/>
      <c r="S2120" s="12"/>
      <c r="T2120" s="12"/>
      <c r="U2120" s="12"/>
      <c r="V2120" s="12"/>
      <c r="W2120" s="12"/>
      <c r="X2120" s="12"/>
      <c r="Y2120" s="12"/>
      <c r="Z2120" s="12"/>
    </row>
    <row r="2121" spans="1:26" ht="14.25" customHeight="1" x14ac:dyDescent="0.3">
      <c r="A2121" s="155"/>
      <c r="B2121" s="156"/>
      <c r="C2121" s="3"/>
      <c r="D2121" s="3"/>
      <c r="E2121" s="156"/>
      <c r="F2121" s="3"/>
      <c r="G2121" s="158"/>
      <c r="H2121" s="155"/>
      <c r="I2121" s="155"/>
      <c r="J2121" s="156"/>
      <c r="K2121" s="5"/>
      <c r="L2121" s="3"/>
      <c r="M2121" s="6"/>
      <c r="N2121" s="9"/>
      <c r="O2121" s="158"/>
      <c r="P2121" s="12"/>
      <c r="Q2121" s="12"/>
      <c r="R2121" s="12"/>
      <c r="S2121" s="12"/>
      <c r="T2121" s="12"/>
      <c r="U2121" s="12"/>
      <c r="V2121" s="12"/>
      <c r="W2121" s="12"/>
      <c r="X2121" s="12"/>
      <c r="Y2121" s="12"/>
      <c r="Z2121" s="12"/>
    </row>
    <row r="2122" spans="1:26" ht="14.25" customHeight="1" x14ac:dyDescent="0.3">
      <c r="A2122" s="155"/>
      <c r="B2122" s="156"/>
      <c r="C2122" s="3"/>
      <c r="D2122" s="3"/>
      <c r="E2122" s="156"/>
      <c r="F2122" s="3"/>
      <c r="G2122" s="158"/>
      <c r="H2122" s="155"/>
      <c r="I2122" s="155"/>
      <c r="J2122" s="156"/>
      <c r="K2122" s="5"/>
      <c r="L2122" s="3"/>
      <c r="M2122" s="6"/>
      <c r="N2122" s="9"/>
      <c r="O2122" s="158"/>
      <c r="P2122" s="12"/>
      <c r="Q2122" s="12"/>
      <c r="R2122" s="12"/>
      <c r="S2122" s="12"/>
      <c r="T2122" s="12"/>
      <c r="U2122" s="12"/>
      <c r="V2122" s="12"/>
      <c r="W2122" s="12"/>
      <c r="X2122" s="12"/>
      <c r="Y2122" s="12"/>
      <c r="Z2122" s="12"/>
    </row>
    <row r="2123" spans="1:26" ht="14.25" customHeight="1" x14ac:dyDescent="0.3">
      <c r="A2123" s="155"/>
      <c r="B2123" s="156"/>
      <c r="C2123" s="3"/>
      <c r="D2123" s="3"/>
      <c r="E2123" s="156"/>
      <c r="F2123" s="3"/>
      <c r="G2123" s="158"/>
      <c r="H2123" s="155"/>
      <c r="I2123" s="155"/>
      <c r="J2123" s="156"/>
      <c r="K2123" s="5"/>
      <c r="L2123" s="3"/>
      <c r="M2123" s="6"/>
      <c r="N2123" s="9"/>
      <c r="O2123" s="158"/>
      <c r="P2123" s="12"/>
      <c r="Q2123" s="12"/>
      <c r="R2123" s="12"/>
      <c r="S2123" s="12"/>
      <c r="T2123" s="12"/>
      <c r="U2123" s="12"/>
      <c r="V2123" s="12"/>
      <c r="W2123" s="12"/>
      <c r="X2123" s="12"/>
      <c r="Y2123" s="12"/>
      <c r="Z2123" s="12"/>
    </row>
    <row r="2124" spans="1:26" ht="14.25" customHeight="1" x14ac:dyDescent="0.3">
      <c r="A2124" s="155"/>
      <c r="B2124" s="156"/>
      <c r="C2124" s="3"/>
      <c r="D2124" s="3"/>
      <c r="E2124" s="156"/>
      <c r="F2124" s="3"/>
      <c r="G2124" s="158"/>
      <c r="H2124" s="155"/>
      <c r="I2124" s="155"/>
      <c r="J2124" s="156"/>
      <c r="K2124" s="5"/>
      <c r="L2124" s="3"/>
      <c r="M2124" s="6"/>
      <c r="N2124" s="9"/>
      <c r="O2124" s="158"/>
      <c r="P2124" s="12"/>
      <c r="Q2124" s="12"/>
      <c r="R2124" s="12"/>
      <c r="S2124" s="12"/>
      <c r="T2124" s="12"/>
      <c r="U2124" s="12"/>
      <c r="V2124" s="12"/>
      <c r="W2124" s="12"/>
      <c r="X2124" s="12"/>
      <c r="Y2124" s="12"/>
      <c r="Z2124" s="12"/>
    </row>
    <row r="2125" spans="1:26" ht="14.25" customHeight="1" x14ac:dyDescent="0.3">
      <c r="A2125" s="155"/>
      <c r="B2125" s="156"/>
      <c r="C2125" s="3"/>
      <c r="D2125" s="3"/>
      <c r="E2125" s="156"/>
      <c r="F2125" s="3"/>
      <c r="G2125" s="158"/>
      <c r="H2125" s="155"/>
      <c r="I2125" s="155"/>
      <c r="J2125" s="156"/>
      <c r="K2125" s="5"/>
      <c r="L2125" s="3"/>
      <c r="M2125" s="6"/>
      <c r="N2125" s="9"/>
      <c r="O2125" s="158"/>
      <c r="P2125" s="12"/>
      <c r="Q2125" s="12"/>
      <c r="R2125" s="12"/>
      <c r="S2125" s="12"/>
      <c r="T2125" s="12"/>
      <c r="U2125" s="12"/>
      <c r="V2125" s="12"/>
      <c r="W2125" s="12"/>
      <c r="X2125" s="12"/>
      <c r="Y2125" s="12"/>
      <c r="Z2125" s="12"/>
    </row>
    <row r="2126" spans="1:26" ht="14.25" customHeight="1" x14ac:dyDescent="0.3">
      <c r="A2126" s="155"/>
      <c r="B2126" s="156"/>
      <c r="C2126" s="3"/>
      <c r="D2126" s="3"/>
      <c r="E2126" s="156"/>
      <c r="F2126" s="3"/>
      <c r="G2126" s="158"/>
      <c r="H2126" s="155"/>
      <c r="I2126" s="155"/>
      <c r="J2126" s="156"/>
      <c r="K2126" s="5"/>
      <c r="L2126" s="3"/>
      <c r="M2126" s="6"/>
      <c r="N2126" s="9"/>
      <c r="O2126" s="158"/>
      <c r="P2126" s="12"/>
      <c r="Q2126" s="12"/>
      <c r="R2126" s="12"/>
      <c r="S2126" s="12"/>
      <c r="T2126" s="12"/>
      <c r="U2126" s="12"/>
      <c r="V2126" s="12"/>
      <c r="W2126" s="12"/>
      <c r="X2126" s="12"/>
      <c r="Y2126" s="12"/>
      <c r="Z2126" s="12"/>
    </row>
    <row r="2127" spans="1:26" ht="14.25" customHeight="1" x14ac:dyDescent="0.3">
      <c r="A2127" s="155"/>
      <c r="B2127" s="156"/>
      <c r="C2127" s="3"/>
      <c r="D2127" s="3"/>
      <c r="E2127" s="156"/>
      <c r="F2127" s="3"/>
      <c r="G2127" s="158"/>
      <c r="H2127" s="155"/>
      <c r="I2127" s="155"/>
      <c r="J2127" s="156"/>
      <c r="K2127" s="5"/>
      <c r="L2127" s="3"/>
      <c r="M2127" s="6"/>
      <c r="N2127" s="9"/>
      <c r="O2127" s="158"/>
      <c r="P2127" s="12"/>
      <c r="Q2127" s="12"/>
      <c r="R2127" s="12"/>
      <c r="S2127" s="12"/>
      <c r="T2127" s="12"/>
      <c r="U2127" s="12"/>
      <c r="V2127" s="12"/>
      <c r="W2127" s="12"/>
      <c r="X2127" s="12"/>
      <c r="Y2127" s="12"/>
      <c r="Z2127" s="12"/>
    </row>
    <row r="2128" spans="1:26" ht="14.25" customHeight="1" x14ac:dyDescent="0.3">
      <c r="A2128" s="155"/>
      <c r="B2128" s="156"/>
      <c r="C2128" s="3"/>
      <c r="D2128" s="3"/>
      <c r="E2128" s="156"/>
      <c r="F2128" s="3"/>
      <c r="G2128" s="158"/>
      <c r="H2128" s="155"/>
      <c r="I2128" s="155"/>
      <c r="J2128" s="156"/>
      <c r="K2128" s="5"/>
      <c r="L2128" s="3"/>
      <c r="M2128" s="6"/>
      <c r="N2128" s="9"/>
      <c r="O2128" s="158"/>
      <c r="P2128" s="12"/>
      <c r="Q2128" s="12"/>
      <c r="R2128" s="12"/>
      <c r="S2128" s="12"/>
      <c r="T2128" s="12"/>
      <c r="U2128" s="12"/>
      <c r="V2128" s="12"/>
      <c r="W2128" s="12"/>
      <c r="X2128" s="12"/>
      <c r="Y2128" s="12"/>
      <c r="Z2128" s="12"/>
    </row>
    <row r="2129" spans="1:26" ht="14.25" customHeight="1" x14ac:dyDescent="0.3">
      <c r="A2129" s="155"/>
      <c r="B2129" s="156"/>
      <c r="C2129" s="3"/>
      <c r="D2129" s="3"/>
      <c r="E2129" s="156"/>
      <c r="F2129" s="3"/>
      <c r="G2129" s="158"/>
      <c r="H2129" s="155"/>
      <c r="I2129" s="155"/>
      <c r="J2129" s="156"/>
      <c r="K2129" s="5"/>
      <c r="L2129" s="3"/>
      <c r="M2129" s="6"/>
      <c r="N2129" s="9"/>
      <c r="O2129" s="158"/>
      <c r="P2129" s="12"/>
      <c r="Q2129" s="12"/>
      <c r="R2129" s="12"/>
      <c r="S2129" s="12"/>
      <c r="T2129" s="12"/>
      <c r="U2129" s="12"/>
      <c r="V2129" s="12"/>
      <c r="W2129" s="12"/>
      <c r="X2129" s="12"/>
      <c r="Y2129" s="12"/>
      <c r="Z2129" s="12"/>
    </row>
    <row r="2130" spans="1:26" ht="14.25" customHeight="1" x14ac:dyDescent="0.3">
      <c r="A2130" s="155"/>
      <c r="B2130" s="156"/>
      <c r="C2130" s="3"/>
      <c r="D2130" s="3"/>
      <c r="E2130" s="156"/>
      <c r="F2130" s="3"/>
      <c r="G2130" s="158"/>
      <c r="H2130" s="155"/>
      <c r="I2130" s="155"/>
      <c r="J2130" s="156"/>
      <c r="K2130" s="5"/>
      <c r="L2130" s="3"/>
      <c r="M2130" s="6"/>
      <c r="N2130" s="9"/>
      <c r="O2130" s="158"/>
      <c r="P2130" s="12"/>
      <c r="Q2130" s="12"/>
      <c r="R2130" s="12"/>
      <c r="S2130" s="12"/>
      <c r="T2130" s="12"/>
      <c r="U2130" s="12"/>
      <c r="V2130" s="12"/>
      <c r="W2130" s="12"/>
      <c r="X2130" s="12"/>
      <c r="Y2130" s="12"/>
      <c r="Z2130" s="12"/>
    </row>
    <row r="2131" spans="1:26" ht="14.25" customHeight="1" x14ac:dyDescent="0.3">
      <c r="A2131" s="155"/>
      <c r="B2131" s="156"/>
      <c r="C2131" s="3"/>
      <c r="D2131" s="3"/>
      <c r="E2131" s="156"/>
      <c r="F2131" s="3"/>
      <c r="G2131" s="158"/>
      <c r="H2131" s="155"/>
      <c r="I2131" s="155"/>
      <c r="J2131" s="156"/>
      <c r="K2131" s="5"/>
      <c r="L2131" s="3"/>
      <c r="M2131" s="6"/>
      <c r="N2131" s="9"/>
      <c r="O2131" s="158"/>
      <c r="P2131" s="12"/>
      <c r="Q2131" s="12"/>
      <c r="R2131" s="12"/>
      <c r="S2131" s="12"/>
      <c r="T2131" s="12"/>
      <c r="U2131" s="12"/>
      <c r="V2131" s="12"/>
      <c r="W2131" s="12"/>
      <c r="X2131" s="12"/>
      <c r="Y2131" s="12"/>
      <c r="Z2131" s="12"/>
    </row>
    <row r="2132" spans="1:26" ht="14.25" customHeight="1" x14ac:dyDescent="0.3">
      <c r="A2132" s="155"/>
      <c r="B2132" s="156"/>
      <c r="C2132" s="3"/>
      <c r="D2132" s="3"/>
      <c r="E2132" s="156"/>
      <c r="F2132" s="3"/>
      <c r="G2132" s="158"/>
      <c r="H2132" s="155"/>
      <c r="I2132" s="155"/>
      <c r="J2132" s="156"/>
      <c r="K2132" s="5"/>
      <c r="L2132" s="3"/>
      <c r="M2132" s="6"/>
      <c r="N2132" s="9"/>
      <c r="O2132" s="158"/>
      <c r="P2132" s="12"/>
      <c r="Q2132" s="12"/>
      <c r="R2132" s="12"/>
      <c r="S2132" s="12"/>
      <c r="T2132" s="12"/>
      <c r="U2132" s="12"/>
      <c r="V2132" s="12"/>
      <c r="W2132" s="12"/>
      <c r="X2132" s="12"/>
      <c r="Y2132" s="12"/>
      <c r="Z2132" s="12"/>
    </row>
    <row r="2133" spans="1:26" ht="14.25" customHeight="1" x14ac:dyDescent="0.3">
      <c r="A2133" s="155"/>
      <c r="B2133" s="156"/>
      <c r="C2133" s="3"/>
      <c r="D2133" s="3"/>
      <c r="E2133" s="156"/>
      <c r="F2133" s="3"/>
      <c r="G2133" s="158"/>
      <c r="H2133" s="155"/>
      <c r="I2133" s="155"/>
      <c r="J2133" s="156"/>
      <c r="K2133" s="5"/>
      <c r="L2133" s="3"/>
      <c r="M2133" s="6"/>
      <c r="N2133" s="9"/>
      <c r="O2133" s="158"/>
      <c r="P2133" s="12"/>
      <c r="Q2133" s="12"/>
      <c r="R2133" s="12"/>
      <c r="S2133" s="12"/>
      <c r="T2133" s="12"/>
      <c r="U2133" s="12"/>
      <c r="V2133" s="12"/>
      <c r="W2133" s="12"/>
      <c r="X2133" s="12"/>
      <c r="Y2133" s="12"/>
      <c r="Z2133" s="12"/>
    </row>
    <row r="2134" spans="1:26" ht="14.25" customHeight="1" x14ac:dyDescent="0.3">
      <c r="A2134" s="155"/>
      <c r="B2134" s="156"/>
      <c r="C2134" s="3"/>
      <c r="D2134" s="3"/>
      <c r="E2134" s="156"/>
      <c r="F2134" s="3"/>
      <c r="G2134" s="158"/>
      <c r="H2134" s="155"/>
      <c r="I2134" s="155"/>
      <c r="J2134" s="156"/>
      <c r="K2134" s="5"/>
      <c r="L2134" s="3"/>
      <c r="M2134" s="6"/>
      <c r="N2134" s="9"/>
      <c r="O2134" s="158"/>
      <c r="P2134" s="12"/>
      <c r="Q2134" s="12"/>
      <c r="R2134" s="12"/>
      <c r="S2134" s="12"/>
      <c r="T2134" s="12"/>
      <c r="U2134" s="12"/>
      <c r="V2134" s="12"/>
      <c r="W2134" s="12"/>
      <c r="X2134" s="12"/>
      <c r="Y2134" s="12"/>
      <c r="Z2134" s="12"/>
    </row>
    <row r="2135" spans="1:26" ht="14.25" customHeight="1" x14ac:dyDescent="0.3">
      <c r="A2135" s="155"/>
      <c r="B2135" s="156"/>
      <c r="C2135" s="3"/>
      <c r="D2135" s="3"/>
      <c r="E2135" s="156"/>
      <c r="F2135" s="3"/>
      <c r="G2135" s="158"/>
      <c r="H2135" s="155"/>
      <c r="I2135" s="155"/>
      <c r="J2135" s="156"/>
      <c r="K2135" s="5"/>
      <c r="L2135" s="3"/>
      <c r="M2135" s="6"/>
      <c r="N2135" s="9"/>
      <c r="O2135" s="158"/>
      <c r="P2135" s="12"/>
      <c r="Q2135" s="12"/>
      <c r="R2135" s="12"/>
      <c r="S2135" s="12"/>
      <c r="T2135" s="12"/>
      <c r="U2135" s="12"/>
      <c r="V2135" s="12"/>
      <c r="W2135" s="12"/>
      <c r="X2135" s="12"/>
      <c r="Y2135" s="12"/>
      <c r="Z2135" s="12"/>
    </row>
    <row r="2136" spans="1:26" ht="14.25" customHeight="1" x14ac:dyDescent="0.3">
      <c r="A2136" s="155"/>
      <c r="B2136" s="156"/>
      <c r="C2136" s="3"/>
      <c r="D2136" s="3"/>
      <c r="E2136" s="156"/>
      <c r="F2136" s="3"/>
      <c r="G2136" s="158"/>
      <c r="H2136" s="155"/>
      <c r="I2136" s="155"/>
      <c r="J2136" s="156"/>
      <c r="K2136" s="5"/>
      <c r="L2136" s="3"/>
      <c r="M2136" s="6"/>
      <c r="N2136" s="9"/>
      <c r="O2136" s="158"/>
      <c r="P2136" s="12"/>
      <c r="Q2136" s="12"/>
      <c r="R2136" s="12"/>
      <c r="S2136" s="12"/>
      <c r="T2136" s="12"/>
      <c r="U2136" s="12"/>
      <c r="V2136" s="12"/>
      <c r="W2136" s="12"/>
      <c r="X2136" s="12"/>
      <c r="Y2136" s="12"/>
      <c r="Z2136" s="12"/>
    </row>
    <row r="2137" spans="1:26" ht="14.25" customHeight="1" x14ac:dyDescent="0.3">
      <c r="A2137" s="155"/>
      <c r="B2137" s="156"/>
      <c r="C2137" s="3"/>
      <c r="D2137" s="3"/>
      <c r="E2137" s="156"/>
      <c r="F2137" s="3"/>
      <c r="G2137" s="158"/>
      <c r="H2137" s="155"/>
      <c r="I2137" s="155"/>
      <c r="J2137" s="156"/>
      <c r="K2137" s="5"/>
      <c r="L2137" s="3"/>
      <c r="M2137" s="6"/>
      <c r="N2137" s="9"/>
      <c r="O2137" s="158"/>
      <c r="P2137" s="12"/>
      <c r="Q2137" s="12"/>
      <c r="R2137" s="12"/>
      <c r="S2137" s="12"/>
      <c r="T2137" s="12"/>
      <c r="U2137" s="12"/>
      <c r="V2137" s="12"/>
      <c r="W2137" s="12"/>
      <c r="X2137" s="12"/>
      <c r="Y2137" s="12"/>
      <c r="Z2137" s="12"/>
    </row>
    <row r="2138" spans="1:26" ht="14.25" customHeight="1" x14ac:dyDescent="0.3">
      <c r="A2138" s="155"/>
      <c r="B2138" s="156"/>
      <c r="C2138" s="3"/>
      <c r="D2138" s="3"/>
      <c r="E2138" s="156"/>
      <c r="F2138" s="3"/>
      <c r="G2138" s="158"/>
      <c r="H2138" s="155"/>
      <c r="I2138" s="155"/>
      <c r="J2138" s="156"/>
      <c r="K2138" s="5"/>
      <c r="L2138" s="3"/>
      <c r="M2138" s="6"/>
      <c r="N2138" s="9"/>
      <c r="O2138" s="158"/>
      <c r="P2138" s="12"/>
      <c r="Q2138" s="12"/>
      <c r="R2138" s="12"/>
      <c r="S2138" s="12"/>
      <c r="T2138" s="12"/>
      <c r="U2138" s="12"/>
      <c r="V2138" s="12"/>
      <c r="W2138" s="12"/>
      <c r="X2138" s="12"/>
      <c r="Y2138" s="12"/>
      <c r="Z2138" s="12"/>
    </row>
    <row r="2139" spans="1:26" ht="14.25" customHeight="1" x14ac:dyDescent="0.3">
      <c r="A2139" s="155"/>
      <c r="B2139" s="156"/>
      <c r="C2139" s="3"/>
      <c r="D2139" s="3"/>
      <c r="E2139" s="156"/>
      <c r="F2139" s="3"/>
      <c r="G2139" s="158"/>
      <c r="H2139" s="155"/>
      <c r="I2139" s="155"/>
      <c r="J2139" s="156"/>
      <c r="K2139" s="5"/>
      <c r="L2139" s="3"/>
      <c r="M2139" s="6"/>
      <c r="N2139" s="9"/>
      <c r="O2139" s="158"/>
      <c r="P2139" s="12"/>
      <c r="Q2139" s="12"/>
      <c r="R2139" s="12"/>
      <c r="S2139" s="12"/>
      <c r="T2139" s="12"/>
      <c r="U2139" s="12"/>
      <c r="V2139" s="12"/>
      <c r="W2139" s="12"/>
      <c r="X2139" s="12"/>
      <c r="Y2139" s="12"/>
      <c r="Z2139" s="12"/>
    </row>
    <row r="2140" spans="1:26" ht="14.25" customHeight="1" x14ac:dyDescent="0.3">
      <c r="A2140" s="155"/>
      <c r="B2140" s="156"/>
      <c r="C2140" s="3"/>
      <c r="D2140" s="3"/>
      <c r="E2140" s="156"/>
      <c r="F2140" s="3"/>
      <c r="G2140" s="158"/>
      <c r="H2140" s="155"/>
      <c r="I2140" s="155"/>
      <c r="J2140" s="156"/>
      <c r="K2140" s="5"/>
      <c r="L2140" s="3"/>
      <c r="M2140" s="6"/>
      <c r="N2140" s="9"/>
      <c r="O2140" s="158"/>
      <c r="P2140" s="12"/>
      <c r="Q2140" s="12"/>
      <c r="R2140" s="12"/>
      <c r="S2140" s="12"/>
      <c r="T2140" s="12"/>
      <c r="U2140" s="12"/>
      <c r="V2140" s="12"/>
      <c r="W2140" s="12"/>
      <c r="X2140" s="12"/>
      <c r="Y2140" s="12"/>
      <c r="Z2140" s="12"/>
    </row>
    <row r="2141" spans="1:26" ht="14.25" customHeight="1" x14ac:dyDescent="0.3">
      <c r="A2141" s="155"/>
      <c r="B2141" s="156"/>
      <c r="C2141" s="3"/>
      <c r="D2141" s="3"/>
      <c r="E2141" s="156"/>
      <c r="F2141" s="3"/>
      <c r="G2141" s="158"/>
      <c r="H2141" s="155"/>
      <c r="I2141" s="155"/>
      <c r="J2141" s="156"/>
      <c r="K2141" s="5"/>
      <c r="L2141" s="3"/>
      <c r="M2141" s="6"/>
      <c r="N2141" s="9"/>
      <c r="O2141" s="158"/>
      <c r="P2141" s="12"/>
      <c r="Q2141" s="12"/>
      <c r="R2141" s="12"/>
      <c r="S2141" s="12"/>
      <c r="T2141" s="12"/>
      <c r="U2141" s="12"/>
      <c r="V2141" s="12"/>
      <c r="W2141" s="12"/>
      <c r="X2141" s="12"/>
      <c r="Y2141" s="12"/>
      <c r="Z2141" s="12"/>
    </row>
    <row r="2142" spans="1:26" ht="14.25" customHeight="1" x14ac:dyDescent="0.3">
      <c r="A2142" s="155"/>
      <c r="B2142" s="156"/>
      <c r="C2142" s="3"/>
      <c r="D2142" s="3"/>
      <c r="E2142" s="156"/>
      <c r="F2142" s="3"/>
      <c r="G2142" s="158"/>
      <c r="H2142" s="155"/>
      <c r="I2142" s="155"/>
      <c r="J2142" s="156"/>
      <c r="K2142" s="5"/>
      <c r="L2142" s="3"/>
      <c r="M2142" s="6"/>
      <c r="N2142" s="9"/>
      <c r="O2142" s="158"/>
      <c r="P2142" s="12"/>
      <c r="Q2142" s="12"/>
      <c r="R2142" s="12"/>
      <c r="S2142" s="12"/>
      <c r="T2142" s="12"/>
      <c r="U2142" s="12"/>
      <c r="V2142" s="12"/>
      <c r="W2142" s="12"/>
      <c r="X2142" s="12"/>
      <c r="Y2142" s="12"/>
      <c r="Z2142" s="12"/>
    </row>
    <row r="2143" spans="1:26" ht="14.25" customHeight="1" x14ac:dyDescent="0.3">
      <c r="A2143" s="155"/>
      <c r="B2143" s="156"/>
      <c r="C2143" s="3"/>
      <c r="D2143" s="3"/>
      <c r="E2143" s="156"/>
      <c r="F2143" s="3"/>
      <c r="G2143" s="158"/>
      <c r="H2143" s="155"/>
      <c r="I2143" s="155"/>
      <c r="J2143" s="156"/>
      <c r="K2143" s="5"/>
      <c r="L2143" s="3"/>
      <c r="M2143" s="6"/>
      <c r="N2143" s="9"/>
      <c r="O2143" s="158"/>
      <c r="P2143" s="12"/>
      <c r="Q2143" s="12"/>
      <c r="R2143" s="12"/>
      <c r="S2143" s="12"/>
      <c r="T2143" s="12"/>
      <c r="U2143" s="12"/>
      <c r="V2143" s="12"/>
      <c r="W2143" s="12"/>
      <c r="X2143" s="12"/>
      <c r="Y2143" s="12"/>
      <c r="Z2143" s="12"/>
    </row>
    <row r="2144" spans="1:26" ht="14.25" customHeight="1" x14ac:dyDescent="0.3">
      <c r="A2144" s="155"/>
      <c r="B2144" s="156"/>
      <c r="C2144" s="3"/>
      <c r="D2144" s="3"/>
      <c r="E2144" s="156"/>
      <c r="F2144" s="3"/>
      <c r="G2144" s="158"/>
      <c r="H2144" s="155"/>
      <c r="I2144" s="155"/>
      <c r="J2144" s="156"/>
      <c r="K2144" s="5"/>
      <c r="L2144" s="3"/>
      <c r="M2144" s="6"/>
      <c r="N2144" s="9"/>
      <c r="O2144" s="158"/>
      <c r="P2144" s="12"/>
      <c r="Q2144" s="12"/>
      <c r="R2144" s="12"/>
      <c r="S2144" s="12"/>
      <c r="T2144" s="12"/>
      <c r="U2144" s="12"/>
      <c r="V2144" s="12"/>
      <c r="W2144" s="12"/>
      <c r="X2144" s="12"/>
      <c r="Y2144" s="12"/>
      <c r="Z2144" s="12"/>
    </row>
    <row r="2145" spans="1:26" ht="14.25" customHeight="1" x14ac:dyDescent="0.3">
      <c r="A2145" s="155"/>
      <c r="B2145" s="156"/>
      <c r="C2145" s="3"/>
      <c r="D2145" s="3"/>
      <c r="E2145" s="156"/>
      <c r="F2145" s="3"/>
      <c r="G2145" s="158"/>
      <c r="H2145" s="155"/>
      <c r="I2145" s="155"/>
      <c r="J2145" s="156"/>
      <c r="K2145" s="5"/>
      <c r="L2145" s="3"/>
      <c r="M2145" s="6"/>
      <c r="N2145" s="9"/>
      <c r="O2145" s="158"/>
      <c r="P2145" s="12"/>
      <c r="Q2145" s="12"/>
      <c r="R2145" s="12"/>
      <c r="S2145" s="12"/>
      <c r="T2145" s="12"/>
      <c r="U2145" s="12"/>
      <c r="V2145" s="12"/>
      <c r="W2145" s="12"/>
      <c r="X2145" s="12"/>
      <c r="Y2145" s="12"/>
      <c r="Z2145" s="12"/>
    </row>
    <row r="2146" spans="1:26" ht="14.25" customHeight="1" x14ac:dyDescent="0.3">
      <c r="A2146" s="155"/>
      <c r="B2146" s="156"/>
      <c r="C2146" s="3"/>
      <c r="D2146" s="3"/>
      <c r="E2146" s="156"/>
      <c r="F2146" s="3"/>
      <c r="G2146" s="158"/>
      <c r="H2146" s="155"/>
      <c r="I2146" s="155"/>
      <c r="J2146" s="156"/>
      <c r="K2146" s="5"/>
      <c r="L2146" s="3"/>
      <c r="M2146" s="6"/>
      <c r="N2146" s="9"/>
      <c r="O2146" s="158"/>
      <c r="P2146" s="12"/>
      <c r="Q2146" s="12"/>
      <c r="R2146" s="12"/>
      <c r="S2146" s="12"/>
      <c r="T2146" s="12"/>
      <c r="U2146" s="12"/>
      <c r="V2146" s="12"/>
      <c r="W2146" s="12"/>
      <c r="X2146" s="12"/>
      <c r="Y2146" s="12"/>
      <c r="Z2146" s="12"/>
    </row>
    <row r="2147" spans="1:26" ht="14.25" customHeight="1" x14ac:dyDescent="0.3">
      <c r="A2147" s="155"/>
      <c r="B2147" s="156"/>
      <c r="C2147" s="3"/>
      <c r="D2147" s="3"/>
      <c r="E2147" s="156"/>
      <c r="F2147" s="3"/>
      <c r="G2147" s="158"/>
      <c r="H2147" s="155"/>
      <c r="I2147" s="155"/>
      <c r="J2147" s="156"/>
      <c r="K2147" s="5"/>
      <c r="L2147" s="3"/>
      <c r="M2147" s="6"/>
      <c r="N2147" s="9"/>
      <c r="O2147" s="158"/>
      <c r="P2147" s="12"/>
      <c r="Q2147" s="12"/>
      <c r="R2147" s="12"/>
      <c r="S2147" s="12"/>
      <c r="T2147" s="12"/>
      <c r="U2147" s="12"/>
      <c r="V2147" s="12"/>
      <c r="W2147" s="12"/>
      <c r="X2147" s="12"/>
      <c r="Y2147" s="12"/>
      <c r="Z2147" s="12"/>
    </row>
    <row r="2148" spans="1:26" ht="14.25" customHeight="1" x14ac:dyDescent="0.3">
      <c r="A2148" s="155"/>
      <c r="B2148" s="156"/>
      <c r="C2148" s="3"/>
      <c r="D2148" s="3"/>
      <c r="E2148" s="156"/>
      <c r="F2148" s="3"/>
      <c r="G2148" s="158"/>
      <c r="H2148" s="155"/>
      <c r="I2148" s="155"/>
      <c r="J2148" s="156"/>
      <c r="K2148" s="5"/>
      <c r="L2148" s="3"/>
      <c r="M2148" s="6"/>
      <c r="N2148" s="9"/>
      <c r="O2148" s="158"/>
      <c r="P2148" s="12"/>
      <c r="Q2148" s="12"/>
      <c r="R2148" s="12"/>
      <c r="S2148" s="12"/>
      <c r="T2148" s="12"/>
      <c r="U2148" s="12"/>
      <c r="V2148" s="12"/>
      <c r="W2148" s="12"/>
      <c r="X2148" s="12"/>
      <c r="Y2148" s="12"/>
      <c r="Z2148" s="12"/>
    </row>
    <row r="2149" spans="1:26" ht="14.25" customHeight="1" x14ac:dyDescent="0.3">
      <c r="A2149" s="155"/>
      <c r="B2149" s="156"/>
      <c r="C2149" s="3"/>
      <c r="D2149" s="3"/>
      <c r="E2149" s="156"/>
      <c r="F2149" s="3"/>
      <c r="G2149" s="158"/>
      <c r="H2149" s="155"/>
      <c r="I2149" s="155"/>
      <c r="J2149" s="156"/>
      <c r="K2149" s="5"/>
      <c r="L2149" s="3"/>
      <c r="M2149" s="6"/>
      <c r="N2149" s="9"/>
      <c r="O2149" s="158"/>
      <c r="P2149" s="12"/>
      <c r="Q2149" s="12"/>
      <c r="R2149" s="12"/>
      <c r="S2149" s="12"/>
      <c r="T2149" s="12"/>
      <c r="U2149" s="12"/>
      <c r="V2149" s="12"/>
      <c r="W2149" s="12"/>
      <c r="X2149" s="12"/>
      <c r="Y2149" s="12"/>
      <c r="Z2149" s="12"/>
    </row>
    <row r="2150" spans="1:26" ht="14.25" customHeight="1" x14ac:dyDescent="0.3">
      <c r="A2150" s="155"/>
      <c r="B2150" s="156"/>
      <c r="C2150" s="3"/>
      <c r="D2150" s="3"/>
      <c r="E2150" s="156"/>
      <c r="F2150" s="3"/>
      <c r="G2150" s="158"/>
      <c r="H2150" s="155"/>
      <c r="I2150" s="155"/>
      <c r="J2150" s="156"/>
      <c r="K2150" s="5"/>
      <c r="L2150" s="3"/>
      <c r="M2150" s="6"/>
      <c r="N2150" s="9"/>
      <c r="O2150" s="158"/>
      <c r="P2150" s="12"/>
      <c r="Q2150" s="12"/>
      <c r="R2150" s="12"/>
      <c r="S2150" s="12"/>
      <c r="T2150" s="12"/>
      <c r="U2150" s="12"/>
      <c r="V2150" s="12"/>
      <c r="W2150" s="12"/>
      <c r="X2150" s="12"/>
      <c r="Y2150" s="12"/>
      <c r="Z2150" s="12"/>
    </row>
    <row r="2151" spans="1:26" ht="14.25" customHeight="1" x14ac:dyDescent="0.3">
      <c r="A2151" s="155"/>
      <c r="B2151" s="156"/>
      <c r="C2151" s="3"/>
      <c r="D2151" s="3"/>
      <c r="E2151" s="156"/>
      <c r="F2151" s="3"/>
      <c r="G2151" s="158"/>
      <c r="H2151" s="155"/>
      <c r="I2151" s="155"/>
      <c r="J2151" s="156"/>
      <c r="K2151" s="5"/>
      <c r="L2151" s="3"/>
      <c r="M2151" s="6"/>
      <c r="N2151" s="9"/>
      <c r="O2151" s="158"/>
      <c r="P2151" s="12"/>
      <c r="Q2151" s="12"/>
      <c r="R2151" s="12"/>
      <c r="S2151" s="12"/>
      <c r="T2151" s="12"/>
      <c r="U2151" s="12"/>
      <c r="V2151" s="12"/>
      <c r="W2151" s="12"/>
      <c r="X2151" s="12"/>
      <c r="Y2151" s="12"/>
      <c r="Z2151" s="12"/>
    </row>
    <row r="2152" spans="1:26" ht="14.25" customHeight="1" x14ac:dyDescent="0.3">
      <c r="A2152" s="155"/>
      <c r="B2152" s="156"/>
      <c r="C2152" s="3"/>
      <c r="D2152" s="3"/>
      <c r="E2152" s="156"/>
      <c r="F2152" s="3"/>
      <c r="G2152" s="158"/>
      <c r="H2152" s="155"/>
      <c r="I2152" s="155"/>
      <c r="J2152" s="156"/>
      <c r="K2152" s="5"/>
      <c r="L2152" s="3"/>
      <c r="M2152" s="6"/>
      <c r="N2152" s="9"/>
      <c r="O2152" s="158"/>
      <c r="P2152" s="12"/>
      <c r="Q2152" s="12"/>
      <c r="R2152" s="12"/>
      <c r="S2152" s="12"/>
      <c r="T2152" s="12"/>
      <c r="U2152" s="12"/>
      <c r="V2152" s="12"/>
      <c r="W2152" s="12"/>
      <c r="X2152" s="12"/>
      <c r="Y2152" s="12"/>
      <c r="Z2152" s="12"/>
    </row>
    <row r="2153" spans="1:26" ht="14.25" customHeight="1" x14ac:dyDescent="0.3">
      <c r="A2153" s="155"/>
      <c r="B2153" s="156"/>
      <c r="C2153" s="3"/>
      <c r="D2153" s="3"/>
      <c r="E2153" s="156"/>
      <c r="F2153" s="3"/>
      <c r="G2153" s="158"/>
      <c r="H2153" s="155"/>
      <c r="I2153" s="155"/>
      <c r="J2153" s="156"/>
      <c r="K2153" s="5"/>
      <c r="L2153" s="3"/>
      <c r="M2153" s="6"/>
      <c r="N2153" s="9"/>
      <c r="O2153" s="158"/>
      <c r="P2153" s="12"/>
      <c r="Q2153" s="12"/>
      <c r="R2153" s="12"/>
      <c r="S2153" s="12"/>
      <c r="T2153" s="12"/>
      <c r="U2153" s="12"/>
      <c r="V2153" s="12"/>
      <c r="W2153" s="12"/>
      <c r="X2153" s="12"/>
      <c r="Y2153" s="12"/>
      <c r="Z2153" s="12"/>
    </row>
    <row r="2154" spans="1:26" ht="14.25" customHeight="1" x14ac:dyDescent="0.3">
      <c r="A2154" s="155"/>
      <c r="B2154" s="156"/>
      <c r="C2154" s="3"/>
      <c r="D2154" s="3"/>
      <c r="E2154" s="156"/>
      <c r="F2154" s="3"/>
      <c r="G2154" s="158"/>
      <c r="H2154" s="155"/>
      <c r="I2154" s="155"/>
      <c r="J2154" s="156"/>
      <c r="K2154" s="5"/>
      <c r="L2154" s="3"/>
      <c r="M2154" s="6"/>
      <c r="N2154" s="9"/>
      <c r="O2154" s="158"/>
      <c r="P2154" s="12"/>
      <c r="Q2154" s="12"/>
      <c r="R2154" s="12"/>
      <c r="S2154" s="12"/>
      <c r="T2154" s="12"/>
      <c r="U2154" s="12"/>
      <c r="V2154" s="12"/>
      <c r="W2154" s="12"/>
      <c r="X2154" s="12"/>
      <c r="Y2154" s="12"/>
      <c r="Z2154" s="12"/>
    </row>
    <row r="2155" spans="1:26" ht="14.25" customHeight="1" x14ac:dyDescent="0.3">
      <c r="A2155" s="155"/>
      <c r="B2155" s="156"/>
      <c r="C2155" s="3"/>
      <c r="D2155" s="3"/>
      <c r="E2155" s="156"/>
      <c r="F2155" s="3"/>
      <c r="G2155" s="158"/>
      <c r="H2155" s="155"/>
      <c r="I2155" s="155"/>
      <c r="J2155" s="156"/>
      <c r="K2155" s="5"/>
      <c r="L2155" s="3"/>
      <c r="M2155" s="6"/>
      <c r="N2155" s="9"/>
      <c r="O2155" s="158"/>
      <c r="P2155" s="12"/>
      <c r="Q2155" s="12"/>
      <c r="R2155" s="12"/>
      <c r="S2155" s="12"/>
      <c r="T2155" s="12"/>
      <c r="U2155" s="12"/>
      <c r="V2155" s="12"/>
      <c r="W2155" s="12"/>
      <c r="X2155" s="12"/>
      <c r="Y2155" s="12"/>
      <c r="Z2155" s="12"/>
    </row>
    <row r="2156" spans="1:26" ht="14.25" customHeight="1" x14ac:dyDescent="0.3">
      <c r="A2156" s="155"/>
      <c r="B2156" s="156"/>
      <c r="C2156" s="3"/>
      <c r="D2156" s="3"/>
      <c r="E2156" s="156"/>
      <c r="F2156" s="3"/>
      <c r="G2156" s="158"/>
      <c r="H2156" s="155"/>
      <c r="I2156" s="155"/>
      <c r="J2156" s="156"/>
      <c r="K2156" s="5"/>
      <c r="L2156" s="3"/>
      <c r="M2156" s="6"/>
      <c r="N2156" s="9"/>
      <c r="O2156" s="158"/>
      <c r="P2156" s="12"/>
      <c r="Q2156" s="12"/>
      <c r="R2156" s="12"/>
      <c r="S2156" s="12"/>
      <c r="T2156" s="12"/>
      <c r="U2156" s="12"/>
      <c r="V2156" s="12"/>
      <c r="W2156" s="12"/>
      <c r="X2156" s="12"/>
      <c r="Y2156" s="12"/>
      <c r="Z2156" s="12"/>
    </row>
    <row r="2157" spans="1:26" ht="14.25" customHeight="1" x14ac:dyDescent="0.3">
      <c r="A2157" s="155"/>
      <c r="B2157" s="156"/>
      <c r="C2157" s="3"/>
      <c r="D2157" s="3"/>
      <c r="E2157" s="156"/>
      <c r="F2157" s="3"/>
      <c r="G2157" s="158"/>
      <c r="H2157" s="155"/>
      <c r="I2157" s="155"/>
      <c r="J2157" s="156"/>
      <c r="K2157" s="5"/>
      <c r="L2157" s="3"/>
      <c r="M2157" s="6"/>
      <c r="N2157" s="9"/>
      <c r="O2157" s="158"/>
      <c r="P2157" s="12"/>
      <c r="Q2157" s="12"/>
      <c r="R2157" s="12"/>
      <c r="S2157" s="12"/>
      <c r="T2157" s="12"/>
      <c r="U2157" s="12"/>
      <c r="V2157" s="12"/>
      <c r="W2157" s="12"/>
      <c r="X2157" s="12"/>
      <c r="Y2157" s="12"/>
      <c r="Z2157" s="12"/>
    </row>
    <row r="2158" spans="1:26" ht="14.25" customHeight="1" x14ac:dyDescent="0.3">
      <c r="A2158" s="155"/>
      <c r="B2158" s="156"/>
      <c r="C2158" s="3"/>
      <c r="D2158" s="3"/>
      <c r="E2158" s="156"/>
      <c r="F2158" s="3"/>
      <c r="G2158" s="158"/>
      <c r="H2158" s="155"/>
      <c r="I2158" s="155"/>
      <c r="J2158" s="156"/>
      <c r="K2158" s="5"/>
      <c r="L2158" s="3"/>
      <c r="M2158" s="6"/>
      <c r="N2158" s="9"/>
      <c r="O2158" s="158"/>
      <c r="P2158" s="12"/>
      <c r="Q2158" s="12"/>
      <c r="R2158" s="12"/>
      <c r="S2158" s="12"/>
      <c r="T2158" s="12"/>
      <c r="U2158" s="12"/>
      <c r="V2158" s="12"/>
      <c r="W2158" s="12"/>
      <c r="X2158" s="12"/>
      <c r="Y2158" s="12"/>
      <c r="Z2158" s="12"/>
    </row>
    <row r="2159" spans="1:26" ht="14.25" customHeight="1" x14ac:dyDescent="0.3">
      <c r="A2159" s="155"/>
      <c r="B2159" s="156"/>
      <c r="C2159" s="3"/>
      <c r="D2159" s="3"/>
      <c r="E2159" s="156"/>
      <c r="F2159" s="3"/>
      <c r="G2159" s="158"/>
      <c r="H2159" s="155"/>
      <c r="I2159" s="155"/>
      <c r="J2159" s="156"/>
      <c r="K2159" s="5"/>
      <c r="L2159" s="3"/>
      <c r="M2159" s="6"/>
      <c r="N2159" s="9"/>
      <c r="O2159" s="158"/>
      <c r="P2159" s="12"/>
      <c r="Q2159" s="12"/>
      <c r="R2159" s="12"/>
      <c r="S2159" s="12"/>
      <c r="T2159" s="12"/>
      <c r="U2159" s="12"/>
      <c r="V2159" s="12"/>
      <c r="W2159" s="12"/>
      <c r="X2159" s="12"/>
      <c r="Y2159" s="12"/>
      <c r="Z2159" s="12"/>
    </row>
    <row r="2160" spans="1:26" ht="14.25" customHeight="1" x14ac:dyDescent="0.3">
      <c r="A2160" s="155"/>
      <c r="B2160" s="156"/>
      <c r="C2160" s="3"/>
      <c r="D2160" s="3"/>
      <c r="E2160" s="156"/>
      <c r="F2160" s="3"/>
      <c r="G2160" s="158"/>
      <c r="H2160" s="155"/>
      <c r="I2160" s="155"/>
      <c r="J2160" s="156"/>
      <c r="K2160" s="5"/>
      <c r="L2160" s="3"/>
      <c r="M2160" s="6"/>
      <c r="N2160" s="9"/>
      <c r="O2160" s="158"/>
      <c r="P2160" s="12"/>
      <c r="Q2160" s="12"/>
      <c r="R2160" s="12"/>
      <c r="S2160" s="12"/>
      <c r="T2160" s="12"/>
      <c r="U2160" s="12"/>
      <c r="V2160" s="12"/>
      <c r="W2160" s="12"/>
      <c r="X2160" s="12"/>
      <c r="Y2160" s="12"/>
      <c r="Z2160" s="12"/>
    </row>
    <row r="2161" spans="1:26" ht="14.25" customHeight="1" x14ac:dyDescent="0.3">
      <c r="A2161" s="155"/>
      <c r="B2161" s="156"/>
      <c r="C2161" s="3"/>
      <c r="D2161" s="3"/>
      <c r="E2161" s="156"/>
      <c r="F2161" s="3"/>
      <c r="G2161" s="158"/>
      <c r="H2161" s="155"/>
      <c r="I2161" s="155"/>
      <c r="J2161" s="156"/>
      <c r="K2161" s="5"/>
      <c r="L2161" s="3"/>
      <c r="M2161" s="6"/>
      <c r="N2161" s="9"/>
      <c r="O2161" s="158"/>
      <c r="P2161" s="12"/>
      <c r="Q2161" s="12"/>
      <c r="R2161" s="12"/>
      <c r="S2161" s="12"/>
      <c r="T2161" s="12"/>
      <c r="U2161" s="12"/>
      <c r="V2161" s="12"/>
      <c r="W2161" s="12"/>
      <c r="X2161" s="12"/>
      <c r="Y2161" s="12"/>
      <c r="Z2161" s="12"/>
    </row>
    <row r="2162" spans="1:26" ht="14.25" customHeight="1" x14ac:dyDescent="0.3">
      <c r="A2162" s="155"/>
      <c r="B2162" s="156"/>
      <c r="C2162" s="3"/>
      <c r="D2162" s="3"/>
      <c r="E2162" s="156"/>
      <c r="F2162" s="3"/>
      <c r="G2162" s="158"/>
      <c r="H2162" s="155"/>
      <c r="I2162" s="155"/>
      <c r="J2162" s="156"/>
      <c r="K2162" s="5"/>
      <c r="L2162" s="3"/>
      <c r="M2162" s="6"/>
      <c r="N2162" s="9"/>
      <c r="O2162" s="158"/>
      <c r="P2162" s="12"/>
      <c r="Q2162" s="12"/>
      <c r="R2162" s="12"/>
      <c r="S2162" s="12"/>
      <c r="T2162" s="12"/>
      <c r="U2162" s="12"/>
      <c r="V2162" s="12"/>
      <c r="W2162" s="12"/>
      <c r="X2162" s="12"/>
      <c r="Y2162" s="12"/>
      <c r="Z2162" s="12"/>
    </row>
    <row r="2163" spans="1:26" ht="14.25" customHeight="1" x14ac:dyDescent="0.3">
      <c r="A2163" s="155"/>
      <c r="B2163" s="156"/>
      <c r="C2163" s="3"/>
      <c r="D2163" s="3"/>
      <c r="E2163" s="156"/>
      <c r="F2163" s="3"/>
      <c r="G2163" s="158"/>
      <c r="H2163" s="155"/>
      <c r="I2163" s="155"/>
      <c r="J2163" s="156"/>
      <c r="K2163" s="5"/>
      <c r="L2163" s="3"/>
      <c r="M2163" s="6"/>
      <c r="N2163" s="9"/>
      <c r="O2163" s="158"/>
      <c r="P2163" s="12"/>
      <c r="Q2163" s="12"/>
      <c r="R2163" s="12"/>
      <c r="S2163" s="12"/>
      <c r="T2163" s="12"/>
      <c r="U2163" s="12"/>
      <c r="V2163" s="12"/>
      <c r="W2163" s="12"/>
      <c r="X2163" s="12"/>
      <c r="Y2163" s="12"/>
      <c r="Z2163" s="12"/>
    </row>
    <row r="2164" spans="1:26" ht="14.25" customHeight="1" x14ac:dyDescent="0.3">
      <c r="A2164" s="155"/>
      <c r="B2164" s="156"/>
      <c r="C2164" s="3"/>
      <c r="D2164" s="3"/>
      <c r="E2164" s="156"/>
      <c r="F2164" s="3"/>
      <c r="G2164" s="158"/>
      <c r="H2164" s="155"/>
      <c r="I2164" s="155"/>
      <c r="J2164" s="156"/>
      <c r="K2164" s="5"/>
      <c r="L2164" s="3"/>
      <c r="M2164" s="6"/>
      <c r="N2164" s="9"/>
      <c r="O2164" s="158"/>
      <c r="P2164" s="12"/>
      <c r="Q2164" s="12"/>
      <c r="R2164" s="12"/>
      <c r="S2164" s="12"/>
      <c r="T2164" s="12"/>
      <c r="U2164" s="12"/>
      <c r="V2164" s="12"/>
      <c r="W2164" s="12"/>
      <c r="X2164" s="12"/>
      <c r="Y2164" s="12"/>
      <c r="Z2164" s="12"/>
    </row>
    <row r="2165" spans="1:26" ht="14.25" customHeight="1" x14ac:dyDescent="0.3">
      <c r="A2165" s="155"/>
      <c r="B2165" s="156"/>
      <c r="C2165" s="3"/>
      <c r="D2165" s="3"/>
      <c r="E2165" s="156"/>
      <c r="F2165" s="3"/>
      <c r="G2165" s="158"/>
      <c r="H2165" s="155"/>
      <c r="I2165" s="155"/>
      <c r="J2165" s="156"/>
      <c r="K2165" s="5"/>
      <c r="L2165" s="3"/>
      <c r="M2165" s="6"/>
      <c r="N2165" s="9"/>
      <c r="O2165" s="158"/>
      <c r="P2165" s="12"/>
      <c r="Q2165" s="12"/>
      <c r="R2165" s="12"/>
      <c r="S2165" s="12"/>
      <c r="T2165" s="12"/>
      <c r="U2165" s="12"/>
      <c r="V2165" s="12"/>
      <c r="W2165" s="12"/>
      <c r="X2165" s="12"/>
      <c r="Y2165" s="12"/>
      <c r="Z2165" s="12"/>
    </row>
    <row r="2166" spans="1:26" ht="14.25" customHeight="1" x14ac:dyDescent="0.3">
      <c r="A2166" s="155"/>
      <c r="B2166" s="156"/>
      <c r="C2166" s="3"/>
      <c r="D2166" s="3"/>
      <c r="E2166" s="156"/>
      <c r="F2166" s="3"/>
      <c r="G2166" s="158"/>
      <c r="H2166" s="155"/>
      <c r="I2166" s="155"/>
      <c r="J2166" s="156"/>
      <c r="K2166" s="5"/>
      <c r="L2166" s="3"/>
      <c r="M2166" s="6"/>
      <c r="N2166" s="9"/>
      <c r="O2166" s="158"/>
      <c r="P2166" s="12"/>
      <c r="Q2166" s="12"/>
      <c r="R2166" s="12"/>
      <c r="S2166" s="12"/>
      <c r="T2166" s="12"/>
      <c r="U2166" s="12"/>
      <c r="V2166" s="12"/>
      <c r="W2166" s="12"/>
      <c r="X2166" s="12"/>
      <c r="Y2166" s="12"/>
      <c r="Z2166" s="12"/>
    </row>
    <row r="2167" spans="1:26" ht="14.25" customHeight="1" x14ac:dyDescent="0.3">
      <c r="A2167" s="155"/>
      <c r="B2167" s="156"/>
      <c r="C2167" s="3"/>
      <c r="D2167" s="3"/>
      <c r="E2167" s="156"/>
      <c r="F2167" s="3"/>
      <c r="G2167" s="158"/>
      <c r="H2167" s="155"/>
      <c r="I2167" s="155"/>
      <c r="J2167" s="156"/>
      <c r="K2167" s="5"/>
      <c r="L2167" s="3"/>
      <c r="M2167" s="6"/>
      <c r="N2167" s="9"/>
      <c r="O2167" s="158"/>
      <c r="P2167" s="12"/>
      <c r="Q2167" s="12"/>
      <c r="R2167" s="12"/>
      <c r="S2167" s="12"/>
      <c r="T2167" s="12"/>
      <c r="U2167" s="12"/>
      <c r="V2167" s="12"/>
      <c r="W2167" s="12"/>
      <c r="X2167" s="12"/>
      <c r="Y2167" s="12"/>
      <c r="Z2167" s="12"/>
    </row>
    <row r="2168" spans="1:26" ht="14.25" customHeight="1" x14ac:dyDescent="0.3">
      <c r="A2168" s="155"/>
      <c r="B2168" s="156"/>
      <c r="C2168" s="3"/>
      <c r="D2168" s="3"/>
      <c r="E2168" s="156"/>
      <c r="F2168" s="3"/>
      <c r="G2168" s="158"/>
      <c r="H2168" s="155"/>
      <c r="I2168" s="155"/>
      <c r="J2168" s="156"/>
      <c r="K2168" s="5"/>
      <c r="L2168" s="3"/>
      <c r="M2168" s="6"/>
      <c r="N2168" s="9"/>
      <c r="O2168" s="158"/>
      <c r="P2168" s="12"/>
      <c r="Q2168" s="12"/>
      <c r="R2168" s="12"/>
      <c r="S2168" s="12"/>
      <c r="T2168" s="12"/>
      <c r="U2168" s="12"/>
      <c r="V2168" s="12"/>
      <c r="W2168" s="12"/>
      <c r="X2168" s="12"/>
      <c r="Y2168" s="12"/>
      <c r="Z2168" s="12"/>
    </row>
    <row r="2169" spans="1:26" ht="14.25" customHeight="1" x14ac:dyDescent="0.3">
      <c r="A2169" s="155"/>
      <c r="B2169" s="156"/>
      <c r="C2169" s="3"/>
      <c r="D2169" s="3"/>
      <c r="E2169" s="156"/>
      <c r="F2169" s="3"/>
      <c r="G2169" s="158"/>
      <c r="H2169" s="155"/>
      <c r="I2169" s="155"/>
      <c r="J2169" s="156"/>
      <c r="K2169" s="5"/>
      <c r="L2169" s="3"/>
      <c r="M2169" s="6"/>
      <c r="N2169" s="9"/>
      <c r="O2169" s="158"/>
      <c r="P2169" s="12"/>
      <c r="Q2169" s="12"/>
      <c r="R2169" s="12"/>
      <c r="S2169" s="12"/>
      <c r="T2169" s="12"/>
      <c r="U2169" s="12"/>
      <c r="V2169" s="12"/>
      <c r="W2169" s="12"/>
      <c r="X2169" s="12"/>
      <c r="Y2169" s="12"/>
      <c r="Z2169" s="12"/>
    </row>
    <row r="2170" spans="1:26" ht="14.25" customHeight="1" x14ac:dyDescent="0.3">
      <c r="A2170" s="155"/>
      <c r="B2170" s="156"/>
      <c r="C2170" s="3"/>
      <c r="D2170" s="3"/>
      <c r="E2170" s="156"/>
      <c r="F2170" s="3"/>
      <c r="G2170" s="158"/>
      <c r="H2170" s="155"/>
      <c r="I2170" s="155"/>
      <c r="J2170" s="156"/>
      <c r="K2170" s="5"/>
      <c r="L2170" s="3"/>
      <c r="M2170" s="6"/>
      <c r="N2170" s="9"/>
      <c r="O2170" s="158"/>
      <c r="P2170" s="12"/>
      <c r="Q2170" s="12"/>
      <c r="R2170" s="12"/>
      <c r="S2170" s="12"/>
      <c r="T2170" s="12"/>
      <c r="U2170" s="12"/>
      <c r="V2170" s="12"/>
      <c r="W2170" s="12"/>
      <c r="X2170" s="12"/>
      <c r="Y2170" s="12"/>
      <c r="Z2170" s="12"/>
    </row>
    <row r="2171" spans="1:26" ht="14.25" customHeight="1" x14ac:dyDescent="0.3">
      <c r="A2171" s="155"/>
      <c r="B2171" s="156"/>
      <c r="C2171" s="3"/>
      <c r="D2171" s="3"/>
      <c r="E2171" s="156"/>
      <c r="F2171" s="3"/>
      <c r="G2171" s="158"/>
      <c r="H2171" s="155"/>
      <c r="I2171" s="155"/>
      <c r="J2171" s="156"/>
      <c r="K2171" s="5"/>
      <c r="L2171" s="3"/>
      <c r="M2171" s="6"/>
      <c r="N2171" s="9"/>
      <c r="O2171" s="158"/>
      <c r="P2171" s="12"/>
      <c r="Q2171" s="12"/>
      <c r="R2171" s="12"/>
      <c r="S2171" s="12"/>
      <c r="T2171" s="12"/>
      <c r="U2171" s="12"/>
      <c r="V2171" s="12"/>
      <c r="W2171" s="12"/>
      <c r="X2171" s="12"/>
      <c r="Y2171" s="12"/>
      <c r="Z2171" s="12"/>
    </row>
    <row r="2172" spans="1:26" ht="14.25" customHeight="1" x14ac:dyDescent="0.3">
      <c r="A2172" s="155"/>
      <c r="B2172" s="156"/>
      <c r="C2172" s="3"/>
      <c r="D2172" s="3"/>
      <c r="E2172" s="156"/>
      <c r="F2172" s="3"/>
      <c r="G2172" s="158"/>
      <c r="H2172" s="155"/>
      <c r="I2172" s="155"/>
      <c r="J2172" s="156"/>
      <c r="K2172" s="5"/>
      <c r="L2172" s="3"/>
      <c r="M2172" s="6"/>
      <c r="N2172" s="9"/>
      <c r="O2172" s="158"/>
      <c r="P2172" s="12"/>
      <c r="Q2172" s="12"/>
      <c r="R2172" s="12"/>
      <c r="S2172" s="12"/>
      <c r="T2172" s="12"/>
      <c r="U2172" s="12"/>
      <c r="V2172" s="12"/>
      <c r="W2172" s="12"/>
      <c r="X2172" s="12"/>
      <c r="Y2172" s="12"/>
      <c r="Z2172" s="12"/>
    </row>
    <row r="2173" spans="1:26" ht="14.25" customHeight="1" x14ac:dyDescent="0.3">
      <c r="A2173" s="155"/>
      <c r="B2173" s="156"/>
      <c r="C2173" s="3"/>
      <c r="D2173" s="3"/>
      <c r="E2173" s="156"/>
      <c r="F2173" s="3"/>
      <c r="G2173" s="158"/>
      <c r="H2173" s="155"/>
      <c r="I2173" s="155"/>
      <c r="J2173" s="156"/>
      <c r="K2173" s="5"/>
      <c r="L2173" s="3"/>
      <c r="M2173" s="6"/>
      <c r="N2173" s="9"/>
      <c r="O2173" s="158"/>
      <c r="P2173" s="12"/>
      <c r="Q2173" s="12"/>
      <c r="R2173" s="12"/>
      <c r="S2173" s="12"/>
      <c r="T2173" s="12"/>
      <c r="U2173" s="12"/>
      <c r="V2173" s="12"/>
      <c r="W2173" s="12"/>
      <c r="X2173" s="12"/>
      <c r="Y2173" s="12"/>
      <c r="Z2173" s="12"/>
    </row>
    <row r="2174" spans="1:26" ht="14.25" customHeight="1" x14ac:dyDescent="0.3">
      <c r="A2174" s="155"/>
      <c r="B2174" s="156"/>
      <c r="C2174" s="3"/>
      <c r="D2174" s="3"/>
      <c r="E2174" s="156"/>
      <c r="F2174" s="3"/>
      <c r="G2174" s="158"/>
      <c r="H2174" s="155"/>
      <c r="I2174" s="155"/>
      <c r="J2174" s="156"/>
      <c r="K2174" s="5"/>
      <c r="L2174" s="3"/>
      <c r="M2174" s="6"/>
      <c r="N2174" s="9"/>
      <c r="O2174" s="158"/>
      <c r="P2174" s="12"/>
      <c r="Q2174" s="12"/>
      <c r="R2174" s="12"/>
      <c r="S2174" s="12"/>
      <c r="T2174" s="12"/>
      <c r="U2174" s="12"/>
      <c r="V2174" s="12"/>
      <c r="W2174" s="12"/>
      <c r="X2174" s="12"/>
      <c r="Y2174" s="12"/>
      <c r="Z2174" s="12"/>
    </row>
    <row r="2175" spans="1:26" ht="14.25" customHeight="1" x14ac:dyDescent="0.3">
      <c r="A2175" s="155"/>
      <c r="B2175" s="156"/>
      <c r="C2175" s="3"/>
      <c r="D2175" s="3"/>
      <c r="E2175" s="156"/>
      <c r="F2175" s="3"/>
      <c r="G2175" s="158"/>
      <c r="H2175" s="155"/>
      <c r="I2175" s="155"/>
      <c r="J2175" s="156"/>
      <c r="K2175" s="5"/>
      <c r="L2175" s="3"/>
      <c r="M2175" s="6"/>
      <c r="N2175" s="9"/>
      <c r="O2175" s="158"/>
      <c r="P2175" s="12"/>
      <c r="Q2175" s="12"/>
      <c r="R2175" s="12"/>
      <c r="S2175" s="12"/>
      <c r="T2175" s="12"/>
      <c r="U2175" s="12"/>
      <c r="V2175" s="12"/>
      <c r="W2175" s="12"/>
      <c r="X2175" s="12"/>
      <c r="Y2175" s="12"/>
      <c r="Z2175" s="12"/>
    </row>
    <row r="2176" spans="1:26" ht="14.25" customHeight="1" x14ac:dyDescent="0.3">
      <c r="A2176" s="155"/>
      <c r="B2176" s="156"/>
      <c r="C2176" s="3"/>
      <c r="D2176" s="3"/>
      <c r="E2176" s="156"/>
      <c r="F2176" s="3"/>
      <c r="G2176" s="158"/>
      <c r="H2176" s="155"/>
      <c r="I2176" s="155"/>
      <c r="J2176" s="156"/>
      <c r="K2176" s="5"/>
      <c r="L2176" s="3"/>
      <c r="M2176" s="6"/>
      <c r="N2176" s="9"/>
      <c r="O2176" s="158"/>
      <c r="P2176" s="12"/>
      <c r="Q2176" s="12"/>
      <c r="R2176" s="12"/>
      <c r="S2176" s="12"/>
      <c r="T2176" s="12"/>
      <c r="U2176" s="12"/>
      <c r="V2176" s="12"/>
      <c r="W2176" s="12"/>
      <c r="X2176" s="12"/>
      <c r="Y2176" s="12"/>
      <c r="Z2176" s="12"/>
    </row>
    <row r="2177" spans="1:26" ht="14.25" customHeight="1" x14ac:dyDescent="0.3">
      <c r="A2177" s="155"/>
      <c r="B2177" s="156"/>
      <c r="C2177" s="3"/>
      <c r="D2177" s="3"/>
      <c r="E2177" s="156"/>
      <c r="F2177" s="3"/>
      <c r="G2177" s="158"/>
      <c r="H2177" s="155"/>
      <c r="I2177" s="155"/>
      <c r="J2177" s="156"/>
      <c r="K2177" s="5"/>
      <c r="L2177" s="3"/>
      <c r="M2177" s="6"/>
      <c r="N2177" s="9"/>
      <c r="O2177" s="158"/>
      <c r="P2177" s="12"/>
      <c r="Q2177" s="12"/>
      <c r="R2177" s="12"/>
      <c r="S2177" s="12"/>
      <c r="T2177" s="12"/>
      <c r="U2177" s="12"/>
      <c r="V2177" s="12"/>
      <c r="W2177" s="12"/>
      <c r="X2177" s="12"/>
      <c r="Y2177" s="12"/>
      <c r="Z2177" s="12"/>
    </row>
    <row r="2178" spans="1:26" ht="14.25" customHeight="1" x14ac:dyDescent="0.3">
      <c r="A2178" s="155"/>
      <c r="B2178" s="156"/>
      <c r="C2178" s="3"/>
      <c r="D2178" s="3"/>
      <c r="E2178" s="156"/>
      <c r="F2178" s="3"/>
      <c r="G2178" s="158"/>
      <c r="H2178" s="155"/>
      <c r="I2178" s="155"/>
      <c r="J2178" s="156"/>
      <c r="K2178" s="5"/>
      <c r="L2178" s="3"/>
      <c r="M2178" s="6"/>
      <c r="N2178" s="9"/>
      <c r="O2178" s="158"/>
      <c r="P2178" s="12"/>
      <c r="Q2178" s="12"/>
      <c r="R2178" s="12"/>
      <c r="S2178" s="12"/>
      <c r="T2178" s="12"/>
      <c r="U2178" s="12"/>
      <c r="V2178" s="12"/>
      <c r="W2178" s="12"/>
      <c r="X2178" s="12"/>
      <c r="Y2178" s="12"/>
      <c r="Z2178" s="12"/>
    </row>
    <row r="2179" spans="1:26" ht="14.25" customHeight="1" x14ac:dyDescent="0.3">
      <c r="A2179" s="155"/>
      <c r="B2179" s="156"/>
      <c r="C2179" s="3"/>
      <c r="D2179" s="3"/>
      <c r="E2179" s="156"/>
      <c r="F2179" s="3"/>
      <c r="G2179" s="158"/>
      <c r="H2179" s="155"/>
      <c r="I2179" s="155"/>
      <c r="J2179" s="156"/>
      <c r="K2179" s="5"/>
      <c r="L2179" s="3"/>
      <c r="M2179" s="6"/>
      <c r="N2179" s="9"/>
      <c r="O2179" s="158"/>
      <c r="P2179" s="12"/>
      <c r="Q2179" s="12"/>
      <c r="R2179" s="12"/>
      <c r="S2179" s="12"/>
      <c r="T2179" s="12"/>
      <c r="U2179" s="12"/>
      <c r="V2179" s="12"/>
      <c r="W2179" s="12"/>
      <c r="X2179" s="12"/>
      <c r="Y2179" s="12"/>
      <c r="Z2179" s="12"/>
    </row>
    <row r="2180" spans="1:26" ht="14.25" customHeight="1" x14ac:dyDescent="0.3">
      <c r="A2180" s="155"/>
      <c r="B2180" s="156"/>
      <c r="C2180" s="3"/>
      <c r="D2180" s="3"/>
      <c r="E2180" s="156"/>
      <c r="F2180" s="3"/>
      <c r="G2180" s="158"/>
      <c r="H2180" s="155"/>
      <c r="I2180" s="155"/>
      <c r="J2180" s="156"/>
      <c r="K2180" s="5"/>
      <c r="L2180" s="3"/>
      <c r="M2180" s="6"/>
      <c r="N2180" s="9"/>
      <c r="O2180" s="158"/>
      <c r="P2180" s="12"/>
      <c r="Q2180" s="12"/>
      <c r="R2180" s="12"/>
      <c r="S2180" s="12"/>
      <c r="T2180" s="12"/>
      <c r="U2180" s="12"/>
      <c r="V2180" s="12"/>
      <c r="W2180" s="12"/>
      <c r="X2180" s="12"/>
      <c r="Y2180" s="12"/>
      <c r="Z2180" s="12"/>
    </row>
    <row r="2181" spans="1:26" ht="14.25" customHeight="1" x14ac:dyDescent="0.3">
      <c r="A2181" s="155"/>
      <c r="B2181" s="156"/>
      <c r="C2181" s="3"/>
      <c r="D2181" s="3"/>
      <c r="E2181" s="156"/>
      <c r="F2181" s="3"/>
      <c r="G2181" s="158"/>
      <c r="H2181" s="155"/>
      <c r="I2181" s="155"/>
      <c r="J2181" s="156"/>
      <c r="K2181" s="5"/>
      <c r="L2181" s="3"/>
      <c r="M2181" s="6"/>
      <c r="N2181" s="9"/>
      <c r="O2181" s="158"/>
      <c r="P2181" s="12"/>
      <c r="Q2181" s="12"/>
      <c r="R2181" s="12"/>
      <c r="S2181" s="12"/>
      <c r="T2181" s="12"/>
      <c r="U2181" s="12"/>
      <c r="V2181" s="12"/>
      <c r="W2181" s="12"/>
      <c r="X2181" s="12"/>
      <c r="Y2181" s="12"/>
      <c r="Z2181" s="12"/>
    </row>
    <row r="2182" spans="1:26" ht="14.25" customHeight="1" x14ac:dyDescent="0.3">
      <c r="A2182" s="155"/>
      <c r="B2182" s="156"/>
      <c r="C2182" s="3"/>
      <c r="D2182" s="3"/>
      <c r="E2182" s="156"/>
      <c r="F2182" s="3"/>
      <c r="G2182" s="158"/>
      <c r="H2182" s="155"/>
      <c r="I2182" s="155"/>
      <c r="J2182" s="156"/>
      <c r="K2182" s="5"/>
      <c r="L2182" s="3"/>
      <c r="M2182" s="6"/>
      <c r="N2182" s="9"/>
      <c r="O2182" s="158"/>
      <c r="P2182" s="12"/>
      <c r="Q2182" s="12"/>
      <c r="R2182" s="12"/>
      <c r="S2182" s="12"/>
      <c r="T2182" s="12"/>
      <c r="U2182" s="12"/>
      <c r="V2182" s="12"/>
      <c r="W2182" s="12"/>
      <c r="X2182" s="12"/>
      <c r="Y2182" s="12"/>
      <c r="Z2182" s="12"/>
    </row>
    <row r="2183" spans="1:26" ht="14.25" customHeight="1" x14ac:dyDescent="0.3">
      <c r="A2183" s="155"/>
      <c r="B2183" s="156"/>
      <c r="C2183" s="3"/>
      <c r="D2183" s="3"/>
      <c r="E2183" s="156"/>
      <c r="F2183" s="3"/>
      <c r="G2183" s="158"/>
      <c r="H2183" s="155"/>
      <c r="I2183" s="155"/>
      <c r="J2183" s="156"/>
      <c r="K2183" s="5"/>
      <c r="L2183" s="3"/>
      <c r="M2183" s="6"/>
      <c r="N2183" s="9"/>
      <c r="O2183" s="158"/>
      <c r="P2183" s="12"/>
      <c r="Q2183" s="12"/>
      <c r="R2183" s="12"/>
      <c r="S2183" s="12"/>
      <c r="T2183" s="12"/>
      <c r="U2183" s="12"/>
      <c r="V2183" s="12"/>
      <c r="W2183" s="12"/>
      <c r="X2183" s="12"/>
      <c r="Y2183" s="12"/>
      <c r="Z2183" s="12"/>
    </row>
    <row r="2184" spans="1:26" ht="14.25" customHeight="1" x14ac:dyDescent="0.3">
      <c r="A2184" s="155"/>
      <c r="B2184" s="156"/>
      <c r="C2184" s="3"/>
      <c r="D2184" s="3"/>
      <c r="E2184" s="156"/>
      <c r="F2184" s="3"/>
      <c r="G2184" s="158"/>
      <c r="H2184" s="155"/>
      <c r="I2184" s="155"/>
      <c r="J2184" s="156"/>
      <c r="K2184" s="5"/>
      <c r="L2184" s="3"/>
      <c r="M2184" s="6"/>
      <c r="N2184" s="9"/>
      <c r="O2184" s="158"/>
      <c r="P2184" s="12"/>
      <c r="Q2184" s="12"/>
      <c r="R2184" s="12"/>
      <c r="S2184" s="12"/>
      <c r="T2184" s="12"/>
      <c r="U2184" s="12"/>
      <c r="V2184" s="12"/>
      <c r="W2184" s="12"/>
      <c r="X2184" s="12"/>
      <c r="Y2184" s="12"/>
      <c r="Z2184" s="12"/>
    </row>
    <row r="2185" spans="1:26" ht="14.25" customHeight="1" x14ac:dyDescent="0.3">
      <c r="A2185" s="155"/>
      <c r="B2185" s="156"/>
      <c r="C2185" s="3"/>
      <c r="D2185" s="3"/>
      <c r="E2185" s="156"/>
      <c r="F2185" s="3"/>
      <c r="G2185" s="158"/>
      <c r="H2185" s="155"/>
      <c r="I2185" s="155"/>
      <c r="J2185" s="156"/>
      <c r="K2185" s="5"/>
      <c r="L2185" s="3"/>
      <c r="M2185" s="6"/>
      <c r="N2185" s="9"/>
      <c r="O2185" s="158"/>
      <c r="P2185" s="12"/>
      <c r="Q2185" s="12"/>
      <c r="R2185" s="12"/>
      <c r="S2185" s="12"/>
      <c r="T2185" s="12"/>
      <c r="U2185" s="12"/>
      <c r="V2185" s="12"/>
      <c r="W2185" s="12"/>
      <c r="X2185" s="12"/>
      <c r="Y2185" s="12"/>
      <c r="Z2185" s="12"/>
    </row>
    <row r="2186" spans="1:26" ht="14.25" customHeight="1" x14ac:dyDescent="0.3">
      <c r="A2186" s="155"/>
      <c r="B2186" s="156"/>
      <c r="C2186" s="3"/>
      <c r="D2186" s="3"/>
      <c r="E2186" s="156"/>
      <c r="F2186" s="3"/>
      <c r="G2186" s="158"/>
      <c r="H2186" s="155"/>
      <c r="I2186" s="155"/>
      <c r="J2186" s="156"/>
      <c r="K2186" s="5"/>
      <c r="L2186" s="3"/>
      <c r="M2186" s="6"/>
      <c r="N2186" s="9"/>
      <c r="O2186" s="158"/>
      <c r="P2186" s="12"/>
      <c r="Q2186" s="12"/>
      <c r="R2186" s="12"/>
      <c r="S2186" s="12"/>
      <c r="T2186" s="12"/>
      <c r="U2186" s="12"/>
      <c r="V2186" s="12"/>
      <c r="W2186" s="12"/>
      <c r="X2186" s="12"/>
      <c r="Y2186" s="12"/>
      <c r="Z2186" s="12"/>
    </row>
    <row r="2187" spans="1:26" ht="14.25" customHeight="1" x14ac:dyDescent="0.3">
      <c r="A2187" s="155"/>
      <c r="B2187" s="156"/>
      <c r="C2187" s="3"/>
      <c r="D2187" s="3"/>
      <c r="E2187" s="156"/>
      <c r="F2187" s="3"/>
      <c r="G2187" s="158"/>
      <c r="H2187" s="155"/>
      <c r="I2187" s="155"/>
      <c r="J2187" s="156"/>
      <c r="K2187" s="5"/>
      <c r="L2187" s="3"/>
      <c r="M2187" s="6"/>
      <c r="N2187" s="9"/>
      <c r="O2187" s="158"/>
      <c r="P2187" s="12"/>
      <c r="Q2187" s="12"/>
      <c r="R2187" s="12"/>
      <c r="S2187" s="12"/>
      <c r="T2187" s="12"/>
      <c r="U2187" s="12"/>
      <c r="V2187" s="12"/>
      <c r="W2187" s="12"/>
      <c r="X2187" s="12"/>
      <c r="Y2187" s="12"/>
      <c r="Z2187" s="12"/>
    </row>
    <row r="2188" spans="1:26" ht="14.25" customHeight="1" x14ac:dyDescent="0.3">
      <c r="A2188" s="155"/>
      <c r="B2188" s="156"/>
      <c r="C2188" s="3"/>
      <c r="D2188" s="3"/>
      <c r="E2188" s="156"/>
      <c r="F2188" s="3"/>
      <c r="G2188" s="158"/>
      <c r="H2188" s="155"/>
      <c r="I2188" s="155"/>
      <c r="J2188" s="156"/>
      <c r="K2188" s="5"/>
      <c r="L2188" s="3"/>
      <c r="M2188" s="6"/>
      <c r="N2188" s="9"/>
      <c r="O2188" s="158"/>
      <c r="P2188" s="12"/>
      <c r="Q2188" s="12"/>
      <c r="R2188" s="12"/>
      <c r="S2188" s="12"/>
      <c r="T2188" s="12"/>
      <c r="U2188" s="12"/>
      <c r="V2188" s="12"/>
      <c r="W2188" s="12"/>
      <c r="X2188" s="12"/>
      <c r="Y2188" s="12"/>
      <c r="Z2188" s="12"/>
    </row>
    <row r="2189" spans="1:26" ht="14.25" customHeight="1" x14ac:dyDescent="0.3">
      <c r="A2189" s="155"/>
      <c r="B2189" s="156"/>
      <c r="C2189" s="3"/>
      <c r="D2189" s="3"/>
      <c r="E2189" s="156"/>
      <c r="F2189" s="3"/>
      <c r="G2189" s="158"/>
      <c r="H2189" s="155"/>
      <c r="I2189" s="155"/>
      <c r="J2189" s="156"/>
      <c r="K2189" s="5"/>
      <c r="L2189" s="3"/>
      <c r="M2189" s="6"/>
      <c r="N2189" s="9"/>
      <c r="O2189" s="158"/>
      <c r="P2189" s="12"/>
      <c r="Q2189" s="12"/>
      <c r="R2189" s="12"/>
      <c r="S2189" s="12"/>
      <c r="T2189" s="12"/>
      <c r="U2189" s="12"/>
      <c r="V2189" s="12"/>
      <c r="W2189" s="12"/>
      <c r="X2189" s="12"/>
      <c r="Y2189" s="12"/>
      <c r="Z2189" s="12"/>
    </row>
    <row r="2190" spans="1:26" ht="14.25" customHeight="1" x14ac:dyDescent="0.3">
      <c r="A2190" s="155"/>
      <c r="B2190" s="156"/>
      <c r="C2190" s="3"/>
      <c r="D2190" s="3"/>
      <c r="E2190" s="156"/>
      <c r="F2190" s="3"/>
      <c r="G2190" s="158"/>
      <c r="H2190" s="155"/>
      <c r="I2190" s="155"/>
      <c r="J2190" s="156"/>
      <c r="K2190" s="5"/>
      <c r="L2190" s="3"/>
      <c r="M2190" s="6"/>
      <c r="N2190" s="9"/>
      <c r="O2190" s="158"/>
      <c r="P2190" s="12"/>
      <c r="Q2190" s="12"/>
      <c r="R2190" s="12"/>
      <c r="S2190" s="12"/>
      <c r="T2190" s="12"/>
      <c r="U2190" s="12"/>
      <c r="V2190" s="12"/>
      <c r="W2190" s="12"/>
      <c r="X2190" s="12"/>
      <c r="Y2190" s="12"/>
      <c r="Z2190" s="12"/>
    </row>
    <row r="2191" spans="1:26" ht="14.25" customHeight="1" x14ac:dyDescent="0.3">
      <c r="A2191" s="155"/>
      <c r="B2191" s="156"/>
      <c r="C2191" s="3"/>
      <c r="D2191" s="3"/>
      <c r="E2191" s="156"/>
      <c r="F2191" s="3"/>
      <c r="G2191" s="158"/>
      <c r="H2191" s="155"/>
      <c r="I2191" s="155"/>
      <c r="J2191" s="156"/>
      <c r="K2191" s="5"/>
      <c r="L2191" s="3"/>
      <c r="M2191" s="6"/>
      <c r="N2191" s="9"/>
      <c r="O2191" s="158"/>
      <c r="P2191" s="12"/>
      <c r="Q2191" s="12"/>
      <c r="R2191" s="12"/>
      <c r="S2191" s="12"/>
      <c r="T2191" s="12"/>
      <c r="U2191" s="12"/>
      <c r="V2191" s="12"/>
      <c r="W2191" s="12"/>
      <c r="X2191" s="12"/>
      <c r="Y2191" s="12"/>
      <c r="Z2191" s="12"/>
    </row>
    <row r="2192" spans="1:26" ht="14.25" customHeight="1" x14ac:dyDescent="0.3">
      <c r="A2192" s="155"/>
      <c r="B2192" s="156"/>
      <c r="C2192" s="3"/>
      <c r="D2192" s="3"/>
      <c r="E2192" s="156"/>
      <c r="F2192" s="3"/>
      <c r="G2192" s="158"/>
      <c r="H2192" s="155"/>
      <c r="I2192" s="155"/>
      <c r="J2192" s="156"/>
      <c r="K2192" s="5"/>
      <c r="L2192" s="3"/>
      <c r="M2192" s="6"/>
      <c r="N2192" s="9"/>
      <c r="O2192" s="158"/>
      <c r="P2192" s="12"/>
      <c r="Q2192" s="12"/>
      <c r="R2192" s="12"/>
      <c r="S2192" s="12"/>
      <c r="T2192" s="12"/>
      <c r="U2192" s="12"/>
      <c r="V2192" s="12"/>
      <c r="W2192" s="12"/>
      <c r="X2192" s="12"/>
      <c r="Y2192" s="12"/>
      <c r="Z2192" s="12"/>
    </row>
    <row r="2193" spans="1:26" ht="14.25" customHeight="1" x14ac:dyDescent="0.3">
      <c r="A2193" s="155"/>
      <c r="B2193" s="156"/>
      <c r="C2193" s="3"/>
      <c r="D2193" s="3"/>
      <c r="E2193" s="156"/>
      <c r="F2193" s="3"/>
      <c r="G2193" s="158"/>
      <c r="H2193" s="155"/>
      <c r="I2193" s="155"/>
      <c r="J2193" s="156"/>
      <c r="K2193" s="5"/>
      <c r="L2193" s="3"/>
      <c r="M2193" s="6"/>
      <c r="N2193" s="9"/>
      <c r="O2193" s="158"/>
      <c r="P2193" s="12"/>
      <c r="Q2193" s="12"/>
      <c r="R2193" s="12"/>
      <c r="S2193" s="12"/>
      <c r="T2193" s="12"/>
      <c r="U2193" s="12"/>
      <c r="V2193" s="12"/>
      <c r="W2193" s="12"/>
      <c r="X2193" s="12"/>
      <c r="Y2193" s="12"/>
      <c r="Z2193" s="12"/>
    </row>
    <row r="2194" spans="1:26" ht="14.25" customHeight="1" x14ac:dyDescent="0.3">
      <c r="A2194" s="155"/>
      <c r="B2194" s="156"/>
      <c r="C2194" s="3"/>
      <c r="D2194" s="3"/>
      <c r="E2194" s="156"/>
      <c r="F2194" s="3"/>
      <c r="G2194" s="158"/>
      <c r="H2194" s="155"/>
      <c r="I2194" s="155"/>
      <c r="J2194" s="156"/>
      <c r="K2194" s="5"/>
      <c r="L2194" s="3"/>
      <c r="M2194" s="6"/>
      <c r="N2194" s="9"/>
      <c r="O2194" s="158"/>
      <c r="P2194" s="12"/>
      <c r="Q2194" s="12"/>
      <c r="R2194" s="12"/>
      <c r="S2194" s="12"/>
      <c r="T2194" s="12"/>
      <c r="U2194" s="12"/>
      <c r="V2194" s="12"/>
      <c r="W2194" s="12"/>
      <c r="X2194" s="12"/>
      <c r="Y2194" s="12"/>
      <c r="Z2194" s="12"/>
    </row>
    <row r="2195" spans="1:26" ht="14.25" customHeight="1" x14ac:dyDescent="0.3">
      <c r="A2195" s="155"/>
      <c r="B2195" s="156"/>
      <c r="C2195" s="3"/>
      <c r="D2195" s="3"/>
      <c r="E2195" s="156"/>
      <c r="F2195" s="3"/>
      <c r="G2195" s="158"/>
      <c r="H2195" s="155"/>
      <c r="I2195" s="155"/>
      <c r="J2195" s="156"/>
      <c r="K2195" s="5"/>
      <c r="L2195" s="3"/>
      <c r="M2195" s="6"/>
      <c r="N2195" s="9"/>
      <c r="O2195" s="158"/>
      <c r="P2195" s="12"/>
      <c r="Q2195" s="12"/>
      <c r="R2195" s="12"/>
      <c r="S2195" s="12"/>
      <c r="T2195" s="12"/>
      <c r="U2195" s="12"/>
      <c r="V2195" s="12"/>
      <c r="W2195" s="12"/>
      <c r="X2195" s="12"/>
      <c r="Y2195" s="12"/>
      <c r="Z2195" s="12"/>
    </row>
    <row r="2196" spans="1:26" ht="14.25" customHeight="1" x14ac:dyDescent="0.3">
      <c r="A2196" s="155"/>
      <c r="B2196" s="156"/>
      <c r="C2196" s="3"/>
      <c r="D2196" s="3"/>
      <c r="E2196" s="156"/>
      <c r="F2196" s="3"/>
      <c r="G2196" s="158"/>
      <c r="H2196" s="155"/>
      <c r="I2196" s="155"/>
      <c r="J2196" s="156"/>
      <c r="K2196" s="5"/>
      <c r="L2196" s="3"/>
      <c r="M2196" s="6"/>
      <c r="N2196" s="9"/>
      <c r="O2196" s="158"/>
      <c r="P2196" s="12"/>
      <c r="Q2196" s="12"/>
      <c r="R2196" s="12"/>
      <c r="S2196" s="12"/>
      <c r="T2196" s="12"/>
      <c r="U2196" s="12"/>
      <c r="V2196" s="12"/>
      <c r="W2196" s="12"/>
      <c r="X2196" s="12"/>
      <c r="Y2196" s="12"/>
      <c r="Z2196" s="12"/>
    </row>
    <row r="2197" spans="1:26" ht="14.25" customHeight="1" x14ac:dyDescent="0.3">
      <c r="A2197" s="155"/>
      <c r="B2197" s="156"/>
      <c r="C2197" s="3"/>
      <c r="D2197" s="3"/>
      <c r="E2197" s="156"/>
      <c r="F2197" s="3"/>
      <c r="G2197" s="158"/>
      <c r="H2197" s="155"/>
      <c r="I2197" s="155"/>
      <c r="J2197" s="156"/>
      <c r="K2197" s="5"/>
      <c r="L2197" s="3"/>
      <c r="M2197" s="6"/>
      <c r="N2197" s="9"/>
      <c r="O2197" s="158"/>
      <c r="P2197" s="12"/>
      <c r="Q2197" s="12"/>
      <c r="R2197" s="12"/>
      <c r="S2197" s="12"/>
      <c r="T2197" s="12"/>
      <c r="U2197" s="12"/>
      <c r="V2197" s="12"/>
      <c r="W2197" s="12"/>
      <c r="X2197" s="12"/>
      <c r="Y2197" s="12"/>
      <c r="Z2197" s="12"/>
    </row>
    <row r="2198" spans="1:26" ht="14.25" customHeight="1" x14ac:dyDescent="0.3">
      <c r="A2198" s="155"/>
      <c r="B2198" s="156"/>
      <c r="C2198" s="3"/>
      <c r="D2198" s="3"/>
      <c r="E2198" s="156"/>
      <c r="F2198" s="3"/>
      <c r="G2198" s="158"/>
      <c r="H2198" s="155"/>
      <c r="I2198" s="155"/>
      <c r="J2198" s="156"/>
      <c r="K2198" s="5"/>
      <c r="L2198" s="3"/>
      <c r="M2198" s="6"/>
      <c r="N2198" s="9"/>
      <c r="O2198" s="158"/>
      <c r="P2198" s="12"/>
      <c r="Q2198" s="12"/>
      <c r="R2198" s="12"/>
      <c r="S2198" s="12"/>
      <c r="T2198" s="12"/>
      <c r="U2198" s="12"/>
      <c r="V2198" s="12"/>
      <c r="W2198" s="12"/>
      <c r="X2198" s="12"/>
      <c r="Y2198" s="12"/>
      <c r="Z2198" s="12"/>
    </row>
    <row r="2199" spans="1:26" ht="14.25" customHeight="1" x14ac:dyDescent="0.3">
      <c r="A2199" s="155"/>
      <c r="B2199" s="156"/>
      <c r="C2199" s="3"/>
      <c r="D2199" s="3"/>
      <c r="E2199" s="156"/>
      <c r="F2199" s="3"/>
      <c r="G2199" s="158"/>
      <c r="H2199" s="155"/>
      <c r="I2199" s="155"/>
      <c r="J2199" s="156"/>
      <c r="K2199" s="5"/>
      <c r="L2199" s="3"/>
      <c r="M2199" s="6"/>
      <c r="N2199" s="9"/>
      <c r="O2199" s="158"/>
      <c r="P2199" s="12"/>
      <c r="Q2199" s="12"/>
      <c r="R2199" s="12"/>
      <c r="S2199" s="12"/>
      <c r="T2199" s="12"/>
      <c r="U2199" s="12"/>
      <c r="V2199" s="12"/>
      <c r="W2199" s="12"/>
      <c r="X2199" s="12"/>
      <c r="Y2199" s="12"/>
      <c r="Z2199" s="12"/>
    </row>
    <row r="2200" spans="1:26" ht="14.25" customHeight="1" x14ac:dyDescent="0.3">
      <c r="A2200" s="155"/>
      <c r="B2200" s="156"/>
      <c r="C2200" s="3"/>
      <c r="D2200" s="3"/>
      <c r="E2200" s="156"/>
      <c r="F2200" s="3"/>
      <c r="G2200" s="158"/>
      <c r="H2200" s="155"/>
      <c r="I2200" s="155"/>
      <c r="J2200" s="156"/>
      <c r="K2200" s="5"/>
      <c r="L2200" s="3"/>
      <c r="M2200" s="6"/>
      <c r="N2200" s="9"/>
      <c r="O2200" s="158"/>
      <c r="P2200" s="12"/>
      <c r="Q2200" s="12"/>
      <c r="R2200" s="12"/>
      <c r="S2200" s="12"/>
      <c r="T2200" s="12"/>
      <c r="U2200" s="12"/>
      <c r="V2200" s="12"/>
      <c r="W2200" s="12"/>
      <c r="X2200" s="12"/>
      <c r="Y2200" s="12"/>
      <c r="Z2200" s="12"/>
    </row>
    <row r="2201" spans="1:26" ht="14.25" customHeight="1" x14ac:dyDescent="0.3">
      <c r="A2201" s="155"/>
      <c r="B2201" s="156"/>
      <c r="C2201" s="3"/>
      <c r="D2201" s="3"/>
      <c r="E2201" s="156"/>
      <c r="F2201" s="3"/>
      <c r="G2201" s="158"/>
      <c r="H2201" s="155"/>
      <c r="I2201" s="155"/>
      <c r="J2201" s="156"/>
      <c r="K2201" s="5"/>
      <c r="L2201" s="3"/>
      <c r="M2201" s="6"/>
      <c r="N2201" s="9"/>
      <c r="O2201" s="158"/>
      <c r="P2201" s="12"/>
      <c r="Q2201" s="12"/>
      <c r="R2201" s="12"/>
      <c r="S2201" s="12"/>
      <c r="T2201" s="12"/>
      <c r="U2201" s="12"/>
      <c r="V2201" s="12"/>
      <c r="W2201" s="12"/>
      <c r="X2201" s="12"/>
      <c r="Y2201" s="12"/>
      <c r="Z2201" s="12"/>
    </row>
    <row r="2202" spans="1:26" ht="14.25" customHeight="1" x14ac:dyDescent="0.3">
      <c r="A2202" s="155"/>
      <c r="B2202" s="156"/>
      <c r="C2202" s="3"/>
      <c r="D2202" s="3"/>
      <c r="E2202" s="156"/>
      <c r="F2202" s="3"/>
      <c r="G2202" s="158"/>
      <c r="H2202" s="155"/>
      <c r="I2202" s="155"/>
      <c r="J2202" s="156"/>
      <c r="K2202" s="5"/>
      <c r="L2202" s="3"/>
      <c r="M2202" s="6"/>
      <c r="N2202" s="9"/>
      <c r="O2202" s="158"/>
      <c r="P2202" s="12"/>
      <c r="Q2202" s="12"/>
      <c r="R2202" s="12"/>
      <c r="S2202" s="12"/>
      <c r="T2202" s="12"/>
      <c r="U2202" s="12"/>
      <c r="V2202" s="12"/>
      <c r="W2202" s="12"/>
      <c r="X2202" s="12"/>
      <c r="Y2202" s="12"/>
      <c r="Z2202" s="12"/>
    </row>
    <row r="2203" spans="1:26" ht="14.25" customHeight="1" x14ac:dyDescent="0.3">
      <c r="A2203" s="155"/>
      <c r="B2203" s="156"/>
      <c r="C2203" s="3"/>
      <c r="D2203" s="3"/>
      <c r="E2203" s="156"/>
      <c r="F2203" s="3"/>
      <c r="G2203" s="158"/>
      <c r="H2203" s="155"/>
      <c r="I2203" s="155"/>
      <c r="J2203" s="156"/>
      <c r="K2203" s="5"/>
      <c r="L2203" s="3"/>
      <c r="M2203" s="6"/>
      <c r="N2203" s="9"/>
      <c r="O2203" s="158"/>
      <c r="P2203" s="12"/>
      <c r="Q2203" s="12"/>
      <c r="R2203" s="12"/>
      <c r="S2203" s="12"/>
      <c r="T2203" s="12"/>
      <c r="U2203" s="12"/>
      <c r="V2203" s="12"/>
      <c r="W2203" s="12"/>
      <c r="X2203" s="12"/>
      <c r="Y2203" s="12"/>
      <c r="Z2203" s="12"/>
    </row>
    <row r="2204" spans="1:26" ht="14.25" customHeight="1" x14ac:dyDescent="0.3">
      <c r="A2204" s="155"/>
      <c r="B2204" s="156"/>
      <c r="C2204" s="3"/>
      <c r="D2204" s="3"/>
      <c r="E2204" s="156"/>
      <c r="F2204" s="3"/>
      <c r="G2204" s="158"/>
      <c r="H2204" s="155"/>
      <c r="I2204" s="155"/>
      <c r="J2204" s="156"/>
      <c r="K2204" s="5"/>
      <c r="L2204" s="3"/>
      <c r="M2204" s="6"/>
      <c r="N2204" s="9"/>
      <c r="O2204" s="158"/>
      <c r="P2204" s="12"/>
      <c r="Q2204" s="12"/>
      <c r="R2204" s="12"/>
      <c r="S2204" s="12"/>
      <c r="T2204" s="12"/>
      <c r="U2204" s="12"/>
      <c r="V2204" s="12"/>
      <c r="W2204" s="12"/>
      <c r="X2204" s="12"/>
      <c r="Y2204" s="12"/>
      <c r="Z2204" s="12"/>
    </row>
    <row r="2205" spans="1:26" ht="14.25" customHeight="1" x14ac:dyDescent="0.3">
      <c r="A2205" s="155"/>
      <c r="B2205" s="156"/>
      <c r="C2205" s="3"/>
      <c r="D2205" s="3"/>
      <c r="E2205" s="156"/>
      <c r="F2205" s="3"/>
      <c r="G2205" s="158"/>
      <c r="H2205" s="155"/>
      <c r="I2205" s="155"/>
      <c r="J2205" s="156"/>
      <c r="K2205" s="5"/>
      <c r="L2205" s="3"/>
      <c r="M2205" s="6"/>
      <c r="N2205" s="9"/>
      <c r="O2205" s="158"/>
      <c r="P2205" s="12"/>
      <c r="Q2205" s="12"/>
      <c r="R2205" s="12"/>
      <c r="S2205" s="12"/>
      <c r="T2205" s="12"/>
      <c r="U2205" s="12"/>
      <c r="V2205" s="12"/>
      <c r="W2205" s="12"/>
      <c r="X2205" s="12"/>
      <c r="Y2205" s="12"/>
      <c r="Z2205" s="12"/>
    </row>
    <row r="2206" spans="1:26" ht="14.25" customHeight="1" x14ac:dyDescent="0.3">
      <c r="A2206" s="155"/>
      <c r="B2206" s="156"/>
      <c r="C2206" s="3"/>
      <c r="D2206" s="3"/>
      <c r="E2206" s="156"/>
      <c r="F2206" s="3"/>
      <c r="G2206" s="158"/>
      <c r="H2206" s="155"/>
      <c r="I2206" s="155"/>
      <c r="J2206" s="156"/>
      <c r="K2206" s="5"/>
      <c r="L2206" s="3"/>
      <c r="M2206" s="6"/>
      <c r="N2206" s="9"/>
      <c r="O2206" s="158"/>
      <c r="P2206" s="12"/>
      <c r="Q2206" s="12"/>
      <c r="R2206" s="12"/>
      <c r="S2206" s="12"/>
      <c r="T2206" s="12"/>
      <c r="U2206" s="12"/>
      <c r="V2206" s="12"/>
      <c r="W2206" s="12"/>
      <c r="X2206" s="12"/>
      <c r="Y2206" s="12"/>
      <c r="Z2206" s="12"/>
    </row>
    <row r="2207" spans="1:26" ht="14.25" customHeight="1" x14ac:dyDescent="0.3">
      <c r="A2207" s="155"/>
      <c r="B2207" s="156"/>
      <c r="C2207" s="3"/>
      <c r="D2207" s="3"/>
      <c r="E2207" s="156"/>
      <c r="F2207" s="3"/>
      <c r="G2207" s="158"/>
      <c r="H2207" s="155"/>
      <c r="I2207" s="155"/>
      <c r="J2207" s="156"/>
      <c r="K2207" s="5"/>
      <c r="L2207" s="3"/>
      <c r="M2207" s="6"/>
      <c r="N2207" s="9"/>
      <c r="O2207" s="158"/>
      <c r="P2207" s="12"/>
      <c r="Q2207" s="12"/>
      <c r="R2207" s="12"/>
      <c r="S2207" s="12"/>
      <c r="T2207" s="12"/>
      <c r="U2207" s="12"/>
      <c r="V2207" s="12"/>
      <c r="W2207" s="12"/>
      <c r="X2207" s="12"/>
      <c r="Y2207" s="12"/>
      <c r="Z2207" s="12"/>
    </row>
    <row r="2208" spans="1:26" ht="14.25" customHeight="1" x14ac:dyDescent="0.3">
      <c r="A2208" s="155"/>
      <c r="B2208" s="156"/>
      <c r="C2208" s="3"/>
      <c r="D2208" s="3"/>
      <c r="E2208" s="156"/>
      <c r="F2208" s="3"/>
      <c r="G2208" s="158"/>
      <c r="H2208" s="155"/>
      <c r="I2208" s="155"/>
      <c r="J2208" s="156"/>
      <c r="K2208" s="5"/>
      <c r="L2208" s="3"/>
      <c r="M2208" s="6"/>
      <c r="N2208" s="9"/>
      <c r="O2208" s="158"/>
      <c r="P2208" s="12"/>
      <c r="Q2208" s="12"/>
      <c r="R2208" s="12"/>
      <c r="S2208" s="12"/>
      <c r="T2208" s="12"/>
      <c r="U2208" s="12"/>
      <c r="V2208" s="12"/>
      <c r="W2208" s="12"/>
      <c r="X2208" s="12"/>
      <c r="Y2208" s="12"/>
      <c r="Z2208" s="12"/>
    </row>
    <row r="2209" spans="1:26" ht="14.25" customHeight="1" x14ac:dyDescent="0.3">
      <c r="A2209" s="155"/>
      <c r="B2209" s="156"/>
      <c r="C2209" s="3"/>
      <c r="D2209" s="3"/>
      <c r="E2209" s="156"/>
      <c r="F2209" s="3"/>
      <c r="G2209" s="158"/>
      <c r="H2209" s="155"/>
      <c r="I2209" s="155"/>
      <c r="J2209" s="156"/>
      <c r="K2209" s="5"/>
      <c r="L2209" s="3"/>
      <c r="M2209" s="6"/>
      <c r="N2209" s="9"/>
      <c r="O2209" s="158"/>
      <c r="P2209" s="12"/>
      <c r="Q2209" s="12"/>
      <c r="R2209" s="12"/>
      <c r="S2209" s="12"/>
      <c r="T2209" s="12"/>
      <c r="U2209" s="12"/>
      <c r="V2209" s="12"/>
      <c r="W2209" s="12"/>
      <c r="X2209" s="12"/>
      <c r="Y2209" s="12"/>
      <c r="Z2209" s="12"/>
    </row>
    <row r="2210" spans="1:26" ht="14.25" customHeight="1" x14ac:dyDescent="0.3">
      <c r="A2210" s="155"/>
      <c r="B2210" s="156"/>
      <c r="C2210" s="3"/>
      <c r="D2210" s="3"/>
      <c r="E2210" s="156"/>
      <c r="F2210" s="3"/>
      <c r="G2210" s="158"/>
      <c r="H2210" s="155"/>
      <c r="I2210" s="155"/>
      <c r="J2210" s="156"/>
      <c r="K2210" s="5"/>
      <c r="L2210" s="3"/>
      <c r="M2210" s="6"/>
      <c r="N2210" s="9"/>
      <c r="O2210" s="158"/>
      <c r="P2210" s="12"/>
      <c r="Q2210" s="12"/>
      <c r="R2210" s="12"/>
      <c r="S2210" s="12"/>
      <c r="T2210" s="12"/>
      <c r="U2210" s="12"/>
      <c r="V2210" s="12"/>
      <c r="W2210" s="12"/>
      <c r="X2210" s="12"/>
      <c r="Y2210" s="12"/>
      <c r="Z2210" s="12"/>
    </row>
    <row r="2211" spans="1:26" ht="14.25" customHeight="1" x14ac:dyDescent="0.3">
      <c r="A2211" s="155"/>
      <c r="B2211" s="156"/>
      <c r="C2211" s="3"/>
      <c r="D2211" s="3"/>
      <c r="E2211" s="156"/>
      <c r="F2211" s="3"/>
      <c r="G2211" s="158"/>
      <c r="H2211" s="155"/>
      <c r="I2211" s="155"/>
      <c r="J2211" s="156"/>
      <c r="K2211" s="5"/>
      <c r="L2211" s="3"/>
      <c r="M2211" s="6"/>
      <c r="N2211" s="9"/>
      <c r="O2211" s="158"/>
      <c r="P2211" s="12"/>
      <c r="Q2211" s="12"/>
      <c r="R2211" s="12"/>
      <c r="S2211" s="12"/>
      <c r="T2211" s="12"/>
      <c r="U2211" s="12"/>
      <c r="V2211" s="12"/>
      <c r="W2211" s="12"/>
      <c r="X2211" s="12"/>
      <c r="Y2211" s="12"/>
      <c r="Z2211" s="12"/>
    </row>
    <row r="2212" spans="1:26" ht="14.25" customHeight="1" x14ac:dyDescent="0.3">
      <c r="A2212" s="155"/>
      <c r="B2212" s="156"/>
      <c r="C2212" s="3"/>
      <c r="D2212" s="3"/>
      <c r="E2212" s="156"/>
      <c r="F2212" s="3"/>
      <c r="G2212" s="158"/>
      <c r="H2212" s="155"/>
      <c r="I2212" s="155"/>
      <c r="J2212" s="156"/>
      <c r="K2212" s="5"/>
      <c r="L2212" s="3"/>
      <c r="M2212" s="6"/>
      <c r="N2212" s="9"/>
      <c r="O2212" s="158"/>
      <c r="P2212" s="12"/>
      <c r="Q2212" s="12"/>
      <c r="R2212" s="12"/>
      <c r="S2212" s="12"/>
      <c r="T2212" s="12"/>
      <c r="U2212" s="12"/>
      <c r="V2212" s="12"/>
      <c r="W2212" s="12"/>
      <c r="X2212" s="12"/>
      <c r="Y2212" s="12"/>
      <c r="Z2212" s="12"/>
    </row>
    <row r="2213" spans="1:26" ht="14.25" customHeight="1" x14ac:dyDescent="0.3">
      <c r="A2213" s="155"/>
      <c r="B2213" s="156"/>
      <c r="C2213" s="3"/>
      <c r="D2213" s="3"/>
      <c r="E2213" s="156"/>
      <c r="F2213" s="3"/>
      <c r="G2213" s="158"/>
      <c r="H2213" s="155"/>
      <c r="I2213" s="155"/>
      <c r="J2213" s="156"/>
      <c r="K2213" s="5"/>
      <c r="L2213" s="3"/>
      <c r="M2213" s="6"/>
      <c r="N2213" s="9"/>
      <c r="O2213" s="158"/>
      <c r="P2213" s="12"/>
      <c r="Q2213" s="12"/>
      <c r="R2213" s="12"/>
      <c r="S2213" s="12"/>
      <c r="T2213" s="12"/>
      <c r="U2213" s="12"/>
      <c r="V2213" s="12"/>
      <c r="W2213" s="12"/>
      <c r="X2213" s="12"/>
      <c r="Y2213" s="12"/>
      <c r="Z2213" s="12"/>
    </row>
    <row r="2214" spans="1:26" ht="14.25" customHeight="1" x14ac:dyDescent="0.3">
      <c r="A2214" s="155"/>
      <c r="B2214" s="156"/>
      <c r="C2214" s="3"/>
      <c r="D2214" s="3"/>
      <c r="E2214" s="156"/>
      <c r="F2214" s="3"/>
      <c r="G2214" s="158"/>
      <c r="H2214" s="155"/>
      <c r="I2214" s="155"/>
      <c r="J2214" s="156"/>
      <c r="K2214" s="5"/>
      <c r="L2214" s="3"/>
      <c r="M2214" s="6"/>
      <c r="N2214" s="9"/>
      <c r="O2214" s="158"/>
      <c r="P2214" s="12"/>
      <c r="Q2214" s="12"/>
      <c r="R2214" s="12"/>
      <c r="S2214" s="12"/>
      <c r="T2214" s="12"/>
      <c r="U2214" s="12"/>
      <c r="V2214" s="12"/>
      <c r="W2214" s="12"/>
      <c r="X2214" s="12"/>
      <c r="Y2214" s="12"/>
      <c r="Z2214" s="12"/>
    </row>
    <row r="2215" spans="1:26" ht="14.25" customHeight="1" x14ac:dyDescent="0.3">
      <c r="A2215" s="155"/>
      <c r="B2215" s="156"/>
      <c r="C2215" s="3"/>
      <c r="D2215" s="3"/>
      <c r="E2215" s="156"/>
      <c r="F2215" s="3"/>
      <c r="G2215" s="158"/>
      <c r="H2215" s="155"/>
      <c r="I2215" s="155"/>
      <c r="J2215" s="156"/>
      <c r="K2215" s="5"/>
      <c r="L2215" s="3"/>
      <c r="M2215" s="6"/>
      <c r="N2215" s="9"/>
      <c r="O2215" s="158"/>
      <c r="P2215" s="12"/>
      <c r="Q2215" s="12"/>
      <c r="R2215" s="12"/>
      <c r="S2215" s="12"/>
      <c r="T2215" s="12"/>
      <c r="U2215" s="12"/>
      <c r="V2215" s="12"/>
      <c r="W2215" s="12"/>
      <c r="X2215" s="12"/>
      <c r="Y2215" s="12"/>
      <c r="Z2215" s="12"/>
    </row>
    <row r="2216" spans="1:26" ht="14.25" customHeight="1" x14ac:dyDescent="0.3">
      <c r="A2216" s="155"/>
      <c r="B2216" s="156"/>
      <c r="C2216" s="3"/>
      <c r="D2216" s="3"/>
      <c r="E2216" s="156"/>
      <c r="F2216" s="3"/>
      <c r="G2216" s="158"/>
      <c r="H2216" s="155"/>
      <c r="I2216" s="155"/>
      <c r="J2216" s="156"/>
      <c r="K2216" s="5"/>
      <c r="L2216" s="3"/>
      <c r="M2216" s="6"/>
      <c r="N2216" s="9"/>
      <c r="O2216" s="158"/>
      <c r="P2216" s="12"/>
      <c r="Q2216" s="12"/>
      <c r="R2216" s="12"/>
      <c r="S2216" s="12"/>
      <c r="T2216" s="12"/>
      <c r="U2216" s="12"/>
      <c r="V2216" s="12"/>
      <c r="W2216" s="12"/>
      <c r="X2216" s="12"/>
      <c r="Y2216" s="12"/>
      <c r="Z2216" s="12"/>
    </row>
    <row r="2217" spans="1:26" ht="14.25" customHeight="1" x14ac:dyDescent="0.3">
      <c r="A2217" s="155"/>
      <c r="B2217" s="156"/>
      <c r="C2217" s="3"/>
      <c r="D2217" s="3"/>
      <c r="E2217" s="156"/>
      <c r="F2217" s="3"/>
      <c r="G2217" s="158"/>
      <c r="H2217" s="155"/>
      <c r="I2217" s="155"/>
      <c r="J2217" s="156"/>
      <c r="K2217" s="5"/>
      <c r="L2217" s="3"/>
      <c r="M2217" s="6"/>
      <c r="N2217" s="9"/>
      <c r="O2217" s="158"/>
      <c r="P2217" s="12"/>
      <c r="Q2217" s="12"/>
      <c r="R2217" s="12"/>
      <c r="S2217" s="12"/>
      <c r="T2217" s="12"/>
      <c r="U2217" s="12"/>
      <c r="V2217" s="12"/>
      <c r="W2217" s="12"/>
      <c r="X2217" s="12"/>
      <c r="Y2217" s="12"/>
      <c r="Z2217" s="12"/>
    </row>
    <row r="2218" spans="1:26" ht="14.25" customHeight="1" x14ac:dyDescent="0.3">
      <c r="A2218" s="155"/>
      <c r="B2218" s="156"/>
      <c r="C2218" s="3"/>
      <c r="D2218" s="3"/>
      <c r="E2218" s="156"/>
      <c r="F2218" s="3"/>
      <c r="G2218" s="158"/>
      <c r="H2218" s="155"/>
      <c r="I2218" s="155"/>
      <c r="J2218" s="156"/>
      <c r="K2218" s="5"/>
      <c r="L2218" s="3"/>
      <c r="M2218" s="6"/>
      <c r="N2218" s="9"/>
      <c r="O2218" s="158"/>
      <c r="P2218" s="12"/>
      <c r="Q2218" s="12"/>
      <c r="R2218" s="12"/>
      <c r="S2218" s="12"/>
      <c r="T2218" s="12"/>
      <c r="U2218" s="12"/>
      <c r="V2218" s="12"/>
      <c r="W2218" s="12"/>
      <c r="X2218" s="12"/>
      <c r="Y2218" s="12"/>
      <c r="Z2218" s="12"/>
    </row>
    <row r="2219" spans="1:26" ht="14.25" customHeight="1" x14ac:dyDescent="0.3">
      <c r="A2219" s="155"/>
      <c r="B2219" s="156"/>
      <c r="C2219" s="3"/>
      <c r="D2219" s="3"/>
      <c r="E2219" s="156"/>
      <c r="F2219" s="3"/>
      <c r="G2219" s="158"/>
      <c r="H2219" s="155"/>
      <c r="I2219" s="155"/>
      <c r="J2219" s="156"/>
      <c r="K2219" s="5"/>
      <c r="L2219" s="3"/>
      <c r="M2219" s="6"/>
      <c r="N2219" s="9"/>
      <c r="O2219" s="158"/>
      <c r="P2219" s="12"/>
      <c r="Q2219" s="12"/>
      <c r="R2219" s="12"/>
      <c r="S2219" s="12"/>
      <c r="T2219" s="12"/>
      <c r="U2219" s="12"/>
      <c r="V2219" s="12"/>
      <c r="W2219" s="12"/>
      <c r="X2219" s="12"/>
      <c r="Y2219" s="12"/>
      <c r="Z2219" s="12"/>
    </row>
    <row r="2220" spans="1:26" ht="14.25" customHeight="1" x14ac:dyDescent="0.3">
      <c r="A2220" s="155"/>
      <c r="B2220" s="156"/>
      <c r="C2220" s="3"/>
      <c r="D2220" s="3"/>
      <c r="E2220" s="156"/>
      <c r="F2220" s="3"/>
      <c r="G2220" s="158"/>
      <c r="H2220" s="155"/>
      <c r="I2220" s="155"/>
      <c r="J2220" s="156"/>
      <c r="K2220" s="5"/>
      <c r="L2220" s="3"/>
      <c r="M2220" s="6"/>
      <c r="N2220" s="9"/>
      <c r="O2220" s="158"/>
      <c r="P2220" s="12"/>
      <c r="Q2220" s="12"/>
      <c r="R2220" s="12"/>
      <c r="S2220" s="12"/>
      <c r="T2220" s="12"/>
      <c r="U2220" s="12"/>
      <c r="V2220" s="12"/>
      <c r="W2220" s="12"/>
      <c r="X2220" s="12"/>
      <c r="Y2220" s="12"/>
      <c r="Z2220" s="12"/>
    </row>
    <row r="2221" spans="1:26" ht="14.25" customHeight="1" x14ac:dyDescent="0.3">
      <c r="A2221" s="155"/>
      <c r="B2221" s="156"/>
      <c r="C2221" s="3"/>
      <c r="D2221" s="3"/>
      <c r="E2221" s="156"/>
      <c r="F2221" s="3"/>
      <c r="G2221" s="158"/>
      <c r="H2221" s="155"/>
      <c r="I2221" s="155"/>
      <c r="J2221" s="156"/>
      <c r="K2221" s="5"/>
      <c r="L2221" s="3"/>
      <c r="M2221" s="6"/>
      <c r="N2221" s="9"/>
      <c r="O2221" s="158"/>
      <c r="P2221" s="12"/>
      <c r="Q2221" s="12"/>
      <c r="R2221" s="12"/>
      <c r="S2221" s="12"/>
      <c r="T2221" s="12"/>
      <c r="U2221" s="12"/>
      <c r="V2221" s="12"/>
      <c r="W2221" s="12"/>
      <c r="X2221" s="12"/>
      <c r="Y2221" s="12"/>
      <c r="Z2221" s="12"/>
    </row>
    <row r="2222" spans="1:26" ht="14.25" customHeight="1" x14ac:dyDescent="0.3">
      <c r="A2222" s="155"/>
      <c r="B2222" s="156"/>
      <c r="C2222" s="3"/>
      <c r="D2222" s="3"/>
      <c r="E2222" s="156"/>
      <c r="F2222" s="3"/>
      <c r="G2222" s="158"/>
      <c r="H2222" s="155"/>
      <c r="I2222" s="155"/>
      <c r="J2222" s="156"/>
      <c r="K2222" s="5"/>
      <c r="L2222" s="3"/>
      <c r="M2222" s="6"/>
      <c r="N2222" s="9"/>
      <c r="O2222" s="158"/>
      <c r="P2222" s="12"/>
      <c r="Q2222" s="12"/>
      <c r="R2222" s="12"/>
      <c r="S2222" s="12"/>
      <c r="T2222" s="12"/>
      <c r="U2222" s="12"/>
      <c r="V2222" s="12"/>
      <c r="W2222" s="12"/>
      <c r="X2222" s="12"/>
      <c r="Y2222" s="12"/>
      <c r="Z2222" s="12"/>
    </row>
    <row r="2223" spans="1:26" ht="14.25" customHeight="1" x14ac:dyDescent="0.3">
      <c r="A2223" s="155"/>
      <c r="B2223" s="156"/>
      <c r="C2223" s="3"/>
      <c r="D2223" s="3"/>
      <c r="E2223" s="156"/>
      <c r="F2223" s="3"/>
      <c r="G2223" s="158"/>
      <c r="H2223" s="155"/>
      <c r="I2223" s="155"/>
      <c r="J2223" s="156"/>
      <c r="K2223" s="5"/>
      <c r="L2223" s="3"/>
      <c r="M2223" s="6"/>
      <c r="N2223" s="9"/>
      <c r="O2223" s="158"/>
      <c r="P2223" s="12"/>
      <c r="Q2223" s="12"/>
      <c r="R2223" s="12"/>
      <c r="S2223" s="12"/>
      <c r="T2223" s="12"/>
      <c r="U2223" s="12"/>
      <c r="V2223" s="12"/>
      <c r="W2223" s="12"/>
      <c r="X2223" s="12"/>
      <c r="Y2223" s="12"/>
      <c r="Z2223" s="12"/>
    </row>
    <row r="2224" spans="1:26" ht="14.25" customHeight="1" x14ac:dyDescent="0.3">
      <c r="A2224" s="155"/>
      <c r="B2224" s="156"/>
      <c r="C2224" s="3"/>
      <c r="D2224" s="3"/>
      <c r="E2224" s="156"/>
      <c r="F2224" s="3"/>
      <c r="G2224" s="158"/>
      <c r="H2224" s="155"/>
      <c r="I2224" s="155"/>
      <c r="J2224" s="156"/>
      <c r="K2224" s="5"/>
      <c r="L2224" s="3"/>
      <c r="M2224" s="6"/>
      <c r="N2224" s="9"/>
      <c r="O2224" s="158"/>
      <c r="P2224" s="12"/>
      <c r="Q2224" s="12"/>
      <c r="R2224" s="12"/>
      <c r="S2224" s="12"/>
      <c r="T2224" s="12"/>
      <c r="U2224" s="12"/>
      <c r="V2224" s="12"/>
      <c r="W2224" s="12"/>
      <c r="X2224" s="12"/>
      <c r="Y2224" s="12"/>
      <c r="Z2224" s="12"/>
    </row>
    <row r="2225" spans="1:26" ht="14.25" customHeight="1" x14ac:dyDescent="0.3">
      <c r="A2225" s="155"/>
      <c r="B2225" s="156"/>
      <c r="C2225" s="3"/>
      <c r="D2225" s="3"/>
      <c r="E2225" s="156"/>
      <c r="F2225" s="3"/>
      <c r="G2225" s="158"/>
      <c r="H2225" s="155"/>
      <c r="I2225" s="155"/>
      <c r="J2225" s="156"/>
      <c r="K2225" s="5"/>
      <c r="L2225" s="3"/>
      <c r="M2225" s="6"/>
      <c r="N2225" s="9"/>
      <c r="O2225" s="158"/>
      <c r="P2225" s="12"/>
      <c r="Q2225" s="12"/>
      <c r="R2225" s="12"/>
      <c r="S2225" s="12"/>
      <c r="T2225" s="12"/>
      <c r="U2225" s="12"/>
      <c r="V2225" s="12"/>
      <c r="W2225" s="12"/>
      <c r="X2225" s="12"/>
      <c r="Y2225" s="12"/>
      <c r="Z2225" s="12"/>
    </row>
    <row r="2226" spans="1:26" ht="14.25" customHeight="1" x14ac:dyDescent="0.3">
      <c r="A2226" s="155"/>
      <c r="B2226" s="156"/>
      <c r="C2226" s="3"/>
      <c r="D2226" s="3"/>
      <c r="E2226" s="156"/>
      <c r="F2226" s="3"/>
      <c r="G2226" s="158"/>
      <c r="H2226" s="155"/>
      <c r="I2226" s="155"/>
      <c r="J2226" s="156"/>
      <c r="K2226" s="5"/>
      <c r="L2226" s="3"/>
      <c r="M2226" s="6"/>
      <c r="N2226" s="9"/>
      <c r="O2226" s="158"/>
      <c r="P2226" s="12"/>
      <c r="Q2226" s="12"/>
      <c r="R2226" s="12"/>
      <c r="S2226" s="12"/>
      <c r="T2226" s="12"/>
      <c r="U2226" s="12"/>
      <c r="V2226" s="12"/>
      <c r="W2226" s="12"/>
      <c r="X2226" s="12"/>
      <c r="Y2226" s="12"/>
      <c r="Z2226" s="12"/>
    </row>
    <row r="2227" spans="1:26" ht="14.25" customHeight="1" x14ac:dyDescent="0.3">
      <c r="A2227" s="155"/>
      <c r="B2227" s="156"/>
      <c r="C2227" s="3"/>
      <c r="D2227" s="3"/>
      <c r="E2227" s="156"/>
      <c r="F2227" s="3"/>
      <c r="G2227" s="158"/>
      <c r="H2227" s="155"/>
      <c r="I2227" s="155"/>
      <c r="J2227" s="156"/>
      <c r="K2227" s="5"/>
      <c r="L2227" s="3"/>
      <c r="M2227" s="6"/>
      <c r="N2227" s="9"/>
      <c r="O2227" s="158"/>
      <c r="P2227" s="12"/>
      <c r="Q2227" s="12"/>
      <c r="R2227" s="12"/>
      <c r="S2227" s="12"/>
      <c r="T2227" s="12"/>
      <c r="U2227" s="12"/>
      <c r="V2227" s="12"/>
      <c r="W2227" s="12"/>
      <c r="X2227" s="12"/>
      <c r="Y2227" s="12"/>
      <c r="Z2227" s="12"/>
    </row>
    <row r="2228" spans="1:26" ht="14.25" customHeight="1" x14ac:dyDescent="0.3">
      <c r="A2228" s="155"/>
      <c r="B2228" s="156"/>
      <c r="C2228" s="3"/>
      <c r="D2228" s="3"/>
      <c r="E2228" s="156"/>
      <c r="F2228" s="3"/>
      <c r="G2228" s="158"/>
      <c r="H2228" s="155"/>
      <c r="I2228" s="155"/>
      <c r="J2228" s="156"/>
      <c r="K2228" s="5"/>
      <c r="L2228" s="3"/>
      <c r="M2228" s="6"/>
      <c r="N2228" s="9"/>
      <c r="O2228" s="158"/>
      <c r="P2228" s="12"/>
      <c r="Q2228" s="12"/>
      <c r="R2228" s="12"/>
      <c r="S2228" s="12"/>
      <c r="T2228" s="12"/>
      <c r="U2228" s="12"/>
      <c r="V2228" s="12"/>
      <c r="W2228" s="12"/>
      <c r="X2228" s="12"/>
      <c r="Y2228" s="12"/>
      <c r="Z2228" s="12"/>
    </row>
    <row r="2229" spans="1:26" ht="14.25" customHeight="1" x14ac:dyDescent="0.3">
      <c r="A2229" s="155"/>
      <c r="B2229" s="156"/>
      <c r="C2229" s="3"/>
      <c r="D2229" s="3"/>
      <c r="E2229" s="156"/>
      <c r="F2229" s="3"/>
      <c r="G2229" s="158"/>
      <c r="H2229" s="155"/>
      <c r="I2229" s="155"/>
      <c r="J2229" s="156"/>
      <c r="K2229" s="5"/>
      <c r="L2229" s="3"/>
      <c r="M2229" s="6"/>
      <c r="N2229" s="9"/>
      <c r="O2229" s="158"/>
      <c r="P2229" s="12"/>
      <c r="Q2229" s="12"/>
      <c r="R2229" s="12"/>
      <c r="S2229" s="12"/>
      <c r="T2229" s="12"/>
      <c r="U2229" s="12"/>
      <c r="V2229" s="12"/>
      <c r="W2229" s="12"/>
      <c r="X2229" s="12"/>
      <c r="Y2229" s="12"/>
      <c r="Z2229" s="12"/>
    </row>
    <row r="2230" spans="1:26" ht="14.25" customHeight="1" x14ac:dyDescent="0.3">
      <c r="A2230" s="155"/>
      <c r="B2230" s="156"/>
      <c r="C2230" s="3"/>
      <c r="D2230" s="3"/>
      <c r="E2230" s="156"/>
      <c r="F2230" s="3"/>
      <c r="G2230" s="158"/>
      <c r="H2230" s="155"/>
      <c r="I2230" s="155"/>
      <c r="J2230" s="156"/>
      <c r="K2230" s="5"/>
      <c r="L2230" s="3"/>
      <c r="M2230" s="6"/>
      <c r="N2230" s="9"/>
      <c r="O2230" s="158"/>
      <c r="P2230" s="12"/>
      <c r="Q2230" s="12"/>
      <c r="R2230" s="12"/>
      <c r="S2230" s="12"/>
      <c r="T2230" s="12"/>
      <c r="U2230" s="12"/>
      <c r="V2230" s="12"/>
      <c r="W2230" s="12"/>
      <c r="X2230" s="12"/>
      <c r="Y2230" s="12"/>
      <c r="Z2230" s="12"/>
    </row>
    <row r="2231" spans="1:26" ht="14.25" customHeight="1" x14ac:dyDescent="0.3">
      <c r="A2231" s="155"/>
      <c r="B2231" s="156"/>
      <c r="C2231" s="3"/>
      <c r="D2231" s="3"/>
      <c r="E2231" s="156"/>
      <c r="F2231" s="3"/>
      <c r="G2231" s="158"/>
      <c r="H2231" s="155"/>
      <c r="I2231" s="155"/>
      <c r="J2231" s="156"/>
      <c r="K2231" s="5"/>
      <c r="L2231" s="3"/>
      <c r="M2231" s="6"/>
      <c r="N2231" s="9"/>
      <c r="O2231" s="158"/>
      <c r="P2231" s="12"/>
      <c r="Q2231" s="12"/>
      <c r="R2231" s="12"/>
      <c r="S2231" s="12"/>
      <c r="T2231" s="12"/>
      <c r="U2231" s="12"/>
      <c r="V2231" s="12"/>
      <c r="W2231" s="12"/>
      <c r="X2231" s="12"/>
      <c r="Y2231" s="12"/>
      <c r="Z2231" s="12"/>
    </row>
    <row r="2232" spans="1:26" ht="14.25" customHeight="1" x14ac:dyDescent="0.3">
      <c r="A2232" s="155"/>
      <c r="B2232" s="156"/>
      <c r="C2232" s="3"/>
      <c r="D2232" s="3"/>
      <c r="E2232" s="156"/>
      <c r="F2232" s="3"/>
      <c r="G2232" s="158"/>
      <c r="H2232" s="155"/>
      <c r="I2232" s="155"/>
      <c r="J2232" s="156"/>
      <c r="K2232" s="5"/>
      <c r="L2232" s="3"/>
      <c r="M2232" s="6"/>
      <c r="N2232" s="9"/>
      <c r="O2232" s="158"/>
      <c r="P2232" s="12"/>
      <c r="Q2232" s="12"/>
      <c r="R2232" s="12"/>
      <c r="S2232" s="12"/>
      <c r="T2232" s="12"/>
      <c r="U2232" s="12"/>
      <c r="V2232" s="12"/>
      <c r="W2232" s="12"/>
      <c r="X2232" s="12"/>
      <c r="Y2232" s="12"/>
      <c r="Z2232" s="12"/>
    </row>
    <row r="2233" spans="1:26" ht="14.25" customHeight="1" x14ac:dyDescent="0.3">
      <c r="A2233" s="155"/>
      <c r="B2233" s="156"/>
      <c r="C2233" s="3"/>
      <c r="D2233" s="3"/>
      <c r="E2233" s="156"/>
      <c r="F2233" s="3"/>
      <c r="G2233" s="158"/>
      <c r="H2233" s="155"/>
      <c r="I2233" s="155"/>
      <c r="J2233" s="156"/>
      <c r="K2233" s="5"/>
      <c r="L2233" s="3"/>
      <c r="M2233" s="6"/>
      <c r="N2233" s="9"/>
      <c r="O2233" s="158"/>
      <c r="P2233" s="12"/>
      <c r="Q2233" s="12"/>
      <c r="R2233" s="12"/>
      <c r="S2233" s="12"/>
      <c r="T2233" s="12"/>
      <c r="U2233" s="12"/>
      <c r="V2233" s="12"/>
      <c r="W2233" s="12"/>
      <c r="X2233" s="12"/>
      <c r="Y2233" s="12"/>
      <c r="Z2233" s="12"/>
    </row>
    <row r="2234" spans="1:26" ht="14.25" customHeight="1" x14ac:dyDescent="0.3">
      <c r="A2234" s="155"/>
      <c r="B2234" s="156"/>
      <c r="C2234" s="3"/>
      <c r="D2234" s="3"/>
      <c r="E2234" s="156"/>
      <c r="F2234" s="3"/>
      <c r="G2234" s="158"/>
      <c r="H2234" s="155"/>
      <c r="I2234" s="155"/>
      <c r="J2234" s="156"/>
      <c r="K2234" s="5"/>
      <c r="L2234" s="3"/>
      <c r="M2234" s="6"/>
      <c r="N2234" s="9"/>
      <c r="O2234" s="158"/>
      <c r="P2234" s="12"/>
      <c r="Q2234" s="12"/>
      <c r="R2234" s="12"/>
      <c r="S2234" s="12"/>
      <c r="T2234" s="12"/>
      <c r="U2234" s="12"/>
      <c r="V2234" s="12"/>
      <c r="W2234" s="12"/>
      <c r="X2234" s="12"/>
      <c r="Y2234" s="12"/>
      <c r="Z2234" s="12"/>
    </row>
    <row r="2235" spans="1:26" ht="14.25" customHeight="1" x14ac:dyDescent="0.3">
      <c r="A2235" s="155"/>
      <c r="B2235" s="156"/>
      <c r="C2235" s="3"/>
      <c r="D2235" s="3"/>
      <c r="E2235" s="156"/>
      <c r="F2235" s="3"/>
      <c r="G2235" s="158"/>
      <c r="H2235" s="155"/>
      <c r="I2235" s="155"/>
      <c r="J2235" s="156"/>
      <c r="K2235" s="5"/>
      <c r="L2235" s="3"/>
      <c r="M2235" s="6"/>
      <c r="N2235" s="9"/>
      <c r="O2235" s="158"/>
      <c r="P2235" s="12"/>
      <c r="Q2235" s="12"/>
      <c r="R2235" s="12"/>
      <c r="S2235" s="12"/>
      <c r="T2235" s="12"/>
      <c r="U2235" s="12"/>
      <c r="V2235" s="12"/>
      <c r="W2235" s="12"/>
      <c r="X2235" s="12"/>
      <c r="Y2235" s="12"/>
      <c r="Z2235" s="12"/>
    </row>
    <row r="2236" spans="1:26" ht="14.25" customHeight="1" x14ac:dyDescent="0.3">
      <c r="A2236" s="155"/>
      <c r="B2236" s="156"/>
      <c r="C2236" s="3"/>
      <c r="D2236" s="3"/>
      <c r="E2236" s="156"/>
      <c r="F2236" s="3"/>
      <c r="G2236" s="158"/>
      <c r="H2236" s="155"/>
      <c r="I2236" s="155"/>
      <c r="J2236" s="156"/>
      <c r="K2236" s="5"/>
      <c r="L2236" s="3"/>
      <c r="M2236" s="6"/>
      <c r="N2236" s="9"/>
      <c r="O2236" s="158"/>
      <c r="P2236" s="12"/>
      <c r="Q2236" s="12"/>
      <c r="R2236" s="12"/>
      <c r="S2236" s="12"/>
      <c r="T2236" s="12"/>
      <c r="U2236" s="12"/>
      <c r="V2236" s="12"/>
      <c r="W2236" s="12"/>
      <c r="X2236" s="12"/>
      <c r="Y2236" s="12"/>
      <c r="Z2236" s="12"/>
    </row>
    <row r="2237" spans="1:26" ht="14.25" customHeight="1" x14ac:dyDescent="0.3">
      <c r="A2237" s="155"/>
      <c r="B2237" s="156"/>
      <c r="C2237" s="3"/>
      <c r="D2237" s="3"/>
      <c r="E2237" s="156"/>
      <c r="F2237" s="3"/>
      <c r="G2237" s="158"/>
      <c r="H2237" s="155"/>
      <c r="I2237" s="155"/>
      <c r="J2237" s="156"/>
      <c r="K2237" s="5"/>
      <c r="L2237" s="3"/>
      <c r="M2237" s="6"/>
      <c r="N2237" s="9"/>
      <c r="O2237" s="158"/>
      <c r="P2237" s="12"/>
      <c r="Q2237" s="12"/>
      <c r="R2237" s="12"/>
      <c r="S2237" s="12"/>
      <c r="T2237" s="12"/>
      <c r="U2237" s="12"/>
      <c r="V2237" s="12"/>
      <c r="W2237" s="12"/>
      <c r="X2237" s="12"/>
      <c r="Y2237" s="12"/>
      <c r="Z2237" s="12"/>
    </row>
    <row r="2238" spans="1:26" ht="14.25" customHeight="1" x14ac:dyDescent="0.3">
      <c r="A2238" s="155"/>
      <c r="B2238" s="156"/>
      <c r="C2238" s="3"/>
      <c r="D2238" s="3"/>
      <c r="E2238" s="156"/>
      <c r="F2238" s="3"/>
      <c r="G2238" s="158"/>
      <c r="H2238" s="155"/>
      <c r="I2238" s="155"/>
      <c r="J2238" s="156"/>
      <c r="K2238" s="5"/>
      <c r="L2238" s="3"/>
      <c r="M2238" s="6"/>
      <c r="N2238" s="9"/>
      <c r="O2238" s="158"/>
      <c r="P2238" s="12"/>
      <c r="Q2238" s="12"/>
      <c r="R2238" s="12"/>
      <c r="S2238" s="12"/>
      <c r="T2238" s="12"/>
      <c r="U2238" s="12"/>
      <c r="V2238" s="12"/>
      <c r="W2238" s="12"/>
      <c r="X2238" s="12"/>
      <c r="Y2238" s="12"/>
      <c r="Z2238" s="12"/>
    </row>
    <row r="2239" spans="1:26" ht="14.25" customHeight="1" x14ac:dyDescent="0.3">
      <c r="A2239" s="155"/>
      <c r="B2239" s="156"/>
      <c r="C2239" s="3"/>
      <c r="D2239" s="3"/>
      <c r="E2239" s="156"/>
      <c r="F2239" s="3"/>
      <c r="G2239" s="158"/>
      <c r="H2239" s="155"/>
      <c r="I2239" s="155"/>
      <c r="J2239" s="156"/>
      <c r="K2239" s="5"/>
      <c r="L2239" s="3"/>
      <c r="M2239" s="6"/>
      <c r="N2239" s="9"/>
      <c r="O2239" s="158"/>
      <c r="P2239" s="12"/>
      <c r="Q2239" s="12"/>
      <c r="R2239" s="12"/>
      <c r="S2239" s="12"/>
      <c r="T2239" s="12"/>
      <c r="U2239" s="12"/>
      <c r="V2239" s="12"/>
      <c r="W2239" s="12"/>
      <c r="X2239" s="12"/>
      <c r="Y2239" s="12"/>
      <c r="Z2239" s="12"/>
    </row>
    <row r="2240" spans="1:26" ht="14.25" customHeight="1" x14ac:dyDescent="0.3">
      <c r="A2240" s="155"/>
      <c r="B2240" s="156"/>
      <c r="C2240" s="3"/>
      <c r="D2240" s="3"/>
      <c r="E2240" s="156"/>
      <c r="F2240" s="3"/>
      <c r="G2240" s="158"/>
      <c r="H2240" s="155"/>
      <c r="I2240" s="155"/>
      <c r="J2240" s="156"/>
      <c r="K2240" s="5"/>
      <c r="L2240" s="3"/>
      <c r="M2240" s="6"/>
      <c r="N2240" s="9"/>
      <c r="O2240" s="158"/>
      <c r="P2240" s="12"/>
      <c r="Q2240" s="12"/>
      <c r="R2240" s="12"/>
      <c r="S2240" s="12"/>
      <c r="T2240" s="12"/>
      <c r="U2240" s="12"/>
      <c r="V2240" s="12"/>
      <c r="W2240" s="12"/>
      <c r="X2240" s="12"/>
      <c r="Y2240" s="12"/>
      <c r="Z2240" s="12"/>
    </row>
    <row r="2241" spans="1:26" ht="14.25" customHeight="1" x14ac:dyDescent="0.3">
      <c r="A2241" s="155"/>
      <c r="B2241" s="156"/>
      <c r="C2241" s="3"/>
      <c r="D2241" s="3"/>
      <c r="E2241" s="156"/>
      <c r="F2241" s="3"/>
      <c r="G2241" s="158"/>
      <c r="H2241" s="155"/>
      <c r="I2241" s="155"/>
      <c r="J2241" s="156"/>
      <c r="K2241" s="5"/>
      <c r="L2241" s="3"/>
      <c r="M2241" s="6"/>
      <c r="N2241" s="9"/>
      <c r="O2241" s="158"/>
      <c r="P2241" s="12"/>
      <c r="Q2241" s="12"/>
      <c r="R2241" s="12"/>
      <c r="S2241" s="12"/>
      <c r="T2241" s="12"/>
      <c r="U2241" s="12"/>
      <c r="V2241" s="12"/>
      <c r="W2241" s="12"/>
      <c r="X2241" s="12"/>
      <c r="Y2241" s="12"/>
      <c r="Z2241" s="12"/>
    </row>
    <row r="2242" spans="1:26" ht="14.25" customHeight="1" x14ac:dyDescent="0.3">
      <c r="A2242" s="155"/>
      <c r="B2242" s="156"/>
      <c r="C2242" s="3"/>
      <c r="D2242" s="3"/>
      <c r="E2242" s="156"/>
      <c r="F2242" s="3"/>
      <c r="G2242" s="158"/>
      <c r="H2242" s="155"/>
      <c r="I2242" s="155"/>
      <c r="J2242" s="156"/>
      <c r="K2242" s="5"/>
      <c r="L2242" s="3"/>
      <c r="M2242" s="6"/>
      <c r="N2242" s="9"/>
      <c r="O2242" s="158"/>
      <c r="P2242" s="12"/>
      <c r="Q2242" s="12"/>
      <c r="R2242" s="12"/>
      <c r="S2242" s="12"/>
      <c r="T2242" s="12"/>
      <c r="U2242" s="12"/>
      <c r="V2242" s="12"/>
      <c r="W2242" s="12"/>
      <c r="X2242" s="12"/>
      <c r="Y2242" s="12"/>
      <c r="Z2242" s="12"/>
    </row>
    <row r="2243" spans="1:26" ht="14.25" customHeight="1" x14ac:dyDescent="0.3">
      <c r="A2243" s="155"/>
      <c r="B2243" s="156"/>
      <c r="C2243" s="3"/>
      <c r="D2243" s="3"/>
      <c r="E2243" s="156"/>
      <c r="F2243" s="3"/>
      <c r="G2243" s="158"/>
      <c r="H2243" s="155"/>
      <c r="I2243" s="155"/>
      <c r="J2243" s="156"/>
      <c r="K2243" s="5"/>
      <c r="L2243" s="3"/>
      <c r="M2243" s="6"/>
      <c r="N2243" s="9"/>
      <c r="O2243" s="158"/>
      <c r="P2243" s="12"/>
      <c r="Q2243" s="12"/>
      <c r="R2243" s="12"/>
      <c r="S2243" s="12"/>
      <c r="T2243" s="12"/>
      <c r="U2243" s="12"/>
      <c r="V2243" s="12"/>
      <c r="W2243" s="12"/>
      <c r="X2243" s="12"/>
      <c r="Y2243" s="12"/>
      <c r="Z2243" s="12"/>
    </row>
    <row r="2244" spans="1:26" ht="14.25" customHeight="1" x14ac:dyDescent="0.3">
      <c r="A2244" s="155"/>
      <c r="B2244" s="156"/>
      <c r="C2244" s="3"/>
      <c r="D2244" s="3"/>
      <c r="E2244" s="156"/>
      <c r="F2244" s="3"/>
      <c r="G2244" s="158"/>
      <c r="H2244" s="155"/>
      <c r="I2244" s="155"/>
      <c r="J2244" s="156"/>
      <c r="K2244" s="5"/>
      <c r="L2244" s="3"/>
      <c r="M2244" s="6"/>
      <c r="N2244" s="9"/>
      <c r="O2244" s="158"/>
      <c r="P2244" s="12"/>
      <c r="Q2244" s="12"/>
      <c r="R2244" s="12"/>
      <c r="S2244" s="12"/>
      <c r="T2244" s="12"/>
      <c r="U2244" s="12"/>
      <c r="V2244" s="12"/>
      <c r="W2244" s="12"/>
      <c r="X2244" s="12"/>
      <c r="Y2244" s="12"/>
      <c r="Z2244" s="12"/>
    </row>
    <row r="2245" spans="1:26" ht="14.25" customHeight="1" x14ac:dyDescent="0.3">
      <c r="A2245" s="155"/>
      <c r="B2245" s="156"/>
      <c r="C2245" s="3"/>
      <c r="D2245" s="3"/>
      <c r="E2245" s="156"/>
      <c r="F2245" s="3"/>
      <c r="G2245" s="158"/>
      <c r="H2245" s="155"/>
      <c r="I2245" s="155"/>
      <c r="J2245" s="156"/>
      <c r="K2245" s="5"/>
      <c r="L2245" s="3"/>
      <c r="M2245" s="6"/>
      <c r="N2245" s="9"/>
      <c r="O2245" s="158"/>
      <c r="P2245" s="12"/>
      <c r="Q2245" s="12"/>
      <c r="R2245" s="12"/>
      <c r="S2245" s="12"/>
      <c r="T2245" s="12"/>
      <c r="U2245" s="12"/>
      <c r="V2245" s="12"/>
      <c r="W2245" s="12"/>
      <c r="X2245" s="12"/>
      <c r="Y2245" s="12"/>
      <c r="Z2245" s="12"/>
    </row>
    <row r="2246" spans="1:26" ht="14.25" customHeight="1" x14ac:dyDescent="0.3">
      <c r="A2246" s="155"/>
      <c r="B2246" s="156"/>
      <c r="C2246" s="3"/>
      <c r="D2246" s="3"/>
      <c r="E2246" s="156"/>
      <c r="F2246" s="3"/>
      <c r="G2246" s="158"/>
      <c r="H2246" s="155"/>
      <c r="I2246" s="155"/>
      <c r="J2246" s="156"/>
      <c r="K2246" s="5"/>
      <c r="L2246" s="3"/>
      <c r="M2246" s="6"/>
      <c r="N2246" s="9"/>
      <c r="O2246" s="158"/>
      <c r="P2246" s="12"/>
      <c r="Q2246" s="12"/>
      <c r="R2246" s="12"/>
      <c r="S2246" s="12"/>
      <c r="T2246" s="12"/>
      <c r="U2246" s="12"/>
      <c r="V2246" s="12"/>
      <c r="W2246" s="12"/>
      <c r="X2246" s="12"/>
      <c r="Y2246" s="12"/>
      <c r="Z2246" s="12"/>
    </row>
    <row r="2247" spans="1:26" ht="14.25" customHeight="1" x14ac:dyDescent="0.3">
      <c r="A2247" s="155"/>
      <c r="B2247" s="156"/>
      <c r="C2247" s="3"/>
      <c r="D2247" s="3"/>
      <c r="E2247" s="156"/>
      <c r="F2247" s="3"/>
      <c r="G2247" s="158"/>
      <c r="H2247" s="155"/>
      <c r="I2247" s="155"/>
      <c r="J2247" s="156"/>
      <c r="K2247" s="5"/>
      <c r="L2247" s="3"/>
      <c r="M2247" s="6"/>
      <c r="N2247" s="9"/>
      <c r="O2247" s="158"/>
      <c r="P2247" s="12"/>
      <c r="Q2247" s="12"/>
      <c r="R2247" s="12"/>
      <c r="S2247" s="12"/>
      <c r="T2247" s="12"/>
      <c r="U2247" s="12"/>
      <c r="V2247" s="12"/>
      <c r="W2247" s="12"/>
      <c r="X2247" s="12"/>
      <c r="Y2247" s="12"/>
      <c r="Z2247" s="12"/>
    </row>
    <row r="2248" spans="1:26" ht="14.25" customHeight="1" x14ac:dyDescent="0.3">
      <c r="A2248" s="155"/>
      <c r="B2248" s="156"/>
      <c r="C2248" s="3"/>
      <c r="D2248" s="3"/>
      <c r="E2248" s="156"/>
      <c r="F2248" s="3"/>
      <c r="G2248" s="158"/>
      <c r="H2248" s="155"/>
      <c r="I2248" s="155"/>
      <c r="J2248" s="156"/>
      <c r="K2248" s="5"/>
      <c r="L2248" s="3"/>
      <c r="M2248" s="6"/>
      <c r="N2248" s="9"/>
      <c r="O2248" s="158"/>
      <c r="P2248" s="12"/>
      <c r="Q2248" s="12"/>
      <c r="R2248" s="12"/>
      <c r="S2248" s="12"/>
      <c r="T2248" s="12"/>
      <c r="U2248" s="12"/>
      <c r="V2248" s="12"/>
      <c r="W2248" s="12"/>
      <c r="X2248" s="12"/>
      <c r="Y2248" s="12"/>
      <c r="Z2248" s="12"/>
    </row>
    <row r="2249" spans="1:26" ht="14.25" customHeight="1" x14ac:dyDescent="0.3">
      <c r="A2249" s="155"/>
      <c r="B2249" s="156"/>
      <c r="C2249" s="3"/>
      <c r="D2249" s="3"/>
      <c r="E2249" s="156"/>
      <c r="F2249" s="3"/>
      <c r="G2249" s="158"/>
      <c r="H2249" s="155"/>
      <c r="I2249" s="155"/>
      <c r="J2249" s="156"/>
      <c r="K2249" s="5"/>
      <c r="L2249" s="3"/>
      <c r="M2249" s="6"/>
      <c r="N2249" s="9"/>
      <c r="O2249" s="158"/>
      <c r="P2249" s="12"/>
      <c r="Q2249" s="12"/>
      <c r="R2249" s="12"/>
      <c r="S2249" s="12"/>
      <c r="T2249" s="12"/>
      <c r="U2249" s="12"/>
      <c r="V2249" s="12"/>
      <c r="W2249" s="12"/>
      <c r="X2249" s="12"/>
      <c r="Y2249" s="12"/>
      <c r="Z2249" s="12"/>
    </row>
    <row r="2250" spans="1:26" ht="14.25" customHeight="1" x14ac:dyDescent="0.3">
      <c r="A2250" s="155"/>
      <c r="B2250" s="156"/>
      <c r="C2250" s="3"/>
      <c r="D2250" s="3"/>
      <c r="E2250" s="156"/>
      <c r="F2250" s="3"/>
      <c r="G2250" s="158"/>
      <c r="H2250" s="155"/>
      <c r="I2250" s="155"/>
      <c r="J2250" s="156"/>
      <c r="K2250" s="5"/>
      <c r="L2250" s="3"/>
      <c r="M2250" s="6"/>
      <c r="N2250" s="9"/>
      <c r="O2250" s="158"/>
      <c r="P2250" s="12"/>
      <c r="Q2250" s="12"/>
      <c r="R2250" s="12"/>
      <c r="S2250" s="12"/>
      <c r="T2250" s="12"/>
      <c r="U2250" s="12"/>
      <c r="V2250" s="12"/>
      <c r="W2250" s="12"/>
      <c r="X2250" s="12"/>
      <c r="Y2250" s="12"/>
      <c r="Z2250" s="12"/>
    </row>
    <row r="2251" spans="1:26" ht="14.25" customHeight="1" x14ac:dyDescent="0.3">
      <c r="A2251" s="155"/>
      <c r="B2251" s="156"/>
      <c r="C2251" s="3"/>
      <c r="D2251" s="3"/>
      <c r="E2251" s="156"/>
      <c r="F2251" s="3"/>
      <c r="G2251" s="158"/>
      <c r="H2251" s="155"/>
      <c r="I2251" s="155"/>
      <c r="J2251" s="156"/>
      <c r="K2251" s="5"/>
      <c r="L2251" s="3"/>
      <c r="M2251" s="6"/>
      <c r="N2251" s="9"/>
      <c r="O2251" s="158"/>
      <c r="P2251" s="12"/>
      <c r="Q2251" s="12"/>
      <c r="R2251" s="12"/>
      <c r="S2251" s="12"/>
      <c r="T2251" s="12"/>
      <c r="U2251" s="12"/>
      <c r="V2251" s="12"/>
      <c r="W2251" s="12"/>
      <c r="X2251" s="12"/>
      <c r="Y2251" s="12"/>
      <c r="Z2251" s="12"/>
    </row>
    <row r="2252" spans="1:26" ht="14.25" customHeight="1" x14ac:dyDescent="0.3">
      <c r="A2252" s="155"/>
      <c r="B2252" s="156"/>
      <c r="C2252" s="3"/>
      <c r="D2252" s="3"/>
      <c r="E2252" s="156"/>
      <c r="F2252" s="3"/>
      <c r="G2252" s="158"/>
      <c r="H2252" s="155"/>
      <c r="I2252" s="155"/>
      <c r="J2252" s="156"/>
      <c r="K2252" s="5"/>
      <c r="L2252" s="3"/>
      <c r="M2252" s="6"/>
      <c r="N2252" s="9"/>
      <c r="O2252" s="158"/>
      <c r="P2252" s="12"/>
      <c r="Q2252" s="12"/>
      <c r="R2252" s="12"/>
      <c r="S2252" s="12"/>
      <c r="T2252" s="12"/>
      <c r="U2252" s="12"/>
      <c r="V2252" s="12"/>
      <c r="W2252" s="12"/>
      <c r="X2252" s="12"/>
      <c r="Y2252" s="12"/>
      <c r="Z2252" s="12"/>
    </row>
    <row r="2253" spans="1:26" ht="14.25" customHeight="1" x14ac:dyDescent="0.3">
      <c r="A2253" s="155"/>
      <c r="B2253" s="156"/>
      <c r="C2253" s="3"/>
      <c r="D2253" s="3"/>
      <c r="E2253" s="156"/>
      <c r="F2253" s="3"/>
      <c r="G2253" s="158"/>
      <c r="H2253" s="155"/>
      <c r="I2253" s="155"/>
      <c r="J2253" s="156"/>
      <c r="K2253" s="5"/>
      <c r="L2253" s="3"/>
      <c r="M2253" s="6"/>
      <c r="N2253" s="9"/>
      <c r="O2253" s="158"/>
      <c r="P2253" s="12"/>
      <c r="Q2253" s="12"/>
      <c r="R2253" s="12"/>
      <c r="S2253" s="12"/>
      <c r="T2253" s="12"/>
      <c r="U2253" s="12"/>
      <c r="V2253" s="12"/>
      <c r="W2253" s="12"/>
      <c r="X2253" s="12"/>
      <c r="Y2253" s="12"/>
      <c r="Z2253" s="12"/>
    </row>
    <row r="2254" spans="1:26" ht="14.25" customHeight="1" x14ac:dyDescent="0.3">
      <c r="A2254" s="155"/>
      <c r="B2254" s="156"/>
      <c r="C2254" s="3"/>
      <c r="D2254" s="3"/>
      <c r="E2254" s="156"/>
      <c r="F2254" s="3"/>
      <c r="G2254" s="158"/>
      <c r="H2254" s="155"/>
      <c r="I2254" s="155"/>
      <c r="J2254" s="156"/>
      <c r="K2254" s="5"/>
      <c r="L2254" s="3"/>
      <c r="M2254" s="6"/>
      <c r="N2254" s="9"/>
      <c r="O2254" s="158"/>
      <c r="P2254" s="12"/>
      <c r="Q2254" s="12"/>
      <c r="R2254" s="12"/>
      <c r="S2254" s="12"/>
      <c r="T2254" s="12"/>
      <c r="U2254" s="12"/>
      <c r="V2254" s="12"/>
      <c r="W2254" s="12"/>
      <c r="X2254" s="12"/>
      <c r="Y2254" s="12"/>
      <c r="Z2254" s="12"/>
    </row>
    <row r="2255" spans="1:26" ht="14.25" customHeight="1" x14ac:dyDescent="0.3">
      <c r="A2255" s="155"/>
      <c r="B2255" s="156"/>
      <c r="C2255" s="3"/>
      <c r="D2255" s="3"/>
      <c r="E2255" s="156"/>
      <c r="F2255" s="3"/>
      <c r="G2255" s="158"/>
      <c r="H2255" s="155"/>
      <c r="I2255" s="155"/>
      <c r="J2255" s="156"/>
      <c r="K2255" s="5"/>
      <c r="L2255" s="3"/>
      <c r="M2255" s="6"/>
      <c r="N2255" s="9"/>
      <c r="O2255" s="158"/>
      <c r="P2255" s="12"/>
      <c r="Q2255" s="12"/>
      <c r="R2255" s="12"/>
      <c r="S2255" s="12"/>
      <c r="T2255" s="12"/>
      <c r="U2255" s="12"/>
      <c r="V2255" s="12"/>
      <c r="W2255" s="12"/>
      <c r="X2255" s="12"/>
      <c r="Y2255" s="12"/>
      <c r="Z2255" s="12"/>
    </row>
    <row r="2256" spans="1:26" ht="14.25" customHeight="1" x14ac:dyDescent="0.3">
      <c r="A2256" s="155"/>
      <c r="B2256" s="156"/>
      <c r="C2256" s="3"/>
      <c r="D2256" s="3"/>
      <c r="E2256" s="156"/>
      <c r="F2256" s="3"/>
      <c r="G2256" s="158"/>
      <c r="H2256" s="155"/>
      <c r="I2256" s="155"/>
      <c r="J2256" s="156"/>
      <c r="K2256" s="5"/>
      <c r="L2256" s="3"/>
      <c r="M2256" s="6"/>
      <c r="N2256" s="9"/>
      <c r="O2256" s="158"/>
      <c r="P2256" s="12"/>
      <c r="Q2256" s="12"/>
      <c r="R2256" s="12"/>
      <c r="S2256" s="12"/>
      <c r="T2256" s="12"/>
      <c r="U2256" s="12"/>
      <c r="V2256" s="12"/>
      <c r="W2256" s="12"/>
      <c r="X2256" s="12"/>
      <c r="Y2256" s="12"/>
      <c r="Z2256" s="12"/>
    </row>
    <row r="2257" spans="1:26" ht="14.25" customHeight="1" x14ac:dyDescent="0.3">
      <c r="A2257" s="155"/>
      <c r="B2257" s="156"/>
      <c r="C2257" s="3"/>
      <c r="D2257" s="3"/>
      <c r="E2257" s="156"/>
      <c r="F2257" s="3"/>
      <c r="G2257" s="158"/>
      <c r="H2257" s="155"/>
      <c r="I2257" s="155"/>
      <c r="J2257" s="156"/>
      <c r="K2257" s="5"/>
      <c r="L2257" s="3"/>
      <c r="M2257" s="6"/>
      <c r="N2257" s="9"/>
      <c r="O2257" s="158"/>
      <c r="P2257" s="12"/>
      <c r="Q2257" s="12"/>
      <c r="R2257" s="12"/>
      <c r="S2257" s="12"/>
      <c r="T2257" s="12"/>
      <c r="U2257" s="12"/>
      <c r="V2257" s="12"/>
      <c r="W2257" s="12"/>
      <c r="X2257" s="12"/>
      <c r="Y2257" s="12"/>
      <c r="Z2257" s="12"/>
    </row>
    <row r="2258" spans="1:26" ht="14.25" customHeight="1" x14ac:dyDescent="0.3">
      <c r="A2258" s="155"/>
      <c r="B2258" s="156"/>
      <c r="C2258" s="3"/>
      <c r="D2258" s="3"/>
      <c r="E2258" s="156"/>
      <c r="F2258" s="3"/>
      <c r="G2258" s="158"/>
      <c r="H2258" s="155"/>
      <c r="I2258" s="155"/>
      <c r="J2258" s="156"/>
      <c r="K2258" s="5"/>
      <c r="L2258" s="3"/>
      <c r="M2258" s="6"/>
      <c r="N2258" s="9"/>
      <c r="O2258" s="158"/>
      <c r="P2258" s="12"/>
      <c r="Q2258" s="12"/>
      <c r="R2258" s="12"/>
      <c r="S2258" s="12"/>
      <c r="T2258" s="12"/>
      <c r="U2258" s="12"/>
      <c r="V2258" s="12"/>
      <c r="W2258" s="12"/>
      <c r="X2258" s="12"/>
      <c r="Y2258" s="12"/>
      <c r="Z2258" s="12"/>
    </row>
    <row r="2259" spans="1:26" ht="14.25" customHeight="1" x14ac:dyDescent="0.3">
      <c r="A2259" s="155"/>
      <c r="B2259" s="156"/>
      <c r="C2259" s="3"/>
      <c r="D2259" s="3"/>
      <c r="E2259" s="156"/>
      <c r="F2259" s="3"/>
      <c r="G2259" s="158"/>
      <c r="H2259" s="155"/>
      <c r="I2259" s="155"/>
      <c r="J2259" s="156"/>
      <c r="K2259" s="5"/>
      <c r="L2259" s="3"/>
      <c r="M2259" s="6"/>
      <c r="N2259" s="9"/>
      <c r="O2259" s="158"/>
      <c r="P2259" s="12"/>
      <c r="Q2259" s="12"/>
      <c r="R2259" s="12"/>
      <c r="S2259" s="12"/>
      <c r="T2259" s="12"/>
      <c r="U2259" s="12"/>
      <c r="V2259" s="12"/>
      <c r="W2259" s="12"/>
      <c r="X2259" s="12"/>
      <c r="Y2259" s="12"/>
      <c r="Z2259" s="12"/>
    </row>
    <row r="2260" spans="1:26" ht="14.25" customHeight="1" x14ac:dyDescent="0.3">
      <c r="A2260" s="155"/>
      <c r="B2260" s="156"/>
      <c r="C2260" s="3"/>
      <c r="D2260" s="3"/>
      <c r="E2260" s="156"/>
      <c r="F2260" s="3"/>
      <c r="G2260" s="158"/>
      <c r="H2260" s="155"/>
      <c r="I2260" s="155"/>
      <c r="J2260" s="156"/>
      <c r="K2260" s="5"/>
      <c r="L2260" s="3"/>
      <c r="M2260" s="6"/>
      <c r="N2260" s="9"/>
      <c r="O2260" s="158"/>
      <c r="P2260" s="12"/>
      <c r="Q2260" s="12"/>
      <c r="R2260" s="12"/>
      <c r="S2260" s="12"/>
      <c r="T2260" s="12"/>
      <c r="U2260" s="12"/>
      <c r="V2260" s="12"/>
      <c r="W2260" s="12"/>
      <c r="X2260" s="12"/>
      <c r="Y2260" s="12"/>
      <c r="Z2260" s="12"/>
    </row>
    <row r="2261" spans="1:26" ht="14.25" customHeight="1" x14ac:dyDescent="0.3">
      <c r="A2261" s="155"/>
      <c r="B2261" s="156"/>
      <c r="C2261" s="3"/>
      <c r="D2261" s="3"/>
      <c r="E2261" s="156"/>
      <c r="F2261" s="3"/>
      <c r="G2261" s="158"/>
      <c r="H2261" s="155"/>
      <c r="I2261" s="155"/>
      <c r="J2261" s="156"/>
      <c r="K2261" s="5"/>
      <c r="L2261" s="3"/>
      <c r="M2261" s="6"/>
      <c r="N2261" s="9"/>
      <c r="O2261" s="158"/>
      <c r="P2261" s="12"/>
      <c r="Q2261" s="12"/>
      <c r="R2261" s="12"/>
      <c r="S2261" s="12"/>
      <c r="T2261" s="12"/>
      <c r="U2261" s="12"/>
      <c r="V2261" s="12"/>
      <c r="W2261" s="12"/>
      <c r="X2261" s="12"/>
      <c r="Y2261" s="12"/>
      <c r="Z2261" s="12"/>
    </row>
    <row r="2262" spans="1:26" ht="14.25" customHeight="1" x14ac:dyDescent="0.3">
      <c r="A2262" s="155"/>
      <c r="B2262" s="156"/>
      <c r="C2262" s="3"/>
      <c r="D2262" s="3"/>
      <c r="E2262" s="156"/>
      <c r="F2262" s="3"/>
      <c r="G2262" s="158"/>
      <c r="H2262" s="155"/>
      <c r="I2262" s="155"/>
      <c r="J2262" s="156"/>
      <c r="K2262" s="5"/>
      <c r="L2262" s="3"/>
      <c r="M2262" s="6"/>
      <c r="N2262" s="9"/>
      <c r="O2262" s="158"/>
      <c r="P2262" s="12"/>
      <c r="Q2262" s="12"/>
      <c r="R2262" s="12"/>
      <c r="S2262" s="12"/>
      <c r="T2262" s="12"/>
      <c r="U2262" s="12"/>
      <c r="V2262" s="12"/>
      <c r="W2262" s="12"/>
      <c r="X2262" s="12"/>
      <c r="Y2262" s="12"/>
      <c r="Z2262" s="12"/>
    </row>
    <row r="2263" spans="1:26" ht="14.25" customHeight="1" x14ac:dyDescent="0.3">
      <c r="A2263" s="155"/>
      <c r="B2263" s="156"/>
      <c r="C2263" s="3"/>
      <c r="D2263" s="3"/>
      <c r="E2263" s="156"/>
      <c r="F2263" s="3"/>
      <c r="G2263" s="158"/>
      <c r="H2263" s="155"/>
      <c r="I2263" s="155"/>
      <c r="J2263" s="156"/>
      <c r="K2263" s="5"/>
      <c r="L2263" s="3"/>
      <c r="M2263" s="6"/>
      <c r="N2263" s="9"/>
      <c r="O2263" s="158"/>
      <c r="P2263" s="12"/>
      <c r="Q2263" s="12"/>
      <c r="R2263" s="12"/>
      <c r="S2263" s="12"/>
      <c r="T2263" s="12"/>
      <c r="U2263" s="12"/>
      <c r="V2263" s="12"/>
      <c r="W2263" s="12"/>
      <c r="X2263" s="12"/>
      <c r="Y2263" s="12"/>
      <c r="Z2263" s="12"/>
    </row>
    <row r="2264" spans="1:26" ht="14.25" customHeight="1" x14ac:dyDescent="0.3">
      <c r="A2264" s="155"/>
      <c r="B2264" s="156"/>
      <c r="C2264" s="3"/>
      <c r="D2264" s="3"/>
      <c r="E2264" s="156"/>
      <c r="F2264" s="3"/>
      <c r="G2264" s="158"/>
      <c r="H2264" s="155"/>
      <c r="I2264" s="155"/>
      <c r="J2264" s="156"/>
      <c r="K2264" s="5"/>
      <c r="L2264" s="3"/>
      <c r="M2264" s="6"/>
      <c r="N2264" s="9"/>
      <c r="O2264" s="158"/>
      <c r="P2264" s="12"/>
      <c r="Q2264" s="12"/>
      <c r="R2264" s="12"/>
      <c r="S2264" s="12"/>
      <c r="T2264" s="12"/>
      <c r="U2264" s="12"/>
      <c r="V2264" s="12"/>
      <c r="W2264" s="12"/>
      <c r="X2264" s="12"/>
      <c r="Y2264" s="12"/>
      <c r="Z2264" s="12"/>
    </row>
    <row r="2265" spans="1:26" ht="14.25" customHeight="1" x14ac:dyDescent="0.3">
      <c r="A2265" s="155"/>
      <c r="B2265" s="156"/>
      <c r="C2265" s="3"/>
      <c r="D2265" s="3"/>
      <c r="E2265" s="156"/>
      <c r="F2265" s="3"/>
      <c r="G2265" s="158"/>
      <c r="H2265" s="155"/>
      <c r="I2265" s="155"/>
      <c r="J2265" s="156"/>
      <c r="K2265" s="5"/>
      <c r="L2265" s="3"/>
      <c r="M2265" s="6"/>
      <c r="N2265" s="9"/>
      <c r="O2265" s="158"/>
      <c r="P2265" s="12"/>
      <c r="Q2265" s="12"/>
      <c r="R2265" s="12"/>
      <c r="S2265" s="12"/>
      <c r="T2265" s="12"/>
      <c r="U2265" s="12"/>
      <c r="V2265" s="12"/>
      <c r="W2265" s="12"/>
      <c r="X2265" s="12"/>
      <c r="Y2265" s="12"/>
      <c r="Z2265" s="12"/>
    </row>
    <row r="2266" spans="1:26" ht="14.25" customHeight="1" x14ac:dyDescent="0.3">
      <c r="A2266" s="155"/>
      <c r="B2266" s="156"/>
      <c r="C2266" s="3"/>
      <c r="D2266" s="3"/>
      <c r="E2266" s="156"/>
      <c r="F2266" s="3"/>
      <c r="G2266" s="158"/>
      <c r="H2266" s="155"/>
      <c r="I2266" s="155"/>
      <c r="J2266" s="156"/>
      <c r="K2266" s="5"/>
      <c r="L2266" s="3"/>
      <c r="M2266" s="6"/>
      <c r="N2266" s="9"/>
      <c r="O2266" s="158"/>
      <c r="P2266" s="12"/>
      <c r="Q2266" s="12"/>
      <c r="R2266" s="12"/>
      <c r="S2266" s="12"/>
      <c r="T2266" s="12"/>
      <c r="U2266" s="12"/>
      <c r="V2266" s="12"/>
      <c r="W2266" s="12"/>
      <c r="X2266" s="12"/>
      <c r="Y2266" s="12"/>
      <c r="Z2266" s="12"/>
    </row>
    <row r="2267" spans="1:26" ht="14.25" customHeight="1" x14ac:dyDescent="0.3">
      <c r="A2267" s="155"/>
      <c r="B2267" s="156"/>
      <c r="C2267" s="3"/>
      <c r="D2267" s="3"/>
      <c r="E2267" s="156"/>
      <c r="F2267" s="3"/>
      <c r="G2267" s="158"/>
      <c r="H2267" s="155"/>
      <c r="I2267" s="155"/>
      <c r="J2267" s="156"/>
      <c r="K2267" s="5"/>
      <c r="L2267" s="3"/>
      <c r="M2267" s="6"/>
      <c r="N2267" s="9"/>
      <c r="O2267" s="158"/>
      <c r="P2267" s="12"/>
      <c r="Q2267" s="12"/>
      <c r="R2267" s="12"/>
      <c r="S2267" s="12"/>
      <c r="T2267" s="12"/>
      <c r="U2267" s="12"/>
      <c r="V2267" s="12"/>
      <c r="W2267" s="12"/>
      <c r="X2267" s="12"/>
      <c r="Y2267" s="12"/>
      <c r="Z2267" s="12"/>
    </row>
    <row r="2268" spans="1:26" ht="14.25" customHeight="1" x14ac:dyDescent="0.3">
      <c r="A2268" s="155"/>
      <c r="B2268" s="156"/>
      <c r="C2268" s="3"/>
      <c r="D2268" s="3"/>
      <c r="E2268" s="156"/>
      <c r="F2268" s="3"/>
      <c r="G2268" s="158"/>
      <c r="H2268" s="155"/>
      <c r="I2268" s="155"/>
      <c r="J2268" s="156"/>
      <c r="K2268" s="5"/>
      <c r="L2268" s="3"/>
      <c r="M2268" s="6"/>
      <c r="N2268" s="9"/>
      <c r="O2268" s="158"/>
      <c r="P2268" s="12"/>
      <c r="Q2268" s="12"/>
      <c r="R2268" s="12"/>
      <c r="S2268" s="12"/>
      <c r="T2268" s="12"/>
      <c r="U2268" s="12"/>
      <c r="V2268" s="12"/>
      <c r="W2268" s="12"/>
      <c r="X2268" s="12"/>
      <c r="Y2268" s="12"/>
      <c r="Z2268" s="12"/>
    </row>
    <row r="2269" spans="1:26" ht="14.25" customHeight="1" x14ac:dyDescent="0.3">
      <c r="A2269" s="155"/>
      <c r="B2269" s="156"/>
      <c r="C2269" s="3"/>
      <c r="D2269" s="3"/>
      <c r="E2269" s="156"/>
      <c r="F2269" s="3"/>
      <c r="G2269" s="158"/>
      <c r="H2269" s="155"/>
      <c r="I2269" s="155"/>
      <c r="J2269" s="156"/>
      <c r="K2269" s="5"/>
      <c r="L2269" s="3"/>
      <c r="M2269" s="6"/>
      <c r="N2269" s="9"/>
      <c r="O2269" s="158"/>
      <c r="P2269" s="12"/>
      <c r="Q2269" s="12"/>
      <c r="R2269" s="12"/>
      <c r="S2269" s="12"/>
      <c r="T2269" s="12"/>
      <c r="U2269" s="12"/>
      <c r="V2269" s="12"/>
      <c r="W2269" s="12"/>
      <c r="X2269" s="12"/>
      <c r="Y2269" s="12"/>
      <c r="Z2269" s="12"/>
    </row>
    <row r="2270" spans="1:26" ht="14.25" customHeight="1" x14ac:dyDescent="0.3">
      <c r="A2270" s="155"/>
      <c r="B2270" s="156"/>
      <c r="C2270" s="3"/>
      <c r="D2270" s="3"/>
      <c r="E2270" s="156"/>
      <c r="F2270" s="3"/>
      <c r="G2270" s="158"/>
      <c r="H2270" s="155"/>
      <c r="I2270" s="155"/>
      <c r="J2270" s="156"/>
      <c r="K2270" s="5"/>
      <c r="L2270" s="3"/>
      <c r="M2270" s="6"/>
      <c r="N2270" s="9"/>
      <c r="O2270" s="158"/>
      <c r="P2270" s="12"/>
      <c r="Q2270" s="12"/>
      <c r="R2270" s="12"/>
      <c r="S2270" s="12"/>
      <c r="T2270" s="12"/>
      <c r="U2270" s="12"/>
      <c r="V2270" s="12"/>
      <c r="W2270" s="12"/>
      <c r="X2270" s="12"/>
      <c r="Y2270" s="12"/>
      <c r="Z2270" s="12"/>
    </row>
    <row r="2271" spans="1:26" ht="14.25" customHeight="1" x14ac:dyDescent="0.3">
      <c r="A2271" s="155"/>
      <c r="B2271" s="156"/>
      <c r="C2271" s="3"/>
      <c r="D2271" s="3"/>
      <c r="E2271" s="156"/>
      <c r="F2271" s="3"/>
      <c r="G2271" s="158"/>
      <c r="H2271" s="155"/>
      <c r="I2271" s="155"/>
      <c r="J2271" s="156"/>
      <c r="K2271" s="5"/>
      <c r="L2271" s="3"/>
      <c r="M2271" s="6"/>
      <c r="N2271" s="9"/>
      <c r="O2271" s="158"/>
      <c r="P2271" s="12"/>
      <c r="Q2271" s="12"/>
      <c r="R2271" s="12"/>
      <c r="S2271" s="12"/>
      <c r="T2271" s="12"/>
      <c r="U2271" s="12"/>
      <c r="V2271" s="12"/>
      <c r="W2271" s="12"/>
      <c r="X2271" s="12"/>
      <c r="Y2271" s="12"/>
      <c r="Z2271" s="12"/>
    </row>
    <row r="2272" spans="1:26" ht="14.25" customHeight="1" x14ac:dyDescent="0.3">
      <c r="A2272" s="155"/>
      <c r="B2272" s="156"/>
      <c r="C2272" s="3"/>
      <c r="D2272" s="3"/>
      <c r="E2272" s="156"/>
      <c r="F2272" s="3"/>
      <c r="G2272" s="158"/>
      <c r="H2272" s="155"/>
      <c r="I2272" s="155"/>
      <c r="J2272" s="156"/>
      <c r="K2272" s="5"/>
      <c r="L2272" s="3"/>
      <c r="M2272" s="6"/>
      <c r="N2272" s="9"/>
      <c r="O2272" s="158"/>
      <c r="P2272" s="12"/>
      <c r="Q2272" s="12"/>
      <c r="R2272" s="12"/>
      <c r="S2272" s="12"/>
      <c r="T2272" s="12"/>
      <c r="U2272" s="12"/>
      <c r="V2272" s="12"/>
      <c r="W2272" s="12"/>
      <c r="X2272" s="12"/>
      <c r="Y2272" s="12"/>
      <c r="Z2272" s="12"/>
    </row>
    <row r="2273" spans="1:26" ht="14.25" customHeight="1" x14ac:dyDescent="0.3">
      <c r="A2273" s="155"/>
      <c r="B2273" s="156"/>
      <c r="C2273" s="3"/>
      <c r="D2273" s="3"/>
      <c r="E2273" s="156"/>
      <c r="F2273" s="3"/>
      <c r="G2273" s="158"/>
      <c r="H2273" s="155"/>
      <c r="I2273" s="155"/>
      <c r="J2273" s="156"/>
      <c r="K2273" s="5"/>
      <c r="L2273" s="3"/>
      <c r="M2273" s="6"/>
      <c r="N2273" s="9"/>
      <c r="O2273" s="158"/>
      <c r="P2273" s="12"/>
      <c r="Q2273" s="12"/>
      <c r="R2273" s="12"/>
      <c r="S2273" s="12"/>
      <c r="T2273" s="12"/>
      <c r="U2273" s="12"/>
      <c r="V2273" s="12"/>
      <c r="W2273" s="12"/>
      <c r="X2273" s="12"/>
      <c r="Y2273" s="12"/>
      <c r="Z2273" s="12"/>
    </row>
    <row r="2274" spans="1:26" ht="14.25" customHeight="1" x14ac:dyDescent="0.3">
      <c r="A2274" s="155"/>
      <c r="B2274" s="156"/>
      <c r="C2274" s="3"/>
      <c r="D2274" s="3"/>
      <c r="E2274" s="156"/>
      <c r="F2274" s="3"/>
      <c r="G2274" s="158"/>
      <c r="H2274" s="155"/>
      <c r="I2274" s="155"/>
      <c r="J2274" s="156"/>
      <c r="K2274" s="5"/>
      <c r="L2274" s="3"/>
      <c r="M2274" s="6"/>
      <c r="N2274" s="9"/>
      <c r="O2274" s="158"/>
      <c r="P2274" s="12"/>
      <c r="Q2274" s="12"/>
      <c r="R2274" s="12"/>
      <c r="S2274" s="12"/>
      <c r="T2274" s="12"/>
      <c r="U2274" s="12"/>
      <c r="V2274" s="12"/>
      <c r="W2274" s="12"/>
      <c r="X2274" s="12"/>
      <c r="Y2274" s="12"/>
      <c r="Z2274" s="12"/>
    </row>
    <row r="2275" spans="1:26" ht="14.25" customHeight="1" x14ac:dyDescent="0.3">
      <c r="A2275" s="155"/>
      <c r="B2275" s="156"/>
      <c r="C2275" s="3"/>
      <c r="D2275" s="3"/>
      <c r="E2275" s="156"/>
      <c r="F2275" s="3"/>
      <c r="G2275" s="158"/>
      <c r="H2275" s="155"/>
      <c r="I2275" s="155"/>
      <c r="J2275" s="156"/>
      <c r="K2275" s="5"/>
      <c r="L2275" s="3"/>
      <c r="M2275" s="6"/>
      <c r="N2275" s="9"/>
      <c r="O2275" s="158"/>
      <c r="P2275" s="12"/>
      <c r="Q2275" s="12"/>
      <c r="R2275" s="12"/>
      <c r="S2275" s="12"/>
      <c r="T2275" s="12"/>
      <c r="U2275" s="12"/>
      <c r="V2275" s="12"/>
      <c r="W2275" s="12"/>
      <c r="X2275" s="12"/>
      <c r="Y2275" s="12"/>
      <c r="Z2275" s="12"/>
    </row>
    <row r="2276" spans="1:26" ht="14.25" customHeight="1" x14ac:dyDescent="0.3">
      <c r="A2276" s="155"/>
      <c r="B2276" s="156"/>
      <c r="C2276" s="3"/>
      <c r="D2276" s="3"/>
      <c r="E2276" s="156"/>
      <c r="F2276" s="3"/>
      <c r="G2276" s="158"/>
      <c r="H2276" s="155"/>
      <c r="I2276" s="155"/>
      <c r="J2276" s="156"/>
      <c r="K2276" s="5"/>
      <c r="L2276" s="3"/>
      <c r="M2276" s="6"/>
      <c r="N2276" s="9"/>
      <c r="O2276" s="158"/>
      <c r="P2276" s="12"/>
      <c r="Q2276" s="12"/>
      <c r="R2276" s="12"/>
      <c r="S2276" s="12"/>
      <c r="T2276" s="12"/>
      <c r="U2276" s="12"/>
      <c r="V2276" s="12"/>
      <c r="W2276" s="12"/>
      <c r="X2276" s="12"/>
      <c r="Y2276" s="12"/>
      <c r="Z2276" s="12"/>
    </row>
    <row r="2277" spans="1:26" ht="14.25" customHeight="1" x14ac:dyDescent="0.3">
      <c r="A2277" s="155"/>
      <c r="B2277" s="156"/>
      <c r="C2277" s="3"/>
      <c r="D2277" s="3"/>
      <c r="E2277" s="156"/>
      <c r="F2277" s="3"/>
      <c r="G2277" s="158"/>
      <c r="H2277" s="155"/>
      <c r="I2277" s="155"/>
      <c r="J2277" s="156"/>
      <c r="K2277" s="5"/>
      <c r="L2277" s="3"/>
      <c r="M2277" s="6"/>
      <c r="N2277" s="9"/>
      <c r="O2277" s="158"/>
      <c r="P2277" s="12"/>
      <c r="Q2277" s="12"/>
      <c r="R2277" s="12"/>
      <c r="S2277" s="12"/>
      <c r="T2277" s="12"/>
      <c r="U2277" s="12"/>
      <c r="V2277" s="12"/>
      <c r="W2277" s="12"/>
      <c r="X2277" s="12"/>
      <c r="Y2277" s="12"/>
      <c r="Z2277" s="12"/>
    </row>
    <row r="2278" spans="1:26" ht="14.25" customHeight="1" x14ac:dyDescent="0.3">
      <c r="A2278" s="155"/>
      <c r="B2278" s="156"/>
      <c r="C2278" s="3"/>
      <c r="D2278" s="3"/>
      <c r="E2278" s="156"/>
      <c r="F2278" s="3"/>
      <c r="G2278" s="158"/>
      <c r="H2278" s="155"/>
      <c r="I2278" s="155"/>
      <c r="J2278" s="156"/>
      <c r="K2278" s="5"/>
      <c r="L2278" s="3"/>
      <c r="M2278" s="6"/>
      <c r="N2278" s="9"/>
      <c r="O2278" s="158"/>
      <c r="P2278" s="12"/>
      <c r="Q2278" s="12"/>
      <c r="R2278" s="12"/>
      <c r="S2278" s="12"/>
      <c r="T2278" s="12"/>
      <c r="U2278" s="12"/>
      <c r="V2278" s="12"/>
      <c r="W2278" s="12"/>
      <c r="X2278" s="12"/>
      <c r="Y2278" s="12"/>
      <c r="Z2278" s="12"/>
    </row>
    <row r="2279" spans="1:26" ht="14.25" customHeight="1" x14ac:dyDescent="0.3">
      <c r="A2279" s="155"/>
      <c r="B2279" s="156"/>
      <c r="C2279" s="3"/>
      <c r="D2279" s="3"/>
      <c r="E2279" s="156"/>
      <c r="F2279" s="3"/>
      <c r="G2279" s="158"/>
      <c r="H2279" s="155"/>
      <c r="I2279" s="155"/>
      <c r="J2279" s="156"/>
      <c r="K2279" s="5"/>
      <c r="L2279" s="3"/>
      <c r="M2279" s="6"/>
      <c r="N2279" s="9"/>
      <c r="O2279" s="158"/>
      <c r="P2279" s="12"/>
      <c r="Q2279" s="12"/>
      <c r="R2279" s="12"/>
      <c r="S2279" s="12"/>
      <c r="T2279" s="12"/>
      <c r="U2279" s="12"/>
      <c r="V2279" s="12"/>
      <c r="W2279" s="12"/>
      <c r="X2279" s="12"/>
      <c r="Y2279" s="12"/>
      <c r="Z2279" s="12"/>
    </row>
    <row r="2280" spans="1:26" ht="14.25" customHeight="1" x14ac:dyDescent="0.3">
      <c r="A2280" s="155"/>
      <c r="B2280" s="156"/>
      <c r="C2280" s="3"/>
      <c r="D2280" s="3"/>
      <c r="E2280" s="156"/>
      <c r="F2280" s="3"/>
      <c r="G2280" s="158"/>
      <c r="H2280" s="155"/>
      <c r="I2280" s="155"/>
      <c r="J2280" s="156"/>
      <c r="K2280" s="5"/>
      <c r="L2280" s="3"/>
      <c r="M2280" s="6"/>
      <c r="N2280" s="9"/>
      <c r="O2280" s="158"/>
      <c r="P2280" s="12"/>
      <c r="Q2280" s="12"/>
      <c r="R2280" s="12"/>
      <c r="S2280" s="12"/>
      <c r="T2280" s="12"/>
      <c r="U2280" s="12"/>
      <c r="V2280" s="12"/>
      <c r="W2280" s="12"/>
      <c r="X2280" s="12"/>
      <c r="Y2280" s="12"/>
      <c r="Z2280" s="12"/>
    </row>
    <row r="2281" spans="1:26" ht="14.25" customHeight="1" x14ac:dyDescent="0.3">
      <c r="A2281" s="155"/>
      <c r="B2281" s="156"/>
      <c r="C2281" s="3"/>
      <c r="D2281" s="3"/>
      <c r="E2281" s="156"/>
      <c r="F2281" s="3"/>
      <c r="G2281" s="158"/>
      <c r="H2281" s="155"/>
      <c r="I2281" s="155"/>
      <c r="J2281" s="156"/>
      <c r="K2281" s="5"/>
      <c r="L2281" s="3"/>
      <c r="M2281" s="6"/>
      <c r="N2281" s="9"/>
      <c r="O2281" s="158"/>
      <c r="P2281" s="12"/>
      <c r="Q2281" s="12"/>
      <c r="R2281" s="12"/>
      <c r="S2281" s="12"/>
      <c r="T2281" s="12"/>
      <c r="U2281" s="12"/>
      <c r="V2281" s="12"/>
      <c r="W2281" s="12"/>
      <c r="X2281" s="12"/>
      <c r="Y2281" s="12"/>
      <c r="Z2281" s="12"/>
    </row>
    <row r="2282" spans="1:26" ht="14.25" customHeight="1" x14ac:dyDescent="0.3">
      <c r="A2282" s="155"/>
      <c r="B2282" s="156"/>
      <c r="C2282" s="3"/>
      <c r="D2282" s="3"/>
      <c r="E2282" s="156"/>
      <c r="F2282" s="3"/>
      <c r="G2282" s="158"/>
      <c r="H2282" s="155"/>
      <c r="I2282" s="155"/>
      <c r="J2282" s="156"/>
      <c r="K2282" s="5"/>
      <c r="L2282" s="3"/>
      <c r="M2282" s="6"/>
      <c r="N2282" s="9"/>
      <c r="O2282" s="158"/>
      <c r="P2282" s="12"/>
      <c r="Q2282" s="12"/>
      <c r="R2282" s="12"/>
      <c r="S2282" s="12"/>
      <c r="T2282" s="12"/>
      <c r="U2282" s="12"/>
      <c r="V2282" s="12"/>
      <c r="W2282" s="12"/>
      <c r="X2282" s="12"/>
      <c r="Y2282" s="12"/>
      <c r="Z2282" s="12"/>
    </row>
    <row r="2283" spans="1:26" ht="14.25" customHeight="1" x14ac:dyDescent="0.3">
      <c r="A2283" s="155"/>
      <c r="B2283" s="156"/>
      <c r="C2283" s="3"/>
      <c r="D2283" s="3"/>
      <c r="E2283" s="156"/>
      <c r="F2283" s="3"/>
      <c r="G2283" s="158"/>
      <c r="H2283" s="155"/>
      <c r="I2283" s="155"/>
      <c r="J2283" s="156"/>
      <c r="K2283" s="5"/>
      <c r="L2283" s="3"/>
      <c r="M2283" s="6"/>
      <c r="N2283" s="9"/>
      <c r="O2283" s="158"/>
      <c r="P2283" s="12"/>
      <c r="Q2283" s="12"/>
      <c r="R2283" s="12"/>
      <c r="S2283" s="12"/>
      <c r="T2283" s="12"/>
      <c r="U2283" s="12"/>
      <c r="V2283" s="12"/>
      <c r="W2283" s="12"/>
      <c r="X2283" s="12"/>
      <c r="Y2283" s="12"/>
      <c r="Z2283" s="12"/>
    </row>
    <row r="2284" spans="1:26" ht="14.25" customHeight="1" x14ac:dyDescent="0.3">
      <c r="A2284" s="155"/>
      <c r="B2284" s="156"/>
      <c r="C2284" s="3"/>
      <c r="D2284" s="3"/>
      <c r="E2284" s="156"/>
      <c r="F2284" s="3"/>
      <c r="G2284" s="158"/>
      <c r="H2284" s="155"/>
      <c r="I2284" s="155"/>
      <c r="J2284" s="156"/>
      <c r="K2284" s="5"/>
      <c r="L2284" s="3"/>
      <c r="M2284" s="6"/>
      <c r="N2284" s="9"/>
      <c r="O2284" s="158"/>
      <c r="P2284" s="12"/>
      <c r="Q2284" s="12"/>
      <c r="R2284" s="12"/>
      <c r="S2284" s="12"/>
      <c r="T2284" s="12"/>
      <c r="U2284" s="12"/>
      <c r="V2284" s="12"/>
      <c r="W2284" s="12"/>
      <c r="X2284" s="12"/>
      <c r="Y2284" s="12"/>
      <c r="Z2284" s="12"/>
    </row>
    <row r="2285" spans="1:26" ht="14.25" customHeight="1" x14ac:dyDescent="0.3">
      <c r="A2285" s="155"/>
      <c r="B2285" s="156"/>
      <c r="C2285" s="3"/>
      <c r="D2285" s="3"/>
      <c r="E2285" s="156"/>
      <c r="F2285" s="3"/>
      <c r="G2285" s="158"/>
      <c r="H2285" s="155"/>
      <c r="I2285" s="155"/>
      <c r="J2285" s="156"/>
      <c r="K2285" s="5"/>
      <c r="L2285" s="3"/>
      <c r="M2285" s="6"/>
      <c r="N2285" s="9"/>
      <c r="O2285" s="158"/>
      <c r="P2285" s="12"/>
      <c r="Q2285" s="12"/>
      <c r="R2285" s="12"/>
      <c r="S2285" s="12"/>
      <c r="T2285" s="12"/>
      <c r="U2285" s="12"/>
      <c r="V2285" s="12"/>
      <c r="W2285" s="12"/>
      <c r="X2285" s="12"/>
      <c r="Y2285" s="12"/>
      <c r="Z2285" s="12"/>
    </row>
    <row r="2286" spans="1:26" ht="14.25" customHeight="1" x14ac:dyDescent="0.3">
      <c r="A2286" s="155"/>
      <c r="B2286" s="156"/>
      <c r="C2286" s="3"/>
      <c r="D2286" s="3"/>
      <c r="E2286" s="156"/>
      <c r="F2286" s="3"/>
      <c r="G2286" s="158"/>
      <c r="H2286" s="155"/>
      <c r="I2286" s="155"/>
      <c r="J2286" s="156"/>
      <c r="K2286" s="5"/>
      <c r="L2286" s="3"/>
      <c r="M2286" s="6"/>
      <c r="N2286" s="9"/>
      <c r="O2286" s="158"/>
      <c r="P2286" s="12"/>
      <c r="Q2286" s="12"/>
      <c r="R2286" s="12"/>
      <c r="S2286" s="12"/>
      <c r="T2286" s="12"/>
      <c r="U2286" s="12"/>
      <c r="V2286" s="12"/>
      <c r="W2286" s="12"/>
      <c r="X2286" s="12"/>
      <c r="Y2286" s="12"/>
      <c r="Z2286" s="12"/>
    </row>
    <row r="2287" spans="1:26" ht="14.25" customHeight="1" x14ac:dyDescent="0.3">
      <c r="A2287" s="155"/>
      <c r="B2287" s="156"/>
      <c r="C2287" s="3"/>
      <c r="D2287" s="3"/>
      <c r="E2287" s="156"/>
      <c r="F2287" s="3"/>
      <c r="G2287" s="158"/>
      <c r="H2287" s="155"/>
      <c r="I2287" s="155"/>
      <c r="J2287" s="156"/>
      <c r="K2287" s="5"/>
      <c r="L2287" s="3"/>
      <c r="M2287" s="6"/>
      <c r="N2287" s="9"/>
      <c r="O2287" s="158"/>
      <c r="P2287" s="12"/>
      <c r="Q2287" s="12"/>
      <c r="R2287" s="12"/>
      <c r="S2287" s="12"/>
      <c r="T2287" s="12"/>
      <c r="U2287" s="12"/>
      <c r="V2287" s="12"/>
      <c r="W2287" s="12"/>
      <c r="X2287" s="12"/>
      <c r="Y2287" s="12"/>
      <c r="Z2287" s="12"/>
    </row>
    <row r="2288" spans="1:26" ht="14.25" customHeight="1" x14ac:dyDescent="0.3">
      <c r="A2288" s="155"/>
      <c r="B2288" s="156"/>
      <c r="C2288" s="3"/>
      <c r="D2288" s="3"/>
      <c r="E2288" s="156"/>
      <c r="F2288" s="3"/>
      <c r="G2288" s="158"/>
      <c r="H2288" s="155"/>
      <c r="I2288" s="155"/>
      <c r="J2288" s="156"/>
      <c r="K2288" s="5"/>
      <c r="L2288" s="3"/>
      <c r="M2288" s="6"/>
      <c r="N2288" s="9"/>
      <c r="O2288" s="158"/>
      <c r="P2288" s="12"/>
      <c r="Q2288" s="12"/>
      <c r="R2288" s="12"/>
      <c r="S2288" s="12"/>
      <c r="T2288" s="12"/>
      <c r="U2288" s="12"/>
      <c r="V2288" s="12"/>
      <c r="W2288" s="12"/>
      <c r="X2288" s="12"/>
      <c r="Y2288" s="12"/>
      <c r="Z2288" s="12"/>
    </row>
    <row r="2289" spans="1:26" ht="14.25" customHeight="1" x14ac:dyDescent="0.3">
      <c r="A2289" s="155"/>
      <c r="B2289" s="156"/>
      <c r="C2289" s="3"/>
      <c r="D2289" s="3"/>
      <c r="E2289" s="156"/>
      <c r="F2289" s="3"/>
      <c r="G2289" s="158"/>
      <c r="H2289" s="155"/>
      <c r="I2289" s="155"/>
      <c r="J2289" s="156"/>
      <c r="K2289" s="5"/>
      <c r="L2289" s="3"/>
      <c r="M2289" s="6"/>
      <c r="N2289" s="9"/>
      <c r="O2289" s="158"/>
      <c r="P2289" s="12"/>
      <c r="Q2289" s="12"/>
      <c r="R2289" s="12"/>
      <c r="S2289" s="12"/>
      <c r="T2289" s="12"/>
      <c r="U2289" s="12"/>
      <c r="V2289" s="12"/>
      <c r="W2289" s="12"/>
      <c r="X2289" s="12"/>
      <c r="Y2289" s="12"/>
      <c r="Z2289" s="12"/>
    </row>
    <row r="2290" spans="1:26" ht="14.25" customHeight="1" x14ac:dyDescent="0.3">
      <c r="A2290" s="155"/>
      <c r="B2290" s="156"/>
      <c r="C2290" s="3"/>
      <c r="D2290" s="3"/>
      <c r="E2290" s="156"/>
      <c r="F2290" s="3"/>
      <c r="G2290" s="158"/>
      <c r="H2290" s="155"/>
      <c r="I2290" s="155"/>
      <c r="J2290" s="156"/>
      <c r="K2290" s="5"/>
      <c r="L2290" s="3"/>
      <c r="M2290" s="6"/>
      <c r="N2290" s="9"/>
      <c r="O2290" s="158"/>
      <c r="P2290" s="12"/>
      <c r="Q2290" s="12"/>
      <c r="R2290" s="12"/>
      <c r="S2290" s="12"/>
      <c r="T2290" s="12"/>
      <c r="U2290" s="12"/>
      <c r="V2290" s="12"/>
      <c r="W2290" s="12"/>
      <c r="X2290" s="12"/>
      <c r="Y2290" s="12"/>
      <c r="Z2290" s="12"/>
    </row>
    <row r="2291" spans="1:26" ht="14.25" customHeight="1" x14ac:dyDescent="0.3">
      <c r="A2291" s="155"/>
      <c r="B2291" s="156"/>
      <c r="C2291" s="3"/>
      <c r="D2291" s="3"/>
      <c r="E2291" s="156"/>
      <c r="F2291" s="3"/>
      <c r="G2291" s="158"/>
      <c r="H2291" s="155"/>
      <c r="I2291" s="155"/>
      <c r="J2291" s="156"/>
      <c r="K2291" s="5"/>
      <c r="L2291" s="3"/>
      <c r="M2291" s="6"/>
      <c r="N2291" s="9"/>
      <c r="O2291" s="158"/>
      <c r="P2291" s="12"/>
      <c r="Q2291" s="12"/>
      <c r="R2291" s="12"/>
      <c r="S2291" s="12"/>
      <c r="T2291" s="12"/>
      <c r="U2291" s="12"/>
      <c r="V2291" s="12"/>
      <c r="W2291" s="12"/>
      <c r="X2291" s="12"/>
      <c r="Y2291" s="12"/>
      <c r="Z2291" s="12"/>
    </row>
    <row r="2292" spans="1:26" ht="14.25" customHeight="1" x14ac:dyDescent="0.3">
      <c r="A2292" s="155"/>
      <c r="B2292" s="156"/>
      <c r="C2292" s="3"/>
      <c r="D2292" s="3"/>
      <c r="E2292" s="156"/>
      <c r="F2292" s="3"/>
      <c r="G2292" s="158"/>
      <c r="H2292" s="155"/>
      <c r="I2292" s="155"/>
      <c r="J2292" s="156"/>
      <c r="K2292" s="5"/>
      <c r="L2292" s="3"/>
      <c r="M2292" s="6"/>
      <c r="N2292" s="9"/>
      <c r="O2292" s="158"/>
      <c r="P2292" s="12"/>
      <c r="Q2292" s="12"/>
      <c r="R2292" s="12"/>
      <c r="S2292" s="12"/>
      <c r="T2292" s="12"/>
      <c r="U2292" s="12"/>
      <c r="V2292" s="12"/>
      <c r="W2292" s="12"/>
      <c r="X2292" s="12"/>
      <c r="Y2292" s="12"/>
      <c r="Z2292" s="12"/>
    </row>
    <row r="2293" spans="1:26" ht="14.25" customHeight="1" x14ac:dyDescent="0.3">
      <c r="A2293" s="155"/>
      <c r="B2293" s="156"/>
      <c r="C2293" s="3"/>
      <c r="D2293" s="3"/>
      <c r="E2293" s="156"/>
      <c r="F2293" s="3"/>
      <c r="G2293" s="158"/>
      <c r="H2293" s="155"/>
      <c r="I2293" s="155"/>
      <c r="J2293" s="156"/>
      <c r="K2293" s="5"/>
      <c r="L2293" s="3"/>
      <c r="M2293" s="6"/>
      <c r="N2293" s="9"/>
      <c r="O2293" s="158"/>
      <c r="P2293" s="12"/>
      <c r="Q2293" s="12"/>
      <c r="R2293" s="12"/>
      <c r="S2293" s="12"/>
      <c r="T2293" s="12"/>
      <c r="U2293" s="12"/>
      <c r="V2293" s="12"/>
      <c r="W2293" s="12"/>
      <c r="X2293" s="12"/>
      <c r="Y2293" s="12"/>
      <c r="Z2293" s="12"/>
    </row>
    <row r="2294" spans="1:26" ht="14.25" customHeight="1" x14ac:dyDescent="0.3">
      <c r="A2294" s="155"/>
      <c r="B2294" s="156"/>
      <c r="C2294" s="3"/>
      <c r="D2294" s="3"/>
      <c r="E2294" s="156"/>
      <c r="F2294" s="3"/>
      <c r="G2294" s="158"/>
      <c r="H2294" s="155"/>
      <c r="I2294" s="155"/>
      <c r="J2294" s="156"/>
      <c r="K2294" s="5"/>
      <c r="L2294" s="3"/>
      <c r="M2294" s="6"/>
      <c r="N2294" s="9"/>
      <c r="O2294" s="158"/>
      <c r="P2294" s="12"/>
      <c r="Q2294" s="12"/>
      <c r="R2294" s="12"/>
      <c r="S2294" s="12"/>
      <c r="T2294" s="12"/>
      <c r="U2294" s="12"/>
      <c r="V2294" s="12"/>
      <c r="W2294" s="12"/>
      <c r="X2294" s="12"/>
      <c r="Y2294" s="12"/>
      <c r="Z2294" s="12"/>
    </row>
    <row r="2295" spans="1:26" ht="14.25" customHeight="1" x14ac:dyDescent="0.3">
      <c r="A2295" s="155"/>
      <c r="B2295" s="156"/>
      <c r="C2295" s="3"/>
      <c r="D2295" s="3"/>
      <c r="E2295" s="156"/>
      <c r="F2295" s="3"/>
      <c r="G2295" s="158"/>
      <c r="H2295" s="155"/>
      <c r="I2295" s="155"/>
      <c r="J2295" s="156"/>
      <c r="K2295" s="5"/>
      <c r="L2295" s="3"/>
      <c r="M2295" s="6"/>
      <c r="N2295" s="9"/>
      <c r="O2295" s="158"/>
      <c r="P2295" s="12"/>
      <c r="Q2295" s="12"/>
      <c r="R2295" s="12"/>
      <c r="S2295" s="12"/>
      <c r="T2295" s="12"/>
      <c r="U2295" s="12"/>
      <c r="V2295" s="12"/>
      <c r="W2295" s="12"/>
      <c r="X2295" s="12"/>
      <c r="Y2295" s="12"/>
      <c r="Z2295" s="12"/>
    </row>
    <row r="2296" spans="1:26" ht="14.25" customHeight="1" x14ac:dyDescent="0.3">
      <c r="A2296" s="155"/>
      <c r="B2296" s="156"/>
      <c r="C2296" s="3"/>
      <c r="D2296" s="3"/>
      <c r="E2296" s="156"/>
      <c r="F2296" s="3"/>
      <c r="G2296" s="158"/>
      <c r="H2296" s="155"/>
      <c r="I2296" s="155"/>
      <c r="J2296" s="156"/>
      <c r="K2296" s="5"/>
      <c r="L2296" s="3"/>
      <c r="M2296" s="6"/>
      <c r="N2296" s="9"/>
      <c r="O2296" s="158"/>
      <c r="P2296" s="12"/>
      <c r="Q2296" s="12"/>
      <c r="R2296" s="12"/>
      <c r="S2296" s="12"/>
      <c r="T2296" s="12"/>
      <c r="U2296" s="12"/>
      <c r="V2296" s="12"/>
      <c r="W2296" s="12"/>
      <c r="X2296" s="12"/>
      <c r="Y2296" s="12"/>
      <c r="Z2296" s="12"/>
    </row>
    <row r="2297" spans="1:26" ht="14.25" customHeight="1" x14ac:dyDescent="0.3">
      <c r="A2297" s="155"/>
      <c r="B2297" s="156"/>
      <c r="C2297" s="3"/>
      <c r="D2297" s="3"/>
      <c r="E2297" s="156"/>
      <c r="F2297" s="3"/>
      <c r="G2297" s="158"/>
      <c r="H2297" s="155"/>
      <c r="I2297" s="155"/>
      <c r="J2297" s="156"/>
      <c r="K2297" s="5"/>
      <c r="L2297" s="3"/>
      <c r="M2297" s="6"/>
      <c r="N2297" s="9"/>
      <c r="O2297" s="158"/>
      <c r="P2297" s="12"/>
      <c r="Q2297" s="12"/>
      <c r="R2297" s="12"/>
      <c r="S2297" s="12"/>
      <c r="T2297" s="12"/>
      <c r="U2297" s="12"/>
      <c r="V2297" s="12"/>
      <c r="W2297" s="12"/>
      <c r="X2297" s="12"/>
      <c r="Y2297" s="12"/>
      <c r="Z2297" s="12"/>
    </row>
    <row r="2298" spans="1:26" ht="14.25" customHeight="1" x14ac:dyDescent="0.3">
      <c r="A2298" s="155"/>
      <c r="B2298" s="156"/>
      <c r="C2298" s="3"/>
      <c r="D2298" s="3"/>
      <c r="E2298" s="156"/>
      <c r="F2298" s="3"/>
      <c r="G2298" s="158"/>
      <c r="H2298" s="155"/>
      <c r="I2298" s="155"/>
      <c r="J2298" s="156"/>
      <c r="K2298" s="5"/>
      <c r="L2298" s="3"/>
      <c r="M2298" s="6"/>
      <c r="N2298" s="9"/>
      <c r="O2298" s="158"/>
      <c r="P2298" s="12"/>
      <c r="Q2298" s="12"/>
      <c r="R2298" s="12"/>
      <c r="S2298" s="12"/>
      <c r="T2298" s="12"/>
      <c r="U2298" s="12"/>
      <c r="V2298" s="12"/>
      <c r="W2298" s="12"/>
      <c r="X2298" s="12"/>
      <c r="Y2298" s="12"/>
      <c r="Z2298" s="12"/>
    </row>
    <row r="2299" spans="1:26" ht="14.25" customHeight="1" x14ac:dyDescent="0.3">
      <c r="A2299" s="155"/>
      <c r="B2299" s="156"/>
      <c r="C2299" s="3"/>
      <c r="D2299" s="3"/>
      <c r="E2299" s="156"/>
      <c r="F2299" s="3"/>
      <c r="G2299" s="158"/>
      <c r="H2299" s="155"/>
      <c r="I2299" s="155"/>
      <c r="J2299" s="156"/>
      <c r="K2299" s="5"/>
      <c r="L2299" s="3"/>
      <c r="M2299" s="6"/>
      <c r="N2299" s="9"/>
      <c r="O2299" s="158"/>
      <c r="P2299" s="12"/>
      <c r="Q2299" s="12"/>
      <c r="R2299" s="12"/>
      <c r="S2299" s="12"/>
      <c r="T2299" s="12"/>
      <c r="U2299" s="12"/>
      <c r="V2299" s="12"/>
      <c r="W2299" s="12"/>
      <c r="X2299" s="12"/>
      <c r="Y2299" s="12"/>
      <c r="Z2299" s="12"/>
    </row>
    <row r="2300" spans="1:26" ht="14.25" customHeight="1" x14ac:dyDescent="0.3">
      <c r="A2300" s="155"/>
      <c r="B2300" s="156"/>
      <c r="C2300" s="3"/>
      <c r="D2300" s="3"/>
      <c r="E2300" s="156"/>
      <c r="F2300" s="3"/>
      <c r="G2300" s="158"/>
      <c r="H2300" s="155"/>
      <c r="I2300" s="155"/>
      <c r="J2300" s="156"/>
      <c r="K2300" s="5"/>
      <c r="L2300" s="3"/>
      <c r="M2300" s="6"/>
      <c r="N2300" s="9"/>
      <c r="O2300" s="158"/>
      <c r="P2300" s="12"/>
      <c r="Q2300" s="12"/>
      <c r="R2300" s="12"/>
      <c r="S2300" s="12"/>
      <c r="T2300" s="12"/>
      <c r="U2300" s="12"/>
      <c r="V2300" s="12"/>
      <c r="W2300" s="12"/>
      <c r="X2300" s="12"/>
      <c r="Y2300" s="12"/>
      <c r="Z2300" s="12"/>
    </row>
    <row r="2301" spans="1:26" ht="14.25" customHeight="1" x14ac:dyDescent="0.3">
      <c r="A2301" s="155"/>
      <c r="B2301" s="156"/>
      <c r="C2301" s="3"/>
      <c r="D2301" s="3"/>
      <c r="E2301" s="156"/>
      <c r="F2301" s="3"/>
      <c r="G2301" s="158"/>
      <c r="H2301" s="155"/>
      <c r="I2301" s="155"/>
      <c r="J2301" s="156"/>
      <c r="K2301" s="5"/>
      <c r="L2301" s="3"/>
      <c r="M2301" s="6"/>
      <c r="N2301" s="9"/>
      <c r="O2301" s="158"/>
      <c r="P2301" s="12"/>
      <c r="Q2301" s="12"/>
      <c r="R2301" s="12"/>
      <c r="S2301" s="12"/>
      <c r="T2301" s="12"/>
      <c r="U2301" s="12"/>
      <c r="V2301" s="12"/>
      <c r="W2301" s="12"/>
      <c r="X2301" s="12"/>
      <c r="Y2301" s="12"/>
      <c r="Z2301" s="12"/>
    </row>
    <row r="2302" spans="1:26" ht="14.25" customHeight="1" x14ac:dyDescent="0.3">
      <c r="A2302" s="155"/>
      <c r="B2302" s="156"/>
      <c r="C2302" s="3"/>
      <c r="D2302" s="3"/>
      <c r="E2302" s="156"/>
      <c r="F2302" s="3"/>
      <c r="G2302" s="158"/>
      <c r="H2302" s="155"/>
      <c r="I2302" s="155"/>
      <c r="J2302" s="156"/>
      <c r="K2302" s="5"/>
      <c r="L2302" s="3"/>
      <c r="M2302" s="6"/>
      <c r="N2302" s="9"/>
      <c r="O2302" s="158"/>
      <c r="P2302" s="12"/>
      <c r="Q2302" s="12"/>
      <c r="R2302" s="12"/>
      <c r="S2302" s="12"/>
      <c r="T2302" s="12"/>
      <c r="U2302" s="12"/>
      <c r="V2302" s="12"/>
      <c r="W2302" s="12"/>
      <c r="X2302" s="12"/>
      <c r="Y2302" s="12"/>
      <c r="Z2302" s="12"/>
    </row>
    <row r="2303" spans="1:26" ht="14.25" customHeight="1" x14ac:dyDescent="0.3">
      <c r="A2303" s="155"/>
      <c r="B2303" s="156"/>
      <c r="C2303" s="3"/>
      <c r="D2303" s="3"/>
      <c r="E2303" s="156"/>
      <c r="F2303" s="3"/>
      <c r="G2303" s="158"/>
      <c r="H2303" s="155"/>
      <c r="I2303" s="155"/>
      <c r="J2303" s="156"/>
      <c r="K2303" s="5"/>
      <c r="L2303" s="3"/>
      <c r="M2303" s="6"/>
      <c r="N2303" s="9"/>
      <c r="O2303" s="158"/>
      <c r="P2303" s="12"/>
      <c r="Q2303" s="12"/>
      <c r="R2303" s="12"/>
      <c r="S2303" s="12"/>
      <c r="T2303" s="12"/>
      <c r="U2303" s="12"/>
      <c r="V2303" s="12"/>
      <c r="W2303" s="12"/>
      <c r="X2303" s="12"/>
      <c r="Y2303" s="12"/>
      <c r="Z2303" s="12"/>
    </row>
    <row r="2304" spans="1:26" ht="14.25" customHeight="1" x14ac:dyDescent="0.3">
      <c r="A2304" s="155"/>
      <c r="B2304" s="156"/>
      <c r="C2304" s="3"/>
      <c r="D2304" s="3"/>
      <c r="E2304" s="156"/>
      <c r="F2304" s="3"/>
      <c r="G2304" s="158"/>
      <c r="H2304" s="155"/>
      <c r="I2304" s="155"/>
      <c r="J2304" s="156"/>
      <c r="K2304" s="5"/>
      <c r="L2304" s="3"/>
      <c r="M2304" s="6"/>
      <c r="N2304" s="9"/>
      <c r="O2304" s="158"/>
      <c r="P2304" s="12"/>
      <c r="Q2304" s="12"/>
      <c r="R2304" s="12"/>
      <c r="S2304" s="12"/>
      <c r="T2304" s="12"/>
      <c r="U2304" s="12"/>
      <c r="V2304" s="12"/>
      <c r="W2304" s="12"/>
      <c r="X2304" s="12"/>
      <c r="Y2304" s="12"/>
      <c r="Z2304" s="12"/>
    </row>
    <row r="2305" spans="1:26" ht="14.25" customHeight="1" x14ac:dyDescent="0.3">
      <c r="A2305" s="155"/>
      <c r="B2305" s="156"/>
      <c r="C2305" s="3"/>
      <c r="D2305" s="3"/>
      <c r="E2305" s="156"/>
      <c r="F2305" s="3"/>
      <c r="G2305" s="158"/>
      <c r="H2305" s="155"/>
      <c r="I2305" s="155"/>
      <c r="J2305" s="156"/>
      <c r="K2305" s="5"/>
      <c r="L2305" s="3"/>
      <c r="M2305" s="6"/>
      <c r="N2305" s="9"/>
      <c r="O2305" s="158"/>
      <c r="P2305" s="12"/>
      <c r="Q2305" s="12"/>
      <c r="R2305" s="12"/>
      <c r="S2305" s="12"/>
      <c r="T2305" s="12"/>
      <c r="U2305" s="12"/>
      <c r="V2305" s="12"/>
      <c r="W2305" s="12"/>
      <c r="X2305" s="12"/>
      <c r="Y2305" s="12"/>
      <c r="Z2305" s="12"/>
    </row>
    <row r="2306" spans="1:26" ht="14.25" customHeight="1" x14ac:dyDescent="0.3">
      <c r="A2306" s="155"/>
      <c r="B2306" s="156"/>
      <c r="C2306" s="3"/>
      <c r="D2306" s="3"/>
      <c r="E2306" s="156"/>
      <c r="F2306" s="3"/>
      <c r="G2306" s="158"/>
      <c r="H2306" s="155"/>
      <c r="I2306" s="155"/>
      <c r="J2306" s="156"/>
      <c r="K2306" s="5"/>
      <c r="L2306" s="3"/>
      <c r="M2306" s="6"/>
      <c r="N2306" s="9"/>
      <c r="O2306" s="158"/>
      <c r="P2306" s="12"/>
      <c r="Q2306" s="12"/>
      <c r="R2306" s="12"/>
      <c r="S2306" s="12"/>
      <c r="T2306" s="12"/>
      <c r="U2306" s="12"/>
      <c r="V2306" s="12"/>
      <c r="W2306" s="12"/>
      <c r="X2306" s="12"/>
      <c r="Y2306" s="12"/>
      <c r="Z2306" s="12"/>
    </row>
    <row r="2307" spans="1:26" ht="14.25" customHeight="1" x14ac:dyDescent="0.3">
      <c r="A2307" s="155"/>
      <c r="B2307" s="156"/>
      <c r="C2307" s="3"/>
      <c r="D2307" s="3"/>
      <c r="E2307" s="156"/>
      <c r="F2307" s="3"/>
      <c r="G2307" s="158"/>
      <c r="H2307" s="155"/>
      <c r="I2307" s="155"/>
      <c r="J2307" s="156"/>
      <c r="K2307" s="5"/>
      <c r="L2307" s="3"/>
      <c r="M2307" s="6"/>
      <c r="N2307" s="9"/>
      <c r="O2307" s="158"/>
      <c r="P2307" s="12"/>
      <c r="Q2307" s="12"/>
      <c r="R2307" s="12"/>
      <c r="S2307" s="12"/>
      <c r="T2307" s="12"/>
      <c r="U2307" s="12"/>
      <c r="V2307" s="12"/>
      <c r="W2307" s="12"/>
      <c r="X2307" s="12"/>
      <c r="Y2307" s="12"/>
      <c r="Z2307" s="12"/>
    </row>
    <row r="2308" spans="1:26" ht="14.25" customHeight="1" x14ac:dyDescent="0.3">
      <c r="A2308" s="155"/>
      <c r="B2308" s="156"/>
      <c r="C2308" s="3"/>
      <c r="D2308" s="3"/>
      <c r="E2308" s="156"/>
      <c r="F2308" s="3"/>
      <c r="G2308" s="158"/>
      <c r="H2308" s="155"/>
      <c r="I2308" s="155"/>
      <c r="J2308" s="156"/>
      <c r="K2308" s="5"/>
      <c r="L2308" s="3"/>
      <c r="M2308" s="6"/>
      <c r="N2308" s="9"/>
      <c r="O2308" s="158"/>
      <c r="P2308" s="12"/>
      <c r="Q2308" s="12"/>
      <c r="R2308" s="12"/>
      <c r="S2308" s="12"/>
      <c r="T2308" s="12"/>
      <c r="U2308" s="12"/>
      <c r="V2308" s="12"/>
      <c r="W2308" s="12"/>
      <c r="X2308" s="12"/>
      <c r="Y2308" s="12"/>
      <c r="Z2308" s="12"/>
    </row>
    <row r="2309" spans="1:26" ht="14.25" customHeight="1" x14ac:dyDescent="0.3">
      <c r="A2309" s="155"/>
      <c r="B2309" s="156"/>
      <c r="C2309" s="3"/>
      <c r="D2309" s="3"/>
      <c r="E2309" s="156"/>
      <c r="F2309" s="3"/>
      <c r="G2309" s="158"/>
      <c r="H2309" s="155"/>
      <c r="I2309" s="155"/>
      <c r="J2309" s="156"/>
      <c r="K2309" s="5"/>
      <c r="L2309" s="3"/>
      <c r="M2309" s="6"/>
      <c r="N2309" s="9"/>
      <c r="O2309" s="158"/>
      <c r="P2309" s="12"/>
      <c r="Q2309" s="12"/>
      <c r="R2309" s="12"/>
      <c r="S2309" s="12"/>
      <c r="T2309" s="12"/>
      <c r="U2309" s="12"/>
      <c r="V2309" s="12"/>
      <c r="W2309" s="12"/>
      <c r="X2309" s="12"/>
      <c r="Y2309" s="12"/>
      <c r="Z2309" s="12"/>
    </row>
    <row r="2310" spans="1:26" ht="14.25" customHeight="1" x14ac:dyDescent="0.3">
      <c r="A2310" s="155"/>
      <c r="B2310" s="156"/>
      <c r="C2310" s="3"/>
      <c r="D2310" s="3"/>
      <c r="E2310" s="156"/>
      <c r="F2310" s="3"/>
      <c r="G2310" s="158"/>
      <c r="H2310" s="155"/>
      <c r="I2310" s="155"/>
      <c r="J2310" s="156"/>
      <c r="K2310" s="5"/>
      <c r="L2310" s="3"/>
      <c r="M2310" s="6"/>
      <c r="N2310" s="9"/>
      <c r="O2310" s="158"/>
      <c r="P2310" s="12"/>
      <c r="Q2310" s="12"/>
      <c r="R2310" s="12"/>
      <c r="S2310" s="12"/>
      <c r="T2310" s="12"/>
      <c r="U2310" s="12"/>
      <c r="V2310" s="12"/>
      <c r="W2310" s="12"/>
      <c r="X2310" s="12"/>
      <c r="Y2310" s="12"/>
      <c r="Z2310" s="12"/>
    </row>
    <row r="2311" spans="1:26" ht="14.25" customHeight="1" x14ac:dyDescent="0.3">
      <c r="A2311" s="155"/>
      <c r="B2311" s="156"/>
      <c r="C2311" s="3"/>
      <c r="D2311" s="3"/>
      <c r="E2311" s="156"/>
      <c r="F2311" s="3"/>
      <c r="G2311" s="158"/>
      <c r="H2311" s="155"/>
      <c r="I2311" s="155"/>
      <c r="J2311" s="156"/>
      <c r="K2311" s="5"/>
      <c r="L2311" s="3"/>
      <c r="M2311" s="6"/>
      <c r="N2311" s="9"/>
      <c r="O2311" s="158"/>
      <c r="P2311" s="12"/>
      <c r="Q2311" s="12"/>
      <c r="R2311" s="12"/>
      <c r="S2311" s="12"/>
      <c r="T2311" s="12"/>
      <c r="U2311" s="12"/>
      <c r="V2311" s="12"/>
      <c r="W2311" s="12"/>
      <c r="X2311" s="12"/>
      <c r="Y2311" s="12"/>
      <c r="Z2311" s="12"/>
    </row>
    <row r="2312" spans="1:26" ht="14.25" customHeight="1" x14ac:dyDescent="0.3">
      <c r="A2312" s="155"/>
      <c r="B2312" s="156"/>
      <c r="C2312" s="3"/>
      <c r="D2312" s="3"/>
      <c r="E2312" s="156"/>
      <c r="F2312" s="3"/>
      <c r="G2312" s="158"/>
      <c r="H2312" s="155"/>
      <c r="I2312" s="155"/>
      <c r="J2312" s="156"/>
      <c r="K2312" s="5"/>
      <c r="L2312" s="3"/>
      <c r="M2312" s="6"/>
      <c r="N2312" s="9"/>
      <c r="O2312" s="158"/>
      <c r="P2312" s="12"/>
      <c r="Q2312" s="12"/>
      <c r="R2312" s="12"/>
      <c r="S2312" s="12"/>
      <c r="T2312" s="12"/>
      <c r="U2312" s="12"/>
      <c r="V2312" s="12"/>
      <c r="W2312" s="12"/>
      <c r="X2312" s="12"/>
      <c r="Y2312" s="12"/>
      <c r="Z2312" s="12"/>
    </row>
    <row r="2313" spans="1:26" ht="14.25" customHeight="1" x14ac:dyDescent="0.3">
      <c r="A2313" s="155"/>
      <c r="B2313" s="156"/>
      <c r="C2313" s="3"/>
      <c r="D2313" s="3"/>
      <c r="E2313" s="156"/>
      <c r="F2313" s="3"/>
      <c r="G2313" s="158"/>
      <c r="H2313" s="155"/>
      <c r="I2313" s="155"/>
      <c r="J2313" s="156"/>
      <c r="K2313" s="5"/>
      <c r="L2313" s="3"/>
      <c r="M2313" s="6"/>
      <c r="N2313" s="9"/>
      <c r="O2313" s="158"/>
      <c r="P2313" s="12"/>
      <c r="Q2313" s="12"/>
      <c r="R2313" s="12"/>
      <c r="S2313" s="12"/>
      <c r="T2313" s="12"/>
      <c r="U2313" s="12"/>
      <c r="V2313" s="12"/>
      <c r="W2313" s="12"/>
      <c r="X2313" s="12"/>
      <c r="Y2313" s="12"/>
      <c r="Z2313" s="12"/>
    </row>
    <row r="2314" spans="1:26" ht="14.25" customHeight="1" x14ac:dyDescent="0.3">
      <c r="A2314" s="155"/>
      <c r="B2314" s="156"/>
      <c r="C2314" s="3"/>
      <c r="D2314" s="3"/>
      <c r="E2314" s="156"/>
      <c r="F2314" s="3"/>
      <c r="G2314" s="158"/>
      <c r="H2314" s="155"/>
      <c r="I2314" s="155"/>
      <c r="J2314" s="156"/>
      <c r="K2314" s="5"/>
      <c r="L2314" s="3"/>
      <c r="M2314" s="6"/>
      <c r="N2314" s="9"/>
      <c r="O2314" s="158"/>
      <c r="P2314" s="12"/>
      <c r="Q2314" s="12"/>
      <c r="R2314" s="12"/>
      <c r="S2314" s="12"/>
      <c r="T2314" s="12"/>
      <c r="U2314" s="12"/>
      <c r="V2314" s="12"/>
      <c r="W2314" s="12"/>
      <c r="X2314" s="12"/>
      <c r="Y2314" s="12"/>
      <c r="Z2314" s="12"/>
    </row>
    <row r="2315" spans="1:26" ht="14.25" customHeight="1" x14ac:dyDescent="0.3">
      <c r="A2315" s="155"/>
      <c r="B2315" s="156"/>
      <c r="C2315" s="3"/>
      <c r="D2315" s="3"/>
      <c r="E2315" s="156"/>
      <c r="F2315" s="3"/>
      <c r="G2315" s="158"/>
      <c r="H2315" s="155"/>
      <c r="I2315" s="155"/>
      <c r="J2315" s="156"/>
      <c r="K2315" s="5"/>
      <c r="L2315" s="3"/>
      <c r="M2315" s="6"/>
      <c r="N2315" s="9"/>
      <c r="O2315" s="158"/>
      <c r="P2315" s="12"/>
      <c r="Q2315" s="12"/>
      <c r="R2315" s="12"/>
      <c r="S2315" s="12"/>
      <c r="T2315" s="12"/>
      <c r="U2315" s="12"/>
      <c r="V2315" s="12"/>
      <c r="W2315" s="12"/>
      <c r="X2315" s="12"/>
      <c r="Y2315" s="12"/>
      <c r="Z2315" s="12"/>
    </row>
    <row r="2316" spans="1:26" ht="14.25" customHeight="1" x14ac:dyDescent="0.3">
      <c r="A2316" s="155"/>
      <c r="B2316" s="156"/>
      <c r="C2316" s="3"/>
      <c r="D2316" s="3"/>
      <c r="E2316" s="156"/>
      <c r="F2316" s="3"/>
      <c r="G2316" s="158"/>
      <c r="H2316" s="155"/>
      <c r="I2316" s="155"/>
      <c r="J2316" s="156"/>
      <c r="K2316" s="5"/>
      <c r="L2316" s="3"/>
      <c r="M2316" s="6"/>
      <c r="N2316" s="9"/>
      <c r="O2316" s="158"/>
      <c r="P2316" s="12"/>
      <c r="Q2316" s="12"/>
      <c r="R2316" s="12"/>
      <c r="S2316" s="12"/>
      <c r="T2316" s="12"/>
      <c r="U2316" s="12"/>
      <c r="V2316" s="12"/>
      <c r="W2316" s="12"/>
      <c r="X2316" s="12"/>
      <c r="Y2316" s="12"/>
      <c r="Z2316" s="12"/>
    </row>
    <row r="2317" spans="1:26" ht="14.25" customHeight="1" x14ac:dyDescent="0.3">
      <c r="A2317" s="155"/>
      <c r="B2317" s="156"/>
      <c r="C2317" s="3"/>
      <c r="D2317" s="3"/>
      <c r="E2317" s="156"/>
      <c r="F2317" s="3"/>
      <c r="G2317" s="158"/>
      <c r="H2317" s="155"/>
      <c r="I2317" s="155"/>
      <c r="J2317" s="156"/>
      <c r="K2317" s="5"/>
      <c r="L2317" s="3"/>
      <c r="M2317" s="6"/>
      <c r="N2317" s="9"/>
      <c r="O2317" s="158"/>
      <c r="P2317" s="12"/>
      <c r="Q2317" s="12"/>
      <c r="R2317" s="12"/>
      <c r="S2317" s="12"/>
      <c r="T2317" s="12"/>
      <c r="U2317" s="12"/>
      <c r="V2317" s="12"/>
      <c r="W2317" s="12"/>
      <c r="X2317" s="12"/>
      <c r="Y2317" s="12"/>
      <c r="Z2317" s="12"/>
    </row>
    <row r="2318" spans="1:26" ht="14.25" customHeight="1" x14ac:dyDescent="0.3">
      <c r="A2318" s="155"/>
      <c r="B2318" s="156"/>
      <c r="C2318" s="3"/>
      <c r="D2318" s="3"/>
      <c r="E2318" s="156"/>
      <c r="F2318" s="3"/>
      <c r="G2318" s="158"/>
      <c r="H2318" s="155"/>
      <c r="I2318" s="155"/>
      <c r="J2318" s="156"/>
      <c r="K2318" s="5"/>
      <c r="L2318" s="3"/>
      <c r="M2318" s="6"/>
      <c r="N2318" s="9"/>
      <c r="O2318" s="158"/>
      <c r="P2318" s="12"/>
      <c r="Q2318" s="12"/>
      <c r="R2318" s="12"/>
      <c r="S2318" s="12"/>
      <c r="T2318" s="12"/>
      <c r="U2318" s="12"/>
      <c r="V2318" s="12"/>
      <c r="W2318" s="12"/>
      <c r="X2318" s="12"/>
      <c r="Y2318" s="12"/>
      <c r="Z2318" s="12"/>
    </row>
    <row r="2319" spans="1:26" ht="14.25" customHeight="1" x14ac:dyDescent="0.3">
      <c r="A2319" s="155"/>
      <c r="B2319" s="156"/>
      <c r="C2319" s="3"/>
      <c r="D2319" s="3"/>
      <c r="E2319" s="156"/>
      <c r="F2319" s="3"/>
      <c r="G2319" s="158"/>
      <c r="H2319" s="155"/>
      <c r="I2319" s="155"/>
      <c r="J2319" s="156"/>
      <c r="K2319" s="5"/>
      <c r="L2319" s="3"/>
      <c r="M2319" s="6"/>
      <c r="N2319" s="9"/>
      <c r="O2319" s="158"/>
      <c r="P2319" s="12"/>
      <c r="Q2319" s="12"/>
      <c r="R2319" s="12"/>
      <c r="S2319" s="12"/>
      <c r="T2319" s="12"/>
      <c r="U2319" s="12"/>
      <c r="V2319" s="12"/>
      <c r="W2319" s="12"/>
      <c r="X2319" s="12"/>
      <c r="Y2319" s="12"/>
      <c r="Z2319" s="12"/>
    </row>
    <row r="2320" spans="1:26" ht="14.25" customHeight="1" x14ac:dyDescent="0.3">
      <c r="A2320" s="155"/>
      <c r="B2320" s="156"/>
      <c r="C2320" s="3"/>
      <c r="D2320" s="3"/>
      <c r="E2320" s="156"/>
      <c r="F2320" s="3"/>
      <c r="G2320" s="158"/>
      <c r="H2320" s="155"/>
      <c r="I2320" s="155"/>
      <c r="J2320" s="156"/>
      <c r="K2320" s="5"/>
      <c r="L2320" s="3"/>
      <c r="M2320" s="6"/>
      <c r="N2320" s="9"/>
      <c r="O2320" s="158"/>
      <c r="P2320" s="12"/>
      <c r="Q2320" s="12"/>
      <c r="R2320" s="12"/>
      <c r="S2320" s="12"/>
      <c r="T2320" s="12"/>
      <c r="U2320" s="12"/>
      <c r="V2320" s="12"/>
      <c r="W2320" s="12"/>
      <c r="X2320" s="12"/>
      <c r="Y2320" s="12"/>
      <c r="Z2320" s="12"/>
    </row>
    <row r="2321" spans="1:26" ht="14.25" customHeight="1" x14ac:dyDescent="0.3">
      <c r="A2321" s="155"/>
      <c r="B2321" s="156"/>
      <c r="C2321" s="3"/>
      <c r="D2321" s="3"/>
      <c r="E2321" s="156"/>
      <c r="F2321" s="3"/>
      <c r="G2321" s="158"/>
      <c r="H2321" s="155"/>
      <c r="I2321" s="155"/>
      <c r="J2321" s="156"/>
      <c r="K2321" s="5"/>
      <c r="L2321" s="3"/>
      <c r="M2321" s="6"/>
      <c r="N2321" s="9"/>
      <c r="O2321" s="158"/>
      <c r="P2321" s="12"/>
      <c r="Q2321" s="12"/>
      <c r="R2321" s="12"/>
      <c r="S2321" s="12"/>
      <c r="T2321" s="12"/>
      <c r="U2321" s="12"/>
      <c r="V2321" s="12"/>
      <c r="W2321" s="12"/>
      <c r="X2321" s="12"/>
      <c r="Y2321" s="12"/>
      <c r="Z2321" s="12"/>
    </row>
    <row r="2322" spans="1:26" ht="14.25" customHeight="1" x14ac:dyDescent="0.3">
      <c r="A2322" s="155"/>
      <c r="B2322" s="156"/>
      <c r="C2322" s="3"/>
      <c r="D2322" s="3"/>
      <c r="E2322" s="156"/>
      <c r="F2322" s="3"/>
      <c r="G2322" s="158"/>
      <c r="H2322" s="155"/>
      <c r="I2322" s="155"/>
      <c r="J2322" s="156"/>
      <c r="K2322" s="5"/>
      <c r="L2322" s="3"/>
      <c r="M2322" s="6"/>
      <c r="N2322" s="9"/>
      <c r="O2322" s="158"/>
      <c r="P2322" s="12"/>
      <c r="Q2322" s="12"/>
      <c r="R2322" s="12"/>
      <c r="S2322" s="12"/>
      <c r="T2322" s="12"/>
      <c r="U2322" s="12"/>
      <c r="V2322" s="12"/>
      <c r="W2322" s="12"/>
      <c r="X2322" s="12"/>
      <c r="Y2322" s="12"/>
      <c r="Z2322" s="12"/>
    </row>
    <row r="2323" spans="1:26" ht="14.25" customHeight="1" x14ac:dyDescent="0.3">
      <c r="A2323" s="155"/>
      <c r="B2323" s="156"/>
      <c r="C2323" s="3"/>
      <c r="D2323" s="3"/>
      <c r="E2323" s="156"/>
      <c r="F2323" s="3"/>
      <c r="G2323" s="158"/>
      <c r="H2323" s="155"/>
      <c r="I2323" s="155"/>
      <c r="J2323" s="156"/>
      <c r="K2323" s="5"/>
      <c r="L2323" s="3"/>
      <c r="M2323" s="6"/>
      <c r="N2323" s="9"/>
      <c r="O2323" s="158"/>
      <c r="P2323" s="12"/>
      <c r="Q2323" s="12"/>
      <c r="R2323" s="12"/>
      <c r="S2323" s="12"/>
      <c r="T2323" s="12"/>
      <c r="U2323" s="12"/>
      <c r="V2323" s="12"/>
      <c r="W2323" s="12"/>
      <c r="X2323" s="12"/>
      <c r="Y2323" s="12"/>
      <c r="Z2323" s="12"/>
    </row>
    <row r="2324" spans="1:26" ht="14.25" customHeight="1" x14ac:dyDescent="0.3">
      <c r="A2324" s="155"/>
      <c r="B2324" s="156"/>
      <c r="C2324" s="3"/>
      <c r="D2324" s="3"/>
      <c r="E2324" s="156"/>
      <c r="F2324" s="3"/>
      <c r="G2324" s="158"/>
      <c r="H2324" s="155"/>
      <c r="I2324" s="155"/>
      <c r="J2324" s="156"/>
      <c r="K2324" s="5"/>
      <c r="L2324" s="3"/>
      <c r="M2324" s="6"/>
      <c r="N2324" s="9"/>
      <c r="O2324" s="158"/>
      <c r="P2324" s="12"/>
      <c r="Q2324" s="12"/>
      <c r="R2324" s="12"/>
      <c r="S2324" s="12"/>
      <c r="T2324" s="12"/>
      <c r="U2324" s="12"/>
      <c r="V2324" s="12"/>
      <c r="W2324" s="12"/>
      <c r="X2324" s="12"/>
      <c r="Y2324" s="12"/>
      <c r="Z2324" s="12"/>
    </row>
    <row r="2325" spans="1:26" ht="14.25" customHeight="1" x14ac:dyDescent="0.3">
      <c r="A2325" s="155"/>
      <c r="B2325" s="156"/>
      <c r="C2325" s="3"/>
      <c r="D2325" s="3"/>
      <c r="E2325" s="156"/>
      <c r="F2325" s="3"/>
      <c r="G2325" s="158"/>
      <c r="H2325" s="155"/>
      <c r="I2325" s="155"/>
      <c r="J2325" s="156"/>
      <c r="K2325" s="5"/>
      <c r="L2325" s="3"/>
      <c r="M2325" s="6"/>
      <c r="N2325" s="9"/>
      <c r="O2325" s="158"/>
      <c r="P2325" s="12"/>
      <c r="Q2325" s="12"/>
      <c r="R2325" s="12"/>
      <c r="S2325" s="12"/>
      <c r="T2325" s="12"/>
      <c r="U2325" s="12"/>
      <c r="V2325" s="12"/>
      <c r="W2325" s="12"/>
      <c r="X2325" s="12"/>
      <c r="Y2325" s="12"/>
      <c r="Z2325" s="12"/>
    </row>
    <row r="2326" spans="1:26" ht="14.25" customHeight="1" x14ac:dyDescent="0.3">
      <c r="A2326" s="155"/>
      <c r="B2326" s="156"/>
      <c r="C2326" s="3"/>
      <c r="D2326" s="3"/>
      <c r="E2326" s="156"/>
      <c r="F2326" s="3"/>
      <c r="G2326" s="158"/>
      <c r="H2326" s="155"/>
      <c r="I2326" s="155"/>
      <c r="J2326" s="156"/>
      <c r="K2326" s="5"/>
      <c r="L2326" s="3"/>
      <c r="M2326" s="6"/>
      <c r="N2326" s="9"/>
      <c r="O2326" s="158"/>
      <c r="P2326" s="12"/>
      <c r="Q2326" s="12"/>
      <c r="R2326" s="12"/>
      <c r="S2326" s="12"/>
      <c r="T2326" s="12"/>
      <c r="U2326" s="12"/>
      <c r="V2326" s="12"/>
      <c r="W2326" s="12"/>
      <c r="X2326" s="12"/>
      <c r="Y2326" s="12"/>
      <c r="Z2326" s="12"/>
    </row>
    <row r="2327" spans="1:26" ht="14.25" customHeight="1" x14ac:dyDescent="0.3">
      <c r="A2327" s="155"/>
      <c r="B2327" s="156"/>
      <c r="C2327" s="3"/>
      <c r="D2327" s="3"/>
      <c r="E2327" s="156"/>
      <c r="F2327" s="3"/>
      <c r="G2327" s="158"/>
      <c r="H2327" s="155"/>
      <c r="I2327" s="155"/>
      <c r="J2327" s="156"/>
      <c r="K2327" s="5"/>
      <c r="L2327" s="3"/>
      <c r="M2327" s="6"/>
      <c r="N2327" s="9"/>
      <c r="O2327" s="158"/>
      <c r="P2327" s="12"/>
      <c r="Q2327" s="12"/>
      <c r="R2327" s="12"/>
      <c r="S2327" s="12"/>
      <c r="T2327" s="12"/>
      <c r="U2327" s="12"/>
      <c r="V2327" s="12"/>
      <c r="W2327" s="12"/>
      <c r="X2327" s="12"/>
      <c r="Y2327" s="12"/>
      <c r="Z2327" s="12"/>
    </row>
    <row r="2328" spans="1:26" ht="14.25" customHeight="1" x14ac:dyDescent="0.3">
      <c r="A2328" s="155"/>
      <c r="B2328" s="156"/>
      <c r="C2328" s="3"/>
      <c r="D2328" s="3"/>
      <c r="E2328" s="156"/>
      <c r="F2328" s="3"/>
      <c r="G2328" s="158"/>
      <c r="H2328" s="155"/>
      <c r="I2328" s="155"/>
      <c r="J2328" s="156"/>
      <c r="K2328" s="5"/>
      <c r="L2328" s="3"/>
      <c r="M2328" s="6"/>
      <c r="N2328" s="9"/>
      <c r="O2328" s="158"/>
      <c r="P2328" s="12"/>
      <c r="Q2328" s="12"/>
      <c r="R2328" s="12"/>
      <c r="S2328" s="12"/>
      <c r="T2328" s="12"/>
      <c r="U2328" s="12"/>
      <c r="V2328" s="12"/>
      <c r="W2328" s="12"/>
      <c r="X2328" s="12"/>
      <c r="Y2328" s="12"/>
      <c r="Z2328" s="12"/>
    </row>
    <row r="2329" spans="1:26" ht="14.25" customHeight="1" x14ac:dyDescent="0.3">
      <c r="A2329" s="155"/>
      <c r="B2329" s="156"/>
      <c r="C2329" s="3"/>
      <c r="D2329" s="3"/>
      <c r="E2329" s="156"/>
      <c r="F2329" s="3"/>
      <c r="G2329" s="158"/>
      <c r="H2329" s="155"/>
      <c r="I2329" s="155"/>
      <c r="J2329" s="156"/>
      <c r="K2329" s="5"/>
      <c r="L2329" s="3"/>
      <c r="M2329" s="6"/>
      <c r="N2329" s="9"/>
      <c r="O2329" s="158"/>
      <c r="P2329" s="12"/>
      <c r="Q2329" s="12"/>
      <c r="R2329" s="12"/>
      <c r="S2329" s="12"/>
      <c r="T2329" s="12"/>
      <c r="U2329" s="12"/>
      <c r="V2329" s="12"/>
      <c r="W2329" s="12"/>
      <c r="X2329" s="12"/>
      <c r="Y2329" s="12"/>
      <c r="Z2329" s="12"/>
    </row>
    <row r="2330" spans="1:26" ht="14.25" customHeight="1" x14ac:dyDescent="0.3">
      <c r="A2330" s="155"/>
      <c r="B2330" s="156"/>
      <c r="C2330" s="3"/>
      <c r="D2330" s="3"/>
      <c r="E2330" s="156"/>
      <c r="F2330" s="3"/>
      <c r="G2330" s="158"/>
      <c r="H2330" s="155"/>
      <c r="I2330" s="155"/>
      <c r="J2330" s="156"/>
      <c r="K2330" s="5"/>
      <c r="L2330" s="3"/>
      <c r="M2330" s="6"/>
      <c r="N2330" s="9"/>
      <c r="O2330" s="158"/>
      <c r="P2330" s="12"/>
      <c r="Q2330" s="12"/>
      <c r="R2330" s="12"/>
      <c r="S2330" s="12"/>
      <c r="T2330" s="12"/>
      <c r="U2330" s="12"/>
      <c r="V2330" s="12"/>
      <c r="W2330" s="12"/>
      <c r="X2330" s="12"/>
      <c r="Y2330" s="12"/>
      <c r="Z2330" s="12"/>
    </row>
    <row r="2331" spans="1:26" ht="14.25" customHeight="1" x14ac:dyDescent="0.3">
      <c r="A2331" s="155"/>
      <c r="B2331" s="156"/>
      <c r="C2331" s="3"/>
      <c r="D2331" s="3"/>
      <c r="E2331" s="156"/>
      <c r="F2331" s="3"/>
      <c r="G2331" s="158"/>
      <c r="H2331" s="155"/>
      <c r="I2331" s="155"/>
      <c r="J2331" s="156"/>
      <c r="K2331" s="5"/>
      <c r="L2331" s="3"/>
      <c r="M2331" s="6"/>
      <c r="N2331" s="9"/>
      <c r="O2331" s="158"/>
      <c r="P2331" s="12"/>
      <c r="Q2331" s="12"/>
      <c r="R2331" s="12"/>
      <c r="S2331" s="12"/>
      <c r="T2331" s="12"/>
      <c r="U2331" s="12"/>
      <c r="V2331" s="12"/>
      <c r="W2331" s="12"/>
      <c r="X2331" s="12"/>
      <c r="Y2331" s="12"/>
      <c r="Z2331" s="12"/>
    </row>
    <row r="2332" spans="1:26" ht="14.25" customHeight="1" x14ac:dyDescent="0.3">
      <c r="A2332" s="155"/>
      <c r="B2332" s="156"/>
      <c r="C2332" s="3"/>
      <c r="D2332" s="3"/>
      <c r="E2332" s="156"/>
      <c r="F2332" s="3"/>
      <c r="G2332" s="158"/>
      <c r="H2332" s="155"/>
      <c r="I2332" s="155"/>
      <c r="J2332" s="156"/>
      <c r="K2332" s="5"/>
      <c r="L2332" s="3"/>
      <c r="M2332" s="6"/>
      <c r="N2332" s="9"/>
      <c r="O2332" s="158"/>
      <c r="P2332" s="12"/>
      <c r="Q2332" s="12"/>
      <c r="R2332" s="12"/>
      <c r="S2332" s="12"/>
      <c r="T2332" s="12"/>
      <c r="U2332" s="12"/>
      <c r="V2332" s="12"/>
      <c r="W2332" s="12"/>
      <c r="X2332" s="12"/>
      <c r="Y2332" s="12"/>
      <c r="Z2332" s="12"/>
    </row>
    <row r="2333" spans="1:26" ht="14.25" customHeight="1" x14ac:dyDescent="0.3">
      <c r="A2333" s="155"/>
      <c r="B2333" s="156"/>
      <c r="C2333" s="3"/>
      <c r="D2333" s="3"/>
      <c r="E2333" s="156"/>
      <c r="F2333" s="3"/>
      <c r="G2333" s="158"/>
      <c r="H2333" s="155"/>
      <c r="I2333" s="155"/>
      <c r="J2333" s="156"/>
      <c r="K2333" s="5"/>
      <c r="L2333" s="3"/>
      <c r="M2333" s="6"/>
      <c r="N2333" s="9"/>
      <c r="O2333" s="158"/>
      <c r="P2333" s="12"/>
      <c r="Q2333" s="12"/>
      <c r="R2333" s="12"/>
      <c r="S2333" s="12"/>
      <c r="T2333" s="12"/>
      <c r="U2333" s="12"/>
      <c r="V2333" s="12"/>
      <c r="W2333" s="12"/>
      <c r="X2333" s="12"/>
      <c r="Y2333" s="12"/>
      <c r="Z2333" s="12"/>
    </row>
    <row r="2334" spans="1:26" ht="14.25" customHeight="1" x14ac:dyDescent="0.3">
      <c r="A2334" s="155"/>
      <c r="B2334" s="156"/>
      <c r="C2334" s="3"/>
      <c r="D2334" s="3"/>
      <c r="E2334" s="156"/>
      <c r="F2334" s="3"/>
      <c r="G2334" s="158"/>
      <c r="H2334" s="155"/>
      <c r="I2334" s="155"/>
      <c r="J2334" s="156"/>
      <c r="K2334" s="5"/>
      <c r="L2334" s="3"/>
      <c r="M2334" s="6"/>
      <c r="N2334" s="9"/>
      <c r="O2334" s="158"/>
      <c r="P2334" s="12"/>
      <c r="Q2334" s="12"/>
      <c r="R2334" s="12"/>
      <c r="S2334" s="12"/>
      <c r="T2334" s="12"/>
      <c r="U2334" s="12"/>
      <c r="V2334" s="12"/>
      <c r="W2334" s="12"/>
      <c r="X2334" s="12"/>
      <c r="Y2334" s="12"/>
      <c r="Z2334" s="12"/>
    </row>
    <row r="2335" spans="1:26" ht="14.25" customHeight="1" x14ac:dyDescent="0.3">
      <c r="A2335" s="155"/>
      <c r="B2335" s="156"/>
      <c r="C2335" s="3"/>
      <c r="D2335" s="3"/>
      <c r="E2335" s="156"/>
      <c r="F2335" s="3"/>
      <c r="G2335" s="158"/>
      <c r="H2335" s="155"/>
      <c r="I2335" s="155"/>
      <c r="J2335" s="156"/>
      <c r="K2335" s="5"/>
      <c r="L2335" s="3"/>
      <c r="M2335" s="6"/>
      <c r="N2335" s="9"/>
      <c r="O2335" s="158"/>
      <c r="P2335" s="12"/>
      <c r="Q2335" s="12"/>
      <c r="R2335" s="12"/>
      <c r="S2335" s="12"/>
      <c r="T2335" s="12"/>
      <c r="U2335" s="12"/>
      <c r="V2335" s="12"/>
      <c r="W2335" s="12"/>
      <c r="X2335" s="12"/>
      <c r="Y2335" s="12"/>
      <c r="Z2335" s="12"/>
    </row>
    <row r="2336" spans="1:26" ht="14.25" customHeight="1" x14ac:dyDescent="0.3">
      <c r="A2336" s="155"/>
      <c r="B2336" s="156"/>
      <c r="C2336" s="3"/>
      <c r="D2336" s="3"/>
      <c r="E2336" s="156"/>
      <c r="F2336" s="3"/>
      <c r="G2336" s="158"/>
      <c r="H2336" s="155"/>
      <c r="I2336" s="155"/>
      <c r="J2336" s="156"/>
      <c r="K2336" s="5"/>
      <c r="L2336" s="3"/>
      <c r="M2336" s="6"/>
      <c r="N2336" s="9"/>
      <c r="O2336" s="158"/>
      <c r="P2336" s="12"/>
      <c r="Q2336" s="12"/>
      <c r="R2336" s="12"/>
      <c r="S2336" s="12"/>
      <c r="T2336" s="12"/>
      <c r="U2336" s="12"/>
      <c r="V2336" s="12"/>
      <c r="W2336" s="12"/>
      <c r="X2336" s="12"/>
      <c r="Y2336" s="12"/>
      <c r="Z2336" s="12"/>
    </row>
    <row r="2337" spans="1:26" ht="14.25" customHeight="1" x14ac:dyDescent="0.3">
      <c r="A2337" s="155"/>
      <c r="B2337" s="156"/>
      <c r="C2337" s="3"/>
      <c r="D2337" s="3"/>
      <c r="E2337" s="156"/>
      <c r="F2337" s="3"/>
      <c r="G2337" s="158"/>
      <c r="H2337" s="155"/>
      <c r="I2337" s="155"/>
      <c r="J2337" s="156"/>
      <c r="K2337" s="5"/>
      <c r="L2337" s="3"/>
      <c r="M2337" s="6"/>
      <c r="N2337" s="9"/>
      <c r="O2337" s="158"/>
      <c r="P2337" s="12"/>
      <c r="Q2337" s="12"/>
      <c r="R2337" s="12"/>
      <c r="S2337" s="12"/>
      <c r="T2337" s="12"/>
      <c r="U2337" s="12"/>
      <c r="V2337" s="12"/>
      <c r="W2337" s="12"/>
      <c r="X2337" s="12"/>
      <c r="Y2337" s="12"/>
      <c r="Z2337" s="12"/>
    </row>
    <row r="2338" spans="1:26" ht="14.25" customHeight="1" x14ac:dyDescent="0.3">
      <c r="A2338" s="155"/>
      <c r="B2338" s="156"/>
      <c r="C2338" s="3"/>
      <c r="D2338" s="3"/>
      <c r="E2338" s="156"/>
      <c r="F2338" s="3"/>
      <c r="G2338" s="158"/>
      <c r="H2338" s="155"/>
      <c r="I2338" s="155"/>
      <c r="J2338" s="156"/>
      <c r="K2338" s="5"/>
      <c r="L2338" s="3"/>
      <c r="M2338" s="6"/>
      <c r="N2338" s="9"/>
      <c r="O2338" s="158"/>
      <c r="P2338" s="12"/>
      <c r="Q2338" s="12"/>
      <c r="R2338" s="12"/>
      <c r="S2338" s="12"/>
      <c r="T2338" s="12"/>
      <c r="U2338" s="12"/>
      <c r="V2338" s="12"/>
      <c r="W2338" s="12"/>
      <c r="X2338" s="12"/>
      <c r="Y2338" s="12"/>
      <c r="Z2338" s="12"/>
    </row>
    <row r="2339" spans="1:26" ht="14.25" customHeight="1" x14ac:dyDescent="0.3">
      <c r="A2339" s="155"/>
      <c r="B2339" s="156"/>
      <c r="C2339" s="3"/>
      <c r="D2339" s="3"/>
      <c r="E2339" s="156"/>
      <c r="F2339" s="3"/>
      <c r="G2339" s="158"/>
      <c r="H2339" s="155"/>
      <c r="I2339" s="155"/>
      <c r="J2339" s="156"/>
      <c r="K2339" s="5"/>
      <c r="L2339" s="3"/>
      <c r="M2339" s="6"/>
      <c r="N2339" s="9"/>
      <c r="O2339" s="158"/>
      <c r="P2339" s="12"/>
      <c r="Q2339" s="12"/>
      <c r="R2339" s="12"/>
      <c r="S2339" s="12"/>
      <c r="T2339" s="12"/>
      <c r="U2339" s="12"/>
      <c r="V2339" s="12"/>
      <c r="W2339" s="12"/>
      <c r="X2339" s="12"/>
      <c r="Y2339" s="12"/>
      <c r="Z2339" s="12"/>
    </row>
    <row r="2340" spans="1:26" ht="14.25" customHeight="1" x14ac:dyDescent="0.3">
      <c r="A2340" s="155"/>
      <c r="B2340" s="156"/>
      <c r="C2340" s="3"/>
      <c r="D2340" s="3"/>
      <c r="E2340" s="156"/>
      <c r="F2340" s="3"/>
      <c r="G2340" s="158"/>
      <c r="H2340" s="155"/>
      <c r="I2340" s="155"/>
      <c r="J2340" s="156"/>
      <c r="K2340" s="5"/>
      <c r="L2340" s="3"/>
      <c r="M2340" s="6"/>
      <c r="N2340" s="9"/>
      <c r="O2340" s="158"/>
      <c r="P2340" s="12"/>
      <c r="Q2340" s="12"/>
      <c r="R2340" s="12"/>
      <c r="S2340" s="12"/>
      <c r="T2340" s="12"/>
      <c r="U2340" s="12"/>
      <c r="V2340" s="12"/>
      <c r="W2340" s="12"/>
      <c r="X2340" s="12"/>
      <c r="Y2340" s="12"/>
      <c r="Z2340" s="12"/>
    </row>
    <row r="2341" spans="1:26" ht="14.25" customHeight="1" x14ac:dyDescent="0.3">
      <c r="A2341" s="155"/>
      <c r="B2341" s="156"/>
      <c r="C2341" s="3"/>
      <c r="D2341" s="3"/>
      <c r="E2341" s="156"/>
      <c r="F2341" s="3"/>
      <c r="G2341" s="158"/>
      <c r="H2341" s="155"/>
      <c r="I2341" s="155"/>
      <c r="J2341" s="156"/>
      <c r="K2341" s="5"/>
      <c r="L2341" s="3"/>
      <c r="M2341" s="6"/>
      <c r="N2341" s="9"/>
      <c r="O2341" s="158"/>
      <c r="P2341" s="12"/>
      <c r="Q2341" s="12"/>
      <c r="R2341" s="12"/>
      <c r="S2341" s="12"/>
      <c r="T2341" s="12"/>
      <c r="U2341" s="12"/>
      <c r="V2341" s="12"/>
      <c r="W2341" s="12"/>
      <c r="X2341" s="12"/>
      <c r="Y2341" s="12"/>
      <c r="Z2341" s="12"/>
    </row>
    <row r="2342" spans="1:26" ht="14.25" customHeight="1" x14ac:dyDescent="0.3">
      <c r="A2342" s="155"/>
      <c r="B2342" s="156"/>
      <c r="C2342" s="3"/>
      <c r="D2342" s="3"/>
      <c r="E2342" s="156"/>
      <c r="F2342" s="3"/>
      <c r="G2342" s="158"/>
      <c r="H2342" s="155"/>
      <c r="I2342" s="155"/>
      <c r="J2342" s="156"/>
      <c r="K2342" s="5"/>
      <c r="L2342" s="3"/>
      <c r="M2342" s="6"/>
      <c r="N2342" s="9"/>
      <c r="O2342" s="158"/>
      <c r="P2342" s="12"/>
      <c r="Q2342" s="12"/>
      <c r="R2342" s="12"/>
      <c r="S2342" s="12"/>
      <c r="T2342" s="12"/>
      <c r="U2342" s="12"/>
      <c r="V2342" s="12"/>
      <c r="W2342" s="12"/>
      <c r="X2342" s="12"/>
      <c r="Y2342" s="12"/>
      <c r="Z2342" s="12"/>
    </row>
    <row r="2343" spans="1:26" ht="14.25" customHeight="1" x14ac:dyDescent="0.3">
      <c r="A2343" s="155"/>
      <c r="B2343" s="156"/>
      <c r="C2343" s="3"/>
      <c r="D2343" s="3"/>
      <c r="E2343" s="156"/>
      <c r="F2343" s="3"/>
      <c r="G2343" s="158"/>
      <c r="H2343" s="155"/>
      <c r="I2343" s="155"/>
      <c r="J2343" s="156"/>
      <c r="K2343" s="5"/>
      <c r="L2343" s="3"/>
      <c r="M2343" s="6"/>
      <c r="N2343" s="9"/>
      <c r="O2343" s="158"/>
      <c r="P2343" s="12"/>
      <c r="Q2343" s="12"/>
      <c r="R2343" s="12"/>
      <c r="S2343" s="12"/>
      <c r="T2343" s="12"/>
      <c r="U2343" s="12"/>
      <c r="V2343" s="12"/>
      <c r="W2343" s="12"/>
      <c r="X2343" s="12"/>
      <c r="Y2343" s="12"/>
      <c r="Z2343" s="12"/>
    </row>
    <row r="2344" spans="1:26" ht="14.25" customHeight="1" x14ac:dyDescent="0.3">
      <c r="A2344" s="155"/>
      <c r="B2344" s="156"/>
      <c r="C2344" s="3"/>
      <c r="D2344" s="3"/>
      <c r="E2344" s="156"/>
      <c r="F2344" s="3"/>
      <c r="G2344" s="158"/>
      <c r="H2344" s="155"/>
      <c r="I2344" s="155"/>
      <c r="J2344" s="156"/>
      <c r="K2344" s="5"/>
      <c r="L2344" s="3"/>
      <c r="M2344" s="6"/>
      <c r="N2344" s="9"/>
      <c r="O2344" s="158"/>
      <c r="P2344" s="12"/>
      <c r="Q2344" s="12"/>
      <c r="R2344" s="12"/>
      <c r="S2344" s="12"/>
      <c r="T2344" s="12"/>
      <c r="U2344" s="12"/>
      <c r="V2344" s="12"/>
      <c r="W2344" s="12"/>
      <c r="X2344" s="12"/>
      <c r="Y2344" s="12"/>
      <c r="Z2344" s="12"/>
    </row>
    <row r="2345" spans="1:26" ht="14.25" customHeight="1" x14ac:dyDescent="0.3">
      <c r="A2345" s="155"/>
      <c r="B2345" s="156"/>
      <c r="C2345" s="3"/>
      <c r="D2345" s="3"/>
      <c r="E2345" s="156"/>
      <c r="F2345" s="3"/>
      <c r="G2345" s="158"/>
      <c r="H2345" s="155"/>
      <c r="I2345" s="155"/>
      <c r="J2345" s="156"/>
      <c r="K2345" s="5"/>
      <c r="L2345" s="3"/>
      <c r="M2345" s="6"/>
      <c r="N2345" s="9"/>
      <c r="O2345" s="158"/>
      <c r="P2345" s="12"/>
      <c r="Q2345" s="12"/>
      <c r="R2345" s="12"/>
      <c r="S2345" s="12"/>
      <c r="T2345" s="12"/>
      <c r="U2345" s="12"/>
      <c r="V2345" s="12"/>
      <c r="W2345" s="12"/>
      <c r="X2345" s="12"/>
      <c r="Y2345" s="12"/>
      <c r="Z2345" s="12"/>
    </row>
    <row r="2346" spans="1:26" ht="14.25" customHeight="1" x14ac:dyDescent="0.3">
      <c r="A2346" s="155"/>
      <c r="B2346" s="156"/>
      <c r="C2346" s="3"/>
      <c r="D2346" s="3"/>
      <c r="E2346" s="156"/>
      <c r="F2346" s="3"/>
      <c r="G2346" s="158"/>
      <c r="H2346" s="155"/>
      <c r="I2346" s="155"/>
      <c r="J2346" s="156"/>
      <c r="K2346" s="5"/>
      <c r="L2346" s="3"/>
      <c r="M2346" s="6"/>
      <c r="N2346" s="9"/>
      <c r="O2346" s="158"/>
      <c r="P2346" s="12"/>
      <c r="Q2346" s="12"/>
      <c r="R2346" s="12"/>
      <c r="S2346" s="12"/>
      <c r="T2346" s="12"/>
      <c r="U2346" s="12"/>
      <c r="V2346" s="12"/>
      <c r="W2346" s="12"/>
      <c r="X2346" s="12"/>
      <c r="Y2346" s="12"/>
      <c r="Z2346" s="12"/>
    </row>
    <row r="2347" spans="1:26" ht="14.25" customHeight="1" x14ac:dyDescent="0.3">
      <c r="A2347" s="155"/>
      <c r="B2347" s="156"/>
      <c r="C2347" s="3"/>
      <c r="D2347" s="3"/>
      <c r="E2347" s="156"/>
      <c r="F2347" s="3"/>
      <c r="G2347" s="158"/>
      <c r="H2347" s="155"/>
      <c r="I2347" s="155"/>
      <c r="J2347" s="156"/>
      <c r="K2347" s="5"/>
      <c r="L2347" s="3"/>
      <c r="M2347" s="6"/>
      <c r="N2347" s="9"/>
      <c r="O2347" s="158"/>
      <c r="P2347" s="12"/>
      <c r="Q2347" s="12"/>
      <c r="R2347" s="12"/>
      <c r="S2347" s="12"/>
      <c r="T2347" s="12"/>
      <c r="U2347" s="12"/>
      <c r="V2347" s="12"/>
      <c r="W2347" s="12"/>
      <c r="X2347" s="12"/>
      <c r="Y2347" s="12"/>
      <c r="Z2347" s="12"/>
    </row>
    <row r="2348" spans="1:26" ht="14.25" customHeight="1" x14ac:dyDescent="0.3">
      <c r="A2348" s="155"/>
      <c r="B2348" s="156"/>
      <c r="C2348" s="3"/>
      <c r="D2348" s="3"/>
      <c r="E2348" s="156"/>
      <c r="F2348" s="3"/>
      <c r="G2348" s="158"/>
      <c r="H2348" s="155"/>
      <c r="I2348" s="155"/>
      <c r="J2348" s="156"/>
      <c r="K2348" s="5"/>
      <c r="L2348" s="3"/>
      <c r="M2348" s="6"/>
      <c r="N2348" s="9"/>
      <c r="O2348" s="158"/>
      <c r="P2348" s="12"/>
      <c r="Q2348" s="12"/>
      <c r="R2348" s="12"/>
      <c r="S2348" s="12"/>
      <c r="T2348" s="12"/>
      <c r="U2348" s="12"/>
      <c r="V2348" s="12"/>
      <c r="W2348" s="12"/>
      <c r="X2348" s="12"/>
      <c r="Y2348" s="12"/>
      <c r="Z2348" s="12"/>
    </row>
    <row r="2349" spans="1:26" ht="14.25" customHeight="1" x14ac:dyDescent="0.3">
      <c r="A2349" s="155"/>
      <c r="B2349" s="156"/>
      <c r="C2349" s="3"/>
      <c r="D2349" s="3"/>
      <c r="E2349" s="156"/>
      <c r="F2349" s="3"/>
      <c r="G2349" s="158"/>
      <c r="H2349" s="155"/>
      <c r="I2349" s="155"/>
      <c r="J2349" s="156"/>
      <c r="K2349" s="5"/>
      <c r="L2349" s="3"/>
      <c r="M2349" s="6"/>
      <c r="N2349" s="9"/>
      <c r="O2349" s="158"/>
      <c r="P2349" s="12"/>
      <c r="Q2349" s="12"/>
      <c r="R2349" s="12"/>
      <c r="S2349" s="12"/>
      <c r="T2349" s="12"/>
      <c r="U2349" s="12"/>
      <c r="V2349" s="12"/>
      <c r="W2349" s="12"/>
      <c r="X2349" s="12"/>
      <c r="Y2349" s="12"/>
      <c r="Z2349" s="12"/>
    </row>
    <row r="2350" spans="1:26" ht="14.25" customHeight="1" x14ac:dyDescent="0.3">
      <c r="A2350" s="155"/>
      <c r="B2350" s="156"/>
      <c r="C2350" s="3"/>
      <c r="D2350" s="3"/>
      <c r="E2350" s="156"/>
      <c r="F2350" s="3"/>
      <c r="G2350" s="158"/>
      <c r="H2350" s="155"/>
      <c r="I2350" s="155"/>
      <c r="J2350" s="156"/>
      <c r="K2350" s="5"/>
      <c r="L2350" s="3"/>
      <c r="M2350" s="6"/>
      <c r="N2350" s="9"/>
      <c r="O2350" s="158"/>
      <c r="P2350" s="12"/>
      <c r="Q2350" s="12"/>
      <c r="R2350" s="12"/>
      <c r="S2350" s="12"/>
      <c r="T2350" s="12"/>
      <c r="U2350" s="12"/>
      <c r="V2350" s="12"/>
      <c r="W2350" s="12"/>
      <c r="X2350" s="12"/>
      <c r="Y2350" s="12"/>
      <c r="Z2350" s="12"/>
    </row>
    <row r="2351" spans="1:26" ht="14.25" customHeight="1" x14ac:dyDescent="0.3">
      <c r="A2351" s="155"/>
      <c r="B2351" s="156"/>
      <c r="C2351" s="3"/>
      <c r="D2351" s="3"/>
      <c r="E2351" s="156"/>
      <c r="F2351" s="3"/>
      <c r="G2351" s="158"/>
      <c r="H2351" s="155"/>
      <c r="I2351" s="155"/>
      <c r="J2351" s="156"/>
      <c r="K2351" s="5"/>
      <c r="L2351" s="3"/>
      <c r="M2351" s="6"/>
      <c r="N2351" s="9"/>
      <c r="O2351" s="158"/>
      <c r="P2351" s="12"/>
      <c r="Q2351" s="12"/>
      <c r="R2351" s="12"/>
      <c r="S2351" s="12"/>
      <c r="T2351" s="12"/>
      <c r="U2351" s="12"/>
      <c r="V2351" s="12"/>
      <c r="W2351" s="12"/>
      <c r="X2351" s="12"/>
      <c r="Y2351" s="12"/>
      <c r="Z2351" s="12"/>
    </row>
    <row r="2352" spans="1:26" ht="14.25" customHeight="1" x14ac:dyDescent="0.3">
      <c r="A2352" s="155"/>
      <c r="B2352" s="156"/>
      <c r="C2352" s="3"/>
      <c r="D2352" s="3"/>
      <c r="E2352" s="156"/>
      <c r="F2352" s="3"/>
      <c r="G2352" s="158"/>
      <c r="H2352" s="155"/>
      <c r="I2352" s="155"/>
      <c r="J2352" s="156"/>
      <c r="K2352" s="5"/>
      <c r="L2352" s="3"/>
      <c r="M2352" s="6"/>
      <c r="N2352" s="9"/>
      <c r="O2352" s="158"/>
      <c r="P2352" s="12"/>
      <c r="Q2352" s="12"/>
      <c r="R2352" s="12"/>
      <c r="S2352" s="12"/>
      <c r="T2352" s="12"/>
      <c r="U2352" s="12"/>
      <c r="V2352" s="12"/>
      <c r="W2352" s="12"/>
      <c r="X2352" s="12"/>
      <c r="Y2352" s="12"/>
      <c r="Z2352" s="12"/>
    </row>
    <row r="2353" spans="1:26" ht="14.25" customHeight="1" x14ac:dyDescent="0.3">
      <c r="A2353" s="155"/>
      <c r="B2353" s="156"/>
      <c r="C2353" s="3"/>
      <c r="D2353" s="3"/>
      <c r="E2353" s="156"/>
      <c r="F2353" s="3"/>
      <c r="G2353" s="158"/>
      <c r="H2353" s="155"/>
      <c r="I2353" s="155"/>
      <c r="J2353" s="156"/>
      <c r="K2353" s="5"/>
      <c r="L2353" s="3"/>
      <c r="M2353" s="6"/>
      <c r="N2353" s="9"/>
      <c r="O2353" s="158"/>
      <c r="P2353" s="12"/>
      <c r="Q2353" s="12"/>
      <c r="R2353" s="12"/>
      <c r="S2353" s="12"/>
      <c r="T2353" s="12"/>
      <c r="U2353" s="12"/>
      <c r="V2353" s="12"/>
      <c r="W2353" s="12"/>
      <c r="X2353" s="12"/>
      <c r="Y2353" s="12"/>
      <c r="Z2353" s="12"/>
    </row>
    <row r="2354" spans="1:26" ht="14.25" customHeight="1" x14ac:dyDescent="0.3">
      <c r="A2354" s="155"/>
      <c r="B2354" s="156"/>
      <c r="C2354" s="3"/>
      <c r="D2354" s="3"/>
      <c r="E2354" s="156"/>
      <c r="F2354" s="3"/>
      <c r="G2354" s="158"/>
      <c r="H2354" s="155"/>
      <c r="I2354" s="155"/>
      <c r="J2354" s="156"/>
      <c r="K2354" s="5"/>
      <c r="L2354" s="3"/>
      <c r="M2354" s="6"/>
      <c r="N2354" s="9"/>
      <c r="O2354" s="158"/>
      <c r="P2354" s="12"/>
      <c r="Q2354" s="12"/>
      <c r="R2354" s="12"/>
      <c r="S2354" s="12"/>
      <c r="T2354" s="12"/>
      <c r="U2354" s="12"/>
      <c r="V2354" s="12"/>
      <c r="W2354" s="12"/>
      <c r="X2354" s="12"/>
      <c r="Y2354" s="12"/>
      <c r="Z2354" s="12"/>
    </row>
    <row r="2355" spans="1:26" ht="14.25" customHeight="1" x14ac:dyDescent="0.3">
      <c r="A2355" s="155"/>
      <c r="B2355" s="156"/>
      <c r="C2355" s="3"/>
      <c r="D2355" s="3"/>
      <c r="E2355" s="156"/>
      <c r="F2355" s="3"/>
      <c r="G2355" s="158"/>
      <c r="H2355" s="155"/>
      <c r="I2355" s="155"/>
      <c r="J2355" s="156"/>
      <c r="K2355" s="5"/>
      <c r="L2355" s="3"/>
      <c r="M2355" s="6"/>
      <c r="N2355" s="9"/>
      <c r="O2355" s="158"/>
      <c r="P2355" s="12"/>
      <c r="Q2355" s="12"/>
      <c r="R2355" s="12"/>
      <c r="S2355" s="12"/>
      <c r="T2355" s="12"/>
      <c r="U2355" s="12"/>
      <c r="V2355" s="12"/>
      <c r="W2355" s="12"/>
      <c r="X2355" s="12"/>
      <c r="Y2355" s="12"/>
      <c r="Z2355" s="12"/>
    </row>
    <row r="2356" spans="1:26" ht="14.25" customHeight="1" x14ac:dyDescent="0.3">
      <c r="A2356" s="155"/>
      <c r="B2356" s="156"/>
      <c r="C2356" s="3"/>
      <c r="D2356" s="3"/>
      <c r="E2356" s="156"/>
      <c r="F2356" s="3"/>
      <c r="G2356" s="158"/>
      <c r="H2356" s="155"/>
      <c r="I2356" s="155"/>
      <c r="J2356" s="156"/>
      <c r="K2356" s="5"/>
      <c r="L2356" s="3"/>
      <c r="M2356" s="6"/>
      <c r="N2356" s="9"/>
      <c r="O2356" s="158"/>
      <c r="P2356" s="12"/>
      <c r="Q2356" s="12"/>
      <c r="R2356" s="12"/>
      <c r="S2356" s="12"/>
      <c r="T2356" s="12"/>
      <c r="U2356" s="12"/>
      <c r="V2356" s="12"/>
      <c r="W2356" s="12"/>
      <c r="X2356" s="12"/>
      <c r="Y2356" s="12"/>
      <c r="Z2356" s="12"/>
    </row>
    <row r="2357" spans="1:26" ht="14.25" customHeight="1" x14ac:dyDescent="0.3">
      <c r="A2357" s="155"/>
      <c r="B2357" s="156"/>
      <c r="C2357" s="3"/>
      <c r="D2357" s="3"/>
      <c r="E2357" s="156"/>
      <c r="F2357" s="3"/>
      <c r="G2357" s="158"/>
      <c r="H2357" s="155"/>
      <c r="I2357" s="155"/>
      <c r="J2357" s="156"/>
      <c r="K2357" s="5"/>
      <c r="L2357" s="3"/>
      <c r="M2357" s="6"/>
      <c r="N2357" s="9"/>
      <c r="O2357" s="158"/>
      <c r="P2357" s="12"/>
      <c r="Q2357" s="12"/>
      <c r="R2357" s="12"/>
      <c r="S2357" s="12"/>
      <c r="T2357" s="12"/>
      <c r="U2357" s="12"/>
      <c r="V2357" s="12"/>
      <c r="W2357" s="12"/>
      <c r="X2357" s="12"/>
      <c r="Y2357" s="12"/>
      <c r="Z2357" s="12"/>
    </row>
    <row r="2358" spans="1:26" ht="14.25" customHeight="1" x14ac:dyDescent="0.3">
      <c r="A2358" s="155"/>
      <c r="B2358" s="156"/>
      <c r="C2358" s="3"/>
      <c r="D2358" s="3"/>
      <c r="E2358" s="156"/>
      <c r="F2358" s="3"/>
      <c r="G2358" s="158"/>
      <c r="H2358" s="155"/>
      <c r="I2358" s="155"/>
      <c r="J2358" s="156"/>
      <c r="K2358" s="5"/>
      <c r="L2358" s="3"/>
      <c r="M2358" s="6"/>
      <c r="N2358" s="9"/>
      <c r="O2358" s="158"/>
      <c r="P2358" s="12"/>
      <c r="Q2358" s="12"/>
      <c r="R2358" s="12"/>
      <c r="S2358" s="12"/>
      <c r="T2358" s="12"/>
      <c r="U2358" s="12"/>
      <c r="V2358" s="12"/>
      <c r="W2358" s="12"/>
      <c r="X2358" s="12"/>
      <c r="Y2358" s="12"/>
      <c r="Z2358" s="12"/>
    </row>
    <row r="2359" spans="1:26" ht="14.25" customHeight="1" x14ac:dyDescent="0.3">
      <c r="A2359" s="155"/>
      <c r="B2359" s="156"/>
      <c r="C2359" s="3"/>
      <c r="D2359" s="3"/>
      <c r="E2359" s="156"/>
      <c r="F2359" s="3"/>
      <c r="G2359" s="158"/>
      <c r="H2359" s="155"/>
      <c r="I2359" s="155"/>
      <c r="J2359" s="156"/>
      <c r="K2359" s="5"/>
      <c r="L2359" s="3"/>
      <c r="M2359" s="6"/>
      <c r="N2359" s="9"/>
      <c r="O2359" s="158"/>
      <c r="P2359" s="12"/>
      <c r="Q2359" s="12"/>
      <c r="R2359" s="12"/>
      <c r="S2359" s="12"/>
      <c r="T2359" s="12"/>
      <c r="U2359" s="12"/>
      <c r="V2359" s="12"/>
      <c r="W2359" s="12"/>
      <c r="X2359" s="12"/>
      <c r="Y2359" s="12"/>
      <c r="Z2359" s="12"/>
    </row>
    <row r="2360" spans="1:26" ht="14.25" customHeight="1" x14ac:dyDescent="0.3">
      <c r="A2360" s="155"/>
      <c r="B2360" s="156"/>
      <c r="C2360" s="3"/>
      <c r="D2360" s="3"/>
      <c r="E2360" s="156"/>
      <c r="F2360" s="3"/>
      <c r="G2360" s="158"/>
      <c r="H2360" s="155"/>
      <c r="I2360" s="155"/>
      <c r="J2360" s="156"/>
      <c r="K2360" s="5"/>
      <c r="L2360" s="3"/>
      <c r="M2360" s="6"/>
      <c r="N2360" s="9"/>
      <c r="O2360" s="158"/>
      <c r="P2360" s="12"/>
      <c r="Q2360" s="12"/>
      <c r="R2360" s="12"/>
      <c r="S2360" s="12"/>
      <c r="T2360" s="12"/>
      <c r="U2360" s="12"/>
      <c r="V2360" s="12"/>
      <c r="W2360" s="12"/>
      <c r="X2360" s="12"/>
      <c r="Y2360" s="12"/>
      <c r="Z2360" s="12"/>
    </row>
    <row r="2361" spans="1:26" ht="14.25" customHeight="1" x14ac:dyDescent="0.3">
      <c r="A2361" s="155"/>
      <c r="B2361" s="156"/>
      <c r="C2361" s="3"/>
      <c r="D2361" s="3"/>
      <c r="E2361" s="156"/>
      <c r="F2361" s="3"/>
      <c r="G2361" s="158"/>
      <c r="H2361" s="155"/>
      <c r="I2361" s="155"/>
      <c r="J2361" s="156"/>
      <c r="K2361" s="5"/>
      <c r="L2361" s="3"/>
      <c r="M2361" s="6"/>
      <c r="N2361" s="9"/>
      <c r="O2361" s="158"/>
      <c r="P2361" s="12"/>
      <c r="Q2361" s="12"/>
      <c r="R2361" s="12"/>
      <c r="S2361" s="12"/>
      <c r="T2361" s="12"/>
      <c r="U2361" s="12"/>
      <c r="V2361" s="12"/>
      <c r="W2361" s="12"/>
      <c r="X2361" s="12"/>
      <c r="Y2361" s="12"/>
      <c r="Z2361" s="12"/>
    </row>
    <row r="2362" spans="1:26" ht="14.25" customHeight="1" x14ac:dyDescent="0.3">
      <c r="A2362" s="155"/>
      <c r="B2362" s="156"/>
      <c r="C2362" s="3"/>
      <c r="D2362" s="3"/>
      <c r="E2362" s="156"/>
      <c r="F2362" s="3"/>
      <c r="G2362" s="158"/>
      <c r="H2362" s="155"/>
      <c r="I2362" s="155"/>
      <c r="J2362" s="156"/>
      <c r="K2362" s="5"/>
      <c r="L2362" s="3"/>
      <c r="M2362" s="6"/>
      <c r="N2362" s="9"/>
      <c r="O2362" s="158"/>
      <c r="P2362" s="12"/>
      <c r="Q2362" s="12"/>
      <c r="R2362" s="12"/>
      <c r="S2362" s="12"/>
      <c r="T2362" s="12"/>
      <c r="U2362" s="12"/>
      <c r="V2362" s="12"/>
      <c r="W2362" s="12"/>
      <c r="X2362" s="12"/>
      <c r="Y2362" s="12"/>
      <c r="Z2362" s="12"/>
    </row>
    <row r="2363" spans="1:26" ht="14.25" customHeight="1" x14ac:dyDescent="0.3">
      <c r="A2363" s="155"/>
      <c r="B2363" s="156"/>
      <c r="C2363" s="3"/>
      <c r="D2363" s="3"/>
      <c r="E2363" s="156"/>
      <c r="F2363" s="3"/>
      <c r="G2363" s="158"/>
      <c r="H2363" s="155"/>
      <c r="I2363" s="155"/>
      <c r="J2363" s="156"/>
      <c r="K2363" s="5"/>
      <c r="L2363" s="3"/>
      <c r="M2363" s="6"/>
      <c r="N2363" s="9"/>
      <c r="O2363" s="158"/>
      <c r="P2363" s="12"/>
      <c r="Q2363" s="12"/>
      <c r="R2363" s="12"/>
      <c r="S2363" s="12"/>
      <c r="T2363" s="12"/>
      <c r="U2363" s="12"/>
      <c r="V2363" s="12"/>
      <c r="W2363" s="12"/>
      <c r="X2363" s="12"/>
      <c r="Y2363" s="12"/>
      <c r="Z2363" s="12"/>
    </row>
    <row r="2364" spans="1:26" ht="14.25" customHeight="1" x14ac:dyDescent="0.3">
      <c r="A2364" s="155"/>
      <c r="B2364" s="156"/>
      <c r="C2364" s="3"/>
      <c r="D2364" s="3"/>
      <c r="E2364" s="156"/>
      <c r="F2364" s="3"/>
      <c r="G2364" s="158"/>
      <c r="H2364" s="155"/>
      <c r="I2364" s="155"/>
      <c r="J2364" s="156"/>
      <c r="K2364" s="5"/>
      <c r="L2364" s="3"/>
      <c r="M2364" s="6"/>
      <c r="N2364" s="9"/>
      <c r="O2364" s="158"/>
      <c r="P2364" s="12"/>
      <c r="Q2364" s="12"/>
      <c r="R2364" s="12"/>
      <c r="S2364" s="12"/>
      <c r="T2364" s="12"/>
      <c r="U2364" s="12"/>
      <c r="V2364" s="12"/>
      <c r="W2364" s="12"/>
      <c r="X2364" s="12"/>
      <c r="Y2364" s="12"/>
      <c r="Z2364" s="12"/>
    </row>
    <row r="2365" spans="1:26" ht="14.25" customHeight="1" x14ac:dyDescent="0.3">
      <c r="A2365" s="155"/>
      <c r="B2365" s="156"/>
      <c r="C2365" s="3"/>
      <c r="D2365" s="3"/>
      <c r="E2365" s="156"/>
      <c r="F2365" s="3"/>
      <c r="G2365" s="158"/>
      <c r="H2365" s="155"/>
      <c r="I2365" s="155"/>
      <c r="J2365" s="156"/>
      <c r="K2365" s="5"/>
      <c r="L2365" s="3"/>
      <c r="M2365" s="6"/>
      <c r="N2365" s="9"/>
      <c r="O2365" s="158"/>
      <c r="P2365" s="12"/>
      <c r="Q2365" s="12"/>
      <c r="R2365" s="12"/>
      <c r="S2365" s="12"/>
      <c r="T2365" s="12"/>
      <c r="U2365" s="12"/>
      <c r="V2365" s="12"/>
      <c r="W2365" s="12"/>
      <c r="X2365" s="12"/>
      <c r="Y2365" s="12"/>
      <c r="Z2365" s="12"/>
    </row>
    <row r="2366" spans="1:26" ht="14.25" customHeight="1" x14ac:dyDescent="0.3">
      <c r="A2366" s="155"/>
      <c r="B2366" s="156"/>
      <c r="C2366" s="3"/>
      <c r="D2366" s="3"/>
      <c r="E2366" s="156"/>
      <c r="F2366" s="3"/>
      <c r="G2366" s="158"/>
      <c r="H2366" s="155"/>
      <c r="I2366" s="155"/>
      <c r="J2366" s="156"/>
      <c r="K2366" s="5"/>
      <c r="L2366" s="3"/>
      <c r="M2366" s="6"/>
      <c r="N2366" s="9"/>
      <c r="O2366" s="158"/>
      <c r="P2366" s="12"/>
      <c r="Q2366" s="12"/>
      <c r="R2366" s="12"/>
      <c r="S2366" s="12"/>
      <c r="T2366" s="12"/>
      <c r="U2366" s="12"/>
      <c r="V2366" s="12"/>
      <c r="W2366" s="12"/>
      <c r="X2366" s="12"/>
      <c r="Y2366" s="12"/>
      <c r="Z2366" s="12"/>
    </row>
    <row r="2367" spans="1:26" ht="14.25" customHeight="1" x14ac:dyDescent="0.3">
      <c r="A2367" s="155"/>
      <c r="B2367" s="156"/>
      <c r="C2367" s="3"/>
      <c r="D2367" s="3"/>
      <c r="E2367" s="156"/>
      <c r="F2367" s="3"/>
      <c r="G2367" s="158"/>
      <c r="H2367" s="155"/>
      <c r="I2367" s="155"/>
      <c r="J2367" s="156"/>
      <c r="K2367" s="5"/>
      <c r="L2367" s="3"/>
      <c r="M2367" s="6"/>
      <c r="N2367" s="9"/>
      <c r="O2367" s="158"/>
      <c r="P2367" s="12"/>
      <c r="Q2367" s="12"/>
      <c r="R2367" s="12"/>
      <c r="S2367" s="12"/>
      <c r="T2367" s="12"/>
      <c r="U2367" s="12"/>
      <c r="V2367" s="12"/>
      <c r="W2367" s="12"/>
      <c r="X2367" s="12"/>
      <c r="Y2367" s="12"/>
      <c r="Z2367" s="12"/>
    </row>
    <row r="2368" spans="1:26" ht="14.25" customHeight="1" x14ac:dyDescent="0.3">
      <c r="A2368" s="155"/>
      <c r="B2368" s="156"/>
      <c r="C2368" s="3"/>
      <c r="D2368" s="3"/>
      <c r="E2368" s="156"/>
      <c r="F2368" s="3"/>
      <c r="G2368" s="158"/>
      <c r="H2368" s="155"/>
      <c r="I2368" s="155"/>
      <c r="J2368" s="156"/>
      <c r="K2368" s="5"/>
      <c r="L2368" s="3"/>
      <c r="M2368" s="6"/>
      <c r="N2368" s="9"/>
      <c r="O2368" s="158"/>
      <c r="P2368" s="12"/>
      <c r="Q2368" s="12"/>
      <c r="R2368" s="12"/>
      <c r="S2368" s="12"/>
      <c r="T2368" s="12"/>
      <c r="U2368" s="12"/>
      <c r="V2368" s="12"/>
      <c r="W2368" s="12"/>
      <c r="X2368" s="12"/>
      <c r="Y2368" s="12"/>
      <c r="Z2368" s="12"/>
    </row>
    <row r="2369" spans="1:26" ht="14.25" customHeight="1" x14ac:dyDescent="0.3">
      <c r="A2369" s="155"/>
      <c r="B2369" s="156"/>
      <c r="C2369" s="3"/>
      <c r="D2369" s="3"/>
      <c r="E2369" s="156"/>
      <c r="F2369" s="3"/>
      <c r="G2369" s="158"/>
      <c r="H2369" s="155"/>
      <c r="I2369" s="155"/>
      <c r="J2369" s="156"/>
      <c r="K2369" s="5"/>
      <c r="L2369" s="3"/>
      <c r="M2369" s="6"/>
      <c r="N2369" s="9"/>
      <c r="O2369" s="158"/>
      <c r="P2369" s="12"/>
      <c r="Q2369" s="12"/>
      <c r="R2369" s="12"/>
      <c r="S2369" s="12"/>
      <c r="T2369" s="12"/>
      <c r="U2369" s="12"/>
      <c r="V2369" s="12"/>
      <c r="W2369" s="12"/>
      <c r="X2369" s="12"/>
      <c r="Y2369" s="12"/>
      <c r="Z2369" s="12"/>
    </row>
    <row r="2370" spans="1:26" ht="14.25" customHeight="1" x14ac:dyDescent="0.3">
      <c r="A2370" s="155"/>
      <c r="B2370" s="156"/>
      <c r="C2370" s="3"/>
      <c r="D2370" s="3"/>
      <c r="E2370" s="156"/>
      <c r="F2370" s="3"/>
      <c r="G2370" s="158"/>
      <c r="H2370" s="155"/>
      <c r="I2370" s="155"/>
      <c r="J2370" s="156"/>
      <c r="K2370" s="5"/>
      <c r="L2370" s="3"/>
      <c r="M2370" s="6"/>
      <c r="N2370" s="9"/>
      <c r="O2370" s="158"/>
      <c r="P2370" s="12"/>
      <c r="Q2370" s="12"/>
      <c r="R2370" s="12"/>
      <c r="S2370" s="12"/>
      <c r="T2370" s="12"/>
      <c r="U2370" s="12"/>
      <c r="V2370" s="12"/>
      <c r="W2370" s="12"/>
      <c r="X2370" s="12"/>
      <c r="Y2370" s="12"/>
      <c r="Z2370" s="12"/>
    </row>
    <row r="2371" spans="1:26" ht="14.25" customHeight="1" x14ac:dyDescent="0.3">
      <c r="A2371" s="155"/>
      <c r="B2371" s="156"/>
      <c r="C2371" s="3"/>
      <c r="D2371" s="3"/>
      <c r="E2371" s="156"/>
      <c r="F2371" s="3"/>
      <c r="G2371" s="158"/>
      <c r="H2371" s="155"/>
      <c r="I2371" s="155"/>
      <c r="J2371" s="156"/>
      <c r="K2371" s="5"/>
      <c r="L2371" s="3"/>
      <c r="M2371" s="6"/>
      <c r="N2371" s="9"/>
      <c r="O2371" s="158"/>
      <c r="P2371" s="12"/>
      <c r="Q2371" s="12"/>
      <c r="R2371" s="12"/>
      <c r="S2371" s="12"/>
      <c r="T2371" s="12"/>
      <c r="U2371" s="12"/>
      <c r="V2371" s="12"/>
      <c r="W2371" s="12"/>
      <c r="X2371" s="12"/>
      <c r="Y2371" s="12"/>
      <c r="Z2371" s="12"/>
    </row>
    <row r="2372" spans="1:26" ht="14.25" customHeight="1" x14ac:dyDescent="0.3">
      <c r="A2372" s="155"/>
      <c r="B2372" s="156"/>
      <c r="C2372" s="3"/>
      <c r="D2372" s="3"/>
      <c r="E2372" s="156"/>
      <c r="F2372" s="3"/>
      <c r="G2372" s="158"/>
      <c r="H2372" s="155"/>
      <c r="I2372" s="155"/>
      <c r="J2372" s="156"/>
      <c r="K2372" s="5"/>
      <c r="L2372" s="3"/>
      <c r="M2372" s="6"/>
      <c r="N2372" s="9"/>
      <c r="O2372" s="158"/>
      <c r="P2372" s="12"/>
      <c r="Q2372" s="12"/>
      <c r="R2372" s="12"/>
      <c r="S2372" s="12"/>
      <c r="T2372" s="12"/>
      <c r="U2372" s="12"/>
      <c r="V2372" s="12"/>
      <c r="W2372" s="12"/>
      <c r="X2372" s="12"/>
      <c r="Y2372" s="12"/>
      <c r="Z2372" s="12"/>
    </row>
    <row r="2373" spans="1:26" ht="14.25" customHeight="1" x14ac:dyDescent="0.3">
      <c r="A2373" s="155"/>
      <c r="B2373" s="156"/>
      <c r="C2373" s="3"/>
      <c r="D2373" s="3"/>
      <c r="E2373" s="156"/>
      <c r="F2373" s="3"/>
      <c r="G2373" s="158"/>
      <c r="H2373" s="155"/>
      <c r="I2373" s="155"/>
      <c r="J2373" s="156"/>
      <c r="K2373" s="5"/>
      <c r="L2373" s="3"/>
      <c r="M2373" s="6"/>
      <c r="N2373" s="9"/>
      <c r="O2373" s="158"/>
      <c r="P2373" s="12"/>
      <c r="Q2373" s="12"/>
      <c r="R2373" s="12"/>
      <c r="S2373" s="12"/>
      <c r="T2373" s="12"/>
      <c r="U2373" s="12"/>
      <c r="V2373" s="12"/>
      <c r="W2373" s="12"/>
      <c r="X2373" s="12"/>
      <c r="Y2373" s="12"/>
      <c r="Z2373" s="12"/>
    </row>
    <row r="2374" spans="1:26" ht="14.25" customHeight="1" x14ac:dyDescent="0.3">
      <c r="A2374" s="155"/>
      <c r="B2374" s="156"/>
      <c r="C2374" s="3"/>
      <c r="D2374" s="3"/>
      <c r="E2374" s="156"/>
      <c r="F2374" s="3"/>
      <c r="G2374" s="158"/>
      <c r="H2374" s="155"/>
      <c r="I2374" s="155"/>
      <c r="J2374" s="156"/>
      <c r="K2374" s="5"/>
      <c r="L2374" s="3"/>
      <c r="M2374" s="6"/>
      <c r="N2374" s="9"/>
      <c r="O2374" s="158"/>
      <c r="P2374" s="12"/>
      <c r="Q2374" s="12"/>
      <c r="R2374" s="12"/>
      <c r="S2374" s="12"/>
      <c r="T2374" s="12"/>
      <c r="U2374" s="12"/>
      <c r="V2374" s="12"/>
      <c r="W2374" s="12"/>
      <c r="X2374" s="12"/>
      <c r="Y2374" s="12"/>
      <c r="Z2374" s="12"/>
    </row>
    <row r="2375" spans="1:26" ht="14.25" customHeight="1" x14ac:dyDescent="0.3">
      <c r="A2375" s="155"/>
      <c r="B2375" s="156"/>
      <c r="C2375" s="3"/>
      <c r="D2375" s="3"/>
      <c r="E2375" s="156"/>
      <c r="F2375" s="3"/>
      <c r="G2375" s="158"/>
      <c r="H2375" s="155"/>
      <c r="I2375" s="155"/>
      <c r="J2375" s="156"/>
      <c r="K2375" s="5"/>
      <c r="L2375" s="3"/>
      <c r="M2375" s="6"/>
      <c r="N2375" s="9"/>
      <c r="O2375" s="158"/>
      <c r="P2375" s="12"/>
      <c r="Q2375" s="12"/>
      <c r="R2375" s="12"/>
      <c r="S2375" s="12"/>
      <c r="T2375" s="12"/>
      <c r="U2375" s="12"/>
      <c r="V2375" s="12"/>
      <c r="W2375" s="12"/>
      <c r="X2375" s="12"/>
      <c r="Y2375" s="12"/>
      <c r="Z2375" s="12"/>
    </row>
    <row r="2376" spans="1:26" ht="14.25" customHeight="1" x14ac:dyDescent="0.3">
      <c r="A2376" s="155"/>
      <c r="B2376" s="156"/>
      <c r="C2376" s="3"/>
      <c r="D2376" s="3"/>
      <c r="E2376" s="156"/>
      <c r="F2376" s="3"/>
      <c r="G2376" s="158"/>
      <c r="H2376" s="155"/>
      <c r="I2376" s="155"/>
      <c r="J2376" s="156"/>
      <c r="K2376" s="5"/>
      <c r="L2376" s="3"/>
      <c r="M2376" s="6"/>
      <c r="N2376" s="9"/>
      <c r="O2376" s="158"/>
      <c r="P2376" s="12"/>
      <c r="Q2376" s="12"/>
      <c r="R2376" s="12"/>
      <c r="S2376" s="12"/>
      <c r="T2376" s="12"/>
      <c r="U2376" s="12"/>
      <c r="V2376" s="12"/>
      <c r="W2376" s="12"/>
      <c r="X2376" s="12"/>
      <c r="Y2376" s="12"/>
      <c r="Z2376" s="12"/>
    </row>
    <row r="2377" spans="1:26" ht="14.25" customHeight="1" x14ac:dyDescent="0.3">
      <c r="A2377" s="155"/>
      <c r="B2377" s="156"/>
      <c r="C2377" s="3"/>
      <c r="D2377" s="3"/>
      <c r="E2377" s="156"/>
      <c r="F2377" s="3"/>
      <c r="G2377" s="158"/>
      <c r="H2377" s="155"/>
      <c r="I2377" s="155"/>
      <c r="J2377" s="156"/>
      <c r="K2377" s="5"/>
      <c r="L2377" s="3"/>
      <c r="M2377" s="6"/>
      <c r="N2377" s="9"/>
      <c r="O2377" s="158"/>
      <c r="P2377" s="12"/>
      <c r="Q2377" s="12"/>
      <c r="R2377" s="12"/>
      <c r="S2377" s="12"/>
      <c r="T2377" s="12"/>
      <c r="U2377" s="12"/>
      <c r="V2377" s="12"/>
      <c r="W2377" s="12"/>
      <c r="X2377" s="12"/>
      <c r="Y2377" s="12"/>
      <c r="Z2377" s="12"/>
    </row>
    <row r="2378" spans="1:26" ht="14.25" customHeight="1" x14ac:dyDescent="0.3">
      <c r="A2378" s="155"/>
      <c r="B2378" s="156"/>
      <c r="C2378" s="3"/>
      <c r="D2378" s="3"/>
      <c r="E2378" s="156"/>
      <c r="F2378" s="3"/>
      <c r="G2378" s="158"/>
      <c r="H2378" s="155"/>
      <c r="I2378" s="155"/>
      <c r="J2378" s="156"/>
      <c r="K2378" s="5"/>
      <c r="L2378" s="3"/>
      <c r="M2378" s="6"/>
      <c r="N2378" s="9"/>
      <c r="O2378" s="158"/>
      <c r="P2378" s="12"/>
      <c r="Q2378" s="12"/>
      <c r="R2378" s="12"/>
      <c r="S2378" s="12"/>
      <c r="T2378" s="12"/>
      <c r="U2378" s="12"/>
      <c r="V2378" s="12"/>
      <c r="W2378" s="12"/>
      <c r="X2378" s="12"/>
      <c r="Y2378" s="12"/>
      <c r="Z2378" s="12"/>
    </row>
    <row r="2379" spans="1:26" ht="14.25" customHeight="1" x14ac:dyDescent="0.3">
      <c r="A2379" s="155"/>
      <c r="B2379" s="156"/>
      <c r="C2379" s="3"/>
      <c r="D2379" s="3"/>
      <c r="E2379" s="156"/>
      <c r="F2379" s="3"/>
      <c r="G2379" s="158"/>
      <c r="H2379" s="155"/>
      <c r="I2379" s="155"/>
      <c r="J2379" s="156"/>
      <c r="K2379" s="5"/>
      <c r="L2379" s="3"/>
      <c r="M2379" s="6"/>
      <c r="N2379" s="9"/>
      <c r="O2379" s="158"/>
      <c r="P2379" s="12"/>
      <c r="Q2379" s="12"/>
      <c r="R2379" s="12"/>
      <c r="S2379" s="12"/>
      <c r="T2379" s="12"/>
      <c r="U2379" s="12"/>
      <c r="V2379" s="12"/>
      <c r="W2379" s="12"/>
      <c r="X2379" s="12"/>
      <c r="Y2379" s="12"/>
      <c r="Z2379" s="12"/>
    </row>
    <row r="2380" spans="1:26" ht="14.25" customHeight="1" x14ac:dyDescent="0.3">
      <c r="A2380" s="155"/>
      <c r="B2380" s="156"/>
      <c r="C2380" s="3"/>
      <c r="D2380" s="3"/>
      <c r="E2380" s="156"/>
      <c r="F2380" s="3"/>
      <c r="G2380" s="158"/>
      <c r="H2380" s="155"/>
      <c r="I2380" s="155"/>
      <c r="J2380" s="156"/>
      <c r="K2380" s="5"/>
      <c r="L2380" s="3"/>
      <c r="M2380" s="6"/>
      <c r="N2380" s="9"/>
      <c r="O2380" s="158"/>
      <c r="P2380" s="12"/>
      <c r="Q2380" s="12"/>
      <c r="R2380" s="12"/>
      <c r="S2380" s="12"/>
      <c r="T2380" s="12"/>
      <c r="U2380" s="12"/>
      <c r="V2380" s="12"/>
      <c r="W2380" s="12"/>
      <c r="X2380" s="12"/>
      <c r="Y2380" s="12"/>
      <c r="Z2380" s="12"/>
    </row>
    <row r="2381" spans="1:26" ht="14.25" customHeight="1" x14ac:dyDescent="0.3">
      <c r="A2381" s="155"/>
      <c r="B2381" s="156"/>
      <c r="C2381" s="3"/>
      <c r="D2381" s="3"/>
      <c r="E2381" s="156"/>
      <c r="F2381" s="3"/>
      <c r="G2381" s="158"/>
      <c r="H2381" s="155"/>
      <c r="I2381" s="155"/>
      <c r="J2381" s="156"/>
      <c r="K2381" s="5"/>
      <c r="L2381" s="3"/>
      <c r="M2381" s="6"/>
      <c r="N2381" s="9"/>
      <c r="O2381" s="158"/>
      <c r="P2381" s="12"/>
      <c r="Q2381" s="12"/>
      <c r="R2381" s="12"/>
      <c r="S2381" s="12"/>
      <c r="T2381" s="12"/>
      <c r="U2381" s="12"/>
      <c r="V2381" s="12"/>
      <c r="W2381" s="12"/>
      <c r="X2381" s="12"/>
      <c r="Y2381" s="12"/>
      <c r="Z2381" s="12"/>
    </row>
    <row r="2382" spans="1:26" ht="14.25" customHeight="1" x14ac:dyDescent="0.3">
      <c r="A2382" s="155"/>
      <c r="B2382" s="156"/>
      <c r="C2382" s="3"/>
      <c r="D2382" s="3"/>
      <c r="E2382" s="156"/>
      <c r="F2382" s="3"/>
      <c r="G2382" s="158"/>
      <c r="H2382" s="155"/>
      <c r="I2382" s="155"/>
      <c r="J2382" s="156"/>
      <c r="K2382" s="5"/>
      <c r="L2382" s="3"/>
      <c r="M2382" s="6"/>
      <c r="N2382" s="9"/>
      <c r="O2382" s="158"/>
      <c r="P2382" s="12"/>
      <c r="Q2382" s="12"/>
      <c r="R2382" s="12"/>
      <c r="S2382" s="12"/>
      <c r="T2382" s="12"/>
      <c r="U2382" s="12"/>
      <c r="V2382" s="12"/>
      <c r="W2382" s="12"/>
      <c r="X2382" s="12"/>
      <c r="Y2382" s="12"/>
      <c r="Z2382" s="12"/>
    </row>
    <row r="2383" spans="1:26" ht="14.25" customHeight="1" x14ac:dyDescent="0.3">
      <c r="A2383" s="155"/>
      <c r="B2383" s="156"/>
      <c r="C2383" s="3"/>
      <c r="D2383" s="3"/>
      <c r="E2383" s="156"/>
      <c r="F2383" s="3"/>
      <c r="G2383" s="158"/>
      <c r="H2383" s="155"/>
      <c r="I2383" s="155"/>
      <c r="J2383" s="156"/>
      <c r="K2383" s="5"/>
      <c r="L2383" s="3"/>
      <c r="M2383" s="6"/>
      <c r="N2383" s="9"/>
      <c r="O2383" s="158"/>
      <c r="P2383" s="12"/>
      <c r="Q2383" s="12"/>
      <c r="R2383" s="12"/>
      <c r="S2383" s="12"/>
      <c r="T2383" s="12"/>
      <c r="U2383" s="12"/>
      <c r="V2383" s="12"/>
      <c r="W2383" s="12"/>
      <c r="X2383" s="12"/>
      <c r="Y2383" s="12"/>
      <c r="Z2383" s="12"/>
    </row>
    <row r="2384" spans="1:26" ht="14.25" customHeight="1" x14ac:dyDescent="0.3">
      <c r="A2384" s="155"/>
      <c r="B2384" s="156"/>
      <c r="C2384" s="3"/>
      <c r="D2384" s="3"/>
      <c r="E2384" s="156"/>
      <c r="F2384" s="3"/>
      <c r="G2384" s="158"/>
      <c r="H2384" s="155"/>
      <c r="I2384" s="155"/>
      <c r="J2384" s="156"/>
      <c r="K2384" s="5"/>
      <c r="L2384" s="3"/>
      <c r="M2384" s="6"/>
      <c r="N2384" s="9"/>
      <c r="O2384" s="158"/>
      <c r="P2384" s="12"/>
      <c r="Q2384" s="12"/>
      <c r="R2384" s="12"/>
      <c r="S2384" s="12"/>
      <c r="T2384" s="12"/>
      <c r="U2384" s="12"/>
      <c r="V2384" s="12"/>
      <c r="W2384" s="12"/>
      <c r="X2384" s="12"/>
      <c r="Y2384" s="12"/>
      <c r="Z2384" s="12"/>
    </row>
    <row r="2385" spans="1:26" ht="14.25" customHeight="1" x14ac:dyDescent="0.3">
      <c r="A2385" s="155"/>
      <c r="B2385" s="156"/>
      <c r="C2385" s="3"/>
      <c r="D2385" s="3"/>
      <c r="E2385" s="156"/>
      <c r="F2385" s="3"/>
      <c r="G2385" s="158"/>
      <c r="H2385" s="155"/>
      <c r="I2385" s="155"/>
      <c r="J2385" s="156"/>
      <c r="K2385" s="5"/>
      <c r="L2385" s="3"/>
      <c r="M2385" s="6"/>
      <c r="N2385" s="9"/>
      <c r="O2385" s="158"/>
      <c r="P2385" s="12"/>
      <c r="Q2385" s="12"/>
      <c r="R2385" s="12"/>
      <c r="S2385" s="12"/>
      <c r="T2385" s="12"/>
      <c r="U2385" s="12"/>
      <c r="V2385" s="12"/>
      <c r="W2385" s="12"/>
      <c r="X2385" s="12"/>
      <c r="Y2385" s="12"/>
      <c r="Z2385" s="12"/>
    </row>
    <row r="2386" spans="1:26" ht="14.25" customHeight="1" x14ac:dyDescent="0.3">
      <c r="A2386" s="155"/>
      <c r="B2386" s="156"/>
      <c r="C2386" s="3"/>
      <c r="D2386" s="3"/>
      <c r="E2386" s="156"/>
      <c r="F2386" s="3"/>
      <c r="G2386" s="158"/>
      <c r="H2386" s="155"/>
      <c r="I2386" s="155"/>
      <c r="J2386" s="156"/>
      <c r="K2386" s="5"/>
      <c r="L2386" s="3"/>
      <c r="M2386" s="6"/>
      <c r="N2386" s="9"/>
      <c r="O2386" s="158"/>
      <c r="P2386" s="12"/>
      <c r="Q2386" s="12"/>
      <c r="R2386" s="12"/>
      <c r="S2386" s="12"/>
      <c r="T2386" s="12"/>
      <c r="U2386" s="12"/>
      <c r="V2386" s="12"/>
      <c r="W2386" s="12"/>
      <c r="X2386" s="12"/>
      <c r="Y2386" s="12"/>
      <c r="Z2386" s="12"/>
    </row>
    <row r="2387" spans="1:26" ht="14.25" customHeight="1" x14ac:dyDescent="0.3">
      <c r="A2387" s="155"/>
      <c r="B2387" s="156"/>
      <c r="C2387" s="3"/>
      <c r="D2387" s="3"/>
      <c r="E2387" s="156"/>
      <c r="F2387" s="3"/>
      <c r="G2387" s="158"/>
      <c r="H2387" s="155"/>
      <c r="I2387" s="155"/>
      <c r="J2387" s="156"/>
      <c r="K2387" s="5"/>
      <c r="L2387" s="3"/>
      <c r="M2387" s="6"/>
      <c r="N2387" s="9"/>
      <c r="O2387" s="158"/>
      <c r="P2387" s="12"/>
      <c r="Q2387" s="12"/>
      <c r="R2387" s="12"/>
      <c r="S2387" s="12"/>
      <c r="T2387" s="12"/>
      <c r="U2387" s="12"/>
      <c r="V2387" s="12"/>
      <c r="W2387" s="12"/>
      <c r="X2387" s="12"/>
      <c r="Y2387" s="12"/>
      <c r="Z2387" s="12"/>
    </row>
    <row r="2388" spans="1:26" ht="14.25" customHeight="1" x14ac:dyDescent="0.3">
      <c r="A2388" s="155"/>
      <c r="B2388" s="156"/>
      <c r="C2388" s="3"/>
      <c r="D2388" s="3"/>
      <c r="E2388" s="156"/>
      <c r="F2388" s="3"/>
      <c r="G2388" s="158"/>
      <c r="H2388" s="155"/>
      <c r="I2388" s="155"/>
      <c r="J2388" s="156"/>
      <c r="K2388" s="5"/>
      <c r="L2388" s="3"/>
      <c r="M2388" s="6"/>
      <c r="N2388" s="9"/>
      <c r="O2388" s="158"/>
      <c r="P2388" s="12"/>
      <c r="Q2388" s="12"/>
      <c r="R2388" s="12"/>
      <c r="S2388" s="12"/>
      <c r="T2388" s="12"/>
      <c r="U2388" s="12"/>
      <c r="V2388" s="12"/>
      <c r="W2388" s="12"/>
      <c r="X2388" s="12"/>
      <c r="Y2388" s="12"/>
      <c r="Z2388" s="12"/>
    </row>
    <row r="2389" spans="1:26" ht="14.25" customHeight="1" x14ac:dyDescent="0.3">
      <c r="A2389" s="155"/>
      <c r="B2389" s="156"/>
      <c r="C2389" s="3"/>
      <c r="D2389" s="3"/>
      <c r="E2389" s="156"/>
      <c r="F2389" s="3"/>
      <c r="G2389" s="158"/>
      <c r="H2389" s="155"/>
      <c r="I2389" s="155"/>
      <c r="J2389" s="156"/>
      <c r="K2389" s="5"/>
      <c r="L2389" s="3"/>
      <c r="M2389" s="6"/>
      <c r="N2389" s="9"/>
      <c r="O2389" s="158"/>
      <c r="P2389" s="12"/>
      <c r="Q2389" s="12"/>
      <c r="R2389" s="12"/>
      <c r="S2389" s="12"/>
      <c r="T2389" s="12"/>
      <c r="U2389" s="12"/>
      <c r="V2389" s="12"/>
      <c r="W2389" s="12"/>
      <c r="X2389" s="12"/>
      <c r="Y2389" s="12"/>
      <c r="Z2389" s="12"/>
    </row>
    <row r="2390" spans="1:26" ht="14.25" customHeight="1" x14ac:dyDescent="0.3">
      <c r="A2390" s="155"/>
      <c r="B2390" s="156"/>
      <c r="C2390" s="3"/>
      <c r="D2390" s="3"/>
      <c r="E2390" s="156"/>
      <c r="F2390" s="3"/>
      <c r="G2390" s="158"/>
      <c r="H2390" s="155"/>
      <c r="I2390" s="155"/>
      <c r="J2390" s="156"/>
      <c r="K2390" s="5"/>
      <c r="L2390" s="3"/>
      <c r="M2390" s="6"/>
      <c r="N2390" s="9"/>
      <c r="O2390" s="158"/>
      <c r="P2390" s="12"/>
      <c r="Q2390" s="12"/>
      <c r="R2390" s="12"/>
      <c r="S2390" s="12"/>
      <c r="T2390" s="12"/>
      <c r="U2390" s="12"/>
      <c r="V2390" s="12"/>
      <c r="W2390" s="12"/>
      <c r="X2390" s="12"/>
      <c r="Y2390" s="12"/>
      <c r="Z2390" s="12"/>
    </row>
    <row r="2391" spans="1:26" ht="14.25" customHeight="1" x14ac:dyDescent="0.3">
      <c r="A2391" s="155"/>
      <c r="B2391" s="156"/>
      <c r="C2391" s="3"/>
      <c r="D2391" s="3"/>
      <c r="E2391" s="156"/>
      <c r="F2391" s="3"/>
      <c r="G2391" s="158"/>
      <c r="H2391" s="155"/>
      <c r="I2391" s="155"/>
      <c r="J2391" s="156"/>
      <c r="K2391" s="5"/>
      <c r="L2391" s="3"/>
      <c r="M2391" s="6"/>
      <c r="N2391" s="9"/>
      <c r="O2391" s="158"/>
      <c r="P2391" s="12"/>
      <c r="Q2391" s="12"/>
      <c r="R2391" s="12"/>
      <c r="S2391" s="12"/>
      <c r="T2391" s="12"/>
      <c r="U2391" s="12"/>
      <c r="V2391" s="12"/>
      <c r="W2391" s="12"/>
      <c r="X2391" s="12"/>
      <c r="Y2391" s="12"/>
      <c r="Z2391" s="12"/>
    </row>
    <row r="2392" spans="1:26" ht="14.25" customHeight="1" x14ac:dyDescent="0.3">
      <c r="A2392" s="155"/>
      <c r="B2392" s="156"/>
      <c r="C2392" s="3"/>
      <c r="D2392" s="3"/>
      <c r="E2392" s="156"/>
      <c r="F2392" s="3"/>
      <c r="G2392" s="158"/>
      <c r="H2392" s="155"/>
      <c r="I2392" s="155"/>
      <c r="J2392" s="156"/>
      <c r="K2392" s="5"/>
      <c r="L2392" s="3"/>
      <c r="M2392" s="6"/>
      <c r="N2392" s="9"/>
      <c r="O2392" s="158"/>
      <c r="P2392" s="12"/>
      <c r="Q2392" s="12"/>
      <c r="R2392" s="12"/>
      <c r="S2392" s="12"/>
      <c r="T2392" s="12"/>
      <c r="U2392" s="12"/>
      <c r="V2392" s="12"/>
      <c r="W2392" s="12"/>
      <c r="X2392" s="12"/>
      <c r="Y2392" s="12"/>
      <c r="Z2392" s="12"/>
    </row>
    <row r="2393" spans="1:26" ht="14.25" customHeight="1" x14ac:dyDescent="0.3">
      <c r="A2393" s="155"/>
      <c r="B2393" s="156"/>
      <c r="C2393" s="3"/>
      <c r="D2393" s="3"/>
      <c r="E2393" s="156"/>
      <c r="F2393" s="3"/>
      <c r="G2393" s="158"/>
      <c r="H2393" s="155"/>
      <c r="I2393" s="155"/>
      <c r="J2393" s="156"/>
      <c r="K2393" s="5"/>
      <c r="L2393" s="3"/>
      <c r="M2393" s="6"/>
      <c r="N2393" s="9"/>
      <c r="O2393" s="158"/>
      <c r="P2393" s="12"/>
      <c r="Q2393" s="12"/>
      <c r="R2393" s="12"/>
      <c r="S2393" s="12"/>
      <c r="T2393" s="12"/>
      <c r="U2393" s="12"/>
      <c r="V2393" s="12"/>
      <c r="W2393" s="12"/>
      <c r="X2393" s="12"/>
      <c r="Y2393" s="12"/>
      <c r="Z2393" s="12"/>
    </row>
    <row r="2394" spans="1:26" ht="14.25" customHeight="1" x14ac:dyDescent="0.3">
      <c r="A2394" s="155"/>
      <c r="B2394" s="156"/>
      <c r="C2394" s="3"/>
      <c r="D2394" s="3"/>
      <c r="E2394" s="156"/>
      <c r="F2394" s="3"/>
      <c r="G2394" s="158"/>
      <c r="H2394" s="155"/>
      <c r="I2394" s="155"/>
      <c r="J2394" s="156"/>
      <c r="K2394" s="5"/>
      <c r="L2394" s="3"/>
      <c r="M2394" s="6"/>
      <c r="N2394" s="9"/>
      <c r="O2394" s="158"/>
      <c r="P2394" s="12"/>
      <c r="Q2394" s="12"/>
      <c r="R2394" s="12"/>
      <c r="S2394" s="12"/>
      <c r="T2394" s="12"/>
      <c r="U2394" s="12"/>
      <c r="V2394" s="12"/>
      <c r="W2394" s="12"/>
      <c r="X2394" s="12"/>
      <c r="Y2394" s="12"/>
      <c r="Z2394" s="12"/>
    </row>
    <row r="2395" spans="1:26" ht="14.25" customHeight="1" x14ac:dyDescent="0.3">
      <c r="A2395" s="155"/>
      <c r="B2395" s="156"/>
      <c r="C2395" s="3"/>
      <c r="D2395" s="3"/>
      <c r="E2395" s="156"/>
      <c r="F2395" s="3"/>
      <c r="G2395" s="158"/>
      <c r="H2395" s="155"/>
      <c r="I2395" s="155"/>
      <c r="J2395" s="156"/>
      <c r="K2395" s="5"/>
      <c r="L2395" s="3"/>
      <c r="M2395" s="6"/>
      <c r="N2395" s="9"/>
      <c r="O2395" s="158"/>
      <c r="P2395" s="12"/>
      <c r="Q2395" s="12"/>
      <c r="R2395" s="12"/>
      <c r="S2395" s="12"/>
      <c r="T2395" s="12"/>
      <c r="U2395" s="12"/>
      <c r="V2395" s="12"/>
      <c r="W2395" s="12"/>
      <c r="X2395" s="12"/>
      <c r="Y2395" s="12"/>
      <c r="Z2395" s="12"/>
    </row>
    <row r="2396" spans="1:26" ht="14.25" customHeight="1" x14ac:dyDescent="0.3">
      <c r="A2396" s="155"/>
      <c r="B2396" s="156"/>
      <c r="C2396" s="3"/>
      <c r="D2396" s="3"/>
      <c r="E2396" s="156"/>
      <c r="F2396" s="3"/>
      <c r="G2396" s="158"/>
      <c r="H2396" s="155"/>
      <c r="I2396" s="155"/>
      <c r="J2396" s="156"/>
      <c r="K2396" s="5"/>
      <c r="L2396" s="3"/>
      <c r="M2396" s="6"/>
      <c r="N2396" s="9"/>
      <c r="O2396" s="158"/>
      <c r="P2396" s="12"/>
      <c r="Q2396" s="12"/>
      <c r="R2396" s="12"/>
      <c r="S2396" s="12"/>
      <c r="T2396" s="12"/>
      <c r="U2396" s="12"/>
      <c r="V2396" s="12"/>
      <c r="W2396" s="12"/>
      <c r="X2396" s="12"/>
      <c r="Y2396" s="12"/>
      <c r="Z2396" s="12"/>
    </row>
    <row r="2397" spans="1:26" ht="14.25" customHeight="1" x14ac:dyDescent="0.3">
      <c r="A2397" s="155"/>
      <c r="B2397" s="156"/>
      <c r="C2397" s="3"/>
      <c r="D2397" s="3"/>
      <c r="E2397" s="156"/>
      <c r="F2397" s="3"/>
      <c r="G2397" s="158"/>
      <c r="H2397" s="155"/>
      <c r="I2397" s="155"/>
      <c r="J2397" s="156"/>
      <c r="K2397" s="5"/>
      <c r="L2397" s="3"/>
      <c r="M2397" s="6"/>
      <c r="N2397" s="9"/>
      <c r="O2397" s="158"/>
      <c r="P2397" s="12"/>
      <c r="Q2397" s="12"/>
      <c r="R2397" s="12"/>
      <c r="S2397" s="12"/>
      <c r="T2397" s="12"/>
      <c r="U2397" s="12"/>
      <c r="V2397" s="12"/>
      <c r="W2397" s="12"/>
      <c r="X2397" s="12"/>
      <c r="Y2397" s="12"/>
      <c r="Z2397" s="12"/>
    </row>
    <row r="2398" spans="1:26" ht="14.25" customHeight="1" x14ac:dyDescent="0.3">
      <c r="A2398" s="155"/>
      <c r="B2398" s="156"/>
      <c r="C2398" s="3"/>
      <c r="D2398" s="3"/>
      <c r="E2398" s="156"/>
      <c r="F2398" s="3"/>
      <c r="G2398" s="158"/>
      <c r="H2398" s="155"/>
      <c r="I2398" s="155"/>
      <c r="J2398" s="156"/>
      <c r="K2398" s="5"/>
      <c r="L2398" s="3"/>
      <c r="M2398" s="6"/>
      <c r="N2398" s="9"/>
      <c r="O2398" s="158"/>
      <c r="P2398" s="12"/>
      <c r="Q2398" s="12"/>
      <c r="R2398" s="12"/>
      <c r="S2398" s="12"/>
      <c r="T2398" s="12"/>
      <c r="U2398" s="12"/>
      <c r="V2398" s="12"/>
      <c r="W2398" s="12"/>
      <c r="X2398" s="12"/>
      <c r="Y2398" s="12"/>
      <c r="Z2398" s="12"/>
    </row>
    <row r="2399" spans="1:26" ht="14.25" customHeight="1" x14ac:dyDescent="0.3">
      <c r="A2399" s="155"/>
      <c r="B2399" s="156"/>
      <c r="C2399" s="3"/>
      <c r="D2399" s="3"/>
      <c r="E2399" s="156"/>
      <c r="F2399" s="3"/>
      <c r="G2399" s="158"/>
      <c r="H2399" s="155"/>
      <c r="I2399" s="155"/>
      <c r="J2399" s="156"/>
      <c r="K2399" s="5"/>
      <c r="L2399" s="3"/>
      <c r="M2399" s="6"/>
      <c r="N2399" s="9"/>
      <c r="O2399" s="158"/>
      <c r="P2399" s="12"/>
      <c r="Q2399" s="12"/>
      <c r="R2399" s="12"/>
      <c r="S2399" s="12"/>
      <c r="T2399" s="12"/>
      <c r="U2399" s="12"/>
      <c r="V2399" s="12"/>
      <c r="W2399" s="12"/>
      <c r="X2399" s="12"/>
      <c r="Y2399" s="12"/>
      <c r="Z2399" s="12"/>
    </row>
    <row r="2400" spans="1:26" ht="14.25" customHeight="1" x14ac:dyDescent="0.3">
      <c r="A2400" s="155"/>
      <c r="B2400" s="156"/>
      <c r="C2400" s="3"/>
      <c r="D2400" s="3"/>
      <c r="E2400" s="156"/>
      <c r="F2400" s="3"/>
      <c r="G2400" s="158"/>
      <c r="H2400" s="155"/>
      <c r="I2400" s="155"/>
      <c r="J2400" s="156"/>
      <c r="K2400" s="5"/>
      <c r="L2400" s="3"/>
      <c r="M2400" s="6"/>
      <c r="N2400" s="9"/>
      <c r="O2400" s="158"/>
      <c r="P2400" s="12"/>
      <c r="Q2400" s="12"/>
      <c r="R2400" s="12"/>
      <c r="S2400" s="12"/>
      <c r="T2400" s="12"/>
      <c r="U2400" s="12"/>
      <c r="V2400" s="12"/>
      <c r="W2400" s="12"/>
      <c r="X2400" s="12"/>
      <c r="Y2400" s="12"/>
      <c r="Z2400" s="12"/>
    </row>
    <row r="2401" spans="1:26" ht="14.25" customHeight="1" x14ac:dyDescent="0.3">
      <c r="A2401" s="155"/>
      <c r="B2401" s="156"/>
      <c r="C2401" s="3"/>
      <c r="D2401" s="3"/>
      <c r="E2401" s="156"/>
      <c r="F2401" s="3"/>
      <c r="G2401" s="158"/>
      <c r="H2401" s="155"/>
      <c r="I2401" s="155"/>
      <c r="J2401" s="156"/>
      <c r="K2401" s="5"/>
      <c r="L2401" s="3"/>
      <c r="M2401" s="6"/>
      <c r="N2401" s="9"/>
      <c r="O2401" s="158"/>
      <c r="P2401" s="12"/>
      <c r="Q2401" s="12"/>
      <c r="R2401" s="12"/>
      <c r="S2401" s="12"/>
      <c r="T2401" s="12"/>
      <c r="U2401" s="12"/>
      <c r="V2401" s="12"/>
      <c r="W2401" s="12"/>
      <c r="X2401" s="12"/>
      <c r="Y2401" s="12"/>
      <c r="Z2401" s="12"/>
    </row>
    <row r="2402" spans="1:26" ht="14.25" customHeight="1" x14ac:dyDescent="0.3">
      <c r="A2402" s="155"/>
      <c r="B2402" s="156"/>
      <c r="C2402" s="3"/>
      <c r="D2402" s="3"/>
      <c r="E2402" s="156"/>
      <c r="F2402" s="3"/>
      <c r="G2402" s="158"/>
      <c r="H2402" s="155"/>
      <c r="I2402" s="155"/>
      <c r="J2402" s="156"/>
      <c r="K2402" s="5"/>
      <c r="L2402" s="3"/>
      <c r="M2402" s="6"/>
      <c r="N2402" s="9"/>
      <c r="O2402" s="158"/>
      <c r="P2402" s="12"/>
      <c r="Q2402" s="12"/>
      <c r="R2402" s="12"/>
      <c r="S2402" s="12"/>
      <c r="T2402" s="12"/>
      <c r="U2402" s="12"/>
      <c r="V2402" s="12"/>
      <c r="W2402" s="12"/>
      <c r="X2402" s="12"/>
      <c r="Y2402" s="12"/>
      <c r="Z2402" s="12"/>
    </row>
    <row r="2403" spans="1:26" ht="14.25" customHeight="1" x14ac:dyDescent="0.3">
      <c r="A2403" s="155"/>
      <c r="B2403" s="156"/>
      <c r="C2403" s="3"/>
      <c r="D2403" s="3"/>
      <c r="E2403" s="156"/>
      <c r="F2403" s="3"/>
      <c r="G2403" s="158"/>
      <c r="H2403" s="155"/>
      <c r="I2403" s="155"/>
      <c r="J2403" s="156"/>
      <c r="K2403" s="5"/>
      <c r="L2403" s="3"/>
      <c r="M2403" s="6"/>
      <c r="N2403" s="9"/>
      <c r="O2403" s="158"/>
      <c r="P2403" s="12"/>
      <c r="Q2403" s="12"/>
      <c r="R2403" s="12"/>
      <c r="S2403" s="12"/>
      <c r="T2403" s="12"/>
      <c r="U2403" s="12"/>
      <c r="V2403" s="12"/>
      <c r="W2403" s="12"/>
      <c r="X2403" s="12"/>
      <c r="Y2403" s="12"/>
      <c r="Z2403" s="12"/>
    </row>
    <row r="2404" spans="1:26" ht="14.25" customHeight="1" x14ac:dyDescent="0.3">
      <c r="A2404" s="155"/>
      <c r="B2404" s="156"/>
      <c r="C2404" s="3"/>
      <c r="D2404" s="3"/>
      <c r="E2404" s="156"/>
      <c r="F2404" s="3"/>
      <c r="G2404" s="158"/>
      <c r="H2404" s="155"/>
      <c r="I2404" s="155"/>
      <c r="J2404" s="156"/>
      <c r="K2404" s="5"/>
      <c r="L2404" s="3"/>
      <c r="M2404" s="6"/>
      <c r="N2404" s="9"/>
      <c r="O2404" s="158"/>
      <c r="P2404" s="12"/>
      <c r="Q2404" s="12"/>
      <c r="R2404" s="12"/>
      <c r="S2404" s="12"/>
      <c r="T2404" s="12"/>
      <c r="U2404" s="12"/>
      <c r="V2404" s="12"/>
      <c r="W2404" s="12"/>
      <c r="X2404" s="12"/>
      <c r="Y2404" s="12"/>
      <c r="Z2404" s="12"/>
    </row>
    <row r="2405" spans="1:26" ht="14.25" customHeight="1" x14ac:dyDescent="0.3">
      <c r="A2405" s="155"/>
      <c r="B2405" s="156"/>
      <c r="C2405" s="3"/>
      <c r="D2405" s="3"/>
      <c r="E2405" s="156"/>
      <c r="F2405" s="3"/>
      <c r="G2405" s="158"/>
      <c r="H2405" s="155"/>
      <c r="I2405" s="155"/>
      <c r="J2405" s="156"/>
      <c r="K2405" s="5"/>
      <c r="L2405" s="3"/>
      <c r="M2405" s="6"/>
      <c r="N2405" s="9"/>
      <c r="O2405" s="158"/>
      <c r="P2405" s="12"/>
      <c r="Q2405" s="12"/>
      <c r="R2405" s="12"/>
      <c r="S2405" s="12"/>
      <c r="T2405" s="12"/>
      <c r="U2405" s="12"/>
      <c r="V2405" s="12"/>
      <c r="W2405" s="12"/>
      <c r="X2405" s="12"/>
      <c r="Y2405" s="12"/>
      <c r="Z2405" s="12"/>
    </row>
    <row r="2406" spans="1:26" ht="14.25" customHeight="1" x14ac:dyDescent="0.3">
      <c r="A2406" s="155"/>
      <c r="B2406" s="156"/>
      <c r="C2406" s="3"/>
      <c r="D2406" s="3"/>
      <c r="E2406" s="156"/>
      <c r="F2406" s="3"/>
      <c r="G2406" s="158"/>
      <c r="H2406" s="155"/>
      <c r="I2406" s="155"/>
      <c r="J2406" s="156"/>
      <c r="K2406" s="5"/>
      <c r="L2406" s="3"/>
      <c r="M2406" s="6"/>
      <c r="N2406" s="9"/>
      <c r="O2406" s="158"/>
      <c r="P2406" s="12"/>
      <c r="Q2406" s="12"/>
      <c r="R2406" s="12"/>
      <c r="S2406" s="12"/>
      <c r="T2406" s="12"/>
      <c r="U2406" s="12"/>
      <c r="V2406" s="12"/>
      <c r="W2406" s="12"/>
      <c r="X2406" s="12"/>
      <c r="Y2406" s="12"/>
      <c r="Z2406" s="12"/>
    </row>
    <row r="2407" spans="1:26" ht="14.25" customHeight="1" x14ac:dyDescent="0.3">
      <c r="A2407" s="155"/>
      <c r="B2407" s="156"/>
      <c r="C2407" s="3"/>
      <c r="D2407" s="3"/>
      <c r="E2407" s="156"/>
      <c r="F2407" s="3"/>
      <c r="G2407" s="158"/>
      <c r="H2407" s="155"/>
      <c r="I2407" s="155"/>
      <c r="J2407" s="156"/>
      <c r="K2407" s="5"/>
      <c r="L2407" s="3"/>
      <c r="M2407" s="6"/>
      <c r="N2407" s="9"/>
      <c r="O2407" s="158"/>
      <c r="P2407" s="12"/>
      <c r="Q2407" s="12"/>
      <c r="R2407" s="12"/>
      <c r="S2407" s="12"/>
      <c r="T2407" s="12"/>
      <c r="U2407" s="12"/>
      <c r="V2407" s="12"/>
      <c r="W2407" s="12"/>
      <c r="X2407" s="12"/>
      <c r="Y2407" s="12"/>
      <c r="Z2407" s="12"/>
    </row>
    <row r="2408" spans="1:26" ht="14.25" customHeight="1" x14ac:dyDescent="0.3">
      <c r="A2408" s="155"/>
      <c r="B2408" s="156"/>
      <c r="C2408" s="3"/>
      <c r="D2408" s="3"/>
      <c r="E2408" s="156"/>
      <c r="F2408" s="3"/>
      <c r="G2408" s="158"/>
      <c r="H2408" s="155"/>
      <c r="I2408" s="155"/>
      <c r="J2408" s="156"/>
      <c r="K2408" s="5"/>
      <c r="L2408" s="3"/>
      <c r="M2408" s="6"/>
      <c r="N2408" s="9"/>
      <c r="O2408" s="158"/>
      <c r="P2408" s="12"/>
      <c r="Q2408" s="12"/>
      <c r="R2408" s="12"/>
      <c r="S2408" s="12"/>
      <c r="T2408" s="12"/>
      <c r="U2408" s="12"/>
      <c r="V2408" s="12"/>
      <c r="W2408" s="12"/>
      <c r="X2408" s="12"/>
      <c r="Y2408" s="12"/>
      <c r="Z2408" s="12"/>
    </row>
    <row r="2409" spans="1:26" ht="14.25" customHeight="1" x14ac:dyDescent="0.3">
      <c r="A2409" s="155"/>
      <c r="B2409" s="156"/>
      <c r="C2409" s="3"/>
      <c r="D2409" s="3"/>
      <c r="E2409" s="156"/>
      <c r="F2409" s="3"/>
      <c r="G2409" s="158"/>
      <c r="H2409" s="155"/>
      <c r="I2409" s="155"/>
      <c r="J2409" s="156"/>
      <c r="K2409" s="5"/>
      <c r="L2409" s="3"/>
      <c r="M2409" s="6"/>
      <c r="N2409" s="9"/>
      <c r="O2409" s="158"/>
      <c r="P2409" s="12"/>
      <c r="Q2409" s="12"/>
      <c r="R2409" s="12"/>
      <c r="S2409" s="12"/>
      <c r="T2409" s="12"/>
      <c r="U2409" s="12"/>
      <c r="V2409" s="12"/>
      <c r="W2409" s="12"/>
      <c r="X2409" s="12"/>
      <c r="Y2409" s="12"/>
      <c r="Z2409" s="12"/>
    </row>
    <row r="2410" spans="1:26" ht="14.25" customHeight="1" x14ac:dyDescent="0.3">
      <c r="A2410" s="155"/>
      <c r="B2410" s="156"/>
      <c r="C2410" s="3"/>
      <c r="D2410" s="3"/>
      <c r="E2410" s="156"/>
      <c r="F2410" s="3"/>
      <c r="G2410" s="158"/>
      <c r="H2410" s="155"/>
      <c r="I2410" s="155"/>
      <c r="J2410" s="156"/>
      <c r="K2410" s="5"/>
      <c r="L2410" s="3"/>
      <c r="M2410" s="6"/>
      <c r="N2410" s="9"/>
      <c r="O2410" s="158"/>
      <c r="P2410" s="12"/>
      <c r="Q2410" s="12"/>
      <c r="R2410" s="12"/>
      <c r="S2410" s="12"/>
      <c r="T2410" s="12"/>
      <c r="U2410" s="12"/>
      <c r="V2410" s="12"/>
      <c r="W2410" s="12"/>
      <c r="X2410" s="12"/>
      <c r="Y2410" s="12"/>
      <c r="Z2410" s="12"/>
    </row>
    <row r="2411" spans="1:26" ht="14.25" customHeight="1" x14ac:dyDescent="0.3">
      <c r="A2411" s="155"/>
      <c r="B2411" s="156"/>
      <c r="C2411" s="3"/>
      <c r="D2411" s="3"/>
      <c r="E2411" s="156"/>
      <c r="F2411" s="3"/>
      <c r="G2411" s="158"/>
      <c r="H2411" s="155"/>
      <c r="I2411" s="155"/>
      <c r="J2411" s="156"/>
      <c r="K2411" s="5"/>
      <c r="L2411" s="3"/>
      <c r="M2411" s="6"/>
      <c r="N2411" s="9"/>
      <c r="O2411" s="158"/>
      <c r="P2411" s="12"/>
      <c r="Q2411" s="12"/>
      <c r="R2411" s="12"/>
      <c r="S2411" s="12"/>
      <c r="T2411" s="12"/>
      <c r="U2411" s="12"/>
      <c r="V2411" s="12"/>
      <c r="W2411" s="12"/>
      <c r="X2411" s="12"/>
      <c r="Y2411" s="12"/>
      <c r="Z2411" s="12"/>
    </row>
    <row r="2412" spans="1:26" ht="14.25" customHeight="1" x14ac:dyDescent="0.3">
      <c r="A2412" s="155"/>
      <c r="B2412" s="156"/>
      <c r="C2412" s="3"/>
      <c r="D2412" s="3"/>
      <c r="E2412" s="156"/>
      <c r="F2412" s="3"/>
      <c r="G2412" s="158"/>
      <c r="H2412" s="155"/>
      <c r="I2412" s="155"/>
      <c r="J2412" s="156"/>
      <c r="K2412" s="5"/>
      <c r="L2412" s="3"/>
      <c r="M2412" s="6"/>
      <c r="N2412" s="9"/>
      <c r="O2412" s="158"/>
      <c r="P2412" s="12"/>
      <c r="Q2412" s="12"/>
      <c r="R2412" s="12"/>
      <c r="S2412" s="12"/>
      <c r="T2412" s="12"/>
      <c r="U2412" s="12"/>
      <c r="V2412" s="12"/>
      <c r="W2412" s="12"/>
      <c r="X2412" s="12"/>
      <c r="Y2412" s="12"/>
      <c r="Z2412" s="12"/>
    </row>
    <row r="2413" spans="1:26" ht="14.25" customHeight="1" x14ac:dyDescent="0.3">
      <c r="A2413" s="155"/>
      <c r="B2413" s="156"/>
      <c r="C2413" s="3"/>
      <c r="D2413" s="3"/>
      <c r="E2413" s="156"/>
      <c r="F2413" s="3"/>
      <c r="G2413" s="158"/>
      <c r="H2413" s="155"/>
      <c r="I2413" s="155"/>
      <c r="J2413" s="156"/>
      <c r="K2413" s="5"/>
      <c r="L2413" s="3"/>
      <c r="M2413" s="6"/>
      <c r="N2413" s="9"/>
      <c r="O2413" s="158"/>
      <c r="P2413" s="12"/>
      <c r="Q2413" s="12"/>
      <c r="R2413" s="12"/>
      <c r="S2413" s="12"/>
      <c r="T2413" s="12"/>
      <c r="U2413" s="12"/>
      <c r="V2413" s="12"/>
      <c r="W2413" s="12"/>
      <c r="X2413" s="12"/>
      <c r="Y2413" s="12"/>
      <c r="Z2413" s="12"/>
    </row>
    <row r="2414" spans="1:26" ht="14.25" customHeight="1" x14ac:dyDescent="0.3">
      <c r="A2414" s="155"/>
      <c r="B2414" s="156"/>
      <c r="C2414" s="3"/>
      <c r="D2414" s="3"/>
      <c r="E2414" s="156"/>
      <c r="F2414" s="3"/>
      <c r="G2414" s="158"/>
      <c r="H2414" s="155"/>
      <c r="I2414" s="155"/>
      <c r="J2414" s="156"/>
      <c r="K2414" s="5"/>
      <c r="L2414" s="3"/>
      <c r="M2414" s="6"/>
      <c r="N2414" s="9"/>
      <c r="O2414" s="158"/>
      <c r="P2414" s="12"/>
      <c r="Q2414" s="12"/>
      <c r="R2414" s="12"/>
      <c r="S2414" s="12"/>
      <c r="T2414" s="12"/>
      <c r="U2414" s="12"/>
      <c r="V2414" s="12"/>
      <c r="W2414" s="12"/>
      <c r="X2414" s="12"/>
      <c r="Y2414" s="12"/>
      <c r="Z2414" s="12"/>
    </row>
    <row r="2415" spans="1:26" ht="14.25" customHeight="1" x14ac:dyDescent="0.3">
      <c r="A2415" s="155"/>
      <c r="B2415" s="156"/>
      <c r="C2415" s="3"/>
      <c r="D2415" s="3"/>
      <c r="E2415" s="156"/>
      <c r="F2415" s="3"/>
      <c r="G2415" s="158"/>
      <c r="H2415" s="155"/>
      <c r="I2415" s="155"/>
      <c r="J2415" s="156"/>
      <c r="K2415" s="5"/>
      <c r="L2415" s="3"/>
      <c r="M2415" s="6"/>
      <c r="N2415" s="9"/>
      <c r="O2415" s="158"/>
      <c r="P2415" s="12"/>
      <c r="Q2415" s="12"/>
      <c r="R2415" s="12"/>
      <c r="S2415" s="12"/>
      <c r="T2415" s="12"/>
      <c r="U2415" s="12"/>
      <c r="V2415" s="12"/>
      <c r="W2415" s="12"/>
      <c r="X2415" s="12"/>
      <c r="Y2415" s="12"/>
      <c r="Z2415" s="12"/>
    </row>
    <row r="2416" spans="1:26" ht="14.25" customHeight="1" x14ac:dyDescent="0.3">
      <c r="A2416" s="155"/>
      <c r="B2416" s="156"/>
      <c r="C2416" s="3"/>
      <c r="D2416" s="3"/>
      <c r="E2416" s="156"/>
      <c r="F2416" s="3"/>
      <c r="G2416" s="158"/>
      <c r="H2416" s="155"/>
      <c r="I2416" s="155"/>
      <c r="J2416" s="156"/>
      <c r="K2416" s="5"/>
      <c r="L2416" s="3"/>
      <c r="M2416" s="6"/>
      <c r="N2416" s="9"/>
      <c r="O2416" s="158"/>
      <c r="P2416" s="12"/>
      <c r="Q2416" s="12"/>
      <c r="R2416" s="12"/>
      <c r="S2416" s="12"/>
      <c r="T2416" s="12"/>
      <c r="U2416" s="12"/>
      <c r="V2416" s="12"/>
      <c r="W2416" s="12"/>
      <c r="X2416" s="12"/>
      <c r="Y2416" s="12"/>
      <c r="Z2416" s="12"/>
    </row>
    <row r="2417" spans="1:26" ht="14.25" customHeight="1" x14ac:dyDescent="0.3">
      <c r="A2417" s="155"/>
      <c r="B2417" s="156"/>
      <c r="C2417" s="3"/>
      <c r="D2417" s="3"/>
      <c r="E2417" s="156"/>
      <c r="F2417" s="3"/>
      <c r="G2417" s="158"/>
      <c r="H2417" s="155"/>
      <c r="I2417" s="155"/>
      <c r="J2417" s="156"/>
      <c r="K2417" s="5"/>
      <c r="L2417" s="3"/>
      <c r="M2417" s="6"/>
      <c r="N2417" s="9"/>
      <c r="O2417" s="158"/>
      <c r="P2417" s="12"/>
      <c r="Q2417" s="12"/>
      <c r="R2417" s="12"/>
      <c r="S2417" s="12"/>
      <c r="T2417" s="12"/>
      <c r="U2417" s="12"/>
      <c r="V2417" s="12"/>
      <c r="W2417" s="12"/>
      <c r="X2417" s="12"/>
      <c r="Y2417" s="12"/>
      <c r="Z2417" s="12"/>
    </row>
    <row r="2418" spans="1:26" ht="14.25" customHeight="1" x14ac:dyDescent="0.3">
      <c r="A2418" s="155"/>
      <c r="B2418" s="156"/>
      <c r="C2418" s="3"/>
      <c r="D2418" s="3"/>
      <c r="E2418" s="156"/>
      <c r="F2418" s="3"/>
      <c r="G2418" s="158"/>
      <c r="H2418" s="155"/>
      <c r="I2418" s="155"/>
      <c r="J2418" s="156"/>
      <c r="K2418" s="5"/>
      <c r="L2418" s="3"/>
      <c r="M2418" s="6"/>
      <c r="N2418" s="9"/>
      <c r="O2418" s="158"/>
      <c r="P2418" s="12"/>
      <c r="Q2418" s="12"/>
      <c r="R2418" s="12"/>
      <c r="S2418" s="12"/>
      <c r="T2418" s="12"/>
      <c r="U2418" s="12"/>
      <c r="V2418" s="12"/>
      <c r="W2418" s="12"/>
      <c r="X2418" s="12"/>
      <c r="Y2418" s="12"/>
      <c r="Z2418" s="12"/>
    </row>
    <row r="2419" spans="1:26" ht="14.25" customHeight="1" x14ac:dyDescent="0.3">
      <c r="A2419" s="155"/>
      <c r="B2419" s="156"/>
      <c r="C2419" s="3"/>
      <c r="D2419" s="3"/>
      <c r="E2419" s="156"/>
      <c r="F2419" s="3"/>
      <c r="G2419" s="158"/>
      <c r="H2419" s="155"/>
      <c r="I2419" s="155"/>
      <c r="J2419" s="156"/>
      <c r="K2419" s="5"/>
      <c r="L2419" s="3"/>
      <c r="M2419" s="6"/>
      <c r="N2419" s="9"/>
      <c r="O2419" s="158"/>
      <c r="P2419" s="12"/>
      <c r="Q2419" s="12"/>
      <c r="R2419" s="12"/>
      <c r="S2419" s="12"/>
      <c r="T2419" s="12"/>
      <c r="U2419" s="12"/>
      <c r="V2419" s="12"/>
      <c r="W2419" s="12"/>
      <c r="X2419" s="12"/>
      <c r="Y2419" s="12"/>
      <c r="Z2419" s="12"/>
    </row>
    <row r="2420" spans="1:26" ht="14.25" customHeight="1" x14ac:dyDescent="0.3">
      <c r="A2420" s="155"/>
      <c r="B2420" s="156"/>
      <c r="C2420" s="3"/>
      <c r="D2420" s="3"/>
      <c r="E2420" s="156"/>
      <c r="F2420" s="3"/>
      <c r="G2420" s="158"/>
      <c r="H2420" s="155"/>
      <c r="I2420" s="155"/>
      <c r="J2420" s="156"/>
      <c r="K2420" s="5"/>
      <c r="L2420" s="3"/>
      <c r="M2420" s="6"/>
      <c r="N2420" s="9"/>
      <c r="O2420" s="158"/>
      <c r="P2420" s="12"/>
      <c r="Q2420" s="12"/>
      <c r="R2420" s="12"/>
      <c r="S2420" s="12"/>
      <c r="T2420" s="12"/>
      <c r="U2420" s="12"/>
      <c r="V2420" s="12"/>
      <c r="W2420" s="12"/>
      <c r="X2420" s="12"/>
      <c r="Y2420" s="12"/>
      <c r="Z2420" s="12"/>
    </row>
    <row r="2421" spans="1:26" ht="14.25" customHeight="1" x14ac:dyDescent="0.3">
      <c r="A2421" s="155"/>
      <c r="B2421" s="156"/>
      <c r="C2421" s="3"/>
      <c r="D2421" s="3"/>
      <c r="E2421" s="156"/>
      <c r="F2421" s="3"/>
      <c r="G2421" s="158"/>
      <c r="H2421" s="155"/>
      <c r="I2421" s="155"/>
      <c r="J2421" s="156"/>
      <c r="K2421" s="5"/>
      <c r="L2421" s="3"/>
      <c r="M2421" s="6"/>
      <c r="N2421" s="9"/>
      <c r="O2421" s="158"/>
      <c r="P2421" s="12"/>
      <c r="Q2421" s="12"/>
      <c r="R2421" s="12"/>
      <c r="S2421" s="12"/>
      <c r="T2421" s="12"/>
      <c r="U2421" s="12"/>
      <c r="V2421" s="12"/>
      <c r="W2421" s="12"/>
      <c r="X2421" s="12"/>
      <c r="Y2421" s="12"/>
      <c r="Z2421" s="12"/>
    </row>
    <row r="2422" spans="1:26" ht="14.25" customHeight="1" x14ac:dyDescent="0.3">
      <c r="A2422" s="155"/>
      <c r="B2422" s="156"/>
      <c r="C2422" s="3"/>
      <c r="D2422" s="3"/>
      <c r="E2422" s="156"/>
      <c r="F2422" s="3"/>
      <c r="G2422" s="158"/>
      <c r="H2422" s="155"/>
      <c r="I2422" s="155"/>
      <c r="J2422" s="156"/>
      <c r="K2422" s="5"/>
      <c r="L2422" s="3"/>
      <c r="M2422" s="6"/>
      <c r="N2422" s="9"/>
      <c r="O2422" s="158"/>
      <c r="P2422" s="12"/>
      <c r="Q2422" s="12"/>
      <c r="R2422" s="12"/>
      <c r="S2422" s="12"/>
      <c r="T2422" s="12"/>
      <c r="U2422" s="12"/>
      <c r="V2422" s="12"/>
      <c r="W2422" s="12"/>
      <c r="X2422" s="12"/>
      <c r="Y2422" s="12"/>
      <c r="Z2422" s="12"/>
    </row>
    <row r="2423" spans="1:26" ht="14.25" customHeight="1" x14ac:dyDescent="0.3">
      <c r="A2423" s="155"/>
      <c r="B2423" s="156"/>
      <c r="C2423" s="3"/>
      <c r="D2423" s="3"/>
      <c r="E2423" s="156"/>
      <c r="F2423" s="3"/>
      <c r="G2423" s="158"/>
      <c r="H2423" s="155"/>
      <c r="I2423" s="155"/>
      <c r="J2423" s="156"/>
      <c r="K2423" s="5"/>
      <c r="L2423" s="3"/>
      <c r="M2423" s="6"/>
      <c r="N2423" s="9"/>
      <c r="O2423" s="158"/>
      <c r="P2423" s="12"/>
      <c r="Q2423" s="12"/>
      <c r="R2423" s="12"/>
      <c r="S2423" s="12"/>
      <c r="T2423" s="12"/>
      <c r="U2423" s="12"/>
      <c r="V2423" s="12"/>
      <c r="W2423" s="12"/>
      <c r="X2423" s="12"/>
      <c r="Y2423" s="12"/>
      <c r="Z2423" s="12"/>
    </row>
    <row r="2424" spans="1:26" ht="14.25" customHeight="1" x14ac:dyDescent="0.3">
      <c r="A2424" s="155"/>
      <c r="B2424" s="156"/>
      <c r="C2424" s="3"/>
      <c r="D2424" s="3"/>
      <c r="E2424" s="156"/>
      <c r="F2424" s="3"/>
      <c r="G2424" s="158"/>
      <c r="H2424" s="155"/>
      <c r="I2424" s="155"/>
      <c r="J2424" s="156"/>
      <c r="K2424" s="5"/>
      <c r="L2424" s="3"/>
      <c r="M2424" s="6"/>
      <c r="N2424" s="9"/>
      <c r="O2424" s="158"/>
      <c r="P2424" s="12"/>
      <c r="Q2424" s="12"/>
      <c r="R2424" s="12"/>
      <c r="S2424" s="12"/>
      <c r="T2424" s="12"/>
      <c r="U2424" s="12"/>
      <c r="V2424" s="12"/>
      <c r="W2424" s="12"/>
      <c r="X2424" s="12"/>
      <c r="Y2424" s="12"/>
      <c r="Z2424" s="12"/>
    </row>
    <row r="2425" spans="1:26" ht="14.25" customHeight="1" x14ac:dyDescent="0.3">
      <c r="A2425" s="155"/>
      <c r="B2425" s="156"/>
      <c r="C2425" s="3"/>
      <c r="D2425" s="3"/>
      <c r="E2425" s="156"/>
      <c r="F2425" s="3"/>
      <c r="G2425" s="158"/>
      <c r="H2425" s="155"/>
      <c r="I2425" s="155"/>
      <c r="J2425" s="156"/>
      <c r="K2425" s="5"/>
      <c r="L2425" s="3"/>
      <c r="M2425" s="6"/>
      <c r="N2425" s="9"/>
      <c r="O2425" s="158"/>
      <c r="P2425" s="12"/>
      <c r="Q2425" s="12"/>
      <c r="R2425" s="12"/>
      <c r="S2425" s="12"/>
      <c r="T2425" s="12"/>
      <c r="U2425" s="12"/>
      <c r="V2425" s="12"/>
      <c r="W2425" s="12"/>
      <c r="X2425" s="12"/>
      <c r="Y2425" s="12"/>
      <c r="Z2425" s="12"/>
    </row>
    <row r="2426" spans="1:26" ht="14.25" customHeight="1" x14ac:dyDescent="0.3">
      <c r="A2426" s="155"/>
      <c r="B2426" s="156"/>
      <c r="C2426" s="3"/>
      <c r="D2426" s="3"/>
      <c r="E2426" s="156"/>
      <c r="F2426" s="3"/>
      <c r="G2426" s="158"/>
      <c r="H2426" s="155"/>
      <c r="I2426" s="155"/>
      <c r="J2426" s="156"/>
      <c r="K2426" s="5"/>
      <c r="L2426" s="3"/>
      <c r="M2426" s="6"/>
      <c r="N2426" s="9"/>
      <c r="O2426" s="158"/>
      <c r="P2426" s="12"/>
      <c r="Q2426" s="12"/>
      <c r="R2426" s="12"/>
      <c r="S2426" s="12"/>
      <c r="T2426" s="12"/>
      <c r="U2426" s="12"/>
      <c r="V2426" s="12"/>
      <c r="W2426" s="12"/>
      <c r="X2426" s="12"/>
      <c r="Y2426" s="12"/>
      <c r="Z2426" s="12"/>
    </row>
    <row r="2427" spans="1:26" ht="14.25" customHeight="1" x14ac:dyDescent="0.3">
      <c r="A2427" s="155"/>
      <c r="B2427" s="156"/>
      <c r="C2427" s="3"/>
      <c r="D2427" s="3"/>
      <c r="E2427" s="156"/>
      <c r="F2427" s="3"/>
      <c r="G2427" s="158"/>
      <c r="H2427" s="155"/>
      <c r="I2427" s="155"/>
      <c r="J2427" s="156"/>
      <c r="K2427" s="5"/>
      <c r="L2427" s="3"/>
      <c r="M2427" s="6"/>
      <c r="N2427" s="9"/>
      <c r="O2427" s="158"/>
      <c r="P2427" s="12"/>
      <c r="Q2427" s="12"/>
      <c r="R2427" s="12"/>
      <c r="S2427" s="12"/>
      <c r="T2427" s="12"/>
      <c r="U2427" s="12"/>
      <c r="V2427" s="12"/>
      <c r="W2427" s="12"/>
      <c r="X2427" s="12"/>
      <c r="Y2427" s="12"/>
      <c r="Z2427" s="12"/>
    </row>
    <row r="2428" spans="1:26" ht="14.25" customHeight="1" x14ac:dyDescent="0.3">
      <c r="A2428" s="155"/>
      <c r="B2428" s="156"/>
      <c r="C2428" s="3"/>
      <c r="D2428" s="3"/>
      <c r="E2428" s="156"/>
      <c r="F2428" s="3"/>
      <c r="G2428" s="158"/>
      <c r="H2428" s="155"/>
      <c r="I2428" s="155"/>
      <c r="J2428" s="156"/>
      <c r="K2428" s="5"/>
      <c r="L2428" s="3"/>
      <c r="M2428" s="6"/>
      <c r="N2428" s="9"/>
      <c r="O2428" s="158"/>
      <c r="P2428" s="12"/>
      <c r="Q2428" s="12"/>
      <c r="R2428" s="12"/>
      <c r="S2428" s="12"/>
      <c r="T2428" s="12"/>
      <c r="U2428" s="12"/>
      <c r="V2428" s="12"/>
      <c r="W2428" s="12"/>
      <c r="X2428" s="12"/>
      <c r="Y2428" s="12"/>
      <c r="Z2428" s="12"/>
    </row>
    <row r="2429" spans="1:26" ht="14.25" customHeight="1" x14ac:dyDescent="0.3">
      <c r="A2429" s="155"/>
      <c r="B2429" s="156"/>
      <c r="C2429" s="3"/>
      <c r="D2429" s="3"/>
      <c r="E2429" s="156"/>
      <c r="F2429" s="3"/>
      <c r="G2429" s="158"/>
      <c r="H2429" s="155"/>
      <c r="I2429" s="155"/>
      <c r="J2429" s="156"/>
      <c r="K2429" s="5"/>
      <c r="L2429" s="3"/>
      <c r="M2429" s="6"/>
      <c r="N2429" s="9"/>
      <c r="O2429" s="158"/>
      <c r="P2429" s="12"/>
      <c r="Q2429" s="12"/>
      <c r="R2429" s="12"/>
      <c r="S2429" s="12"/>
      <c r="T2429" s="12"/>
      <c r="U2429" s="12"/>
      <c r="V2429" s="12"/>
      <c r="W2429" s="12"/>
      <c r="X2429" s="12"/>
      <c r="Y2429" s="12"/>
      <c r="Z2429" s="12"/>
    </row>
    <row r="2430" spans="1:26" ht="14.25" customHeight="1" x14ac:dyDescent="0.3">
      <c r="A2430" s="155"/>
      <c r="B2430" s="156"/>
      <c r="C2430" s="3"/>
      <c r="D2430" s="3"/>
      <c r="E2430" s="156"/>
      <c r="F2430" s="3"/>
      <c r="G2430" s="158"/>
      <c r="H2430" s="155"/>
      <c r="I2430" s="155"/>
      <c r="J2430" s="156"/>
      <c r="K2430" s="5"/>
      <c r="L2430" s="3"/>
      <c r="M2430" s="6"/>
      <c r="N2430" s="9"/>
      <c r="O2430" s="158"/>
      <c r="P2430" s="12"/>
      <c r="Q2430" s="12"/>
      <c r="R2430" s="12"/>
      <c r="S2430" s="12"/>
      <c r="T2430" s="12"/>
      <c r="U2430" s="12"/>
      <c r="V2430" s="12"/>
      <c r="W2430" s="12"/>
      <c r="X2430" s="12"/>
      <c r="Y2430" s="12"/>
      <c r="Z2430" s="12"/>
    </row>
    <row r="2431" spans="1:26" ht="14.25" customHeight="1" x14ac:dyDescent="0.3">
      <c r="A2431" s="155"/>
      <c r="B2431" s="156"/>
      <c r="C2431" s="3"/>
      <c r="D2431" s="3"/>
      <c r="E2431" s="156"/>
      <c r="F2431" s="3"/>
      <c r="G2431" s="158"/>
      <c r="H2431" s="155"/>
      <c r="I2431" s="155"/>
      <c r="J2431" s="156"/>
      <c r="K2431" s="5"/>
      <c r="L2431" s="3"/>
      <c r="M2431" s="6"/>
      <c r="N2431" s="9"/>
      <c r="O2431" s="158"/>
      <c r="P2431" s="12"/>
      <c r="Q2431" s="12"/>
      <c r="R2431" s="12"/>
      <c r="S2431" s="12"/>
      <c r="T2431" s="12"/>
      <c r="U2431" s="12"/>
      <c r="V2431" s="12"/>
      <c r="W2431" s="12"/>
      <c r="X2431" s="12"/>
      <c r="Y2431" s="12"/>
      <c r="Z2431" s="12"/>
    </row>
    <row r="2432" spans="1:26" ht="14.25" customHeight="1" x14ac:dyDescent="0.3">
      <c r="A2432" s="155"/>
      <c r="B2432" s="156"/>
      <c r="C2432" s="3"/>
      <c r="D2432" s="3"/>
      <c r="E2432" s="156"/>
      <c r="F2432" s="3"/>
      <c r="G2432" s="158"/>
      <c r="H2432" s="155"/>
      <c r="I2432" s="155"/>
      <c r="J2432" s="156"/>
      <c r="K2432" s="5"/>
      <c r="L2432" s="3"/>
      <c r="M2432" s="6"/>
      <c r="N2432" s="9"/>
      <c r="O2432" s="158"/>
      <c r="P2432" s="12"/>
      <c r="Q2432" s="12"/>
      <c r="R2432" s="12"/>
      <c r="S2432" s="12"/>
      <c r="T2432" s="12"/>
      <c r="U2432" s="12"/>
      <c r="V2432" s="12"/>
      <c r="W2432" s="12"/>
      <c r="X2432" s="12"/>
      <c r="Y2432" s="12"/>
      <c r="Z2432" s="12"/>
    </row>
    <row r="2433" spans="1:26" ht="14.25" customHeight="1" x14ac:dyDescent="0.3">
      <c r="A2433" s="155"/>
      <c r="B2433" s="156"/>
      <c r="C2433" s="3"/>
      <c r="D2433" s="3"/>
      <c r="E2433" s="156"/>
      <c r="F2433" s="3"/>
      <c r="G2433" s="158"/>
      <c r="H2433" s="155"/>
      <c r="I2433" s="155"/>
      <c r="J2433" s="156"/>
      <c r="K2433" s="5"/>
      <c r="L2433" s="3"/>
      <c r="M2433" s="6"/>
      <c r="N2433" s="9"/>
      <c r="O2433" s="158"/>
      <c r="P2433" s="12"/>
      <c r="Q2433" s="12"/>
      <c r="R2433" s="12"/>
      <c r="S2433" s="12"/>
      <c r="T2433" s="12"/>
      <c r="U2433" s="12"/>
      <c r="V2433" s="12"/>
      <c r="W2433" s="12"/>
      <c r="X2433" s="12"/>
      <c r="Y2433" s="12"/>
      <c r="Z2433" s="12"/>
    </row>
    <row r="2434" spans="1:26" ht="14.25" customHeight="1" x14ac:dyDescent="0.3">
      <c r="A2434" s="155"/>
      <c r="B2434" s="156"/>
      <c r="C2434" s="3"/>
      <c r="D2434" s="3"/>
      <c r="E2434" s="156"/>
      <c r="F2434" s="3"/>
      <c r="G2434" s="158"/>
      <c r="H2434" s="155"/>
      <c r="I2434" s="155"/>
      <c r="J2434" s="156"/>
      <c r="K2434" s="5"/>
      <c r="L2434" s="3"/>
      <c r="M2434" s="6"/>
      <c r="N2434" s="9"/>
      <c r="O2434" s="158"/>
      <c r="P2434" s="12"/>
      <c r="Q2434" s="12"/>
      <c r="R2434" s="12"/>
      <c r="S2434" s="12"/>
      <c r="T2434" s="12"/>
      <c r="U2434" s="12"/>
      <c r="V2434" s="12"/>
      <c r="W2434" s="12"/>
      <c r="X2434" s="12"/>
      <c r="Y2434" s="12"/>
      <c r="Z2434" s="12"/>
    </row>
    <row r="2435" spans="1:26" ht="14.25" customHeight="1" x14ac:dyDescent="0.3">
      <c r="A2435" s="155"/>
      <c r="B2435" s="156"/>
      <c r="C2435" s="3"/>
      <c r="D2435" s="3"/>
      <c r="E2435" s="156"/>
      <c r="F2435" s="3"/>
      <c r="G2435" s="158"/>
      <c r="H2435" s="155"/>
      <c r="I2435" s="155"/>
      <c r="J2435" s="156"/>
      <c r="K2435" s="5"/>
      <c r="L2435" s="3"/>
      <c r="M2435" s="6"/>
      <c r="N2435" s="9"/>
      <c r="O2435" s="158"/>
      <c r="P2435" s="12"/>
      <c r="Q2435" s="12"/>
      <c r="R2435" s="12"/>
      <c r="S2435" s="12"/>
      <c r="T2435" s="12"/>
      <c r="U2435" s="12"/>
      <c r="V2435" s="12"/>
      <c r="W2435" s="12"/>
      <c r="X2435" s="12"/>
      <c r="Y2435" s="12"/>
      <c r="Z2435" s="12"/>
    </row>
    <row r="2436" spans="1:26" ht="14.25" customHeight="1" x14ac:dyDescent="0.3">
      <c r="A2436" s="155"/>
      <c r="B2436" s="156"/>
      <c r="C2436" s="3"/>
      <c r="D2436" s="3"/>
      <c r="E2436" s="156"/>
      <c r="F2436" s="3"/>
      <c r="G2436" s="158"/>
      <c r="H2436" s="155"/>
      <c r="I2436" s="155"/>
      <c r="J2436" s="156"/>
      <c r="K2436" s="5"/>
      <c r="L2436" s="3"/>
      <c r="M2436" s="6"/>
      <c r="N2436" s="9"/>
      <c r="O2436" s="158"/>
      <c r="P2436" s="12"/>
      <c r="Q2436" s="12"/>
      <c r="R2436" s="12"/>
      <c r="S2436" s="12"/>
      <c r="T2436" s="12"/>
      <c r="U2436" s="12"/>
      <c r="V2436" s="12"/>
      <c r="W2436" s="12"/>
      <c r="X2436" s="12"/>
      <c r="Y2436" s="12"/>
      <c r="Z2436" s="12"/>
    </row>
    <row r="2437" spans="1:26" ht="14.25" customHeight="1" x14ac:dyDescent="0.3">
      <c r="A2437" s="155"/>
      <c r="B2437" s="156"/>
      <c r="C2437" s="3"/>
      <c r="D2437" s="3"/>
      <c r="E2437" s="156"/>
      <c r="F2437" s="3"/>
      <c r="G2437" s="158"/>
      <c r="H2437" s="155"/>
      <c r="I2437" s="155"/>
      <c r="J2437" s="156"/>
      <c r="K2437" s="5"/>
      <c r="L2437" s="3"/>
      <c r="M2437" s="6"/>
      <c r="N2437" s="9"/>
      <c r="O2437" s="158"/>
      <c r="P2437" s="12"/>
      <c r="Q2437" s="12"/>
      <c r="R2437" s="12"/>
      <c r="S2437" s="12"/>
      <c r="T2437" s="12"/>
      <c r="U2437" s="12"/>
      <c r="V2437" s="12"/>
      <c r="W2437" s="12"/>
      <c r="X2437" s="12"/>
      <c r="Y2437" s="12"/>
      <c r="Z2437" s="12"/>
    </row>
    <row r="2438" spans="1:26" ht="14.25" customHeight="1" x14ac:dyDescent="0.3">
      <c r="A2438" s="155"/>
      <c r="B2438" s="156"/>
      <c r="C2438" s="3"/>
      <c r="D2438" s="3"/>
      <c r="E2438" s="156"/>
      <c r="F2438" s="3"/>
      <c r="G2438" s="158"/>
      <c r="H2438" s="155"/>
      <c r="I2438" s="155"/>
      <c r="J2438" s="156"/>
      <c r="K2438" s="5"/>
      <c r="L2438" s="3"/>
      <c r="M2438" s="6"/>
      <c r="N2438" s="9"/>
      <c r="O2438" s="158"/>
      <c r="P2438" s="12"/>
      <c r="Q2438" s="12"/>
      <c r="R2438" s="12"/>
      <c r="S2438" s="12"/>
      <c r="T2438" s="12"/>
      <c r="U2438" s="12"/>
      <c r="V2438" s="12"/>
      <c r="W2438" s="12"/>
      <c r="X2438" s="12"/>
      <c r="Y2438" s="12"/>
      <c r="Z2438" s="12"/>
    </row>
    <row r="2439" spans="1:26" ht="14.25" customHeight="1" x14ac:dyDescent="0.3">
      <c r="A2439" s="155"/>
      <c r="B2439" s="156"/>
      <c r="C2439" s="3"/>
      <c r="D2439" s="3"/>
      <c r="E2439" s="156"/>
      <c r="F2439" s="3"/>
      <c r="G2439" s="158"/>
      <c r="H2439" s="155"/>
      <c r="I2439" s="155"/>
      <c r="J2439" s="156"/>
      <c r="K2439" s="5"/>
      <c r="L2439" s="3"/>
      <c r="M2439" s="6"/>
      <c r="N2439" s="9"/>
      <c r="O2439" s="158"/>
      <c r="P2439" s="12"/>
      <c r="Q2439" s="12"/>
      <c r="R2439" s="12"/>
      <c r="S2439" s="12"/>
      <c r="T2439" s="12"/>
      <c r="U2439" s="12"/>
      <c r="V2439" s="12"/>
      <c r="W2439" s="12"/>
      <c r="X2439" s="12"/>
      <c r="Y2439" s="12"/>
      <c r="Z2439" s="12"/>
    </row>
    <row r="2440" spans="1:26" ht="14.25" customHeight="1" x14ac:dyDescent="0.3">
      <c r="A2440" s="155"/>
      <c r="B2440" s="156"/>
      <c r="C2440" s="3"/>
      <c r="D2440" s="3"/>
      <c r="E2440" s="156"/>
      <c r="F2440" s="3"/>
      <c r="G2440" s="158"/>
      <c r="H2440" s="155"/>
      <c r="I2440" s="155"/>
      <c r="J2440" s="156"/>
      <c r="K2440" s="5"/>
      <c r="L2440" s="3"/>
      <c r="M2440" s="6"/>
      <c r="N2440" s="9"/>
      <c r="O2440" s="158"/>
      <c r="P2440" s="12"/>
      <c r="Q2440" s="12"/>
      <c r="R2440" s="12"/>
      <c r="S2440" s="12"/>
      <c r="T2440" s="12"/>
      <c r="U2440" s="12"/>
      <c r="V2440" s="12"/>
      <c r="W2440" s="12"/>
      <c r="X2440" s="12"/>
      <c r="Y2440" s="12"/>
      <c r="Z2440" s="12"/>
    </row>
    <row r="2441" spans="1:26" ht="14.25" customHeight="1" x14ac:dyDescent="0.3">
      <c r="A2441" s="155"/>
      <c r="B2441" s="156"/>
      <c r="C2441" s="3"/>
      <c r="D2441" s="3"/>
      <c r="E2441" s="156"/>
      <c r="F2441" s="3"/>
      <c r="G2441" s="158"/>
      <c r="H2441" s="155"/>
      <c r="I2441" s="155"/>
      <c r="J2441" s="156"/>
      <c r="K2441" s="5"/>
      <c r="L2441" s="3"/>
      <c r="M2441" s="6"/>
      <c r="N2441" s="9"/>
      <c r="O2441" s="158"/>
      <c r="P2441" s="12"/>
      <c r="Q2441" s="12"/>
      <c r="R2441" s="12"/>
      <c r="S2441" s="12"/>
      <c r="T2441" s="12"/>
      <c r="U2441" s="12"/>
      <c r="V2441" s="12"/>
      <c r="W2441" s="12"/>
      <c r="X2441" s="12"/>
      <c r="Y2441" s="12"/>
      <c r="Z2441" s="12"/>
    </row>
    <row r="2442" spans="1:26" ht="14.25" customHeight="1" x14ac:dyDescent="0.3">
      <c r="A2442" s="155"/>
      <c r="B2442" s="156"/>
      <c r="C2442" s="3"/>
      <c r="D2442" s="3"/>
      <c r="E2442" s="156"/>
      <c r="F2442" s="3"/>
      <c r="G2442" s="158"/>
      <c r="H2442" s="155"/>
      <c r="I2442" s="155"/>
      <c r="J2442" s="156"/>
      <c r="K2442" s="5"/>
      <c r="L2442" s="3"/>
      <c r="M2442" s="6"/>
      <c r="N2442" s="9"/>
      <c r="O2442" s="158"/>
      <c r="P2442" s="12"/>
      <c r="Q2442" s="12"/>
      <c r="R2442" s="12"/>
      <c r="S2442" s="12"/>
      <c r="T2442" s="12"/>
      <c r="U2442" s="12"/>
      <c r="V2442" s="12"/>
      <c r="W2442" s="12"/>
      <c r="X2442" s="12"/>
      <c r="Y2442" s="12"/>
      <c r="Z2442" s="12"/>
    </row>
    <row r="2443" spans="1:26" ht="14.25" customHeight="1" x14ac:dyDescent="0.3">
      <c r="A2443" s="155"/>
      <c r="B2443" s="156"/>
      <c r="C2443" s="3"/>
      <c r="D2443" s="3"/>
      <c r="E2443" s="156"/>
      <c r="F2443" s="3"/>
      <c r="G2443" s="158"/>
      <c r="H2443" s="155"/>
      <c r="I2443" s="155"/>
      <c r="J2443" s="156"/>
      <c r="K2443" s="5"/>
      <c r="L2443" s="3"/>
      <c r="M2443" s="6"/>
      <c r="N2443" s="9"/>
      <c r="O2443" s="158"/>
      <c r="P2443" s="12"/>
      <c r="Q2443" s="12"/>
      <c r="R2443" s="12"/>
      <c r="S2443" s="12"/>
      <c r="T2443" s="12"/>
      <c r="U2443" s="12"/>
      <c r="V2443" s="12"/>
      <c r="W2443" s="12"/>
      <c r="X2443" s="12"/>
      <c r="Y2443" s="12"/>
      <c r="Z2443" s="12"/>
    </row>
    <row r="2444" spans="1:26" ht="14.25" customHeight="1" x14ac:dyDescent="0.3">
      <c r="A2444" s="155"/>
      <c r="B2444" s="156"/>
      <c r="C2444" s="3"/>
      <c r="D2444" s="3"/>
      <c r="E2444" s="156"/>
      <c r="F2444" s="3"/>
      <c r="G2444" s="158"/>
      <c r="H2444" s="155"/>
      <c r="I2444" s="155"/>
      <c r="J2444" s="156"/>
      <c r="K2444" s="5"/>
      <c r="L2444" s="3"/>
      <c r="M2444" s="6"/>
      <c r="N2444" s="9"/>
      <c r="O2444" s="158"/>
      <c r="P2444" s="12"/>
      <c r="Q2444" s="12"/>
      <c r="R2444" s="12"/>
      <c r="S2444" s="12"/>
      <c r="T2444" s="12"/>
      <c r="U2444" s="12"/>
      <c r="V2444" s="12"/>
      <c r="W2444" s="12"/>
      <c r="X2444" s="12"/>
      <c r="Y2444" s="12"/>
      <c r="Z2444" s="12"/>
    </row>
    <row r="2445" spans="1:26" ht="14.25" customHeight="1" x14ac:dyDescent="0.3">
      <c r="A2445" s="155"/>
      <c r="B2445" s="156"/>
      <c r="C2445" s="3"/>
      <c r="D2445" s="3"/>
      <c r="E2445" s="156"/>
      <c r="F2445" s="3"/>
      <c r="G2445" s="158"/>
      <c r="H2445" s="155"/>
      <c r="I2445" s="155"/>
      <c r="J2445" s="156"/>
      <c r="K2445" s="5"/>
      <c r="L2445" s="3"/>
      <c r="M2445" s="6"/>
      <c r="N2445" s="9"/>
      <c r="O2445" s="158"/>
      <c r="P2445" s="12"/>
      <c r="Q2445" s="12"/>
      <c r="R2445" s="12"/>
      <c r="S2445" s="12"/>
      <c r="T2445" s="12"/>
      <c r="U2445" s="12"/>
      <c r="V2445" s="12"/>
      <c r="W2445" s="12"/>
      <c r="X2445" s="12"/>
      <c r="Y2445" s="12"/>
      <c r="Z2445" s="12"/>
    </row>
    <row r="2446" spans="1:26" ht="14.25" customHeight="1" x14ac:dyDescent="0.3">
      <c r="A2446" s="155"/>
      <c r="B2446" s="156"/>
      <c r="C2446" s="3"/>
      <c r="D2446" s="3"/>
      <c r="E2446" s="156"/>
      <c r="F2446" s="3"/>
      <c r="G2446" s="158"/>
      <c r="H2446" s="155"/>
      <c r="I2446" s="155"/>
      <c r="J2446" s="156"/>
      <c r="K2446" s="5"/>
      <c r="L2446" s="3"/>
      <c r="M2446" s="6"/>
      <c r="N2446" s="9"/>
      <c r="O2446" s="158"/>
      <c r="P2446" s="12"/>
      <c r="Q2446" s="12"/>
      <c r="R2446" s="12"/>
      <c r="S2446" s="12"/>
      <c r="T2446" s="12"/>
      <c r="U2446" s="12"/>
      <c r="V2446" s="12"/>
      <c r="W2446" s="12"/>
      <c r="X2446" s="12"/>
      <c r="Y2446" s="12"/>
      <c r="Z2446" s="12"/>
    </row>
    <row r="2447" spans="1:26" ht="14.25" customHeight="1" x14ac:dyDescent="0.3">
      <c r="A2447" s="155"/>
      <c r="B2447" s="156"/>
      <c r="C2447" s="3"/>
      <c r="D2447" s="3"/>
      <c r="E2447" s="156"/>
      <c r="F2447" s="3"/>
      <c r="G2447" s="158"/>
      <c r="H2447" s="155"/>
      <c r="I2447" s="155"/>
      <c r="J2447" s="156"/>
      <c r="K2447" s="5"/>
      <c r="L2447" s="3"/>
      <c r="M2447" s="6"/>
      <c r="N2447" s="9"/>
      <c r="O2447" s="158"/>
      <c r="P2447" s="12"/>
      <c r="Q2447" s="12"/>
      <c r="R2447" s="12"/>
      <c r="S2447" s="12"/>
      <c r="T2447" s="12"/>
      <c r="U2447" s="12"/>
      <c r="V2447" s="12"/>
      <c r="W2447" s="12"/>
      <c r="X2447" s="12"/>
      <c r="Y2447" s="12"/>
      <c r="Z2447" s="12"/>
    </row>
    <row r="2448" spans="1:26" ht="14.25" customHeight="1" x14ac:dyDescent="0.3">
      <c r="A2448" s="155"/>
      <c r="B2448" s="156"/>
      <c r="C2448" s="3"/>
      <c r="D2448" s="3"/>
      <c r="E2448" s="156"/>
      <c r="F2448" s="3"/>
      <c r="G2448" s="158"/>
      <c r="H2448" s="155"/>
      <c r="I2448" s="155"/>
      <c r="J2448" s="156"/>
      <c r="K2448" s="5"/>
      <c r="L2448" s="3"/>
      <c r="M2448" s="6"/>
      <c r="N2448" s="9"/>
      <c r="O2448" s="158"/>
      <c r="P2448" s="12"/>
      <c r="Q2448" s="12"/>
      <c r="R2448" s="12"/>
      <c r="S2448" s="12"/>
      <c r="T2448" s="12"/>
      <c r="U2448" s="12"/>
      <c r="V2448" s="12"/>
      <c r="W2448" s="12"/>
      <c r="X2448" s="12"/>
      <c r="Y2448" s="12"/>
      <c r="Z2448" s="12"/>
    </row>
    <row r="2449" spans="1:26" ht="14.25" customHeight="1" x14ac:dyDescent="0.3">
      <c r="A2449" s="155"/>
      <c r="B2449" s="156"/>
      <c r="C2449" s="3"/>
      <c r="D2449" s="3"/>
      <c r="E2449" s="156"/>
      <c r="F2449" s="3"/>
      <c r="G2449" s="158"/>
      <c r="H2449" s="155"/>
      <c r="I2449" s="155"/>
      <c r="J2449" s="156"/>
      <c r="K2449" s="5"/>
      <c r="L2449" s="3"/>
      <c r="M2449" s="6"/>
      <c r="N2449" s="9"/>
      <c r="O2449" s="158"/>
      <c r="P2449" s="12"/>
      <c r="Q2449" s="12"/>
      <c r="R2449" s="12"/>
      <c r="S2449" s="12"/>
      <c r="T2449" s="12"/>
      <c r="U2449" s="12"/>
      <c r="V2449" s="12"/>
      <c r="W2449" s="12"/>
      <c r="X2449" s="12"/>
      <c r="Y2449" s="12"/>
      <c r="Z2449" s="12"/>
    </row>
    <row r="2450" spans="1:26" ht="14.25" customHeight="1" x14ac:dyDescent="0.3">
      <c r="A2450" s="155"/>
      <c r="B2450" s="156"/>
      <c r="C2450" s="3"/>
      <c r="D2450" s="3"/>
      <c r="E2450" s="156"/>
      <c r="F2450" s="3"/>
      <c r="G2450" s="158"/>
      <c r="H2450" s="155"/>
      <c r="I2450" s="155"/>
      <c r="J2450" s="156"/>
      <c r="K2450" s="5"/>
      <c r="L2450" s="3"/>
      <c r="M2450" s="6"/>
      <c r="N2450" s="9"/>
      <c r="O2450" s="158"/>
      <c r="P2450" s="12"/>
      <c r="Q2450" s="12"/>
      <c r="R2450" s="12"/>
      <c r="S2450" s="12"/>
      <c r="T2450" s="12"/>
      <c r="U2450" s="12"/>
      <c r="V2450" s="12"/>
      <c r="W2450" s="12"/>
      <c r="X2450" s="12"/>
      <c r="Y2450" s="12"/>
      <c r="Z2450" s="12"/>
    </row>
    <row r="2451" spans="1:26" ht="14.25" customHeight="1" x14ac:dyDescent="0.3">
      <c r="A2451" s="155"/>
      <c r="B2451" s="156"/>
      <c r="C2451" s="3"/>
      <c r="D2451" s="3"/>
      <c r="E2451" s="156"/>
      <c r="F2451" s="3"/>
      <c r="G2451" s="158"/>
      <c r="H2451" s="155"/>
      <c r="I2451" s="155"/>
      <c r="J2451" s="156"/>
      <c r="K2451" s="5"/>
      <c r="L2451" s="3"/>
      <c r="M2451" s="6"/>
      <c r="N2451" s="9"/>
      <c r="O2451" s="158"/>
      <c r="P2451" s="12"/>
      <c r="Q2451" s="12"/>
      <c r="R2451" s="12"/>
      <c r="S2451" s="12"/>
      <c r="T2451" s="12"/>
      <c r="U2451" s="12"/>
      <c r="V2451" s="12"/>
      <c r="W2451" s="12"/>
      <c r="X2451" s="12"/>
      <c r="Y2451" s="12"/>
      <c r="Z2451" s="12"/>
    </row>
    <row r="2452" spans="1:26" ht="14.25" customHeight="1" x14ac:dyDescent="0.3">
      <c r="A2452" s="155"/>
      <c r="B2452" s="156"/>
      <c r="C2452" s="3"/>
      <c r="D2452" s="3"/>
      <c r="E2452" s="156"/>
      <c r="F2452" s="3"/>
      <c r="G2452" s="158"/>
      <c r="H2452" s="155"/>
      <c r="I2452" s="155"/>
      <c r="J2452" s="156"/>
      <c r="K2452" s="5"/>
      <c r="L2452" s="3"/>
      <c r="M2452" s="6"/>
      <c r="N2452" s="9"/>
      <c r="O2452" s="158"/>
      <c r="P2452" s="12"/>
      <c r="Q2452" s="12"/>
      <c r="R2452" s="12"/>
      <c r="S2452" s="12"/>
      <c r="T2452" s="12"/>
      <c r="U2452" s="12"/>
      <c r="V2452" s="12"/>
      <c r="W2452" s="12"/>
      <c r="X2452" s="12"/>
      <c r="Y2452" s="12"/>
      <c r="Z2452" s="12"/>
    </row>
    <row r="2453" spans="1:26" ht="14.25" customHeight="1" x14ac:dyDescent="0.3">
      <c r="A2453" s="155"/>
      <c r="B2453" s="156"/>
      <c r="C2453" s="3"/>
      <c r="D2453" s="3"/>
      <c r="E2453" s="156"/>
      <c r="F2453" s="3"/>
      <c r="G2453" s="158"/>
      <c r="H2453" s="155"/>
      <c r="I2453" s="155"/>
      <c r="J2453" s="156"/>
      <c r="K2453" s="5"/>
      <c r="L2453" s="3"/>
      <c r="M2453" s="6"/>
      <c r="N2453" s="9"/>
      <c r="O2453" s="158"/>
      <c r="P2453" s="12"/>
      <c r="Q2453" s="12"/>
      <c r="R2453" s="12"/>
      <c r="S2453" s="12"/>
      <c r="T2453" s="12"/>
      <c r="U2453" s="12"/>
      <c r="V2453" s="12"/>
      <c r="W2453" s="12"/>
      <c r="X2453" s="12"/>
      <c r="Y2453" s="12"/>
      <c r="Z2453" s="12"/>
    </row>
    <row r="2454" spans="1:26" ht="14.25" customHeight="1" x14ac:dyDescent="0.3">
      <c r="A2454" s="155"/>
      <c r="B2454" s="156"/>
      <c r="C2454" s="3"/>
      <c r="D2454" s="3"/>
      <c r="E2454" s="156"/>
      <c r="F2454" s="3"/>
      <c r="G2454" s="158"/>
      <c r="H2454" s="155"/>
      <c r="I2454" s="155"/>
      <c r="J2454" s="156"/>
      <c r="K2454" s="5"/>
      <c r="L2454" s="3"/>
      <c r="M2454" s="6"/>
      <c r="N2454" s="9"/>
      <c r="O2454" s="158"/>
      <c r="P2454" s="12"/>
      <c r="Q2454" s="12"/>
      <c r="R2454" s="12"/>
      <c r="S2454" s="12"/>
      <c r="T2454" s="12"/>
      <c r="U2454" s="12"/>
      <c r="V2454" s="12"/>
      <c r="W2454" s="12"/>
      <c r="X2454" s="12"/>
      <c r="Y2454" s="12"/>
      <c r="Z2454" s="12"/>
    </row>
    <row r="2455" spans="1:26" ht="14.25" customHeight="1" x14ac:dyDescent="0.3">
      <c r="A2455" s="155"/>
      <c r="B2455" s="156"/>
      <c r="C2455" s="3"/>
      <c r="D2455" s="3"/>
      <c r="E2455" s="156"/>
      <c r="F2455" s="3"/>
      <c r="G2455" s="158"/>
      <c r="H2455" s="155"/>
      <c r="I2455" s="155"/>
      <c r="J2455" s="156"/>
      <c r="K2455" s="5"/>
      <c r="L2455" s="3"/>
      <c r="M2455" s="6"/>
      <c r="N2455" s="9"/>
      <c r="O2455" s="158"/>
      <c r="P2455" s="12"/>
      <c r="Q2455" s="12"/>
      <c r="R2455" s="12"/>
      <c r="S2455" s="12"/>
      <c r="T2455" s="12"/>
      <c r="U2455" s="12"/>
      <c r="V2455" s="12"/>
      <c r="W2455" s="12"/>
      <c r="X2455" s="12"/>
      <c r="Y2455" s="12"/>
      <c r="Z2455" s="12"/>
    </row>
    <row r="2456" spans="1:26" ht="14.25" customHeight="1" x14ac:dyDescent="0.3">
      <c r="A2456" s="155"/>
      <c r="B2456" s="156"/>
      <c r="C2456" s="3"/>
      <c r="D2456" s="3"/>
      <c r="E2456" s="156"/>
      <c r="F2456" s="3"/>
      <c r="G2456" s="158"/>
      <c r="H2456" s="155"/>
      <c r="I2456" s="155"/>
      <c r="J2456" s="156"/>
      <c r="K2456" s="5"/>
      <c r="L2456" s="3"/>
      <c r="M2456" s="6"/>
      <c r="N2456" s="9"/>
      <c r="O2456" s="158"/>
      <c r="P2456" s="12"/>
      <c r="Q2456" s="12"/>
      <c r="R2456" s="12"/>
      <c r="S2456" s="12"/>
      <c r="T2456" s="12"/>
      <c r="U2456" s="12"/>
      <c r="V2456" s="12"/>
      <c r="W2456" s="12"/>
      <c r="X2456" s="12"/>
      <c r="Y2456" s="12"/>
      <c r="Z2456" s="12"/>
    </row>
    <row r="2457" spans="1:26" ht="14.25" customHeight="1" x14ac:dyDescent="0.3">
      <c r="A2457" s="155"/>
      <c r="B2457" s="156"/>
      <c r="C2457" s="3"/>
      <c r="D2457" s="3"/>
      <c r="E2457" s="156"/>
      <c r="F2457" s="3"/>
      <c r="G2457" s="158"/>
      <c r="H2457" s="155"/>
      <c r="I2457" s="155"/>
      <c r="J2457" s="156"/>
      <c r="K2457" s="5"/>
      <c r="L2457" s="3"/>
      <c r="M2457" s="6"/>
      <c r="N2457" s="9"/>
      <c r="O2457" s="158"/>
      <c r="P2457" s="12"/>
      <c r="Q2457" s="12"/>
      <c r="R2457" s="12"/>
      <c r="S2457" s="12"/>
      <c r="T2457" s="12"/>
      <c r="U2457" s="12"/>
      <c r="V2457" s="12"/>
      <c r="W2457" s="12"/>
      <c r="X2457" s="12"/>
      <c r="Y2457" s="12"/>
      <c r="Z2457" s="12"/>
    </row>
    <row r="2458" spans="1:26" ht="14.25" customHeight="1" x14ac:dyDescent="0.3">
      <c r="A2458" s="155"/>
      <c r="B2458" s="156"/>
      <c r="C2458" s="3"/>
      <c r="D2458" s="3"/>
      <c r="E2458" s="156"/>
      <c r="F2458" s="3"/>
      <c r="G2458" s="158"/>
      <c r="H2458" s="155"/>
      <c r="I2458" s="155"/>
      <c r="J2458" s="156"/>
      <c r="K2458" s="5"/>
      <c r="L2458" s="3"/>
      <c r="M2458" s="6"/>
      <c r="N2458" s="9"/>
      <c r="O2458" s="158"/>
      <c r="P2458" s="12"/>
      <c r="Q2458" s="12"/>
      <c r="R2458" s="12"/>
      <c r="S2458" s="12"/>
      <c r="T2458" s="12"/>
      <c r="U2458" s="12"/>
      <c r="V2458" s="12"/>
      <c r="W2458" s="12"/>
      <c r="X2458" s="12"/>
      <c r="Y2458" s="12"/>
      <c r="Z2458" s="12"/>
    </row>
    <row r="2459" spans="1:26" ht="14.25" customHeight="1" x14ac:dyDescent="0.3">
      <c r="A2459" s="155"/>
      <c r="B2459" s="156"/>
      <c r="C2459" s="3"/>
      <c r="D2459" s="3"/>
      <c r="E2459" s="156"/>
      <c r="F2459" s="3"/>
      <c r="G2459" s="158"/>
      <c r="H2459" s="155"/>
      <c r="I2459" s="155"/>
      <c r="J2459" s="156"/>
      <c r="K2459" s="5"/>
      <c r="L2459" s="3"/>
      <c r="M2459" s="6"/>
      <c r="N2459" s="9"/>
      <c r="O2459" s="158"/>
      <c r="P2459" s="12"/>
      <c r="Q2459" s="12"/>
      <c r="R2459" s="12"/>
      <c r="S2459" s="12"/>
      <c r="T2459" s="12"/>
      <c r="U2459" s="12"/>
      <c r="V2459" s="12"/>
      <c r="W2459" s="12"/>
      <c r="X2459" s="12"/>
      <c r="Y2459" s="12"/>
      <c r="Z2459" s="12"/>
    </row>
    <row r="2460" spans="1:26" ht="14.25" customHeight="1" x14ac:dyDescent="0.3">
      <c r="A2460" s="155"/>
      <c r="B2460" s="156"/>
      <c r="C2460" s="3"/>
      <c r="D2460" s="3"/>
      <c r="E2460" s="156"/>
      <c r="F2460" s="3"/>
      <c r="G2460" s="158"/>
      <c r="H2460" s="155"/>
      <c r="I2460" s="155"/>
      <c r="J2460" s="156"/>
      <c r="K2460" s="5"/>
      <c r="L2460" s="3"/>
      <c r="M2460" s="6"/>
      <c r="N2460" s="9"/>
      <c r="O2460" s="158"/>
      <c r="P2460" s="12"/>
      <c r="Q2460" s="12"/>
      <c r="R2460" s="12"/>
      <c r="S2460" s="12"/>
      <c r="T2460" s="12"/>
      <c r="U2460" s="12"/>
      <c r="V2460" s="12"/>
      <c r="W2460" s="12"/>
      <c r="X2460" s="12"/>
      <c r="Y2460" s="12"/>
      <c r="Z2460" s="12"/>
    </row>
    <row r="2461" spans="1:26" ht="14.25" customHeight="1" x14ac:dyDescent="0.3">
      <c r="A2461" s="155"/>
      <c r="B2461" s="156"/>
      <c r="C2461" s="3"/>
      <c r="D2461" s="3"/>
      <c r="E2461" s="156"/>
      <c r="F2461" s="3"/>
      <c r="G2461" s="158"/>
      <c r="H2461" s="155"/>
      <c r="I2461" s="155"/>
      <c r="J2461" s="156"/>
      <c r="K2461" s="5"/>
      <c r="L2461" s="3"/>
      <c r="M2461" s="6"/>
      <c r="N2461" s="9"/>
      <c r="O2461" s="158"/>
      <c r="P2461" s="12"/>
      <c r="Q2461" s="12"/>
      <c r="R2461" s="12"/>
      <c r="S2461" s="12"/>
      <c r="T2461" s="12"/>
      <c r="U2461" s="12"/>
      <c r="V2461" s="12"/>
      <c r="W2461" s="12"/>
      <c r="X2461" s="12"/>
      <c r="Y2461" s="12"/>
      <c r="Z2461" s="12"/>
    </row>
    <row r="2462" spans="1:26" ht="14.25" customHeight="1" x14ac:dyDescent="0.3">
      <c r="A2462" s="155"/>
      <c r="B2462" s="156"/>
      <c r="C2462" s="3"/>
      <c r="D2462" s="3"/>
      <c r="E2462" s="156"/>
      <c r="F2462" s="3"/>
      <c r="G2462" s="158"/>
      <c r="H2462" s="155"/>
      <c r="I2462" s="155"/>
      <c r="J2462" s="156"/>
      <c r="K2462" s="5"/>
      <c r="L2462" s="3"/>
      <c r="M2462" s="6"/>
      <c r="N2462" s="9"/>
      <c r="O2462" s="158"/>
      <c r="P2462" s="12"/>
      <c r="Q2462" s="12"/>
      <c r="R2462" s="12"/>
      <c r="S2462" s="12"/>
      <c r="T2462" s="12"/>
      <c r="U2462" s="12"/>
      <c r="V2462" s="12"/>
      <c r="W2462" s="12"/>
      <c r="X2462" s="12"/>
      <c r="Y2462" s="12"/>
      <c r="Z2462" s="12"/>
    </row>
    <row r="2463" spans="1:26" ht="14.25" customHeight="1" x14ac:dyDescent="0.3">
      <c r="A2463" s="155"/>
      <c r="B2463" s="156"/>
      <c r="C2463" s="3"/>
      <c r="D2463" s="3"/>
      <c r="E2463" s="156"/>
      <c r="F2463" s="3"/>
      <c r="G2463" s="158"/>
      <c r="H2463" s="155"/>
      <c r="I2463" s="155"/>
      <c r="J2463" s="156"/>
      <c r="K2463" s="5"/>
      <c r="L2463" s="3"/>
      <c r="M2463" s="6"/>
      <c r="N2463" s="9"/>
      <c r="O2463" s="158"/>
      <c r="P2463" s="12"/>
      <c r="Q2463" s="12"/>
      <c r="R2463" s="12"/>
      <c r="S2463" s="12"/>
      <c r="T2463" s="12"/>
      <c r="U2463" s="12"/>
      <c r="V2463" s="12"/>
      <c r="W2463" s="12"/>
      <c r="X2463" s="12"/>
      <c r="Y2463" s="12"/>
      <c r="Z2463" s="12"/>
    </row>
    <row r="2464" spans="1:26" ht="14.25" customHeight="1" x14ac:dyDescent="0.3">
      <c r="A2464" s="155"/>
      <c r="B2464" s="156"/>
      <c r="C2464" s="3"/>
      <c r="D2464" s="3"/>
      <c r="E2464" s="156"/>
      <c r="F2464" s="3"/>
      <c r="G2464" s="158"/>
      <c r="H2464" s="155"/>
      <c r="I2464" s="155"/>
      <c r="J2464" s="156"/>
      <c r="K2464" s="5"/>
      <c r="L2464" s="3"/>
      <c r="M2464" s="6"/>
      <c r="N2464" s="9"/>
      <c r="O2464" s="158"/>
      <c r="P2464" s="12"/>
      <c r="Q2464" s="12"/>
      <c r="R2464" s="12"/>
      <c r="S2464" s="12"/>
      <c r="T2464" s="12"/>
      <c r="U2464" s="12"/>
      <c r="V2464" s="12"/>
      <c r="W2464" s="12"/>
      <c r="X2464" s="12"/>
      <c r="Y2464" s="12"/>
      <c r="Z2464" s="12"/>
    </row>
    <row r="2465" spans="1:26" ht="14.25" customHeight="1" x14ac:dyDescent="0.3">
      <c r="A2465" s="155"/>
      <c r="B2465" s="156"/>
      <c r="C2465" s="3"/>
      <c r="D2465" s="3"/>
      <c r="E2465" s="156"/>
      <c r="F2465" s="3"/>
      <c r="G2465" s="158"/>
      <c r="H2465" s="155"/>
      <c r="I2465" s="155"/>
      <c r="J2465" s="156"/>
      <c r="K2465" s="5"/>
      <c r="L2465" s="3"/>
      <c r="M2465" s="6"/>
      <c r="N2465" s="9"/>
      <c r="O2465" s="158"/>
      <c r="P2465" s="12"/>
      <c r="Q2465" s="12"/>
      <c r="R2465" s="12"/>
      <c r="S2465" s="12"/>
      <c r="T2465" s="12"/>
      <c r="U2465" s="12"/>
      <c r="V2465" s="12"/>
      <c r="W2465" s="12"/>
      <c r="X2465" s="12"/>
      <c r="Y2465" s="12"/>
      <c r="Z2465" s="12"/>
    </row>
    <row r="2466" spans="1:26" ht="14.25" customHeight="1" x14ac:dyDescent="0.3">
      <c r="A2466" s="155"/>
      <c r="B2466" s="156"/>
      <c r="C2466" s="3"/>
      <c r="D2466" s="3"/>
      <c r="E2466" s="156"/>
      <c r="F2466" s="3"/>
      <c r="G2466" s="158"/>
      <c r="H2466" s="155"/>
      <c r="I2466" s="155"/>
      <c r="J2466" s="156"/>
      <c r="K2466" s="5"/>
      <c r="L2466" s="3"/>
      <c r="M2466" s="6"/>
      <c r="N2466" s="9"/>
      <c r="O2466" s="158"/>
      <c r="P2466" s="12"/>
      <c r="Q2466" s="12"/>
      <c r="R2466" s="12"/>
      <c r="S2466" s="12"/>
      <c r="T2466" s="12"/>
      <c r="U2466" s="12"/>
      <c r="V2466" s="12"/>
      <c r="W2466" s="12"/>
      <c r="X2466" s="12"/>
      <c r="Y2466" s="12"/>
      <c r="Z2466" s="12"/>
    </row>
    <row r="2467" spans="1:26" ht="14.25" customHeight="1" x14ac:dyDescent="0.3">
      <c r="A2467" s="155"/>
      <c r="B2467" s="156"/>
      <c r="C2467" s="3"/>
      <c r="D2467" s="3"/>
      <c r="E2467" s="156"/>
      <c r="F2467" s="3"/>
      <c r="G2467" s="158"/>
      <c r="H2467" s="155"/>
      <c r="I2467" s="155"/>
      <c r="J2467" s="156"/>
      <c r="K2467" s="5"/>
      <c r="L2467" s="3"/>
      <c r="M2467" s="6"/>
      <c r="N2467" s="9"/>
      <c r="O2467" s="158"/>
      <c r="P2467" s="12"/>
      <c r="Q2467" s="12"/>
      <c r="R2467" s="12"/>
      <c r="S2467" s="12"/>
      <c r="T2467" s="12"/>
      <c r="U2467" s="12"/>
      <c r="V2467" s="12"/>
      <c r="W2467" s="12"/>
      <c r="X2467" s="12"/>
      <c r="Y2467" s="12"/>
      <c r="Z2467" s="12"/>
    </row>
    <row r="2468" spans="1:26" ht="14.25" customHeight="1" x14ac:dyDescent="0.3">
      <c r="A2468" s="155"/>
      <c r="B2468" s="156"/>
      <c r="C2468" s="3"/>
      <c r="D2468" s="3"/>
      <c r="E2468" s="156"/>
      <c r="F2468" s="3"/>
      <c r="G2468" s="158"/>
      <c r="H2468" s="155"/>
      <c r="I2468" s="155"/>
      <c r="J2468" s="156"/>
      <c r="K2468" s="5"/>
      <c r="L2468" s="3"/>
      <c r="M2468" s="6"/>
      <c r="N2468" s="9"/>
      <c r="O2468" s="158"/>
      <c r="P2468" s="12"/>
      <c r="Q2468" s="12"/>
      <c r="R2468" s="12"/>
      <c r="S2468" s="12"/>
      <c r="T2468" s="12"/>
      <c r="U2468" s="12"/>
      <c r="V2468" s="12"/>
      <c r="W2468" s="12"/>
      <c r="X2468" s="12"/>
      <c r="Y2468" s="12"/>
      <c r="Z2468" s="12"/>
    </row>
    <row r="2469" spans="1:26" ht="14.25" customHeight="1" x14ac:dyDescent="0.3">
      <c r="A2469" s="155"/>
      <c r="B2469" s="156"/>
      <c r="C2469" s="3"/>
      <c r="D2469" s="3"/>
      <c r="E2469" s="156"/>
      <c r="F2469" s="3"/>
      <c r="G2469" s="158"/>
      <c r="H2469" s="155"/>
      <c r="I2469" s="155"/>
      <c r="J2469" s="156"/>
      <c r="K2469" s="5"/>
      <c r="L2469" s="3"/>
      <c r="M2469" s="6"/>
      <c r="N2469" s="9"/>
      <c r="O2469" s="158"/>
      <c r="P2469" s="12"/>
      <c r="Q2469" s="12"/>
      <c r="R2469" s="12"/>
      <c r="S2469" s="12"/>
      <c r="T2469" s="12"/>
      <c r="U2469" s="12"/>
      <c r="V2469" s="12"/>
      <c r="W2469" s="12"/>
      <c r="X2469" s="12"/>
      <c r="Y2469" s="12"/>
      <c r="Z2469" s="12"/>
    </row>
    <row r="2470" spans="1:26" ht="14.25" customHeight="1" x14ac:dyDescent="0.3">
      <c r="A2470" s="155"/>
      <c r="B2470" s="156"/>
      <c r="C2470" s="3"/>
      <c r="D2470" s="3"/>
      <c r="E2470" s="156"/>
      <c r="F2470" s="3"/>
      <c r="G2470" s="158"/>
      <c r="H2470" s="155"/>
      <c r="I2470" s="155"/>
      <c r="J2470" s="156"/>
      <c r="K2470" s="5"/>
      <c r="L2470" s="3"/>
      <c r="M2470" s="6"/>
      <c r="N2470" s="9"/>
      <c r="O2470" s="158"/>
      <c r="P2470" s="12"/>
      <c r="Q2470" s="12"/>
      <c r="R2470" s="12"/>
      <c r="S2470" s="12"/>
      <c r="T2470" s="12"/>
      <c r="U2470" s="12"/>
      <c r="V2470" s="12"/>
      <c r="W2470" s="12"/>
      <c r="X2470" s="12"/>
      <c r="Y2470" s="12"/>
      <c r="Z2470" s="12"/>
    </row>
    <row r="2471" spans="1:26" ht="14.25" customHeight="1" x14ac:dyDescent="0.3">
      <c r="A2471" s="155"/>
      <c r="B2471" s="156"/>
      <c r="C2471" s="3"/>
      <c r="D2471" s="3"/>
      <c r="E2471" s="156"/>
      <c r="F2471" s="3"/>
      <c r="G2471" s="158"/>
      <c r="H2471" s="155"/>
      <c r="I2471" s="155"/>
      <c r="J2471" s="156"/>
      <c r="K2471" s="5"/>
      <c r="L2471" s="3"/>
      <c r="M2471" s="6"/>
      <c r="N2471" s="9"/>
      <c r="O2471" s="158"/>
      <c r="P2471" s="12"/>
      <c r="Q2471" s="12"/>
      <c r="R2471" s="12"/>
      <c r="S2471" s="12"/>
      <c r="T2471" s="12"/>
      <c r="U2471" s="12"/>
      <c r="V2471" s="12"/>
      <c r="W2471" s="12"/>
      <c r="X2471" s="12"/>
      <c r="Y2471" s="12"/>
      <c r="Z2471" s="12"/>
    </row>
    <row r="2472" spans="1:26" ht="14.25" customHeight="1" x14ac:dyDescent="0.3">
      <c r="A2472" s="155"/>
      <c r="B2472" s="156"/>
      <c r="C2472" s="3"/>
      <c r="D2472" s="3"/>
      <c r="E2472" s="156"/>
      <c r="F2472" s="3"/>
      <c r="G2472" s="158"/>
      <c r="H2472" s="155"/>
      <c r="I2472" s="155"/>
      <c r="J2472" s="156"/>
      <c r="K2472" s="5"/>
      <c r="L2472" s="3"/>
      <c r="M2472" s="6"/>
      <c r="N2472" s="9"/>
      <c r="O2472" s="158"/>
      <c r="P2472" s="12"/>
      <c r="Q2472" s="12"/>
      <c r="R2472" s="12"/>
      <c r="S2472" s="12"/>
      <c r="T2472" s="12"/>
      <c r="U2472" s="12"/>
      <c r="V2472" s="12"/>
      <c r="W2472" s="12"/>
      <c r="X2472" s="12"/>
      <c r="Y2472" s="12"/>
      <c r="Z2472" s="12"/>
    </row>
    <row r="2473" spans="1:26" ht="14.25" customHeight="1" x14ac:dyDescent="0.3">
      <c r="A2473" s="155"/>
      <c r="B2473" s="156"/>
      <c r="C2473" s="3"/>
      <c r="D2473" s="3"/>
      <c r="E2473" s="156"/>
      <c r="F2473" s="3"/>
      <c r="G2473" s="158"/>
      <c r="H2473" s="155"/>
      <c r="I2473" s="155"/>
      <c r="J2473" s="156"/>
      <c r="K2473" s="5"/>
      <c r="L2473" s="3"/>
      <c r="M2473" s="6"/>
      <c r="N2473" s="9"/>
      <c r="O2473" s="158"/>
      <c r="P2473" s="12"/>
      <c r="Q2473" s="12"/>
      <c r="R2473" s="12"/>
      <c r="S2473" s="12"/>
      <c r="T2473" s="12"/>
      <c r="U2473" s="12"/>
      <c r="V2473" s="12"/>
      <c r="W2473" s="12"/>
      <c r="X2473" s="12"/>
      <c r="Y2473" s="12"/>
      <c r="Z2473" s="12"/>
    </row>
    <row r="2474" spans="1:26" ht="14.25" customHeight="1" x14ac:dyDescent="0.3">
      <c r="A2474" s="155"/>
      <c r="B2474" s="156"/>
      <c r="C2474" s="3"/>
      <c r="D2474" s="3"/>
      <c r="E2474" s="156"/>
      <c r="F2474" s="3"/>
      <c r="G2474" s="158"/>
      <c r="H2474" s="155"/>
      <c r="I2474" s="155"/>
      <c r="J2474" s="156"/>
      <c r="K2474" s="5"/>
      <c r="L2474" s="3"/>
      <c r="M2474" s="6"/>
      <c r="N2474" s="9"/>
      <c r="O2474" s="158"/>
      <c r="P2474" s="12"/>
      <c r="Q2474" s="12"/>
      <c r="R2474" s="12"/>
      <c r="S2474" s="12"/>
      <c r="T2474" s="12"/>
      <c r="U2474" s="12"/>
      <c r="V2474" s="12"/>
      <c r="W2474" s="12"/>
      <c r="X2474" s="12"/>
      <c r="Y2474" s="12"/>
      <c r="Z2474" s="12"/>
    </row>
    <row r="2475" spans="1:26" ht="14.25" customHeight="1" x14ac:dyDescent="0.3">
      <c r="A2475" s="155"/>
      <c r="B2475" s="156"/>
      <c r="C2475" s="3"/>
      <c r="D2475" s="3"/>
      <c r="E2475" s="156"/>
      <c r="F2475" s="3"/>
      <c r="G2475" s="158"/>
      <c r="H2475" s="155"/>
      <c r="I2475" s="155"/>
      <c r="J2475" s="156"/>
      <c r="K2475" s="5"/>
      <c r="L2475" s="3"/>
      <c r="M2475" s="6"/>
      <c r="N2475" s="9"/>
      <c r="O2475" s="158"/>
      <c r="P2475" s="12"/>
      <c r="Q2475" s="12"/>
      <c r="R2475" s="12"/>
      <c r="S2475" s="12"/>
      <c r="T2475" s="12"/>
      <c r="U2475" s="12"/>
      <c r="V2475" s="12"/>
      <c r="W2475" s="12"/>
      <c r="X2475" s="12"/>
      <c r="Y2475" s="12"/>
      <c r="Z2475" s="12"/>
    </row>
    <row r="2476" spans="1:26" ht="14.25" customHeight="1" x14ac:dyDescent="0.3">
      <c r="A2476" s="155"/>
      <c r="B2476" s="156"/>
      <c r="C2476" s="3"/>
      <c r="D2476" s="3"/>
      <c r="E2476" s="156"/>
      <c r="F2476" s="3"/>
      <c r="G2476" s="158"/>
      <c r="H2476" s="155"/>
      <c r="I2476" s="155"/>
      <c r="J2476" s="156"/>
      <c r="K2476" s="5"/>
      <c r="L2476" s="3"/>
      <c r="M2476" s="6"/>
      <c r="N2476" s="9"/>
      <c r="O2476" s="158"/>
      <c r="P2476" s="12"/>
      <c r="Q2476" s="12"/>
      <c r="R2476" s="12"/>
      <c r="S2476" s="12"/>
      <c r="T2476" s="12"/>
      <c r="U2476" s="12"/>
      <c r="V2476" s="12"/>
      <c r="W2476" s="12"/>
      <c r="X2476" s="12"/>
      <c r="Y2476" s="12"/>
      <c r="Z2476" s="12"/>
    </row>
    <row r="2477" spans="1:26" ht="14.25" customHeight="1" x14ac:dyDescent="0.3">
      <c r="A2477" s="155"/>
      <c r="B2477" s="156"/>
      <c r="C2477" s="3"/>
      <c r="D2477" s="3"/>
      <c r="E2477" s="156"/>
      <c r="F2477" s="3"/>
      <c r="G2477" s="158"/>
      <c r="H2477" s="155"/>
      <c r="I2477" s="155"/>
      <c r="J2477" s="156"/>
      <c r="K2477" s="5"/>
      <c r="L2477" s="3"/>
      <c r="M2477" s="6"/>
      <c r="N2477" s="9"/>
      <c r="O2477" s="158"/>
      <c r="P2477" s="12"/>
      <c r="Q2477" s="12"/>
      <c r="R2477" s="12"/>
      <c r="S2477" s="12"/>
      <c r="T2477" s="12"/>
      <c r="U2477" s="12"/>
      <c r="V2477" s="12"/>
      <c r="W2477" s="12"/>
      <c r="X2477" s="12"/>
      <c r="Y2477" s="12"/>
      <c r="Z2477" s="12"/>
    </row>
    <row r="2478" spans="1:26" ht="14.25" customHeight="1" x14ac:dyDescent="0.3">
      <c r="A2478" s="155"/>
      <c r="B2478" s="156"/>
      <c r="C2478" s="3"/>
      <c r="D2478" s="3"/>
      <c r="E2478" s="156"/>
      <c r="F2478" s="3"/>
      <c r="G2478" s="158"/>
      <c r="H2478" s="155"/>
      <c r="I2478" s="155"/>
      <c r="J2478" s="156"/>
      <c r="K2478" s="5"/>
      <c r="L2478" s="3"/>
      <c r="M2478" s="6"/>
      <c r="N2478" s="9"/>
      <c r="O2478" s="158"/>
      <c r="P2478" s="12"/>
      <c r="Q2478" s="12"/>
      <c r="R2478" s="12"/>
      <c r="S2478" s="12"/>
      <c r="T2478" s="12"/>
      <c r="U2478" s="12"/>
      <c r="V2478" s="12"/>
      <c r="W2478" s="12"/>
      <c r="X2478" s="12"/>
      <c r="Y2478" s="12"/>
      <c r="Z2478" s="12"/>
    </row>
    <row r="2479" spans="1:26" ht="14.25" customHeight="1" x14ac:dyDescent="0.3">
      <c r="A2479" s="155"/>
      <c r="B2479" s="156"/>
      <c r="C2479" s="3"/>
      <c r="D2479" s="3"/>
      <c r="E2479" s="156"/>
      <c r="F2479" s="3"/>
      <c r="G2479" s="158"/>
      <c r="H2479" s="155"/>
      <c r="I2479" s="155"/>
      <c r="J2479" s="156"/>
      <c r="K2479" s="5"/>
      <c r="L2479" s="3"/>
      <c r="M2479" s="6"/>
      <c r="N2479" s="9"/>
      <c r="O2479" s="158"/>
      <c r="P2479" s="12"/>
      <c r="Q2479" s="12"/>
      <c r="R2479" s="12"/>
      <c r="S2479" s="12"/>
      <c r="T2479" s="12"/>
      <c r="U2479" s="12"/>
      <c r="V2479" s="12"/>
      <c r="W2479" s="12"/>
      <c r="X2479" s="12"/>
      <c r="Y2479" s="12"/>
      <c r="Z2479" s="12"/>
    </row>
    <row r="2480" spans="1:26" ht="14.25" customHeight="1" x14ac:dyDescent="0.3">
      <c r="A2480" s="155"/>
      <c r="B2480" s="156"/>
      <c r="C2480" s="3"/>
      <c r="D2480" s="3"/>
      <c r="E2480" s="156"/>
      <c r="F2480" s="3"/>
      <c r="G2480" s="158"/>
      <c r="H2480" s="155"/>
      <c r="I2480" s="155"/>
      <c r="J2480" s="156"/>
      <c r="K2480" s="5"/>
      <c r="L2480" s="3"/>
      <c r="M2480" s="6"/>
      <c r="N2480" s="9"/>
      <c r="O2480" s="158"/>
      <c r="P2480" s="12"/>
      <c r="Q2480" s="12"/>
      <c r="R2480" s="12"/>
      <c r="S2480" s="12"/>
      <c r="T2480" s="12"/>
      <c r="U2480" s="12"/>
      <c r="V2480" s="12"/>
      <c r="W2480" s="12"/>
      <c r="X2480" s="12"/>
      <c r="Y2480" s="12"/>
      <c r="Z2480" s="12"/>
    </row>
    <row r="2481" spans="1:26" ht="14.25" customHeight="1" x14ac:dyDescent="0.3">
      <c r="A2481" s="155"/>
      <c r="B2481" s="156"/>
      <c r="C2481" s="3"/>
      <c r="D2481" s="3"/>
      <c r="E2481" s="156"/>
      <c r="F2481" s="3"/>
      <c r="G2481" s="158"/>
      <c r="H2481" s="155"/>
      <c r="I2481" s="155"/>
      <c r="J2481" s="156"/>
      <c r="K2481" s="5"/>
      <c r="L2481" s="3"/>
      <c r="M2481" s="6"/>
      <c r="N2481" s="9"/>
      <c r="O2481" s="158"/>
      <c r="P2481" s="12"/>
      <c r="Q2481" s="12"/>
      <c r="R2481" s="12"/>
      <c r="S2481" s="12"/>
      <c r="T2481" s="12"/>
      <c r="U2481" s="12"/>
      <c r="V2481" s="12"/>
      <c r="W2481" s="12"/>
      <c r="X2481" s="12"/>
      <c r="Y2481" s="12"/>
      <c r="Z2481" s="12"/>
    </row>
    <row r="2482" spans="1:26" ht="14.25" customHeight="1" x14ac:dyDescent="0.3">
      <c r="A2482" s="155"/>
      <c r="B2482" s="156"/>
      <c r="C2482" s="3"/>
      <c r="D2482" s="3"/>
      <c r="E2482" s="156"/>
      <c r="F2482" s="3"/>
      <c r="G2482" s="158"/>
      <c r="H2482" s="155"/>
      <c r="I2482" s="155"/>
      <c r="J2482" s="156"/>
      <c r="K2482" s="5"/>
      <c r="L2482" s="3"/>
      <c r="M2482" s="6"/>
      <c r="N2482" s="9"/>
      <c r="O2482" s="158"/>
      <c r="P2482" s="12"/>
      <c r="Q2482" s="12"/>
      <c r="R2482" s="12"/>
      <c r="S2482" s="12"/>
      <c r="T2482" s="12"/>
      <c r="U2482" s="12"/>
      <c r="V2482" s="12"/>
      <c r="W2482" s="12"/>
      <c r="X2482" s="12"/>
      <c r="Y2482" s="12"/>
      <c r="Z2482" s="12"/>
    </row>
    <row r="2483" spans="1:26" ht="14.25" customHeight="1" x14ac:dyDescent="0.3">
      <c r="A2483" s="155"/>
      <c r="B2483" s="156"/>
      <c r="C2483" s="3"/>
      <c r="D2483" s="3"/>
      <c r="E2483" s="156"/>
      <c r="F2483" s="3"/>
      <c r="G2483" s="158"/>
      <c r="H2483" s="155"/>
      <c r="I2483" s="155"/>
      <c r="J2483" s="156"/>
      <c r="K2483" s="5"/>
      <c r="L2483" s="3"/>
      <c r="M2483" s="6"/>
      <c r="N2483" s="9"/>
      <c r="O2483" s="158"/>
      <c r="P2483" s="12"/>
      <c r="Q2483" s="12"/>
      <c r="R2483" s="12"/>
      <c r="S2483" s="12"/>
      <c r="T2483" s="12"/>
      <c r="U2483" s="12"/>
      <c r="V2483" s="12"/>
      <c r="W2483" s="12"/>
      <c r="X2483" s="12"/>
      <c r="Y2483" s="12"/>
      <c r="Z2483" s="12"/>
    </row>
    <row r="2484" spans="1:26" ht="14.25" customHeight="1" x14ac:dyDescent="0.3">
      <c r="A2484" s="155"/>
      <c r="B2484" s="156"/>
      <c r="C2484" s="3"/>
      <c r="D2484" s="3"/>
      <c r="E2484" s="156"/>
      <c r="F2484" s="3"/>
      <c r="G2484" s="158"/>
      <c r="H2484" s="155"/>
      <c r="I2484" s="155"/>
      <c r="J2484" s="156"/>
      <c r="K2484" s="5"/>
      <c r="L2484" s="3"/>
      <c r="M2484" s="6"/>
      <c r="N2484" s="9"/>
      <c r="O2484" s="158"/>
      <c r="P2484" s="12"/>
      <c r="Q2484" s="12"/>
      <c r="R2484" s="12"/>
      <c r="S2484" s="12"/>
      <c r="T2484" s="12"/>
      <c r="U2484" s="12"/>
      <c r="V2484" s="12"/>
      <c r="W2484" s="12"/>
      <c r="X2484" s="12"/>
      <c r="Y2484" s="12"/>
      <c r="Z2484" s="12"/>
    </row>
    <row r="2485" spans="1:26" ht="14.25" customHeight="1" x14ac:dyDescent="0.3">
      <c r="A2485" s="155"/>
      <c r="B2485" s="156"/>
      <c r="C2485" s="3"/>
      <c r="D2485" s="3"/>
      <c r="E2485" s="156"/>
      <c r="F2485" s="3"/>
      <c r="G2485" s="158"/>
      <c r="H2485" s="155"/>
      <c r="I2485" s="155"/>
      <c r="J2485" s="156"/>
      <c r="K2485" s="5"/>
      <c r="L2485" s="3"/>
      <c r="M2485" s="6"/>
      <c r="N2485" s="9"/>
      <c r="O2485" s="158"/>
      <c r="P2485" s="12"/>
      <c r="Q2485" s="12"/>
      <c r="R2485" s="12"/>
      <c r="S2485" s="12"/>
      <c r="T2485" s="12"/>
      <c r="U2485" s="12"/>
      <c r="V2485" s="12"/>
      <c r="W2485" s="12"/>
      <c r="X2485" s="12"/>
      <c r="Y2485" s="12"/>
      <c r="Z2485" s="12"/>
    </row>
    <row r="2486" spans="1:26" ht="14.25" customHeight="1" x14ac:dyDescent="0.3">
      <c r="A2486" s="155"/>
      <c r="B2486" s="156"/>
      <c r="C2486" s="3"/>
      <c r="D2486" s="3"/>
      <c r="E2486" s="156"/>
      <c r="F2486" s="3"/>
      <c r="G2486" s="158"/>
      <c r="H2486" s="155"/>
      <c r="I2486" s="155"/>
      <c r="J2486" s="156"/>
      <c r="K2486" s="5"/>
      <c r="L2486" s="3"/>
      <c r="M2486" s="6"/>
      <c r="N2486" s="9"/>
      <c r="O2486" s="158"/>
      <c r="P2486" s="12"/>
      <c r="Q2486" s="12"/>
      <c r="R2486" s="12"/>
      <c r="S2486" s="12"/>
      <c r="T2486" s="12"/>
      <c r="U2486" s="12"/>
      <c r="V2486" s="12"/>
      <c r="W2486" s="12"/>
      <c r="X2486" s="12"/>
      <c r="Y2486" s="12"/>
      <c r="Z2486" s="12"/>
    </row>
    <row r="2487" spans="1:26" ht="14.25" customHeight="1" x14ac:dyDescent="0.3">
      <c r="A2487" s="155"/>
      <c r="B2487" s="156"/>
      <c r="C2487" s="3"/>
      <c r="D2487" s="3"/>
      <c r="E2487" s="156"/>
      <c r="F2487" s="3"/>
      <c r="G2487" s="158"/>
      <c r="H2487" s="155"/>
      <c r="I2487" s="155"/>
      <c r="J2487" s="156"/>
      <c r="K2487" s="5"/>
      <c r="L2487" s="3"/>
      <c r="M2487" s="6"/>
      <c r="N2487" s="9"/>
      <c r="O2487" s="158"/>
      <c r="P2487" s="12"/>
      <c r="Q2487" s="12"/>
      <c r="R2487" s="12"/>
      <c r="S2487" s="12"/>
      <c r="T2487" s="12"/>
      <c r="U2487" s="12"/>
      <c r="V2487" s="12"/>
      <c r="W2487" s="12"/>
      <c r="X2487" s="12"/>
      <c r="Y2487" s="12"/>
      <c r="Z2487" s="12"/>
    </row>
    <row r="2488" spans="1:26" ht="14.25" customHeight="1" x14ac:dyDescent="0.3">
      <c r="A2488" s="155"/>
      <c r="B2488" s="156"/>
      <c r="C2488" s="3"/>
      <c r="D2488" s="3"/>
      <c r="E2488" s="156"/>
      <c r="F2488" s="3"/>
      <c r="G2488" s="158"/>
      <c r="H2488" s="155"/>
      <c r="I2488" s="155"/>
      <c r="J2488" s="156"/>
      <c r="K2488" s="5"/>
      <c r="L2488" s="3"/>
      <c r="M2488" s="6"/>
      <c r="N2488" s="9"/>
      <c r="O2488" s="158"/>
      <c r="P2488" s="12"/>
      <c r="Q2488" s="12"/>
      <c r="R2488" s="12"/>
      <c r="S2488" s="12"/>
      <c r="T2488" s="12"/>
      <c r="U2488" s="12"/>
      <c r="V2488" s="12"/>
      <c r="W2488" s="12"/>
      <c r="X2488" s="12"/>
      <c r="Y2488" s="12"/>
      <c r="Z2488" s="12"/>
    </row>
    <row r="2489" spans="1:26" ht="14.25" customHeight="1" x14ac:dyDescent="0.3">
      <c r="A2489" s="155"/>
      <c r="B2489" s="156"/>
      <c r="C2489" s="3"/>
      <c r="D2489" s="3"/>
      <c r="E2489" s="156"/>
      <c r="F2489" s="3"/>
      <c r="G2489" s="158"/>
      <c r="H2489" s="155"/>
      <c r="I2489" s="155"/>
      <c r="J2489" s="156"/>
      <c r="K2489" s="5"/>
      <c r="L2489" s="3"/>
      <c r="M2489" s="6"/>
      <c r="N2489" s="9"/>
      <c r="O2489" s="158"/>
      <c r="P2489" s="12"/>
      <c r="Q2489" s="12"/>
      <c r="R2489" s="12"/>
      <c r="S2489" s="12"/>
      <c r="T2489" s="12"/>
      <c r="U2489" s="12"/>
      <c r="V2489" s="12"/>
      <c r="W2489" s="12"/>
      <c r="X2489" s="12"/>
      <c r="Y2489" s="12"/>
      <c r="Z2489" s="12"/>
    </row>
    <row r="2490" spans="1:26" ht="14.25" customHeight="1" x14ac:dyDescent="0.3">
      <c r="A2490" s="155"/>
      <c r="B2490" s="156"/>
      <c r="C2490" s="3"/>
      <c r="D2490" s="3"/>
      <c r="E2490" s="156"/>
      <c r="F2490" s="3"/>
      <c r="G2490" s="158"/>
      <c r="H2490" s="155"/>
      <c r="I2490" s="155"/>
      <c r="J2490" s="156"/>
      <c r="K2490" s="5"/>
      <c r="L2490" s="3"/>
      <c r="M2490" s="6"/>
      <c r="N2490" s="9"/>
      <c r="O2490" s="158"/>
      <c r="P2490" s="12"/>
      <c r="Q2490" s="12"/>
      <c r="R2490" s="12"/>
      <c r="S2490" s="12"/>
      <c r="T2490" s="12"/>
      <c r="U2490" s="12"/>
      <c r="V2490" s="12"/>
      <c r="W2490" s="12"/>
      <c r="X2490" s="12"/>
      <c r="Y2490" s="12"/>
      <c r="Z2490" s="12"/>
    </row>
    <row r="2491" spans="1:26" ht="14.25" customHeight="1" x14ac:dyDescent="0.3">
      <c r="A2491" s="155"/>
      <c r="B2491" s="156"/>
      <c r="C2491" s="3"/>
      <c r="D2491" s="3"/>
      <c r="E2491" s="156"/>
      <c r="F2491" s="3"/>
      <c r="G2491" s="158"/>
      <c r="H2491" s="155"/>
      <c r="I2491" s="155"/>
      <c r="J2491" s="156"/>
      <c r="K2491" s="5"/>
      <c r="L2491" s="3"/>
      <c r="M2491" s="6"/>
      <c r="N2491" s="9"/>
      <c r="O2491" s="158"/>
      <c r="P2491" s="12"/>
      <c r="Q2491" s="12"/>
      <c r="R2491" s="12"/>
      <c r="S2491" s="12"/>
      <c r="T2491" s="12"/>
      <c r="U2491" s="12"/>
      <c r="V2491" s="12"/>
      <c r="W2491" s="12"/>
      <c r="X2491" s="12"/>
      <c r="Y2491" s="12"/>
      <c r="Z2491" s="12"/>
    </row>
    <row r="2492" spans="1:26" ht="14.25" customHeight="1" x14ac:dyDescent="0.3">
      <c r="A2492" s="155"/>
      <c r="B2492" s="156"/>
      <c r="C2492" s="3"/>
      <c r="D2492" s="3"/>
      <c r="E2492" s="156"/>
      <c r="F2492" s="3"/>
      <c r="G2492" s="158"/>
      <c r="H2492" s="155"/>
      <c r="I2492" s="155"/>
      <c r="J2492" s="156"/>
      <c r="K2492" s="5"/>
      <c r="L2492" s="3"/>
      <c r="M2492" s="6"/>
      <c r="N2492" s="9"/>
      <c r="O2492" s="158"/>
      <c r="P2492" s="12"/>
      <c r="Q2492" s="12"/>
      <c r="R2492" s="12"/>
      <c r="S2492" s="12"/>
      <c r="T2492" s="12"/>
      <c r="U2492" s="12"/>
      <c r="V2492" s="12"/>
      <c r="W2492" s="12"/>
      <c r="X2492" s="12"/>
      <c r="Y2492" s="12"/>
      <c r="Z2492" s="12"/>
    </row>
    <row r="2493" spans="1:26" ht="14.25" customHeight="1" x14ac:dyDescent="0.3">
      <c r="A2493" s="155"/>
      <c r="B2493" s="156"/>
      <c r="C2493" s="3"/>
      <c r="D2493" s="3"/>
      <c r="E2493" s="156"/>
      <c r="F2493" s="3"/>
      <c r="G2493" s="158"/>
      <c r="H2493" s="155"/>
      <c r="I2493" s="155"/>
      <c r="J2493" s="156"/>
      <c r="K2493" s="5"/>
      <c r="L2493" s="3"/>
      <c r="M2493" s="6"/>
      <c r="N2493" s="9"/>
      <c r="O2493" s="158"/>
      <c r="P2493" s="12"/>
      <c r="Q2493" s="12"/>
      <c r="R2493" s="12"/>
      <c r="S2493" s="12"/>
      <c r="T2493" s="12"/>
      <c r="U2493" s="12"/>
      <c r="V2493" s="12"/>
      <c r="W2493" s="12"/>
      <c r="X2493" s="12"/>
      <c r="Y2493" s="12"/>
      <c r="Z2493" s="12"/>
    </row>
    <row r="2494" spans="1:26" ht="14.25" customHeight="1" x14ac:dyDescent="0.3">
      <c r="A2494" s="155"/>
      <c r="B2494" s="156"/>
      <c r="C2494" s="3"/>
      <c r="D2494" s="3"/>
      <c r="E2494" s="156"/>
      <c r="F2494" s="3"/>
      <c r="G2494" s="158"/>
      <c r="H2494" s="155"/>
      <c r="I2494" s="155"/>
      <c r="J2494" s="156"/>
      <c r="K2494" s="5"/>
      <c r="L2494" s="3"/>
      <c r="M2494" s="6"/>
      <c r="N2494" s="9"/>
      <c r="O2494" s="158"/>
      <c r="P2494" s="12"/>
      <c r="Q2494" s="12"/>
      <c r="R2494" s="12"/>
      <c r="S2494" s="12"/>
      <c r="T2494" s="12"/>
      <c r="U2494" s="12"/>
      <c r="V2494" s="12"/>
      <c r="W2494" s="12"/>
      <c r="X2494" s="12"/>
      <c r="Y2494" s="12"/>
      <c r="Z2494" s="12"/>
    </row>
    <row r="2495" spans="1:26" ht="14.25" customHeight="1" x14ac:dyDescent="0.3">
      <c r="A2495" s="155"/>
      <c r="B2495" s="156"/>
      <c r="C2495" s="3"/>
      <c r="D2495" s="3"/>
      <c r="E2495" s="156"/>
      <c r="F2495" s="3"/>
      <c r="G2495" s="158"/>
      <c r="H2495" s="155"/>
      <c r="I2495" s="155"/>
      <c r="J2495" s="156"/>
      <c r="K2495" s="5"/>
      <c r="L2495" s="3"/>
      <c r="M2495" s="6"/>
      <c r="N2495" s="9"/>
      <c r="O2495" s="158"/>
      <c r="P2495" s="12"/>
      <c r="Q2495" s="12"/>
      <c r="R2495" s="12"/>
      <c r="S2495" s="12"/>
      <c r="T2495" s="12"/>
      <c r="U2495" s="12"/>
      <c r="V2495" s="12"/>
      <c r="W2495" s="12"/>
      <c r="X2495" s="12"/>
      <c r="Y2495" s="12"/>
      <c r="Z2495" s="12"/>
    </row>
    <row r="2496" spans="1:26" ht="14.25" customHeight="1" x14ac:dyDescent="0.3">
      <c r="A2496" s="155"/>
      <c r="B2496" s="156"/>
      <c r="C2496" s="3"/>
      <c r="D2496" s="3"/>
      <c r="E2496" s="156"/>
      <c r="F2496" s="3"/>
      <c r="G2496" s="158"/>
      <c r="H2496" s="155"/>
      <c r="I2496" s="155"/>
      <c r="J2496" s="156"/>
      <c r="K2496" s="5"/>
      <c r="L2496" s="3"/>
      <c r="M2496" s="6"/>
      <c r="N2496" s="9"/>
      <c r="O2496" s="158"/>
      <c r="P2496" s="12"/>
      <c r="Q2496" s="12"/>
      <c r="R2496" s="12"/>
      <c r="S2496" s="12"/>
      <c r="T2496" s="12"/>
      <c r="U2496" s="12"/>
      <c r="V2496" s="12"/>
      <c r="W2496" s="12"/>
      <c r="X2496" s="12"/>
      <c r="Y2496" s="12"/>
      <c r="Z2496" s="12"/>
    </row>
    <row r="2497" spans="1:26" ht="14.25" customHeight="1" x14ac:dyDescent="0.3">
      <c r="A2497" s="155"/>
      <c r="B2497" s="156"/>
      <c r="C2497" s="3"/>
      <c r="D2497" s="3"/>
      <c r="E2497" s="156"/>
      <c r="F2497" s="3"/>
      <c r="G2497" s="158"/>
      <c r="H2497" s="155"/>
      <c r="I2497" s="155"/>
      <c r="J2497" s="156"/>
      <c r="K2497" s="5"/>
      <c r="L2497" s="3"/>
      <c r="M2497" s="6"/>
      <c r="N2497" s="9"/>
      <c r="O2497" s="158"/>
      <c r="P2497" s="12"/>
      <c r="Q2497" s="12"/>
      <c r="R2497" s="12"/>
      <c r="S2497" s="12"/>
      <c r="T2497" s="12"/>
      <c r="U2497" s="12"/>
      <c r="V2497" s="12"/>
      <c r="W2497" s="12"/>
      <c r="X2497" s="12"/>
      <c r="Y2497" s="12"/>
      <c r="Z2497" s="12"/>
    </row>
    <row r="2498" spans="1:26" ht="14.25" customHeight="1" x14ac:dyDescent="0.3">
      <c r="A2498" s="155"/>
      <c r="B2498" s="156"/>
      <c r="C2498" s="3"/>
      <c r="D2498" s="3"/>
      <c r="E2498" s="156"/>
      <c r="F2498" s="3"/>
      <c r="G2498" s="158"/>
      <c r="H2498" s="155"/>
      <c r="I2498" s="155"/>
      <c r="J2498" s="156"/>
      <c r="K2498" s="5"/>
      <c r="L2498" s="3"/>
      <c r="M2498" s="6"/>
      <c r="N2498" s="9"/>
      <c r="O2498" s="158"/>
      <c r="P2498" s="12"/>
      <c r="Q2498" s="12"/>
      <c r="R2498" s="12"/>
      <c r="S2498" s="12"/>
      <c r="T2498" s="12"/>
      <c r="U2498" s="12"/>
      <c r="V2498" s="12"/>
      <c r="W2498" s="12"/>
      <c r="X2498" s="12"/>
      <c r="Y2498" s="12"/>
      <c r="Z2498" s="12"/>
    </row>
    <row r="2499" spans="1:26" ht="14.25" customHeight="1" x14ac:dyDescent="0.3">
      <c r="A2499" s="155"/>
      <c r="B2499" s="156"/>
      <c r="C2499" s="3"/>
      <c r="D2499" s="3"/>
      <c r="E2499" s="156"/>
      <c r="F2499" s="3"/>
      <c r="G2499" s="158"/>
      <c r="H2499" s="155"/>
      <c r="I2499" s="155"/>
      <c r="J2499" s="156"/>
      <c r="K2499" s="5"/>
      <c r="L2499" s="3"/>
      <c r="M2499" s="6"/>
      <c r="N2499" s="9"/>
      <c r="O2499" s="158"/>
      <c r="P2499" s="12"/>
      <c r="Q2499" s="12"/>
      <c r="R2499" s="12"/>
      <c r="S2499" s="12"/>
      <c r="T2499" s="12"/>
      <c r="U2499" s="12"/>
      <c r="V2499" s="12"/>
      <c r="W2499" s="12"/>
      <c r="X2499" s="12"/>
      <c r="Y2499" s="12"/>
      <c r="Z2499" s="12"/>
    </row>
    <row r="2500" spans="1:26" ht="14.25" customHeight="1" x14ac:dyDescent="0.3">
      <c r="A2500" s="155"/>
      <c r="B2500" s="156"/>
      <c r="C2500" s="3"/>
      <c r="D2500" s="3"/>
      <c r="E2500" s="156"/>
      <c r="F2500" s="3"/>
      <c r="G2500" s="158"/>
      <c r="H2500" s="155"/>
      <c r="I2500" s="155"/>
      <c r="J2500" s="156"/>
      <c r="K2500" s="5"/>
      <c r="L2500" s="3"/>
      <c r="M2500" s="6"/>
      <c r="N2500" s="9"/>
      <c r="O2500" s="158"/>
      <c r="P2500" s="12"/>
      <c r="Q2500" s="12"/>
      <c r="R2500" s="12"/>
      <c r="S2500" s="12"/>
      <c r="T2500" s="12"/>
      <c r="U2500" s="12"/>
      <c r="V2500" s="12"/>
      <c r="W2500" s="12"/>
      <c r="X2500" s="12"/>
      <c r="Y2500" s="12"/>
      <c r="Z2500" s="12"/>
    </row>
    <row r="2501" spans="1:26" ht="14.25" customHeight="1" x14ac:dyDescent="0.3">
      <c r="A2501" s="155"/>
      <c r="B2501" s="156"/>
      <c r="C2501" s="3"/>
      <c r="D2501" s="3"/>
      <c r="E2501" s="156"/>
      <c r="F2501" s="3"/>
      <c r="G2501" s="158"/>
      <c r="H2501" s="155"/>
      <c r="I2501" s="155"/>
      <c r="J2501" s="156"/>
      <c r="K2501" s="5"/>
      <c r="L2501" s="3"/>
      <c r="M2501" s="6"/>
      <c r="N2501" s="9"/>
      <c r="O2501" s="158"/>
      <c r="P2501" s="12"/>
      <c r="Q2501" s="12"/>
      <c r="R2501" s="12"/>
      <c r="S2501" s="12"/>
      <c r="T2501" s="12"/>
      <c r="U2501" s="12"/>
      <c r="V2501" s="12"/>
      <c r="W2501" s="12"/>
      <c r="X2501" s="12"/>
      <c r="Y2501" s="12"/>
      <c r="Z2501" s="12"/>
    </row>
    <row r="2502" spans="1:26" ht="14.25" customHeight="1" x14ac:dyDescent="0.3">
      <c r="A2502" s="155"/>
      <c r="B2502" s="156"/>
      <c r="C2502" s="3"/>
      <c r="D2502" s="3"/>
      <c r="E2502" s="156"/>
      <c r="F2502" s="3"/>
      <c r="G2502" s="158"/>
      <c r="H2502" s="155"/>
      <c r="I2502" s="155"/>
      <c r="J2502" s="156"/>
      <c r="K2502" s="5"/>
      <c r="L2502" s="3"/>
      <c r="M2502" s="6"/>
      <c r="N2502" s="9"/>
      <c r="O2502" s="158"/>
      <c r="P2502" s="12"/>
      <c r="Q2502" s="12"/>
      <c r="R2502" s="12"/>
      <c r="S2502" s="12"/>
      <c r="T2502" s="12"/>
      <c r="U2502" s="12"/>
      <c r="V2502" s="12"/>
      <c r="W2502" s="12"/>
      <c r="X2502" s="12"/>
      <c r="Y2502" s="12"/>
      <c r="Z2502" s="12"/>
    </row>
    <row r="2503" spans="1:26" ht="14.25" customHeight="1" x14ac:dyDescent="0.3">
      <c r="A2503" s="155"/>
      <c r="B2503" s="156"/>
      <c r="C2503" s="3"/>
      <c r="D2503" s="3"/>
      <c r="E2503" s="156"/>
      <c r="F2503" s="3"/>
      <c r="G2503" s="158"/>
      <c r="H2503" s="155"/>
      <c r="I2503" s="155"/>
      <c r="J2503" s="156"/>
      <c r="K2503" s="5"/>
      <c r="L2503" s="3"/>
      <c r="M2503" s="6"/>
      <c r="N2503" s="9"/>
      <c r="O2503" s="158"/>
      <c r="P2503" s="12"/>
      <c r="Q2503" s="12"/>
      <c r="R2503" s="12"/>
      <c r="S2503" s="12"/>
      <c r="T2503" s="12"/>
      <c r="U2503" s="12"/>
      <c r="V2503" s="12"/>
      <c r="W2503" s="12"/>
      <c r="X2503" s="12"/>
      <c r="Y2503" s="12"/>
      <c r="Z2503" s="12"/>
    </row>
    <row r="2504" spans="1:26" ht="14.25" customHeight="1" x14ac:dyDescent="0.3">
      <c r="A2504" s="155"/>
      <c r="B2504" s="156"/>
      <c r="C2504" s="3"/>
      <c r="D2504" s="3"/>
      <c r="E2504" s="156"/>
      <c r="F2504" s="3"/>
      <c r="G2504" s="158"/>
      <c r="H2504" s="155"/>
      <c r="I2504" s="155"/>
      <c r="J2504" s="156"/>
      <c r="K2504" s="5"/>
      <c r="L2504" s="3"/>
      <c r="M2504" s="6"/>
      <c r="N2504" s="9"/>
      <c r="O2504" s="158"/>
      <c r="P2504" s="12"/>
      <c r="Q2504" s="12"/>
      <c r="R2504" s="12"/>
      <c r="S2504" s="12"/>
      <c r="T2504" s="12"/>
      <c r="U2504" s="12"/>
      <c r="V2504" s="12"/>
      <c r="W2504" s="12"/>
      <c r="X2504" s="12"/>
      <c r="Y2504" s="12"/>
      <c r="Z2504" s="12"/>
    </row>
    <row r="2505" spans="1:26" ht="14.25" customHeight="1" x14ac:dyDescent="0.3">
      <c r="A2505" s="155"/>
      <c r="B2505" s="156"/>
      <c r="C2505" s="3"/>
      <c r="D2505" s="3"/>
      <c r="E2505" s="156"/>
      <c r="F2505" s="3"/>
      <c r="G2505" s="158"/>
      <c r="H2505" s="155"/>
      <c r="I2505" s="155"/>
      <c r="J2505" s="156"/>
      <c r="K2505" s="5"/>
      <c r="L2505" s="3"/>
      <c r="M2505" s="6"/>
      <c r="N2505" s="9"/>
      <c r="O2505" s="158"/>
      <c r="P2505" s="12"/>
      <c r="Q2505" s="12"/>
      <c r="R2505" s="12"/>
      <c r="S2505" s="12"/>
      <c r="T2505" s="12"/>
      <c r="U2505" s="12"/>
      <c r="V2505" s="12"/>
      <c r="W2505" s="12"/>
      <c r="X2505" s="12"/>
      <c r="Y2505" s="12"/>
      <c r="Z2505" s="12"/>
    </row>
    <row r="2506" spans="1:26" ht="14.25" customHeight="1" x14ac:dyDescent="0.3">
      <c r="A2506" s="155"/>
      <c r="B2506" s="156"/>
      <c r="C2506" s="3"/>
      <c r="D2506" s="3"/>
      <c r="E2506" s="156"/>
      <c r="F2506" s="3"/>
      <c r="G2506" s="158"/>
      <c r="H2506" s="155"/>
      <c r="I2506" s="155"/>
      <c r="J2506" s="156"/>
      <c r="K2506" s="5"/>
      <c r="L2506" s="3"/>
      <c r="M2506" s="6"/>
      <c r="N2506" s="9"/>
      <c r="O2506" s="158"/>
      <c r="P2506" s="12"/>
      <c r="Q2506" s="12"/>
      <c r="R2506" s="12"/>
      <c r="S2506" s="12"/>
      <c r="T2506" s="12"/>
      <c r="U2506" s="12"/>
      <c r="V2506" s="12"/>
      <c r="W2506" s="12"/>
      <c r="X2506" s="12"/>
      <c r="Y2506" s="12"/>
      <c r="Z2506" s="12"/>
    </row>
    <row r="2507" spans="1:26" ht="14.25" customHeight="1" x14ac:dyDescent="0.3">
      <c r="A2507" s="155"/>
      <c r="B2507" s="156"/>
      <c r="C2507" s="3"/>
      <c r="D2507" s="3"/>
      <c r="E2507" s="156"/>
      <c r="F2507" s="3"/>
      <c r="G2507" s="158"/>
      <c r="H2507" s="155"/>
      <c r="I2507" s="155"/>
      <c r="J2507" s="156"/>
      <c r="K2507" s="5"/>
      <c r="L2507" s="3"/>
      <c r="M2507" s="6"/>
      <c r="N2507" s="9"/>
      <c r="O2507" s="158"/>
      <c r="P2507" s="12"/>
      <c r="Q2507" s="12"/>
      <c r="R2507" s="12"/>
      <c r="S2507" s="12"/>
      <c r="T2507" s="12"/>
      <c r="U2507" s="12"/>
      <c r="V2507" s="12"/>
      <c r="W2507" s="12"/>
      <c r="X2507" s="12"/>
      <c r="Y2507" s="12"/>
      <c r="Z2507" s="12"/>
    </row>
    <row r="2508" spans="1:26" ht="14.25" customHeight="1" x14ac:dyDescent="0.3">
      <c r="A2508" s="155"/>
      <c r="B2508" s="156"/>
      <c r="C2508" s="3"/>
      <c r="D2508" s="3"/>
      <c r="E2508" s="156"/>
      <c r="F2508" s="3"/>
      <c r="G2508" s="158"/>
      <c r="H2508" s="155"/>
      <c r="I2508" s="155"/>
      <c r="J2508" s="156"/>
      <c r="K2508" s="5"/>
      <c r="L2508" s="3"/>
      <c r="M2508" s="6"/>
      <c r="N2508" s="9"/>
      <c r="O2508" s="158"/>
      <c r="P2508" s="12"/>
      <c r="Q2508" s="12"/>
      <c r="R2508" s="12"/>
      <c r="S2508" s="12"/>
      <c r="T2508" s="12"/>
      <c r="U2508" s="12"/>
      <c r="V2508" s="12"/>
      <c r="W2508" s="12"/>
      <c r="X2508" s="12"/>
      <c r="Y2508" s="12"/>
      <c r="Z2508" s="12"/>
    </row>
    <row r="2509" spans="1:26" ht="14.25" customHeight="1" x14ac:dyDescent="0.3">
      <c r="A2509" s="155"/>
      <c r="B2509" s="156"/>
      <c r="C2509" s="3"/>
      <c r="D2509" s="3"/>
      <c r="E2509" s="156"/>
      <c r="F2509" s="3"/>
      <c r="G2509" s="158"/>
      <c r="H2509" s="155"/>
      <c r="I2509" s="155"/>
      <c r="J2509" s="156"/>
      <c r="K2509" s="5"/>
      <c r="L2509" s="3"/>
      <c r="M2509" s="6"/>
      <c r="N2509" s="9"/>
      <c r="O2509" s="158"/>
      <c r="P2509" s="12"/>
      <c r="Q2509" s="12"/>
      <c r="R2509" s="12"/>
      <c r="S2509" s="12"/>
      <c r="T2509" s="12"/>
      <c r="U2509" s="12"/>
      <c r="V2509" s="12"/>
      <c r="W2509" s="12"/>
      <c r="X2509" s="12"/>
      <c r="Y2509" s="12"/>
      <c r="Z2509" s="12"/>
    </row>
    <row r="2510" spans="1:26" ht="14.25" customHeight="1" x14ac:dyDescent="0.3">
      <c r="A2510" s="155"/>
      <c r="B2510" s="156"/>
      <c r="C2510" s="3"/>
      <c r="D2510" s="3"/>
      <c r="E2510" s="156"/>
      <c r="F2510" s="3"/>
      <c r="G2510" s="158"/>
      <c r="H2510" s="155"/>
      <c r="I2510" s="155"/>
      <c r="J2510" s="156"/>
      <c r="K2510" s="5"/>
      <c r="L2510" s="3"/>
      <c r="M2510" s="6"/>
      <c r="N2510" s="9"/>
      <c r="O2510" s="158"/>
      <c r="P2510" s="12"/>
      <c r="Q2510" s="12"/>
      <c r="R2510" s="12"/>
      <c r="S2510" s="12"/>
      <c r="T2510" s="12"/>
      <c r="U2510" s="12"/>
      <c r="V2510" s="12"/>
      <c r="W2510" s="12"/>
      <c r="X2510" s="12"/>
      <c r="Y2510" s="12"/>
      <c r="Z2510" s="12"/>
    </row>
    <row r="2511" spans="1:26" ht="14.25" customHeight="1" x14ac:dyDescent="0.3">
      <c r="A2511" s="155"/>
      <c r="B2511" s="156"/>
      <c r="C2511" s="3"/>
      <c r="D2511" s="3"/>
      <c r="E2511" s="156"/>
      <c r="F2511" s="3"/>
      <c r="G2511" s="158"/>
      <c r="H2511" s="155"/>
      <c r="I2511" s="155"/>
      <c r="J2511" s="156"/>
      <c r="K2511" s="5"/>
      <c r="L2511" s="3"/>
      <c r="M2511" s="6"/>
      <c r="N2511" s="9"/>
      <c r="O2511" s="158"/>
      <c r="P2511" s="12"/>
      <c r="Q2511" s="12"/>
      <c r="R2511" s="12"/>
      <c r="S2511" s="12"/>
      <c r="T2511" s="12"/>
      <c r="U2511" s="12"/>
      <c r="V2511" s="12"/>
      <c r="W2511" s="12"/>
      <c r="X2511" s="12"/>
      <c r="Y2511" s="12"/>
      <c r="Z2511" s="12"/>
    </row>
    <row r="2512" spans="1:26" ht="14.25" customHeight="1" x14ac:dyDescent="0.3">
      <c r="A2512" s="155"/>
      <c r="B2512" s="156"/>
      <c r="C2512" s="3"/>
      <c r="D2512" s="3"/>
      <c r="E2512" s="156"/>
      <c r="F2512" s="3"/>
      <c r="G2512" s="158"/>
      <c r="H2512" s="155"/>
      <c r="I2512" s="155"/>
      <c r="J2512" s="156"/>
      <c r="K2512" s="5"/>
      <c r="L2512" s="3"/>
      <c r="M2512" s="6"/>
      <c r="N2512" s="9"/>
      <c r="O2512" s="158"/>
      <c r="P2512" s="12"/>
      <c r="Q2512" s="12"/>
      <c r="R2512" s="12"/>
      <c r="S2512" s="12"/>
      <c r="T2512" s="12"/>
      <c r="U2512" s="12"/>
      <c r="V2512" s="12"/>
      <c r="W2512" s="12"/>
      <c r="X2512" s="12"/>
      <c r="Y2512" s="12"/>
      <c r="Z2512" s="12"/>
    </row>
    <row r="2513" spans="1:26" ht="14.25" customHeight="1" x14ac:dyDescent="0.3">
      <c r="A2513" s="155"/>
      <c r="B2513" s="156"/>
      <c r="C2513" s="3"/>
      <c r="D2513" s="3"/>
      <c r="E2513" s="156"/>
      <c r="F2513" s="3"/>
      <c r="G2513" s="158"/>
      <c r="H2513" s="155"/>
      <c r="I2513" s="155"/>
      <c r="J2513" s="156"/>
      <c r="K2513" s="5"/>
      <c r="L2513" s="3"/>
      <c r="M2513" s="6"/>
      <c r="N2513" s="9"/>
      <c r="O2513" s="158"/>
      <c r="P2513" s="12"/>
      <c r="Q2513" s="12"/>
      <c r="R2513" s="12"/>
      <c r="S2513" s="12"/>
      <c r="T2513" s="12"/>
      <c r="U2513" s="12"/>
      <c r="V2513" s="12"/>
      <c r="W2513" s="12"/>
      <c r="X2513" s="12"/>
      <c r="Y2513" s="12"/>
      <c r="Z2513" s="12"/>
    </row>
    <row r="2514" spans="1:26" ht="14.25" customHeight="1" x14ac:dyDescent="0.3">
      <c r="A2514" s="155"/>
      <c r="B2514" s="156"/>
      <c r="C2514" s="3"/>
      <c r="D2514" s="3"/>
      <c r="E2514" s="156"/>
      <c r="F2514" s="3"/>
      <c r="G2514" s="158"/>
      <c r="H2514" s="155"/>
      <c r="I2514" s="155"/>
      <c r="J2514" s="156"/>
      <c r="K2514" s="5"/>
      <c r="L2514" s="3"/>
      <c r="M2514" s="6"/>
      <c r="N2514" s="9"/>
      <c r="O2514" s="158"/>
      <c r="P2514" s="12"/>
      <c r="Q2514" s="12"/>
      <c r="R2514" s="12"/>
      <c r="S2514" s="12"/>
      <c r="T2514" s="12"/>
      <c r="U2514" s="12"/>
      <c r="V2514" s="12"/>
      <c r="W2514" s="12"/>
      <c r="X2514" s="12"/>
      <c r="Y2514" s="12"/>
      <c r="Z2514" s="12"/>
    </row>
    <row r="2515" spans="1:26" ht="14.25" customHeight="1" x14ac:dyDescent="0.3">
      <c r="A2515" s="155"/>
      <c r="B2515" s="156"/>
      <c r="C2515" s="3"/>
      <c r="D2515" s="3"/>
      <c r="E2515" s="156"/>
      <c r="F2515" s="3"/>
      <c r="G2515" s="158"/>
      <c r="H2515" s="155"/>
      <c r="I2515" s="155"/>
      <c r="J2515" s="156"/>
      <c r="K2515" s="5"/>
      <c r="L2515" s="3"/>
      <c r="M2515" s="6"/>
      <c r="N2515" s="9"/>
      <c r="O2515" s="158"/>
      <c r="P2515" s="12"/>
      <c r="Q2515" s="12"/>
      <c r="R2515" s="12"/>
      <c r="S2515" s="12"/>
      <c r="T2515" s="12"/>
      <c r="U2515" s="12"/>
      <c r="V2515" s="12"/>
      <c r="W2515" s="12"/>
      <c r="X2515" s="12"/>
      <c r="Y2515" s="12"/>
      <c r="Z2515" s="12"/>
    </row>
    <row r="2516" spans="1:26" ht="14.25" customHeight="1" x14ac:dyDescent="0.3">
      <c r="A2516" s="155"/>
      <c r="B2516" s="156"/>
      <c r="C2516" s="3"/>
      <c r="D2516" s="3"/>
      <c r="E2516" s="156"/>
      <c r="F2516" s="3"/>
      <c r="G2516" s="158"/>
      <c r="H2516" s="155"/>
      <c r="I2516" s="155"/>
      <c r="J2516" s="156"/>
      <c r="K2516" s="5"/>
      <c r="L2516" s="3"/>
      <c r="M2516" s="6"/>
      <c r="N2516" s="9"/>
      <c r="O2516" s="158"/>
      <c r="P2516" s="12"/>
      <c r="Q2516" s="12"/>
      <c r="R2516" s="12"/>
      <c r="S2516" s="12"/>
      <c r="T2516" s="12"/>
      <c r="U2516" s="12"/>
      <c r="V2516" s="12"/>
      <c r="W2516" s="12"/>
      <c r="X2516" s="12"/>
      <c r="Y2516" s="12"/>
      <c r="Z2516" s="12"/>
    </row>
    <row r="2517" spans="1:26" ht="14.25" customHeight="1" x14ac:dyDescent="0.3">
      <c r="A2517" s="155"/>
      <c r="B2517" s="156"/>
      <c r="C2517" s="3"/>
      <c r="D2517" s="3"/>
      <c r="E2517" s="156"/>
      <c r="F2517" s="3"/>
      <c r="G2517" s="158"/>
      <c r="H2517" s="155"/>
      <c r="I2517" s="155"/>
      <c r="J2517" s="156"/>
      <c r="K2517" s="5"/>
      <c r="L2517" s="3"/>
      <c r="M2517" s="6"/>
      <c r="N2517" s="9"/>
      <c r="O2517" s="158"/>
      <c r="P2517" s="12"/>
      <c r="Q2517" s="12"/>
      <c r="R2517" s="12"/>
      <c r="S2517" s="12"/>
      <c r="T2517" s="12"/>
      <c r="U2517" s="12"/>
      <c r="V2517" s="12"/>
      <c r="W2517" s="12"/>
      <c r="X2517" s="12"/>
      <c r="Y2517" s="12"/>
      <c r="Z2517" s="12"/>
    </row>
    <row r="2518" spans="1:26" ht="14.25" customHeight="1" x14ac:dyDescent="0.3">
      <c r="A2518" s="155"/>
      <c r="B2518" s="156"/>
      <c r="C2518" s="3"/>
      <c r="D2518" s="3"/>
      <c r="E2518" s="156"/>
      <c r="F2518" s="3"/>
      <c r="G2518" s="158"/>
      <c r="H2518" s="155"/>
      <c r="I2518" s="155"/>
      <c r="J2518" s="156"/>
      <c r="K2518" s="5"/>
      <c r="L2518" s="3"/>
      <c r="M2518" s="6"/>
      <c r="N2518" s="9"/>
      <c r="O2518" s="158"/>
      <c r="P2518" s="12"/>
      <c r="Q2518" s="12"/>
      <c r="R2518" s="12"/>
      <c r="S2518" s="12"/>
      <c r="T2518" s="12"/>
      <c r="U2518" s="12"/>
      <c r="V2518" s="12"/>
      <c r="W2518" s="12"/>
      <c r="X2518" s="12"/>
      <c r="Y2518" s="12"/>
      <c r="Z2518" s="12"/>
    </row>
    <row r="2519" spans="1:26" ht="14.25" customHeight="1" x14ac:dyDescent="0.3">
      <c r="A2519" s="155"/>
      <c r="B2519" s="156"/>
      <c r="C2519" s="3"/>
      <c r="D2519" s="3"/>
      <c r="E2519" s="156"/>
      <c r="F2519" s="3"/>
      <c r="G2519" s="158"/>
      <c r="H2519" s="155"/>
      <c r="I2519" s="155"/>
      <c r="J2519" s="156"/>
      <c r="K2519" s="5"/>
      <c r="L2519" s="3"/>
      <c r="M2519" s="6"/>
      <c r="N2519" s="9"/>
      <c r="O2519" s="158"/>
      <c r="P2519" s="12"/>
      <c r="Q2519" s="12"/>
      <c r="R2519" s="12"/>
      <c r="S2519" s="12"/>
      <c r="T2519" s="12"/>
      <c r="U2519" s="12"/>
      <c r="V2519" s="12"/>
      <c r="W2519" s="12"/>
      <c r="X2519" s="12"/>
      <c r="Y2519" s="12"/>
      <c r="Z2519" s="12"/>
    </row>
    <row r="2520" spans="1:26" ht="14.25" customHeight="1" x14ac:dyDescent="0.3">
      <c r="A2520" s="155"/>
      <c r="B2520" s="156"/>
      <c r="C2520" s="3"/>
      <c r="D2520" s="3"/>
      <c r="E2520" s="156"/>
      <c r="F2520" s="3"/>
      <c r="G2520" s="158"/>
      <c r="H2520" s="155"/>
      <c r="I2520" s="155"/>
      <c r="J2520" s="156"/>
      <c r="K2520" s="5"/>
      <c r="L2520" s="3"/>
      <c r="M2520" s="6"/>
      <c r="N2520" s="9"/>
      <c r="O2520" s="158"/>
      <c r="P2520" s="12"/>
      <c r="Q2520" s="12"/>
      <c r="R2520" s="12"/>
      <c r="S2520" s="12"/>
      <c r="T2520" s="12"/>
      <c r="U2520" s="12"/>
      <c r="V2520" s="12"/>
      <c r="W2520" s="12"/>
      <c r="X2520" s="12"/>
      <c r="Y2520" s="12"/>
      <c r="Z2520" s="12"/>
    </row>
    <row r="2521" spans="1:26" ht="14.25" customHeight="1" x14ac:dyDescent="0.3">
      <c r="A2521" s="155"/>
      <c r="B2521" s="156"/>
      <c r="C2521" s="3"/>
      <c r="D2521" s="3"/>
      <c r="E2521" s="156"/>
      <c r="F2521" s="3"/>
      <c r="G2521" s="158"/>
      <c r="H2521" s="155"/>
      <c r="I2521" s="155"/>
      <c r="J2521" s="156"/>
      <c r="K2521" s="5"/>
      <c r="L2521" s="3"/>
      <c r="M2521" s="6"/>
      <c r="N2521" s="9"/>
      <c r="O2521" s="158"/>
      <c r="P2521" s="12"/>
      <c r="Q2521" s="12"/>
      <c r="R2521" s="12"/>
      <c r="S2521" s="12"/>
      <c r="T2521" s="12"/>
      <c r="U2521" s="12"/>
      <c r="V2521" s="12"/>
      <c r="W2521" s="12"/>
      <c r="X2521" s="12"/>
      <c r="Y2521" s="12"/>
      <c r="Z2521" s="12"/>
    </row>
    <row r="2522" spans="1:26" ht="14.25" customHeight="1" x14ac:dyDescent="0.3">
      <c r="A2522" s="155"/>
      <c r="B2522" s="156"/>
      <c r="C2522" s="3"/>
      <c r="D2522" s="3"/>
      <c r="E2522" s="156"/>
      <c r="F2522" s="3"/>
      <c r="G2522" s="158"/>
      <c r="H2522" s="155"/>
      <c r="I2522" s="155"/>
      <c r="J2522" s="156"/>
      <c r="K2522" s="5"/>
      <c r="L2522" s="3"/>
      <c r="M2522" s="6"/>
      <c r="N2522" s="9"/>
      <c r="O2522" s="158"/>
      <c r="P2522" s="12"/>
      <c r="Q2522" s="12"/>
      <c r="R2522" s="12"/>
      <c r="S2522" s="12"/>
      <c r="T2522" s="12"/>
      <c r="U2522" s="12"/>
      <c r="V2522" s="12"/>
      <c r="W2522" s="12"/>
      <c r="X2522" s="12"/>
      <c r="Y2522" s="12"/>
      <c r="Z2522" s="12"/>
    </row>
    <row r="2523" spans="1:26" ht="14.25" customHeight="1" x14ac:dyDescent="0.3">
      <c r="A2523" s="155"/>
      <c r="B2523" s="156"/>
      <c r="C2523" s="3"/>
      <c r="D2523" s="3"/>
      <c r="E2523" s="156"/>
      <c r="F2523" s="3"/>
      <c r="G2523" s="158"/>
      <c r="H2523" s="155"/>
      <c r="I2523" s="155"/>
      <c r="J2523" s="156"/>
      <c r="K2523" s="5"/>
      <c r="L2523" s="3"/>
      <c r="M2523" s="6"/>
      <c r="N2523" s="9"/>
      <c r="O2523" s="158"/>
      <c r="P2523" s="12"/>
      <c r="Q2523" s="12"/>
      <c r="R2523" s="12"/>
      <c r="S2523" s="12"/>
      <c r="T2523" s="12"/>
      <c r="U2523" s="12"/>
      <c r="V2523" s="12"/>
      <c r="W2523" s="12"/>
      <c r="X2523" s="12"/>
      <c r="Y2523" s="12"/>
      <c r="Z2523" s="12"/>
    </row>
    <row r="2524" spans="1:26" ht="14.25" customHeight="1" x14ac:dyDescent="0.3">
      <c r="A2524" s="155"/>
      <c r="B2524" s="156"/>
      <c r="C2524" s="3"/>
      <c r="D2524" s="3"/>
      <c r="E2524" s="156"/>
      <c r="F2524" s="3"/>
      <c r="G2524" s="158"/>
      <c r="H2524" s="155"/>
      <c r="I2524" s="155"/>
      <c r="J2524" s="156"/>
      <c r="K2524" s="5"/>
      <c r="L2524" s="3"/>
      <c r="M2524" s="6"/>
      <c r="N2524" s="9"/>
      <c r="O2524" s="158"/>
      <c r="P2524" s="12"/>
      <c r="Q2524" s="12"/>
      <c r="R2524" s="12"/>
      <c r="S2524" s="12"/>
      <c r="T2524" s="12"/>
      <c r="U2524" s="12"/>
      <c r="V2524" s="12"/>
      <c r="W2524" s="12"/>
      <c r="X2524" s="12"/>
      <c r="Y2524" s="12"/>
      <c r="Z2524" s="12"/>
    </row>
    <row r="2525" spans="1:26" ht="14.25" customHeight="1" x14ac:dyDescent="0.3">
      <c r="A2525" s="155"/>
      <c r="B2525" s="156"/>
      <c r="C2525" s="3"/>
      <c r="D2525" s="3"/>
      <c r="E2525" s="156"/>
      <c r="F2525" s="3"/>
      <c r="G2525" s="158"/>
      <c r="H2525" s="155"/>
      <c r="I2525" s="155"/>
      <c r="J2525" s="156"/>
      <c r="K2525" s="5"/>
      <c r="L2525" s="3"/>
      <c r="M2525" s="6"/>
      <c r="N2525" s="9"/>
      <c r="O2525" s="158"/>
      <c r="P2525" s="12"/>
      <c r="Q2525" s="12"/>
      <c r="R2525" s="12"/>
      <c r="S2525" s="12"/>
      <c r="T2525" s="12"/>
      <c r="U2525" s="12"/>
      <c r="V2525" s="12"/>
      <c r="W2525" s="12"/>
      <c r="X2525" s="12"/>
      <c r="Y2525" s="12"/>
      <c r="Z2525" s="12"/>
    </row>
    <row r="2526" spans="1:26" ht="14.25" customHeight="1" x14ac:dyDescent="0.3">
      <c r="A2526" s="155"/>
      <c r="B2526" s="156"/>
      <c r="C2526" s="3"/>
      <c r="D2526" s="3"/>
      <c r="E2526" s="156"/>
      <c r="F2526" s="3"/>
      <c r="G2526" s="158"/>
      <c r="H2526" s="155"/>
      <c r="I2526" s="155"/>
      <c r="J2526" s="156"/>
      <c r="K2526" s="5"/>
      <c r="L2526" s="3"/>
      <c r="M2526" s="6"/>
      <c r="N2526" s="9"/>
      <c r="O2526" s="158"/>
      <c r="P2526" s="12"/>
      <c r="Q2526" s="12"/>
      <c r="R2526" s="12"/>
      <c r="S2526" s="12"/>
      <c r="T2526" s="12"/>
      <c r="U2526" s="12"/>
      <c r="V2526" s="12"/>
      <c r="W2526" s="12"/>
      <c r="X2526" s="12"/>
      <c r="Y2526" s="12"/>
      <c r="Z2526" s="12"/>
    </row>
    <row r="2527" spans="1:26" ht="14.25" customHeight="1" x14ac:dyDescent="0.3">
      <c r="A2527" s="155"/>
      <c r="B2527" s="156"/>
      <c r="C2527" s="3"/>
      <c r="D2527" s="3"/>
      <c r="E2527" s="156"/>
      <c r="F2527" s="3"/>
      <c r="G2527" s="158"/>
      <c r="H2527" s="155"/>
      <c r="I2527" s="155"/>
      <c r="J2527" s="156"/>
      <c r="K2527" s="5"/>
      <c r="L2527" s="3"/>
      <c r="M2527" s="6"/>
      <c r="N2527" s="9"/>
      <c r="O2527" s="158"/>
      <c r="P2527" s="12"/>
      <c r="Q2527" s="12"/>
      <c r="R2527" s="12"/>
      <c r="S2527" s="12"/>
      <c r="T2527" s="12"/>
      <c r="U2527" s="12"/>
      <c r="V2527" s="12"/>
      <c r="W2527" s="12"/>
      <c r="X2527" s="12"/>
      <c r="Y2527" s="12"/>
      <c r="Z2527" s="12"/>
    </row>
    <row r="2528" spans="1:26" ht="14.25" customHeight="1" x14ac:dyDescent="0.3">
      <c r="A2528" s="155"/>
      <c r="B2528" s="156"/>
      <c r="C2528" s="3"/>
      <c r="D2528" s="3"/>
      <c r="E2528" s="156"/>
      <c r="F2528" s="3"/>
      <c r="G2528" s="158"/>
      <c r="H2528" s="155"/>
      <c r="I2528" s="155"/>
      <c r="J2528" s="156"/>
      <c r="K2528" s="5"/>
      <c r="L2528" s="3"/>
      <c r="M2528" s="6"/>
      <c r="N2528" s="9"/>
      <c r="O2528" s="158"/>
      <c r="P2528" s="12"/>
      <c r="Q2528" s="12"/>
      <c r="R2528" s="12"/>
      <c r="S2528" s="12"/>
      <c r="T2528" s="12"/>
      <c r="U2528" s="12"/>
      <c r="V2528" s="12"/>
      <c r="W2528" s="12"/>
      <c r="X2528" s="12"/>
      <c r="Y2528" s="12"/>
      <c r="Z2528" s="12"/>
    </row>
    <row r="2529" spans="1:26" ht="14.25" customHeight="1" x14ac:dyDescent="0.3">
      <c r="A2529" s="155"/>
      <c r="B2529" s="156"/>
      <c r="C2529" s="3"/>
      <c r="D2529" s="3"/>
      <c r="E2529" s="156"/>
      <c r="F2529" s="3"/>
      <c r="G2529" s="158"/>
      <c r="H2529" s="155"/>
      <c r="I2529" s="155"/>
      <c r="J2529" s="156"/>
      <c r="K2529" s="5"/>
      <c r="L2529" s="3"/>
      <c r="M2529" s="6"/>
      <c r="N2529" s="9"/>
      <c r="O2529" s="158"/>
      <c r="P2529" s="12"/>
      <c r="Q2529" s="12"/>
      <c r="R2529" s="12"/>
      <c r="S2529" s="12"/>
      <c r="T2529" s="12"/>
      <c r="U2529" s="12"/>
      <c r="V2529" s="12"/>
      <c r="W2529" s="12"/>
      <c r="X2529" s="12"/>
      <c r="Y2529" s="12"/>
      <c r="Z2529" s="12"/>
    </row>
    <row r="2530" spans="1:26" ht="14.25" customHeight="1" x14ac:dyDescent="0.3">
      <c r="A2530" s="155"/>
      <c r="B2530" s="156"/>
      <c r="C2530" s="3"/>
      <c r="D2530" s="3"/>
      <c r="E2530" s="156"/>
      <c r="F2530" s="3"/>
      <c r="G2530" s="158"/>
      <c r="H2530" s="155"/>
      <c r="I2530" s="155"/>
      <c r="J2530" s="156"/>
      <c r="K2530" s="5"/>
      <c r="L2530" s="3"/>
      <c r="M2530" s="6"/>
      <c r="N2530" s="9"/>
      <c r="O2530" s="158"/>
      <c r="P2530" s="12"/>
      <c r="Q2530" s="12"/>
      <c r="R2530" s="12"/>
      <c r="S2530" s="12"/>
      <c r="T2530" s="12"/>
      <c r="U2530" s="12"/>
      <c r="V2530" s="12"/>
      <c r="W2530" s="12"/>
      <c r="X2530" s="12"/>
      <c r="Y2530" s="12"/>
      <c r="Z2530" s="12"/>
    </row>
    <row r="2531" spans="1:26" ht="14.25" customHeight="1" x14ac:dyDescent="0.3">
      <c r="A2531" s="155"/>
      <c r="B2531" s="156"/>
      <c r="C2531" s="3"/>
      <c r="D2531" s="3"/>
      <c r="E2531" s="156"/>
      <c r="F2531" s="3"/>
      <c r="G2531" s="158"/>
      <c r="H2531" s="155"/>
      <c r="I2531" s="155"/>
      <c r="J2531" s="156"/>
      <c r="K2531" s="5"/>
      <c r="L2531" s="3"/>
      <c r="M2531" s="6"/>
      <c r="N2531" s="9"/>
      <c r="O2531" s="158"/>
      <c r="P2531" s="12"/>
      <c r="Q2531" s="12"/>
      <c r="R2531" s="12"/>
      <c r="S2531" s="12"/>
      <c r="T2531" s="12"/>
      <c r="U2531" s="12"/>
      <c r="V2531" s="12"/>
      <c r="W2531" s="12"/>
      <c r="X2531" s="12"/>
      <c r="Y2531" s="12"/>
      <c r="Z2531" s="12"/>
    </row>
    <row r="2532" spans="1:26" ht="14.25" customHeight="1" x14ac:dyDescent="0.3">
      <c r="A2532" s="155"/>
      <c r="B2532" s="156"/>
      <c r="C2532" s="3"/>
      <c r="D2532" s="3"/>
      <c r="E2532" s="156"/>
      <c r="F2532" s="3"/>
      <c r="G2532" s="158"/>
      <c r="H2532" s="155"/>
      <c r="I2532" s="155"/>
      <c r="J2532" s="156"/>
      <c r="K2532" s="5"/>
      <c r="L2532" s="3"/>
      <c r="M2532" s="6"/>
      <c r="N2532" s="9"/>
      <c r="O2532" s="158"/>
      <c r="P2532" s="12"/>
      <c r="Q2532" s="12"/>
      <c r="R2532" s="12"/>
      <c r="S2532" s="12"/>
      <c r="T2532" s="12"/>
      <c r="U2532" s="12"/>
      <c r="V2532" s="12"/>
      <c r="W2532" s="12"/>
      <c r="X2532" s="12"/>
      <c r="Y2532" s="12"/>
      <c r="Z2532" s="12"/>
    </row>
    <row r="2533" spans="1:26" ht="14.25" customHeight="1" x14ac:dyDescent="0.3">
      <c r="A2533" s="155"/>
      <c r="B2533" s="156"/>
      <c r="C2533" s="3"/>
      <c r="D2533" s="3"/>
      <c r="E2533" s="156"/>
      <c r="F2533" s="3"/>
      <c r="G2533" s="158"/>
      <c r="H2533" s="155"/>
      <c r="I2533" s="155"/>
      <c r="J2533" s="156"/>
      <c r="K2533" s="5"/>
      <c r="L2533" s="3"/>
      <c r="M2533" s="6"/>
      <c r="N2533" s="9"/>
      <c r="O2533" s="158"/>
      <c r="P2533" s="12"/>
      <c r="Q2533" s="12"/>
      <c r="R2533" s="12"/>
      <c r="S2533" s="12"/>
      <c r="T2533" s="12"/>
      <c r="U2533" s="12"/>
      <c r="V2533" s="12"/>
      <c r="W2533" s="12"/>
      <c r="X2533" s="12"/>
      <c r="Y2533" s="12"/>
      <c r="Z2533" s="12"/>
    </row>
    <row r="2534" spans="1:26" ht="14.25" customHeight="1" x14ac:dyDescent="0.3">
      <c r="A2534" s="155"/>
      <c r="B2534" s="156"/>
      <c r="C2534" s="3"/>
      <c r="D2534" s="3"/>
      <c r="E2534" s="156"/>
      <c r="F2534" s="3"/>
      <c r="G2534" s="158"/>
      <c r="H2534" s="155"/>
      <c r="I2534" s="155"/>
      <c r="J2534" s="156"/>
      <c r="K2534" s="5"/>
      <c r="L2534" s="3"/>
      <c r="M2534" s="6"/>
      <c r="N2534" s="9"/>
      <c r="O2534" s="158"/>
      <c r="P2534" s="12"/>
      <c r="Q2534" s="12"/>
      <c r="R2534" s="12"/>
      <c r="S2534" s="12"/>
      <c r="T2534" s="12"/>
      <c r="U2534" s="12"/>
      <c r="V2534" s="12"/>
      <c r="W2534" s="12"/>
      <c r="X2534" s="12"/>
      <c r="Y2534" s="12"/>
      <c r="Z2534" s="12"/>
    </row>
    <row r="2535" spans="1:26" ht="14.25" customHeight="1" x14ac:dyDescent="0.3">
      <c r="A2535" s="155"/>
      <c r="B2535" s="156"/>
      <c r="C2535" s="3"/>
      <c r="D2535" s="3"/>
      <c r="E2535" s="156"/>
      <c r="F2535" s="3"/>
      <c r="G2535" s="158"/>
      <c r="H2535" s="155"/>
      <c r="I2535" s="155"/>
      <c r="J2535" s="156"/>
      <c r="K2535" s="5"/>
      <c r="L2535" s="3"/>
      <c r="M2535" s="6"/>
      <c r="N2535" s="9"/>
      <c r="O2535" s="158"/>
      <c r="P2535" s="12"/>
      <c r="Q2535" s="12"/>
      <c r="R2535" s="12"/>
      <c r="S2535" s="12"/>
      <c r="T2535" s="12"/>
      <c r="U2535" s="12"/>
      <c r="V2535" s="12"/>
      <c r="W2535" s="12"/>
      <c r="X2535" s="12"/>
      <c r="Y2535" s="12"/>
      <c r="Z2535" s="12"/>
    </row>
    <row r="2536" spans="1:26" ht="14.25" customHeight="1" x14ac:dyDescent="0.3">
      <c r="A2536" s="155"/>
      <c r="B2536" s="156"/>
      <c r="C2536" s="3"/>
      <c r="D2536" s="3"/>
      <c r="E2536" s="156"/>
      <c r="F2536" s="3"/>
      <c r="G2536" s="158"/>
      <c r="H2536" s="155"/>
      <c r="I2536" s="155"/>
      <c r="J2536" s="156"/>
      <c r="K2536" s="5"/>
      <c r="L2536" s="3"/>
      <c r="M2536" s="6"/>
      <c r="N2536" s="9"/>
      <c r="O2536" s="158"/>
      <c r="P2536" s="12"/>
      <c r="Q2536" s="12"/>
      <c r="R2536" s="12"/>
      <c r="S2536" s="12"/>
      <c r="T2536" s="12"/>
      <c r="U2536" s="12"/>
      <c r="V2536" s="12"/>
      <c r="W2536" s="12"/>
      <c r="X2536" s="12"/>
      <c r="Y2536" s="12"/>
      <c r="Z2536" s="12"/>
    </row>
    <row r="2537" spans="1:26" ht="14.25" customHeight="1" x14ac:dyDescent="0.3">
      <c r="A2537" s="155"/>
      <c r="B2537" s="156"/>
      <c r="C2537" s="3"/>
      <c r="D2537" s="3"/>
      <c r="E2537" s="156"/>
      <c r="F2537" s="3"/>
      <c r="G2537" s="158"/>
      <c r="H2537" s="155"/>
      <c r="I2537" s="155"/>
      <c r="J2537" s="156"/>
      <c r="K2537" s="5"/>
      <c r="L2537" s="3"/>
      <c r="M2537" s="6"/>
      <c r="N2537" s="9"/>
      <c r="O2537" s="158"/>
      <c r="P2537" s="12"/>
      <c r="Q2537" s="12"/>
      <c r="R2537" s="12"/>
      <c r="S2537" s="12"/>
      <c r="T2537" s="12"/>
      <c r="U2537" s="12"/>
      <c r="V2537" s="12"/>
      <c r="W2537" s="12"/>
      <c r="X2537" s="12"/>
      <c r="Y2537" s="12"/>
      <c r="Z2537" s="12"/>
    </row>
    <row r="2538" spans="1:26" ht="14.25" customHeight="1" x14ac:dyDescent="0.3">
      <c r="A2538" s="155"/>
      <c r="B2538" s="156"/>
      <c r="C2538" s="3"/>
      <c r="D2538" s="3"/>
      <c r="E2538" s="156"/>
      <c r="F2538" s="3"/>
      <c r="G2538" s="158"/>
      <c r="H2538" s="155"/>
      <c r="I2538" s="155"/>
      <c r="J2538" s="156"/>
      <c r="K2538" s="5"/>
      <c r="L2538" s="3"/>
      <c r="M2538" s="6"/>
      <c r="N2538" s="9"/>
      <c r="O2538" s="158"/>
      <c r="P2538" s="12"/>
      <c r="Q2538" s="12"/>
      <c r="R2538" s="12"/>
      <c r="S2538" s="12"/>
      <c r="T2538" s="12"/>
      <c r="U2538" s="12"/>
      <c r="V2538" s="12"/>
      <c r="W2538" s="12"/>
      <c r="X2538" s="12"/>
      <c r="Y2538" s="12"/>
      <c r="Z2538" s="12"/>
    </row>
    <row r="2539" spans="1:26" ht="14.25" customHeight="1" x14ac:dyDescent="0.3">
      <c r="A2539" s="155"/>
      <c r="B2539" s="156"/>
      <c r="C2539" s="3"/>
      <c r="D2539" s="3"/>
      <c r="E2539" s="156"/>
      <c r="F2539" s="3"/>
      <c r="G2539" s="158"/>
      <c r="H2539" s="155"/>
      <c r="I2539" s="155"/>
      <c r="J2539" s="156"/>
      <c r="K2539" s="5"/>
      <c r="L2539" s="3"/>
      <c r="M2539" s="6"/>
      <c r="N2539" s="9"/>
      <c r="O2539" s="158"/>
      <c r="P2539" s="12"/>
      <c r="Q2539" s="12"/>
      <c r="R2539" s="12"/>
      <c r="S2539" s="12"/>
      <c r="T2539" s="12"/>
      <c r="U2539" s="12"/>
      <c r="V2539" s="12"/>
      <c r="W2539" s="12"/>
      <c r="X2539" s="12"/>
      <c r="Y2539" s="12"/>
      <c r="Z2539" s="12"/>
    </row>
    <row r="2540" spans="1:26" ht="14.25" customHeight="1" x14ac:dyDescent="0.3">
      <c r="A2540" s="155"/>
      <c r="B2540" s="156"/>
      <c r="C2540" s="3"/>
      <c r="D2540" s="3"/>
      <c r="E2540" s="156"/>
      <c r="F2540" s="3"/>
      <c r="G2540" s="158"/>
      <c r="H2540" s="155"/>
      <c r="I2540" s="155"/>
      <c r="J2540" s="156"/>
      <c r="K2540" s="5"/>
      <c r="L2540" s="3"/>
      <c r="M2540" s="6"/>
      <c r="N2540" s="9"/>
      <c r="O2540" s="158"/>
      <c r="P2540" s="12"/>
      <c r="Q2540" s="12"/>
      <c r="R2540" s="12"/>
      <c r="S2540" s="12"/>
      <c r="T2540" s="12"/>
      <c r="U2540" s="12"/>
      <c r="V2540" s="12"/>
      <c r="W2540" s="12"/>
      <c r="X2540" s="12"/>
      <c r="Y2540" s="12"/>
      <c r="Z2540" s="12"/>
    </row>
    <row r="2541" spans="1:26" ht="14.25" customHeight="1" x14ac:dyDescent="0.3">
      <c r="A2541" s="155"/>
      <c r="B2541" s="156"/>
      <c r="C2541" s="3"/>
      <c r="D2541" s="3"/>
      <c r="E2541" s="156"/>
      <c r="F2541" s="3"/>
      <c r="G2541" s="158"/>
      <c r="H2541" s="155"/>
      <c r="I2541" s="155"/>
      <c r="J2541" s="156"/>
      <c r="K2541" s="5"/>
      <c r="L2541" s="3"/>
      <c r="M2541" s="6"/>
      <c r="N2541" s="9"/>
      <c r="O2541" s="158"/>
      <c r="P2541" s="12"/>
      <c r="Q2541" s="12"/>
      <c r="R2541" s="12"/>
      <c r="S2541" s="12"/>
      <c r="T2541" s="12"/>
      <c r="U2541" s="12"/>
      <c r="V2541" s="12"/>
      <c r="W2541" s="12"/>
      <c r="X2541" s="12"/>
      <c r="Y2541" s="12"/>
      <c r="Z2541" s="12"/>
    </row>
    <row r="2542" spans="1:26" ht="14.25" customHeight="1" x14ac:dyDescent="0.3">
      <c r="A2542" s="155"/>
      <c r="B2542" s="156"/>
      <c r="C2542" s="3"/>
      <c r="D2542" s="3"/>
      <c r="E2542" s="156"/>
      <c r="F2542" s="3"/>
      <c r="G2542" s="158"/>
      <c r="H2542" s="155"/>
      <c r="I2542" s="155"/>
      <c r="J2542" s="156"/>
      <c r="K2542" s="5"/>
      <c r="L2542" s="3"/>
      <c r="M2542" s="6"/>
      <c r="N2542" s="9"/>
      <c r="O2542" s="158"/>
      <c r="P2542" s="12"/>
      <c r="Q2542" s="12"/>
      <c r="R2542" s="12"/>
      <c r="S2542" s="12"/>
      <c r="T2542" s="12"/>
      <c r="U2542" s="12"/>
      <c r="V2542" s="12"/>
      <c r="W2542" s="12"/>
      <c r="X2542" s="12"/>
      <c r="Y2542" s="12"/>
      <c r="Z2542" s="12"/>
    </row>
    <row r="2543" spans="1:26" ht="14.25" customHeight="1" x14ac:dyDescent="0.3">
      <c r="A2543" s="155"/>
      <c r="B2543" s="156"/>
      <c r="C2543" s="3"/>
      <c r="D2543" s="3"/>
      <c r="E2543" s="156"/>
      <c r="F2543" s="3"/>
      <c r="G2543" s="158"/>
      <c r="H2543" s="155"/>
      <c r="I2543" s="155"/>
      <c r="J2543" s="156"/>
      <c r="K2543" s="5"/>
      <c r="L2543" s="3"/>
      <c r="M2543" s="6"/>
      <c r="N2543" s="9"/>
      <c r="O2543" s="158"/>
      <c r="P2543" s="12"/>
      <c r="Q2543" s="12"/>
      <c r="R2543" s="12"/>
      <c r="S2543" s="12"/>
      <c r="T2543" s="12"/>
      <c r="U2543" s="12"/>
      <c r="V2543" s="12"/>
      <c r="W2543" s="12"/>
      <c r="X2543" s="12"/>
      <c r="Y2543" s="12"/>
      <c r="Z2543" s="12"/>
    </row>
    <row r="2544" spans="1:26" ht="14.25" customHeight="1" x14ac:dyDescent="0.3">
      <c r="A2544" s="155"/>
      <c r="B2544" s="156"/>
      <c r="C2544" s="3"/>
      <c r="D2544" s="3"/>
      <c r="E2544" s="156"/>
      <c r="F2544" s="3"/>
      <c r="G2544" s="158"/>
      <c r="H2544" s="155"/>
      <c r="I2544" s="155"/>
      <c r="J2544" s="156"/>
      <c r="K2544" s="5"/>
      <c r="L2544" s="3"/>
      <c r="M2544" s="6"/>
      <c r="N2544" s="9"/>
      <c r="O2544" s="158"/>
      <c r="P2544" s="12"/>
      <c r="Q2544" s="12"/>
      <c r="R2544" s="12"/>
      <c r="S2544" s="12"/>
      <c r="T2544" s="12"/>
      <c r="U2544" s="12"/>
      <c r="V2544" s="12"/>
      <c r="W2544" s="12"/>
      <c r="X2544" s="12"/>
      <c r="Y2544" s="12"/>
      <c r="Z2544" s="12"/>
    </row>
    <row r="2545" spans="1:26" ht="14.25" customHeight="1" x14ac:dyDescent="0.3">
      <c r="A2545" s="155"/>
      <c r="B2545" s="156"/>
      <c r="C2545" s="3"/>
      <c r="D2545" s="3"/>
      <c r="E2545" s="156"/>
      <c r="F2545" s="3"/>
      <c r="G2545" s="158"/>
      <c r="H2545" s="155"/>
      <c r="I2545" s="155"/>
      <c r="J2545" s="156"/>
      <c r="K2545" s="5"/>
      <c r="L2545" s="3"/>
      <c r="M2545" s="6"/>
      <c r="N2545" s="9"/>
      <c r="O2545" s="158"/>
      <c r="P2545" s="12"/>
      <c r="Q2545" s="12"/>
      <c r="R2545" s="12"/>
      <c r="S2545" s="12"/>
      <c r="T2545" s="12"/>
      <c r="U2545" s="12"/>
      <c r="V2545" s="12"/>
      <c r="W2545" s="12"/>
      <c r="X2545" s="12"/>
      <c r="Y2545" s="12"/>
      <c r="Z2545" s="12"/>
    </row>
    <row r="2546" spans="1:26" ht="14.25" customHeight="1" x14ac:dyDescent="0.3">
      <c r="A2546" s="155"/>
      <c r="B2546" s="156"/>
      <c r="C2546" s="3"/>
      <c r="D2546" s="3"/>
      <c r="E2546" s="156"/>
      <c r="F2546" s="3"/>
      <c r="G2546" s="158"/>
      <c r="H2546" s="155"/>
      <c r="I2546" s="155"/>
      <c r="J2546" s="156"/>
      <c r="K2546" s="5"/>
      <c r="L2546" s="3"/>
      <c r="M2546" s="6"/>
      <c r="N2546" s="9"/>
      <c r="O2546" s="158"/>
      <c r="P2546" s="12"/>
      <c r="Q2546" s="12"/>
      <c r="R2546" s="12"/>
      <c r="S2546" s="12"/>
      <c r="T2546" s="12"/>
      <c r="U2546" s="12"/>
      <c r="V2546" s="12"/>
      <c r="W2546" s="12"/>
      <c r="X2546" s="12"/>
      <c r="Y2546" s="12"/>
      <c r="Z2546" s="12"/>
    </row>
    <row r="2547" spans="1:26" ht="14.25" customHeight="1" x14ac:dyDescent="0.3">
      <c r="A2547" s="155"/>
      <c r="B2547" s="156"/>
      <c r="C2547" s="3"/>
      <c r="D2547" s="3"/>
      <c r="E2547" s="156"/>
      <c r="F2547" s="3"/>
      <c r="G2547" s="158"/>
      <c r="H2547" s="155"/>
      <c r="I2547" s="155"/>
      <c r="J2547" s="156"/>
      <c r="K2547" s="5"/>
      <c r="L2547" s="3"/>
      <c r="M2547" s="6"/>
      <c r="N2547" s="9"/>
      <c r="O2547" s="158"/>
      <c r="P2547" s="12"/>
      <c r="Q2547" s="12"/>
      <c r="R2547" s="12"/>
      <c r="S2547" s="12"/>
      <c r="T2547" s="12"/>
      <c r="U2547" s="12"/>
      <c r="V2547" s="12"/>
      <c r="W2547" s="12"/>
      <c r="X2547" s="12"/>
      <c r="Y2547" s="12"/>
      <c r="Z2547" s="12"/>
    </row>
    <row r="2548" spans="1:26" ht="14.25" customHeight="1" x14ac:dyDescent="0.3">
      <c r="A2548" s="155"/>
      <c r="B2548" s="156"/>
      <c r="C2548" s="3"/>
      <c r="D2548" s="3"/>
      <c r="E2548" s="156"/>
      <c r="F2548" s="3"/>
      <c r="G2548" s="158"/>
      <c r="H2548" s="155"/>
      <c r="I2548" s="155"/>
      <c r="J2548" s="156"/>
      <c r="K2548" s="5"/>
      <c r="L2548" s="3"/>
      <c r="M2548" s="6"/>
      <c r="N2548" s="9"/>
      <c r="O2548" s="158"/>
      <c r="P2548" s="12"/>
      <c r="Q2548" s="12"/>
      <c r="R2548" s="12"/>
      <c r="S2548" s="12"/>
      <c r="T2548" s="12"/>
      <c r="U2548" s="12"/>
      <c r="V2548" s="12"/>
      <c r="W2548" s="12"/>
      <c r="X2548" s="12"/>
      <c r="Y2548" s="12"/>
      <c r="Z2548" s="12"/>
    </row>
    <row r="2549" spans="1:26" ht="14.25" customHeight="1" x14ac:dyDescent="0.3">
      <c r="A2549" s="155"/>
      <c r="B2549" s="156"/>
      <c r="C2549" s="3"/>
      <c r="D2549" s="3"/>
      <c r="E2549" s="156"/>
      <c r="F2549" s="3"/>
      <c r="G2549" s="158"/>
      <c r="H2549" s="155"/>
      <c r="I2549" s="155"/>
      <c r="J2549" s="156"/>
      <c r="K2549" s="5"/>
      <c r="L2549" s="3"/>
      <c r="M2549" s="6"/>
      <c r="N2549" s="9"/>
      <c r="O2549" s="158"/>
      <c r="P2549" s="12"/>
      <c r="Q2549" s="12"/>
      <c r="R2549" s="12"/>
      <c r="S2549" s="12"/>
      <c r="T2549" s="12"/>
      <c r="U2549" s="12"/>
      <c r="V2549" s="12"/>
      <c r="W2549" s="12"/>
      <c r="X2549" s="12"/>
      <c r="Y2549" s="12"/>
      <c r="Z2549" s="12"/>
    </row>
    <row r="2550" spans="1:26" ht="14.25" customHeight="1" x14ac:dyDescent="0.3">
      <c r="A2550" s="155"/>
      <c r="B2550" s="156"/>
      <c r="C2550" s="3"/>
      <c r="D2550" s="3"/>
      <c r="E2550" s="156"/>
      <c r="F2550" s="3"/>
      <c r="G2550" s="158"/>
      <c r="H2550" s="155"/>
      <c r="I2550" s="155"/>
      <c r="J2550" s="156"/>
      <c r="K2550" s="5"/>
      <c r="L2550" s="3"/>
      <c r="M2550" s="6"/>
      <c r="N2550" s="9"/>
      <c r="O2550" s="158"/>
      <c r="P2550" s="12"/>
      <c r="Q2550" s="12"/>
      <c r="R2550" s="12"/>
      <c r="S2550" s="12"/>
      <c r="T2550" s="12"/>
      <c r="U2550" s="12"/>
      <c r="V2550" s="12"/>
      <c r="W2550" s="12"/>
      <c r="X2550" s="12"/>
      <c r="Y2550" s="12"/>
      <c r="Z2550" s="12"/>
    </row>
    <row r="2551" spans="1:26" ht="14.25" customHeight="1" x14ac:dyDescent="0.3">
      <c r="A2551" s="155"/>
      <c r="B2551" s="156"/>
      <c r="C2551" s="3"/>
      <c r="D2551" s="3"/>
      <c r="E2551" s="156"/>
      <c r="F2551" s="3"/>
      <c r="G2551" s="158"/>
      <c r="H2551" s="155"/>
      <c r="I2551" s="155"/>
      <c r="J2551" s="156"/>
      <c r="K2551" s="5"/>
      <c r="L2551" s="3"/>
      <c r="M2551" s="6"/>
      <c r="N2551" s="9"/>
      <c r="O2551" s="158"/>
      <c r="P2551" s="12"/>
      <c r="Q2551" s="12"/>
      <c r="R2551" s="12"/>
      <c r="S2551" s="12"/>
      <c r="T2551" s="12"/>
      <c r="U2551" s="12"/>
      <c r="V2551" s="12"/>
      <c r="W2551" s="12"/>
      <c r="X2551" s="12"/>
      <c r="Y2551" s="12"/>
      <c r="Z2551" s="12"/>
    </row>
    <row r="2552" spans="1:26" ht="14.25" customHeight="1" x14ac:dyDescent="0.3">
      <c r="A2552" s="155"/>
      <c r="B2552" s="156"/>
      <c r="C2552" s="3"/>
      <c r="D2552" s="3"/>
      <c r="E2552" s="156"/>
      <c r="F2552" s="3"/>
      <c r="G2552" s="158"/>
      <c r="H2552" s="155"/>
      <c r="I2552" s="155"/>
      <c r="J2552" s="156"/>
      <c r="K2552" s="5"/>
      <c r="L2552" s="3"/>
      <c r="M2552" s="6"/>
      <c r="N2552" s="9"/>
      <c r="O2552" s="158"/>
      <c r="P2552" s="12"/>
      <c r="Q2552" s="12"/>
      <c r="R2552" s="12"/>
      <c r="S2552" s="12"/>
      <c r="T2552" s="12"/>
      <c r="U2552" s="12"/>
      <c r="V2552" s="12"/>
      <c r="W2552" s="12"/>
      <c r="X2552" s="12"/>
      <c r="Y2552" s="12"/>
      <c r="Z2552" s="12"/>
    </row>
    <row r="2553" spans="1:26" ht="14.25" customHeight="1" x14ac:dyDescent="0.3">
      <c r="A2553" s="155"/>
      <c r="B2553" s="156"/>
      <c r="C2553" s="3"/>
      <c r="D2553" s="3"/>
      <c r="E2553" s="156"/>
      <c r="F2553" s="3"/>
      <c r="G2553" s="158"/>
      <c r="H2553" s="155"/>
      <c r="I2553" s="155"/>
      <c r="J2553" s="156"/>
      <c r="K2553" s="5"/>
      <c r="L2553" s="3"/>
      <c r="M2553" s="6"/>
      <c r="N2553" s="9"/>
      <c r="O2553" s="158"/>
      <c r="P2553" s="12"/>
      <c r="Q2553" s="12"/>
      <c r="R2553" s="12"/>
      <c r="S2553" s="12"/>
      <c r="T2553" s="12"/>
      <c r="U2553" s="12"/>
      <c r="V2553" s="12"/>
      <c r="W2553" s="12"/>
      <c r="X2553" s="12"/>
      <c r="Y2553" s="12"/>
      <c r="Z2553" s="12"/>
    </row>
    <row r="2554" spans="1:26" ht="14.25" customHeight="1" x14ac:dyDescent="0.3">
      <c r="A2554" s="155"/>
      <c r="B2554" s="156"/>
      <c r="C2554" s="3"/>
      <c r="D2554" s="3"/>
      <c r="E2554" s="156"/>
      <c r="F2554" s="3"/>
      <c r="G2554" s="158"/>
      <c r="H2554" s="155"/>
      <c r="I2554" s="155"/>
      <c r="J2554" s="156"/>
      <c r="K2554" s="5"/>
      <c r="L2554" s="3"/>
      <c r="M2554" s="6"/>
      <c r="N2554" s="9"/>
      <c r="O2554" s="158"/>
      <c r="P2554" s="12"/>
      <c r="Q2554" s="12"/>
      <c r="R2554" s="12"/>
      <c r="S2554" s="12"/>
      <c r="T2554" s="12"/>
      <c r="U2554" s="12"/>
      <c r="V2554" s="12"/>
      <c r="W2554" s="12"/>
      <c r="X2554" s="12"/>
      <c r="Y2554" s="12"/>
      <c r="Z2554" s="12"/>
    </row>
    <row r="2555" spans="1:26" ht="14.25" customHeight="1" x14ac:dyDescent="0.3">
      <c r="A2555" s="155"/>
      <c r="B2555" s="156"/>
      <c r="C2555" s="3"/>
      <c r="D2555" s="3"/>
      <c r="E2555" s="156"/>
      <c r="F2555" s="3"/>
      <c r="G2555" s="158"/>
      <c r="H2555" s="155"/>
      <c r="I2555" s="155"/>
      <c r="J2555" s="156"/>
      <c r="K2555" s="5"/>
      <c r="L2555" s="3"/>
      <c r="M2555" s="6"/>
      <c r="N2555" s="9"/>
      <c r="O2555" s="158"/>
      <c r="P2555" s="12"/>
      <c r="Q2555" s="12"/>
      <c r="R2555" s="12"/>
      <c r="S2555" s="12"/>
      <c r="T2555" s="12"/>
      <c r="U2555" s="12"/>
      <c r="V2555" s="12"/>
      <c r="W2555" s="12"/>
      <c r="X2555" s="12"/>
      <c r="Y2555" s="12"/>
      <c r="Z2555" s="12"/>
    </row>
    <row r="2556" spans="1:26" ht="14.25" customHeight="1" x14ac:dyDescent="0.3">
      <c r="A2556" s="155"/>
      <c r="B2556" s="156"/>
      <c r="C2556" s="3"/>
      <c r="D2556" s="3"/>
      <c r="E2556" s="156"/>
      <c r="F2556" s="3"/>
      <c r="G2556" s="158"/>
      <c r="H2556" s="155"/>
      <c r="I2556" s="155"/>
      <c r="J2556" s="156"/>
      <c r="K2556" s="5"/>
      <c r="L2556" s="3"/>
      <c r="M2556" s="6"/>
      <c r="N2556" s="9"/>
      <c r="O2556" s="158"/>
      <c r="P2556" s="12"/>
      <c r="Q2556" s="12"/>
      <c r="R2556" s="12"/>
      <c r="S2556" s="12"/>
      <c r="T2556" s="12"/>
      <c r="U2556" s="12"/>
      <c r="V2556" s="12"/>
      <c r="W2556" s="12"/>
      <c r="X2556" s="12"/>
      <c r="Y2556" s="12"/>
      <c r="Z2556" s="12"/>
    </row>
    <row r="2557" spans="1:26" ht="14.25" customHeight="1" x14ac:dyDescent="0.3">
      <c r="A2557" s="155"/>
      <c r="B2557" s="156"/>
      <c r="C2557" s="3"/>
      <c r="D2557" s="3"/>
      <c r="E2557" s="156"/>
      <c r="F2557" s="3"/>
      <c r="G2557" s="158"/>
      <c r="H2557" s="155"/>
      <c r="I2557" s="155"/>
      <c r="J2557" s="156"/>
      <c r="K2557" s="5"/>
      <c r="L2557" s="3"/>
      <c r="M2557" s="6"/>
      <c r="N2557" s="9"/>
      <c r="O2557" s="158"/>
      <c r="P2557" s="12"/>
      <c r="Q2557" s="12"/>
      <c r="R2557" s="12"/>
      <c r="S2557" s="12"/>
      <c r="T2557" s="12"/>
      <c r="U2557" s="12"/>
      <c r="V2557" s="12"/>
      <c r="W2557" s="12"/>
      <c r="X2557" s="12"/>
      <c r="Y2557" s="12"/>
      <c r="Z2557" s="12"/>
    </row>
    <row r="2558" spans="1:26" ht="14.25" customHeight="1" x14ac:dyDescent="0.3">
      <c r="A2558" s="155"/>
      <c r="B2558" s="156"/>
      <c r="C2558" s="3"/>
      <c r="D2558" s="3"/>
      <c r="E2558" s="156"/>
      <c r="F2558" s="3"/>
      <c r="G2558" s="158"/>
      <c r="H2558" s="155"/>
      <c r="I2558" s="155"/>
      <c r="J2558" s="156"/>
      <c r="K2558" s="5"/>
      <c r="L2558" s="3"/>
      <c r="M2558" s="6"/>
      <c r="N2558" s="9"/>
      <c r="O2558" s="158"/>
      <c r="P2558" s="12"/>
      <c r="Q2558" s="12"/>
      <c r="R2558" s="12"/>
      <c r="S2558" s="12"/>
      <c r="T2558" s="12"/>
      <c r="U2558" s="12"/>
      <c r="V2558" s="12"/>
      <c r="W2558" s="12"/>
      <c r="X2558" s="12"/>
      <c r="Y2558" s="12"/>
      <c r="Z2558" s="12"/>
    </row>
    <row r="2559" spans="1:26" ht="14.25" customHeight="1" x14ac:dyDescent="0.3">
      <c r="A2559" s="155"/>
      <c r="B2559" s="156"/>
      <c r="C2559" s="3"/>
      <c r="D2559" s="3"/>
      <c r="E2559" s="156"/>
      <c r="F2559" s="3"/>
      <c r="G2559" s="158"/>
      <c r="H2559" s="155"/>
      <c r="I2559" s="155"/>
      <c r="J2559" s="156"/>
      <c r="K2559" s="5"/>
      <c r="L2559" s="3"/>
      <c r="M2559" s="6"/>
      <c r="N2559" s="9"/>
      <c r="O2559" s="158"/>
      <c r="P2559" s="12"/>
      <c r="Q2559" s="12"/>
      <c r="R2559" s="12"/>
      <c r="S2559" s="12"/>
      <c r="T2559" s="12"/>
      <c r="U2559" s="12"/>
      <c r="V2559" s="12"/>
      <c r="W2559" s="12"/>
      <c r="X2559" s="12"/>
      <c r="Y2559" s="12"/>
      <c r="Z2559" s="12"/>
    </row>
    <row r="2560" spans="1:26" ht="14.25" customHeight="1" x14ac:dyDescent="0.3">
      <c r="A2560" s="155"/>
      <c r="B2560" s="156"/>
      <c r="C2560" s="3"/>
      <c r="D2560" s="3"/>
      <c r="E2560" s="156"/>
      <c r="F2560" s="3"/>
      <c r="G2560" s="158"/>
      <c r="H2560" s="155"/>
      <c r="I2560" s="155"/>
      <c r="J2560" s="156"/>
      <c r="K2560" s="5"/>
      <c r="L2560" s="3"/>
      <c r="M2560" s="6"/>
      <c r="N2560" s="9"/>
      <c r="O2560" s="158"/>
      <c r="P2560" s="12"/>
      <c r="Q2560" s="12"/>
      <c r="R2560" s="12"/>
      <c r="S2560" s="12"/>
      <c r="T2560" s="12"/>
      <c r="U2560" s="12"/>
      <c r="V2560" s="12"/>
      <c r="W2560" s="12"/>
      <c r="X2560" s="12"/>
      <c r="Y2560" s="12"/>
      <c r="Z2560" s="12"/>
    </row>
    <row r="2561" spans="1:26" ht="14.25" customHeight="1" x14ac:dyDescent="0.3">
      <c r="A2561" s="155"/>
      <c r="B2561" s="156"/>
      <c r="C2561" s="3"/>
      <c r="D2561" s="3"/>
      <c r="E2561" s="156"/>
      <c r="F2561" s="3"/>
      <c r="G2561" s="158"/>
      <c r="H2561" s="155"/>
      <c r="I2561" s="155"/>
      <c r="J2561" s="156"/>
      <c r="K2561" s="5"/>
      <c r="L2561" s="3"/>
      <c r="M2561" s="6"/>
      <c r="N2561" s="9"/>
      <c r="O2561" s="158"/>
      <c r="P2561" s="12"/>
      <c r="Q2561" s="12"/>
      <c r="R2561" s="12"/>
      <c r="S2561" s="12"/>
      <c r="T2561" s="12"/>
      <c r="U2561" s="12"/>
      <c r="V2561" s="12"/>
      <c r="W2561" s="12"/>
      <c r="X2561" s="12"/>
      <c r="Y2561" s="12"/>
      <c r="Z2561" s="12"/>
    </row>
    <row r="2562" spans="1:26" ht="14.25" customHeight="1" x14ac:dyDescent="0.3">
      <c r="A2562" s="155"/>
      <c r="B2562" s="156"/>
      <c r="C2562" s="3"/>
      <c r="D2562" s="3"/>
      <c r="E2562" s="156"/>
      <c r="F2562" s="3"/>
      <c r="G2562" s="158"/>
      <c r="H2562" s="155"/>
      <c r="I2562" s="155"/>
      <c r="J2562" s="156"/>
      <c r="K2562" s="5"/>
      <c r="L2562" s="3"/>
      <c r="M2562" s="6"/>
      <c r="N2562" s="9"/>
      <c r="O2562" s="158"/>
      <c r="P2562" s="12"/>
      <c r="Q2562" s="12"/>
      <c r="R2562" s="12"/>
      <c r="S2562" s="12"/>
      <c r="T2562" s="12"/>
      <c r="U2562" s="12"/>
      <c r="V2562" s="12"/>
      <c r="W2562" s="12"/>
      <c r="X2562" s="12"/>
      <c r="Y2562" s="12"/>
      <c r="Z2562" s="12"/>
    </row>
    <row r="2563" spans="1:26" ht="14.25" customHeight="1" x14ac:dyDescent="0.3">
      <c r="A2563" s="155"/>
      <c r="B2563" s="156"/>
      <c r="C2563" s="3"/>
      <c r="D2563" s="3"/>
      <c r="E2563" s="156"/>
      <c r="F2563" s="3"/>
      <c r="G2563" s="158"/>
      <c r="H2563" s="155"/>
      <c r="I2563" s="155"/>
      <c r="J2563" s="156"/>
      <c r="K2563" s="5"/>
      <c r="L2563" s="3"/>
      <c r="M2563" s="6"/>
      <c r="N2563" s="9"/>
      <c r="O2563" s="158"/>
      <c r="P2563" s="12"/>
      <c r="Q2563" s="12"/>
      <c r="R2563" s="12"/>
      <c r="S2563" s="12"/>
      <c r="T2563" s="12"/>
      <c r="U2563" s="12"/>
      <c r="V2563" s="12"/>
      <c r="W2563" s="12"/>
      <c r="X2563" s="12"/>
      <c r="Y2563" s="12"/>
      <c r="Z2563" s="12"/>
    </row>
    <row r="2564" spans="1:26" ht="14.25" customHeight="1" x14ac:dyDescent="0.3">
      <c r="A2564" s="155"/>
      <c r="B2564" s="156"/>
      <c r="C2564" s="3"/>
      <c r="D2564" s="3"/>
      <c r="E2564" s="156"/>
      <c r="F2564" s="3"/>
      <c r="G2564" s="158"/>
      <c r="H2564" s="155"/>
      <c r="I2564" s="155"/>
      <c r="J2564" s="156"/>
      <c r="K2564" s="5"/>
      <c r="L2564" s="3"/>
      <c r="M2564" s="6"/>
      <c r="N2564" s="9"/>
      <c r="O2564" s="158"/>
      <c r="P2564" s="12"/>
      <c r="Q2564" s="12"/>
      <c r="R2564" s="12"/>
      <c r="S2564" s="12"/>
      <c r="T2564" s="12"/>
      <c r="U2564" s="12"/>
      <c r="V2564" s="12"/>
      <c r="W2564" s="12"/>
      <c r="X2564" s="12"/>
      <c r="Y2564" s="12"/>
      <c r="Z2564" s="12"/>
    </row>
    <row r="2565" spans="1:26" ht="14.25" customHeight="1" x14ac:dyDescent="0.3">
      <c r="A2565" s="155"/>
      <c r="B2565" s="156"/>
      <c r="C2565" s="3"/>
      <c r="D2565" s="3"/>
      <c r="E2565" s="156"/>
      <c r="F2565" s="3"/>
      <c r="G2565" s="158"/>
      <c r="H2565" s="155"/>
      <c r="I2565" s="155"/>
      <c r="J2565" s="156"/>
      <c r="K2565" s="5"/>
      <c r="L2565" s="3"/>
      <c r="M2565" s="6"/>
      <c r="N2565" s="9"/>
      <c r="O2565" s="158"/>
      <c r="P2565" s="12"/>
      <c r="Q2565" s="12"/>
      <c r="R2565" s="12"/>
      <c r="S2565" s="12"/>
      <c r="T2565" s="12"/>
      <c r="U2565" s="12"/>
      <c r="V2565" s="12"/>
      <c r="W2565" s="12"/>
      <c r="X2565" s="12"/>
      <c r="Y2565" s="12"/>
      <c r="Z2565" s="12"/>
    </row>
    <row r="2566" spans="1:26" ht="14.25" customHeight="1" x14ac:dyDescent="0.3">
      <c r="A2566" s="155"/>
      <c r="B2566" s="156"/>
      <c r="C2566" s="3"/>
      <c r="D2566" s="3"/>
      <c r="E2566" s="156"/>
      <c r="F2566" s="3"/>
      <c r="G2566" s="158"/>
      <c r="H2566" s="155"/>
      <c r="I2566" s="155"/>
      <c r="J2566" s="156"/>
      <c r="K2566" s="5"/>
      <c r="L2566" s="3"/>
      <c r="M2566" s="6"/>
      <c r="N2566" s="9"/>
      <c r="O2566" s="158"/>
      <c r="P2566" s="12"/>
      <c r="Q2566" s="12"/>
      <c r="R2566" s="12"/>
      <c r="S2566" s="12"/>
      <c r="T2566" s="12"/>
      <c r="U2566" s="12"/>
      <c r="V2566" s="12"/>
      <c r="W2566" s="12"/>
      <c r="X2566" s="12"/>
      <c r="Y2566" s="12"/>
      <c r="Z2566" s="12"/>
    </row>
    <row r="2567" spans="1:26" ht="14.25" customHeight="1" x14ac:dyDescent="0.3">
      <c r="A2567" s="155"/>
      <c r="B2567" s="156"/>
      <c r="C2567" s="3"/>
      <c r="D2567" s="3"/>
      <c r="E2567" s="156"/>
      <c r="F2567" s="3"/>
      <c r="G2567" s="158"/>
      <c r="H2567" s="155"/>
      <c r="I2567" s="155"/>
      <c r="J2567" s="156"/>
      <c r="K2567" s="5"/>
      <c r="L2567" s="3"/>
      <c r="M2567" s="6"/>
      <c r="N2567" s="9"/>
      <c r="O2567" s="158"/>
      <c r="P2567" s="12"/>
      <c r="Q2567" s="12"/>
      <c r="R2567" s="12"/>
      <c r="S2567" s="12"/>
      <c r="T2567" s="12"/>
      <c r="U2567" s="12"/>
      <c r="V2567" s="12"/>
      <c r="W2567" s="12"/>
      <c r="X2567" s="12"/>
      <c r="Y2567" s="12"/>
      <c r="Z2567" s="12"/>
    </row>
    <row r="2568" spans="1:26" ht="14.25" customHeight="1" x14ac:dyDescent="0.3">
      <c r="A2568" s="155"/>
      <c r="B2568" s="156"/>
      <c r="C2568" s="3"/>
      <c r="D2568" s="3"/>
      <c r="E2568" s="156"/>
      <c r="F2568" s="3"/>
      <c r="G2568" s="158"/>
      <c r="H2568" s="155"/>
      <c r="I2568" s="155"/>
      <c r="J2568" s="156"/>
      <c r="K2568" s="5"/>
      <c r="L2568" s="3"/>
      <c r="M2568" s="6"/>
      <c r="N2568" s="9"/>
      <c r="O2568" s="158"/>
      <c r="P2568" s="12"/>
      <c r="Q2568" s="12"/>
      <c r="R2568" s="12"/>
      <c r="S2568" s="12"/>
      <c r="T2568" s="12"/>
      <c r="U2568" s="12"/>
      <c r="V2568" s="12"/>
      <c r="W2568" s="12"/>
      <c r="X2568" s="12"/>
      <c r="Y2568" s="12"/>
      <c r="Z2568" s="12"/>
    </row>
    <row r="2569" spans="1:26" ht="14.25" customHeight="1" x14ac:dyDescent="0.3">
      <c r="A2569" s="155"/>
      <c r="B2569" s="156"/>
      <c r="C2569" s="3"/>
      <c r="D2569" s="3"/>
      <c r="E2569" s="156"/>
      <c r="F2569" s="3"/>
      <c r="G2569" s="158"/>
      <c r="H2569" s="155"/>
      <c r="I2569" s="155"/>
      <c r="J2569" s="156"/>
      <c r="K2569" s="5"/>
      <c r="L2569" s="3"/>
      <c r="M2569" s="6"/>
      <c r="N2569" s="9"/>
      <c r="O2569" s="158"/>
      <c r="P2569" s="12"/>
      <c r="Q2569" s="12"/>
      <c r="R2569" s="12"/>
      <c r="S2569" s="12"/>
      <c r="T2569" s="12"/>
      <c r="U2569" s="12"/>
      <c r="V2569" s="12"/>
      <c r="W2569" s="12"/>
      <c r="X2569" s="12"/>
      <c r="Y2569" s="12"/>
      <c r="Z2569" s="12"/>
    </row>
    <row r="2570" spans="1:26" ht="14.25" customHeight="1" x14ac:dyDescent="0.3">
      <c r="A2570" s="155"/>
      <c r="B2570" s="156"/>
      <c r="C2570" s="3"/>
      <c r="D2570" s="3"/>
      <c r="E2570" s="156"/>
      <c r="F2570" s="3"/>
      <c r="G2570" s="158"/>
      <c r="H2570" s="155"/>
      <c r="I2570" s="155"/>
      <c r="J2570" s="156"/>
      <c r="K2570" s="5"/>
      <c r="L2570" s="3"/>
      <c r="M2570" s="6"/>
      <c r="N2570" s="9"/>
      <c r="O2570" s="158"/>
      <c r="P2570" s="12"/>
      <c r="Q2570" s="12"/>
      <c r="R2570" s="12"/>
      <c r="S2570" s="12"/>
      <c r="T2570" s="12"/>
      <c r="U2570" s="12"/>
      <c r="V2570" s="12"/>
      <c r="W2570" s="12"/>
      <c r="X2570" s="12"/>
      <c r="Y2570" s="12"/>
      <c r="Z2570" s="12"/>
    </row>
    <row r="2571" spans="1:26" ht="14.25" customHeight="1" x14ac:dyDescent="0.3">
      <c r="A2571" s="155"/>
      <c r="B2571" s="156"/>
      <c r="C2571" s="3"/>
      <c r="D2571" s="3"/>
      <c r="E2571" s="156"/>
      <c r="F2571" s="3"/>
      <c r="G2571" s="158"/>
      <c r="H2571" s="155"/>
      <c r="I2571" s="155"/>
      <c r="J2571" s="156"/>
      <c r="K2571" s="5"/>
      <c r="L2571" s="3"/>
      <c r="M2571" s="6"/>
      <c r="N2571" s="9"/>
      <c r="O2571" s="158"/>
      <c r="P2571" s="12"/>
      <c r="Q2571" s="12"/>
      <c r="R2571" s="12"/>
      <c r="S2571" s="12"/>
      <c r="T2571" s="12"/>
      <c r="U2571" s="12"/>
      <c r="V2571" s="12"/>
      <c r="W2571" s="12"/>
      <c r="X2571" s="12"/>
      <c r="Y2571" s="12"/>
      <c r="Z2571" s="12"/>
    </row>
    <row r="2572" spans="1:26" ht="14.25" customHeight="1" x14ac:dyDescent="0.3">
      <c r="A2572" s="155"/>
      <c r="B2572" s="156"/>
      <c r="C2572" s="3"/>
      <c r="D2572" s="3"/>
      <c r="E2572" s="156"/>
      <c r="F2572" s="3"/>
      <c r="G2572" s="158"/>
      <c r="H2572" s="155"/>
      <c r="I2572" s="155"/>
      <c r="J2572" s="156"/>
      <c r="K2572" s="5"/>
      <c r="L2572" s="3"/>
      <c r="M2572" s="6"/>
      <c r="N2572" s="9"/>
      <c r="O2572" s="158"/>
      <c r="P2572" s="12"/>
      <c r="Q2572" s="12"/>
      <c r="R2572" s="12"/>
      <c r="S2572" s="12"/>
      <c r="T2572" s="12"/>
      <c r="U2572" s="12"/>
      <c r="V2572" s="12"/>
      <c r="W2572" s="12"/>
      <c r="X2572" s="12"/>
      <c r="Y2572" s="12"/>
      <c r="Z2572" s="12"/>
    </row>
    <row r="2573" spans="1:26" ht="14.25" customHeight="1" x14ac:dyDescent="0.3">
      <c r="A2573" s="155"/>
      <c r="B2573" s="156"/>
      <c r="C2573" s="3"/>
      <c r="D2573" s="3"/>
      <c r="E2573" s="156"/>
      <c r="F2573" s="3"/>
      <c r="G2573" s="158"/>
      <c r="H2573" s="155"/>
      <c r="I2573" s="155"/>
      <c r="J2573" s="156"/>
      <c r="K2573" s="5"/>
      <c r="L2573" s="3"/>
      <c r="M2573" s="6"/>
      <c r="N2573" s="9"/>
      <c r="O2573" s="158"/>
      <c r="P2573" s="12"/>
      <c r="Q2573" s="12"/>
      <c r="R2573" s="12"/>
      <c r="S2573" s="12"/>
      <c r="T2573" s="12"/>
      <c r="U2573" s="12"/>
      <c r="V2573" s="12"/>
      <c r="W2573" s="12"/>
      <c r="X2573" s="12"/>
      <c r="Y2573" s="12"/>
      <c r="Z2573" s="12"/>
    </row>
    <row r="2574" spans="1:26" ht="14.25" customHeight="1" x14ac:dyDescent="0.3">
      <c r="A2574" s="155"/>
      <c r="B2574" s="156"/>
      <c r="C2574" s="3"/>
      <c r="D2574" s="3"/>
      <c r="E2574" s="156"/>
      <c r="F2574" s="3"/>
      <c r="G2574" s="158"/>
      <c r="H2574" s="155"/>
      <c r="I2574" s="155"/>
      <c r="J2574" s="156"/>
      <c r="K2574" s="5"/>
      <c r="L2574" s="3"/>
      <c r="M2574" s="6"/>
      <c r="N2574" s="9"/>
      <c r="O2574" s="158"/>
      <c r="P2574" s="12"/>
      <c r="Q2574" s="12"/>
      <c r="R2574" s="12"/>
      <c r="S2574" s="12"/>
      <c r="T2574" s="12"/>
      <c r="U2574" s="12"/>
      <c r="V2574" s="12"/>
      <c r="W2574" s="12"/>
      <c r="X2574" s="12"/>
      <c r="Y2574" s="12"/>
      <c r="Z2574" s="12"/>
    </row>
    <row r="2575" spans="1:26" ht="14.25" customHeight="1" x14ac:dyDescent="0.3">
      <c r="A2575" s="155"/>
      <c r="B2575" s="156"/>
      <c r="C2575" s="3"/>
      <c r="D2575" s="3"/>
      <c r="E2575" s="156"/>
      <c r="F2575" s="3"/>
      <c r="G2575" s="158"/>
      <c r="H2575" s="155"/>
      <c r="I2575" s="155"/>
      <c r="J2575" s="156"/>
      <c r="K2575" s="5"/>
      <c r="L2575" s="3"/>
      <c r="M2575" s="6"/>
      <c r="N2575" s="9"/>
      <c r="O2575" s="158"/>
      <c r="P2575" s="12"/>
      <c r="Q2575" s="12"/>
      <c r="R2575" s="12"/>
      <c r="S2575" s="12"/>
      <c r="T2575" s="12"/>
      <c r="U2575" s="12"/>
      <c r="V2575" s="12"/>
      <c r="W2575" s="12"/>
      <c r="X2575" s="12"/>
      <c r="Y2575" s="12"/>
      <c r="Z2575" s="12"/>
    </row>
    <row r="2576" spans="1:26" ht="14.25" customHeight="1" x14ac:dyDescent="0.3">
      <c r="A2576" s="155"/>
      <c r="B2576" s="156"/>
      <c r="C2576" s="3"/>
      <c r="D2576" s="3"/>
      <c r="E2576" s="156"/>
      <c r="F2576" s="3"/>
      <c r="G2576" s="158"/>
      <c r="H2576" s="155"/>
      <c r="I2576" s="155"/>
      <c r="J2576" s="156"/>
      <c r="K2576" s="5"/>
      <c r="L2576" s="3"/>
      <c r="M2576" s="6"/>
      <c r="N2576" s="9"/>
      <c r="O2576" s="158"/>
      <c r="P2576" s="12"/>
      <c r="Q2576" s="12"/>
      <c r="R2576" s="12"/>
      <c r="S2576" s="12"/>
      <c r="T2576" s="12"/>
      <c r="U2576" s="12"/>
      <c r="V2576" s="12"/>
      <c r="W2576" s="12"/>
      <c r="X2576" s="12"/>
      <c r="Y2576" s="12"/>
      <c r="Z2576" s="12"/>
    </row>
    <row r="2577" spans="1:26" ht="14.25" customHeight="1" x14ac:dyDescent="0.3">
      <c r="A2577" s="155"/>
      <c r="B2577" s="156"/>
      <c r="C2577" s="3"/>
      <c r="D2577" s="3"/>
      <c r="E2577" s="156"/>
      <c r="F2577" s="3"/>
      <c r="G2577" s="158"/>
      <c r="H2577" s="155"/>
      <c r="I2577" s="155"/>
      <c r="J2577" s="156"/>
      <c r="K2577" s="5"/>
      <c r="L2577" s="3"/>
      <c r="M2577" s="6"/>
      <c r="N2577" s="9"/>
      <c r="O2577" s="158"/>
      <c r="P2577" s="12"/>
      <c r="Q2577" s="12"/>
      <c r="R2577" s="12"/>
      <c r="S2577" s="12"/>
      <c r="T2577" s="12"/>
      <c r="U2577" s="12"/>
      <c r="V2577" s="12"/>
      <c r="W2577" s="12"/>
      <c r="X2577" s="12"/>
      <c r="Y2577" s="12"/>
      <c r="Z2577" s="12"/>
    </row>
    <row r="2578" spans="1:26" ht="14.25" customHeight="1" x14ac:dyDescent="0.3">
      <c r="A2578" s="155"/>
      <c r="B2578" s="156"/>
      <c r="C2578" s="3"/>
      <c r="D2578" s="3"/>
      <c r="E2578" s="156"/>
      <c r="F2578" s="3"/>
      <c r="G2578" s="158"/>
      <c r="H2578" s="155"/>
      <c r="I2578" s="155"/>
      <c r="J2578" s="156"/>
      <c r="K2578" s="5"/>
      <c r="L2578" s="3"/>
      <c r="M2578" s="6"/>
      <c r="N2578" s="9"/>
      <c r="O2578" s="158"/>
      <c r="P2578" s="12"/>
      <c r="Q2578" s="12"/>
      <c r="R2578" s="12"/>
      <c r="S2578" s="12"/>
      <c r="T2578" s="12"/>
      <c r="U2578" s="12"/>
      <c r="V2578" s="12"/>
      <c r="W2578" s="12"/>
      <c r="X2578" s="12"/>
      <c r="Y2578" s="12"/>
      <c r="Z2578" s="12"/>
    </row>
    <row r="2579" spans="1:26" ht="14.25" customHeight="1" x14ac:dyDescent="0.3">
      <c r="A2579" s="155"/>
      <c r="B2579" s="156"/>
      <c r="C2579" s="3"/>
      <c r="D2579" s="3"/>
      <c r="E2579" s="156"/>
      <c r="F2579" s="3"/>
      <c r="G2579" s="158"/>
      <c r="H2579" s="155"/>
      <c r="I2579" s="155"/>
      <c r="J2579" s="156"/>
      <c r="K2579" s="5"/>
      <c r="L2579" s="3"/>
      <c r="M2579" s="6"/>
      <c r="N2579" s="9"/>
      <c r="O2579" s="158"/>
      <c r="P2579" s="12"/>
      <c r="Q2579" s="12"/>
      <c r="R2579" s="12"/>
      <c r="S2579" s="12"/>
      <c r="T2579" s="12"/>
      <c r="U2579" s="12"/>
      <c r="V2579" s="12"/>
      <c r="W2579" s="12"/>
      <c r="X2579" s="12"/>
      <c r="Y2579" s="12"/>
      <c r="Z2579" s="12"/>
    </row>
    <row r="2580" spans="1:26" ht="14.25" customHeight="1" x14ac:dyDescent="0.3">
      <c r="A2580" s="155"/>
      <c r="B2580" s="156"/>
      <c r="C2580" s="3"/>
      <c r="D2580" s="3"/>
      <c r="E2580" s="156"/>
      <c r="F2580" s="3"/>
      <c r="G2580" s="158"/>
      <c r="H2580" s="155"/>
      <c r="I2580" s="155"/>
      <c r="J2580" s="156"/>
      <c r="K2580" s="5"/>
      <c r="L2580" s="3"/>
      <c r="M2580" s="6"/>
      <c r="N2580" s="9"/>
      <c r="O2580" s="158"/>
      <c r="P2580" s="12"/>
      <c r="Q2580" s="12"/>
      <c r="R2580" s="12"/>
      <c r="S2580" s="12"/>
      <c r="T2580" s="12"/>
      <c r="U2580" s="12"/>
      <c r="V2580" s="12"/>
      <c r="W2580" s="12"/>
      <c r="X2580" s="12"/>
      <c r="Y2580" s="12"/>
      <c r="Z2580" s="12"/>
    </row>
    <row r="2581" spans="1:26" ht="14.25" customHeight="1" x14ac:dyDescent="0.3">
      <c r="A2581" s="155"/>
      <c r="B2581" s="156"/>
      <c r="C2581" s="3"/>
      <c r="D2581" s="3"/>
      <c r="E2581" s="156"/>
      <c r="F2581" s="3"/>
      <c r="G2581" s="158"/>
      <c r="H2581" s="155"/>
      <c r="I2581" s="155"/>
      <c r="J2581" s="156"/>
      <c r="K2581" s="5"/>
      <c r="L2581" s="3"/>
      <c r="M2581" s="6"/>
      <c r="N2581" s="9"/>
      <c r="O2581" s="158"/>
      <c r="P2581" s="12"/>
      <c r="Q2581" s="12"/>
      <c r="R2581" s="12"/>
      <c r="S2581" s="12"/>
      <c r="T2581" s="12"/>
      <c r="U2581" s="12"/>
      <c r="V2581" s="12"/>
      <c r="W2581" s="12"/>
      <c r="X2581" s="12"/>
      <c r="Y2581" s="12"/>
      <c r="Z2581" s="12"/>
    </row>
    <row r="2582" spans="1:26" ht="14.25" customHeight="1" x14ac:dyDescent="0.3">
      <c r="A2582" s="155"/>
      <c r="B2582" s="156"/>
      <c r="C2582" s="3"/>
      <c r="D2582" s="3"/>
      <c r="E2582" s="156"/>
      <c r="F2582" s="3"/>
      <c r="G2582" s="158"/>
      <c r="H2582" s="155"/>
      <c r="I2582" s="155"/>
      <c r="J2582" s="156"/>
      <c r="K2582" s="5"/>
      <c r="L2582" s="3"/>
      <c r="M2582" s="6"/>
      <c r="N2582" s="9"/>
      <c r="O2582" s="158"/>
      <c r="P2582" s="12"/>
      <c r="Q2582" s="12"/>
      <c r="R2582" s="12"/>
      <c r="S2582" s="12"/>
      <c r="T2582" s="12"/>
      <c r="U2582" s="12"/>
      <c r="V2582" s="12"/>
      <c r="W2582" s="12"/>
      <c r="X2582" s="12"/>
      <c r="Y2582" s="12"/>
      <c r="Z2582" s="12"/>
    </row>
    <row r="2583" spans="1:26" ht="14.25" customHeight="1" x14ac:dyDescent="0.3">
      <c r="A2583" s="155"/>
      <c r="B2583" s="156"/>
      <c r="C2583" s="3"/>
      <c r="D2583" s="3"/>
      <c r="E2583" s="156"/>
      <c r="F2583" s="3"/>
      <c r="G2583" s="158"/>
      <c r="H2583" s="155"/>
      <c r="I2583" s="155"/>
      <c r="J2583" s="156"/>
      <c r="K2583" s="5"/>
      <c r="L2583" s="3"/>
      <c r="M2583" s="6"/>
      <c r="N2583" s="9"/>
      <c r="O2583" s="158"/>
      <c r="P2583" s="12"/>
      <c r="Q2583" s="12"/>
      <c r="R2583" s="12"/>
      <c r="S2583" s="12"/>
      <c r="T2583" s="12"/>
      <c r="U2583" s="12"/>
      <c r="V2583" s="12"/>
      <c r="W2583" s="12"/>
      <c r="X2583" s="12"/>
      <c r="Y2583" s="12"/>
      <c r="Z2583" s="12"/>
    </row>
    <row r="2584" spans="1:26" ht="14.25" customHeight="1" x14ac:dyDescent="0.3">
      <c r="A2584" s="155"/>
      <c r="B2584" s="156"/>
      <c r="C2584" s="3"/>
      <c r="D2584" s="3"/>
      <c r="E2584" s="156"/>
      <c r="F2584" s="3"/>
      <c r="G2584" s="158"/>
      <c r="H2584" s="155"/>
      <c r="I2584" s="155"/>
      <c r="J2584" s="156"/>
      <c r="K2584" s="5"/>
      <c r="L2584" s="3"/>
      <c r="M2584" s="6"/>
      <c r="N2584" s="9"/>
      <c r="O2584" s="158"/>
      <c r="P2584" s="12"/>
      <c r="Q2584" s="12"/>
      <c r="R2584" s="12"/>
      <c r="S2584" s="12"/>
      <c r="T2584" s="12"/>
      <c r="U2584" s="12"/>
      <c r="V2584" s="12"/>
      <c r="W2584" s="12"/>
      <c r="X2584" s="12"/>
      <c r="Y2584" s="12"/>
      <c r="Z2584" s="12"/>
    </row>
    <row r="2585" spans="1:26" ht="14.25" customHeight="1" x14ac:dyDescent="0.3">
      <c r="A2585" s="155"/>
      <c r="B2585" s="156"/>
      <c r="C2585" s="3"/>
      <c r="D2585" s="3"/>
      <c r="E2585" s="156"/>
      <c r="F2585" s="3"/>
      <c r="G2585" s="158"/>
      <c r="H2585" s="155"/>
      <c r="I2585" s="155"/>
      <c r="J2585" s="156"/>
      <c r="K2585" s="5"/>
      <c r="L2585" s="3"/>
      <c r="M2585" s="6"/>
      <c r="N2585" s="9"/>
      <c r="O2585" s="158"/>
      <c r="P2585" s="12"/>
      <c r="Q2585" s="12"/>
      <c r="R2585" s="12"/>
      <c r="S2585" s="12"/>
      <c r="T2585" s="12"/>
      <c r="U2585" s="12"/>
      <c r="V2585" s="12"/>
      <c r="W2585" s="12"/>
      <c r="X2585" s="12"/>
      <c r="Y2585" s="12"/>
      <c r="Z2585" s="12"/>
    </row>
    <row r="2586" spans="1:26" ht="14.25" customHeight="1" x14ac:dyDescent="0.3">
      <c r="A2586" s="155"/>
      <c r="B2586" s="156"/>
      <c r="C2586" s="3"/>
      <c r="D2586" s="3"/>
      <c r="E2586" s="156"/>
      <c r="F2586" s="3"/>
      <c r="G2586" s="158"/>
      <c r="H2586" s="155"/>
      <c r="I2586" s="155"/>
      <c r="J2586" s="156"/>
      <c r="K2586" s="5"/>
      <c r="L2586" s="3"/>
      <c r="M2586" s="6"/>
      <c r="N2586" s="9"/>
      <c r="O2586" s="158"/>
      <c r="P2586" s="12"/>
      <c r="Q2586" s="12"/>
      <c r="R2586" s="12"/>
      <c r="S2586" s="12"/>
      <c r="T2586" s="12"/>
      <c r="U2586" s="12"/>
      <c r="V2586" s="12"/>
      <c r="W2586" s="12"/>
      <c r="X2586" s="12"/>
      <c r="Y2586" s="12"/>
      <c r="Z2586" s="12"/>
    </row>
    <row r="2587" spans="1:26" ht="14.25" customHeight="1" x14ac:dyDescent="0.3">
      <c r="A2587" s="155"/>
      <c r="B2587" s="156"/>
      <c r="C2587" s="3"/>
      <c r="D2587" s="3"/>
      <c r="E2587" s="156"/>
      <c r="F2587" s="3"/>
      <c r="G2587" s="158"/>
      <c r="H2587" s="155"/>
      <c r="I2587" s="155"/>
      <c r="J2587" s="156"/>
      <c r="K2587" s="5"/>
      <c r="L2587" s="3"/>
      <c r="M2587" s="6"/>
      <c r="N2587" s="9"/>
      <c r="O2587" s="158"/>
      <c r="P2587" s="12"/>
      <c r="Q2587" s="12"/>
      <c r="R2587" s="12"/>
      <c r="S2587" s="12"/>
      <c r="T2587" s="12"/>
      <c r="U2587" s="12"/>
      <c r="V2587" s="12"/>
      <c r="W2587" s="12"/>
      <c r="X2587" s="12"/>
      <c r="Y2587" s="12"/>
      <c r="Z2587" s="12"/>
    </row>
    <row r="2588" spans="1:26" ht="14.25" customHeight="1" x14ac:dyDescent="0.3">
      <c r="A2588" s="155"/>
      <c r="B2588" s="156"/>
      <c r="C2588" s="3"/>
      <c r="D2588" s="3"/>
      <c r="E2588" s="156"/>
      <c r="F2588" s="3"/>
      <c r="G2588" s="158"/>
      <c r="H2588" s="155"/>
      <c r="I2588" s="155"/>
      <c r="J2588" s="156"/>
      <c r="K2588" s="5"/>
      <c r="L2588" s="3"/>
      <c r="M2588" s="6"/>
      <c r="N2588" s="9"/>
      <c r="O2588" s="158"/>
      <c r="P2588" s="12"/>
      <c r="Q2588" s="12"/>
      <c r="R2588" s="12"/>
      <c r="S2588" s="12"/>
      <c r="T2588" s="12"/>
      <c r="U2588" s="12"/>
      <c r="V2588" s="12"/>
      <c r="W2588" s="12"/>
      <c r="X2588" s="12"/>
      <c r="Y2588" s="12"/>
      <c r="Z2588" s="12"/>
    </row>
    <row r="2589" spans="1:26" ht="14.25" customHeight="1" x14ac:dyDescent="0.3">
      <c r="A2589" s="155"/>
      <c r="B2589" s="156"/>
      <c r="C2589" s="3"/>
      <c r="D2589" s="3"/>
      <c r="E2589" s="156"/>
      <c r="F2589" s="3"/>
      <c r="G2589" s="158"/>
      <c r="H2589" s="155"/>
      <c r="I2589" s="155"/>
      <c r="J2589" s="156"/>
      <c r="K2589" s="5"/>
      <c r="L2589" s="3"/>
      <c r="M2589" s="6"/>
      <c r="N2589" s="9"/>
      <c r="O2589" s="158"/>
      <c r="P2589" s="12"/>
      <c r="Q2589" s="12"/>
      <c r="R2589" s="12"/>
      <c r="S2589" s="12"/>
      <c r="T2589" s="12"/>
      <c r="U2589" s="12"/>
      <c r="V2589" s="12"/>
      <c r="W2589" s="12"/>
      <c r="X2589" s="12"/>
      <c r="Y2589" s="12"/>
      <c r="Z2589" s="12"/>
    </row>
    <row r="2590" spans="1:26" ht="14.25" customHeight="1" x14ac:dyDescent="0.3">
      <c r="A2590" s="155"/>
      <c r="B2590" s="156"/>
      <c r="C2590" s="3"/>
      <c r="D2590" s="3"/>
      <c r="E2590" s="156"/>
      <c r="F2590" s="3"/>
      <c r="G2590" s="158"/>
      <c r="H2590" s="155"/>
      <c r="I2590" s="155"/>
      <c r="J2590" s="156"/>
      <c r="K2590" s="5"/>
      <c r="L2590" s="3"/>
      <c r="M2590" s="6"/>
      <c r="N2590" s="9"/>
      <c r="O2590" s="158"/>
      <c r="P2590" s="12"/>
      <c r="Q2590" s="12"/>
      <c r="R2590" s="12"/>
      <c r="S2590" s="12"/>
      <c r="T2590" s="12"/>
      <c r="U2590" s="12"/>
      <c r="V2590" s="12"/>
      <c r="W2590" s="12"/>
      <c r="X2590" s="12"/>
      <c r="Y2590" s="12"/>
      <c r="Z2590" s="12"/>
    </row>
    <row r="2591" spans="1:26" ht="14.25" customHeight="1" x14ac:dyDescent="0.3">
      <c r="A2591" s="155"/>
      <c r="B2591" s="156"/>
      <c r="C2591" s="3"/>
      <c r="D2591" s="3"/>
      <c r="E2591" s="156"/>
      <c r="F2591" s="3"/>
      <c r="G2591" s="158"/>
      <c r="H2591" s="155"/>
      <c r="I2591" s="155"/>
      <c r="J2591" s="156"/>
      <c r="K2591" s="5"/>
      <c r="L2591" s="3"/>
      <c r="M2591" s="6"/>
      <c r="N2591" s="9"/>
      <c r="O2591" s="158"/>
      <c r="P2591" s="12"/>
      <c r="Q2591" s="12"/>
      <c r="R2591" s="12"/>
      <c r="S2591" s="12"/>
      <c r="T2591" s="12"/>
      <c r="U2591" s="12"/>
      <c r="V2591" s="12"/>
      <c r="W2591" s="12"/>
      <c r="X2591" s="12"/>
      <c r="Y2591" s="12"/>
      <c r="Z2591" s="12"/>
    </row>
    <row r="2592" spans="1:26" ht="14.25" customHeight="1" x14ac:dyDescent="0.3">
      <c r="A2592" s="155"/>
      <c r="B2592" s="156"/>
      <c r="C2592" s="3"/>
      <c r="D2592" s="3"/>
      <c r="E2592" s="156"/>
      <c r="F2592" s="3"/>
      <c r="G2592" s="158"/>
      <c r="H2592" s="155"/>
      <c r="I2592" s="155"/>
      <c r="J2592" s="156"/>
      <c r="K2592" s="5"/>
      <c r="L2592" s="3"/>
      <c r="M2592" s="6"/>
      <c r="N2592" s="9"/>
      <c r="O2592" s="158"/>
      <c r="P2592" s="12"/>
      <c r="Q2592" s="12"/>
      <c r="R2592" s="12"/>
      <c r="S2592" s="12"/>
      <c r="T2592" s="12"/>
      <c r="U2592" s="12"/>
      <c r="V2592" s="12"/>
      <c r="W2592" s="12"/>
      <c r="X2592" s="12"/>
      <c r="Y2592" s="12"/>
      <c r="Z2592" s="12"/>
    </row>
    <row r="2593" spans="1:26" ht="14.25" customHeight="1" x14ac:dyDescent="0.3">
      <c r="A2593" s="155"/>
      <c r="B2593" s="156"/>
      <c r="C2593" s="3"/>
      <c r="D2593" s="3"/>
      <c r="E2593" s="156"/>
      <c r="F2593" s="3"/>
      <c r="G2593" s="158"/>
      <c r="H2593" s="155"/>
      <c r="I2593" s="155"/>
      <c r="J2593" s="156"/>
      <c r="K2593" s="5"/>
      <c r="L2593" s="3"/>
      <c r="M2593" s="6"/>
      <c r="N2593" s="9"/>
      <c r="O2593" s="158"/>
      <c r="P2593" s="12"/>
      <c r="Q2593" s="12"/>
      <c r="R2593" s="12"/>
      <c r="S2593" s="12"/>
      <c r="T2593" s="12"/>
      <c r="U2593" s="12"/>
      <c r="V2593" s="12"/>
      <c r="W2593" s="12"/>
      <c r="X2593" s="12"/>
      <c r="Y2593" s="12"/>
      <c r="Z2593" s="12"/>
    </row>
    <row r="2594" spans="1:26" ht="14.25" customHeight="1" x14ac:dyDescent="0.3">
      <c r="A2594" s="155"/>
      <c r="B2594" s="156"/>
      <c r="C2594" s="3"/>
      <c r="D2594" s="3"/>
      <c r="E2594" s="156"/>
      <c r="F2594" s="3"/>
      <c r="G2594" s="158"/>
      <c r="H2594" s="155"/>
      <c r="I2594" s="155"/>
      <c r="J2594" s="156"/>
      <c r="K2594" s="5"/>
      <c r="L2594" s="3"/>
      <c r="M2594" s="6"/>
      <c r="N2594" s="9"/>
      <c r="O2594" s="158"/>
      <c r="P2594" s="12"/>
      <c r="Q2594" s="12"/>
      <c r="R2594" s="12"/>
      <c r="S2594" s="12"/>
      <c r="T2594" s="12"/>
      <c r="U2594" s="12"/>
      <c r="V2594" s="12"/>
      <c r="W2594" s="12"/>
      <c r="X2594" s="12"/>
      <c r="Y2594" s="12"/>
      <c r="Z2594" s="12"/>
    </row>
    <row r="2595" spans="1:26" ht="14.25" customHeight="1" x14ac:dyDescent="0.3">
      <c r="A2595" s="155"/>
      <c r="B2595" s="156"/>
      <c r="C2595" s="3"/>
      <c r="D2595" s="3"/>
      <c r="E2595" s="156"/>
      <c r="F2595" s="3"/>
      <c r="G2595" s="158"/>
      <c r="H2595" s="155"/>
      <c r="I2595" s="155"/>
      <c r="J2595" s="156"/>
      <c r="K2595" s="5"/>
      <c r="L2595" s="3"/>
      <c r="M2595" s="6"/>
      <c r="N2595" s="9"/>
      <c r="O2595" s="158"/>
      <c r="P2595" s="12"/>
      <c r="Q2595" s="12"/>
      <c r="R2595" s="12"/>
      <c r="S2595" s="12"/>
      <c r="T2595" s="12"/>
      <c r="U2595" s="12"/>
      <c r="V2595" s="12"/>
      <c r="W2595" s="12"/>
      <c r="X2595" s="12"/>
      <c r="Y2595" s="12"/>
      <c r="Z2595" s="12"/>
    </row>
    <row r="2596" spans="1:26" ht="14.25" customHeight="1" x14ac:dyDescent="0.3">
      <c r="A2596" s="155"/>
      <c r="B2596" s="156"/>
      <c r="C2596" s="3"/>
      <c r="D2596" s="3"/>
      <c r="E2596" s="156"/>
      <c r="F2596" s="3"/>
      <c r="G2596" s="158"/>
      <c r="H2596" s="155"/>
      <c r="I2596" s="155"/>
      <c r="J2596" s="156"/>
      <c r="K2596" s="5"/>
      <c r="L2596" s="3"/>
      <c r="M2596" s="6"/>
      <c r="N2596" s="9"/>
      <c r="O2596" s="158"/>
      <c r="P2596" s="12"/>
      <c r="Q2596" s="12"/>
      <c r="R2596" s="12"/>
      <c r="S2596" s="12"/>
      <c r="T2596" s="12"/>
      <c r="U2596" s="12"/>
      <c r="V2596" s="12"/>
      <c r="W2596" s="12"/>
      <c r="X2596" s="12"/>
      <c r="Y2596" s="12"/>
      <c r="Z2596" s="12"/>
    </row>
    <row r="2597" spans="1:26" ht="14.25" customHeight="1" x14ac:dyDescent="0.3">
      <c r="A2597" s="155"/>
      <c r="B2597" s="156"/>
      <c r="C2597" s="3"/>
      <c r="D2597" s="3"/>
      <c r="E2597" s="156"/>
      <c r="F2597" s="3"/>
      <c r="G2597" s="158"/>
      <c r="H2597" s="155"/>
      <c r="I2597" s="155"/>
      <c r="J2597" s="156"/>
      <c r="K2597" s="5"/>
      <c r="L2597" s="3"/>
      <c r="M2597" s="6"/>
      <c r="N2597" s="9"/>
      <c r="O2597" s="158"/>
      <c r="P2597" s="12"/>
      <c r="Q2597" s="12"/>
      <c r="R2597" s="12"/>
      <c r="S2597" s="12"/>
      <c r="T2597" s="12"/>
      <c r="U2597" s="12"/>
      <c r="V2597" s="12"/>
      <c r="W2597" s="12"/>
      <c r="X2597" s="12"/>
      <c r="Y2597" s="12"/>
      <c r="Z2597" s="12"/>
    </row>
    <row r="2598" spans="1:26" ht="14.25" customHeight="1" x14ac:dyDescent="0.3">
      <c r="A2598" s="155"/>
      <c r="B2598" s="156"/>
      <c r="C2598" s="3"/>
      <c r="D2598" s="3"/>
      <c r="E2598" s="156"/>
      <c r="F2598" s="3"/>
      <c r="G2598" s="158"/>
      <c r="H2598" s="155"/>
      <c r="I2598" s="155"/>
      <c r="J2598" s="156"/>
      <c r="K2598" s="5"/>
      <c r="L2598" s="3"/>
      <c r="M2598" s="6"/>
      <c r="N2598" s="9"/>
      <c r="O2598" s="158"/>
      <c r="P2598" s="12"/>
      <c r="Q2598" s="12"/>
      <c r="R2598" s="12"/>
      <c r="S2598" s="12"/>
      <c r="T2598" s="12"/>
      <c r="U2598" s="12"/>
      <c r="V2598" s="12"/>
      <c r="W2598" s="12"/>
      <c r="X2598" s="12"/>
      <c r="Y2598" s="12"/>
      <c r="Z2598" s="12"/>
    </row>
    <row r="2599" spans="1:26" ht="14.25" customHeight="1" x14ac:dyDescent="0.3">
      <c r="A2599" s="155"/>
      <c r="B2599" s="156"/>
      <c r="C2599" s="3"/>
      <c r="D2599" s="3"/>
      <c r="E2599" s="156"/>
      <c r="F2599" s="3"/>
      <c r="G2599" s="158"/>
      <c r="H2599" s="155"/>
      <c r="I2599" s="155"/>
      <c r="J2599" s="156"/>
      <c r="K2599" s="5"/>
      <c r="L2599" s="3"/>
      <c r="M2599" s="6"/>
      <c r="N2599" s="9"/>
      <c r="O2599" s="158"/>
      <c r="P2599" s="12"/>
      <c r="Q2599" s="12"/>
      <c r="R2599" s="12"/>
      <c r="S2599" s="12"/>
      <c r="T2599" s="12"/>
      <c r="U2599" s="12"/>
      <c r="V2599" s="12"/>
      <c r="W2599" s="12"/>
      <c r="X2599" s="12"/>
      <c r="Y2599" s="12"/>
      <c r="Z2599" s="12"/>
    </row>
    <row r="2600" spans="1:26" ht="14.25" customHeight="1" x14ac:dyDescent="0.3">
      <c r="A2600" s="155"/>
      <c r="B2600" s="156"/>
      <c r="C2600" s="3"/>
      <c r="D2600" s="3"/>
      <c r="E2600" s="156"/>
      <c r="F2600" s="3"/>
      <c r="G2600" s="158"/>
      <c r="H2600" s="155"/>
      <c r="I2600" s="155"/>
      <c r="J2600" s="156"/>
      <c r="K2600" s="5"/>
      <c r="L2600" s="3"/>
      <c r="M2600" s="6"/>
      <c r="N2600" s="9"/>
      <c r="O2600" s="158"/>
      <c r="P2600" s="12"/>
      <c r="Q2600" s="12"/>
      <c r="R2600" s="12"/>
      <c r="S2600" s="12"/>
      <c r="T2600" s="12"/>
      <c r="U2600" s="12"/>
      <c r="V2600" s="12"/>
      <c r="W2600" s="12"/>
      <c r="X2600" s="12"/>
      <c r="Y2600" s="12"/>
      <c r="Z2600" s="12"/>
    </row>
    <row r="2601" spans="1:26" ht="14.25" customHeight="1" x14ac:dyDescent="0.3">
      <c r="A2601" s="155"/>
      <c r="B2601" s="156"/>
      <c r="C2601" s="3"/>
      <c r="D2601" s="3"/>
      <c r="E2601" s="156"/>
      <c r="F2601" s="3"/>
      <c r="G2601" s="158"/>
      <c r="H2601" s="155"/>
      <c r="I2601" s="155"/>
      <c r="J2601" s="156"/>
      <c r="K2601" s="5"/>
      <c r="L2601" s="3"/>
      <c r="M2601" s="6"/>
      <c r="N2601" s="9"/>
      <c r="O2601" s="158"/>
      <c r="P2601" s="12"/>
      <c r="Q2601" s="12"/>
      <c r="R2601" s="12"/>
      <c r="S2601" s="12"/>
      <c r="T2601" s="12"/>
      <c r="U2601" s="12"/>
      <c r="V2601" s="12"/>
      <c r="W2601" s="12"/>
      <c r="X2601" s="12"/>
      <c r="Y2601" s="12"/>
      <c r="Z2601" s="12"/>
    </row>
    <row r="2602" spans="1:26" ht="14.25" customHeight="1" x14ac:dyDescent="0.3">
      <c r="A2602" s="155"/>
      <c r="B2602" s="156"/>
      <c r="C2602" s="3"/>
      <c r="D2602" s="3"/>
      <c r="E2602" s="156"/>
      <c r="F2602" s="3"/>
      <c r="G2602" s="158"/>
      <c r="H2602" s="155"/>
      <c r="I2602" s="155"/>
      <c r="J2602" s="156"/>
      <c r="K2602" s="5"/>
      <c r="L2602" s="3"/>
      <c r="M2602" s="6"/>
      <c r="N2602" s="9"/>
      <c r="O2602" s="158"/>
      <c r="P2602" s="12"/>
      <c r="Q2602" s="12"/>
      <c r="R2602" s="12"/>
      <c r="S2602" s="12"/>
      <c r="T2602" s="12"/>
      <c r="U2602" s="12"/>
      <c r="V2602" s="12"/>
      <c r="W2602" s="12"/>
      <c r="X2602" s="12"/>
      <c r="Y2602" s="12"/>
      <c r="Z2602" s="12"/>
    </row>
    <row r="2603" spans="1:26" ht="14.25" customHeight="1" x14ac:dyDescent="0.3">
      <c r="A2603" s="155"/>
      <c r="B2603" s="156"/>
      <c r="C2603" s="3"/>
      <c r="D2603" s="3"/>
      <c r="E2603" s="156"/>
      <c r="F2603" s="3"/>
      <c r="G2603" s="158"/>
      <c r="H2603" s="155"/>
      <c r="I2603" s="155"/>
      <c r="J2603" s="156"/>
      <c r="K2603" s="5"/>
      <c r="L2603" s="3"/>
      <c r="M2603" s="6"/>
      <c r="N2603" s="9"/>
      <c r="O2603" s="158"/>
      <c r="P2603" s="12"/>
      <c r="Q2603" s="12"/>
      <c r="R2603" s="12"/>
      <c r="S2603" s="12"/>
      <c r="T2603" s="12"/>
      <c r="U2603" s="12"/>
      <c r="V2603" s="12"/>
      <c r="W2603" s="12"/>
      <c r="X2603" s="12"/>
      <c r="Y2603" s="12"/>
      <c r="Z2603" s="12"/>
    </row>
    <row r="2604" spans="1:26" ht="14.25" customHeight="1" x14ac:dyDescent="0.3">
      <c r="A2604" s="155"/>
      <c r="B2604" s="156"/>
      <c r="C2604" s="3"/>
      <c r="D2604" s="3"/>
      <c r="E2604" s="156"/>
      <c r="F2604" s="3"/>
      <c r="G2604" s="158"/>
      <c r="H2604" s="155"/>
      <c r="I2604" s="155"/>
      <c r="J2604" s="156"/>
      <c r="K2604" s="5"/>
      <c r="L2604" s="3"/>
      <c r="M2604" s="6"/>
      <c r="N2604" s="9"/>
      <c r="O2604" s="158"/>
      <c r="P2604" s="12"/>
      <c r="Q2604" s="12"/>
      <c r="R2604" s="12"/>
      <c r="S2604" s="12"/>
      <c r="T2604" s="12"/>
      <c r="U2604" s="12"/>
      <c r="V2604" s="12"/>
      <c r="W2604" s="12"/>
      <c r="X2604" s="12"/>
      <c r="Y2604" s="12"/>
      <c r="Z2604" s="12"/>
    </row>
    <row r="2605" spans="1:26" ht="14.25" customHeight="1" x14ac:dyDescent="0.3">
      <c r="A2605" s="155"/>
      <c r="B2605" s="156"/>
      <c r="C2605" s="3"/>
      <c r="D2605" s="3"/>
      <c r="E2605" s="156"/>
      <c r="F2605" s="3"/>
      <c r="G2605" s="158"/>
      <c r="H2605" s="155"/>
      <c r="I2605" s="155"/>
      <c r="J2605" s="156"/>
      <c r="K2605" s="5"/>
      <c r="L2605" s="3"/>
      <c r="M2605" s="6"/>
      <c r="N2605" s="9"/>
      <c r="O2605" s="158"/>
      <c r="P2605" s="12"/>
      <c r="Q2605" s="12"/>
      <c r="R2605" s="12"/>
      <c r="S2605" s="12"/>
      <c r="T2605" s="12"/>
      <c r="U2605" s="12"/>
      <c r="V2605" s="12"/>
      <c r="W2605" s="12"/>
      <c r="X2605" s="12"/>
      <c r="Y2605" s="12"/>
      <c r="Z2605" s="12"/>
    </row>
    <row r="2606" spans="1:26" ht="14.25" customHeight="1" x14ac:dyDescent="0.3">
      <c r="A2606" s="155"/>
      <c r="B2606" s="156"/>
      <c r="C2606" s="3"/>
      <c r="D2606" s="3"/>
      <c r="E2606" s="156"/>
      <c r="F2606" s="3"/>
      <c r="G2606" s="158"/>
      <c r="H2606" s="155"/>
      <c r="I2606" s="155"/>
      <c r="J2606" s="156"/>
      <c r="K2606" s="5"/>
      <c r="L2606" s="3"/>
      <c r="M2606" s="6"/>
      <c r="N2606" s="9"/>
      <c r="O2606" s="158"/>
      <c r="P2606" s="12"/>
      <c r="Q2606" s="12"/>
      <c r="R2606" s="12"/>
      <c r="S2606" s="12"/>
      <c r="T2606" s="12"/>
      <c r="U2606" s="12"/>
      <c r="V2606" s="12"/>
      <c r="W2606" s="12"/>
      <c r="X2606" s="12"/>
      <c r="Y2606" s="12"/>
      <c r="Z2606" s="12"/>
    </row>
    <row r="2607" spans="1:26" ht="14.25" customHeight="1" x14ac:dyDescent="0.3">
      <c r="A2607" s="155"/>
      <c r="B2607" s="156"/>
      <c r="C2607" s="3"/>
      <c r="D2607" s="3"/>
      <c r="E2607" s="156"/>
      <c r="F2607" s="3"/>
      <c r="G2607" s="158"/>
      <c r="H2607" s="155"/>
      <c r="I2607" s="155"/>
      <c r="J2607" s="156"/>
      <c r="K2607" s="5"/>
      <c r="L2607" s="3"/>
      <c r="M2607" s="6"/>
      <c r="N2607" s="9"/>
      <c r="O2607" s="158"/>
      <c r="P2607" s="12"/>
      <c r="Q2607" s="12"/>
      <c r="R2607" s="12"/>
      <c r="S2607" s="12"/>
      <c r="T2607" s="12"/>
      <c r="U2607" s="12"/>
      <c r="V2607" s="12"/>
      <c r="W2607" s="12"/>
      <c r="X2607" s="12"/>
      <c r="Y2607" s="12"/>
      <c r="Z2607" s="12"/>
    </row>
    <row r="2608" spans="1:26" ht="14.25" customHeight="1" x14ac:dyDescent="0.3">
      <c r="A2608" s="155"/>
      <c r="B2608" s="156"/>
      <c r="C2608" s="3"/>
      <c r="D2608" s="3"/>
      <c r="E2608" s="156"/>
      <c r="F2608" s="3"/>
      <c r="G2608" s="158"/>
      <c r="H2608" s="155"/>
      <c r="I2608" s="155"/>
      <c r="J2608" s="156"/>
      <c r="K2608" s="5"/>
      <c r="L2608" s="3"/>
      <c r="M2608" s="6"/>
      <c r="N2608" s="9"/>
      <c r="O2608" s="158"/>
      <c r="P2608" s="12"/>
      <c r="Q2608" s="12"/>
      <c r="R2608" s="12"/>
      <c r="S2608" s="12"/>
      <c r="T2608" s="12"/>
      <c r="U2608" s="12"/>
      <c r="V2608" s="12"/>
      <c r="W2608" s="12"/>
      <c r="X2608" s="12"/>
      <c r="Y2608" s="12"/>
      <c r="Z2608" s="12"/>
    </row>
    <row r="2609" spans="1:26" ht="14.25" customHeight="1" x14ac:dyDescent="0.3">
      <c r="A2609" s="155"/>
      <c r="B2609" s="156"/>
      <c r="C2609" s="3"/>
      <c r="D2609" s="3"/>
      <c r="E2609" s="156"/>
      <c r="F2609" s="3"/>
      <c r="G2609" s="158"/>
      <c r="H2609" s="155"/>
      <c r="I2609" s="155"/>
      <c r="J2609" s="156"/>
      <c r="K2609" s="5"/>
      <c r="L2609" s="3"/>
      <c r="M2609" s="6"/>
      <c r="N2609" s="9"/>
      <c r="O2609" s="158"/>
      <c r="P2609" s="12"/>
      <c r="Q2609" s="12"/>
      <c r="R2609" s="12"/>
      <c r="S2609" s="12"/>
      <c r="T2609" s="12"/>
      <c r="U2609" s="12"/>
      <c r="V2609" s="12"/>
      <c r="W2609" s="12"/>
      <c r="X2609" s="12"/>
      <c r="Y2609" s="12"/>
      <c r="Z2609" s="12"/>
    </row>
    <row r="2610" spans="1:26" ht="14.25" customHeight="1" x14ac:dyDescent="0.3">
      <c r="A2610" s="155"/>
      <c r="B2610" s="156"/>
      <c r="C2610" s="3"/>
      <c r="D2610" s="3"/>
      <c r="E2610" s="156"/>
      <c r="F2610" s="3"/>
      <c r="G2610" s="158"/>
      <c r="H2610" s="155"/>
      <c r="I2610" s="155"/>
      <c r="J2610" s="156"/>
      <c r="K2610" s="5"/>
      <c r="L2610" s="3"/>
      <c r="M2610" s="6"/>
      <c r="N2610" s="9"/>
      <c r="O2610" s="158"/>
      <c r="P2610" s="12"/>
      <c r="Q2610" s="12"/>
      <c r="R2610" s="12"/>
      <c r="S2610" s="12"/>
      <c r="T2610" s="12"/>
      <c r="U2610" s="12"/>
      <c r="V2610" s="12"/>
      <c r="W2610" s="12"/>
      <c r="X2610" s="12"/>
      <c r="Y2610" s="12"/>
      <c r="Z2610" s="12"/>
    </row>
    <row r="2611" spans="1:26" ht="14.25" customHeight="1" x14ac:dyDescent="0.3">
      <c r="A2611" s="155"/>
      <c r="B2611" s="156"/>
      <c r="C2611" s="3"/>
      <c r="D2611" s="3"/>
      <c r="E2611" s="156"/>
      <c r="F2611" s="3"/>
      <c r="G2611" s="158"/>
      <c r="H2611" s="155"/>
      <c r="I2611" s="155"/>
      <c r="J2611" s="156"/>
      <c r="K2611" s="5"/>
      <c r="L2611" s="3"/>
      <c r="M2611" s="6"/>
      <c r="N2611" s="9"/>
      <c r="O2611" s="158"/>
      <c r="P2611" s="12"/>
      <c r="Q2611" s="12"/>
      <c r="R2611" s="12"/>
      <c r="S2611" s="12"/>
      <c r="T2611" s="12"/>
      <c r="U2611" s="12"/>
      <c r="V2611" s="12"/>
      <c r="W2611" s="12"/>
      <c r="X2611" s="12"/>
      <c r="Y2611" s="12"/>
      <c r="Z2611" s="12"/>
    </row>
    <row r="2612" spans="1:26" ht="14.25" customHeight="1" x14ac:dyDescent="0.3">
      <c r="A2612" s="155"/>
      <c r="B2612" s="156"/>
      <c r="C2612" s="3"/>
      <c r="D2612" s="3"/>
      <c r="E2612" s="156"/>
      <c r="F2612" s="3"/>
      <c r="G2612" s="158"/>
      <c r="H2612" s="155"/>
      <c r="I2612" s="155"/>
      <c r="J2612" s="156"/>
      <c r="K2612" s="5"/>
      <c r="L2612" s="3"/>
      <c r="M2612" s="6"/>
      <c r="N2612" s="9"/>
      <c r="O2612" s="158"/>
      <c r="P2612" s="12"/>
      <c r="Q2612" s="12"/>
      <c r="R2612" s="12"/>
      <c r="S2612" s="12"/>
      <c r="T2612" s="12"/>
      <c r="U2612" s="12"/>
      <c r="V2612" s="12"/>
      <c r="W2612" s="12"/>
      <c r="X2612" s="12"/>
      <c r="Y2612" s="12"/>
      <c r="Z2612" s="12"/>
    </row>
    <row r="2613" spans="1:26" ht="14.25" customHeight="1" x14ac:dyDescent="0.3">
      <c r="A2613" s="155"/>
      <c r="B2613" s="156"/>
      <c r="C2613" s="3"/>
      <c r="D2613" s="3"/>
      <c r="E2613" s="156"/>
      <c r="F2613" s="3"/>
      <c r="G2613" s="158"/>
      <c r="H2613" s="155"/>
      <c r="I2613" s="155"/>
      <c r="J2613" s="156"/>
      <c r="K2613" s="5"/>
      <c r="L2613" s="3"/>
      <c r="M2613" s="6"/>
      <c r="N2613" s="9"/>
      <c r="O2613" s="158"/>
      <c r="P2613" s="12"/>
      <c r="Q2613" s="12"/>
      <c r="R2613" s="12"/>
      <c r="S2613" s="12"/>
      <c r="T2613" s="12"/>
      <c r="U2613" s="12"/>
      <c r="V2613" s="12"/>
      <c r="W2613" s="12"/>
      <c r="X2613" s="12"/>
      <c r="Y2613" s="12"/>
      <c r="Z2613" s="12"/>
    </row>
    <row r="2614" spans="1:26" ht="14.25" customHeight="1" x14ac:dyDescent="0.3">
      <c r="A2614" s="155"/>
      <c r="B2614" s="156"/>
      <c r="C2614" s="3"/>
      <c r="D2614" s="3"/>
      <c r="E2614" s="156"/>
      <c r="F2614" s="3"/>
      <c r="G2614" s="158"/>
      <c r="H2614" s="155"/>
      <c r="I2614" s="155"/>
      <c r="J2614" s="156"/>
      <c r="K2614" s="5"/>
      <c r="L2614" s="3"/>
      <c r="M2614" s="6"/>
      <c r="N2614" s="9"/>
      <c r="O2614" s="158"/>
      <c r="P2614" s="12"/>
      <c r="Q2614" s="12"/>
      <c r="R2614" s="12"/>
      <c r="S2614" s="12"/>
      <c r="T2614" s="12"/>
      <c r="U2614" s="12"/>
      <c r="V2614" s="12"/>
      <c r="W2614" s="12"/>
      <c r="X2614" s="12"/>
      <c r="Y2614" s="12"/>
      <c r="Z2614" s="12"/>
    </row>
    <row r="2615" spans="1:26" ht="14.25" customHeight="1" x14ac:dyDescent="0.3">
      <c r="A2615" s="155"/>
      <c r="B2615" s="156"/>
      <c r="C2615" s="3"/>
      <c r="D2615" s="3"/>
      <c r="E2615" s="156"/>
      <c r="F2615" s="3"/>
      <c r="G2615" s="158"/>
      <c r="H2615" s="155"/>
      <c r="I2615" s="155"/>
      <c r="J2615" s="156"/>
      <c r="K2615" s="5"/>
      <c r="L2615" s="3"/>
      <c r="M2615" s="6"/>
      <c r="N2615" s="9"/>
      <c r="O2615" s="158"/>
      <c r="P2615" s="12"/>
      <c r="Q2615" s="12"/>
      <c r="R2615" s="12"/>
      <c r="S2615" s="12"/>
      <c r="T2615" s="12"/>
      <c r="U2615" s="12"/>
      <c r="V2615" s="12"/>
      <c r="W2615" s="12"/>
      <c r="X2615" s="12"/>
      <c r="Y2615" s="12"/>
      <c r="Z2615" s="12"/>
    </row>
    <row r="2616" spans="1:26" ht="14.25" customHeight="1" x14ac:dyDescent="0.3">
      <c r="A2616" s="155"/>
      <c r="B2616" s="156"/>
      <c r="C2616" s="3"/>
      <c r="D2616" s="3"/>
      <c r="E2616" s="156"/>
      <c r="F2616" s="3"/>
      <c r="G2616" s="158"/>
      <c r="H2616" s="155"/>
      <c r="I2616" s="155"/>
      <c r="J2616" s="156"/>
      <c r="K2616" s="5"/>
      <c r="L2616" s="3"/>
      <c r="M2616" s="6"/>
      <c r="N2616" s="9"/>
      <c r="O2616" s="158"/>
      <c r="P2616" s="12"/>
      <c r="Q2616" s="12"/>
      <c r="R2616" s="12"/>
      <c r="S2616" s="12"/>
      <c r="T2616" s="12"/>
      <c r="U2616" s="12"/>
      <c r="V2616" s="12"/>
      <c r="W2616" s="12"/>
      <c r="X2616" s="12"/>
      <c r="Y2616" s="12"/>
      <c r="Z2616" s="12"/>
    </row>
    <row r="2617" spans="1:26" ht="14.25" customHeight="1" x14ac:dyDescent="0.3">
      <c r="A2617" s="155"/>
      <c r="B2617" s="156"/>
      <c r="C2617" s="3"/>
      <c r="D2617" s="3"/>
      <c r="E2617" s="156"/>
      <c r="F2617" s="3"/>
      <c r="G2617" s="158"/>
      <c r="H2617" s="155"/>
      <c r="I2617" s="155"/>
      <c r="J2617" s="156"/>
      <c r="K2617" s="5"/>
      <c r="L2617" s="3"/>
      <c r="M2617" s="6"/>
      <c r="N2617" s="9"/>
      <c r="O2617" s="158"/>
      <c r="P2617" s="12"/>
      <c r="Q2617" s="12"/>
      <c r="R2617" s="12"/>
      <c r="S2617" s="12"/>
      <c r="T2617" s="12"/>
      <c r="U2617" s="12"/>
      <c r="V2617" s="12"/>
      <c r="W2617" s="12"/>
      <c r="X2617" s="12"/>
      <c r="Y2617" s="12"/>
      <c r="Z2617" s="12"/>
    </row>
    <row r="2618" spans="1:26" ht="14.25" customHeight="1" x14ac:dyDescent="0.3">
      <c r="A2618" s="155"/>
      <c r="B2618" s="156"/>
      <c r="C2618" s="3"/>
      <c r="D2618" s="3"/>
      <c r="E2618" s="156"/>
      <c r="F2618" s="3"/>
      <c r="G2618" s="158"/>
      <c r="H2618" s="155"/>
      <c r="I2618" s="155"/>
      <c r="J2618" s="156"/>
      <c r="K2618" s="5"/>
      <c r="L2618" s="3"/>
      <c r="M2618" s="6"/>
      <c r="N2618" s="9"/>
      <c r="O2618" s="158"/>
      <c r="P2618" s="12"/>
      <c r="Q2618" s="12"/>
      <c r="R2618" s="12"/>
      <c r="S2618" s="12"/>
      <c r="T2618" s="12"/>
      <c r="U2618" s="12"/>
      <c r="V2618" s="12"/>
      <c r="W2618" s="12"/>
      <c r="X2618" s="12"/>
      <c r="Y2618" s="12"/>
      <c r="Z2618" s="12"/>
    </row>
    <row r="2619" spans="1:26" ht="14.25" customHeight="1" x14ac:dyDescent="0.3">
      <c r="A2619" s="155"/>
      <c r="B2619" s="156"/>
      <c r="C2619" s="3"/>
      <c r="D2619" s="3"/>
      <c r="E2619" s="156"/>
      <c r="F2619" s="3"/>
      <c r="G2619" s="158"/>
      <c r="H2619" s="155"/>
      <c r="I2619" s="155"/>
      <c r="J2619" s="156"/>
      <c r="K2619" s="5"/>
      <c r="L2619" s="3"/>
      <c r="M2619" s="6"/>
      <c r="N2619" s="9"/>
      <c r="O2619" s="158"/>
      <c r="P2619" s="12"/>
      <c r="Q2619" s="12"/>
      <c r="R2619" s="12"/>
      <c r="S2619" s="12"/>
      <c r="T2619" s="12"/>
      <c r="U2619" s="12"/>
      <c r="V2619" s="12"/>
      <c r="W2619" s="12"/>
      <c r="X2619" s="12"/>
      <c r="Y2619" s="12"/>
      <c r="Z2619" s="12"/>
    </row>
    <row r="2620" spans="1:26" ht="14.25" customHeight="1" x14ac:dyDescent="0.3">
      <c r="A2620" s="155"/>
      <c r="B2620" s="156"/>
      <c r="C2620" s="3"/>
      <c r="D2620" s="3"/>
      <c r="E2620" s="156"/>
      <c r="F2620" s="3"/>
      <c r="G2620" s="158"/>
      <c r="H2620" s="155"/>
      <c r="I2620" s="155"/>
      <c r="J2620" s="156"/>
      <c r="K2620" s="5"/>
      <c r="L2620" s="3"/>
      <c r="M2620" s="6"/>
      <c r="N2620" s="9"/>
      <c r="O2620" s="158"/>
      <c r="P2620" s="12"/>
      <c r="Q2620" s="12"/>
      <c r="R2620" s="12"/>
      <c r="S2620" s="12"/>
      <c r="T2620" s="12"/>
      <c r="U2620" s="12"/>
      <c r="V2620" s="12"/>
      <c r="W2620" s="12"/>
      <c r="X2620" s="12"/>
      <c r="Y2620" s="12"/>
      <c r="Z2620" s="12"/>
    </row>
    <row r="2621" spans="1:26" ht="14.25" customHeight="1" x14ac:dyDescent="0.3">
      <c r="A2621" s="155"/>
      <c r="B2621" s="156"/>
      <c r="C2621" s="3"/>
      <c r="D2621" s="3"/>
      <c r="E2621" s="156"/>
      <c r="F2621" s="3"/>
      <c r="G2621" s="158"/>
      <c r="H2621" s="155"/>
      <c r="I2621" s="155"/>
      <c r="J2621" s="156"/>
      <c r="K2621" s="5"/>
      <c r="L2621" s="3"/>
      <c r="M2621" s="6"/>
      <c r="N2621" s="9"/>
      <c r="O2621" s="158"/>
      <c r="P2621" s="12"/>
      <c r="Q2621" s="12"/>
      <c r="R2621" s="12"/>
      <c r="S2621" s="12"/>
      <c r="T2621" s="12"/>
      <c r="U2621" s="12"/>
      <c r="V2621" s="12"/>
      <c r="W2621" s="12"/>
      <c r="X2621" s="12"/>
      <c r="Y2621" s="12"/>
      <c r="Z2621" s="12"/>
    </row>
    <row r="2622" spans="1:26" ht="14.25" customHeight="1" x14ac:dyDescent="0.3">
      <c r="A2622" s="155"/>
      <c r="B2622" s="156"/>
      <c r="C2622" s="3"/>
      <c r="D2622" s="3"/>
      <c r="E2622" s="156"/>
      <c r="F2622" s="3"/>
      <c r="G2622" s="158"/>
      <c r="H2622" s="155"/>
      <c r="I2622" s="155"/>
      <c r="J2622" s="156"/>
      <c r="K2622" s="5"/>
      <c r="L2622" s="3"/>
      <c r="M2622" s="6"/>
      <c r="N2622" s="9"/>
      <c r="O2622" s="158"/>
      <c r="P2622" s="12"/>
      <c r="Q2622" s="12"/>
      <c r="R2622" s="12"/>
      <c r="S2622" s="12"/>
      <c r="T2622" s="12"/>
      <c r="U2622" s="12"/>
      <c r="V2622" s="12"/>
      <c r="W2622" s="12"/>
      <c r="X2622" s="12"/>
      <c r="Y2622" s="12"/>
      <c r="Z2622" s="12"/>
    </row>
    <row r="2623" spans="1:26" ht="14.25" customHeight="1" x14ac:dyDescent="0.3">
      <c r="A2623" s="155"/>
      <c r="B2623" s="156"/>
      <c r="C2623" s="3"/>
      <c r="D2623" s="3"/>
      <c r="E2623" s="156"/>
      <c r="F2623" s="3"/>
      <c r="G2623" s="158"/>
      <c r="H2623" s="155"/>
      <c r="I2623" s="155"/>
      <c r="J2623" s="156"/>
      <c r="K2623" s="5"/>
      <c r="L2623" s="3"/>
      <c r="M2623" s="6"/>
      <c r="N2623" s="9"/>
      <c r="O2623" s="158"/>
      <c r="P2623" s="12"/>
      <c r="Q2623" s="12"/>
      <c r="R2623" s="12"/>
      <c r="S2623" s="12"/>
      <c r="T2623" s="12"/>
      <c r="U2623" s="12"/>
      <c r="V2623" s="12"/>
      <c r="W2623" s="12"/>
      <c r="X2623" s="12"/>
      <c r="Y2623" s="12"/>
      <c r="Z2623" s="12"/>
    </row>
    <row r="2624" spans="1:26" ht="14.25" customHeight="1" x14ac:dyDescent="0.3">
      <c r="A2624" s="155"/>
      <c r="B2624" s="156"/>
      <c r="C2624" s="3"/>
      <c r="D2624" s="3"/>
      <c r="E2624" s="156"/>
      <c r="F2624" s="3"/>
      <c r="G2624" s="158"/>
      <c r="H2624" s="155"/>
      <c r="I2624" s="155"/>
      <c r="J2624" s="156"/>
      <c r="K2624" s="5"/>
      <c r="L2624" s="3"/>
      <c r="M2624" s="6"/>
      <c r="N2624" s="9"/>
      <c r="O2624" s="158"/>
      <c r="P2624" s="12"/>
      <c r="Q2624" s="12"/>
      <c r="R2624" s="12"/>
      <c r="S2624" s="12"/>
      <c r="T2624" s="12"/>
      <c r="U2624" s="12"/>
      <c r="V2624" s="12"/>
      <c r="W2624" s="12"/>
      <c r="X2624" s="12"/>
      <c r="Y2624" s="12"/>
      <c r="Z2624" s="12"/>
    </row>
    <row r="2625" spans="1:26" ht="14.25" customHeight="1" x14ac:dyDescent="0.3">
      <c r="A2625" s="155"/>
      <c r="B2625" s="156"/>
      <c r="C2625" s="3"/>
      <c r="D2625" s="3"/>
      <c r="E2625" s="156"/>
      <c r="F2625" s="3"/>
      <c r="G2625" s="158"/>
      <c r="H2625" s="155"/>
      <c r="I2625" s="155"/>
      <c r="J2625" s="156"/>
      <c r="K2625" s="5"/>
      <c r="L2625" s="3"/>
      <c r="M2625" s="6"/>
      <c r="N2625" s="9"/>
      <c r="O2625" s="158"/>
      <c r="P2625" s="12"/>
      <c r="Q2625" s="12"/>
      <c r="R2625" s="12"/>
      <c r="S2625" s="12"/>
      <c r="T2625" s="12"/>
      <c r="U2625" s="12"/>
      <c r="V2625" s="12"/>
      <c r="W2625" s="12"/>
      <c r="X2625" s="12"/>
      <c r="Y2625" s="12"/>
      <c r="Z2625" s="12"/>
    </row>
    <row r="2626" spans="1:26" ht="14.25" customHeight="1" x14ac:dyDescent="0.3">
      <c r="A2626" s="155"/>
      <c r="B2626" s="156"/>
      <c r="C2626" s="3"/>
      <c r="D2626" s="3"/>
      <c r="E2626" s="156"/>
      <c r="F2626" s="3"/>
      <c r="G2626" s="158"/>
      <c r="H2626" s="155"/>
      <c r="I2626" s="155"/>
      <c r="J2626" s="156"/>
      <c r="K2626" s="5"/>
      <c r="L2626" s="3"/>
      <c r="M2626" s="6"/>
      <c r="N2626" s="9"/>
      <c r="O2626" s="158"/>
      <c r="P2626" s="12"/>
      <c r="Q2626" s="12"/>
      <c r="R2626" s="12"/>
      <c r="S2626" s="12"/>
      <c r="T2626" s="12"/>
      <c r="U2626" s="12"/>
      <c r="V2626" s="12"/>
      <c r="W2626" s="12"/>
      <c r="X2626" s="12"/>
      <c r="Y2626" s="12"/>
      <c r="Z2626" s="12"/>
    </row>
    <row r="2627" spans="1:26" ht="14.25" customHeight="1" x14ac:dyDescent="0.3">
      <c r="A2627" s="155"/>
      <c r="B2627" s="156"/>
      <c r="C2627" s="3"/>
      <c r="D2627" s="3"/>
      <c r="E2627" s="156"/>
      <c r="F2627" s="3"/>
      <c r="G2627" s="158"/>
      <c r="H2627" s="155"/>
      <c r="I2627" s="155"/>
      <c r="J2627" s="156"/>
      <c r="K2627" s="5"/>
      <c r="L2627" s="3"/>
      <c r="M2627" s="6"/>
      <c r="N2627" s="9"/>
      <c r="O2627" s="158"/>
      <c r="P2627" s="12"/>
      <c r="Q2627" s="12"/>
      <c r="R2627" s="12"/>
      <c r="S2627" s="12"/>
      <c r="T2627" s="12"/>
      <c r="U2627" s="12"/>
      <c r="V2627" s="12"/>
      <c r="W2627" s="12"/>
      <c r="X2627" s="12"/>
      <c r="Y2627" s="12"/>
      <c r="Z2627" s="12"/>
    </row>
    <row r="2628" spans="1:26" ht="14.25" customHeight="1" x14ac:dyDescent="0.3">
      <c r="A2628" s="155"/>
      <c r="B2628" s="156"/>
      <c r="C2628" s="3"/>
      <c r="D2628" s="3"/>
      <c r="E2628" s="156"/>
      <c r="F2628" s="3"/>
      <c r="G2628" s="158"/>
      <c r="H2628" s="155"/>
      <c r="I2628" s="155"/>
      <c r="J2628" s="156"/>
      <c r="K2628" s="5"/>
      <c r="L2628" s="3"/>
      <c r="M2628" s="6"/>
      <c r="N2628" s="9"/>
      <c r="O2628" s="158"/>
      <c r="P2628" s="12"/>
      <c r="Q2628" s="12"/>
      <c r="R2628" s="12"/>
      <c r="S2628" s="12"/>
      <c r="T2628" s="12"/>
      <c r="U2628" s="12"/>
      <c r="V2628" s="12"/>
      <c r="W2628" s="12"/>
      <c r="X2628" s="12"/>
      <c r="Y2628" s="12"/>
      <c r="Z2628" s="12"/>
    </row>
    <row r="2629" spans="1:26" ht="14.25" customHeight="1" x14ac:dyDescent="0.3">
      <c r="A2629" s="155"/>
      <c r="B2629" s="156"/>
      <c r="C2629" s="3"/>
      <c r="D2629" s="3"/>
      <c r="E2629" s="156"/>
      <c r="F2629" s="3"/>
      <c r="G2629" s="158"/>
      <c r="H2629" s="155"/>
      <c r="I2629" s="155"/>
      <c r="J2629" s="156"/>
      <c r="K2629" s="5"/>
      <c r="L2629" s="3"/>
      <c r="M2629" s="6"/>
      <c r="N2629" s="9"/>
      <c r="O2629" s="158"/>
      <c r="P2629" s="12"/>
      <c r="Q2629" s="12"/>
      <c r="R2629" s="12"/>
      <c r="S2629" s="12"/>
      <c r="T2629" s="12"/>
      <c r="U2629" s="12"/>
      <c r="V2629" s="12"/>
      <c r="W2629" s="12"/>
      <c r="X2629" s="12"/>
      <c r="Y2629" s="12"/>
      <c r="Z2629" s="12"/>
    </row>
    <row r="2630" spans="1:26" ht="14.25" customHeight="1" x14ac:dyDescent="0.3">
      <c r="A2630" s="155"/>
      <c r="B2630" s="156"/>
      <c r="C2630" s="3"/>
      <c r="D2630" s="3"/>
      <c r="E2630" s="156"/>
      <c r="F2630" s="3"/>
      <c r="G2630" s="158"/>
      <c r="H2630" s="155"/>
      <c r="I2630" s="155"/>
      <c r="J2630" s="156"/>
      <c r="K2630" s="5"/>
      <c r="L2630" s="3"/>
      <c r="M2630" s="6"/>
      <c r="N2630" s="9"/>
      <c r="O2630" s="158"/>
      <c r="P2630" s="12"/>
      <c r="Q2630" s="12"/>
      <c r="R2630" s="12"/>
      <c r="S2630" s="12"/>
      <c r="T2630" s="12"/>
      <c r="U2630" s="12"/>
      <c r="V2630" s="12"/>
      <c r="W2630" s="12"/>
      <c r="X2630" s="12"/>
      <c r="Y2630" s="12"/>
      <c r="Z2630" s="12"/>
    </row>
    <row r="2631" spans="1:26" ht="14.25" customHeight="1" x14ac:dyDescent="0.3">
      <c r="A2631" s="155"/>
      <c r="B2631" s="156"/>
      <c r="C2631" s="3"/>
      <c r="D2631" s="3"/>
      <c r="E2631" s="156"/>
      <c r="F2631" s="3"/>
      <c r="G2631" s="158"/>
      <c r="H2631" s="155"/>
      <c r="I2631" s="155"/>
      <c r="J2631" s="156"/>
      <c r="K2631" s="5"/>
      <c r="L2631" s="3"/>
      <c r="M2631" s="6"/>
      <c r="N2631" s="9"/>
      <c r="O2631" s="158"/>
      <c r="P2631" s="12"/>
      <c r="Q2631" s="12"/>
      <c r="R2631" s="12"/>
      <c r="S2631" s="12"/>
      <c r="T2631" s="12"/>
      <c r="U2631" s="12"/>
      <c r="V2631" s="12"/>
      <c r="W2631" s="12"/>
      <c r="X2631" s="12"/>
      <c r="Y2631" s="12"/>
      <c r="Z2631" s="12"/>
    </row>
    <row r="2632" spans="1:26" ht="14.25" customHeight="1" x14ac:dyDescent="0.3">
      <c r="A2632" s="155"/>
      <c r="B2632" s="156"/>
      <c r="C2632" s="3"/>
      <c r="D2632" s="3"/>
      <c r="E2632" s="156"/>
      <c r="F2632" s="3"/>
      <c r="G2632" s="158"/>
      <c r="H2632" s="155"/>
      <c r="I2632" s="155"/>
      <c r="J2632" s="156"/>
      <c r="K2632" s="5"/>
      <c r="L2632" s="3"/>
      <c r="M2632" s="6"/>
      <c r="N2632" s="9"/>
      <c r="O2632" s="158"/>
      <c r="P2632" s="12"/>
      <c r="Q2632" s="12"/>
      <c r="R2632" s="12"/>
      <c r="S2632" s="12"/>
      <c r="T2632" s="12"/>
      <c r="U2632" s="12"/>
      <c r="V2632" s="12"/>
      <c r="W2632" s="12"/>
      <c r="X2632" s="12"/>
      <c r="Y2632" s="12"/>
      <c r="Z2632" s="12"/>
    </row>
    <row r="2633" spans="1:26" ht="14.25" customHeight="1" x14ac:dyDescent="0.3">
      <c r="A2633" s="155"/>
      <c r="B2633" s="156"/>
      <c r="C2633" s="3"/>
      <c r="D2633" s="3"/>
      <c r="E2633" s="156"/>
      <c r="F2633" s="3"/>
      <c r="G2633" s="158"/>
      <c r="H2633" s="155"/>
      <c r="I2633" s="155"/>
      <c r="J2633" s="156"/>
      <c r="K2633" s="5"/>
      <c r="L2633" s="3"/>
      <c r="M2633" s="6"/>
      <c r="N2633" s="9"/>
      <c r="O2633" s="158"/>
      <c r="P2633" s="12"/>
      <c r="Q2633" s="12"/>
      <c r="R2633" s="12"/>
      <c r="S2633" s="12"/>
      <c r="T2633" s="12"/>
      <c r="U2633" s="12"/>
      <c r="V2633" s="12"/>
      <c r="W2633" s="12"/>
      <c r="X2633" s="12"/>
      <c r="Y2633" s="12"/>
      <c r="Z2633" s="12"/>
    </row>
    <row r="2634" spans="1:26" ht="14.25" customHeight="1" x14ac:dyDescent="0.3">
      <c r="A2634" s="155"/>
      <c r="B2634" s="156"/>
      <c r="C2634" s="3"/>
      <c r="D2634" s="3"/>
      <c r="E2634" s="156"/>
      <c r="F2634" s="3"/>
      <c r="G2634" s="158"/>
      <c r="H2634" s="155"/>
      <c r="I2634" s="155"/>
      <c r="J2634" s="156"/>
      <c r="K2634" s="5"/>
      <c r="L2634" s="3"/>
      <c r="M2634" s="6"/>
      <c r="N2634" s="9"/>
      <c r="O2634" s="158"/>
      <c r="P2634" s="12"/>
      <c r="Q2634" s="12"/>
      <c r="R2634" s="12"/>
      <c r="S2634" s="12"/>
      <c r="T2634" s="12"/>
      <c r="U2634" s="12"/>
      <c r="V2634" s="12"/>
      <c r="W2634" s="12"/>
      <c r="X2634" s="12"/>
      <c r="Y2634" s="12"/>
      <c r="Z2634" s="12"/>
    </row>
    <row r="2635" spans="1:26" ht="14.25" customHeight="1" x14ac:dyDescent="0.3">
      <c r="A2635" s="155"/>
      <c r="B2635" s="156"/>
      <c r="C2635" s="3"/>
      <c r="D2635" s="3"/>
      <c r="E2635" s="156"/>
      <c r="F2635" s="3"/>
      <c r="G2635" s="158"/>
      <c r="H2635" s="155"/>
      <c r="I2635" s="155"/>
      <c r="J2635" s="156"/>
      <c r="K2635" s="5"/>
      <c r="L2635" s="3"/>
      <c r="M2635" s="6"/>
      <c r="N2635" s="9"/>
      <c r="O2635" s="158"/>
      <c r="P2635" s="12"/>
      <c r="Q2635" s="12"/>
      <c r="R2635" s="12"/>
      <c r="S2635" s="12"/>
      <c r="T2635" s="12"/>
      <c r="U2635" s="12"/>
      <c r="V2635" s="12"/>
      <c r="W2635" s="12"/>
      <c r="X2635" s="12"/>
      <c r="Y2635" s="12"/>
      <c r="Z2635" s="12"/>
    </row>
    <row r="2636" spans="1:26" ht="14.25" customHeight="1" x14ac:dyDescent="0.3">
      <c r="A2636" s="155"/>
      <c r="B2636" s="156"/>
      <c r="C2636" s="3"/>
      <c r="D2636" s="3"/>
      <c r="E2636" s="156"/>
      <c r="F2636" s="3"/>
      <c r="G2636" s="158"/>
      <c r="H2636" s="155"/>
      <c r="I2636" s="155"/>
      <c r="J2636" s="156"/>
      <c r="K2636" s="5"/>
      <c r="L2636" s="3"/>
      <c r="M2636" s="6"/>
      <c r="N2636" s="9"/>
      <c r="O2636" s="158"/>
      <c r="P2636" s="12"/>
      <c r="Q2636" s="12"/>
      <c r="R2636" s="12"/>
      <c r="S2636" s="12"/>
      <c r="T2636" s="12"/>
      <c r="U2636" s="12"/>
      <c r="V2636" s="12"/>
      <c r="W2636" s="12"/>
      <c r="X2636" s="12"/>
      <c r="Y2636" s="12"/>
      <c r="Z2636" s="12"/>
    </row>
    <row r="2637" spans="1:26" ht="14.25" customHeight="1" x14ac:dyDescent="0.3">
      <c r="A2637" s="155"/>
      <c r="B2637" s="156"/>
      <c r="C2637" s="3"/>
      <c r="D2637" s="3"/>
      <c r="E2637" s="156"/>
      <c r="F2637" s="3"/>
      <c r="G2637" s="158"/>
      <c r="H2637" s="155"/>
      <c r="I2637" s="155"/>
      <c r="J2637" s="156"/>
      <c r="K2637" s="5"/>
      <c r="L2637" s="3"/>
      <c r="M2637" s="6"/>
      <c r="N2637" s="9"/>
      <c r="O2637" s="158"/>
      <c r="P2637" s="12"/>
      <c r="Q2637" s="12"/>
      <c r="R2637" s="12"/>
      <c r="S2637" s="12"/>
      <c r="T2637" s="12"/>
      <c r="U2637" s="12"/>
      <c r="V2637" s="12"/>
      <c r="W2637" s="12"/>
      <c r="X2637" s="12"/>
      <c r="Y2637" s="12"/>
      <c r="Z2637" s="12"/>
    </row>
    <row r="2638" spans="1:26" ht="14.25" customHeight="1" x14ac:dyDescent="0.3">
      <c r="A2638" s="155"/>
      <c r="B2638" s="156"/>
      <c r="C2638" s="3"/>
      <c r="D2638" s="3"/>
      <c r="E2638" s="156"/>
      <c r="F2638" s="3"/>
      <c r="G2638" s="158"/>
      <c r="H2638" s="155"/>
      <c r="I2638" s="155"/>
      <c r="J2638" s="156"/>
      <c r="K2638" s="5"/>
      <c r="L2638" s="3"/>
      <c r="M2638" s="6"/>
      <c r="N2638" s="9"/>
      <c r="O2638" s="158"/>
      <c r="P2638" s="12"/>
      <c r="Q2638" s="12"/>
      <c r="R2638" s="12"/>
      <c r="S2638" s="12"/>
      <c r="T2638" s="12"/>
      <c r="U2638" s="12"/>
      <c r="V2638" s="12"/>
      <c r="W2638" s="12"/>
      <c r="X2638" s="12"/>
      <c r="Y2638" s="12"/>
      <c r="Z2638" s="12"/>
    </row>
    <row r="2639" spans="1:26" ht="14.25" customHeight="1" x14ac:dyDescent="0.3">
      <c r="A2639" s="155"/>
      <c r="B2639" s="156"/>
      <c r="C2639" s="3"/>
      <c r="D2639" s="3"/>
      <c r="E2639" s="156"/>
      <c r="F2639" s="3"/>
      <c r="G2639" s="158"/>
      <c r="H2639" s="155"/>
      <c r="I2639" s="155"/>
      <c r="J2639" s="156"/>
      <c r="K2639" s="5"/>
      <c r="L2639" s="3"/>
      <c r="M2639" s="6"/>
      <c r="N2639" s="9"/>
      <c r="O2639" s="158"/>
      <c r="P2639" s="12"/>
      <c r="Q2639" s="12"/>
      <c r="R2639" s="12"/>
      <c r="S2639" s="12"/>
      <c r="T2639" s="12"/>
      <c r="U2639" s="12"/>
      <c r="V2639" s="12"/>
      <c r="W2639" s="12"/>
      <c r="X2639" s="12"/>
      <c r="Y2639" s="12"/>
      <c r="Z2639" s="12"/>
    </row>
    <row r="2640" spans="1:26" ht="14.25" customHeight="1" x14ac:dyDescent="0.3">
      <c r="A2640" s="155"/>
      <c r="B2640" s="156"/>
      <c r="C2640" s="3"/>
      <c r="D2640" s="3"/>
      <c r="E2640" s="156"/>
      <c r="F2640" s="3"/>
      <c r="G2640" s="158"/>
      <c r="H2640" s="155"/>
      <c r="I2640" s="155"/>
      <c r="J2640" s="156"/>
      <c r="K2640" s="5"/>
      <c r="L2640" s="3"/>
      <c r="M2640" s="6"/>
      <c r="N2640" s="9"/>
      <c r="O2640" s="158"/>
      <c r="P2640" s="12"/>
      <c r="Q2640" s="12"/>
      <c r="R2640" s="12"/>
      <c r="S2640" s="12"/>
      <c r="T2640" s="12"/>
      <c r="U2640" s="12"/>
      <c r="V2640" s="12"/>
      <c r="W2640" s="12"/>
      <c r="X2640" s="12"/>
      <c r="Y2640" s="12"/>
      <c r="Z2640" s="12"/>
    </row>
    <row r="2641" spans="1:26" ht="14.25" customHeight="1" x14ac:dyDescent="0.3">
      <c r="A2641" s="155"/>
      <c r="B2641" s="156"/>
      <c r="C2641" s="3"/>
      <c r="D2641" s="3"/>
      <c r="E2641" s="156"/>
      <c r="F2641" s="3"/>
      <c r="G2641" s="158"/>
      <c r="H2641" s="155"/>
      <c r="I2641" s="155"/>
      <c r="J2641" s="156"/>
      <c r="K2641" s="5"/>
      <c r="L2641" s="3"/>
      <c r="M2641" s="6"/>
      <c r="N2641" s="9"/>
      <c r="O2641" s="158"/>
      <c r="P2641" s="12"/>
      <c r="Q2641" s="12"/>
      <c r="R2641" s="12"/>
      <c r="S2641" s="12"/>
      <c r="T2641" s="12"/>
      <c r="U2641" s="12"/>
      <c r="V2641" s="12"/>
      <c r="W2641" s="12"/>
      <c r="X2641" s="12"/>
      <c r="Y2641" s="12"/>
      <c r="Z2641" s="12"/>
    </row>
    <row r="2642" spans="1:26" ht="14.25" customHeight="1" x14ac:dyDescent="0.3">
      <c r="A2642" s="155"/>
      <c r="B2642" s="156"/>
      <c r="C2642" s="3"/>
      <c r="D2642" s="3"/>
      <c r="E2642" s="156"/>
      <c r="F2642" s="3"/>
      <c r="G2642" s="158"/>
      <c r="H2642" s="155"/>
      <c r="I2642" s="155"/>
      <c r="J2642" s="156"/>
      <c r="K2642" s="5"/>
      <c r="L2642" s="3"/>
      <c r="M2642" s="6"/>
      <c r="N2642" s="9"/>
      <c r="O2642" s="158"/>
      <c r="P2642" s="12"/>
      <c r="Q2642" s="12"/>
      <c r="R2642" s="12"/>
      <c r="S2642" s="12"/>
      <c r="T2642" s="12"/>
      <c r="U2642" s="12"/>
      <c r="V2642" s="12"/>
      <c r="W2642" s="12"/>
      <c r="X2642" s="12"/>
      <c r="Y2642" s="12"/>
      <c r="Z2642" s="12"/>
    </row>
    <row r="2643" spans="1:26" ht="14.25" customHeight="1" x14ac:dyDescent="0.3">
      <c r="A2643" s="155"/>
      <c r="B2643" s="156"/>
      <c r="C2643" s="3"/>
      <c r="D2643" s="3"/>
      <c r="E2643" s="156"/>
      <c r="F2643" s="3"/>
      <c r="G2643" s="158"/>
      <c r="H2643" s="155"/>
      <c r="I2643" s="155"/>
      <c r="J2643" s="156"/>
      <c r="K2643" s="5"/>
      <c r="L2643" s="3"/>
      <c r="M2643" s="6"/>
      <c r="N2643" s="9"/>
      <c r="O2643" s="158"/>
      <c r="P2643" s="12"/>
      <c r="Q2643" s="12"/>
      <c r="R2643" s="12"/>
      <c r="S2643" s="12"/>
      <c r="T2643" s="12"/>
      <c r="U2643" s="12"/>
      <c r="V2643" s="12"/>
      <c r="W2643" s="12"/>
      <c r="X2643" s="12"/>
      <c r="Y2643" s="12"/>
      <c r="Z2643" s="12"/>
    </row>
    <row r="2644" spans="1:26" ht="14.25" customHeight="1" x14ac:dyDescent="0.3">
      <c r="A2644" s="155"/>
      <c r="B2644" s="156"/>
      <c r="C2644" s="3"/>
      <c r="D2644" s="3"/>
      <c r="E2644" s="156"/>
      <c r="F2644" s="3"/>
      <c r="G2644" s="158"/>
      <c r="H2644" s="155"/>
      <c r="I2644" s="155"/>
      <c r="J2644" s="156"/>
      <c r="K2644" s="5"/>
      <c r="L2644" s="3"/>
      <c r="M2644" s="6"/>
      <c r="N2644" s="9"/>
      <c r="O2644" s="158"/>
      <c r="P2644" s="12"/>
      <c r="Q2644" s="12"/>
      <c r="R2644" s="12"/>
      <c r="S2644" s="12"/>
      <c r="T2644" s="12"/>
      <c r="U2644" s="12"/>
      <c r="V2644" s="12"/>
      <c r="W2644" s="12"/>
      <c r="X2644" s="12"/>
      <c r="Y2644" s="12"/>
      <c r="Z2644" s="12"/>
    </row>
    <row r="2645" spans="1:26" ht="14.25" customHeight="1" x14ac:dyDescent="0.3">
      <c r="A2645" s="155"/>
      <c r="B2645" s="156"/>
      <c r="C2645" s="3"/>
      <c r="D2645" s="3"/>
      <c r="E2645" s="156"/>
      <c r="F2645" s="3"/>
      <c r="G2645" s="158"/>
      <c r="H2645" s="155"/>
      <c r="I2645" s="155"/>
      <c r="J2645" s="156"/>
      <c r="K2645" s="5"/>
      <c r="L2645" s="3"/>
      <c r="M2645" s="6"/>
      <c r="N2645" s="9"/>
      <c r="O2645" s="158"/>
      <c r="P2645" s="12"/>
      <c r="Q2645" s="12"/>
      <c r="R2645" s="12"/>
      <c r="S2645" s="12"/>
      <c r="T2645" s="12"/>
      <c r="U2645" s="12"/>
      <c r="V2645" s="12"/>
      <c r="W2645" s="12"/>
      <c r="X2645" s="12"/>
      <c r="Y2645" s="12"/>
      <c r="Z2645" s="12"/>
    </row>
    <row r="2646" spans="1:26" ht="14.25" customHeight="1" x14ac:dyDescent="0.3">
      <c r="A2646" s="155"/>
      <c r="B2646" s="156"/>
      <c r="C2646" s="3"/>
      <c r="D2646" s="3"/>
      <c r="E2646" s="156"/>
      <c r="F2646" s="3"/>
      <c r="G2646" s="158"/>
      <c r="H2646" s="155"/>
      <c r="I2646" s="155"/>
      <c r="J2646" s="156"/>
      <c r="K2646" s="5"/>
      <c r="L2646" s="3"/>
      <c r="M2646" s="6"/>
      <c r="N2646" s="9"/>
      <c r="O2646" s="158"/>
      <c r="P2646" s="12"/>
      <c r="Q2646" s="12"/>
      <c r="R2646" s="12"/>
      <c r="S2646" s="12"/>
      <c r="T2646" s="12"/>
      <c r="U2646" s="12"/>
      <c r="V2646" s="12"/>
      <c r="W2646" s="12"/>
      <c r="X2646" s="12"/>
      <c r="Y2646" s="12"/>
      <c r="Z2646" s="12"/>
    </row>
    <row r="2647" spans="1:26" ht="14.25" customHeight="1" x14ac:dyDescent="0.3">
      <c r="A2647" s="155"/>
      <c r="B2647" s="156"/>
      <c r="C2647" s="3"/>
      <c r="D2647" s="3"/>
      <c r="E2647" s="156"/>
      <c r="F2647" s="3"/>
      <c r="G2647" s="158"/>
      <c r="H2647" s="155"/>
      <c r="I2647" s="155"/>
      <c r="J2647" s="156"/>
      <c r="K2647" s="5"/>
      <c r="L2647" s="3"/>
      <c r="M2647" s="6"/>
      <c r="N2647" s="9"/>
      <c r="O2647" s="158"/>
      <c r="P2647" s="12"/>
      <c r="Q2647" s="12"/>
      <c r="R2647" s="12"/>
      <c r="S2647" s="12"/>
      <c r="T2647" s="12"/>
      <c r="U2647" s="12"/>
      <c r="V2647" s="12"/>
      <c r="W2647" s="12"/>
      <c r="X2647" s="12"/>
      <c r="Y2647" s="12"/>
      <c r="Z2647" s="12"/>
    </row>
    <row r="2648" spans="1:26" ht="14.25" customHeight="1" x14ac:dyDescent="0.3">
      <c r="A2648" s="155"/>
      <c r="B2648" s="156"/>
      <c r="C2648" s="3"/>
      <c r="D2648" s="3"/>
      <c r="E2648" s="156"/>
      <c r="F2648" s="3"/>
      <c r="G2648" s="158"/>
      <c r="H2648" s="155"/>
      <c r="I2648" s="155"/>
      <c r="J2648" s="156"/>
      <c r="K2648" s="5"/>
      <c r="L2648" s="3"/>
      <c r="M2648" s="6"/>
      <c r="N2648" s="9"/>
      <c r="O2648" s="158"/>
      <c r="P2648" s="12"/>
      <c r="Q2648" s="12"/>
      <c r="R2648" s="12"/>
      <c r="S2648" s="12"/>
      <c r="T2648" s="12"/>
      <c r="U2648" s="12"/>
      <c r="V2648" s="12"/>
      <c r="W2648" s="12"/>
      <c r="X2648" s="12"/>
      <c r="Y2648" s="12"/>
      <c r="Z2648" s="12"/>
    </row>
    <row r="2649" spans="1:26" ht="14.25" customHeight="1" x14ac:dyDescent="0.3">
      <c r="A2649" s="155"/>
      <c r="B2649" s="156"/>
      <c r="C2649" s="3"/>
      <c r="D2649" s="3"/>
      <c r="E2649" s="156"/>
      <c r="F2649" s="3"/>
      <c r="G2649" s="158"/>
      <c r="H2649" s="155"/>
      <c r="I2649" s="155"/>
      <c r="J2649" s="156"/>
      <c r="K2649" s="5"/>
      <c r="L2649" s="3"/>
      <c r="M2649" s="6"/>
      <c r="N2649" s="9"/>
      <c r="O2649" s="158"/>
      <c r="P2649" s="12"/>
      <c r="Q2649" s="12"/>
      <c r="R2649" s="12"/>
      <c r="S2649" s="12"/>
      <c r="T2649" s="12"/>
      <c r="U2649" s="12"/>
      <c r="V2649" s="12"/>
      <c r="W2649" s="12"/>
      <c r="X2649" s="12"/>
      <c r="Y2649" s="12"/>
      <c r="Z2649" s="12"/>
    </row>
    <row r="2650" spans="1:26" ht="14.25" customHeight="1" x14ac:dyDescent="0.3">
      <c r="A2650" s="155"/>
      <c r="B2650" s="156"/>
      <c r="C2650" s="3"/>
      <c r="D2650" s="3"/>
      <c r="E2650" s="156"/>
      <c r="F2650" s="3"/>
      <c r="G2650" s="158"/>
      <c r="H2650" s="155"/>
      <c r="I2650" s="155"/>
      <c r="J2650" s="156"/>
      <c r="K2650" s="5"/>
      <c r="L2650" s="3"/>
      <c r="M2650" s="6"/>
      <c r="N2650" s="9"/>
      <c r="O2650" s="158"/>
      <c r="P2650" s="12"/>
      <c r="Q2650" s="12"/>
      <c r="R2650" s="12"/>
      <c r="S2650" s="12"/>
      <c r="T2650" s="12"/>
      <c r="U2650" s="12"/>
      <c r="V2650" s="12"/>
      <c r="W2650" s="12"/>
      <c r="X2650" s="12"/>
      <c r="Y2650" s="12"/>
      <c r="Z2650" s="12"/>
    </row>
    <row r="2651" spans="1:26" ht="14.25" customHeight="1" x14ac:dyDescent="0.3">
      <c r="A2651" s="155"/>
      <c r="B2651" s="156"/>
      <c r="C2651" s="3"/>
      <c r="D2651" s="3"/>
      <c r="E2651" s="156"/>
      <c r="F2651" s="3"/>
      <c r="G2651" s="158"/>
      <c r="H2651" s="155"/>
      <c r="I2651" s="155"/>
      <c r="J2651" s="156"/>
      <c r="K2651" s="5"/>
      <c r="L2651" s="3"/>
      <c r="M2651" s="6"/>
      <c r="N2651" s="9"/>
      <c r="O2651" s="158"/>
      <c r="P2651" s="12"/>
      <c r="Q2651" s="12"/>
      <c r="R2651" s="12"/>
      <c r="S2651" s="12"/>
      <c r="T2651" s="12"/>
      <c r="U2651" s="12"/>
      <c r="V2651" s="12"/>
      <c r="W2651" s="12"/>
      <c r="X2651" s="12"/>
      <c r="Y2651" s="12"/>
      <c r="Z2651" s="12"/>
    </row>
    <row r="2652" spans="1:26" ht="14.25" customHeight="1" x14ac:dyDescent="0.3">
      <c r="A2652" s="155"/>
      <c r="B2652" s="156"/>
      <c r="C2652" s="3"/>
      <c r="D2652" s="3"/>
      <c r="E2652" s="156"/>
      <c r="F2652" s="3"/>
      <c r="G2652" s="158"/>
      <c r="H2652" s="155"/>
      <c r="I2652" s="155"/>
      <c r="J2652" s="156"/>
      <c r="K2652" s="5"/>
      <c r="L2652" s="3"/>
      <c r="M2652" s="6"/>
      <c r="N2652" s="9"/>
      <c r="O2652" s="158"/>
      <c r="P2652" s="12"/>
      <c r="Q2652" s="12"/>
      <c r="R2652" s="12"/>
      <c r="S2652" s="12"/>
      <c r="T2652" s="12"/>
      <c r="U2652" s="12"/>
      <c r="V2652" s="12"/>
      <c r="W2652" s="12"/>
      <c r="X2652" s="12"/>
      <c r="Y2652" s="12"/>
      <c r="Z2652" s="12"/>
    </row>
    <row r="2653" spans="1:26" ht="14.25" customHeight="1" x14ac:dyDescent="0.3">
      <c r="A2653" s="155"/>
      <c r="B2653" s="156"/>
      <c r="C2653" s="3"/>
      <c r="D2653" s="3"/>
      <c r="E2653" s="156"/>
      <c r="F2653" s="3"/>
      <c r="G2653" s="158"/>
      <c r="H2653" s="155"/>
      <c r="I2653" s="155"/>
      <c r="J2653" s="156"/>
      <c r="K2653" s="5"/>
      <c r="L2653" s="3"/>
      <c r="M2653" s="6"/>
      <c r="N2653" s="9"/>
      <c r="O2653" s="158"/>
      <c r="P2653" s="12"/>
      <c r="Q2653" s="12"/>
      <c r="R2653" s="12"/>
      <c r="S2653" s="12"/>
      <c r="T2653" s="12"/>
      <c r="U2653" s="12"/>
      <c r="V2653" s="12"/>
      <c r="W2653" s="12"/>
      <c r="X2653" s="12"/>
      <c r="Y2653" s="12"/>
      <c r="Z2653" s="12"/>
    </row>
    <row r="2654" spans="1:26" ht="14.25" customHeight="1" x14ac:dyDescent="0.3">
      <c r="A2654" s="155"/>
      <c r="B2654" s="156"/>
      <c r="C2654" s="3"/>
      <c r="D2654" s="3"/>
      <c r="E2654" s="156"/>
      <c r="F2654" s="3"/>
      <c r="G2654" s="158"/>
      <c r="H2654" s="155"/>
      <c r="I2654" s="155"/>
      <c r="J2654" s="156"/>
      <c r="K2654" s="5"/>
      <c r="L2654" s="3"/>
      <c r="M2654" s="6"/>
      <c r="N2654" s="9"/>
      <c r="O2654" s="158"/>
      <c r="P2654" s="12"/>
      <c r="Q2654" s="12"/>
      <c r="R2654" s="12"/>
      <c r="S2654" s="12"/>
      <c r="T2654" s="12"/>
      <c r="U2654" s="12"/>
      <c r="V2654" s="12"/>
      <c r="W2654" s="12"/>
      <c r="X2654" s="12"/>
      <c r="Y2654" s="12"/>
      <c r="Z2654" s="12"/>
    </row>
    <row r="2655" spans="1:26" ht="14.25" customHeight="1" x14ac:dyDescent="0.3">
      <c r="A2655" s="155"/>
      <c r="B2655" s="156"/>
      <c r="C2655" s="3"/>
      <c r="D2655" s="3"/>
      <c r="E2655" s="156"/>
      <c r="F2655" s="3"/>
      <c r="G2655" s="158"/>
      <c r="H2655" s="155"/>
      <c r="I2655" s="155"/>
      <c r="J2655" s="156"/>
      <c r="K2655" s="5"/>
      <c r="L2655" s="3"/>
      <c r="M2655" s="6"/>
      <c r="N2655" s="9"/>
      <c r="O2655" s="158"/>
      <c r="P2655" s="12"/>
      <c r="Q2655" s="12"/>
      <c r="R2655" s="12"/>
      <c r="S2655" s="12"/>
      <c r="T2655" s="12"/>
      <c r="U2655" s="12"/>
      <c r="V2655" s="12"/>
      <c r="W2655" s="12"/>
      <c r="X2655" s="12"/>
      <c r="Y2655" s="12"/>
      <c r="Z2655" s="12"/>
    </row>
    <row r="2656" spans="1:26" ht="14.25" customHeight="1" x14ac:dyDescent="0.3">
      <c r="A2656" s="155"/>
      <c r="B2656" s="156"/>
      <c r="C2656" s="3"/>
      <c r="D2656" s="3"/>
      <c r="E2656" s="156"/>
      <c r="F2656" s="3"/>
      <c r="G2656" s="158"/>
      <c r="H2656" s="155"/>
      <c r="I2656" s="155"/>
      <c r="J2656" s="156"/>
      <c r="K2656" s="5"/>
      <c r="L2656" s="3"/>
      <c r="M2656" s="6"/>
      <c r="N2656" s="9"/>
      <c r="O2656" s="158"/>
      <c r="P2656" s="12"/>
      <c r="Q2656" s="12"/>
      <c r="R2656" s="12"/>
      <c r="S2656" s="12"/>
      <c r="T2656" s="12"/>
      <c r="U2656" s="12"/>
      <c r="V2656" s="12"/>
      <c r="W2656" s="12"/>
      <c r="X2656" s="12"/>
      <c r="Y2656" s="12"/>
      <c r="Z2656" s="12"/>
    </row>
    <row r="2657" spans="1:26" ht="14.25" customHeight="1" x14ac:dyDescent="0.3">
      <c r="A2657" s="155"/>
      <c r="B2657" s="156"/>
      <c r="C2657" s="3"/>
      <c r="D2657" s="3"/>
      <c r="E2657" s="156"/>
      <c r="F2657" s="3"/>
      <c r="G2657" s="158"/>
      <c r="H2657" s="155"/>
      <c r="I2657" s="155"/>
      <c r="J2657" s="156"/>
      <c r="K2657" s="5"/>
      <c r="L2657" s="3"/>
      <c r="M2657" s="6"/>
      <c r="N2657" s="9"/>
      <c r="O2657" s="158"/>
      <c r="P2657" s="12"/>
      <c r="Q2657" s="12"/>
      <c r="R2657" s="12"/>
      <c r="S2657" s="12"/>
      <c r="T2657" s="12"/>
      <c r="U2657" s="12"/>
      <c r="V2657" s="12"/>
      <c r="W2657" s="12"/>
      <c r="X2657" s="12"/>
      <c r="Y2657" s="12"/>
      <c r="Z2657" s="12"/>
    </row>
    <row r="2658" spans="1:26" ht="14.25" customHeight="1" x14ac:dyDescent="0.3">
      <c r="A2658" s="155"/>
      <c r="B2658" s="156"/>
      <c r="C2658" s="3"/>
      <c r="D2658" s="3"/>
      <c r="E2658" s="156"/>
      <c r="F2658" s="3"/>
      <c r="G2658" s="158"/>
      <c r="H2658" s="155"/>
      <c r="I2658" s="155"/>
      <c r="J2658" s="156"/>
      <c r="K2658" s="5"/>
      <c r="L2658" s="3"/>
      <c r="M2658" s="6"/>
      <c r="N2658" s="9"/>
      <c r="O2658" s="158"/>
      <c r="P2658" s="12"/>
      <c r="Q2658" s="12"/>
      <c r="R2658" s="12"/>
      <c r="S2658" s="12"/>
      <c r="T2658" s="12"/>
      <c r="U2658" s="12"/>
      <c r="V2658" s="12"/>
      <c r="W2658" s="12"/>
      <c r="X2658" s="12"/>
      <c r="Y2658" s="12"/>
      <c r="Z2658" s="12"/>
    </row>
    <row r="2659" spans="1:26" ht="14.25" customHeight="1" x14ac:dyDescent="0.3">
      <c r="A2659" s="155"/>
      <c r="B2659" s="156"/>
      <c r="C2659" s="3"/>
      <c r="D2659" s="3"/>
      <c r="E2659" s="156"/>
      <c r="F2659" s="3"/>
      <c r="G2659" s="158"/>
      <c r="H2659" s="155"/>
      <c r="I2659" s="155"/>
      <c r="J2659" s="156"/>
      <c r="K2659" s="5"/>
      <c r="L2659" s="3"/>
      <c r="M2659" s="6"/>
      <c r="N2659" s="9"/>
      <c r="O2659" s="158"/>
      <c r="P2659" s="12"/>
      <c r="Q2659" s="12"/>
      <c r="R2659" s="12"/>
      <c r="S2659" s="12"/>
      <c r="T2659" s="12"/>
      <c r="U2659" s="12"/>
      <c r="V2659" s="12"/>
      <c r="W2659" s="12"/>
      <c r="X2659" s="12"/>
      <c r="Y2659" s="12"/>
      <c r="Z2659" s="12"/>
    </row>
    <row r="2660" spans="1:26" ht="14.25" customHeight="1" x14ac:dyDescent="0.3">
      <c r="A2660" s="155"/>
      <c r="B2660" s="156"/>
      <c r="C2660" s="3"/>
      <c r="D2660" s="3"/>
      <c r="E2660" s="156"/>
      <c r="F2660" s="3"/>
      <c r="G2660" s="158"/>
      <c r="H2660" s="155"/>
      <c r="I2660" s="155"/>
      <c r="J2660" s="156"/>
      <c r="K2660" s="5"/>
      <c r="L2660" s="3"/>
      <c r="M2660" s="6"/>
      <c r="N2660" s="9"/>
      <c r="O2660" s="158"/>
      <c r="P2660" s="12"/>
      <c r="Q2660" s="12"/>
      <c r="R2660" s="12"/>
      <c r="S2660" s="12"/>
      <c r="T2660" s="12"/>
      <c r="U2660" s="12"/>
      <c r="V2660" s="12"/>
      <c r="W2660" s="12"/>
      <c r="X2660" s="12"/>
      <c r="Y2660" s="12"/>
      <c r="Z2660" s="12"/>
    </row>
    <row r="2661" spans="1:26" ht="14.25" customHeight="1" x14ac:dyDescent="0.3">
      <c r="A2661" s="155"/>
      <c r="B2661" s="156"/>
      <c r="C2661" s="3"/>
      <c r="D2661" s="3"/>
      <c r="E2661" s="156"/>
      <c r="F2661" s="3"/>
      <c r="G2661" s="158"/>
      <c r="H2661" s="155"/>
      <c r="I2661" s="155"/>
      <c r="J2661" s="156"/>
      <c r="K2661" s="5"/>
      <c r="L2661" s="3"/>
      <c r="M2661" s="6"/>
      <c r="N2661" s="9"/>
      <c r="O2661" s="158"/>
      <c r="P2661" s="12"/>
      <c r="Q2661" s="12"/>
      <c r="R2661" s="12"/>
      <c r="S2661" s="12"/>
      <c r="T2661" s="12"/>
      <c r="U2661" s="12"/>
      <c r="V2661" s="12"/>
      <c r="W2661" s="12"/>
      <c r="X2661" s="12"/>
      <c r="Y2661" s="12"/>
      <c r="Z2661" s="12"/>
    </row>
    <row r="2662" spans="1:26" ht="14.25" customHeight="1" x14ac:dyDescent="0.3">
      <c r="A2662" s="155"/>
      <c r="B2662" s="156"/>
      <c r="C2662" s="3"/>
      <c r="D2662" s="3"/>
      <c r="E2662" s="156"/>
      <c r="F2662" s="3"/>
      <c r="G2662" s="158"/>
      <c r="H2662" s="155"/>
      <c r="I2662" s="155"/>
      <c r="J2662" s="156"/>
      <c r="K2662" s="5"/>
      <c r="L2662" s="3"/>
      <c r="M2662" s="6"/>
      <c r="N2662" s="9"/>
      <c r="O2662" s="158"/>
      <c r="P2662" s="12"/>
      <c r="Q2662" s="12"/>
      <c r="R2662" s="12"/>
      <c r="S2662" s="12"/>
      <c r="T2662" s="12"/>
      <c r="U2662" s="12"/>
      <c r="V2662" s="12"/>
      <c r="W2662" s="12"/>
      <c r="X2662" s="12"/>
      <c r="Y2662" s="12"/>
      <c r="Z2662" s="12"/>
    </row>
    <row r="2663" spans="1:26" ht="14.25" customHeight="1" x14ac:dyDescent="0.3">
      <c r="A2663" s="155"/>
      <c r="B2663" s="156"/>
      <c r="C2663" s="3"/>
      <c r="D2663" s="3"/>
      <c r="E2663" s="156"/>
      <c r="F2663" s="3"/>
      <c r="G2663" s="158"/>
      <c r="H2663" s="155"/>
      <c r="I2663" s="155"/>
      <c r="J2663" s="156"/>
      <c r="K2663" s="5"/>
      <c r="L2663" s="3"/>
      <c r="M2663" s="6"/>
      <c r="N2663" s="9"/>
      <c r="O2663" s="158"/>
      <c r="P2663" s="12"/>
      <c r="Q2663" s="12"/>
      <c r="R2663" s="12"/>
      <c r="S2663" s="12"/>
      <c r="T2663" s="12"/>
      <c r="U2663" s="12"/>
      <c r="V2663" s="12"/>
      <c r="W2663" s="12"/>
      <c r="X2663" s="12"/>
      <c r="Y2663" s="12"/>
      <c r="Z2663" s="12"/>
    </row>
    <row r="2664" spans="1:26" ht="14.25" customHeight="1" x14ac:dyDescent="0.3">
      <c r="A2664" s="155"/>
      <c r="B2664" s="156"/>
      <c r="C2664" s="3"/>
      <c r="D2664" s="3"/>
      <c r="E2664" s="156"/>
      <c r="F2664" s="3"/>
      <c r="G2664" s="158"/>
      <c r="H2664" s="155"/>
      <c r="I2664" s="155"/>
      <c r="J2664" s="156"/>
      <c r="K2664" s="5"/>
      <c r="L2664" s="3"/>
      <c r="M2664" s="6"/>
      <c r="N2664" s="9"/>
      <c r="O2664" s="158"/>
      <c r="P2664" s="12"/>
      <c r="Q2664" s="12"/>
      <c r="R2664" s="12"/>
      <c r="S2664" s="12"/>
      <c r="T2664" s="12"/>
      <c r="U2664" s="12"/>
      <c r="V2664" s="12"/>
      <c r="W2664" s="12"/>
      <c r="X2664" s="12"/>
      <c r="Y2664" s="12"/>
      <c r="Z2664" s="12"/>
    </row>
    <row r="2665" spans="1:26" ht="14.25" customHeight="1" x14ac:dyDescent="0.3">
      <c r="A2665" s="155"/>
      <c r="B2665" s="156"/>
      <c r="C2665" s="3"/>
      <c r="D2665" s="3"/>
      <c r="E2665" s="156"/>
      <c r="F2665" s="3"/>
      <c r="G2665" s="158"/>
      <c r="H2665" s="155"/>
      <c r="I2665" s="155"/>
      <c r="J2665" s="156"/>
      <c r="K2665" s="5"/>
      <c r="L2665" s="3"/>
      <c r="M2665" s="6"/>
      <c r="N2665" s="9"/>
      <c r="O2665" s="158"/>
      <c r="P2665" s="12"/>
      <c r="Q2665" s="12"/>
      <c r="R2665" s="12"/>
      <c r="S2665" s="12"/>
      <c r="T2665" s="12"/>
      <c r="U2665" s="12"/>
      <c r="V2665" s="12"/>
      <c r="W2665" s="12"/>
      <c r="X2665" s="12"/>
      <c r="Y2665" s="12"/>
      <c r="Z2665" s="12"/>
    </row>
    <row r="2666" spans="1:26" ht="14.25" customHeight="1" x14ac:dyDescent="0.3">
      <c r="A2666" s="155"/>
      <c r="B2666" s="156"/>
      <c r="C2666" s="3"/>
      <c r="D2666" s="3"/>
      <c r="E2666" s="156"/>
      <c r="F2666" s="3"/>
      <c r="G2666" s="158"/>
      <c r="H2666" s="155"/>
      <c r="I2666" s="155"/>
      <c r="J2666" s="156"/>
      <c r="K2666" s="5"/>
      <c r="L2666" s="3"/>
      <c r="M2666" s="6"/>
      <c r="N2666" s="9"/>
      <c r="O2666" s="158"/>
      <c r="P2666" s="12"/>
      <c r="Q2666" s="12"/>
      <c r="R2666" s="12"/>
      <c r="S2666" s="12"/>
      <c r="T2666" s="12"/>
      <c r="U2666" s="12"/>
      <c r="V2666" s="12"/>
      <c r="W2666" s="12"/>
      <c r="X2666" s="12"/>
      <c r="Y2666" s="12"/>
      <c r="Z2666" s="12"/>
    </row>
    <row r="2667" spans="1:26" ht="14.25" customHeight="1" x14ac:dyDescent="0.3">
      <c r="A2667" s="155"/>
      <c r="B2667" s="156"/>
      <c r="C2667" s="3"/>
      <c r="D2667" s="3"/>
      <c r="E2667" s="156"/>
      <c r="F2667" s="3"/>
      <c r="G2667" s="158"/>
      <c r="H2667" s="155"/>
      <c r="I2667" s="155"/>
      <c r="J2667" s="156"/>
      <c r="K2667" s="5"/>
      <c r="L2667" s="3"/>
      <c r="M2667" s="6"/>
      <c r="N2667" s="9"/>
      <c r="O2667" s="158"/>
      <c r="P2667" s="12"/>
      <c r="Q2667" s="12"/>
      <c r="R2667" s="12"/>
      <c r="S2667" s="12"/>
      <c r="T2667" s="12"/>
      <c r="U2667" s="12"/>
      <c r="V2667" s="12"/>
      <c r="W2667" s="12"/>
      <c r="X2667" s="12"/>
      <c r="Y2667" s="12"/>
      <c r="Z2667" s="12"/>
    </row>
    <row r="2668" spans="1:26" ht="14.25" customHeight="1" x14ac:dyDescent="0.3">
      <c r="A2668" s="155"/>
      <c r="B2668" s="156"/>
      <c r="C2668" s="3"/>
      <c r="D2668" s="3"/>
      <c r="E2668" s="156"/>
      <c r="F2668" s="3"/>
      <c r="G2668" s="158"/>
      <c r="H2668" s="155"/>
      <c r="I2668" s="155"/>
      <c r="J2668" s="156"/>
      <c r="K2668" s="5"/>
      <c r="L2668" s="3"/>
      <c r="M2668" s="6"/>
      <c r="N2668" s="9"/>
      <c r="O2668" s="158"/>
      <c r="P2668" s="12"/>
      <c r="Q2668" s="12"/>
      <c r="R2668" s="12"/>
      <c r="S2668" s="12"/>
      <c r="T2668" s="12"/>
      <c r="U2668" s="12"/>
      <c r="V2668" s="12"/>
      <c r="W2668" s="12"/>
      <c r="X2668" s="12"/>
      <c r="Y2668" s="12"/>
      <c r="Z2668" s="12"/>
    </row>
    <row r="2669" spans="1:26" ht="14.25" customHeight="1" x14ac:dyDescent="0.3">
      <c r="A2669" s="155"/>
      <c r="B2669" s="156"/>
      <c r="C2669" s="3"/>
      <c r="D2669" s="3"/>
      <c r="E2669" s="156"/>
      <c r="F2669" s="3"/>
      <c r="G2669" s="158"/>
      <c r="H2669" s="155"/>
      <c r="I2669" s="155"/>
      <c r="J2669" s="156"/>
      <c r="K2669" s="5"/>
      <c r="L2669" s="3"/>
      <c r="M2669" s="6"/>
      <c r="N2669" s="9"/>
      <c r="O2669" s="158"/>
      <c r="P2669" s="12"/>
      <c r="Q2669" s="12"/>
      <c r="R2669" s="12"/>
      <c r="S2669" s="12"/>
      <c r="T2669" s="12"/>
      <c r="U2669" s="12"/>
      <c r="V2669" s="12"/>
      <c r="W2669" s="12"/>
      <c r="X2669" s="12"/>
      <c r="Y2669" s="12"/>
      <c r="Z2669" s="12"/>
    </row>
    <row r="2670" spans="1:26" ht="14.25" customHeight="1" x14ac:dyDescent="0.3">
      <c r="A2670" s="155"/>
      <c r="B2670" s="156"/>
      <c r="C2670" s="3"/>
      <c r="D2670" s="3"/>
      <c r="E2670" s="156"/>
      <c r="F2670" s="3"/>
      <c r="G2670" s="158"/>
      <c r="H2670" s="155"/>
      <c r="I2670" s="155"/>
      <c r="J2670" s="156"/>
      <c r="K2670" s="5"/>
      <c r="L2670" s="3"/>
      <c r="M2670" s="6"/>
      <c r="N2670" s="9"/>
      <c r="O2670" s="158"/>
      <c r="P2670" s="12"/>
      <c r="Q2670" s="12"/>
      <c r="R2670" s="12"/>
      <c r="S2670" s="12"/>
      <c r="T2670" s="12"/>
      <c r="U2670" s="12"/>
      <c r="V2670" s="12"/>
      <c r="W2670" s="12"/>
      <c r="X2670" s="12"/>
      <c r="Y2670" s="12"/>
      <c r="Z2670" s="12"/>
    </row>
    <row r="2671" spans="1:26" ht="14.25" customHeight="1" x14ac:dyDescent="0.3">
      <c r="A2671" s="155"/>
      <c r="B2671" s="156"/>
      <c r="C2671" s="3"/>
      <c r="D2671" s="3"/>
      <c r="E2671" s="156"/>
      <c r="F2671" s="3"/>
      <c r="G2671" s="158"/>
      <c r="H2671" s="155"/>
      <c r="I2671" s="155"/>
      <c r="J2671" s="156"/>
      <c r="K2671" s="5"/>
      <c r="L2671" s="3"/>
      <c r="M2671" s="6"/>
      <c r="N2671" s="9"/>
      <c r="O2671" s="158"/>
      <c r="P2671" s="12"/>
      <c r="Q2671" s="12"/>
      <c r="R2671" s="12"/>
      <c r="S2671" s="12"/>
      <c r="T2671" s="12"/>
      <c r="U2671" s="12"/>
      <c r="V2671" s="12"/>
      <c r="W2671" s="12"/>
      <c r="X2671" s="12"/>
      <c r="Y2671" s="12"/>
      <c r="Z2671" s="12"/>
    </row>
    <row r="2672" spans="1:26" ht="14.25" customHeight="1" x14ac:dyDescent="0.3">
      <c r="A2672" s="155"/>
      <c r="B2672" s="156"/>
      <c r="C2672" s="3"/>
      <c r="D2672" s="3"/>
      <c r="E2672" s="156"/>
      <c r="F2672" s="3"/>
      <c r="G2672" s="158"/>
      <c r="H2672" s="155"/>
      <c r="I2672" s="155"/>
      <c r="J2672" s="156"/>
      <c r="K2672" s="5"/>
      <c r="L2672" s="3"/>
      <c r="M2672" s="6"/>
      <c r="N2672" s="9"/>
      <c r="O2672" s="158"/>
      <c r="P2672" s="12"/>
      <c r="Q2672" s="12"/>
      <c r="R2672" s="12"/>
      <c r="S2672" s="12"/>
      <c r="T2672" s="12"/>
      <c r="U2672" s="12"/>
      <c r="V2672" s="12"/>
      <c r="W2672" s="12"/>
      <c r="X2672" s="12"/>
      <c r="Y2672" s="12"/>
      <c r="Z2672" s="12"/>
    </row>
    <row r="2673" spans="1:26" ht="14.25" customHeight="1" x14ac:dyDescent="0.3">
      <c r="A2673" s="155"/>
      <c r="B2673" s="156"/>
      <c r="C2673" s="3"/>
      <c r="D2673" s="3"/>
      <c r="E2673" s="156"/>
      <c r="F2673" s="3"/>
      <c r="G2673" s="158"/>
      <c r="H2673" s="155"/>
      <c r="I2673" s="155"/>
      <c r="J2673" s="156"/>
      <c r="K2673" s="5"/>
      <c r="L2673" s="3"/>
      <c r="M2673" s="6"/>
      <c r="N2673" s="9"/>
      <c r="O2673" s="158"/>
      <c r="P2673" s="12"/>
      <c r="Q2673" s="12"/>
      <c r="R2673" s="12"/>
      <c r="S2673" s="12"/>
      <c r="T2673" s="12"/>
      <c r="U2673" s="12"/>
      <c r="V2673" s="12"/>
      <c r="W2673" s="12"/>
      <c r="X2673" s="12"/>
      <c r="Y2673" s="12"/>
      <c r="Z2673" s="12"/>
    </row>
    <row r="2674" spans="1:26" ht="14.25" customHeight="1" x14ac:dyDescent="0.3">
      <c r="A2674" s="155"/>
      <c r="B2674" s="156"/>
      <c r="C2674" s="3"/>
      <c r="D2674" s="3"/>
      <c r="E2674" s="156"/>
      <c r="F2674" s="3"/>
      <c r="G2674" s="158"/>
      <c r="H2674" s="155"/>
      <c r="I2674" s="155"/>
      <c r="J2674" s="156"/>
      <c r="K2674" s="5"/>
      <c r="L2674" s="3"/>
      <c r="M2674" s="6"/>
      <c r="N2674" s="9"/>
      <c r="O2674" s="158"/>
      <c r="P2674" s="12"/>
      <c r="Q2674" s="12"/>
      <c r="R2674" s="12"/>
      <c r="S2674" s="12"/>
      <c r="T2674" s="12"/>
      <c r="U2674" s="12"/>
      <c r="V2674" s="12"/>
      <c r="W2674" s="12"/>
      <c r="X2674" s="12"/>
      <c r="Y2674" s="12"/>
      <c r="Z2674" s="12"/>
    </row>
    <row r="2675" spans="1:26" ht="14.25" customHeight="1" x14ac:dyDescent="0.3">
      <c r="A2675" s="155"/>
      <c r="B2675" s="156"/>
      <c r="C2675" s="3"/>
      <c r="D2675" s="3"/>
      <c r="E2675" s="156"/>
      <c r="F2675" s="3"/>
      <c r="G2675" s="158"/>
      <c r="H2675" s="155"/>
      <c r="I2675" s="155"/>
      <c r="J2675" s="156"/>
      <c r="K2675" s="5"/>
      <c r="L2675" s="3"/>
      <c r="M2675" s="6"/>
      <c r="N2675" s="9"/>
      <c r="O2675" s="158"/>
      <c r="P2675" s="12"/>
      <c r="Q2675" s="12"/>
      <c r="R2675" s="12"/>
      <c r="S2675" s="12"/>
      <c r="T2675" s="12"/>
      <c r="U2675" s="12"/>
      <c r="V2675" s="12"/>
      <c r="W2675" s="12"/>
      <c r="X2675" s="12"/>
      <c r="Y2675" s="12"/>
      <c r="Z2675" s="12"/>
    </row>
    <row r="2676" spans="1:26" ht="14.25" customHeight="1" x14ac:dyDescent="0.3">
      <c r="A2676" s="155"/>
      <c r="B2676" s="156"/>
      <c r="C2676" s="3"/>
      <c r="D2676" s="3"/>
      <c r="E2676" s="156"/>
      <c r="F2676" s="3"/>
      <c r="G2676" s="158"/>
      <c r="H2676" s="155"/>
      <c r="I2676" s="155"/>
      <c r="J2676" s="156"/>
      <c r="K2676" s="5"/>
      <c r="L2676" s="3"/>
      <c r="M2676" s="6"/>
      <c r="N2676" s="9"/>
      <c r="O2676" s="158"/>
      <c r="P2676" s="12"/>
      <c r="Q2676" s="12"/>
      <c r="R2676" s="12"/>
      <c r="S2676" s="12"/>
      <c r="T2676" s="12"/>
      <c r="U2676" s="12"/>
      <c r="V2676" s="12"/>
      <c r="W2676" s="12"/>
      <c r="X2676" s="12"/>
      <c r="Y2676" s="12"/>
      <c r="Z2676" s="12"/>
    </row>
    <row r="2677" spans="1:26" ht="14.25" customHeight="1" x14ac:dyDescent="0.3">
      <c r="A2677" s="155"/>
      <c r="B2677" s="156"/>
      <c r="C2677" s="3"/>
      <c r="D2677" s="3"/>
      <c r="E2677" s="156"/>
      <c r="F2677" s="3"/>
      <c r="G2677" s="158"/>
      <c r="H2677" s="155"/>
      <c r="I2677" s="155"/>
      <c r="J2677" s="156"/>
      <c r="K2677" s="5"/>
      <c r="L2677" s="3"/>
      <c r="M2677" s="6"/>
      <c r="N2677" s="9"/>
      <c r="O2677" s="158"/>
      <c r="P2677" s="12"/>
      <c r="Q2677" s="12"/>
      <c r="R2677" s="12"/>
      <c r="S2677" s="12"/>
      <c r="T2677" s="12"/>
      <c r="U2677" s="12"/>
      <c r="V2677" s="12"/>
      <c r="W2677" s="12"/>
      <c r="X2677" s="12"/>
      <c r="Y2677" s="12"/>
      <c r="Z2677" s="12"/>
    </row>
    <row r="2678" spans="1:26" ht="14.25" customHeight="1" x14ac:dyDescent="0.3">
      <c r="A2678" s="155"/>
      <c r="B2678" s="156"/>
      <c r="C2678" s="3"/>
      <c r="D2678" s="3"/>
      <c r="E2678" s="156"/>
      <c r="F2678" s="3"/>
      <c r="G2678" s="158"/>
      <c r="H2678" s="155"/>
      <c r="I2678" s="155"/>
      <c r="J2678" s="156"/>
      <c r="K2678" s="5"/>
      <c r="L2678" s="3"/>
      <c r="M2678" s="6"/>
      <c r="N2678" s="9"/>
      <c r="O2678" s="158"/>
      <c r="P2678" s="12"/>
      <c r="Q2678" s="12"/>
      <c r="R2678" s="12"/>
      <c r="S2678" s="12"/>
      <c r="T2678" s="12"/>
      <c r="U2678" s="12"/>
      <c r="V2678" s="12"/>
      <c r="W2678" s="12"/>
      <c r="X2678" s="12"/>
      <c r="Y2678" s="12"/>
      <c r="Z2678" s="12"/>
    </row>
    <row r="2679" spans="1:26" ht="14.25" customHeight="1" x14ac:dyDescent="0.3">
      <c r="A2679" s="155"/>
      <c r="B2679" s="156"/>
      <c r="C2679" s="3"/>
      <c r="D2679" s="3"/>
      <c r="E2679" s="156"/>
      <c r="F2679" s="3"/>
      <c r="G2679" s="158"/>
      <c r="H2679" s="155"/>
      <c r="I2679" s="155"/>
      <c r="J2679" s="156"/>
      <c r="K2679" s="5"/>
      <c r="L2679" s="3"/>
      <c r="M2679" s="6"/>
      <c r="N2679" s="9"/>
      <c r="O2679" s="158"/>
      <c r="P2679" s="12"/>
      <c r="Q2679" s="12"/>
      <c r="R2679" s="12"/>
      <c r="S2679" s="12"/>
      <c r="T2679" s="12"/>
      <c r="U2679" s="12"/>
      <c r="V2679" s="12"/>
      <c r="W2679" s="12"/>
      <c r="X2679" s="12"/>
      <c r="Y2679" s="12"/>
      <c r="Z2679" s="12"/>
    </row>
    <row r="2680" spans="1:26" ht="14.25" customHeight="1" x14ac:dyDescent="0.3">
      <c r="A2680" s="155"/>
      <c r="B2680" s="156"/>
      <c r="C2680" s="3"/>
      <c r="D2680" s="3"/>
      <c r="E2680" s="156"/>
      <c r="F2680" s="3"/>
      <c r="G2680" s="158"/>
      <c r="H2680" s="155"/>
      <c r="I2680" s="155"/>
      <c r="J2680" s="156"/>
      <c r="K2680" s="5"/>
      <c r="L2680" s="3"/>
      <c r="M2680" s="6"/>
      <c r="N2680" s="9"/>
      <c r="O2680" s="158"/>
      <c r="P2680" s="12"/>
      <c r="Q2680" s="12"/>
      <c r="R2680" s="12"/>
      <c r="S2680" s="12"/>
      <c r="T2680" s="12"/>
      <c r="U2680" s="12"/>
      <c r="V2680" s="12"/>
      <c r="W2680" s="12"/>
      <c r="X2680" s="12"/>
      <c r="Y2680" s="12"/>
      <c r="Z2680" s="12"/>
    </row>
    <row r="2681" spans="1:26" ht="14.25" customHeight="1" x14ac:dyDescent="0.3">
      <c r="A2681" s="155"/>
      <c r="B2681" s="156"/>
      <c r="C2681" s="3"/>
      <c r="D2681" s="3"/>
      <c r="E2681" s="156"/>
      <c r="F2681" s="3"/>
      <c r="G2681" s="158"/>
      <c r="H2681" s="155"/>
      <c r="I2681" s="155"/>
      <c r="J2681" s="156"/>
      <c r="K2681" s="5"/>
      <c r="L2681" s="3"/>
      <c r="M2681" s="6"/>
      <c r="N2681" s="9"/>
      <c r="O2681" s="158"/>
      <c r="P2681" s="12"/>
      <c r="Q2681" s="12"/>
      <c r="R2681" s="12"/>
      <c r="S2681" s="12"/>
      <c r="T2681" s="12"/>
      <c r="U2681" s="12"/>
      <c r="V2681" s="12"/>
      <c r="W2681" s="12"/>
      <c r="X2681" s="12"/>
      <c r="Y2681" s="12"/>
      <c r="Z2681" s="12"/>
    </row>
    <row r="2682" spans="1:26" ht="14.25" customHeight="1" x14ac:dyDescent="0.3">
      <c r="A2682" s="155"/>
      <c r="B2682" s="156"/>
      <c r="C2682" s="3"/>
      <c r="D2682" s="3"/>
      <c r="E2682" s="156"/>
      <c r="F2682" s="3"/>
      <c r="G2682" s="158"/>
      <c r="H2682" s="155"/>
      <c r="I2682" s="155"/>
      <c r="J2682" s="156"/>
      <c r="K2682" s="5"/>
      <c r="L2682" s="3"/>
      <c r="M2682" s="6"/>
      <c r="N2682" s="9"/>
      <c r="O2682" s="158"/>
      <c r="P2682" s="12"/>
      <c r="Q2682" s="12"/>
      <c r="R2682" s="12"/>
      <c r="S2682" s="12"/>
      <c r="T2682" s="12"/>
      <c r="U2682" s="12"/>
      <c r="V2682" s="12"/>
      <c r="W2682" s="12"/>
      <c r="X2682" s="12"/>
      <c r="Y2682" s="12"/>
      <c r="Z2682" s="12"/>
    </row>
    <row r="2683" spans="1:26" ht="14.25" customHeight="1" x14ac:dyDescent="0.3">
      <c r="A2683" s="155"/>
      <c r="B2683" s="156"/>
      <c r="C2683" s="3"/>
      <c r="D2683" s="3"/>
      <c r="E2683" s="156"/>
      <c r="F2683" s="3"/>
      <c r="G2683" s="158"/>
      <c r="H2683" s="155"/>
      <c r="I2683" s="155"/>
      <c r="J2683" s="156"/>
      <c r="K2683" s="5"/>
      <c r="L2683" s="3"/>
      <c r="M2683" s="6"/>
      <c r="N2683" s="9"/>
      <c r="O2683" s="158"/>
      <c r="P2683" s="12"/>
      <c r="Q2683" s="12"/>
      <c r="R2683" s="12"/>
      <c r="S2683" s="12"/>
      <c r="T2683" s="12"/>
      <c r="U2683" s="12"/>
      <c r="V2683" s="12"/>
      <c r="W2683" s="12"/>
      <c r="X2683" s="12"/>
      <c r="Y2683" s="12"/>
      <c r="Z2683" s="12"/>
    </row>
    <row r="2684" spans="1:26" ht="14.25" customHeight="1" x14ac:dyDescent="0.3">
      <c r="A2684" s="155"/>
      <c r="B2684" s="156"/>
      <c r="C2684" s="3"/>
      <c r="D2684" s="3"/>
      <c r="E2684" s="156"/>
      <c r="F2684" s="3"/>
      <c r="G2684" s="158"/>
      <c r="H2684" s="155"/>
      <c r="I2684" s="155"/>
      <c r="J2684" s="156"/>
      <c r="K2684" s="5"/>
      <c r="L2684" s="3"/>
      <c r="M2684" s="6"/>
      <c r="N2684" s="9"/>
      <c r="O2684" s="158"/>
      <c r="P2684" s="12"/>
      <c r="Q2684" s="12"/>
      <c r="R2684" s="12"/>
      <c r="S2684" s="12"/>
      <c r="T2684" s="12"/>
      <c r="U2684" s="12"/>
      <c r="V2684" s="12"/>
      <c r="W2684" s="12"/>
      <c r="X2684" s="12"/>
      <c r="Y2684" s="12"/>
      <c r="Z2684" s="12"/>
    </row>
    <row r="2685" spans="1:26" ht="14.25" customHeight="1" x14ac:dyDescent="0.3">
      <c r="A2685" s="155"/>
      <c r="B2685" s="156"/>
      <c r="C2685" s="3"/>
      <c r="D2685" s="3"/>
      <c r="E2685" s="156"/>
      <c r="F2685" s="3"/>
      <c r="G2685" s="158"/>
      <c r="H2685" s="155"/>
      <c r="I2685" s="155"/>
      <c r="J2685" s="156"/>
      <c r="K2685" s="5"/>
      <c r="L2685" s="3"/>
      <c r="M2685" s="6"/>
      <c r="N2685" s="9"/>
      <c r="O2685" s="158"/>
      <c r="P2685" s="12"/>
      <c r="Q2685" s="12"/>
      <c r="R2685" s="12"/>
      <c r="S2685" s="12"/>
      <c r="T2685" s="12"/>
      <c r="U2685" s="12"/>
      <c r="V2685" s="12"/>
      <c r="W2685" s="12"/>
      <c r="X2685" s="12"/>
      <c r="Y2685" s="12"/>
      <c r="Z2685" s="12"/>
    </row>
    <row r="2686" spans="1:26" ht="14.25" customHeight="1" x14ac:dyDescent="0.3">
      <c r="A2686" s="155"/>
      <c r="B2686" s="156"/>
      <c r="C2686" s="3"/>
      <c r="D2686" s="3"/>
      <c r="E2686" s="156"/>
      <c r="F2686" s="3"/>
      <c r="G2686" s="158"/>
      <c r="H2686" s="155"/>
      <c r="I2686" s="155"/>
      <c r="J2686" s="156"/>
      <c r="K2686" s="5"/>
      <c r="L2686" s="3"/>
      <c r="M2686" s="6"/>
      <c r="N2686" s="9"/>
      <c r="O2686" s="158"/>
      <c r="P2686" s="12"/>
      <c r="Q2686" s="12"/>
      <c r="R2686" s="12"/>
      <c r="S2686" s="12"/>
      <c r="T2686" s="12"/>
      <c r="U2686" s="12"/>
      <c r="V2686" s="12"/>
      <c r="W2686" s="12"/>
      <c r="X2686" s="12"/>
      <c r="Y2686" s="12"/>
      <c r="Z2686" s="12"/>
    </row>
    <row r="2687" spans="1:26" ht="14.25" customHeight="1" x14ac:dyDescent="0.3">
      <c r="A2687" s="155"/>
      <c r="B2687" s="156"/>
      <c r="C2687" s="3"/>
      <c r="D2687" s="3"/>
      <c r="E2687" s="156"/>
      <c r="F2687" s="3"/>
      <c r="G2687" s="158"/>
      <c r="H2687" s="155"/>
      <c r="I2687" s="155"/>
      <c r="J2687" s="156"/>
      <c r="K2687" s="5"/>
      <c r="L2687" s="3"/>
      <c r="M2687" s="6"/>
      <c r="N2687" s="9"/>
      <c r="O2687" s="158"/>
      <c r="P2687" s="12"/>
      <c r="Q2687" s="12"/>
      <c r="R2687" s="12"/>
      <c r="S2687" s="12"/>
      <c r="T2687" s="12"/>
      <c r="U2687" s="12"/>
      <c r="V2687" s="12"/>
      <c r="W2687" s="12"/>
      <c r="X2687" s="12"/>
      <c r="Y2687" s="12"/>
      <c r="Z2687" s="12"/>
    </row>
    <row r="2688" spans="1:26" ht="14.25" customHeight="1" x14ac:dyDescent="0.3">
      <c r="A2688" s="155"/>
      <c r="B2688" s="156"/>
      <c r="C2688" s="3"/>
      <c r="D2688" s="3"/>
      <c r="E2688" s="156"/>
      <c r="F2688" s="3"/>
      <c r="G2688" s="158"/>
      <c r="H2688" s="155"/>
      <c r="I2688" s="155"/>
      <c r="J2688" s="156"/>
      <c r="K2688" s="5"/>
      <c r="L2688" s="3"/>
      <c r="M2688" s="6"/>
      <c r="N2688" s="9"/>
      <c r="O2688" s="158"/>
      <c r="P2688" s="12"/>
      <c r="Q2688" s="12"/>
      <c r="R2688" s="12"/>
      <c r="S2688" s="12"/>
      <c r="T2688" s="12"/>
      <c r="U2688" s="12"/>
      <c r="V2688" s="12"/>
      <c r="W2688" s="12"/>
      <c r="X2688" s="12"/>
      <c r="Y2688" s="12"/>
      <c r="Z2688" s="12"/>
    </row>
    <row r="2689" spans="1:26" ht="14.25" customHeight="1" x14ac:dyDescent="0.3">
      <c r="A2689" s="155"/>
      <c r="B2689" s="156"/>
      <c r="C2689" s="3"/>
      <c r="D2689" s="3"/>
      <c r="E2689" s="156"/>
      <c r="F2689" s="3"/>
      <c r="G2689" s="158"/>
      <c r="H2689" s="155"/>
      <c r="I2689" s="155"/>
      <c r="J2689" s="156"/>
      <c r="K2689" s="5"/>
      <c r="L2689" s="3"/>
      <c r="M2689" s="6"/>
      <c r="N2689" s="9"/>
      <c r="O2689" s="158"/>
      <c r="P2689" s="12"/>
      <c r="Q2689" s="12"/>
      <c r="R2689" s="12"/>
      <c r="S2689" s="12"/>
      <c r="T2689" s="12"/>
      <c r="U2689" s="12"/>
      <c r="V2689" s="12"/>
      <c r="W2689" s="12"/>
      <c r="X2689" s="12"/>
      <c r="Y2689" s="12"/>
      <c r="Z2689" s="12"/>
    </row>
    <row r="2690" spans="1:26" ht="14.25" customHeight="1" x14ac:dyDescent="0.3">
      <c r="A2690" s="155"/>
      <c r="B2690" s="156"/>
      <c r="C2690" s="3"/>
      <c r="D2690" s="3"/>
      <c r="E2690" s="156"/>
      <c r="F2690" s="3"/>
      <c r="G2690" s="158"/>
      <c r="H2690" s="155"/>
      <c r="I2690" s="155"/>
      <c r="J2690" s="156"/>
      <c r="K2690" s="5"/>
      <c r="L2690" s="3"/>
      <c r="M2690" s="6"/>
      <c r="N2690" s="9"/>
      <c r="O2690" s="158"/>
      <c r="P2690" s="12"/>
      <c r="Q2690" s="12"/>
      <c r="R2690" s="12"/>
      <c r="S2690" s="12"/>
      <c r="T2690" s="12"/>
      <c r="U2690" s="12"/>
      <c r="V2690" s="12"/>
      <c r="W2690" s="12"/>
      <c r="X2690" s="12"/>
      <c r="Y2690" s="12"/>
      <c r="Z2690" s="12"/>
    </row>
    <row r="2691" spans="1:26" ht="14.25" customHeight="1" x14ac:dyDescent="0.3">
      <c r="A2691" s="155"/>
      <c r="B2691" s="156"/>
      <c r="C2691" s="3"/>
      <c r="D2691" s="3"/>
      <c r="E2691" s="156"/>
      <c r="F2691" s="3"/>
      <c r="G2691" s="158"/>
      <c r="H2691" s="155"/>
      <c r="I2691" s="155"/>
      <c r="J2691" s="156"/>
      <c r="K2691" s="5"/>
      <c r="L2691" s="3"/>
      <c r="M2691" s="6"/>
      <c r="N2691" s="9"/>
      <c r="O2691" s="158"/>
      <c r="P2691" s="12"/>
      <c r="Q2691" s="12"/>
      <c r="R2691" s="12"/>
      <c r="S2691" s="12"/>
      <c r="T2691" s="12"/>
      <c r="U2691" s="12"/>
      <c r="V2691" s="12"/>
      <c r="W2691" s="12"/>
      <c r="X2691" s="12"/>
      <c r="Y2691" s="12"/>
      <c r="Z2691" s="12"/>
    </row>
    <row r="2692" spans="1:26" ht="14.25" customHeight="1" x14ac:dyDescent="0.3">
      <c r="A2692" s="155"/>
      <c r="B2692" s="156"/>
      <c r="C2692" s="3"/>
      <c r="D2692" s="3"/>
      <c r="E2692" s="156"/>
      <c r="F2692" s="3"/>
      <c r="G2692" s="158"/>
      <c r="H2692" s="155"/>
      <c r="I2692" s="155"/>
      <c r="J2692" s="156"/>
      <c r="K2692" s="5"/>
      <c r="L2692" s="3"/>
      <c r="M2692" s="6"/>
      <c r="N2692" s="9"/>
      <c r="O2692" s="158"/>
      <c r="P2692" s="12"/>
      <c r="Q2692" s="12"/>
      <c r="R2692" s="12"/>
      <c r="S2692" s="12"/>
      <c r="T2692" s="12"/>
      <c r="U2692" s="12"/>
      <c r="V2692" s="12"/>
      <c r="W2692" s="12"/>
      <c r="X2692" s="12"/>
      <c r="Y2692" s="12"/>
      <c r="Z2692" s="12"/>
    </row>
    <row r="2693" spans="1:26" ht="14.25" customHeight="1" x14ac:dyDescent="0.3">
      <c r="A2693" s="155"/>
      <c r="B2693" s="156"/>
      <c r="C2693" s="3"/>
      <c r="D2693" s="3"/>
      <c r="E2693" s="156"/>
      <c r="F2693" s="3"/>
      <c r="G2693" s="158"/>
      <c r="H2693" s="155"/>
      <c r="I2693" s="155"/>
      <c r="J2693" s="156"/>
      <c r="K2693" s="5"/>
      <c r="L2693" s="3"/>
      <c r="M2693" s="6"/>
      <c r="N2693" s="9"/>
      <c r="O2693" s="158"/>
      <c r="P2693" s="12"/>
      <c r="Q2693" s="12"/>
      <c r="R2693" s="12"/>
      <c r="S2693" s="12"/>
      <c r="T2693" s="12"/>
      <c r="U2693" s="12"/>
      <c r="V2693" s="12"/>
      <c r="W2693" s="12"/>
      <c r="X2693" s="12"/>
      <c r="Y2693" s="12"/>
      <c r="Z2693" s="12"/>
    </row>
    <row r="2694" spans="1:26" ht="14.25" customHeight="1" x14ac:dyDescent="0.3">
      <c r="A2694" s="155"/>
      <c r="B2694" s="156"/>
      <c r="C2694" s="3"/>
      <c r="D2694" s="3"/>
      <c r="E2694" s="156"/>
      <c r="F2694" s="3"/>
      <c r="G2694" s="158"/>
      <c r="H2694" s="155"/>
      <c r="I2694" s="155"/>
      <c r="J2694" s="156"/>
      <c r="K2694" s="5"/>
      <c r="L2694" s="3"/>
      <c r="M2694" s="6"/>
      <c r="N2694" s="9"/>
      <c r="O2694" s="158"/>
      <c r="P2694" s="12"/>
      <c r="Q2694" s="12"/>
      <c r="R2694" s="12"/>
      <c r="S2694" s="12"/>
      <c r="T2694" s="12"/>
      <c r="U2694" s="12"/>
      <c r="V2694" s="12"/>
      <c r="W2694" s="12"/>
      <c r="X2694" s="12"/>
      <c r="Y2694" s="12"/>
      <c r="Z2694" s="12"/>
    </row>
    <row r="2695" spans="1:26" ht="14.25" customHeight="1" x14ac:dyDescent="0.3">
      <c r="A2695" s="155"/>
      <c r="B2695" s="156"/>
      <c r="C2695" s="3"/>
      <c r="D2695" s="3"/>
      <c r="E2695" s="156"/>
      <c r="F2695" s="3"/>
      <c r="G2695" s="158"/>
      <c r="H2695" s="155"/>
      <c r="I2695" s="155"/>
      <c r="J2695" s="156"/>
      <c r="K2695" s="5"/>
      <c r="L2695" s="3"/>
      <c r="M2695" s="6"/>
      <c r="N2695" s="9"/>
      <c r="O2695" s="158"/>
      <c r="P2695" s="12"/>
      <c r="Q2695" s="12"/>
      <c r="R2695" s="12"/>
      <c r="S2695" s="12"/>
      <c r="T2695" s="12"/>
      <c r="U2695" s="12"/>
      <c r="V2695" s="12"/>
      <c r="W2695" s="12"/>
      <c r="X2695" s="12"/>
      <c r="Y2695" s="12"/>
      <c r="Z2695" s="12"/>
    </row>
    <row r="2696" spans="1:26" ht="14.25" customHeight="1" x14ac:dyDescent="0.3">
      <c r="A2696" s="155"/>
      <c r="B2696" s="156"/>
      <c r="C2696" s="3"/>
      <c r="D2696" s="3"/>
      <c r="E2696" s="156"/>
      <c r="F2696" s="3"/>
      <c r="G2696" s="158"/>
      <c r="H2696" s="155"/>
      <c r="I2696" s="155"/>
      <c r="J2696" s="156"/>
      <c r="K2696" s="5"/>
      <c r="L2696" s="3"/>
      <c r="M2696" s="6"/>
      <c r="N2696" s="9"/>
      <c r="O2696" s="158"/>
      <c r="P2696" s="12"/>
      <c r="Q2696" s="12"/>
      <c r="R2696" s="12"/>
      <c r="S2696" s="12"/>
      <c r="T2696" s="12"/>
      <c r="U2696" s="12"/>
      <c r="V2696" s="12"/>
      <c r="W2696" s="12"/>
      <c r="X2696" s="12"/>
      <c r="Y2696" s="12"/>
      <c r="Z2696" s="12"/>
    </row>
    <row r="2697" spans="1:26" ht="14.25" customHeight="1" x14ac:dyDescent="0.3">
      <c r="A2697" s="155"/>
      <c r="B2697" s="156"/>
      <c r="C2697" s="3"/>
      <c r="D2697" s="3"/>
      <c r="E2697" s="156"/>
      <c r="F2697" s="3"/>
      <c r="G2697" s="158"/>
      <c r="H2697" s="155"/>
      <c r="I2697" s="155"/>
      <c r="J2697" s="156"/>
      <c r="K2697" s="5"/>
      <c r="L2697" s="3"/>
      <c r="M2697" s="6"/>
      <c r="N2697" s="9"/>
      <c r="O2697" s="158"/>
      <c r="P2697" s="12"/>
      <c r="Q2697" s="12"/>
      <c r="R2697" s="12"/>
      <c r="S2697" s="12"/>
      <c r="T2697" s="12"/>
      <c r="U2697" s="12"/>
      <c r="V2697" s="12"/>
      <c r="W2697" s="12"/>
      <c r="X2697" s="12"/>
      <c r="Y2697" s="12"/>
      <c r="Z2697" s="12"/>
    </row>
    <row r="2698" spans="1:26" ht="14.25" customHeight="1" x14ac:dyDescent="0.3">
      <c r="A2698" s="155"/>
      <c r="B2698" s="156"/>
      <c r="C2698" s="3"/>
      <c r="D2698" s="3"/>
      <c r="E2698" s="156"/>
      <c r="F2698" s="3"/>
      <c r="G2698" s="158"/>
      <c r="H2698" s="155"/>
      <c r="I2698" s="155"/>
      <c r="J2698" s="156"/>
      <c r="K2698" s="5"/>
      <c r="L2698" s="3"/>
      <c r="M2698" s="6"/>
      <c r="N2698" s="9"/>
      <c r="O2698" s="158"/>
      <c r="P2698" s="12"/>
      <c r="Q2698" s="12"/>
      <c r="R2698" s="12"/>
      <c r="S2698" s="12"/>
      <c r="T2698" s="12"/>
      <c r="U2698" s="12"/>
      <c r="V2698" s="12"/>
      <c r="W2698" s="12"/>
      <c r="X2698" s="12"/>
      <c r="Y2698" s="12"/>
      <c r="Z2698" s="12"/>
    </row>
    <row r="2699" spans="1:26" ht="14.25" customHeight="1" x14ac:dyDescent="0.3">
      <c r="A2699" s="155"/>
      <c r="B2699" s="156"/>
      <c r="C2699" s="3"/>
      <c r="D2699" s="3"/>
      <c r="E2699" s="156"/>
      <c r="F2699" s="3"/>
      <c r="G2699" s="158"/>
      <c r="H2699" s="155"/>
      <c r="I2699" s="155"/>
      <c r="J2699" s="156"/>
      <c r="K2699" s="5"/>
      <c r="L2699" s="3"/>
      <c r="M2699" s="6"/>
      <c r="N2699" s="9"/>
      <c r="O2699" s="158"/>
      <c r="P2699" s="12"/>
      <c r="Q2699" s="12"/>
      <c r="R2699" s="12"/>
      <c r="S2699" s="12"/>
      <c r="T2699" s="12"/>
      <c r="U2699" s="12"/>
      <c r="V2699" s="12"/>
      <c r="W2699" s="12"/>
      <c r="X2699" s="12"/>
      <c r="Y2699" s="12"/>
      <c r="Z2699" s="12"/>
    </row>
    <row r="2700" spans="1:26" ht="14.25" customHeight="1" x14ac:dyDescent="0.3">
      <c r="A2700" s="155"/>
      <c r="B2700" s="156"/>
      <c r="C2700" s="3"/>
      <c r="D2700" s="3"/>
      <c r="E2700" s="156"/>
      <c r="F2700" s="3"/>
      <c r="G2700" s="158"/>
      <c r="H2700" s="155"/>
      <c r="I2700" s="155"/>
      <c r="J2700" s="156"/>
      <c r="K2700" s="5"/>
      <c r="L2700" s="3"/>
      <c r="M2700" s="6"/>
      <c r="N2700" s="9"/>
      <c r="O2700" s="158"/>
      <c r="P2700" s="12"/>
      <c r="Q2700" s="12"/>
      <c r="R2700" s="12"/>
      <c r="S2700" s="12"/>
      <c r="T2700" s="12"/>
      <c r="U2700" s="12"/>
      <c r="V2700" s="12"/>
      <c r="W2700" s="12"/>
      <c r="X2700" s="12"/>
      <c r="Y2700" s="12"/>
      <c r="Z2700" s="12"/>
    </row>
    <row r="2701" spans="1:26" ht="14.25" customHeight="1" x14ac:dyDescent="0.3">
      <c r="A2701" s="155"/>
      <c r="B2701" s="156"/>
      <c r="C2701" s="3"/>
      <c r="D2701" s="3"/>
      <c r="E2701" s="156"/>
      <c r="F2701" s="3"/>
      <c r="G2701" s="158"/>
      <c r="H2701" s="155"/>
      <c r="I2701" s="155"/>
      <c r="J2701" s="156"/>
      <c r="K2701" s="5"/>
      <c r="L2701" s="3"/>
      <c r="M2701" s="6"/>
      <c r="N2701" s="9"/>
      <c r="O2701" s="158"/>
      <c r="P2701" s="12"/>
      <c r="Q2701" s="12"/>
      <c r="R2701" s="12"/>
      <c r="S2701" s="12"/>
      <c r="T2701" s="12"/>
      <c r="U2701" s="12"/>
      <c r="V2701" s="12"/>
      <c r="W2701" s="12"/>
      <c r="X2701" s="12"/>
      <c r="Y2701" s="12"/>
      <c r="Z2701" s="12"/>
    </row>
    <row r="2702" spans="1:26" ht="14.25" customHeight="1" x14ac:dyDescent="0.3">
      <c r="A2702" s="155"/>
      <c r="B2702" s="156"/>
      <c r="C2702" s="3"/>
      <c r="D2702" s="3"/>
      <c r="E2702" s="156"/>
      <c r="F2702" s="3"/>
      <c r="G2702" s="158"/>
      <c r="H2702" s="155"/>
      <c r="I2702" s="155"/>
      <c r="J2702" s="156"/>
      <c r="K2702" s="5"/>
      <c r="L2702" s="3"/>
      <c r="M2702" s="6"/>
      <c r="N2702" s="9"/>
      <c r="O2702" s="158"/>
      <c r="P2702" s="12"/>
      <c r="Q2702" s="12"/>
      <c r="R2702" s="12"/>
      <c r="S2702" s="12"/>
      <c r="T2702" s="12"/>
      <c r="U2702" s="12"/>
      <c r="V2702" s="12"/>
      <c r="W2702" s="12"/>
      <c r="X2702" s="12"/>
      <c r="Y2702" s="12"/>
      <c r="Z2702" s="12"/>
    </row>
    <row r="2703" spans="1:26" ht="14.25" customHeight="1" x14ac:dyDescent="0.3">
      <c r="A2703" s="155"/>
      <c r="B2703" s="156"/>
      <c r="C2703" s="3"/>
      <c r="D2703" s="3"/>
      <c r="E2703" s="156"/>
      <c r="F2703" s="3"/>
      <c r="G2703" s="158"/>
      <c r="H2703" s="155"/>
      <c r="I2703" s="155"/>
      <c r="J2703" s="156"/>
      <c r="K2703" s="5"/>
      <c r="L2703" s="3"/>
      <c r="M2703" s="6"/>
      <c r="N2703" s="9"/>
      <c r="O2703" s="158"/>
      <c r="P2703" s="12"/>
      <c r="Q2703" s="12"/>
      <c r="R2703" s="12"/>
      <c r="S2703" s="12"/>
      <c r="T2703" s="12"/>
      <c r="U2703" s="12"/>
      <c r="V2703" s="12"/>
      <c r="W2703" s="12"/>
      <c r="X2703" s="12"/>
      <c r="Y2703" s="12"/>
      <c r="Z2703" s="12"/>
    </row>
    <row r="2704" spans="1:26" ht="14.25" customHeight="1" x14ac:dyDescent="0.3">
      <c r="A2704" s="155"/>
      <c r="B2704" s="156"/>
      <c r="C2704" s="3"/>
      <c r="D2704" s="3"/>
      <c r="E2704" s="156"/>
      <c r="F2704" s="3"/>
      <c r="G2704" s="158"/>
      <c r="H2704" s="155"/>
      <c r="I2704" s="155"/>
      <c r="J2704" s="156"/>
      <c r="K2704" s="5"/>
      <c r="L2704" s="3"/>
      <c r="M2704" s="6"/>
      <c r="N2704" s="9"/>
      <c r="O2704" s="158"/>
      <c r="P2704" s="12"/>
      <c r="Q2704" s="12"/>
      <c r="R2704" s="12"/>
      <c r="S2704" s="12"/>
      <c r="T2704" s="12"/>
      <c r="U2704" s="12"/>
      <c r="V2704" s="12"/>
      <c r="W2704" s="12"/>
      <c r="X2704" s="12"/>
      <c r="Y2704" s="12"/>
      <c r="Z2704" s="12"/>
    </row>
    <row r="2705" spans="1:26" ht="14.25" customHeight="1" x14ac:dyDescent="0.3">
      <c r="A2705" s="155"/>
      <c r="B2705" s="156"/>
      <c r="C2705" s="3"/>
      <c r="D2705" s="3"/>
      <c r="E2705" s="156"/>
      <c r="F2705" s="3"/>
      <c r="G2705" s="158"/>
      <c r="H2705" s="155"/>
      <c r="I2705" s="155"/>
      <c r="J2705" s="156"/>
      <c r="K2705" s="5"/>
      <c r="L2705" s="3"/>
      <c r="M2705" s="6"/>
      <c r="N2705" s="9"/>
      <c r="O2705" s="158"/>
      <c r="P2705" s="12"/>
      <c r="Q2705" s="12"/>
      <c r="R2705" s="12"/>
      <c r="S2705" s="12"/>
      <c r="T2705" s="12"/>
      <c r="U2705" s="12"/>
      <c r="V2705" s="12"/>
      <c r="W2705" s="12"/>
      <c r="X2705" s="12"/>
      <c r="Y2705" s="12"/>
      <c r="Z2705" s="12"/>
    </row>
    <row r="2706" spans="1:26" ht="14.25" customHeight="1" x14ac:dyDescent="0.3">
      <c r="A2706" s="155"/>
      <c r="B2706" s="156"/>
      <c r="C2706" s="3"/>
      <c r="D2706" s="3"/>
      <c r="E2706" s="156"/>
      <c r="F2706" s="3"/>
      <c r="G2706" s="158"/>
      <c r="H2706" s="155"/>
      <c r="I2706" s="155"/>
      <c r="J2706" s="156"/>
      <c r="K2706" s="5"/>
      <c r="L2706" s="3"/>
      <c r="M2706" s="6"/>
      <c r="N2706" s="9"/>
      <c r="O2706" s="158"/>
      <c r="P2706" s="12"/>
      <c r="Q2706" s="12"/>
      <c r="R2706" s="12"/>
      <c r="S2706" s="12"/>
      <c r="T2706" s="12"/>
      <c r="U2706" s="12"/>
      <c r="V2706" s="12"/>
      <c r="W2706" s="12"/>
      <c r="X2706" s="12"/>
      <c r="Y2706" s="12"/>
      <c r="Z2706" s="12"/>
    </row>
    <row r="2707" spans="1:26" ht="14.25" customHeight="1" x14ac:dyDescent="0.3">
      <c r="A2707" s="155"/>
      <c r="B2707" s="156"/>
      <c r="C2707" s="3"/>
      <c r="D2707" s="3"/>
      <c r="E2707" s="156"/>
      <c r="F2707" s="3"/>
      <c r="G2707" s="158"/>
      <c r="H2707" s="155"/>
      <c r="I2707" s="155"/>
      <c r="J2707" s="156"/>
      <c r="K2707" s="5"/>
      <c r="L2707" s="3"/>
      <c r="M2707" s="6"/>
      <c r="N2707" s="9"/>
      <c r="O2707" s="158"/>
      <c r="P2707" s="12"/>
      <c r="Q2707" s="12"/>
      <c r="R2707" s="12"/>
      <c r="S2707" s="12"/>
      <c r="T2707" s="12"/>
      <c r="U2707" s="12"/>
      <c r="V2707" s="12"/>
      <c r="W2707" s="12"/>
      <c r="X2707" s="12"/>
      <c r="Y2707" s="12"/>
      <c r="Z2707" s="12"/>
    </row>
    <row r="2708" spans="1:26" ht="14.25" customHeight="1" x14ac:dyDescent="0.3">
      <c r="A2708" s="155"/>
      <c r="B2708" s="156"/>
      <c r="C2708" s="3"/>
      <c r="D2708" s="3"/>
      <c r="E2708" s="156"/>
      <c r="F2708" s="3"/>
      <c r="G2708" s="158"/>
      <c r="H2708" s="155"/>
      <c r="I2708" s="155"/>
      <c r="J2708" s="156"/>
      <c r="K2708" s="5"/>
      <c r="L2708" s="3"/>
      <c r="M2708" s="6"/>
      <c r="N2708" s="9"/>
      <c r="O2708" s="158"/>
      <c r="P2708" s="12"/>
      <c r="Q2708" s="12"/>
      <c r="R2708" s="12"/>
      <c r="S2708" s="12"/>
      <c r="T2708" s="12"/>
      <c r="U2708" s="12"/>
      <c r="V2708" s="12"/>
      <c r="W2708" s="12"/>
      <c r="X2708" s="12"/>
      <c r="Y2708" s="12"/>
      <c r="Z2708" s="12"/>
    </row>
    <row r="2709" spans="1:26" ht="14.25" customHeight="1" x14ac:dyDescent="0.3">
      <c r="A2709" s="155"/>
      <c r="B2709" s="156"/>
      <c r="C2709" s="3"/>
      <c r="D2709" s="3"/>
      <c r="E2709" s="156"/>
      <c r="F2709" s="3"/>
      <c r="G2709" s="158"/>
      <c r="H2709" s="155"/>
      <c r="I2709" s="155"/>
      <c r="J2709" s="156"/>
      <c r="K2709" s="5"/>
      <c r="L2709" s="3"/>
      <c r="M2709" s="6"/>
      <c r="N2709" s="9"/>
      <c r="O2709" s="158"/>
      <c r="P2709" s="12"/>
      <c r="Q2709" s="12"/>
      <c r="R2709" s="12"/>
      <c r="S2709" s="12"/>
      <c r="T2709" s="12"/>
      <c r="U2709" s="12"/>
      <c r="V2709" s="12"/>
      <c r="W2709" s="12"/>
      <c r="X2709" s="12"/>
      <c r="Y2709" s="12"/>
      <c r="Z2709" s="12"/>
    </row>
    <row r="2710" spans="1:26" ht="14.25" customHeight="1" x14ac:dyDescent="0.3">
      <c r="A2710" s="155"/>
      <c r="B2710" s="156"/>
      <c r="C2710" s="3"/>
      <c r="D2710" s="3"/>
      <c r="E2710" s="156"/>
      <c r="F2710" s="3"/>
      <c r="G2710" s="158"/>
      <c r="H2710" s="155"/>
      <c r="I2710" s="155"/>
      <c r="J2710" s="156"/>
      <c r="K2710" s="5"/>
      <c r="L2710" s="3"/>
      <c r="M2710" s="6"/>
      <c r="N2710" s="9"/>
      <c r="O2710" s="158"/>
      <c r="P2710" s="12"/>
      <c r="Q2710" s="12"/>
      <c r="R2710" s="12"/>
      <c r="S2710" s="12"/>
      <c r="T2710" s="12"/>
      <c r="U2710" s="12"/>
      <c r="V2710" s="12"/>
      <c r="W2710" s="12"/>
      <c r="X2710" s="12"/>
      <c r="Y2710" s="12"/>
      <c r="Z2710" s="12"/>
    </row>
    <row r="2711" spans="1:26" ht="14.25" customHeight="1" x14ac:dyDescent="0.3">
      <c r="A2711" s="155"/>
      <c r="B2711" s="156"/>
      <c r="C2711" s="3"/>
      <c r="D2711" s="3"/>
      <c r="E2711" s="156"/>
      <c r="F2711" s="3"/>
      <c r="G2711" s="158"/>
      <c r="H2711" s="155"/>
      <c r="I2711" s="155"/>
      <c r="J2711" s="156"/>
      <c r="K2711" s="5"/>
      <c r="L2711" s="3"/>
      <c r="M2711" s="6"/>
      <c r="N2711" s="9"/>
      <c r="O2711" s="158"/>
      <c r="P2711" s="12"/>
      <c r="Q2711" s="12"/>
      <c r="R2711" s="12"/>
      <c r="S2711" s="12"/>
      <c r="T2711" s="12"/>
      <c r="U2711" s="12"/>
      <c r="V2711" s="12"/>
      <c r="W2711" s="12"/>
      <c r="X2711" s="12"/>
      <c r="Y2711" s="12"/>
      <c r="Z2711" s="12"/>
    </row>
    <row r="2712" spans="1:26" ht="14.25" customHeight="1" x14ac:dyDescent="0.3">
      <c r="A2712" s="155"/>
      <c r="B2712" s="156"/>
      <c r="C2712" s="3"/>
      <c r="D2712" s="3"/>
      <c r="E2712" s="156"/>
      <c r="F2712" s="3"/>
      <c r="G2712" s="158"/>
      <c r="H2712" s="155"/>
      <c r="I2712" s="155"/>
      <c r="J2712" s="156"/>
      <c r="K2712" s="5"/>
      <c r="L2712" s="3"/>
      <c r="M2712" s="6"/>
      <c r="N2712" s="9"/>
      <c r="O2712" s="158"/>
      <c r="P2712" s="12"/>
      <c r="Q2712" s="12"/>
      <c r="R2712" s="12"/>
      <c r="S2712" s="12"/>
      <c r="T2712" s="12"/>
      <c r="U2712" s="12"/>
      <c r="V2712" s="12"/>
      <c r="W2712" s="12"/>
      <c r="X2712" s="12"/>
      <c r="Y2712" s="12"/>
      <c r="Z2712" s="12"/>
    </row>
    <row r="2713" spans="1:26" ht="14.25" customHeight="1" x14ac:dyDescent="0.3">
      <c r="A2713" s="155"/>
      <c r="B2713" s="156"/>
      <c r="C2713" s="3"/>
      <c r="D2713" s="3"/>
      <c r="E2713" s="156"/>
      <c r="F2713" s="3"/>
      <c r="G2713" s="158"/>
      <c r="H2713" s="155"/>
      <c r="I2713" s="155"/>
      <c r="J2713" s="156"/>
      <c r="K2713" s="5"/>
      <c r="L2713" s="3"/>
      <c r="M2713" s="6"/>
      <c r="N2713" s="9"/>
      <c r="O2713" s="158"/>
      <c r="P2713" s="12"/>
      <c r="Q2713" s="12"/>
      <c r="R2713" s="12"/>
      <c r="S2713" s="12"/>
      <c r="T2713" s="12"/>
      <c r="U2713" s="12"/>
      <c r="V2713" s="12"/>
      <c r="W2713" s="12"/>
      <c r="X2713" s="12"/>
      <c r="Y2713" s="12"/>
      <c r="Z2713" s="12"/>
    </row>
    <row r="2714" spans="1:26" ht="14.25" customHeight="1" x14ac:dyDescent="0.3">
      <c r="A2714" s="155"/>
      <c r="B2714" s="156"/>
      <c r="C2714" s="3"/>
      <c r="D2714" s="3"/>
      <c r="E2714" s="156"/>
      <c r="F2714" s="3"/>
      <c r="G2714" s="158"/>
      <c r="H2714" s="155"/>
      <c r="I2714" s="155"/>
      <c r="J2714" s="156"/>
      <c r="K2714" s="5"/>
      <c r="L2714" s="3"/>
      <c r="M2714" s="6"/>
      <c r="N2714" s="9"/>
      <c r="O2714" s="158"/>
      <c r="P2714" s="12"/>
      <c r="Q2714" s="12"/>
      <c r="R2714" s="12"/>
      <c r="S2714" s="12"/>
      <c r="T2714" s="12"/>
      <c r="U2714" s="12"/>
      <c r="V2714" s="12"/>
      <c r="W2714" s="12"/>
      <c r="X2714" s="12"/>
      <c r="Y2714" s="12"/>
      <c r="Z2714" s="12"/>
    </row>
    <row r="2715" spans="1:26" ht="14.25" customHeight="1" x14ac:dyDescent="0.3">
      <c r="A2715" s="155"/>
      <c r="B2715" s="156"/>
      <c r="C2715" s="3"/>
      <c r="D2715" s="3"/>
      <c r="E2715" s="156"/>
      <c r="F2715" s="3"/>
      <c r="G2715" s="158"/>
      <c r="H2715" s="155"/>
      <c r="I2715" s="155"/>
      <c r="J2715" s="156"/>
      <c r="K2715" s="5"/>
      <c r="L2715" s="3"/>
      <c r="M2715" s="6"/>
      <c r="N2715" s="9"/>
      <c r="O2715" s="158"/>
      <c r="P2715" s="12"/>
      <c r="Q2715" s="12"/>
      <c r="R2715" s="12"/>
      <c r="S2715" s="12"/>
      <c r="T2715" s="12"/>
      <c r="U2715" s="12"/>
      <c r="V2715" s="12"/>
      <c r="W2715" s="12"/>
      <c r="X2715" s="12"/>
      <c r="Y2715" s="12"/>
      <c r="Z2715" s="12"/>
    </row>
    <row r="2716" spans="1:26" ht="14.25" customHeight="1" x14ac:dyDescent="0.3">
      <c r="A2716" s="155"/>
      <c r="B2716" s="156"/>
      <c r="C2716" s="3"/>
      <c r="D2716" s="3"/>
      <c r="E2716" s="156"/>
      <c r="F2716" s="3"/>
      <c r="G2716" s="158"/>
      <c r="H2716" s="155"/>
      <c r="I2716" s="155"/>
      <c r="J2716" s="156"/>
      <c r="K2716" s="5"/>
      <c r="L2716" s="3"/>
      <c r="M2716" s="6"/>
      <c r="N2716" s="9"/>
      <c r="O2716" s="158"/>
      <c r="P2716" s="12"/>
      <c r="Q2716" s="12"/>
      <c r="R2716" s="12"/>
      <c r="S2716" s="12"/>
      <c r="T2716" s="12"/>
      <c r="U2716" s="12"/>
      <c r="V2716" s="12"/>
      <c r="W2716" s="12"/>
      <c r="X2716" s="12"/>
      <c r="Y2716" s="12"/>
      <c r="Z2716" s="12"/>
    </row>
    <row r="2717" spans="1:26" ht="14.25" customHeight="1" x14ac:dyDescent="0.3">
      <c r="A2717" s="155"/>
      <c r="B2717" s="156"/>
      <c r="C2717" s="3"/>
      <c r="D2717" s="3"/>
      <c r="E2717" s="156"/>
      <c r="F2717" s="3"/>
      <c r="G2717" s="158"/>
      <c r="H2717" s="155"/>
      <c r="I2717" s="155"/>
      <c r="J2717" s="156"/>
      <c r="K2717" s="5"/>
      <c r="L2717" s="3"/>
      <c r="M2717" s="6"/>
      <c r="N2717" s="9"/>
      <c r="O2717" s="158"/>
      <c r="P2717" s="12"/>
      <c r="Q2717" s="12"/>
      <c r="R2717" s="12"/>
      <c r="S2717" s="12"/>
      <c r="T2717" s="12"/>
      <c r="U2717" s="12"/>
      <c r="V2717" s="12"/>
      <c r="W2717" s="12"/>
      <c r="X2717" s="12"/>
      <c r="Y2717" s="12"/>
      <c r="Z2717" s="12"/>
    </row>
    <row r="2718" spans="1:26" ht="14.25" customHeight="1" x14ac:dyDescent="0.3">
      <c r="A2718" s="155"/>
      <c r="B2718" s="156"/>
      <c r="C2718" s="3"/>
      <c r="D2718" s="3"/>
      <c r="E2718" s="156"/>
      <c r="F2718" s="3"/>
      <c r="G2718" s="158"/>
      <c r="H2718" s="155"/>
      <c r="I2718" s="155"/>
      <c r="J2718" s="156"/>
      <c r="K2718" s="5"/>
      <c r="L2718" s="3"/>
      <c r="M2718" s="6"/>
      <c r="N2718" s="9"/>
      <c r="O2718" s="158"/>
      <c r="P2718" s="12"/>
      <c r="Q2718" s="12"/>
      <c r="R2718" s="12"/>
      <c r="S2718" s="12"/>
      <c r="T2718" s="12"/>
      <c r="U2718" s="12"/>
      <c r="V2718" s="12"/>
      <c r="W2718" s="12"/>
      <c r="X2718" s="12"/>
      <c r="Y2718" s="12"/>
      <c r="Z2718" s="12"/>
    </row>
    <row r="2719" spans="1:26" ht="14.25" customHeight="1" x14ac:dyDescent="0.3">
      <c r="A2719" s="155"/>
      <c r="B2719" s="156"/>
      <c r="C2719" s="3"/>
      <c r="D2719" s="3"/>
      <c r="E2719" s="156"/>
      <c r="F2719" s="3"/>
      <c r="G2719" s="158"/>
      <c r="H2719" s="155"/>
      <c r="I2719" s="155"/>
      <c r="J2719" s="156"/>
      <c r="K2719" s="5"/>
      <c r="L2719" s="3"/>
      <c r="M2719" s="6"/>
      <c r="N2719" s="9"/>
      <c r="O2719" s="158"/>
      <c r="P2719" s="12"/>
      <c r="Q2719" s="12"/>
      <c r="R2719" s="12"/>
      <c r="S2719" s="12"/>
      <c r="T2719" s="12"/>
      <c r="U2719" s="12"/>
      <c r="V2719" s="12"/>
      <c r="W2719" s="12"/>
      <c r="X2719" s="12"/>
      <c r="Y2719" s="12"/>
      <c r="Z2719" s="12"/>
    </row>
    <row r="2720" spans="1:26" ht="14.25" customHeight="1" x14ac:dyDescent="0.3">
      <c r="A2720" s="155"/>
      <c r="B2720" s="156"/>
      <c r="C2720" s="3"/>
      <c r="D2720" s="3"/>
      <c r="E2720" s="156"/>
      <c r="F2720" s="3"/>
      <c r="G2720" s="158"/>
      <c r="H2720" s="155"/>
      <c r="I2720" s="155"/>
      <c r="J2720" s="156"/>
      <c r="K2720" s="5"/>
      <c r="L2720" s="3"/>
      <c r="M2720" s="6"/>
      <c r="N2720" s="9"/>
      <c r="O2720" s="158"/>
      <c r="P2720" s="12"/>
      <c r="Q2720" s="12"/>
      <c r="R2720" s="12"/>
      <c r="S2720" s="12"/>
      <c r="T2720" s="12"/>
      <c r="U2720" s="12"/>
      <c r="V2720" s="12"/>
      <c r="W2720" s="12"/>
      <c r="X2720" s="12"/>
      <c r="Y2720" s="12"/>
      <c r="Z2720" s="12"/>
    </row>
    <row r="2721" spans="1:26" ht="14.25" customHeight="1" x14ac:dyDescent="0.3">
      <c r="A2721" s="155"/>
      <c r="B2721" s="156"/>
      <c r="C2721" s="3"/>
      <c r="D2721" s="3"/>
      <c r="E2721" s="156"/>
      <c r="F2721" s="3"/>
      <c r="G2721" s="158"/>
      <c r="H2721" s="155"/>
      <c r="I2721" s="155"/>
      <c r="J2721" s="156"/>
      <c r="K2721" s="5"/>
      <c r="L2721" s="3"/>
      <c r="M2721" s="6"/>
      <c r="N2721" s="9"/>
      <c r="O2721" s="158"/>
      <c r="P2721" s="12"/>
      <c r="Q2721" s="12"/>
      <c r="R2721" s="12"/>
      <c r="S2721" s="12"/>
      <c r="T2721" s="12"/>
      <c r="U2721" s="12"/>
      <c r="V2721" s="12"/>
      <c r="W2721" s="12"/>
      <c r="X2721" s="12"/>
      <c r="Y2721" s="12"/>
      <c r="Z2721" s="12"/>
    </row>
    <row r="2722" spans="1:26" ht="14.25" customHeight="1" x14ac:dyDescent="0.3">
      <c r="A2722" s="155"/>
      <c r="B2722" s="156"/>
      <c r="C2722" s="3"/>
      <c r="D2722" s="3"/>
      <c r="E2722" s="156"/>
      <c r="F2722" s="3"/>
      <c r="G2722" s="158"/>
      <c r="H2722" s="155"/>
      <c r="I2722" s="155"/>
      <c r="J2722" s="156"/>
      <c r="K2722" s="5"/>
      <c r="L2722" s="3"/>
      <c r="M2722" s="6"/>
      <c r="N2722" s="9"/>
      <c r="O2722" s="158"/>
      <c r="P2722" s="12"/>
      <c r="Q2722" s="12"/>
      <c r="R2722" s="12"/>
      <c r="S2722" s="12"/>
      <c r="T2722" s="12"/>
      <c r="U2722" s="12"/>
      <c r="V2722" s="12"/>
      <c r="W2722" s="12"/>
      <c r="X2722" s="12"/>
      <c r="Y2722" s="12"/>
      <c r="Z2722" s="12"/>
    </row>
    <row r="2723" spans="1:26" ht="14.25" customHeight="1" x14ac:dyDescent="0.3">
      <c r="A2723" s="155"/>
      <c r="B2723" s="156"/>
      <c r="C2723" s="3"/>
      <c r="D2723" s="3"/>
      <c r="E2723" s="156"/>
      <c r="F2723" s="3"/>
      <c r="G2723" s="158"/>
      <c r="H2723" s="155"/>
      <c r="I2723" s="155"/>
      <c r="J2723" s="156"/>
      <c r="K2723" s="5"/>
      <c r="L2723" s="3"/>
      <c r="M2723" s="6"/>
      <c r="N2723" s="9"/>
      <c r="O2723" s="158"/>
      <c r="P2723" s="12"/>
      <c r="Q2723" s="12"/>
      <c r="R2723" s="12"/>
      <c r="S2723" s="12"/>
      <c r="T2723" s="12"/>
      <c r="U2723" s="12"/>
      <c r="V2723" s="12"/>
      <c r="W2723" s="12"/>
      <c r="X2723" s="12"/>
      <c r="Y2723" s="12"/>
      <c r="Z2723" s="12"/>
    </row>
    <row r="2724" spans="1:26" ht="14.25" customHeight="1" x14ac:dyDescent="0.3">
      <c r="A2724" s="155"/>
      <c r="B2724" s="156"/>
      <c r="C2724" s="3"/>
      <c r="D2724" s="3"/>
      <c r="E2724" s="156"/>
      <c r="F2724" s="3"/>
      <c r="G2724" s="158"/>
      <c r="H2724" s="155"/>
      <c r="I2724" s="155"/>
      <c r="J2724" s="156"/>
      <c r="K2724" s="5"/>
      <c r="L2724" s="3"/>
      <c r="M2724" s="6"/>
      <c r="N2724" s="9"/>
      <c r="O2724" s="158"/>
      <c r="P2724" s="12"/>
      <c r="Q2724" s="12"/>
      <c r="R2724" s="12"/>
      <c r="S2724" s="12"/>
      <c r="T2724" s="12"/>
      <c r="U2724" s="12"/>
      <c r="V2724" s="12"/>
      <c r="W2724" s="12"/>
      <c r="X2724" s="12"/>
      <c r="Y2724" s="12"/>
      <c r="Z2724" s="12"/>
    </row>
    <row r="2725" spans="1:26" ht="14.25" customHeight="1" x14ac:dyDescent="0.3">
      <c r="A2725" s="155"/>
      <c r="B2725" s="156"/>
      <c r="C2725" s="3"/>
      <c r="D2725" s="3"/>
      <c r="E2725" s="156"/>
      <c r="F2725" s="3"/>
      <c r="G2725" s="158"/>
      <c r="H2725" s="155"/>
      <c r="I2725" s="155"/>
      <c r="J2725" s="156"/>
      <c r="K2725" s="5"/>
      <c r="L2725" s="3"/>
      <c r="M2725" s="6"/>
      <c r="N2725" s="9"/>
      <c r="O2725" s="158"/>
      <c r="P2725" s="12"/>
      <c r="Q2725" s="12"/>
      <c r="R2725" s="12"/>
      <c r="S2725" s="12"/>
      <c r="T2725" s="12"/>
      <c r="U2725" s="12"/>
      <c r="V2725" s="12"/>
      <c r="W2725" s="12"/>
      <c r="X2725" s="12"/>
      <c r="Y2725" s="12"/>
      <c r="Z2725" s="12"/>
    </row>
    <row r="2726" spans="1:26" ht="14.25" customHeight="1" x14ac:dyDescent="0.3">
      <c r="A2726" s="155"/>
      <c r="B2726" s="156"/>
      <c r="C2726" s="3"/>
      <c r="D2726" s="3"/>
      <c r="E2726" s="156"/>
      <c r="F2726" s="3"/>
      <c r="G2726" s="158"/>
      <c r="H2726" s="155"/>
      <c r="I2726" s="155"/>
      <c r="J2726" s="156"/>
      <c r="K2726" s="5"/>
      <c r="L2726" s="3"/>
      <c r="M2726" s="6"/>
      <c r="N2726" s="9"/>
      <c r="O2726" s="158"/>
      <c r="P2726" s="12"/>
      <c r="Q2726" s="12"/>
      <c r="R2726" s="12"/>
      <c r="S2726" s="12"/>
      <c r="T2726" s="12"/>
      <c r="U2726" s="12"/>
      <c r="V2726" s="12"/>
      <c r="W2726" s="12"/>
      <c r="X2726" s="12"/>
      <c r="Y2726" s="12"/>
      <c r="Z2726" s="12"/>
    </row>
    <row r="2727" spans="1:26" ht="14.25" customHeight="1" x14ac:dyDescent="0.3">
      <c r="A2727" s="155"/>
      <c r="B2727" s="156"/>
      <c r="C2727" s="3"/>
      <c r="D2727" s="3"/>
      <c r="E2727" s="156"/>
      <c r="F2727" s="3"/>
      <c r="G2727" s="158"/>
      <c r="H2727" s="155"/>
      <c r="I2727" s="155"/>
      <c r="J2727" s="156"/>
      <c r="K2727" s="5"/>
      <c r="L2727" s="3"/>
      <c r="M2727" s="6"/>
      <c r="N2727" s="9"/>
      <c r="O2727" s="158"/>
      <c r="P2727" s="12"/>
      <c r="Q2727" s="12"/>
      <c r="R2727" s="12"/>
      <c r="S2727" s="12"/>
      <c r="T2727" s="12"/>
      <c r="U2727" s="12"/>
      <c r="V2727" s="12"/>
      <c r="W2727" s="12"/>
      <c r="X2727" s="12"/>
      <c r="Y2727" s="12"/>
      <c r="Z2727" s="12"/>
    </row>
    <row r="2728" spans="1:26" ht="14.25" customHeight="1" x14ac:dyDescent="0.3">
      <c r="A2728" s="155"/>
      <c r="B2728" s="156"/>
      <c r="C2728" s="3"/>
      <c r="D2728" s="3"/>
      <c r="E2728" s="156"/>
      <c r="F2728" s="3"/>
      <c r="G2728" s="158"/>
      <c r="H2728" s="155"/>
      <c r="I2728" s="155"/>
      <c r="J2728" s="156"/>
      <c r="K2728" s="5"/>
      <c r="L2728" s="3"/>
      <c r="M2728" s="6"/>
      <c r="N2728" s="9"/>
      <c r="O2728" s="158"/>
      <c r="P2728" s="12"/>
      <c r="Q2728" s="12"/>
      <c r="R2728" s="12"/>
      <c r="S2728" s="12"/>
      <c r="T2728" s="12"/>
      <c r="U2728" s="12"/>
      <c r="V2728" s="12"/>
      <c r="W2728" s="12"/>
      <c r="X2728" s="12"/>
      <c r="Y2728" s="12"/>
      <c r="Z2728" s="12"/>
    </row>
    <row r="2729" spans="1:26" ht="14.25" customHeight="1" x14ac:dyDescent="0.3">
      <c r="A2729" s="155"/>
      <c r="B2729" s="156"/>
      <c r="C2729" s="3"/>
      <c r="D2729" s="3"/>
      <c r="E2729" s="156"/>
      <c r="F2729" s="3"/>
      <c r="G2729" s="158"/>
      <c r="H2729" s="155"/>
      <c r="I2729" s="155"/>
      <c r="J2729" s="156"/>
      <c r="K2729" s="5"/>
      <c r="L2729" s="3"/>
      <c r="M2729" s="6"/>
      <c r="N2729" s="9"/>
      <c r="O2729" s="158"/>
      <c r="P2729" s="12"/>
      <c r="Q2729" s="12"/>
      <c r="R2729" s="12"/>
      <c r="S2729" s="12"/>
      <c r="T2729" s="12"/>
      <c r="U2729" s="12"/>
      <c r="V2729" s="12"/>
      <c r="W2729" s="12"/>
      <c r="X2729" s="12"/>
      <c r="Y2729" s="12"/>
      <c r="Z2729" s="12"/>
    </row>
    <row r="2730" spans="1:26" ht="14.25" customHeight="1" x14ac:dyDescent="0.3">
      <c r="A2730" s="155"/>
      <c r="B2730" s="156"/>
      <c r="C2730" s="3"/>
      <c r="D2730" s="3"/>
      <c r="E2730" s="156"/>
      <c r="F2730" s="3"/>
      <c r="G2730" s="158"/>
      <c r="H2730" s="155"/>
      <c r="I2730" s="155"/>
      <c r="J2730" s="156"/>
      <c r="K2730" s="5"/>
      <c r="L2730" s="3"/>
      <c r="M2730" s="6"/>
      <c r="N2730" s="9"/>
      <c r="O2730" s="158"/>
      <c r="P2730" s="12"/>
      <c r="Q2730" s="12"/>
      <c r="R2730" s="12"/>
      <c r="S2730" s="12"/>
      <c r="T2730" s="12"/>
      <c r="U2730" s="12"/>
      <c r="V2730" s="12"/>
      <c r="W2730" s="12"/>
      <c r="X2730" s="12"/>
      <c r="Y2730" s="12"/>
      <c r="Z2730" s="12"/>
    </row>
  </sheetData>
  <mergeCells count="1">
    <mergeCell ref="R6:S6"/>
  </mergeCells>
  <printOptions horizontalCentered="1"/>
  <pageMargins left="0.7" right="0.7" top="0.75" bottom="0.75" header="0" footer="0"/>
  <pageSetup paperSize="5" orientation="landscape"/>
  <rowBreaks count="1" manualBreakCount="1">
    <brk id="13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667"/>
  <sheetViews>
    <sheetView workbookViewId="0"/>
  </sheetViews>
  <sheetFormatPr defaultColWidth="14.44140625" defaultRowHeight="15" customHeight="1" x14ac:dyDescent="0.3"/>
  <sheetData>
    <row r="1" spans="1:23" x14ac:dyDescent="0.3">
      <c r="A1" s="163" t="s">
        <v>0</v>
      </c>
      <c r="B1" s="12"/>
      <c r="C1" s="12"/>
      <c r="D1" s="12"/>
      <c r="E1" s="12"/>
      <c r="F1" s="12"/>
      <c r="G1" s="12"/>
      <c r="H1" s="12"/>
      <c r="I1" s="12"/>
      <c r="J1" s="12"/>
      <c r="K1" s="12"/>
      <c r="L1" s="62"/>
      <c r="M1" s="12"/>
      <c r="N1" s="12"/>
      <c r="O1" s="12"/>
      <c r="P1" s="12"/>
      <c r="Q1" s="12"/>
      <c r="R1" s="12"/>
      <c r="S1" s="164"/>
      <c r="T1" s="62"/>
      <c r="U1" s="62"/>
      <c r="V1" s="12"/>
      <c r="W1" s="12"/>
    </row>
    <row r="2" spans="1:23" x14ac:dyDescent="0.3">
      <c r="A2" s="12"/>
      <c r="B2" s="12"/>
      <c r="C2" s="12"/>
      <c r="D2" s="12"/>
      <c r="E2" s="12"/>
      <c r="F2" s="12"/>
      <c r="G2" s="12"/>
      <c r="H2" s="12"/>
      <c r="I2" s="12"/>
      <c r="J2" s="12"/>
      <c r="K2" s="12"/>
      <c r="L2" s="62"/>
      <c r="M2" s="12"/>
      <c r="N2" s="12"/>
      <c r="O2" s="12"/>
      <c r="P2" s="12"/>
      <c r="Q2" s="12"/>
      <c r="R2" s="12"/>
      <c r="S2" s="165" t="s">
        <v>1</v>
      </c>
      <c r="T2" s="62"/>
      <c r="U2" s="62"/>
      <c r="V2" s="12"/>
      <c r="W2" s="12"/>
    </row>
    <row r="3" spans="1:23" x14ac:dyDescent="0.3">
      <c r="A3" s="166" t="s">
        <v>2</v>
      </c>
      <c r="B3" s="12"/>
      <c r="C3" s="12"/>
      <c r="D3" s="12"/>
      <c r="E3" s="12"/>
      <c r="F3" s="12"/>
      <c r="G3" s="12"/>
      <c r="H3" s="12"/>
      <c r="I3" s="12"/>
      <c r="J3" s="12"/>
      <c r="K3" s="12"/>
      <c r="L3" s="12"/>
      <c r="M3" s="12"/>
      <c r="N3" s="12"/>
      <c r="O3" s="12"/>
      <c r="P3" s="12"/>
      <c r="Q3" s="12"/>
      <c r="R3" s="12"/>
      <c r="S3" s="12"/>
      <c r="T3" s="62"/>
      <c r="U3" s="12"/>
      <c r="V3" s="167" t="s">
        <v>3</v>
      </c>
      <c r="W3" s="12"/>
    </row>
    <row r="4" spans="1:23" x14ac:dyDescent="0.3">
      <c r="A4" s="166" t="s">
        <v>4</v>
      </c>
      <c r="B4" s="12"/>
      <c r="C4" s="12"/>
      <c r="D4" s="12"/>
      <c r="E4" s="12"/>
      <c r="F4" s="12"/>
      <c r="G4" s="12"/>
      <c r="H4" s="12"/>
      <c r="I4" s="12"/>
      <c r="J4" s="12"/>
      <c r="K4" s="12"/>
      <c r="L4" s="12"/>
      <c r="M4" s="12"/>
      <c r="N4" s="12"/>
      <c r="O4" s="12"/>
      <c r="P4" s="12"/>
      <c r="Q4" s="12"/>
      <c r="R4" s="12"/>
      <c r="S4" s="12"/>
      <c r="T4" s="62"/>
      <c r="U4" s="12"/>
      <c r="V4" s="12"/>
      <c r="W4" s="12"/>
    </row>
    <row r="5" spans="1:23" x14ac:dyDescent="0.3">
      <c r="A5" s="168" t="s">
        <v>5</v>
      </c>
      <c r="B5" s="12"/>
      <c r="C5" s="12"/>
      <c r="D5" s="12"/>
      <c r="E5" s="12"/>
      <c r="F5" s="12"/>
      <c r="G5" s="12"/>
      <c r="H5" s="12"/>
      <c r="I5" s="12"/>
      <c r="J5" s="12"/>
      <c r="K5" s="12"/>
      <c r="L5" s="12"/>
      <c r="M5" s="12"/>
      <c r="N5" s="12"/>
      <c r="O5" s="12"/>
      <c r="P5" s="12"/>
      <c r="Q5" s="12"/>
      <c r="R5" s="12"/>
      <c r="S5" s="12"/>
      <c r="T5" s="62"/>
      <c r="U5" s="12"/>
      <c r="V5" s="12"/>
      <c r="W5" s="12"/>
    </row>
    <row r="6" spans="1:23" x14ac:dyDescent="0.3">
      <c r="A6" s="169" t="s">
        <v>6</v>
      </c>
      <c r="B6" s="169" t="s">
        <v>7</v>
      </c>
      <c r="C6" s="170"/>
      <c r="D6" s="170"/>
      <c r="E6" s="170"/>
      <c r="F6" s="170"/>
      <c r="G6" s="170"/>
      <c r="H6" s="169" t="s">
        <v>8</v>
      </c>
      <c r="I6" s="170"/>
      <c r="J6" s="170"/>
      <c r="K6" s="169" t="s">
        <v>9</v>
      </c>
      <c r="L6" s="171" t="s">
        <v>10</v>
      </c>
      <c r="M6" s="169" t="s">
        <v>11</v>
      </c>
      <c r="N6" s="172" t="s">
        <v>12</v>
      </c>
      <c r="O6" s="173"/>
      <c r="P6" s="172" t="s">
        <v>13</v>
      </c>
      <c r="Q6" s="173"/>
      <c r="R6" s="174" t="s">
        <v>14</v>
      </c>
      <c r="S6" s="175" t="s">
        <v>15</v>
      </c>
      <c r="T6" s="176" t="s">
        <v>15</v>
      </c>
      <c r="U6" s="177" t="s">
        <v>16</v>
      </c>
      <c r="V6" s="12"/>
      <c r="W6" s="12"/>
    </row>
    <row r="7" spans="1:23" x14ac:dyDescent="0.3">
      <c r="A7" s="170"/>
      <c r="B7" s="170"/>
      <c r="C7" s="170"/>
      <c r="D7" s="170"/>
      <c r="E7" s="170"/>
      <c r="F7" s="170"/>
      <c r="G7" s="170"/>
      <c r="H7" s="169" t="s">
        <v>17</v>
      </c>
      <c r="I7" s="169" t="s">
        <v>18</v>
      </c>
      <c r="J7" s="178" t="s">
        <v>19</v>
      </c>
      <c r="K7" s="170"/>
      <c r="L7" s="179"/>
      <c r="M7" s="170"/>
      <c r="N7" s="180"/>
      <c r="O7" s="180"/>
      <c r="P7" s="180"/>
      <c r="Q7" s="180"/>
      <c r="R7" s="170"/>
      <c r="S7" s="181"/>
      <c r="T7" s="179"/>
      <c r="U7" s="182">
        <f>SUM(U9:U667)</f>
        <v>1099329.7842805623</v>
      </c>
      <c r="V7" s="12"/>
      <c r="W7" s="12"/>
    </row>
    <row r="8" spans="1:23" x14ac:dyDescent="0.3">
      <c r="A8" s="183"/>
      <c r="B8" s="184" t="s">
        <v>1885</v>
      </c>
      <c r="C8" s="184" t="s">
        <v>1886</v>
      </c>
      <c r="D8" s="184" t="s">
        <v>1887</v>
      </c>
      <c r="E8" s="184" t="s">
        <v>1888</v>
      </c>
      <c r="F8" s="184" t="s">
        <v>1889</v>
      </c>
      <c r="G8" s="170"/>
      <c r="H8" s="184" t="s">
        <v>1890</v>
      </c>
      <c r="I8" s="170"/>
      <c r="J8" s="185" t="s">
        <v>1891</v>
      </c>
      <c r="K8" s="186" t="s">
        <v>24</v>
      </c>
      <c r="L8" s="187" t="s">
        <v>10</v>
      </c>
      <c r="M8" s="184" t="s">
        <v>1892</v>
      </c>
      <c r="N8" s="188" t="s">
        <v>1893</v>
      </c>
      <c r="O8" s="189" t="s">
        <v>1894</v>
      </c>
      <c r="P8" s="190" t="s">
        <v>13</v>
      </c>
      <c r="Q8" s="191"/>
      <c r="R8" s="192" t="s">
        <v>25</v>
      </c>
      <c r="S8" s="181"/>
      <c r="T8" s="179"/>
      <c r="U8" s="179" t="s">
        <v>20</v>
      </c>
      <c r="V8" s="193" t="s">
        <v>26</v>
      </c>
      <c r="W8" s="12"/>
    </row>
    <row r="9" spans="1:23" x14ac:dyDescent="0.3">
      <c r="A9" s="183" t="e">
        <f t="array" aca="1" ref="A9:A667" ca="1">(IF(B9:B667&lt;&gt;"", MATCH(B9:B667, _xludf.UNIQUE(B9:B667), 0), ""))</f>
        <v>#NAME?</v>
      </c>
      <c r="B9" s="194" t="s">
        <v>162</v>
      </c>
      <c r="C9" s="170"/>
      <c r="D9" s="194">
        <v>555</v>
      </c>
      <c r="E9" s="194" t="s">
        <v>39</v>
      </c>
      <c r="F9" s="194">
        <v>155</v>
      </c>
      <c r="G9" s="170"/>
      <c r="H9" s="183" t="s">
        <v>1895</v>
      </c>
      <c r="I9" s="170"/>
      <c r="J9" s="46" t="s">
        <v>163</v>
      </c>
      <c r="K9" s="170"/>
      <c r="L9" s="195">
        <v>32.299999999999997</v>
      </c>
      <c r="M9" s="196">
        <v>117</v>
      </c>
      <c r="N9" s="61">
        <v>1</v>
      </c>
      <c r="O9" s="61" t="str">
        <f t="shared" ref="O9:O263" si="0">E9</f>
        <v>grams</v>
      </c>
      <c r="P9" s="197" t="s">
        <v>92</v>
      </c>
      <c r="Q9" s="170"/>
      <c r="R9" s="170"/>
      <c r="S9" s="198">
        <f t="shared" ref="S9:S263" si="1">M9*N9</f>
        <v>117</v>
      </c>
      <c r="T9" s="199" t="str">
        <f t="shared" ref="T9:T263" si="2">CONCATENATE(S9,Q9,P9)</f>
        <v>117pieces</v>
      </c>
      <c r="U9" s="200">
        <f t="shared" ref="U9:U263" si="3">L9*M9</f>
        <v>3779.0999999999995</v>
      </c>
      <c r="V9" s="12"/>
      <c r="W9" s="201" t="e">
        <f t="array" aca="1" ref="W9:W17" ca="1">_xludf.UNIQUE(P9:P667)</f>
        <v>#NAME?</v>
      </c>
    </row>
    <row r="10" spans="1:23" x14ac:dyDescent="0.3">
      <c r="A10" s="183" t="e">
        <f ca="1"/>
        <v>#NAME?</v>
      </c>
      <c r="B10" s="194" t="s">
        <v>225</v>
      </c>
      <c r="C10" s="170"/>
      <c r="D10" s="194" t="s">
        <v>1896</v>
      </c>
      <c r="E10" s="194" t="s">
        <v>39</v>
      </c>
      <c r="F10" s="194">
        <v>500</v>
      </c>
      <c r="G10" s="170"/>
      <c r="H10" s="183" t="s">
        <v>1895</v>
      </c>
      <c r="I10" s="170"/>
      <c r="J10" s="46" t="s">
        <v>226</v>
      </c>
      <c r="K10" s="170"/>
      <c r="L10" s="195">
        <v>160</v>
      </c>
      <c r="M10" s="61">
        <v>3.6</v>
      </c>
      <c r="N10" s="61">
        <v>1</v>
      </c>
      <c r="O10" s="61" t="str">
        <f t="shared" si="0"/>
        <v>grams</v>
      </c>
      <c r="P10" s="61" t="s">
        <v>39</v>
      </c>
      <c r="Q10" s="170"/>
      <c r="R10" s="170"/>
      <c r="S10" s="198">
        <f t="shared" si="1"/>
        <v>3.6</v>
      </c>
      <c r="T10" s="199" t="str">
        <f t="shared" si="2"/>
        <v>3.6grams</v>
      </c>
      <c r="U10" s="200">
        <f t="shared" si="3"/>
        <v>576</v>
      </c>
      <c r="V10" s="12"/>
      <c r="W10" s="12" t="e">
        <f ca="1"/>
        <v>#NAME?</v>
      </c>
    </row>
    <row r="11" spans="1:23" x14ac:dyDescent="0.3">
      <c r="A11" s="183" t="e">
        <f ca="1"/>
        <v>#NAME?</v>
      </c>
      <c r="B11" s="194" t="s">
        <v>295</v>
      </c>
      <c r="C11" s="170"/>
      <c r="D11" s="194" t="str">
        <f ca="1">IFERROR(__xludf.DUMMYFUNCTION("IF(J11="""",""n/a"",IFERROR(SPLIT(J11,""/"")))"),"n/a")</f>
        <v>n/a</v>
      </c>
      <c r="E11" s="170"/>
      <c r="F11" s="170"/>
      <c r="G11" s="170"/>
      <c r="H11" s="183" t="s">
        <v>1897</v>
      </c>
      <c r="I11" s="170"/>
      <c r="J11" s="170"/>
      <c r="K11" s="170"/>
      <c r="L11" s="202">
        <v>5.5E-2</v>
      </c>
      <c r="M11" s="203">
        <v>2000</v>
      </c>
      <c r="N11" s="203">
        <v>1000</v>
      </c>
      <c r="O11" s="170">
        <f t="shared" si="0"/>
        <v>0</v>
      </c>
      <c r="P11" s="61" t="s">
        <v>39</v>
      </c>
      <c r="Q11" s="170"/>
      <c r="R11" s="192" t="str">
        <f>CONCATENATE(N11,P11)</f>
        <v>1000grams</v>
      </c>
      <c r="S11" s="198">
        <f t="shared" si="1"/>
        <v>2000000</v>
      </c>
      <c r="T11" s="199" t="str">
        <f t="shared" si="2"/>
        <v>2000000grams</v>
      </c>
      <c r="U11" s="200">
        <f t="shared" si="3"/>
        <v>110</v>
      </c>
      <c r="V11" s="12"/>
      <c r="W11" s="12" t="e">
        <f ca="1"/>
        <v>#NAME?</v>
      </c>
    </row>
    <row r="12" spans="1:23" x14ac:dyDescent="0.3">
      <c r="A12" s="183" t="e">
        <f ca="1"/>
        <v>#NAME?</v>
      </c>
      <c r="B12" s="194" t="s">
        <v>295</v>
      </c>
      <c r="C12" s="170"/>
      <c r="D12" s="194" t="str">
        <f ca="1">IFERROR(__xludf.DUMMYFUNCTION("IF(J12="""",""n/a"",IFERROR(SPLIT(J12,""/"")))"),"n/a")</f>
        <v>n/a</v>
      </c>
      <c r="E12" s="170"/>
      <c r="F12" s="170"/>
      <c r="G12" s="170"/>
      <c r="H12" s="183" t="s">
        <v>1895</v>
      </c>
      <c r="I12" s="170"/>
      <c r="J12" s="170"/>
      <c r="K12" s="170"/>
      <c r="L12" s="195">
        <v>45</v>
      </c>
      <c r="M12" s="61">
        <v>12</v>
      </c>
      <c r="N12" s="61">
        <v>1</v>
      </c>
      <c r="O12" s="170">
        <f t="shared" si="0"/>
        <v>0</v>
      </c>
      <c r="P12" s="61" t="s">
        <v>39</v>
      </c>
      <c r="Q12" s="170"/>
      <c r="R12" s="170"/>
      <c r="S12" s="198">
        <f t="shared" si="1"/>
        <v>12</v>
      </c>
      <c r="T12" s="199" t="str">
        <f t="shared" si="2"/>
        <v>12grams</v>
      </c>
      <c r="U12" s="200">
        <f t="shared" si="3"/>
        <v>540</v>
      </c>
      <c r="V12" s="12"/>
      <c r="W12" s="12" t="e">
        <f ca="1"/>
        <v>#NAME?</v>
      </c>
    </row>
    <row r="13" spans="1:23" x14ac:dyDescent="0.3">
      <c r="A13" s="183" t="e">
        <f ca="1"/>
        <v>#NAME?</v>
      </c>
      <c r="B13" s="194" t="s">
        <v>121</v>
      </c>
      <c r="C13" s="170"/>
      <c r="D13" s="194" t="s">
        <v>35</v>
      </c>
      <c r="E13" s="194" t="s">
        <v>39</v>
      </c>
      <c r="F13" s="194">
        <v>33</v>
      </c>
      <c r="G13" s="170"/>
      <c r="H13" s="183" t="s">
        <v>1897</v>
      </c>
      <c r="I13" s="170"/>
      <c r="J13" s="46" t="s">
        <v>122</v>
      </c>
      <c r="K13" s="170"/>
      <c r="L13" s="204">
        <v>8.2799999999999994</v>
      </c>
      <c r="M13" s="203">
        <v>180</v>
      </c>
      <c r="N13" s="203">
        <v>1</v>
      </c>
      <c r="O13" s="61" t="str">
        <f t="shared" si="0"/>
        <v>grams</v>
      </c>
      <c r="P13" s="61" t="s">
        <v>92</v>
      </c>
      <c r="Q13" s="170"/>
      <c r="R13" s="192" t="str">
        <f>CONCATENATE(N13,P13)</f>
        <v>1pieces</v>
      </c>
      <c r="S13" s="198">
        <f t="shared" si="1"/>
        <v>180</v>
      </c>
      <c r="T13" s="199" t="str">
        <f t="shared" si="2"/>
        <v>180pieces</v>
      </c>
      <c r="U13" s="200">
        <f t="shared" si="3"/>
        <v>1490.3999999999999</v>
      </c>
      <c r="V13" s="205">
        <f>U13/M13</f>
        <v>8.2799999999999994</v>
      </c>
      <c r="W13" s="62" t="e">
        <f ca="1"/>
        <v>#NAME?</v>
      </c>
    </row>
    <row r="14" spans="1:23" x14ac:dyDescent="0.3">
      <c r="A14" s="183" t="e">
        <f ca="1"/>
        <v>#NAME?</v>
      </c>
      <c r="B14" s="194" t="s">
        <v>121</v>
      </c>
      <c r="C14" s="170"/>
      <c r="D14" s="194" t="s">
        <v>35</v>
      </c>
      <c r="E14" s="194" t="s">
        <v>39</v>
      </c>
      <c r="F14" s="194">
        <v>33</v>
      </c>
      <c r="G14" s="170"/>
      <c r="H14" s="183" t="s">
        <v>1895</v>
      </c>
      <c r="I14" s="170"/>
      <c r="J14" s="46" t="s">
        <v>122</v>
      </c>
      <c r="K14" s="170"/>
      <c r="L14" s="195">
        <v>8.2799999999999994</v>
      </c>
      <c r="M14" s="61">
        <v>141</v>
      </c>
      <c r="N14" s="61">
        <v>1</v>
      </c>
      <c r="O14" s="61" t="str">
        <f t="shared" si="0"/>
        <v>grams</v>
      </c>
      <c r="P14" s="61" t="s">
        <v>92</v>
      </c>
      <c r="Q14" s="170"/>
      <c r="R14" s="170"/>
      <c r="S14" s="198">
        <f t="shared" si="1"/>
        <v>141</v>
      </c>
      <c r="T14" s="199" t="str">
        <f t="shared" si="2"/>
        <v>141pieces</v>
      </c>
      <c r="U14" s="200">
        <f t="shared" si="3"/>
        <v>1167.48</v>
      </c>
      <c r="V14" s="12"/>
      <c r="W14" s="12" t="e">
        <f ca="1"/>
        <v>#NAME?</v>
      </c>
    </row>
    <row r="15" spans="1:23" x14ac:dyDescent="0.3">
      <c r="A15" s="183" t="e">
        <f ca="1"/>
        <v>#NAME?</v>
      </c>
      <c r="B15" s="194" t="s">
        <v>121</v>
      </c>
      <c r="C15" s="170"/>
      <c r="D15" s="194" t="str">
        <f ca="1">IFERROR(__xludf.DUMMYFUNCTION("IF(J15="""",""n/a"",IFERROR(SPLIT(J15,""/"")))"),"n/a")</f>
        <v>n/a</v>
      </c>
      <c r="E15" s="170"/>
      <c r="F15" s="170"/>
      <c r="G15" s="170"/>
      <c r="H15" s="206" t="s">
        <v>1898</v>
      </c>
      <c r="I15" s="170"/>
      <c r="J15" s="170"/>
      <c r="K15" s="170"/>
      <c r="L15" s="197">
        <v>9.1999999999999993</v>
      </c>
      <c r="M15" s="207">
        <v>157</v>
      </c>
      <c r="N15" s="208">
        <v>1</v>
      </c>
      <c r="O15" s="170">
        <f t="shared" si="0"/>
        <v>0</v>
      </c>
      <c r="P15" s="209" t="s">
        <v>92</v>
      </c>
      <c r="Q15" s="170"/>
      <c r="R15" s="170"/>
      <c r="S15" s="198">
        <f t="shared" si="1"/>
        <v>157</v>
      </c>
      <c r="T15" s="199" t="str">
        <f t="shared" si="2"/>
        <v>157pieces</v>
      </c>
      <c r="U15" s="200">
        <f t="shared" si="3"/>
        <v>1444.3999999999999</v>
      </c>
      <c r="V15" s="12"/>
      <c r="W15" s="12" t="e">
        <f ca="1"/>
        <v>#NAME?</v>
      </c>
    </row>
    <row r="16" spans="1:23" x14ac:dyDescent="0.3">
      <c r="A16" s="183" t="e">
        <f ca="1"/>
        <v>#NAME?</v>
      </c>
      <c r="B16" s="194" t="s">
        <v>34</v>
      </c>
      <c r="C16" s="194" t="s">
        <v>28</v>
      </c>
      <c r="D16" s="194" t="s">
        <v>1899</v>
      </c>
      <c r="E16" s="194" t="s">
        <v>39</v>
      </c>
      <c r="F16" s="194">
        <v>250</v>
      </c>
      <c r="G16" s="170"/>
      <c r="H16" s="183" t="s">
        <v>1897</v>
      </c>
      <c r="I16" s="170"/>
      <c r="J16" s="46" t="s">
        <v>484</v>
      </c>
      <c r="K16" s="170"/>
      <c r="L16" s="195">
        <v>0.2384</v>
      </c>
      <c r="M16" s="203">
        <v>11500</v>
      </c>
      <c r="N16" s="202">
        <v>250</v>
      </c>
      <c r="O16" s="61" t="str">
        <f t="shared" si="0"/>
        <v>grams</v>
      </c>
      <c r="P16" s="197" t="s">
        <v>39</v>
      </c>
      <c r="Q16" s="61" t="s">
        <v>33</v>
      </c>
      <c r="R16" s="192" t="str">
        <f>CONCATENATE(N16,P16)</f>
        <v>250grams</v>
      </c>
      <c r="S16" s="198">
        <f t="shared" si="1"/>
        <v>2875000</v>
      </c>
      <c r="T16" s="199" t="str">
        <f t="shared" si="2"/>
        <v>2875000 grams</v>
      </c>
      <c r="U16" s="200">
        <f t="shared" si="3"/>
        <v>2741.6</v>
      </c>
      <c r="V16" s="205">
        <f>U16/M16</f>
        <v>0.2384</v>
      </c>
      <c r="W16" s="62" t="e">
        <f ca="1"/>
        <v>#NAME?</v>
      </c>
    </row>
    <row r="17" spans="1:23" x14ac:dyDescent="0.3">
      <c r="A17" s="183" t="e">
        <f ca="1"/>
        <v>#NAME?</v>
      </c>
      <c r="B17" s="194" t="s">
        <v>34</v>
      </c>
      <c r="C17" s="170"/>
      <c r="D17" s="194" t="s">
        <v>35</v>
      </c>
      <c r="E17" s="194" t="s">
        <v>32</v>
      </c>
      <c r="F17" s="194">
        <v>250</v>
      </c>
      <c r="G17" s="170"/>
      <c r="H17" s="183" t="s">
        <v>1895</v>
      </c>
      <c r="I17" s="170"/>
      <c r="J17" s="46" t="s">
        <v>35</v>
      </c>
      <c r="K17" s="170"/>
      <c r="L17" s="195">
        <v>61.32</v>
      </c>
      <c r="M17" s="61">
        <v>30</v>
      </c>
      <c r="N17" s="61">
        <v>250</v>
      </c>
      <c r="O17" s="61" t="str">
        <f t="shared" si="0"/>
        <v>ml</v>
      </c>
      <c r="P17" s="61" t="s">
        <v>32</v>
      </c>
      <c r="Q17" s="170"/>
      <c r="R17" s="170"/>
      <c r="S17" s="198">
        <f t="shared" si="1"/>
        <v>7500</v>
      </c>
      <c r="T17" s="199" t="str">
        <f t="shared" si="2"/>
        <v>7500ml</v>
      </c>
      <c r="U17" s="200">
        <f t="shared" si="3"/>
        <v>1839.6</v>
      </c>
      <c r="V17" s="12"/>
      <c r="W17" s="12" t="e">
        <f ca="1"/>
        <v>#NAME?</v>
      </c>
    </row>
    <row r="18" spans="1:23" x14ac:dyDescent="0.3">
      <c r="A18" s="183" t="e">
        <f ca="1"/>
        <v>#NAME?</v>
      </c>
      <c r="B18" s="194" t="s">
        <v>34</v>
      </c>
      <c r="C18" s="170"/>
      <c r="D18" s="194" t="s">
        <v>36</v>
      </c>
      <c r="E18" s="194" t="s">
        <v>32</v>
      </c>
      <c r="F18" s="194">
        <v>250</v>
      </c>
      <c r="G18" s="170"/>
      <c r="H18" s="183" t="s">
        <v>1895</v>
      </c>
      <c r="I18" s="170"/>
      <c r="J18" s="46" t="s">
        <v>36</v>
      </c>
      <c r="K18" s="170"/>
      <c r="L18" s="195">
        <v>46.58</v>
      </c>
      <c r="M18" s="61">
        <v>22</v>
      </c>
      <c r="N18" s="61">
        <v>250</v>
      </c>
      <c r="O18" s="61" t="str">
        <f t="shared" si="0"/>
        <v>ml</v>
      </c>
      <c r="P18" s="61" t="s">
        <v>32</v>
      </c>
      <c r="Q18" s="170"/>
      <c r="R18" s="170"/>
      <c r="S18" s="198">
        <f t="shared" si="1"/>
        <v>5500</v>
      </c>
      <c r="T18" s="199" t="str">
        <f t="shared" si="2"/>
        <v>5500ml</v>
      </c>
      <c r="U18" s="200">
        <f t="shared" si="3"/>
        <v>1024.76</v>
      </c>
      <c r="V18" s="12"/>
      <c r="W18" s="12"/>
    </row>
    <row r="19" spans="1:23" x14ac:dyDescent="0.3">
      <c r="A19" s="183" t="e">
        <f ca="1"/>
        <v>#NAME?</v>
      </c>
      <c r="B19" s="194" t="s">
        <v>34</v>
      </c>
      <c r="C19" s="194" t="s">
        <v>1900</v>
      </c>
      <c r="D19" s="194" t="s">
        <v>35</v>
      </c>
      <c r="E19" s="194" t="s">
        <v>32</v>
      </c>
      <c r="F19" s="194">
        <v>250</v>
      </c>
      <c r="G19" s="170"/>
      <c r="H19" s="206" t="s">
        <v>1898</v>
      </c>
      <c r="I19" s="170"/>
      <c r="J19" s="46" t="s">
        <v>485</v>
      </c>
      <c r="K19" s="170"/>
      <c r="L19" s="197">
        <v>0.24528</v>
      </c>
      <c r="M19" s="208">
        <v>6500</v>
      </c>
      <c r="N19" s="208">
        <v>250</v>
      </c>
      <c r="O19" s="61" t="str">
        <f t="shared" si="0"/>
        <v>ml</v>
      </c>
      <c r="P19" s="61" t="s">
        <v>32</v>
      </c>
      <c r="Q19" s="170"/>
      <c r="R19" s="170"/>
      <c r="S19" s="198">
        <f t="shared" si="1"/>
        <v>1625000</v>
      </c>
      <c r="T19" s="199" t="str">
        <f t="shared" si="2"/>
        <v>1625000ml</v>
      </c>
      <c r="U19" s="200">
        <f t="shared" si="3"/>
        <v>1594.32</v>
      </c>
      <c r="V19" s="12"/>
      <c r="W19" s="12"/>
    </row>
    <row r="20" spans="1:23" x14ac:dyDescent="0.3">
      <c r="A20" s="183" t="e">
        <f ca="1"/>
        <v>#NAME?</v>
      </c>
      <c r="B20" s="194" t="s">
        <v>227</v>
      </c>
      <c r="C20" s="170"/>
      <c r="D20" s="194" t="s">
        <v>848</v>
      </c>
      <c r="E20" s="194" t="s">
        <v>32</v>
      </c>
      <c r="F20" s="194">
        <v>3500</v>
      </c>
      <c r="G20" s="170"/>
      <c r="H20" s="183" t="s">
        <v>1895</v>
      </c>
      <c r="I20" s="170"/>
      <c r="J20" s="46" t="s">
        <v>228</v>
      </c>
      <c r="K20" s="170"/>
      <c r="L20" s="195">
        <v>412.28</v>
      </c>
      <c r="M20" s="61">
        <v>8</v>
      </c>
      <c r="N20" s="61">
        <v>1</v>
      </c>
      <c r="O20" s="61" t="str">
        <f t="shared" si="0"/>
        <v>ml</v>
      </c>
      <c r="P20" s="61" t="s">
        <v>200</v>
      </c>
      <c r="Q20" s="170"/>
      <c r="R20" s="170"/>
      <c r="S20" s="198">
        <f t="shared" si="1"/>
        <v>8</v>
      </c>
      <c r="T20" s="199" t="str">
        <f t="shared" si="2"/>
        <v>8gal</v>
      </c>
      <c r="U20" s="200">
        <f t="shared" si="3"/>
        <v>3298.24</v>
      </c>
      <c r="V20" s="12"/>
      <c r="W20" s="12"/>
    </row>
    <row r="21" spans="1:23" x14ac:dyDescent="0.3">
      <c r="A21" s="183" t="e">
        <f ca="1"/>
        <v>#NAME?</v>
      </c>
      <c r="B21" s="194" t="s">
        <v>227</v>
      </c>
      <c r="C21" s="170"/>
      <c r="D21" s="194" t="str">
        <f ca="1">IFERROR(__xludf.DUMMYFUNCTION("IF(J21="""",""n/a"",IFERROR(SPLIT(J21,""/"")))"),"n/a")</f>
        <v>n/a</v>
      </c>
      <c r="E21" s="170"/>
      <c r="F21" s="170"/>
      <c r="G21" s="170"/>
      <c r="H21" s="206" t="s">
        <v>1898</v>
      </c>
      <c r="I21" s="170"/>
      <c r="J21" s="170"/>
      <c r="K21" s="170"/>
      <c r="L21" s="197">
        <v>420.6</v>
      </c>
      <c r="M21" s="208">
        <v>3</v>
      </c>
      <c r="N21" s="208">
        <v>1</v>
      </c>
      <c r="O21" s="170">
        <f t="shared" si="0"/>
        <v>0</v>
      </c>
      <c r="P21" s="61" t="s">
        <v>200</v>
      </c>
      <c r="Q21" s="170"/>
      <c r="R21" s="170"/>
      <c r="S21" s="198">
        <f t="shared" si="1"/>
        <v>3</v>
      </c>
      <c r="T21" s="199" t="str">
        <f t="shared" si="2"/>
        <v>3gal</v>
      </c>
      <c r="U21" s="200">
        <f t="shared" si="3"/>
        <v>1261.8000000000002</v>
      </c>
      <c r="V21" s="12"/>
      <c r="W21" s="12"/>
    </row>
    <row r="22" spans="1:23" x14ac:dyDescent="0.3">
      <c r="A22" s="183" t="e">
        <f ca="1"/>
        <v>#NAME?</v>
      </c>
      <c r="B22" s="194" t="s">
        <v>37</v>
      </c>
      <c r="C22" s="170"/>
      <c r="D22" s="194" t="s">
        <v>40</v>
      </c>
      <c r="E22" s="194" t="s">
        <v>39</v>
      </c>
      <c r="F22" s="194">
        <v>1000</v>
      </c>
      <c r="G22" s="170"/>
      <c r="H22" s="183" t="s">
        <v>1897</v>
      </c>
      <c r="I22" s="170"/>
      <c r="J22" s="46" t="s">
        <v>486</v>
      </c>
      <c r="K22" s="170"/>
      <c r="L22" s="195">
        <v>0.08</v>
      </c>
      <c r="M22" s="203">
        <v>5000</v>
      </c>
      <c r="N22" s="203">
        <v>1000</v>
      </c>
      <c r="O22" s="61" t="str">
        <f t="shared" si="0"/>
        <v>grams</v>
      </c>
      <c r="P22" s="61" t="s">
        <v>39</v>
      </c>
      <c r="Q22" s="61" t="s">
        <v>33</v>
      </c>
      <c r="R22" s="192" t="str">
        <f>CONCATENATE(N22,P22)</f>
        <v>1000grams</v>
      </c>
      <c r="S22" s="198">
        <f t="shared" si="1"/>
        <v>5000000</v>
      </c>
      <c r="T22" s="199" t="str">
        <f t="shared" si="2"/>
        <v>5000000 grams</v>
      </c>
      <c r="U22" s="200">
        <f t="shared" si="3"/>
        <v>400</v>
      </c>
      <c r="V22" s="205">
        <f>U22/M22</f>
        <v>0.08</v>
      </c>
      <c r="W22" s="62"/>
    </row>
    <row r="23" spans="1:23" x14ac:dyDescent="0.3">
      <c r="A23" s="183" t="e">
        <f ca="1"/>
        <v>#NAME?</v>
      </c>
      <c r="B23" s="194" t="s">
        <v>37</v>
      </c>
      <c r="C23" s="170"/>
      <c r="D23" s="194" t="str">
        <f ca="1">IFERROR(__xludf.DUMMYFUNCTION("IF(J23="""",""n/a"",IFERROR(SPLIT(J23,""/"")))"),"White Pigeon")</f>
        <v>White Pigeon</v>
      </c>
      <c r="E23" s="194" t="s">
        <v>39</v>
      </c>
      <c r="F23" s="194">
        <v>1000</v>
      </c>
      <c r="G23" s="170"/>
      <c r="H23" s="183" t="s">
        <v>1895</v>
      </c>
      <c r="I23" s="170"/>
      <c r="J23" s="46" t="s">
        <v>40</v>
      </c>
      <c r="K23" s="170"/>
      <c r="L23" s="195">
        <v>59.6</v>
      </c>
      <c r="M23" s="61">
        <v>22</v>
      </c>
      <c r="N23" s="61">
        <v>1000</v>
      </c>
      <c r="O23" s="61" t="str">
        <f t="shared" si="0"/>
        <v>grams</v>
      </c>
      <c r="P23" s="61" t="s">
        <v>39</v>
      </c>
      <c r="Q23" s="170"/>
      <c r="R23" s="170"/>
      <c r="S23" s="198">
        <f t="shared" si="1"/>
        <v>22000</v>
      </c>
      <c r="T23" s="199" t="str">
        <f t="shared" si="2"/>
        <v>22000grams</v>
      </c>
      <c r="U23" s="200">
        <f t="shared" si="3"/>
        <v>1311.2</v>
      </c>
      <c r="V23" s="12"/>
      <c r="W23" s="12"/>
    </row>
    <row r="24" spans="1:23" x14ac:dyDescent="0.3">
      <c r="A24" s="183" t="e">
        <f ca="1"/>
        <v>#NAME?</v>
      </c>
      <c r="B24" s="194" t="s">
        <v>37</v>
      </c>
      <c r="C24" s="170"/>
      <c r="D24" s="194" t="str">
        <f ca="1">IFERROR(__xludf.DUMMYFUNCTION("IF(J24="""",""n/a"",IFERROR(SPLIT(J24,""/"")))"),"Maya")</f>
        <v>Maya</v>
      </c>
      <c r="E24" s="194" t="s">
        <v>39</v>
      </c>
      <c r="F24" s="194">
        <v>400</v>
      </c>
      <c r="G24" s="170"/>
      <c r="H24" s="183" t="s">
        <v>1895</v>
      </c>
      <c r="I24" s="170"/>
      <c r="J24" s="46" t="s">
        <v>38</v>
      </c>
      <c r="K24" s="170"/>
      <c r="L24" s="195">
        <v>45.54</v>
      </c>
      <c r="M24" s="61">
        <v>2</v>
      </c>
      <c r="N24" s="61">
        <v>400</v>
      </c>
      <c r="O24" s="61" t="str">
        <f t="shared" si="0"/>
        <v>grams</v>
      </c>
      <c r="P24" s="61" t="s">
        <v>39</v>
      </c>
      <c r="Q24" s="170"/>
      <c r="R24" s="170"/>
      <c r="S24" s="198">
        <f t="shared" si="1"/>
        <v>800</v>
      </c>
      <c r="T24" s="199" t="str">
        <f t="shared" si="2"/>
        <v>800grams</v>
      </c>
      <c r="U24" s="200">
        <f t="shared" si="3"/>
        <v>91.08</v>
      </c>
      <c r="V24" s="12"/>
      <c r="W24" s="12"/>
    </row>
    <row r="25" spans="1:23" x14ac:dyDescent="0.3">
      <c r="A25" s="183" t="e">
        <f ca="1"/>
        <v>#NAME?</v>
      </c>
      <c r="B25" s="194" t="s">
        <v>37</v>
      </c>
      <c r="C25" s="170"/>
      <c r="D25" s="194" t="s">
        <v>38</v>
      </c>
      <c r="E25" s="194" t="s">
        <v>39</v>
      </c>
      <c r="F25" s="194">
        <v>500</v>
      </c>
      <c r="G25" s="170"/>
      <c r="H25" s="206" t="s">
        <v>1898</v>
      </c>
      <c r="I25" s="170"/>
      <c r="J25" s="46" t="s">
        <v>487</v>
      </c>
      <c r="K25" s="170"/>
      <c r="L25" s="197">
        <v>0.17399999999999999</v>
      </c>
      <c r="M25" s="207">
        <v>4500</v>
      </c>
      <c r="N25" s="208">
        <v>500</v>
      </c>
      <c r="O25" s="61" t="str">
        <f t="shared" si="0"/>
        <v>grams</v>
      </c>
      <c r="P25" s="61" t="s">
        <v>39</v>
      </c>
      <c r="Q25" s="170"/>
      <c r="R25" s="170"/>
      <c r="S25" s="198">
        <f t="shared" si="1"/>
        <v>2250000</v>
      </c>
      <c r="T25" s="199" t="str">
        <f t="shared" si="2"/>
        <v>2250000grams</v>
      </c>
      <c r="U25" s="200">
        <f t="shared" si="3"/>
        <v>783</v>
      </c>
      <c r="V25" s="12"/>
      <c r="W25" s="12"/>
    </row>
    <row r="26" spans="1:23" x14ac:dyDescent="0.3">
      <c r="A26" s="183" t="e">
        <f ca="1"/>
        <v>#NAME?</v>
      </c>
      <c r="B26" s="194" t="s">
        <v>37</v>
      </c>
      <c r="C26" s="170"/>
      <c r="D26" s="194" t="str">
        <f ca="1">IFERROR(__xludf.DUMMYFUNCTION("IF(J26="""",""n/a"",IFERROR(SPLIT(J26,""/"")))"),"No Brand")</f>
        <v>No Brand</v>
      </c>
      <c r="E26" s="194" t="str">
        <f ca="1">IFERROR(__xludf.DUMMYFUNCTION("""COMPUTED_VALUE"""),"pack")</f>
        <v>pack</v>
      </c>
      <c r="F26" s="194" t="str">
        <f ca="1">IFERROR(__xludf.DUMMYFUNCTION("""COMPUTED_VALUE"""),"1000grams")</f>
        <v>1000grams</v>
      </c>
      <c r="G26" s="170"/>
      <c r="H26" s="206" t="s">
        <v>1898</v>
      </c>
      <c r="I26" s="170"/>
      <c r="J26" s="46" t="s">
        <v>488</v>
      </c>
      <c r="K26" s="170"/>
      <c r="L26" s="197">
        <v>4.8000000000000001E-2</v>
      </c>
      <c r="M26" s="208">
        <v>750</v>
      </c>
      <c r="N26" s="208">
        <v>1000</v>
      </c>
      <c r="O26" s="61" t="str">
        <f t="shared" ca="1" si="0"/>
        <v>pack</v>
      </c>
      <c r="P26" s="61" t="s">
        <v>39</v>
      </c>
      <c r="Q26" s="170"/>
      <c r="R26" s="170"/>
      <c r="S26" s="198">
        <f t="shared" si="1"/>
        <v>750000</v>
      </c>
      <c r="T26" s="199" t="str">
        <f t="shared" si="2"/>
        <v>750000grams</v>
      </c>
      <c r="U26" s="200">
        <f t="shared" si="3"/>
        <v>36</v>
      </c>
      <c r="V26" s="12"/>
      <c r="W26" s="12"/>
    </row>
    <row r="27" spans="1:23" x14ac:dyDescent="0.3">
      <c r="A27" s="183" t="e">
        <f ca="1"/>
        <v>#NAME?</v>
      </c>
      <c r="B27" s="194" t="s">
        <v>42</v>
      </c>
      <c r="C27" s="170"/>
      <c r="D27" s="194" t="str">
        <f ca="1">IFERROR(__xludf.DUMMYFUNCTION("IF(J27="""",""n/a"",IFERROR(SPLIT(J27,""/"")))"),"Penguin")</f>
        <v>Penguin</v>
      </c>
      <c r="E27" s="170"/>
      <c r="F27" s="170"/>
      <c r="G27" s="170"/>
      <c r="H27" s="183" t="s">
        <v>1895</v>
      </c>
      <c r="I27" s="170"/>
      <c r="J27" s="46" t="s">
        <v>43</v>
      </c>
      <c r="K27" s="170"/>
      <c r="L27" s="195">
        <v>48</v>
      </c>
      <c r="M27" s="61">
        <v>26</v>
      </c>
      <c r="N27" s="61">
        <v>1000</v>
      </c>
      <c r="O27" s="170">
        <f t="shared" si="0"/>
        <v>0</v>
      </c>
      <c r="P27" s="61" t="s">
        <v>39</v>
      </c>
      <c r="Q27" s="170"/>
      <c r="R27" s="170"/>
      <c r="S27" s="198">
        <f t="shared" si="1"/>
        <v>26000</v>
      </c>
      <c r="T27" s="199" t="str">
        <f t="shared" si="2"/>
        <v>26000grams</v>
      </c>
      <c r="U27" s="200">
        <f t="shared" si="3"/>
        <v>1248</v>
      </c>
      <c r="V27" s="12"/>
      <c r="W27" s="12"/>
    </row>
    <row r="28" spans="1:23" x14ac:dyDescent="0.3">
      <c r="A28" s="183" t="e">
        <f ca="1"/>
        <v>#NAME?</v>
      </c>
      <c r="B28" s="194" t="s">
        <v>230</v>
      </c>
      <c r="C28" s="170"/>
      <c r="D28" s="194" t="s">
        <v>1901</v>
      </c>
      <c r="E28" s="194" t="s">
        <v>39</v>
      </c>
      <c r="F28" s="194">
        <v>1000</v>
      </c>
      <c r="G28" s="170"/>
      <c r="H28" s="183" t="s">
        <v>1895</v>
      </c>
      <c r="I28" s="170"/>
      <c r="J28" s="46" t="s">
        <v>51</v>
      </c>
      <c r="K28" s="170"/>
      <c r="L28" s="195">
        <v>650</v>
      </c>
      <c r="M28" s="61">
        <v>0.25</v>
      </c>
      <c r="N28" s="61">
        <v>1</v>
      </c>
      <c r="O28" s="61" t="str">
        <f t="shared" si="0"/>
        <v>grams</v>
      </c>
      <c r="P28" s="61" t="s">
        <v>39</v>
      </c>
      <c r="Q28" s="170"/>
      <c r="R28" s="170"/>
      <c r="S28" s="198">
        <f t="shared" si="1"/>
        <v>0.25</v>
      </c>
      <c r="T28" s="199" t="str">
        <f t="shared" si="2"/>
        <v>0.25grams</v>
      </c>
      <c r="U28" s="200">
        <f t="shared" si="3"/>
        <v>162.5</v>
      </c>
      <c r="V28" s="12"/>
      <c r="W28" s="12"/>
    </row>
    <row r="29" spans="1:23" x14ac:dyDescent="0.3">
      <c r="A29" s="183" t="e">
        <f ca="1"/>
        <v>#NAME?</v>
      </c>
      <c r="B29" s="194" t="s">
        <v>489</v>
      </c>
      <c r="C29" s="170"/>
      <c r="D29" s="194" t="str">
        <f ca="1">IFERROR(__xludf.DUMMYFUNCTION("IF(J29="""",""n/a"",IFERROR(SPLIT(J29,""/"")))"),"La Marina")</f>
        <v>La Marina</v>
      </c>
      <c r="E29" s="194" t="str">
        <f ca="1">IFERROR(__xludf.DUMMYFUNCTION("""COMPUTED_VALUE"""),"bottle")</f>
        <v>bottle</v>
      </c>
      <c r="F29" s="194" t="str">
        <f ca="1">IFERROR(__xludf.DUMMYFUNCTION("""COMPUTED_VALUE"""),"340grams")</f>
        <v>340grams</v>
      </c>
      <c r="G29" s="170"/>
      <c r="H29" s="183" t="s">
        <v>1897</v>
      </c>
      <c r="I29" s="170"/>
      <c r="J29" s="46" t="s">
        <v>490</v>
      </c>
      <c r="K29" s="170"/>
      <c r="L29" s="195">
        <v>8.8235294117647065E-2</v>
      </c>
      <c r="M29" s="210">
        <v>1020</v>
      </c>
      <c r="N29" s="203">
        <v>340</v>
      </c>
      <c r="O29" s="61" t="str">
        <f t="shared" ca="1" si="0"/>
        <v>bottle</v>
      </c>
      <c r="P29" s="61" t="s">
        <v>39</v>
      </c>
      <c r="Q29" s="170"/>
      <c r="R29" s="192" t="str">
        <f>CONCATENATE(N29,P29)</f>
        <v>340grams</v>
      </c>
      <c r="S29" s="198">
        <f t="shared" si="1"/>
        <v>346800</v>
      </c>
      <c r="T29" s="199" t="str">
        <f t="shared" si="2"/>
        <v>346800grams</v>
      </c>
      <c r="U29" s="200">
        <f t="shared" si="3"/>
        <v>90</v>
      </c>
      <c r="V29" s="205">
        <f>U29/M29</f>
        <v>8.8235294117647065E-2</v>
      </c>
      <c r="W29" s="62"/>
    </row>
    <row r="30" spans="1:23" x14ac:dyDescent="0.3">
      <c r="A30" s="183" t="e">
        <f ca="1"/>
        <v>#NAME?</v>
      </c>
      <c r="B30" s="194" t="s">
        <v>491</v>
      </c>
      <c r="C30" s="170"/>
      <c r="D30" s="194" t="str">
        <f ca="1">IFERROR(__xludf.DUMMYFUNCTION("IF(J30="""",""n/a"",IFERROR(SPLIT(J30,""/"")))"),"n/a")</f>
        <v>n/a</v>
      </c>
      <c r="E30" s="170"/>
      <c r="F30" s="170"/>
      <c r="G30" s="170"/>
      <c r="H30" s="206" t="s">
        <v>1898</v>
      </c>
      <c r="I30" s="170"/>
      <c r="J30" s="170"/>
      <c r="K30" s="170"/>
      <c r="L30" s="197">
        <v>0.17241379310344829</v>
      </c>
      <c r="M30" s="207">
        <v>1450</v>
      </c>
      <c r="N30" s="208">
        <v>290</v>
      </c>
      <c r="O30" s="170">
        <f t="shared" si="0"/>
        <v>0</v>
      </c>
      <c r="P30" s="61" t="s">
        <v>32</v>
      </c>
      <c r="Q30" s="170"/>
      <c r="R30" s="170"/>
      <c r="S30" s="198">
        <f t="shared" si="1"/>
        <v>420500</v>
      </c>
      <c r="T30" s="199" t="str">
        <f t="shared" si="2"/>
        <v>420500ml</v>
      </c>
      <c r="U30" s="200">
        <f t="shared" si="3"/>
        <v>250.00000000000003</v>
      </c>
      <c r="V30" s="12"/>
      <c r="W30" s="12"/>
    </row>
    <row r="31" spans="1:23" x14ac:dyDescent="0.3">
      <c r="A31" s="183" t="e">
        <f ca="1"/>
        <v>#NAME?</v>
      </c>
      <c r="B31" s="194" t="s">
        <v>44</v>
      </c>
      <c r="C31" s="170"/>
      <c r="D31" s="194" t="str">
        <f ca="1">IFERROR(__xludf.DUMMYFUNCTION("IF(J31="""",""n/a"",IFERROR(SPLIT(J31,""/"")))"),"Calumet")</f>
        <v>Calumet</v>
      </c>
      <c r="E31" s="194" t="s">
        <v>39</v>
      </c>
      <c r="F31" s="194">
        <v>1000</v>
      </c>
      <c r="G31" s="170"/>
      <c r="H31" s="183" t="s">
        <v>1895</v>
      </c>
      <c r="I31" s="170"/>
      <c r="J31" s="46" t="s">
        <v>45</v>
      </c>
      <c r="K31" s="170"/>
      <c r="L31" s="195">
        <v>208</v>
      </c>
      <c r="M31" s="61">
        <v>2</v>
      </c>
      <c r="N31" s="61">
        <v>1000</v>
      </c>
      <c r="O31" s="61" t="str">
        <f t="shared" si="0"/>
        <v>grams</v>
      </c>
      <c r="P31" s="61" t="s">
        <v>39</v>
      </c>
      <c r="Q31" s="170"/>
      <c r="R31" s="170"/>
      <c r="S31" s="198">
        <f t="shared" si="1"/>
        <v>2000</v>
      </c>
      <c r="T31" s="199" t="str">
        <f t="shared" si="2"/>
        <v>2000grams</v>
      </c>
      <c r="U31" s="200">
        <f t="shared" si="3"/>
        <v>416</v>
      </c>
      <c r="V31" s="12"/>
      <c r="W31" s="12"/>
    </row>
    <row r="32" spans="1:23" x14ac:dyDescent="0.3">
      <c r="A32" s="183" t="e">
        <f ca="1"/>
        <v>#NAME?</v>
      </c>
      <c r="B32" s="194" t="s">
        <v>46</v>
      </c>
      <c r="C32" s="170"/>
      <c r="D32" s="194" t="str">
        <f ca="1">IFERROR(__xludf.DUMMYFUNCTION("IF(J32="""",""n/a"",IFERROR(SPLIT(J32,""/"")))"),"Queen")</f>
        <v>Queen</v>
      </c>
      <c r="E32" s="194" t="s">
        <v>39</v>
      </c>
      <c r="F32" s="194">
        <v>250</v>
      </c>
      <c r="G32" s="170"/>
      <c r="H32" s="183" t="s">
        <v>1895</v>
      </c>
      <c r="I32" s="170"/>
      <c r="J32" s="46" t="s">
        <v>47</v>
      </c>
      <c r="K32" s="170"/>
      <c r="L32" s="195">
        <v>32.1</v>
      </c>
      <c r="M32" s="61">
        <v>2</v>
      </c>
      <c r="N32" s="61">
        <v>250</v>
      </c>
      <c r="O32" s="61" t="str">
        <f t="shared" si="0"/>
        <v>grams</v>
      </c>
      <c r="P32" s="61" t="s">
        <v>39</v>
      </c>
      <c r="Q32" s="170"/>
      <c r="R32" s="170"/>
      <c r="S32" s="198">
        <f t="shared" si="1"/>
        <v>500</v>
      </c>
      <c r="T32" s="199" t="str">
        <f t="shared" si="2"/>
        <v>500grams</v>
      </c>
      <c r="U32" s="200">
        <f t="shared" si="3"/>
        <v>64.2</v>
      </c>
      <c r="V32" s="12"/>
      <c r="W32" s="12"/>
    </row>
    <row r="33" spans="1:23" x14ac:dyDescent="0.3">
      <c r="A33" s="183" t="e">
        <f ca="1"/>
        <v>#NAME?</v>
      </c>
      <c r="B33" s="194" t="s">
        <v>231</v>
      </c>
      <c r="C33" s="170"/>
      <c r="D33" s="194" t="str">
        <f ca="1">IFERROR(__xludf.DUMMYFUNCTION("IF(J33="""",""n/a"",IFERROR(SPLIT(J33,""/"")))"),"Filippo Berio")</f>
        <v>Filippo Berio</v>
      </c>
      <c r="E33" s="194" t="str">
        <f ca="1">IFERROR(__xludf.DUMMYFUNCTION("""COMPUTED_VALUE"""),"bottle")</f>
        <v>bottle</v>
      </c>
      <c r="F33" s="194" t="str">
        <f ca="1">IFERROR(__xludf.DUMMYFUNCTION("""COMPUTED_VALUE"""),"330ml")</f>
        <v>330ml</v>
      </c>
      <c r="G33" s="170"/>
      <c r="H33" s="183" t="s">
        <v>1895</v>
      </c>
      <c r="I33" s="170"/>
      <c r="J33" s="46" t="s">
        <v>232</v>
      </c>
      <c r="K33" s="170"/>
      <c r="L33" s="195">
        <v>255</v>
      </c>
      <c r="M33" s="61">
        <v>1</v>
      </c>
      <c r="N33" s="61">
        <v>1</v>
      </c>
      <c r="O33" s="61" t="str">
        <f t="shared" ca="1" si="0"/>
        <v>bottle</v>
      </c>
      <c r="P33" s="61" t="s">
        <v>32</v>
      </c>
      <c r="Q33" s="170"/>
      <c r="R33" s="170"/>
      <c r="S33" s="198">
        <f t="shared" si="1"/>
        <v>1</v>
      </c>
      <c r="T33" s="199" t="str">
        <f t="shared" si="2"/>
        <v>1ml</v>
      </c>
      <c r="U33" s="200">
        <f t="shared" si="3"/>
        <v>255</v>
      </c>
      <c r="V33" s="12"/>
      <c r="W33" s="12"/>
    </row>
    <row r="34" spans="1:23" x14ac:dyDescent="0.3">
      <c r="A34" s="183" t="e">
        <f ca="1"/>
        <v>#NAME?</v>
      </c>
      <c r="B34" s="194" t="s">
        <v>492</v>
      </c>
      <c r="C34" s="170"/>
      <c r="D34" s="194" t="str">
        <f ca="1">IFERROR(__xludf.DUMMYFUNCTION("IF(J34="""",""n/a"",IFERROR(SPLIT(J34,""/"")))"),"Indicate ave weight")</f>
        <v>Indicate ave weight</v>
      </c>
      <c r="E34" s="194" t="str">
        <f ca="1">IFERROR(__xludf.DUMMYFUNCTION("""COMPUTED_VALUE"""),"piece")</f>
        <v>piece</v>
      </c>
      <c r="F34" s="170"/>
      <c r="G34" s="170"/>
      <c r="H34" s="183" t="s">
        <v>1897</v>
      </c>
      <c r="I34" s="170"/>
      <c r="J34" s="211" t="s">
        <v>297</v>
      </c>
      <c r="K34" s="170"/>
      <c r="L34" s="202">
        <v>0.26800000000000002</v>
      </c>
      <c r="M34" s="203">
        <v>10000</v>
      </c>
      <c r="N34" s="203">
        <v>1000</v>
      </c>
      <c r="O34" s="61" t="str">
        <f t="shared" ca="1" si="0"/>
        <v>piece</v>
      </c>
      <c r="P34" s="61" t="s">
        <v>39</v>
      </c>
      <c r="Q34" s="170"/>
      <c r="R34" s="192" t="str">
        <f>CONCATENATE(N34,P34)</f>
        <v>1000grams</v>
      </c>
      <c r="S34" s="198">
        <f t="shared" si="1"/>
        <v>10000000</v>
      </c>
      <c r="T34" s="199" t="str">
        <f t="shared" si="2"/>
        <v>10000000grams</v>
      </c>
      <c r="U34" s="200">
        <f t="shared" si="3"/>
        <v>2680</v>
      </c>
      <c r="V34" s="62"/>
      <c r="W34" s="12"/>
    </row>
    <row r="35" spans="1:23" x14ac:dyDescent="0.3">
      <c r="A35" s="183" t="e">
        <f ca="1"/>
        <v>#NAME?</v>
      </c>
      <c r="B35" s="194" t="s">
        <v>299</v>
      </c>
      <c r="C35" s="170"/>
      <c r="D35" s="194" t="str">
        <f ca="1">IFERROR(__xludf.DUMMYFUNCTION("IF(J35="""",""n/a"",IFERROR(SPLIT(J35,""/"")))"),"pack")</f>
        <v>pack</v>
      </c>
      <c r="E35" s="194" t="str">
        <f ca="1">IFERROR(__xludf.DUMMYFUNCTION("""COMPUTED_VALUE"""),"100pcs")</f>
        <v>100pcs</v>
      </c>
      <c r="F35" s="170"/>
      <c r="G35" s="170"/>
      <c r="H35" s="183" t="s">
        <v>1895</v>
      </c>
      <c r="I35" s="170"/>
      <c r="J35" s="46" t="s">
        <v>300</v>
      </c>
      <c r="K35" s="170"/>
      <c r="L35" s="195">
        <v>18.940000000000001</v>
      </c>
      <c r="M35" s="61">
        <v>30</v>
      </c>
      <c r="N35" s="61">
        <v>1</v>
      </c>
      <c r="O35" s="61" t="str">
        <f t="shared" ca="1" si="0"/>
        <v>100pcs</v>
      </c>
      <c r="P35" s="61" t="s">
        <v>304</v>
      </c>
      <c r="Q35" s="170"/>
      <c r="R35" s="170"/>
      <c r="S35" s="198">
        <f t="shared" si="1"/>
        <v>30</v>
      </c>
      <c r="T35" s="199" t="str">
        <f t="shared" si="2"/>
        <v>30packs</v>
      </c>
      <c r="U35" s="200">
        <f t="shared" si="3"/>
        <v>568.20000000000005</v>
      </c>
      <c r="V35" s="12"/>
      <c r="W35" s="12"/>
    </row>
    <row r="36" spans="1:23" x14ac:dyDescent="0.3">
      <c r="A36" s="183" t="e">
        <f ca="1"/>
        <v>#NAME?</v>
      </c>
      <c r="B36" s="194" t="s">
        <v>123</v>
      </c>
      <c r="C36" s="170"/>
      <c r="D36" s="194" t="str">
        <f ca="1">IFERROR(__xludf.DUMMYFUNCTION("IF(J36="""",""n/a"",IFERROR(SPLIT(J36,""/"")))"),"Nestle")</f>
        <v>Nestle</v>
      </c>
      <c r="E36" s="194" t="str">
        <f ca="1">IFERROR(__xludf.DUMMYFUNCTION("""COMPUTED_VALUE"""),"pcsx33grams)")</f>
        <v>pcsx33grams)</v>
      </c>
      <c r="F36" s="170"/>
      <c r="G36" s="170"/>
      <c r="H36" s="183" t="s">
        <v>1895</v>
      </c>
      <c r="I36" s="170"/>
      <c r="J36" s="46" t="s">
        <v>124</v>
      </c>
      <c r="K36" s="170"/>
      <c r="L36" s="195">
        <v>10.82</v>
      </c>
      <c r="M36" s="61">
        <v>132</v>
      </c>
      <c r="N36" s="61">
        <v>1</v>
      </c>
      <c r="O36" s="61" t="str">
        <f t="shared" ca="1" si="0"/>
        <v>pcsx33grams)</v>
      </c>
      <c r="P36" s="61" t="s">
        <v>92</v>
      </c>
      <c r="Q36" s="170"/>
      <c r="R36" s="170"/>
      <c r="S36" s="198">
        <f t="shared" si="1"/>
        <v>132</v>
      </c>
      <c r="T36" s="199" t="str">
        <f t="shared" si="2"/>
        <v>132pieces</v>
      </c>
      <c r="U36" s="200">
        <f t="shared" si="3"/>
        <v>1428.24</v>
      </c>
      <c r="V36" s="12"/>
      <c r="W36" s="12"/>
    </row>
    <row r="37" spans="1:23" x14ac:dyDescent="0.3">
      <c r="A37" s="183" t="e">
        <f ca="1"/>
        <v>#NAME?</v>
      </c>
      <c r="B37" s="194" t="s">
        <v>493</v>
      </c>
      <c r="C37" s="170"/>
      <c r="D37" s="194" t="str">
        <f ca="1">IFERROR(__xludf.DUMMYFUNCTION("IF(J37="""",""n/a"",IFERROR(SPLIT(J37,""/"")))"),"Nestle")</f>
        <v>Nestle</v>
      </c>
      <c r="E37" s="194" t="str">
        <f ca="1">IFERROR(__xludf.DUMMYFUNCTION("""COMPUTED_VALUE"""),"pcsx33grams)")</f>
        <v>pcsx33grams)</v>
      </c>
      <c r="F37" s="170"/>
      <c r="G37" s="170"/>
      <c r="H37" s="183" t="s">
        <v>1897</v>
      </c>
      <c r="I37" s="170"/>
      <c r="J37" s="46" t="s">
        <v>124</v>
      </c>
      <c r="K37" s="170"/>
      <c r="L37" s="195">
        <v>16.899999999999999</v>
      </c>
      <c r="M37" s="203">
        <v>26</v>
      </c>
      <c r="N37" s="203">
        <v>1</v>
      </c>
      <c r="O37" s="61" t="str">
        <f t="shared" ca="1" si="0"/>
        <v>pcsx33grams)</v>
      </c>
      <c r="P37" s="61" t="s">
        <v>92</v>
      </c>
      <c r="Q37" s="170"/>
      <c r="R37" s="192" t="str">
        <f>CONCATENATE(N37,P37)</f>
        <v>1pieces</v>
      </c>
      <c r="S37" s="198">
        <f t="shared" si="1"/>
        <v>26</v>
      </c>
      <c r="T37" s="199" t="str">
        <f t="shared" si="2"/>
        <v>26pieces</v>
      </c>
      <c r="U37" s="200">
        <f t="shared" si="3"/>
        <v>439.4</v>
      </c>
      <c r="V37" s="205">
        <f>U37/M37</f>
        <v>16.899999999999999</v>
      </c>
      <c r="W37" s="62"/>
    </row>
    <row r="38" spans="1:23" x14ac:dyDescent="0.3">
      <c r="A38" s="183" t="e">
        <f ca="1"/>
        <v>#NAME?</v>
      </c>
      <c r="B38" s="194" t="s">
        <v>494</v>
      </c>
      <c r="C38" s="170"/>
      <c r="D38" s="194" t="str">
        <f ca="1">IFERROR(__xludf.DUMMYFUNCTION("IF(J38="""",""n/a"",IFERROR(SPLIT(J38,""/"")))"),"n/a")</f>
        <v>n/a</v>
      </c>
      <c r="E38" s="170"/>
      <c r="F38" s="170"/>
      <c r="G38" s="170"/>
      <c r="H38" s="206" t="s">
        <v>1898</v>
      </c>
      <c r="I38" s="170"/>
      <c r="J38" s="170"/>
      <c r="K38" s="170"/>
      <c r="L38" s="197">
        <v>18.850000000000001</v>
      </c>
      <c r="M38" s="207">
        <v>16</v>
      </c>
      <c r="N38" s="207">
        <v>1</v>
      </c>
      <c r="O38" s="170">
        <f t="shared" si="0"/>
        <v>0</v>
      </c>
      <c r="P38" s="209" t="s">
        <v>92</v>
      </c>
      <c r="Q38" s="170"/>
      <c r="R38" s="170"/>
      <c r="S38" s="198">
        <f t="shared" si="1"/>
        <v>16</v>
      </c>
      <c r="T38" s="199" t="str">
        <f t="shared" si="2"/>
        <v>16pieces</v>
      </c>
      <c r="U38" s="200">
        <f t="shared" si="3"/>
        <v>301.60000000000002</v>
      </c>
      <c r="V38" s="12"/>
      <c r="W38" s="12"/>
    </row>
    <row r="39" spans="1:23" x14ac:dyDescent="0.3">
      <c r="A39" s="183" t="e">
        <f ca="1"/>
        <v>#NAME?</v>
      </c>
      <c r="B39" s="194" t="s">
        <v>90</v>
      </c>
      <c r="C39" s="170"/>
      <c r="D39" s="194" t="str">
        <f ca="1">IFERROR(__xludf.DUMMYFUNCTION("IF(J39="""",""n/a"",IFERROR(SPLIT(J39,""/"")))"),"Nestle")</f>
        <v>Nestle</v>
      </c>
      <c r="E39" s="194" t="str">
        <f ca="1">IFERROR(__xludf.DUMMYFUNCTION("""COMPUTED_VALUE"""),"Tetrapack")</f>
        <v>Tetrapack</v>
      </c>
      <c r="F39" s="194" t="str">
        <f ca="1">IFERROR(__xludf.DUMMYFUNCTION("""COMPUTED_VALUE"""),"250ml")</f>
        <v>250ml</v>
      </c>
      <c r="G39" s="170"/>
      <c r="H39" s="183" t="s">
        <v>1895</v>
      </c>
      <c r="I39" s="170"/>
      <c r="J39" s="46" t="s">
        <v>91</v>
      </c>
      <c r="K39" s="170"/>
      <c r="L39" s="195">
        <v>23.75</v>
      </c>
      <c r="M39" s="61">
        <v>20</v>
      </c>
      <c r="N39" s="61">
        <v>1</v>
      </c>
      <c r="O39" s="61" t="str">
        <f t="shared" ca="1" si="0"/>
        <v>Tetrapack</v>
      </c>
      <c r="P39" s="61" t="s">
        <v>92</v>
      </c>
      <c r="Q39" s="170"/>
      <c r="R39" s="170"/>
      <c r="S39" s="198">
        <f t="shared" si="1"/>
        <v>20</v>
      </c>
      <c r="T39" s="199" t="str">
        <f t="shared" si="2"/>
        <v>20pieces</v>
      </c>
      <c r="U39" s="200">
        <f t="shared" si="3"/>
        <v>475</v>
      </c>
      <c r="V39" s="12"/>
      <c r="W39" s="12"/>
    </row>
    <row r="40" spans="1:23" x14ac:dyDescent="0.3">
      <c r="A40" s="183" t="e">
        <f ca="1"/>
        <v>#NAME?</v>
      </c>
      <c r="B40" s="194" t="s">
        <v>495</v>
      </c>
      <c r="C40" s="170"/>
      <c r="D40" s="194" t="str">
        <f ca="1">IFERROR(__xludf.DUMMYFUNCTION("IF(J40="""",""n/a"",IFERROR(SPLIT(J40,""/"")))"),"Nestle")</f>
        <v>Nestle</v>
      </c>
      <c r="E40" s="194" t="str">
        <f ca="1">IFERROR(__xludf.DUMMYFUNCTION("""COMPUTED_VALUE"""),"pack (pcsx33grams)")</f>
        <v>pack (pcsx33grams)</v>
      </c>
      <c r="F40" s="170"/>
      <c r="G40" s="170"/>
      <c r="H40" s="183" t="s">
        <v>1897</v>
      </c>
      <c r="I40" s="170"/>
      <c r="J40" s="46" t="s">
        <v>496</v>
      </c>
      <c r="K40" s="170"/>
      <c r="L40" s="204">
        <v>10.82</v>
      </c>
      <c r="M40" s="203">
        <v>374</v>
      </c>
      <c r="N40" s="203">
        <v>1</v>
      </c>
      <c r="O40" s="61" t="str">
        <f t="shared" ca="1" si="0"/>
        <v>pack (pcsx33grams)</v>
      </c>
      <c r="P40" s="61" t="s">
        <v>92</v>
      </c>
      <c r="Q40" s="170"/>
      <c r="R40" s="192" t="str">
        <f>CONCATENATE(N40,P40)</f>
        <v>1pieces</v>
      </c>
      <c r="S40" s="198">
        <f t="shared" si="1"/>
        <v>374</v>
      </c>
      <c r="T40" s="199" t="str">
        <f t="shared" si="2"/>
        <v>374pieces</v>
      </c>
      <c r="U40" s="200">
        <f t="shared" si="3"/>
        <v>4046.6800000000003</v>
      </c>
      <c r="V40" s="205">
        <f>U40/M40</f>
        <v>10.82</v>
      </c>
      <c r="W40" s="62"/>
    </row>
    <row r="41" spans="1:23" x14ac:dyDescent="0.3">
      <c r="A41" s="183" t="e">
        <f ca="1"/>
        <v>#NAME?</v>
      </c>
      <c r="B41" s="194" t="s">
        <v>495</v>
      </c>
      <c r="C41" s="170"/>
      <c r="D41" s="194" t="str">
        <f ca="1">IFERROR(__xludf.DUMMYFUNCTION("IF(J41="""",""n/a"",IFERROR(SPLIT(J41,""/"")))"),"n/a")</f>
        <v>n/a</v>
      </c>
      <c r="E41" s="170"/>
      <c r="F41" s="170"/>
      <c r="G41" s="170"/>
      <c r="H41" s="206" t="s">
        <v>1898</v>
      </c>
      <c r="I41" s="170"/>
      <c r="J41" s="170"/>
      <c r="K41" s="170"/>
      <c r="L41" s="197">
        <v>11</v>
      </c>
      <c r="M41" s="207">
        <v>256</v>
      </c>
      <c r="N41" s="207">
        <v>1</v>
      </c>
      <c r="O41" s="170">
        <f t="shared" si="0"/>
        <v>0</v>
      </c>
      <c r="P41" s="209" t="s">
        <v>92</v>
      </c>
      <c r="Q41" s="170"/>
      <c r="R41" s="170"/>
      <c r="S41" s="198">
        <f t="shared" si="1"/>
        <v>256</v>
      </c>
      <c r="T41" s="199" t="str">
        <f t="shared" si="2"/>
        <v>256pieces</v>
      </c>
      <c r="U41" s="200">
        <f t="shared" si="3"/>
        <v>2816</v>
      </c>
      <c r="V41" s="12"/>
      <c r="W41" s="12"/>
    </row>
    <row r="42" spans="1:23" x14ac:dyDescent="0.3">
      <c r="A42" s="183" t="e">
        <f ca="1"/>
        <v>#NAME?</v>
      </c>
      <c r="B42" s="194" t="s">
        <v>87</v>
      </c>
      <c r="C42" s="170"/>
      <c r="D42" s="194" t="str">
        <f ca="1">IFERROR(__xludf.DUMMYFUNCTION("IF(J42="""",""n/a"",IFERROR(SPLIT(J42,""/"")))"),"seara")</f>
        <v>seara</v>
      </c>
      <c r="E42" s="170"/>
      <c r="F42" s="170"/>
      <c r="G42" s="170"/>
      <c r="H42" s="183" t="s">
        <v>1895</v>
      </c>
      <c r="I42" s="170"/>
      <c r="J42" s="46" t="s">
        <v>88</v>
      </c>
      <c r="K42" s="170"/>
      <c r="L42" s="195">
        <v>330</v>
      </c>
      <c r="M42" s="61">
        <v>30</v>
      </c>
      <c r="N42" s="61">
        <v>1</v>
      </c>
      <c r="O42" s="170">
        <f t="shared" si="0"/>
        <v>0</v>
      </c>
      <c r="P42" s="61" t="s">
        <v>213</v>
      </c>
      <c r="Q42" s="170"/>
      <c r="R42" s="170"/>
      <c r="S42" s="198">
        <f t="shared" si="1"/>
        <v>30</v>
      </c>
      <c r="T42" s="199" t="str">
        <f t="shared" si="2"/>
        <v>30kilos</v>
      </c>
      <c r="U42" s="200">
        <f t="shared" si="3"/>
        <v>9900</v>
      </c>
      <c r="V42" s="12"/>
      <c r="W42" s="12"/>
    </row>
    <row r="43" spans="1:23" x14ac:dyDescent="0.3">
      <c r="A43" s="183" t="e">
        <f ca="1"/>
        <v>#NAME?</v>
      </c>
      <c r="B43" s="194" t="s">
        <v>87</v>
      </c>
      <c r="C43" s="170"/>
      <c r="D43" s="194" t="str">
        <f ca="1">IFERROR(__xludf.DUMMYFUNCTION("IF(J43="""",""n/a"",IFERROR(SPLIT(J43,""/"")))"),"n/a")</f>
        <v>n/a</v>
      </c>
      <c r="E43" s="170"/>
      <c r="F43" s="170"/>
      <c r="G43" s="170"/>
      <c r="H43" s="206" t="s">
        <v>1898</v>
      </c>
      <c r="I43" s="170"/>
      <c r="J43" s="170"/>
      <c r="K43" s="170"/>
      <c r="L43" s="197">
        <v>317</v>
      </c>
      <c r="M43" s="208">
        <v>39</v>
      </c>
      <c r="N43" s="208">
        <v>1</v>
      </c>
      <c r="O43" s="170">
        <f t="shared" si="0"/>
        <v>0</v>
      </c>
      <c r="P43" s="61" t="s">
        <v>213</v>
      </c>
      <c r="Q43" s="170"/>
      <c r="R43" s="170"/>
      <c r="S43" s="198">
        <f t="shared" si="1"/>
        <v>39</v>
      </c>
      <c r="T43" s="199" t="str">
        <f t="shared" si="2"/>
        <v>39kilos</v>
      </c>
      <c r="U43" s="200">
        <f t="shared" si="3"/>
        <v>12363</v>
      </c>
      <c r="V43" s="12"/>
      <c r="W43" s="12"/>
    </row>
    <row r="44" spans="1:23" x14ac:dyDescent="0.3">
      <c r="A44" s="183" t="e">
        <f ca="1"/>
        <v>#NAME?</v>
      </c>
      <c r="B44" s="194" t="s">
        <v>164</v>
      </c>
      <c r="C44" s="170"/>
      <c r="D44" s="194" t="str">
        <f ca="1">IFERROR(__xludf.DUMMYFUNCTION("IF(J44="""",""n/a"",IFERROR(SPLIT(J44,""/"")))"),"Argentina")</f>
        <v>Argentina</v>
      </c>
      <c r="E44" s="194" t="str">
        <f ca="1">IFERROR(__xludf.DUMMYFUNCTION("""COMPUTED_VALUE"""),"can")</f>
        <v>can</v>
      </c>
      <c r="F44" s="194" t="str">
        <f ca="1">IFERROR(__xludf.DUMMYFUNCTION("""COMPUTED_VALUE"""),"250grams")</f>
        <v>250grams</v>
      </c>
      <c r="G44" s="170"/>
      <c r="H44" s="183" t="s">
        <v>1895</v>
      </c>
      <c r="I44" s="170"/>
      <c r="J44" s="46" t="s">
        <v>165</v>
      </c>
      <c r="K44" s="170"/>
      <c r="L44" s="195">
        <v>29.86</v>
      </c>
      <c r="M44" s="61">
        <v>97.92</v>
      </c>
      <c r="N44" s="61">
        <v>1</v>
      </c>
      <c r="O44" s="61" t="str">
        <f t="shared" ca="1" si="0"/>
        <v>can</v>
      </c>
      <c r="P44" s="61" t="s">
        <v>39</v>
      </c>
      <c r="Q44" s="170"/>
      <c r="R44" s="170"/>
      <c r="S44" s="198">
        <f t="shared" si="1"/>
        <v>97.92</v>
      </c>
      <c r="T44" s="199" t="str">
        <f t="shared" si="2"/>
        <v>97.92grams</v>
      </c>
      <c r="U44" s="200">
        <f t="shared" si="3"/>
        <v>2923.8912</v>
      </c>
      <c r="V44" s="12"/>
      <c r="W44" s="12"/>
    </row>
    <row r="45" spans="1:23" x14ac:dyDescent="0.3">
      <c r="A45" s="183" t="e">
        <f ca="1"/>
        <v>#NAME?</v>
      </c>
      <c r="B45" s="194" t="s">
        <v>497</v>
      </c>
      <c r="C45" s="170"/>
      <c r="D45" s="194" t="str">
        <f ca="1">IFERROR(__xludf.DUMMYFUNCTION("IF(J45="""",""n/a"",IFERROR(SPLIT(J45,""/"")))"),"n/a")</f>
        <v>n/a</v>
      </c>
      <c r="E45" s="170"/>
      <c r="F45" s="170"/>
      <c r="G45" s="170"/>
      <c r="H45" s="206" t="s">
        <v>1898</v>
      </c>
      <c r="I45" s="170"/>
      <c r="J45" s="170"/>
      <c r="K45" s="170"/>
      <c r="L45" s="197">
        <v>8.48</v>
      </c>
      <c r="M45" s="207">
        <v>8</v>
      </c>
      <c r="N45" s="207">
        <v>10</v>
      </c>
      <c r="O45" s="170">
        <f t="shared" si="0"/>
        <v>0</v>
      </c>
      <c r="P45" s="209" t="s">
        <v>92</v>
      </c>
      <c r="Q45" s="170"/>
      <c r="R45" s="170"/>
      <c r="S45" s="198">
        <f t="shared" si="1"/>
        <v>80</v>
      </c>
      <c r="T45" s="199" t="str">
        <f t="shared" si="2"/>
        <v>80pieces</v>
      </c>
      <c r="U45" s="200">
        <f t="shared" si="3"/>
        <v>67.84</v>
      </c>
      <c r="V45" s="12"/>
      <c r="W45" s="12"/>
    </row>
    <row r="46" spans="1:23" x14ac:dyDescent="0.3">
      <c r="A46" s="183" t="e">
        <f ca="1"/>
        <v>#NAME?</v>
      </c>
      <c r="B46" s="194" t="s">
        <v>498</v>
      </c>
      <c r="C46" s="170"/>
      <c r="D46" s="194" t="str">
        <f ca="1">IFERROR(__xludf.DUMMYFUNCTION("IF(J46="""",""n/a"",IFERROR(SPLIT(J46,""/"")))"),"n/a")</f>
        <v>n/a</v>
      </c>
      <c r="E46" s="170"/>
      <c r="F46" s="170"/>
      <c r="G46" s="170"/>
      <c r="H46" s="206" t="s">
        <v>1898</v>
      </c>
      <c r="I46" s="170"/>
      <c r="J46" s="170"/>
      <c r="K46" s="170"/>
      <c r="L46" s="197">
        <v>0.308</v>
      </c>
      <c r="M46" s="208">
        <v>1500</v>
      </c>
      <c r="N46" s="208">
        <v>500</v>
      </c>
      <c r="O46" s="170">
        <f t="shared" si="0"/>
        <v>0</v>
      </c>
      <c r="P46" s="61" t="s">
        <v>92</v>
      </c>
      <c r="Q46" s="170"/>
      <c r="R46" s="170"/>
      <c r="S46" s="198">
        <f t="shared" si="1"/>
        <v>750000</v>
      </c>
      <c r="T46" s="199" t="str">
        <f t="shared" si="2"/>
        <v>750000pieces</v>
      </c>
      <c r="U46" s="200">
        <f t="shared" si="3"/>
        <v>462</v>
      </c>
      <c r="V46" s="12"/>
      <c r="W46" s="12"/>
    </row>
    <row r="47" spans="1:23" x14ac:dyDescent="0.3">
      <c r="A47" s="183" t="e">
        <f ca="1"/>
        <v>#NAME?</v>
      </c>
      <c r="B47" s="194" t="s">
        <v>318</v>
      </c>
      <c r="C47" s="170"/>
      <c r="D47" s="194" t="str">
        <f ca="1">IFERROR(__xludf.DUMMYFUNCTION("IF(J47="""",""n/a"",IFERROR(SPLIT(J47,""/"")))"),"Super Q")</f>
        <v>Super Q</v>
      </c>
      <c r="E47" s="194" t="str">
        <f ca="1">IFERROR(__xludf.DUMMYFUNCTION("""COMPUTED_VALUE"""),"pack")</f>
        <v>pack</v>
      </c>
      <c r="F47" s="194" t="str">
        <f ca="1">IFERROR(__xludf.DUMMYFUNCTION("""COMPUTED_VALUE"""),"1000grams")</f>
        <v>1000grams</v>
      </c>
      <c r="G47" s="170"/>
      <c r="H47" s="183" t="s">
        <v>1897</v>
      </c>
      <c r="I47" s="170"/>
      <c r="J47" s="46" t="s">
        <v>499</v>
      </c>
      <c r="K47" s="170"/>
      <c r="L47" s="202">
        <v>0.1</v>
      </c>
      <c r="M47" s="203">
        <v>7000</v>
      </c>
      <c r="N47" s="203">
        <v>1000</v>
      </c>
      <c r="O47" s="61" t="str">
        <f t="shared" ca="1" si="0"/>
        <v>pack</v>
      </c>
      <c r="P47" s="61" t="s">
        <v>39</v>
      </c>
      <c r="Q47" s="170"/>
      <c r="R47" s="192" t="str">
        <f>CONCATENATE(N47,P47)</f>
        <v>1000grams</v>
      </c>
      <c r="S47" s="198">
        <f t="shared" si="1"/>
        <v>7000000</v>
      </c>
      <c r="T47" s="199" t="str">
        <f t="shared" si="2"/>
        <v>7000000grams</v>
      </c>
      <c r="U47" s="200">
        <f t="shared" si="3"/>
        <v>700</v>
      </c>
      <c r="V47" s="12"/>
      <c r="W47" s="12"/>
    </row>
    <row r="48" spans="1:23" x14ac:dyDescent="0.3">
      <c r="A48" s="183" t="e">
        <f ca="1"/>
        <v>#NAME?</v>
      </c>
      <c r="B48" s="194" t="s">
        <v>318</v>
      </c>
      <c r="C48" s="170"/>
      <c r="D48" s="194" t="str">
        <f ca="1">IFERROR(__xludf.DUMMYFUNCTION("IF(J48="""",""n/a"",IFERROR(SPLIT(J48,""/"")))"),"Super Q")</f>
        <v>Super Q</v>
      </c>
      <c r="E48" s="194" t="str">
        <f ca="1">IFERROR(__xludf.DUMMYFUNCTION("""COMPUTED_VALUE"""),"pack")</f>
        <v>pack</v>
      </c>
      <c r="F48" s="194" t="str">
        <f ca="1">IFERROR(__xludf.DUMMYFUNCTION("""COMPUTED_VALUE"""),"500grams")</f>
        <v>500grams</v>
      </c>
      <c r="G48" s="170"/>
      <c r="H48" s="183" t="s">
        <v>1895</v>
      </c>
      <c r="I48" s="170"/>
      <c r="J48" s="46" t="s">
        <v>319</v>
      </c>
      <c r="K48" s="170"/>
      <c r="L48" s="195">
        <v>38.700000000000003</v>
      </c>
      <c r="M48" s="61">
        <v>9</v>
      </c>
      <c r="N48" s="61">
        <v>1</v>
      </c>
      <c r="O48" s="61" t="str">
        <f t="shared" ca="1" si="0"/>
        <v>pack</v>
      </c>
      <c r="P48" s="61" t="s">
        <v>39</v>
      </c>
      <c r="Q48" s="170"/>
      <c r="R48" s="170"/>
      <c r="S48" s="198">
        <f t="shared" si="1"/>
        <v>9</v>
      </c>
      <c r="T48" s="199" t="str">
        <f t="shared" si="2"/>
        <v>9grams</v>
      </c>
      <c r="U48" s="200">
        <f t="shared" si="3"/>
        <v>348.3</v>
      </c>
      <c r="V48" s="12"/>
      <c r="W48" s="12"/>
    </row>
    <row r="49" spans="1:23" x14ac:dyDescent="0.3">
      <c r="A49" s="183" t="e">
        <f ca="1"/>
        <v>#NAME?</v>
      </c>
      <c r="B49" s="194" t="s">
        <v>318</v>
      </c>
      <c r="C49" s="170"/>
      <c r="D49" s="194" t="str">
        <f ca="1">IFERROR(__xludf.DUMMYFUNCTION("IF(J49="""",""n/a"",IFERROR(SPLIT(J49,""/"")))"),"n/a")</f>
        <v>n/a</v>
      </c>
      <c r="E49" s="170"/>
      <c r="F49" s="170"/>
      <c r="G49" s="170"/>
      <c r="H49" s="206" t="s">
        <v>1898</v>
      </c>
      <c r="I49" s="170"/>
      <c r="J49" s="170"/>
      <c r="K49" s="170"/>
      <c r="L49" s="197">
        <v>8.3799999999999999E-2</v>
      </c>
      <c r="M49" s="208">
        <v>1000</v>
      </c>
      <c r="N49" s="208">
        <v>500</v>
      </c>
      <c r="O49" s="170">
        <f t="shared" si="0"/>
        <v>0</v>
      </c>
      <c r="P49" s="61" t="s">
        <v>39</v>
      </c>
      <c r="Q49" s="170"/>
      <c r="R49" s="170"/>
      <c r="S49" s="198">
        <f t="shared" si="1"/>
        <v>500000</v>
      </c>
      <c r="T49" s="199" t="str">
        <f t="shared" si="2"/>
        <v>500000grams</v>
      </c>
      <c r="U49" s="200">
        <f t="shared" si="3"/>
        <v>83.8</v>
      </c>
      <c r="V49" s="12"/>
      <c r="W49" s="12"/>
    </row>
    <row r="50" spans="1:23" x14ac:dyDescent="0.3">
      <c r="A50" s="183" t="e">
        <f ca="1"/>
        <v>#NAME?</v>
      </c>
      <c r="B50" s="194" t="s">
        <v>500</v>
      </c>
      <c r="C50" s="170"/>
      <c r="D50" s="194" t="str">
        <f ca="1">IFERROR(__xludf.DUMMYFUNCTION("IF(J50="""",""n/a"",IFERROR(SPLIT(J50,""/"")))"),"Monde(10pcsx28grams)")</f>
        <v>Monde(10pcsx28grams)</v>
      </c>
      <c r="E50" s="170"/>
      <c r="F50" s="170"/>
      <c r="G50" s="170"/>
      <c r="H50" s="183" t="s">
        <v>1897</v>
      </c>
      <c r="I50" s="170"/>
      <c r="J50" s="46" t="s">
        <v>369</v>
      </c>
      <c r="K50" s="170"/>
      <c r="L50" s="195">
        <v>5.82</v>
      </c>
      <c r="M50" s="203">
        <v>50</v>
      </c>
      <c r="N50" s="203">
        <v>1</v>
      </c>
      <c r="O50" s="170">
        <f t="shared" si="0"/>
        <v>0</v>
      </c>
      <c r="P50" s="61" t="s">
        <v>92</v>
      </c>
      <c r="Q50" s="170"/>
      <c r="R50" s="192" t="str">
        <f t="shared" ref="R50:R51" si="4">CONCATENATE(N50,P50)</f>
        <v>1pieces</v>
      </c>
      <c r="S50" s="198">
        <f t="shared" si="1"/>
        <v>50</v>
      </c>
      <c r="T50" s="199" t="str">
        <f t="shared" si="2"/>
        <v>50pieces</v>
      </c>
      <c r="U50" s="200">
        <f t="shared" si="3"/>
        <v>291</v>
      </c>
      <c r="V50" s="12"/>
      <c r="W50" s="12"/>
    </row>
    <row r="51" spans="1:23" x14ac:dyDescent="0.3">
      <c r="A51" s="183" t="e">
        <f ca="1"/>
        <v>#NAME?</v>
      </c>
      <c r="B51" s="194" t="s">
        <v>501</v>
      </c>
      <c r="C51" s="170"/>
      <c r="D51" s="194" t="str">
        <f ca="1">IFERROR(__xludf.DUMMYFUNCTION("IF(J51="""",""n/a"",IFERROR(SPLIT(J51,""/"")))"),"Mondepack (10pcsx28grams)")</f>
        <v>Mondepack (10pcsx28grams)</v>
      </c>
      <c r="E51" s="170"/>
      <c r="F51" s="170"/>
      <c r="G51" s="170"/>
      <c r="H51" s="183" t="s">
        <v>1897</v>
      </c>
      <c r="I51" s="170"/>
      <c r="J51" s="46" t="s">
        <v>502</v>
      </c>
      <c r="K51" s="170"/>
      <c r="L51" s="195">
        <v>5.85</v>
      </c>
      <c r="M51" s="203">
        <v>366</v>
      </c>
      <c r="N51" s="203">
        <v>1</v>
      </c>
      <c r="O51" s="170">
        <f t="shared" si="0"/>
        <v>0</v>
      </c>
      <c r="P51" s="61" t="s">
        <v>92</v>
      </c>
      <c r="Q51" s="170"/>
      <c r="R51" s="192" t="str">
        <f t="shared" si="4"/>
        <v>1pieces</v>
      </c>
      <c r="S51" s="198">
        <f t="shared" si="1"/>
        <v>366</v>
      </c>
      <c r="T51" s="199" t="str">
        <f t="shared" si="2"/>
        <v>366pieces</v>
      </c>
      <c r="U51" s="200">
        <f t="shared" si="3"/>
        <v>2141.1</v>
      </c>
      <c r="V51" s="12"/>
      <c r="W51" s="12"/>
    </row>
    <row r="52" spans="1:23" x14ac:dyDescent="0.3">
      <c r="A52" s="183" t="e">
        <f ca="1"/>
        <v>#NAME?</v>
      </c>
      <c r="B52" s="194" t="s">
        <v>368</v>
      </c>
      <c r="C52" s="170"/>
      <c r="D52" s="194" t="str">
        <f ca="1">IFERROR(__xludf.DUMMYFUNCTION("IF(J52="""",""n/a"",IFERROR(SPLIT(J52,""/"")))"),"Monde(10pcsx28grams)")</f>
        <v>Monde(10pcsx28grams)</v>
      </c>
      <c r="E52" s="170"/>
      <c r="F52" s="170"/>
      <c r="G52" s="170"/>
      <c r="H52" s="183" t="s">
        <v>1895</v>
      </c>
      <c r="I52" s="170"/>
      <c r="J52" s="46" t="s">
        <v>369</v>
      </c>
      <c r="K52" s="170"/>
      <c r="L52" s="195">
        <v>5.7</v>
      </c>
      <c r="M52" s="61">
        <v>370</v>
      </c>
      <c r="N52" s="61">
        <v>1</v>
      </c>
      <c r="O52" s="170">
        <f t="shared" si="0"/>
        <v>0</v>
      </c>
      <c r="P52" s="61" t="s">
        <v>92</v>
      </c>
      <c r="Q52" s="170"/>
      <c r="R52" s="170"/>
      <c r="S52" s="198">
        <f t="shared" si="1"/>
        <v>370</v>
      </c>
      <c r="T52" s="199" t="str">
        <f t="shared" si="2"/>
        <v>370pieces</v>
      </c>
      <c r="U52" s="200">
        <f t="shared" si="3"/>
        <v>2109</v>
      </c>
      <c r="V52" s="12"/>
      <c r="W52" s="12"/>
    </row>
    <row r="53" spans="1:23" x14ac:dyDescent="0.3">
      <c r="A53" s="183" t="e">
        <f ca="1"/>
        <v>#NAME?</v>
      </c>
      <c r="B53" s="194" t="s">
        <v>368</v>
      </c>
      <c r="C53" s="170"/>
      <c r="D53" s="194" t="str">
        <f ca="1">IFERROR(__xludf.DUMMYFUNCTION("IF(J53="""",""n/a"",IFERROR(SPLIT(J53,""/"")))"),"n/a")</f>
        <v>n/a</v>
      </c>
      <c r="E53" s="170"/>
      <c r="F53" s="170"/>
      <c r="G53" s="170"/>
      <c r="H53" s="206" t="s">
        <v>1898</v>
      </c>
      <c r="I53" s="170"/>
      <c r="J53" s="170"/>
      <c r="K53" s="170"/>
      <c r="L53" s="197">
        <v>6.17</v>
      </c>
      <c r="M53" s="207">
        <v>120</v>
      </c>
      <c r="N53" s="207">
        <v>10</v>
      </c>
      <c r="O53" s="170">
        <f t="shared" si="0"/>
        <v>0</v>
      </c>
      <c r="P53" s="209" t="s">
        <v>92</v>
      </c>
      <c r="Q53" s="170"/>
      <c r="R53" s="170"/>
      <c r="S53" s="198">
        <f t="shared" si="1"/>
        <v>1200</v>
      </c>
      <c r="T53" s="199" t="str">
        <f t="shared" si="2"/>
        <v>1200pieces</v>
      </c>
      <c r="U53" s="200">
        <f t="shared" si="3"/>
        <v>740.4</v>
      </c>
      <c r="V53" s="12"/>
      <c r="W53" s="12"/>
    </row>
    <row r="54" spans="1:23" x14ac:dyDescent="0.3">
      <c r="A54" s="183" t="e">
        <f ca="1"/>
        <v>#NAME?</v>
      </c>
      <c r="B54" s="194" t="s">
        <v>370</v>
      </c>
      <c r="C54" s="170"/>
      <c r="D54" s="194" t="str">
        <f ca="1">IFERROR(__xludf.DUMMYFUNCTION("IF(J54="""",""n/a"",IFERROR(SPLIT(J54,""/"")))"),"Monde (10pcsx28grams)")</f>
        <v>Monde (10pcsx28grams)</v>
      </c>
      <c r="E54" s="170"/>
      <c r="F54" s="170"/>
      <c r="G54" s="170"/>
      <c r="H54" s="183" t="s">
        <v>1897</v>
      </c>
      <c r="I54" s="170"/>
      <c r="J54" s="46" t="s">
        <v>371</v>
      </c>
      <c r="K54" s="170"/>
      <c r="L54" s="195">
        <v>5.82</v>
      </c>
      <c r="M54" s="203">
        <v>5</v>
      </c>
      <c r="N54" s="203">
        <v>1</v>
      </c>
      <c r="O54" s="170">
        <f t="shared" si="0"/>
        <v>0</v>
      </c>
      <c r="P54" s="61" t="s">
        <v>92</v>
      </c>
      <c r="Q54" s="170"/>
      <c r="R54" s="192" t="str">
        <f>CONCATENATE(N54,P54)</f>
        <v>1pieces</v>
      </c>
      <c r="S54" s="198">
        <f t="shared" si="1"/>
        <v>5</v>
      </c>
      <c r="T54" s="199" t="str">
        <f t="shared" si="2"/>
        <v>5pieces</v>
      </c>
      <c r="U54" s="200">
        <f t="shared" si="3"/>
        <v>29.1</v>
      </c>
      <c r="V54" s="12"/>
      <c r="W54" s="12"/>
    </row>
    <row r="55" spans="1:23" x14ac:dyDescent="0.3">
      <c r="A55" s="183" t="e">
        <f ca="1"/>
        <v>#NAME?</v>
      </c>
      <c r="B55" s="194" t="s">
        <v>370</v>
      </c>
      <c r="C55" s="170"/>
      <c r="D55" s="194" t="str">
        <f ca="1">IFERROR(__xludf.DUMMYFUNCTION("IF(J55="""",""n/a"",IFERROR(SPLIT(J55,""/"")))"),"Monde (10pcsx28grams)")</f>
        <v>Monde (10pcsx28grams)</v>
      </c>
      <c r="E55" s="170"/>
      <c r="F55" s="170"/>
      <c r="G55" s="170"/>
      <c r="H55" s="183" t="s">
        <v>1895</v>
      </c>
      <c r="I55" s="170"/>
      <c r="J55" s="46" t="s">
        <v>371</v>
      </c>
      <c r="K55" s="170"/>
      <c r="L55" s="195">
        <v>5.7</v>
      </c>
      <c r="M55" s="61">
        <v>375</v>
      </c>
      <c r="N55" s="61">
        <v>1</v>
      </c>
      <c r="O55" s="170">
        <f t="shared" si="0"/>
        <v>0</v>
      </c>
      <c r="P55" s="61" t="s">
        <v>92</v>
      </c>
      <c r="Q55" s="170"/>
      <c r="R55" s="170"/>
      <c r="S55" s="198">
        <f t="shared" si="1"/>
        <v>375</v>
      </c>
      <c r="T55" s="199" t="str">
        <f t="shared" si="2"/>
        <v>375pieces</v>
      </c>
      <c r="U55" s="200">
        <f t="shared" si="3"/>
        <v>2137.5</v>
      </c>
      <c r="V55" s="12"/>
      <c r="W55" s="12"/>
    </row>
    <row r="56" spans="1:23" x14ac:dyDescent="0.3">
      <c r="A56" s="183" t="e">
        <f ca="1"/>
        <v>#NAME?</v>
      </c>
      <c r="B56" s="194" t="s">
        <v>125</v>
      </c>
      <c r="C56" s="170"/>
      <c r="D56" s="194" t="str">
        <f ca="1">IFERROR(__xludf.DUMMYFUNCTION("IF(J56="""",""n/a"",IFERROR(SPLIT(J56,""/"")))"),"Birch Tree")</f>
        <v>Birch Tree</v>
      </c>
      <c r="E56" s="194" t="str">
        <f ca="1">IFERROR(__xludf.DUMMYFUNCTION("""COMPUTED_VALUE"""),"pack (pcsx33grams)")</f>
        <v>pack (pcsx33grams)</v>
      </c>
      <c r="F56" s="170"/>
      <c r="G56" s="170"/>
      <c r="H56" s="183" t="s">
        <v>1897</v>
      </c>
      <c r="I56" s="170"/>
      <c r="J56" s="46" t="s">
        <v>126</v>
      </c>
      <c r="K56" s="170"/>
      <c r="L56" s="204">
        <v>8.57</v>
      </c>
      <c r="M56" s="203">
        <v>238</v>
      </c>
      <c r="N56" s="203">
        <v>1</v>
      </c>
      <c r="O56" s="61" t="str">
        <f t="shared" ca="1" si="0"/>
        <v>pack (pcsx33grams)</v>
      </c>
      <c r="P56" s="61" t="s">
        <v>92</v>
      </c>
      <c r="Q56" s="170"/>
      <c r="R56" s="192" t="str">
        <f>CONCATENATE(N56,P56)</f>
        <v>1pieces</v>
      </c>
      <c r="S56" s="198">
        <f t="shared" si="1"/>
        <v>238</v>
      </c>
      <c r="T56" s="199" t="str">
        <f t="shared" si="2"/>
        <v>238pieces</v>
      </c>
      <c r="U56" s="200">
        <f t="shared" si="3"/>
        <v>2039.66</v>
      </c>
      <c r="V56" s="205">
        <f>U56/M56</f>
        <v>8.57</v>
      </c>
      <c r="W56" s="62"/>
    </row>
    <row r="57" spans="1:23" x14ac:dyDescent="0.3">
      <c r="A57" s="183" t="e">
        <f ca="1"/>
        <v>#NAME?</v>
      </c>
      <c r="B57" s="194" t="s">
        <v>125</v>
      </c>
      <c r="C57" s="170"/>
      <c r="D57" s="194" t="str">
        <f ca="1">IFERROR(__xludf.DUMMYFUNCTION("IF(J57="""",""n/a"",IFERROR(SPLIT(J57,""/"")))"),"Birch Tree")</f>
        <v>Birch Tree</v>
      </c>
      <c r="E57" s="194" t="str">
        <f ca="1">IFERROR(__xludf.DUMMYFUNCTION("""COMPUTED_VALUE"""),"pack (pcsx33grams)")</f>
        <v>pack (pcsx33grams)</v>
      </c>
      <c r="F57" s="170"/>
      <c r="G57" s="170"/>
      <c r="H57" s="183" t="s">
        <v>1895</v>
      </c>
      <c r="I57" s="170"/>
      <c r="J57" s="46" t="s">
        <v>126</v>
      </c>
      <c r="K57" s="170"/>
      <c r="L57" s="195">
        <v>8.92</v>
      </c>
      <c r="M57" s="61">
        <v>231</v>
      </c>
      <c r="N57" s="61">
        <v>1</v>
      </c>
      <c r="O57" s="61" t="str">
        <f t="shared" ca="1" si="0"/>
        <v>pack (pcsx33grams)</v>
      </c>
      <c r="P57" s="61" t="s">
        <v>92</v>
      </c>
      <c r="Q57" s="170"/>
      <c r="R57" s="170"/>
      <c r="S57" s="198">
        <f t="shared" si="1"/>
        <v>231</v>
      </c>
      <c r="T57" s="199" t="str">
        <f t="shared" si="2"/>
        <v>231pieces</v>
      </c>
      <c r="U57" s="200">
        <f t="shared" si="3"/>
        <v>2060.52</v>
      </c>
      <c r="V57" s="12"/>
      <c r="W57" s="12"/>
    </row>
    <row r="58" spans="1:23" x14ac:dyDescent="0.3">
      <c r="A58" s="183" t="e">
        <f ca="1"/>
        <v>#NAME?</v>
      </c>
      <c r="B58" s="194" t="s">
        <v>125</v>
      </c>
      <c r="C58" s="170"/>
      <c r="D58" s="194" t="str">
        <f ca="1">IFERROR(__xludf.DUMMYFUNCTION("IF(J58="""",""n/a"",IFERROR(SPLIT(J58,""/"")))"),"n/a")</f>
        <v>n/a</v>
      </c>
      <c r="E58" s="170"/>
      <c r="F58" s="170"/>
      <c r="G58" s="170"/>
      <c r="H58" s="206" t="s">
        <v>1898</v>
      </c>
      <c r="I58" s="170"/>
      <c r="J58" s="170"/>
      <c r="K58" s="170"/>
      <c r="L58" s="197">
        <v>8.75</v>
      </c>
      <c r="M58" s="207">
        <v>206</v>
      </c>
      <c r="N58" s="207">
        <v>1</v>
      </c>
      <c r="O58" s="170">
        <f t="shared" si="0"/>
        <v>0</v>
      </c>
      <c r="P58" s="209" t="s">
        <v>92</v>
      </c>
      <c r="Q58" s="170"/>
      <c r="R58" s="170"/>
      <c r="S58" s="198">
        <f t="shared" si="1"/>
        <v>206</v>
      </c>
      <c r="T58" s="199" t="str">
        <f t="shared" si="2"/>
        <v>206pieces</v>
      </c>
      <c r="U58" s="200">
        <f t="shared" si="3"/>
        <v>1802.5</v>
      </c>
      <c r="V58" s="12"/>
      <c r="W58" s="12"/>
    </row>
    <row r="59" spans="1:23" x14ac:dyDescent="0.3">
      <c r="A59" s="183" t="e">
        <f ca="1"/>
        <v>#NAME?</v>
      </c>
      <c r="B59" s="194" t="s">
        <v>503</v>
      </c>
      <c r="C59" s="170"/>
      <c r="D59" s="194" t="str">
        <f ca="1">IFERROR(__xludf.DUMMYFUNCTION("IF(J59="""",""n/a"",IFERROR(SPLIT(J59,""/"")))"),"Temple")</f>
        <v>Temple</v>
      </c>
      <c r="E59" s="194" t="str">
        <f ca="1">IFERROR(__xludf.DUMMYFUNCTION("""COMPUTED_VALUE"""),"can")</f>
        <v>can</v>
      </c>
      <c r="F59" s="194" t="str">
        <f ca="1">IFERROR(__xludf.DUMMYFUNCTION("""COMPUTED_VALUE"""),"180grams")</f>
        <v>180grams</v>
      </c>
      <c r="G59" s="170"/>
      <c r="H59" s="183" t="s">
        <v>1895</v>
      </c>
      <c r="I59" s="170"/>
      <c r="J59" s="46" t="s">
        <v>167</v>
      </c>
      <c r="K59" s="170"/>
      <c r="L59" s="195">
        <v>31.1</v>
      </c>
      <c r="M59" s="61">
        <v>1</v>
      </c>
      <c r="N59" s="61">
        <v>1</v>
      </c>
      <c r="O59" s="61" t="str">
        <f t="shared" ca="1" si="0"/>
        <v>can</v>
      </c>
      <c r="P59" s="61" t="s">
        <v>39</v>
      </c>
      <c r="Q59" s="170"/>
      <c r="R59" s="170"/>
      <c r="S59" s="198">
        <f t="shared" si="1"/>
        <v>1</v>
      </c>
      <c r="T59" s="199" t="str">
        <f t="shared" si="2"/>
        <v>1grams</v>
      </c>
      <c r="U59" s="200">
        <f t="shared" si="3"/>
        <v>31.1</v>
      </c>
      <c r="V59" s="12"/>
      <c r="W59" s="12"/>
    </row>
    <row r="60" spans="1:23" x14ac:dyDescent="0.3">
      <c r="A60" s="183" t="e">
        <f ca="1"/>
        <v>#NAME?</v>
      </c>
      <c r="B60" s="194" t="s">
        <v>503</v>
      </c>
      <c r="C60" s="170"/>
      <c r="D60" s="194" t="str">
        <f ca="1">IFERROR(__xludf.DUMMYFUNCTION("IF(J60="""",""n/a"",IFERROR(SPLIT(J60,""/"")))"),"n/a")</f>
        <v>n/a</v>
      </c>
      <c r="E60" s="170"/>
      <c r="F60" s="170"/>
      <c r="G60" s="170"/>
      <c r="H60" s="206" t="s">
        <v>1898</v>
      </c>
      <c r="I60" s="170"/>
      <c r="J60" s="170"/>
      <c r="K60" s="170"/>
      <c r="L60" s="197">
        <v>0.17222222222222222</v>
      </c>
      <c r="M60" s="207">
        <v>5220</v>
      </c>
      <c r="N60" s="208">
        <v>180</v>
      </c>
      <c r="O60" s="170">
        <f t="shared" si="0"/>
        <v>0</v>
      </c>
      <c r="P60" s="197" t="s">
        <v>39</v>
      </c>
      <c r="Q60" s="170"/>
      <c r="R60" s="170"/>
      <c r="S60" s="198">
        <f t="shared" si="1"/>
        <v>939600</v>
      </c>
      <c r="T60" s="199" t="str">
        <f t="shared" si="2"/>
        <v>939600grams</v>
      </c>
      <c r="U60" s="200">
        <f t="shared" si="3"/>
        <v>899</v>
      </c>
      <c r="V60" s="12"/>
      <c r="W60" s="12"/>
    </row>
    <row r="61" spans="1:23" x14ac:dyDescent="0.3">
      <c r="A61" s="183" t="e">
        <f ca="1"/>
        <v>#NAME?</v>
      </c>
      <c r="B61" s="194" t="s">
        <v>504</v>
      </c>
      <c r="C61" s="170"/>
      <c r="D61" s="194" t="str">
        <f ca="1">IFERROR(__xludf.DUMMYFUNCTION("IF(J61="""",""n/a"",IFERROR(SPLIT(J61,""/"")))"),"Kopiko")</f>
        <v>Kopiko</v>
      </c>
      <c r="E61" s="194" t="str">
        <f ca="1">IFERROR(__xludf.DUMMYFUNCTION("""COMPUTED_VALUE"""),"pack (pcsx30grams)")</f>
        <v>pack (pcsx30grams)</v>
      </c>
      <c r="F61" s="170"/>
      <c r="G61" s="170"/>
      <c r="H61" s="183" t="s">
        <v>1897</v>
      </c>
      <c r="I61" s="170"/>
      <c r="J61" s="46" t="s">
        <v>505</v>
      </c>
      <c r="K61" s="170"/>
      <c r="L61" s="204">
        <v>7.37</v>
      </c>
      <c r="M61" s="203">
        <v>239</v>
      </c>
      <c r="N61" s="203">
        <v>1</v>
      </c>
      <c r="O61" s="61" t="str">
        <f t="shared" ca="1" si="0"/>
        <v>pack (pcsx30grams)</v>
      </c>
      <c r="P61" s="61" t="s">
        <v>92</v>
      </c>
      <c r="Q61" s="61" t="s">
        <v>33</v>
      </c>
      <c r="R61" s="192" t="str">
        <f t="shared" ref="R61:R62" si="5">CONCATENATE(N61,P61)</f>
        <v>1pieces</v>
      </c>
      <c r="S61" s="198">
        <f t="shared" si="1"/>
        <v>239</v>
      </c>
      <c r="T61" s="199" t="str">
        <f t="shared" si="2"/>
        <v>239 pieces</v>
      </c>
      <c r="U61" s="200">
        <f t="shared" si="3"/>
        <v>1761.43</v>
      </c>
      <c r="V61" s="205">
        <f t="shared" ref="V61:V62" si="6">U61/M61</f>
        <v>7.37</v>
      </c>
      <c r="W61" s="62"/>
    </row>
    <row r="62" spans="1:23" x14ac:dyDescent="0.3">
      <c r="A62" s="183" t="e">
        <f ca="1"/>
        <v>#NAME?</v>
      </c>
      <c r="B62" s="194" t="s">
        <v>506</v>
      </c>
      <c r="C62" s="170"/>
      <c r="D62" s="194" t="str">
        <f ca="1">IFERROR(__xludf.DUMMYFUNCTION("IF(J62="""",""n/a"",IFERROR(SPLIT(J62,""/"")))"),"Dona Elena")</f>
        <v>Dona Elena</v>
      </c>
      <c r="E62" s="194" t="str">
        <f ca="1">IFERROR(__xludf.DUMMYFUNCTION("""COMPUTED_VALUE"""),"bottle")</f>
        <v>bottle</v>
      </c>
      <c r="F62" s="194" t="str">
        <f ca="1">IFERROR(__xludf.DUMMYFUNCTION("""COMPUTED_VALUE"""),"330grams")</f>
        <v>330grams</v>
      </c>
      <c r="G62" s="170"/>
      <c r="H62" s="183" t="s">
        <v>1897</v>
      </c>
      <c r="I62" s="170"/>
      <c r="J62" s="46" t="s">
        <v>507</v>
      </c>
      <c r="K62" s="170"/>
      <c r="L62" s="204">
        <v>0.49848484848484848</v>
      </c>
      <c r="M62" s="203">
        <v>330</v>
      </c>
      <c r="N62" s="203">
        <v>330</v>
      </c>
      <c r="O62" s="61" t="str">
        <f t="shared" ca="1" si="0"/>
        <v>bottle</v>
      </c>
      <c r="P62" s="61" t="s">
        <v>39</v>
      </c>
      <c r="Q62" s="170"/>
      <c r="R62" s="192" t="str">
        <f t="shared" si="5"/>
        <v>330grams</v>
      </c>
      <c r="S62" s="198">
        <f t="shared" si="1"/>
        <v>108900</v>
      </c>
      <c r="T62" s="199" t="str">
        <f t="shared" si="2"/>
        <v>108900grams</v>
      </c>
      <c r="U62" s="200">
        <f t="shared" si="3"/>
        <v>164.5</v>
      </c>
      <c r="V62" s="205">
        <f t="shared" si="6"/>
        <v>0.49848484848484848</v>
      </c>
      <c r="W62" s="62"/>
    </row>
    <row r="63" spans="1:23" x14ac:dyDescent="0.3">
      <c r="A63" s="183" t="e">
        <f ca="1"/>
        <v>#NAME?</v>
      </c>
      <c r="B63" s="194" t="s">
        <v>233</v>
      </c>
      <c r="C63" s="170"/>
      <c r="D63" s="194" t="str">
        <f ca="1">IFERROR(__xludf.DUMMYFUNCTION("IF(J63="""",""n/a"",IFERROR(SPLIT(J63,""/"")))"),"Edward")</f>
        <v>Edward</v>
      </c>
      <c r="E63" s="194" t="str">
        <f ca="1">IFERROR(__xludf.DUMMYFUNCTION("""COMPUTED_VALUE"""),"pack")</f>
        <v>pack</v>
      </c>
      <c r="F63" s="194" t="str">
        <f ca="1">IFERROR(__xludf.DUMMYFUNCTION("""COMPUTED_VALUE"""),"1000grams")</f>
        <v>1000grams</v>
      </c>
      <c r="G63" s="170"/>
      <c r="H63" s="183" t="s">
        <v>1895</v>
      </c>
      <c r="I63" s="170"/>
      <c r="J63" s="46" t="s">
        <v>234</v>
      </c>
      <c r="K63" s="170"/>
      <c r="L63" s="195">
        <v>590</v>
      </c>
      <c r="M63" s="61">
        <v>0.5</v>
      </c>
      <c r="N63" s="61">
        <v>1</v>
      </c>
      <c r="O63" s="61" t="str">
        <f t="shared" ca="1" si="0"/>
        <v>pack</v>
      </c>
      <c r="P63" s="61" t="s">
        <v>39</v>
      </c>
      <c r="Q63" s="170"/>
      <c r="R63" s="170"/>
      <c r="S63" s="198">
        <f t="shared" si="1"/>
        <v>0.5</v>
      </c>
      <c r="T63" s="199" t="str">
        <f t="shared" si="2"/>
        <v>0.5grams</v>
      </c>
      <c r="U63" s="200">
        <f t="shared" si="3"/>
        <v>295</v>
      </c>
      <c r="V63" s="12"/>
      <c r="W63" s="12"/>
    </row>
    <row r="64" spans="1:23" x14ac:dyDescent="0.3">
      <c r="A64" s="183" t="e">
        <f ca="1"/>
        <v>#NAME?</v>
      </c>
      <c r="B64" s="194" t="s">
        <v>508</v>
      </c>
      <c r="C64" s="170"/>
      <c r="D64" s="194" t="str">
        <f ca="1">IFERROR(__xludf.DUMMYFUNCTION("IF(J64="""",""n/a"",IFERROR(SPLIT(J64,""/"")))"),"Kopiko")</f>
        <v>Kopiko</v>
      </c>
      <c r="E64" s="194" t="str">
        <f ca="1">IFERROR(__xludf.DUMMYFUNCTION("""COMPUTED_VALUE"""),"pack (pcsx30grams)")</f>
        <v>pack (pcsx30grams)</v>
      </c>
      <c r="F64" s="170"/>
      <c r="G64" s="170"/>
      <c r="H64" s="183" t="s">
        <v>1897</v>
      </c>
      <c r="I64" s="170"/>
      <c r="J64" s="46" t="s">
        <v>505</v>
      </c>
      <c r="K64" s="170"/>
      <c r="L64" s="204">
        <v>8.1999999999999993</v>
      </c>
      <c r="M64" s="203">
        <v>180</v>
      </c>
      <c r="N64" s="203">
        <v>1</v>
      </c>
      <c r="O64" s="61" t="str">
        <f t="shared" ca="1" si="0"/>
        <v>pack (pcsx30grams)</v>
      </c>
      <c r="P64" s="61" t="s">
        <v>92</v>
      </c>
      <c r="Q64" s="170"/>
      <c r="R64" s="192" t="str">
        <f t="shared" ref="R64:R66" si="7">CONCATENATE(N64,P64)</f>
        <v>1pieces</v>
      </c>
      <c r="S64" s="198">
        <f t="shared" si="1"/>
        <v>180</v>
      </c>
      <c r="T64" s="199" t="str">
        <f t="shared" si="2"/>
        <v>180pieces</v>
      </c>
      <c r="U64" s="200">
        <f t="shared" si="3"/>
        <v>1475.9999999999998</v>
      </c>
      <c r="V64" s="205">
        <f t="shared" ref="V64:V66" si="8">U64/M64</f>
        <v>8.1999999999999993</v>
      </c>
      <c r="W64" s="62"/>
    </row>
    <row r="65" spans="1:23" x14ac:dyDescent="0.3">
      <c r="A65" s="183" t="e">
        <f ca="1"/>
        <v>#NAME?</v>
      </c>
      <c r="B65" s="194" t="s">
        <v>509</v>
      </c>
      <c r="C65" s="170"/>
      <c r="D65" s="194" t="str">
        <f ca="1">IFERROR(__xludf.DUMMYFUNCTION("IF(J65="""",""n/a"",IFERROR(SPLIT(J65,""/"")))"),"Quinriv")</f>
        <v>Quinriv</v>
      </c>
      <c r="E65" s="170"/>
      <c r="F65" s="170"/>
      <c r="G65" s="170"/>
      <c r="H65" s="183" t="s">
        <v>1897</v>
      </c>
      <c r="I65" s="170"/>
      <c r="J65" s="46" t="s">
        <v>199</v>
      </c>
      <c r="K65" s="170"/>
      <c r="L65" s="195">
        <v>127</v>
      </c>
      <c r="M65" s="210">
        <v>1</v>
      </c>
      <c r="N65" s="203">
        <v>1</v>
      </c>
      <c r="O65" s="170">
        <f t="shared" si="0"/>
        <v>0</v>
      </c>
      <c r="P65" s="61" t="s">
        <v>200</v>
      </c>
      <c r="Q65" s="170"/>
      <c r="R65" s="192" t="str">
        <f t="shared" si="7"/>
        <v>1gal</v>
      </c>
      <c r="S65" s="198">
        <f t="shared" si="1"/>
        <v>1</v>
      </c>
      <c r="T65" s="199" t="str">
        <f t="shared" si="2"/>
        <v>1gal</v>
      </c>
      <c r="U65" s="200">
        <f t="shared" si="3"/>
        <v>127</v>
      </c>
      <c r="V65" s="205">
        <f t="shared" si="8"/>
        <v>127</v>
      </c>
      <c r="W65" s="62"/>
    </row>
    <row r="66" spans="1:23" x14ac:dyDescent="0.3">
      <c r="A66" s="183" t="e">
        <f ca="1"/>
        <v>#NAME?</v>
      </c>
      <c r="B66" s="194" t="s">
        <v>510</v>
      </c>
      <c r="C66" s="170"/>
      <c r="D66" s="194" t="str">
        <f ca="1">IFERROR(__xludf.DUMMYFUNCTION("IF(J66="""",""n/a"",IFERROR(SPLIT(J66,""/"")))"),"URC")</f>
        <v>URC</v>
      </c>
      <c r="E66" s="194" t="str">
        <f ca="1">IFERROR(__xludf.DUMMYFUNCTION("""COMPUTED_VALUE"""),"pack (pcsx18grams)")</f>
        <v>pack (pcsx18grams)</v>
      </c>
      <c r="F66" s="170"/>
      <c r="G66" s="170"/>
      <c r="H66" s="183" t="s">
        <v>1897</v>
      </c>
      <c r="I66" s="170"/>
      <c r="J66" s="46" t="s">
        <v>511</v>
      </c>
      <c r="K66" s="170"/>
      <c r="L66" s="195">
        <v>4.0999999999999996</v>
      </c>
      <c r="M66" s="212">
        <v>100</v>
      </c>
      <c r="N66" s="203">
        <v>1</v>
      </c>
      <c r="O66" s="61" t="str">
        <f t="shared" ca="1" si="0"/>
        <v>pack (pcsx18grams)</v>
      </c>
      <c r="P66" s="61" t="s">
        <v>92</v>
      </c>
      <c r="Q66" s="170"/>
      <c r="R66" s="192" t="str">
        <f t="shared" si="7"/>
        <v>1pieces</v>
      </c>
      <c r="S66" s="198">
        <f t="shared" si="1"/>
        <v>100</v>
      </c>
      <c r="T66" s="199" t="str">
        <f t="shared" si="2"/>
        <v>100pieces</v>
      </c>
      <c r="U66" s="200">
        <f t="shared" si="3"/>
        <v>409.99999999999994</v>
      </c>
      <c r="V66" s="205">
        <f t="shared" si="8"/>
        <v>4.0999999999999996</v>
      </c>
      <c r="W66" s="62"/>
    </row>
    <row r="67" spans="1:23" x14ac:dyDescent="0.3">
      <c r="A67" s="183" t="e">
        <f ca="1"/>
        <v>#NAME?</v>
      </c>
      <c r="B67" s="194" t="s">
        <v>510</v>
      </c>
      <c r="C67" s="170"/>
      <c r="D67" s="194" t="str">
        <f ca="1">IFERROR(__xludf.DUMMYFUNCTION("IF(J67="""",""n/a"",IFERROR(SPLIT(J67,""/"")))"),"n/a")</f>
        <v>n/a</v>
      </c>
      <c r="E67" s="170"/>
      <c r="F67" s="170"/>
      <c r="G67" s="170"/>
      <c r="H67" s="206" t="s">
        <v>1898</v>
      </c>
      <c r="I67" s="170"/>
      <c r="J67" s="170"/>
      <c r="K67" s="170"/>
      <c r="L67" s="197">
        <v>4.2969999999999997</v>
      </c>
      <c r="M67" s="207">
        <v>196</v>
      </c>
      <c r="N67" s="207">
        <v>1</v>
      </c>
      <c r="O67" s="170">
        <f t="shared" si="0"/>
        <v>0</v>
      </c>
      <c r="P67" s="209" t="s">
        <v>92</v>
      </c>
      <c r="Q67" s="170"/>
      <c r="R67" s="170"/>
      <c r="S67" s="198">
        <f t="shared" si="1"/>
        <v>196</v>
      </c>
      <c r="T67" s="199" t="str">
        <f t="shared" si="2"/>
        <v>196pieces</v>
      </c>
      <c r="U67" s="200">
        <f t="shared" si="3"/>
        <v>842.21199999999999</v>
      </c>
      <c r="V67" s="12"/>
      <c r="W67" s="12"/>
    </row>
    <row r="68" spans="1:23" x14ac:dyDescent="0.3">
      <c r="A68" s="183" t="e">
        <f ca="1"/>
        <v>#NAME?</v>
      </c>
      <c r="B68" s="194" t="s">
        <v>48</v>
      </c>
      <c r="C68" s="170"/>
      <c r="D68" s="194" t="str">
        <f ca="1">IFERROR(__xludf.DUMMYFUNCTION("IF(J68="""",""n/a"",IFERROR(SPLIT(J68,""/"")))"),"Goodlife")</f>
        <v>Goodlife</v>
      </c>
      <c r="E68" s="194" t="str">
        <f ca="1">IFERROR(__xludf.DUMMYFUNCTION("""COMPUTED_VALUE"""),"pack")</f>
        <v>pack</v>
      </c>
      <c r="F68" s="194" t="str">
        <f ca="1">IFERROR(__xludf.DUMMYFUNCTION("""COMPUTED_VALUE"""),"1000grams")</f>
        <v>1000grams</v>
      </c>
      <c r="G68" s="170"/>
      <c r="H68" s="183" t="s">
        <v>1895</v>
      </c>
      <c r="I68" s="170"/>
      <c r="J68" s="46" t="s">
        <v>49</v>
      </c>
      <c r="K68" s="170"/>
      <c r="L68" s="195">
        <v>143.19999999999999</v>
      </c>
      <c r="M68" s="61">
        <v>9</v>
      </c>
      <c r="N68" s="61">
        <v>1000</v>
      </c>
      <c r="O68" s="61" t="str">
        <f t="shared" ca="1" si="0"/>
        <v>pack</v>
      </c>
      <c r="P68" s="61" t="s">
        <v>39</v>
      </c>
      <c r="Q68" s="170"/>
      <c r="R68" s="170"/>
      <c r="S68" s="198">
        <f t="shared" si="1"/>
        <v>9000</v>
      </c>
      <c r="T68" s="199" t="str">
        <f t="shared" si="2"/>
        <v>9000grams</v>
      </c>
      <c r="U68" s="200">
        <f t="shared" si="3"/>
        <v>1288.8</v>
      </c>
      <c r="V68" s="12"/>
      <c r="W68" s="12"/>
    </row>
    <row r="69" spans="1:23" x14ac:dyDescent="0.3">
      <c r="A69" s="183" t="e">
        <f ca="1"/>
        <v>#NAME?</v>
      </c>
      <c r="B69" s="194" t="s">
        <v>48</v>
      </c>
      <c r="C69" s="170"/>
      <c r="D69" s="194" t="str">
        <f ca="1">IFERROR(__xludf.DUMMYFUNCTION("IF(J69="""",""n/a"",IFERROR(SPLIT(J69,""/"")))"),"Krispers")</f>
        <v>Krispers</v>
      </c>
      <c r="E69" s="194" t="str">
        <f ca="1">IFERROR(__xludf.DUMMYFUNCTION("""COMPUTED_VALUE"""),"pack")</f>
        <v>pack</v>
      </c>
      <c r="F69" s="194" t="str">
        <f ca="1">IFERROR(__xludf.DUMMYFUNCTION("""COMPUTED_VALUE"""),"1000grams")</f>
        <v>1000grams</v>
      </c>
      <c r="G69" s="170"/>
      <c r="H69" s="206" t="s">
        <v>1898</v>
      </c>
      <c r="I69" s="170"/>
      <c r="J69" s="46" t="s">
        <v>512</v>
      </c>
      <c r="K69" s="170"/>
      <c r="L69" s="197">
        <v>0.16500000000000001</v>
      </c>
      <c r="M69" s="208">
        <f>12400+1000</f>
        <v>13400</v>
      </c>
      <c r="N69" s="208">
        <v>1000</v>
      </c>
      <c r="O69" s="61" t="str">
        <f t="shared" ca="1" si="0"/>
        <v>pack</v>
      </c>
      <c r="P69" s="61" t="s">
        <v>39</v>
      </c>
      <c r="Q69" s="170"/>
      <c r="R69" s="170"/>
      <c r="S69" s="198">
        <f t="shared" si="1"/>
        <v>13400000</v>
      </c>
      <c r="T69" s="199" t="str">
        <f t="shared" si="2"/>
        <v>13400000grams</v>
      </c>
      <c r="U69" s="200">
        <f t="shared" si="3"/>
        <v>2211</v>
      </c>
      <c r="V69" s="12"/>
      <c r="W69" s="12"/>
    </row>
    <row r="70" spans="1:23" x14ac:dyDescent="0.3">
      <c r="A70" s="183" t="e">
        <f ca="1"/>
        <v>#NAME?</v>
      </c>
      <c r="B70" s="194" t="s">
        <v>513</v>
      </c>
      <c r="C70" s="170"/>
      <c r="D70" s="194" t="str">
        <f ca="1">IFERROR(__xludf.DUMMYFUNCTION("IF(J70="""",""n/a"",IFERROR(SPLIT(J70,""/"")))"),"n/a")</f>
        <v>n/a</v>
      </c>
      <c r="E70" s="170"/>
      <c r="F70" s="170"/>
      <c r="G70" s="170"/>
      <c r="H70" s="206" t="s">
        <v>1898</v>
      </c>
      <c r="I70" s="170"/>
      <c r="J70" s="170"/>
      <c r="K70" s="170"/>
      <c r="L70" s="197">
        <v>49</v>
      </c>
      <c r="M70" s="208">
        <v>2</v>
      </c>
      <c r="N70" s="208">
        <v>1</v>
      </c>
      <c r="O70" s="170">
        <f t="shared" si="0"/>
        <v>0</v>
      </c>
      <c r="P70" s="61" t="s">
        <v>39</v>
      </c>
      <c r="Q70" s="170"/>
      <c r="R70" s="170"/>
      <c r="S70" s="198">
        <f t="shared" si="1"/>
        <v>2</v>
      </c>
      <c r="T70" s="199" t="str">
        <f t="shared" si="2"/>
        <v>2grams</v>
      </c>
      <c r="U70" s="200">
        <f t="shared" si="3"/>
        <v>98</v>
      </c>
      <c r="V70" s="12"/>
      <c r="W70" s="12"/>
    </row>
    <row r="71" spans="1:23" x14ac:dyDescent="0.3">
      <c r="A71" s="183" t="e">
        <f ca="1"/>
        <v>#NAME?</v>
      </c>
      <c r="B71" s="194" t="s">
        <v>127</v>
      </c>
      <c r="C71" s="170"/>
      <c r="D71" s="194" t="str">
        <f ca="1">IFERROR(__xludf.DUMMYFUNCTION("IF(J71="""",""n/a"",IFERROR(SPLIT(J71,""/"")))"),"Tropical Brewed")</f>
        <v>Tropical Brewed</v>
      </c>
      <c r="E71" s="194" t="str">
        <f ca="1">IFERROR(__xludf.DUMMYFUNCTION("""COMPUTED_VALUE"""),"pack")</f>
        <v>pack</v>
      </c>
      <c r="F71" s="194">
        <f ca="1">IFERROR(__xludf.DUMMYFUNCTION("""COMPUTED_VALUE"""),1000)</f>
        <v>1000</v>
      </c>
      <c r="G71" s="170"/>
      <c r="H71" s="183" t="s">
        <v>1897</v>
      </c>
      <c r="I71" s="170"/>
      <c r="J71" s="46" t="s">
        <v>514</v>
      </c>
      <c r="K71" s="170"/>
      <c r="L71" s="195">
        <v>0.7</v>
      </c>
      <c r="M71" s="212">
        <v>2000</v>
      </c>
      <c r="N71" s="203">
        <v>1000</v>
      </c>
      <c r="O71" s="61" t="str">
        <f t="shared" ca="1" si="0"/>
        <v>pack</v>
      </c>
      <c r="P71" s="61" t="s">
        <v>39</v>
      </c>
      <c r="Q71" s="170"/>
      <c r="R71" s="192" t="str">
        <f>CONCATENATE(N71,P71)</f>
        <v>1000grams</v>
      </c>
      <c r="S71" s="198">
        <f t="shared" si="1"/>
        <v>2000000</v>
      </c>
      <c r="T71" s="199" t="str">
        <f t="shared" si="2"/>
        <v>2000000grams</v>
      </c>
      <c r="U71" s="200">
        <f t="shared" si="3"/>
        <v>1400</v>
      </c>
      <c r="V71" s="205">
        <f>U71/M71</f>
        <v>0.7</v>
      </c>
      <c r="W71" s="62"/>
    </row>
    <row r="72" spans="1:23" x14ac:dyDescent="0.3">
      <c r="A72" s="183" t="e">
        <f ca="1"/>
        <v>#NAME?</v>
      </c>
      <c r="B72" s="194" t="s">
        <v>127</v>
      </c>
      <c r="C72" s="170"/>
      <c r="D72" s="194" t="str">
        <f ca="1">IFERROR(__xludf.DUMMYFUNCTION("IF(J72="""",""n/a"",IFERROR(SPLIT(J72,""/"")))"),"Tropical Brewed")</f>
        <v>Tropical Brewed</v>
      </c>
      <c r="E72" s="194" t="str">
        <f ca="1">IFERROR(__xludf.DUMMYFUNCTION("""COMPUTED_VALUE"""),"pack")</f>
        <v>pack</v>
      </c>
      <c r="F72" s="194" t="str">
        <f ca="1">IFERROR(__xludf.DUMMYFUNCTION("""COMPUTED_VALUE"""),"500grams")</f>
        <v>500grams</v>
      </c>
      <c r="G72" s="170"/>
      <c r="H72" s="183" t="s">
        <v>1895</v>
      </c>
      <c r="I72" s="170"/>
      <c r="J72" s="46" t="s">
        <v>128</v>
      </c>
      <c r="K72" s="170"/>
      <c r="L72" s="195">
        <v>350</v>
      </c>
      <c r="M72" s="61">
        <v>3</v>
      </c>
      <c r="N72" s="61">
        <v>0.5</v>
      </c>
      <c r="O72" s="61" t="str">
        <f t="shared" ca="1" si="0"/>
        <v>pack</v>
      </c>
      <c r="P72" s="61" t="s">
        <v>39</v>
      </c>
      <c r="Q72" s="170"/>
      <c r="R72" s="170"/>
      <c r="S72" s="198">
        <f t="shared" si="1"/>
        <v>1.5</v>
      </c>
      <c r="T72" s="199" t="str">
        <f t="shared" si="2"/>
        <v>1.5grams</v>
      </c>
      <c r="U72" s="200">
        <f t="shared" si="3"/>
        <v>1050</v>
      </c>
      <c r="V72" s="12"/>
      <c r="W72" s="12"/>
    </row>
    <row r="73" spans="1:23" x14ac:dyDescent="0.3">
      <c r="A73" s="183" t="e">
        <f ca="1"/>
        <v>#NAME?</v>
      </c>
      <c r="B73" s="194" t="s">
        <v>127</v>
      </c>
      <c r="C73" s="170"/>
      <c r="D73" s="194" t="str">
        <f ca="1">IFERROR(__xludf.DUMMYFUNCTION("IF(J73="""",""n/a"",IFERROR(SPLIT(J73,""/"")))"),"n/a")</f>
        <v>n/a</v>
      </c>
      <c r="E73" s="170"/>
      <c r="F73" s="170"/>
      <c r="G73" s="170"/>
      <c r="H73" s="206" t="s">
        <v>1898</v>
      </c>
      <c r="I73" s="170"/>
      <c r="J73" s="170"/>
      <c r="K73" s="170"/>
      <c r="L73" s="197">
        <v>0.6</v>
      </c>
      <c r="M73" s="207">
        <v>2000</v>
      </c>
      <c r="N73" s="208">
        <v>1000</v>
      </c>
      <c r="O73" s="170">
        <f t="shared" si="0"/>
        <v>0</v>
      </c>
      <c r="P73" s="209" t="s">
        <v>39</v>
      </c>
      <c r="Q73" s="170"/>
      <c r="R73" s="170"/>
      <c r="S73" s="198">
        <f t="shared" si="1"/>
        <v>2000000</v>
      </c>
      <c r="T73" s="199" t="str">
        <f t="shared" si="2"/>
        <v>2000000grams</v>
      </c>
      <c r="U73" s="200">
        <f t="shared" si="3"/>
        <v>1200</v>
      </c>
      <c r="V73" s="12"/>
      <c r="W73" s="12"/>
    </row>
    <row r="74" spans="1:23" x14ac:dyDescent="0.3">
      <c r="A74" s="183" t="e">
        <f ca="1"/>
        <v>#NAME?</v>
      </c>
      <c r="B74" s="194" t="s">
        <v>235</v>
      </c>
      <c r="C74" s="170"/>
      <c r="D74" s="194" t="str">
        <f ca="1">IFERROR(__xludf.DUMMYFUNCTION("IF(J74="""",""n/a"",IFERROR(SPLIT(J74,""/"")))"),"Knorr")</f>
        <v>Knorr</v>
      </c>
      <c r="E74" s="194" t="str">
        <f ca="1">IFERROR(__xludf.DUMMYFUNCTION("""COMPUTED_VALUE"""),"box")</f>
        <v>box</v>
      </c>
      <c r="F74" s="194" t="str">
        <f ca="1">IFERROR(__xludf.DUMMYFUNCTION("""COMPUTED_VALUE"""),"grams")</f>
        <v>grams</v>
      </c>
      <c r="G74" s="194" t="str">
        <f ca="1">IFERROR(__xludf.DUMMYFUNCTION("""COMPUTED_VALUE"""),"12pcs")</f>
        <v>12pcs</v>
      </c>
      <c r="H74" s="183" t="s">
        <v>1897</v>
      </c>
      <c r="I74" s="170"/>
      <c r="J74" s="46" t="s">
        <v>515</v>
      </c>
      <c r="K74" s="170"/>
      <c r="L74" s="197">
        <v>0.56666666666666665</v>
      </c>
      <c r="M74" s="203">
        <v>240</v>
      </c>
      <c r="N74" s="203">
        <v>120</v>
      </c>
      <c r="O74" s="61" t="str">
        <f t="shared" ca="1" si="0"/>
        <v>box</v>
      </c>
      <c r="P74" s="61" t="s">
        <v>39</v>
      </c>
      <c r="Q74" s="170"/>
      <c r="R74" s="192" t="str">
        <f t="shared" ref="R74:R75" si="9">CONCATENATE(N74,P74)</f>
        <v>120grams</v>
      </c>
      <c r="S74" s="198">
        <f t="shared" si="1"/>
        <v>28800</v>
      </c>
      <c r="T74" s="199" t="str">
        <f t="shared" si="2"/>
        <v>28800grams</v>
      </c>
      <c r="U74" s="200">
        <f t="shared" si="3"/>
        <v>136</v>
      </c>
      <c r="V74" s="205">
        <f t="shared" ref="V74:V75" si="10">U74/M74</f>
        <v>0.56666666666666665</v>
      </c>
      <c r="W74" s="62"/>
    </row>
    <row r="75" spans="1:23" x14ac:dyDescent="0.3">
      <c r="A75" s="183" t="e">
        <f ca="1"/>
        <v>#NAME?</v>
      </c>
      <c r="B75" s="194" t="s">
        <v>235</v>
      </c>
      <c r="C75" s="170"/>
      <c r="D75" s="194" t="str">
        <f ca="1">IFERROR(__xludf.DUMMYFUNCTION("IF(J75="""",""n/a"",IFERROR(SPLIT(J75,""/"")))"),"Mc Cormick")</f>
        <v>Mc Cormick</v>
      </c>
      <c r="E75" s="194" t="str">
        <f ca="1">IFERROR(__xludf.DUMMYFUNCTION("""COMPUTED_VALUE"""),"bottle")</f>
        <v>bottle</v>
      </c>
      <c r="F75" s="194" t="str">
        <f ca="1">IFERROR(__xludf.DUMMYFUNCTION("""COMPUTED_VALUE"""),"30ml")</f>
        <v>30ml</v>
      </c>
      <c r="G75" s="170"/>
      <c r="H75" s="183" t="s">
        <v>1897</v>
      </c>
      <c r="I75" s="170"/>
      <c r="J75" s="46" t="s">
        <v>516</v>
      </c>
      <c r="K75" s="170"/>
      <c r="L75" s="195">
        <v>2.1666666666666665</v>
      </c>
      <c r="M75" s="213">
        <v>30</v>
      </c>
      <c r="N75" s="202">
        <v>30</v>
      </c>
      <c r="O75" s="61" t="str">
        <f t="shared" ca="1" si="0"/>
        <v>bottle</v>
      </c>
      <c r="P75" s="197" t="s">
        <v>32</v>
      </c>
      <c r="Q75" s="61" t="s">
        <v>33</v>
      </c>
      <c r="R75" s="192" t="str">
        <f t="shared" si="9"/>
        <v>30ml</v>
      </c>
      <c r="S75" s="198">
        <f t="shared" si="1"/>
        <v>900</v>
      </c>
      <c r="T75" s="199" t="str">
        <f t="shared" si="2"/>
        <v>900 ml</v>
      </c>
      <c r="U75" s="200">
        <f t="shared" si="3"/>
        <v>65</v>
      </c>
      <c r="V75" s="205">
        <f t="shared" si="10"/>
        <v>2.1666666666666665</v>
      </c>
      <c r="W75" s="62"/>
    </row>
    <row r="76" spans="1:23" x14ac:dyDescent="0.3">
      <c r="A76" s="183" t="e">
        <f ca="1"/>
        <v>#NAME?</v>
      </c>
      <c r="B76" s="194" t="s">
        <v>235</v>
      </c>
      <c r="C76" s="170"/>
      <c r="D76" s="194" t="str">
        <f ca="1">IFERROR(__xludf.DUMMYFUNCTION("IF(J76="""",""n/a"",IFERROR(SPLIT(J76,""/"")))"),"Knorr")</f>
        <v>Knorr</v>
      </c>
      <c r="E76" s="194" t="str">
        <f ca="1">IFERROR(__xludf.DUMMYFUNCTION("""COMPUTED_VALUE"""),"box")</f>
        <v>box</v>
      </c>
      <c r="F76" s="194" t="str">
        <f ca="1">IFERROR(__xludf.DUMMYFUNCTION("""COMPUTED_VALUE"""),"60grams")</f>
        <v>60grams</v>
      </c>
      <c r="G76" s="170"/>
      <c r="H76" s="183" t="s">
        <v>1895</v>
      </c>
      <c r="I76" s="170"/>
      <c r="J76" s="46" t="s">
        <v>236</v>
      </c>
      <c r="K76" s="170"/>
      <c r="L76" s="195">
        <v>35.200000000000003</v>
      </c>
      <c r="M76" s="61">
        <v>2</v>
      </c>
      <c r="N76" s="61">
        <v>1</v>
      </c>
      <c r="O76" s="61" t="str">
        <f t="shared" ca="1" si="0"/>
        <v>box</v>
      </c>
      <c r="P76" s="61" t="s">
        <v>39</v>
      </c>
      <c r="Q76" s="170"/>
      <c r="R76" s="170"/>
      <c r="S76" s="198">
        <f t="shared" si="1"/>
        <v>2</v>
      </c>
      <c r="T76" s="199" t="str">
        <f t="shared" si="2"/>
        <v>2grams</v>
      </c>
      <c r="U76" s="200">
        <f t="shared" si="3"/>
        <v>70.400000000000006</v>
      </c>
      <c r="V76" s="12"/>
      <c r="W76" s="12"/>
    </row>
    <row r="77" spans="1:23" x14ac:dyDescent="0.3">
      <c r="A77" s="183" t="e">
        <f ca="1"/>
        <v>#NAME?</v>
      </c>
      <c r="B77" s="194" t="s">
        <v>237</v>
      </c>
      <c r="C77" s="170"/>
      <c r="D77" s="194" t="str">
        <f ca="1">IFERROR(__xludf.DUMMYFUNCTION("IF(J77="""",""n/a"",IFERROR(SPLIT(J77,""/"")))"),"Knorr")</f>
        <v>Knorr</v>
      </c>
      <c r="E77" s="194" t="str">
        <f ca="1">IFERROR(__xludf.DUMMYFUNCTION("""COMPUTED_VALUE"""),"box")</f>
        <v>box</v>
      </c>
      <c r="F77" s="194" t="str">
        <f ca="1">IFERROR(__xludf.DUMMYFUNCTION("""COMPUTED_VALUE"""),"grams")</f>
        <v>grams</v>
      </c>
      <c r="G77" s="170"/>
      <c r="H77" s="183" t="s">
        <v>1897</v>
      </c>
      <c r="I77" s="170"/>
      <c r="J77" s="46" t="s">
        <v>517</v>
      </c>
      <c r="K77" s="170"/>
      <c r="L77" s="197">
        <v>0.56833333333333336</v>
      </c>
      <c r="M77" s="203">
        <v>240</v>
      </c>
      <c r="N77" s="203">
        <v>120</v>
      </c>
      <c r="O77" s="61" t="str">
        <f t="shared" ca="1" si="0"/>
        <v>box</v>
      </c>
      <c r="P77" s="61" t="s">
        <v>39</v>
      </c>
      <c r="Q77" s="170"/>
      <c r="R77" s="192" t="str">
        <f>CONCATENATE(N77,P77)</f>
        <v>120grams</v>
      </c>
      <c r="S77" s="198">
        <f t="shared" si="1"/>
        <v>28800</v>
      </c>
      <c r="T77" s="199" t="str">
        <f t="shared" si="2"/>
        <v>28800grams</v>
      </c>
      <c r="U77" s="200">
        <f t="shared" si="3"/>
        <v>136.4</v>
      </c>
      <c r="V77" s="205">
        <f>U77/M77</f>
        <v>0.56833333333333336</v>
      </c>
      <c r="W77" s="62"/>
    </row>
    <row r="78" spans="1:23" x14ac:dyDescent="0.3">
      <c r="A78" s="183" t="e">
        <f ca="1"/>
        <v>#NAME?</v>
      </c>
      <c r="B78" s="194" t="s">
        <v>237</v>
      </c>
      <c r="C78" s="170"/>
      <c r="D78" s="194" t="str">
        <f ca="1">IFERROR(__xludf.DUMMYFUNCTION("IF(J78="""",""n/a"",IFERROR(SPLIT(J78,""/"")))"),"Knorr")</f>
        <v>Knorr</v>
      </c>
      <c r="E78" s="194" t="str">
        <f ca="1">IFERROR(__xludf.DUMMYFUNCTION("""COMPUTED_VALUE"""),"box")</f>
        <v>box</v>
      </c>
      <c r="F78" s="194" t="str">
        <f ca="1">IFERROR(__xludf.DUMMYFUNCTION("""COMPUTED_VALUE"""),"60grams")</f>
        <v>60grams</v>
      </c>
      <c r="G78" s="170"/>
      <c r="H78" s="183" t="s">
        <v>1895</v>
      </c>
      <c r="I78" s="170"/>
      <c r="J78" s="46" t="s">
        <v>236</v>
      </c>
      <c r="K78" s="170"/>
      <c r="L78" s="195">
        <v>35.200000000000003</v>
      </c>
      <c r="M78" s="61">
        <v>3</v>
      </c>
      <c r="N78" s="61">
        <v>1</v>
      </c>
      <c r="O78" s="61" t="str">
        <f t="shared" ca="1" si="0"/>
        <v>box</v>
      </c>
      <c r="P78" s="61" t="s">
        <v>39</v>
      </c>
      <c r="Q78" s="170"/>
      <c r="R78" s="170"/>
      <c r="S78" s="198">
        <f t="shared" si="1"/>
        <v>3</v>
      </c>
      <c r="T78" s="199" t="str">
        <f t="shared" si="2"/>
        <v>3grams</v>
      </c>
      <c r="U78" s="200">
        <f t="shared" si="3"/>
        <v>105.60000000000001</v>
      </c>
      <c r="V78" s="12"/>
      <c r="W78" s="12"/>
    </row>
    <row r="79" spans="1:23" x14ac:dyDescent="0.3">
      <c r="A79" s="183" t="e">
        <f ca="1"/>
        <v>#NAME?</v>
      </c>
      <c r="B79" s="194" t="s">
        <v>518</v>
      </c>
      <c r="C79" s="170"/>
      <c r="D79" s="194" t="str">
        <f ca="1">IFERROR(__xludf.DUMMYFUNCTION("IF(J79="""",""n/a"",IFERROR(SPLIT(J79,""/"")))"),"Knorr")</f>
        <v>Knorr</v>
      </c>
      <c r="E79" s="194" t="str">
        <f ca="1">IFERROR(__xludf.DUMMYFUNCTION("""COMPUTED_VALUE"""),"box")</f>
        <v>box</v>
      </c>
      <c r="F79" s="194" t="str">
        <f ca="1">IFERROR(__xludf.DUMMYFUNCTION("""COMPUTED_VALUE"""),"grams")</f>
        <v>grams</v>
      </c>
      <c r="G79" s="170"/>
      <c r="H79" s="183" t="s">
        <v>1897</v>
      </c>
      <c r="I79" s="170"/>
      <c r="J79" s="46" t="s">
        <v>517</v>
      </c>
      <c r="K79" s="170"/>
      <c r="L79" s="197">
        <v>0.56833333333333336</v>
      </c>
      <c r="M79" s="203">
        <v>120</v>
      </c>
      <c r="N79" s="203">
        <v>120</v>
      </c>
      <c r="O79" s="61" t="str">
        <f t="shared" ca="1" si="0"/>
        <v>box</v>
      </c>
      <c r="P79" s="61" t="s">
        <v>39</v>
      </c>
      <c r="Q79" s="61" t="s">
        <v>33</v>
      </c>
      <c r="R79" s="192" t="str">
        <f>CONCATENATE(N79,P79)</f>
        <v>120grams</v>
      </c>
      <c r="S79" s="198">
        <f t="shared" si="1"/>
        <v>14400</v>
      </c>
      <c r="T79" s="199" t="str">
        <f t="shared" si="2"/>
        <v>14400 grams</v>
      </c>
      <c r="U79" s="200">
        <f t="shared" si="3"/>
        <v>68.2</v>
      </c>
      <c r="V79" s="205">
        <f>U79/M79</f>
        <v>0.56833333333333336</v>
      </c>
      <c r="W79" s="62"/>
    </row>
    <row r="80" spans="1:23" x14ac:dyDescent="0.3">
      <c r="A80" s="183" t="e">
        <f ca="1"/>
        <v>#NAME?</v>
      </c>
      <c r="B80" s="194" t="s">
        <v>343</v>
      </c>
      <c r="C80" s="170"/>
      <c r="D80" s="194" t="str">
        <f ca="1">IFERROR(__xludf.DUMMYFUNCTION("IF(J80="""",""n/a"",IFERROR(SPLIT(J80,""/"")))"),"n/a")</f>
        <v>n/a</v>
      </c>
      <c r="E80" s="170"/>
      <c r="F80" s="170"/>
      <c r="G80" s="170"/>
      <c r="H80" s="183" t="s">
        <v>1895</v>
      </c>
      <c r="I80" s="170"/>
      <c r="J80" s="170"/>
      <c r="K80" s="170"/>
      <c r="L80" s="195">
        <v>47</v>
      </c>
      <c r="M80" s="61">
        <v>4</v>
      </c>
      <c r="N80" s="61">
        <v>1</v>
      </c>
      <c r="O80" s="170">
        <f t="shared" si="0"/>
        <v>0</v>
      </c>
      <c r="P80" s="61" t="s">
        <v>304</v>
      </c>
      <c r="Q80" s="170"/>
      <c r="R80" s="170"/>
      <c r="S80" s="198">
        <f t="shared" si="1"/>
        <v>4</v>
      </c>
      <c r="T80" s="199" t="str">
        <f t="shared" si="2"/>
        <v>4packs</v>
      </c>
      <c r="U80" s="200">
        <f t="shared" si="3"/>
        <v>188</v>
      </c>
      <c r="V80" s="12"/>
      <c r="W80" s="12"/>
    </row>
    <row r="81" spans="1:23" x14ac:dyDescent="0.3">
      <c r="A81" s="183" t="e">
        <f ca="1"/>
        <v>#NAME?</v>
      </c>
      <c r="B81" s="194" t="s">
        <v>344</v>
      </c>
      <c r="C81" s="170"/>
      <c r="D81" s="194" t="str">
        <f ca="1">IFERROR(__xludf.DUMMYFUNCTION("IF(J81="""",""n/a"",IFERROR(SPLIT(J81,""/"")))"),"n/a")</f>
        <v>n/a</v>
      </c>
      <c r="E81" s="170"/>
      <c r="F81" s="170"/>
      <c r="G81" s="170"/>
      <c r="H81" s="183" t="s">
        <v>1895</v>
      </c>
      <c r="I81" s="170"/>
      <c r="J81" s="170"/>
      <c r="K81" s="170"/>
      <c r="L81" s="195">
        <v>45</v>
      </c>
      <c r="M81" s="61">
        <v>3</v>
      </c>
      <c r="N81" s="61">
        <v>1</v>
      </c>
      <c r="O81" s="170">
        <f t="shared" si="0"/>
        <v>0</v>
      </c>
      <c r="P81" s="61" t="s">
        <v>304</v>
      </c>
      <c r="Q81" s="170"/>
      <c r="R81" s="170"/>
      <c r="S81" s="198">
        <f t="shared" si="1"/>
        <v>3</v>
      </c>
      <c r="T81" s="199" t="str">
        <f t="shared" si="2"/>
        <v>3packs</v>
      </c>
      <c r="U81" s="200">
        <f t="shared" si="3"/>
        <v>135</v>
      </c>
      <c r="V81" s="12"/>
      <c r="W81" s="12"/>
    </row>
    <row r="82" spans="1:23" x14ac:dyDescent="0.3">
      <c r="A82" s="183" t="e">
        <f ca="1"/>
        <v>#NAME?</v>
      </c>
      <c r="B82" s="194" t="s">
        <v>372</v>
      </c>
      <c r="C82" s="170"/>
      <c r="D82" s="194" t="str">
        <f ca="1">IFERROR(__xludf.DUMMYFUNCTION("IF(J82="""",""n/a"",IFERROR(SPLIT(J82,""/"")))"),"Nissin")</f>
        <v>Nissin</v>
      </c>
      <c r="E82" s="194" t="str">
        <f ca="1">IFERROR(__xludf.DUMMYFUNCTION("""COMPUTED_VALUE"""),"pack (10pcsx28grams)")</f>
        <v>pack (10pcsx28grams)</v>
      </c>
      <c r="F82" s="170"/>
      <c r="G82" s="170"/>
      <c r="H82" s="183" t="s">
        <v>1895</v>
      </c>
      <c r="I82" s="170"/>
      <c r="J82" s="46" t="s">
        <v>373</v>
      </c>
      <c r="K82" s="170"/>
      <c r="L82" s="195">
        <v>21.26</v>
      </c>
      <c r="M82" s="61">
        <v>60</v>
      </c>
      <c r="N82" s="61">
        <v>1</v>
      </c>
      <c r="O82" s="61" t="str">
        <f t="shared" ca="1" si="0"/>
        <v>pack (10pcsx28grams)</v>
      </c>
      <c r="P82" s="61" t="s">
        <v>92</v>
      </c>
      <c r="Q82" s="170"/>
      <c r="R82" s="170"/>
      <c r="S82" s="198">
        <f t="shared" si="1"/>
        <v>60</v>
      </c>
      <c r="T82" s="199" t="str">
        <f t="shared" si="2"/>
        <v>60pieces</v>
      </c>
      <c r="U82" s="200">
        <f t="shared" si="3"/>
        <v>1275.6000000000001</v>
      </c>
      <c r="V82" s="12"/>
      <c r="W82" s="12"/>
    </row>
    <row r="83" spans="1:23" x14ac:dyDescent="0.3">
      <c r="A83" s="183" t="e">
        <f ca="1"/>
        <v>#NAME?</v>
      </c>
      <c r="B83" s="214" t="s">
        <v>168</v>
      </c>
      <c r="C83" s="215"/>
      <c r="D83" s="194" t="str">
        <f ca="1">IFERROR(__xludf.DUMMYFUNCTION("IF(J83="""",""n/a"",IFERROR(SPLIT(J83,""/"")))"),"Jolly")</f>
        <v>Jolly</v>
      </c>
      <c r="E83" s="214" t="str">
        <f ca="1">IFERROR(__xludf.DUMMYFUNCTION("""COMPUTED_VALUE"""),"can")</f>
        <v>can</v>
      </c>
      <c r="F83" s="214" t="str">
        <f ca="1">IFERROR(__xludf.DUMMYFUNCTION("""COMPUTED_VALUE"""),"400grams.200grams drained weight")</f>
        <v>400grams.200grams drained weight</v>
      </c>
      <c r="G83" s="215"/>
      <c r="H83" s="183" t="s">
        <v>1895</v>
      </c>
      <c r="I83" s="170"/>
      <c r="J83" s="46" t="s">
        <v>169</v>
      </c>
      <c r="K83" s="170"/>
      <c r="L83" s="195">
        <v>57.61</v>
      </c>
      <c r="M83" s="61">
        <v>23.204999999999998</v>
      </c>
      <c r="N83" s="170"/>
      <c r="O83" s="61" t="str">
        <f t="shared" ca="1" si="0"/>
        <v>can</v>
      </c>
      <c r="P83" s="61" t="s">
        <v>519</v>
      </c>
      <c r="Q83" s="170"/>
      <c r="R83" s="170"/>
      <c r="S83" s="198">
        <f t="shared" si="1"/>
        <v>0</v>
      </c>
      <c r="T83" s="199" t="str">
        <f t="shared" si="2"/>
        <v>0drained weight grams</v>
      </c>
      <c r="U83" s="200">
        <f t="shared" si="3"/>
        <v>1336.8400499999998</v>
      </c>
      <c r="V83" s="12"/>
      <c r="W83" s="12"/>
    </row>
    <row r="84" spans="1:23" x14ac:dyDescent="0.3">
      <c r="A84" s="183" t="e">
        <f ca="1"/>
        <v>#NAME?</v>
      </c>
      <c r="B84" s="194" t="s">
        <v>520</v>
      </c>
      <c r="C84" s="170"/>
      <c r="D84" s="194" t="str">
        <f ca="1">IFERROR(__xludf.DUMMYFUNCTION("IF(J84="""",""n/a"",IFERROR(SPLIT(J84,""/"")))"),"Pepsi")</f>
        <v>Pepsi</v>
      </c>
      <c r="E84" s="194" t="str">
        <f ca="1">IFERROR(__xludf.DUMMYFUNCTION("""COMPUTED_VALUE"""),"box (24x230ml)")</f>
        <v>box (24x230ml)</v>
      </c>
      <c r="F84" s="170"/>
      <c r="G84" s="170"/>
      <c r="H84" s="183" t="s">
        <v>1895</v>
      </c>
      <c r="I84" s="170"/>
      <c r="J84" s="46" t="s">
        <v>94</v>
      </c>
      <c r="K84" s="170"/>
      <c r="L84" s="195">
        <v>12.49</v>
      </c>
      <c r="M84" s="61">
        <v>317</v>
      </c>
      <c r="N84" s="61">
        <v>24</v>
      </c>
      <c r="O84" s="61" t="str">
        <f t="shared" ca="1" si="0"/>
        <v>box (24x230ml)</v>
      </c>
      <c r="P84" s="61" t="s">
        <v>92</v>
      </c>
      <c r="Q84" s="170"/>
      <c r="R84" s="170"/>
      <c r="S84" s="198">
        <f t="shared" si="1"/>
        <v>7608</v>
      </c>
      <c r="T84" s="199" t="str">
        <f t="shared" si="2"/>
        <v>7608pieces</v>
      </c>
      <c r="U84" s="200">
        <f t="shared" si="3"/>
        <v>3959.33</v>
      </c>
      <c r="V84" s="12"/>
      <c r="W84" s="12"/>
    </row>
    <row r="85" spans="1:23" x14ac:dyDescent="0.3">
      <c r="A85" s="183" t="e">
        <f ca="1"/>
        <v>#NAME?</v>
      </c>
      <c r="B85" s="194" t="s">
        <v>450</v>
      </c>
      <c r="C85" s="170"/>
      <c r="D85" s="194" t="str">
        <f ca="1">IFERROR(__xludf.DUMMYFUNCTION("IF(J85="""",""n/a"",IFERROR(SPLIT(J85,""/"")))"),"Fresh")</f>
        <v>Fresh</v>
      </c>
      <c r="E85" s="170"/>
      <c r="F85" s="170"/>
      <c r="G85" s="170"/>
      <c r="H85" s="183" t="s">
        <v>1897</v>
      </c>
      <c r="I85" s="170"/>
      <c r="J85" s="46" t="s">
        <v>216</v>
      </c>
      <c r="K85" s="170"/>
      <c r="L85" s="216">
        <v>6.2E-2</v>
      </c>
      <c r="M85" s="203">
        <v>5000</v>
      </c>
      <c r="N85" s="203">
        <v>1000</v>
      </c>
      <c r="O85" s="170">
        <f t="shared" si="0"/>
        <v>0</v>
      </c>
      <c r="P85" s="61" t="s">
        <v>39</v>
      </c>
      <c r="Q85" s="170"/>
      <c r="R85" s="192" t="str">
        <f>CONCATENATE(N85,P85)</f>
        <v>1000grams</v>
      </c>
      <c r="S85" s="198">
        <f t="shared" si="1"/>
        <v>5000000</v>
      </c>
      <c r="T85" s="199" t="str">
        <f t="shared" si="2"/>
        <v>5000000grams</v>
      </c>
      <c r="U85" s="200">
        <f t="shared" si="3"/>
        <v>310</v>
      </c>
      <c r="V85" s="12"/>
      <c r="W85" s="12"/>
    </row>
    <row r="86" spans="1:23" x14ac:dyDescent="0.3">
      <c r="A86" s="183" t="e">
        <f ca="1"/>
        <v>#NAME?</v>
      </c>
      <c r="B86" s="194" t="s">
        <v>450</v>
      </c>
      <c r="C86" s="170"/>
      <c r="D86" s="194" t="str">
        <f ca="1">IFERROR(__xludf.DUMMYFUNCTION("IF(J86="""",""n/a"",IFERROR(SPLIT(J86,""/"")))"),"Fresh")</f>
        <v>Fresh</v>
      </c>
      <c r="E86" s="170"/>
      <c r="F86" s="170"/>
      <c r="G86" s="170"/>
      <c r="H86" s="183" t="s">
        <v>1895</v>
      </c>
      <c r="I86" s="170"/>
      <c r="J86" s="46" t="s">
        <v>216</v>
      </c>
      <c r="K86" s="170"/>
      <c r="L86" s="195">
        <v>110</v>
      </c>
      <c r="M86" s="61">
        <v>2</v>
      </c>
      <c r="N86" s="61">
        <v>1</v>
      </c>
      <c r="O86" s="170">
        <f t="shared" si="0"/>
        <v>0</v>
      </c>
      <c r="P86" s="61" t="s">
        <v>39</v>
      </c>
      <c r="Q86" s="170"/>
      <c r="R86" s="170"/>
      <c r="S86" s="198">
        <f t="shared" si="1"/>
        <v>2</v>
      </c>
      <c r="T86" s="199" t="str">
        <f t="shared" si="2"/>
        <v>2grams</v>
      </c>
      <c r="U86" s="200">
        <f t="shared" si="3"/>
        <v>220</v>
      </c>
      <c r="V86" s="12"/>
      <c r="W86" s="12"/>
    </row>
    <row r="87" spans="1:23" x14ac:dyDescent="0.3">
      <c r="A87" s="183" t="e">
        <f ca="1"/>
        <v>#NAME?</v>
      </c>
      <c r="B87" s="194" t="s">
        <v>521</v>
      </c>
      <c r="C87" s="170"/>
      <c r="D87" s="194" t="str">
        <f ca="1">IFERROR(__xludf.DUMMYFUNCTION("IF(J87="""",""n/a"",IFERROR(SPLIT(J87,""/"")))"),"Alaska")</f>
        <v>Alaska</v>
      </c>
      <c r="E87" s="194" t="str">
        <f ca="1">IFERROR(__xludf.DUMMYFUNCTION("""COMPUTED_VALUE"""),"box (48x80ml)")</f>
        <v>box (48x80ml)</v>
      </c>
      <c r="F87" s="170"/>
      <c r="G87" s="170"/>
      <c r="H87" s="183" t="s">
        <v>1897</v>
      </c>
      <c r="I87" s="170"/>
      <c r="J87" s="46" t="s">
        <v>522</v>
      </c>
      <c r="K87" s="170"/>
      <c r="L87" s="195">
        <v>7.68</v>
      </c>
      <c r="M87" s="203">
        <v>6</v>
      </c>
      <c r="N87" s="203">
        <v>1</v>
      </c>
      <c r="O87" s="61" t="str">
        <f t="shared" ca="1" si="0"/>
        <v>box (48x80ml)</v>
      </c>
      <c r="P87" s="61" t="s">
        <v>92</v>
      </c>
      <c r="Q87" s="170"/>
      <c r="R87" s="192" t="str">
        <f t="shared" ref="R87:R88" si="11">CONCATENATE(N87,P87)</f>
        <v>1pieces</v>
      </c>
      <c r="S87" s="198">
        <f t="shared" si="1"/>
        <v>6</v>
      </c>
      <c r="T87" s="199" t="str">
        <f t="shared" si="2"/>
        <v>6pieces</v>
      </c>
      <c r="U87" s="200">
        <f t="shared" si="3"/>
        <v>46.08</v>
      </c>
      <c r="V87" s="205">
        <f>U87/M87</f>
        <v>7.68</v>
      </c>
      <c r="W87" s="62"/>
    </row>
    <row r="88" spans="1:23" x14ac:dyDescent="0.3">
      <c r="A88" s="183" t="e">
        <f ca="1"/>
        <v>#NAME?</v>
      </c>
      <c r="B88" s="194" t="s">
        <v>521</v>
      </c>
      <c r="C88" s="170"/>
      <c r="D88" s="194" t="str">
        <f ca="1">IFERROR(__xludf.DUMMYFUNCTION("IF(J88="""",""n/a"",IFERROR(SPLIT(J88,""/"")))"),"Fudgee bar")</f>
        <v>Fudgee bar</v>
      </c>
      <c r="E88" s="194" t="str">
        <f ca="1">IFERROR(__xludf.DUMMYFUNCTION("""COMPUTED_VALUE"""),"pack (10pcsx40grams)")</f>
        <v>pack (10pcsx40grams)</v>
      </c>
      <c r="F88" s="170"/>
      <c r="G88" s="170"/>
      <c r="H88" s="183" t="s">
        <v>1897</v>
      </c>
      <c r="I88" s="170"/>
      <c r="J88" s="46" t="s">
        <v>523</v>
      </c>
      <c r="K88" s="170"/>
      <c r="L88" s="195">
        <v>7.67</v>
      </c>
      <c r="M88" s="203">
        <v>14</v>
      </c>
      <c r="N88" s="203">
        <v>1</v>
      </c>
      <c r="O88" s="61" t="str">
        <f t="shared" ca="1" si="0"/>
        <v>pack (10pcsx40grams)</v>
      </c>
      <c r="P88" s="61" t="s">
        <v>92</v>
      </c>
      <c r="Q88" s="170"/>
      <c r="R88" s="192" t="str">
        <f t="shared" si="11"/>
        <v>1pieces</v>
      </c>
      <c r="S88" s="198">
        <f t="shared" si="1"/>
        <v>14</v>
      </c>
      <c r="T88" s="199" t="str">
        <f t="shared" si="2"/>
        <v>14pieces</v>
      </c>
      <c r="U88" s="200">
        <f t="shared" si="3"/>
        <v>107.38</v>
      </c>
      <c r="V88" s="12"/>
      <c r="W88" s="12"/>
    </row>
    <row r="89" spans="1:23" x14ac:dyDescent="0.3">
      <c r="A89" s="183" t="e">
        <f ca="1"/>
        <v>#NAME?</v>
      </c>
      <c r="B89" s="194" t="s">
        <v>50</v>
      </c>
      <c r="C89" s="170"/>
      <c r="D89" s="194" t="str">
        <f ca="1">IFERROR(__xludf.DUMMYFUNCTION("IF(J89="""",""n/a"",IFERROR(SPLIT(J89,""/"")))"),"pack")</f>
        <v>pack</v>
      </c>
      <c r="E89" s="194" t="str">
        <f ca="1">IFERROR(__xludf.DUMMYFUNCTION("""COMPUTED_VALUE"""),"1000grams")</f>
        <v>1000grams</v>
      </c>
      <c r="F89" s="170"/>
      <c r="G89" s="170"/>
      <c r="H89" s="183" t="s">
        <v>1895</v>
      </c>
      <c r="I89" s="170"/>
      <c r="J89" s="46" t="s">
        <v>51</v>
      </c>
      <c r="K89" s="170"/>
      <c r="L89" s="195">
        <v>75</v>
      </c>
      <c r="M89" s="61">
        <v>2</v>
      </c>
      <c r="N89" s="61">
        <v>1000</v>
      </c>
      <c r="O89" s="61" t="str">
        <f t="shared" ca="1" si="0"/>
        <v>1000grams</v>
      </c>
      <c r="P89" s="61" t="s">
        <v>39</v>
      </c>
      <c r="Q89" s="170"/>
      <c r="R89" s="170"/>
      <c r="S89" s="198">
        <f t="shared" si="1"/>
        <v>2000</v>
      </c>
      <c r="T89" s="199" t="str">
        <f t="shared" si="2"/>
        <v>2000grams</v>
      </c>
      <c r="U89" s="200">
        <f t="shared" si="3"/>
        <v>150</v>
      </c>
      <c r="V89" s="12"/>
      <c r="W89" s="12"/>
    </row>
    <row r="90" spans="1:23" x14ac:dyDescent="0.3">
      <c r="A90" s="183" t="e">
        <f ca="1"/>
        <v>#NAME?</v>
      </c>
      <c r="B90" s="194" t="s">
        <v>524</v>
      </c>
      <c r="C90" s="170"/>
      <c r="D90" s="194" t="str">
        <f ca="1">IFERROR(__xludf.DUMMYFUNCTION("IF(J90="""",""n/a"",IFERROR(SPLIT(J90,""/"")))"),"Fresh")</f>
        <v>Fresh</v>
      </c>
      <c r="E90" s="170"/>
      <c r="F90" s="170"/>
      <c r="G90" s="170"/>
      <c r="H90" s="183" t="s">
        <v>1897</v>
      </c>
      <c r="I90" s="170"/>
      <c r="J90" s="46" t="s">
        <v>216</v>
      </c>
      <c r="K90" s="170"/>
      <c r="L90" s="217">
        <v>145</v>
      </c>
      <c r="M90" s="203">
        <v>4</v>
      </c>
      <c r="N90" s="203">
        <v>1</v>
      </c>
      <c r="O90" s="170">
        <f t="shared" si="0"/>
        <v>0</v>
      </c>
      <c r="P90" s="61" t="s">
        <v>39</v>
      </c>
      <c r="Q90" s="170"/>
      <c r="R90" s="192" t="str">
        <f>CONCATENATE(N90,P90)</f>
        <v>1grams</v>
      </c>
      <c r="S90" s="198">
        <f t="shared" si="1"/>
        <v>4</v>
      </c>
      <c r="T90" s="199" t="str">
        <f t="shared" si="2"/>
        <v>4grams</v>
      </c>
      <c r="U90" s="200">
        <f t="shared" si="3"/>
        <v>580</v>
      </c>
      <c r="V90" s="12"/>
      <c r="W90" s="12"/>
    </row>
    <row r="91" spans="1:23" x14ac:dyDescent="0.3">
      <c r="A91" s="183" t="e">
        <f ca="1"/>
        <v>#NAME?</v>
      </c>
      <c r="B91" s="194" t="s">
        <v>525</v>
      </c>
      <c r="C91" s="170"/>
      <c r="D91" s="194" t="str">
        <f ca="1">IFERROR(__xludf.DUMMYFUNCTION("IF(J91="""",""n/a"",IFERROR(SPLIT(J91,""/"")))"),"n/a")</f>
        <v>n/a</v>
      </c>
      <c r="E91" s="170"/>
      <c r="F91" s="170"/>
      <c r="G91" s="170"/>
      <c r="H91" s="206" t="s">
        <v>1898</v>
      </c>
      <c r="I91" s="170"/>
      <c r="J91" s="170"/>
      <c r="K91" s="170"/>
      <c r="L91" s="197">
        <v>124.35</v>
      </c>
      <c r="M91" s="208">
        <v>1</v>
      </c>
      <c r="N91" s="208">
        <v>1</v>
      </c>
      <c r="O91" s="170">
        <f t="shared" si="0"/>
        <v>0</v>
      </c>
      <c r="P91" s="61" t="s">
        <v>92</v>
      </c>
      <c r="Q91" s="170"/>
      <c r="R91" s="170"/>
      <c r="S91" s="198">
        <f t="shared" si="1"/>
        <v>1</v>
      </c>
      <c r="T91" s="199" t="str">
        <f t="shared" si="2"/>
        <v>1pieces</v>
      </c>
      <c r="U91" s="200">
        <f t="shared" si="3"/>
        <v>124.35</v>
      </c>
      <c r="V91" s="12"/>
      <c r="W91" s="12"/>
    </row>
    <row r="92" spans="1:23" x14ac:dyDescent="0.3">
      <c r="A92" s="183" t="e">
        <f ca="1"/>
        <v>#NAME?</v>
      </c>
      <c r="B92" s="194" t="s">
        <v>526</v>
      </c>
      <c r="C92" s="170"/>
      <c r="D92" s="194" t="str">
        <f ca="1">IFERROR(__xludf.DUMMYFUNCTION("IF(J92="""",""n/a"",IFERROR(SPLIT(J92,""/"")))"),"n/a")</f>
        <v>n/a</v>
      </c>
      <c r="E92" s="170"/>
      <c r="F92" s="170"/>
      <c r="G92" s="170"/>
      <c r="H92" s="206" t="s">
        <v>1898</v>
      </c>
      <c r="I92" s="170"/>
      <c r="J92" s="170"/>
      <c r="K92" s="170"/>
      <c r="L92" s="197">
        <v>0.14415</v>
      </c>
      <c r="M92" s="207">
        <v>1200</v>
      </c>
      <c r="N92" s="208">
        <v>2000</v>
      </c>
      <c r="O92" s="170">
        <f t="shared" si="0"/>
        <v>0</v>
      </c>
      <c r="P92" s="61" t="s">
        <v>32</v>
      </c>
      <c r="Q92" s="170"/>
      <c r="R92" s="170"/>
      <c r="S92" s="198">
        <f t="shared" si="1"/>
        <v>2400000</v>
      </c>
      <c r="T92" s="199" t="str">
        <f t="shared" si="2"/>
        <v>2400000ml</v>
      </c>
      <c r="U92" s="200">
        <f t="shared" si="3"/>
        <v>172.98</v>
      </c>
      <c r="V92" s="12"/>
      <c r="W92" s="12"/>
    </row>
    <row r="93" spans="1:23" x14ac:dyDescent="0.3">
      <c r="A93" s="183" t="e">
        <f ca="1"/>
        <v>#NAME?</v>
      </c>
      <c r="B93" s="194" t="s">
        <v>320</v>
      </c>
      <c r="C93" s="170"/>
      <c r="D93" s="194" t="str">
        <f ca="1">IFERROR(__xludf.DUMMYFUNCTION("IF(J93="""",""n/a"",IFERROR(SPLIT(J93,""/"")))"),"Excellent")</f>
        <v>Excellent</v>
      </c>
      <c r="E93" s="194" t="str">
        <f ca="1">IFERROR(__xludf.DUMMYFUNCTION("""COMPUTED_VALUE"""),"pack")</f>
        <v>pack</v>
      </c>
      <c r="F93" s="194" t="str">
        <f ca="1">IFERROR(__xludf.DUMMYFUNCTION("""COMPUTED_VALUE"""),"400grams")</f>
        <v>400grams</v>
      </c>
      <c r="G93" s="170"/>
      <c r="H93" s="183" t="s">
        <v>1897</v>
      </c>
      <c r="I93" s="170"/>
      <c r="J93" s="46" t="s">
        <v>321</v>
      </c>
      <c r="K93" s="170"/>
      <c r="L93" s="202">
        <v>0.26500000000000001</v>
      </c>
      <c r="M93" s="203">
        <v>3000</v>
      </c>
      <c r="N93" s="203">
        <v>500</v>
      </c>
      <c r="O93" s="61" t="str">
        <f t="shared" ca="1" si="0"/>
        <v>pack</v>
      </c>
      <c r="P93" s="61" t="s">
        <v>39</v>
      </c>
      <c r="Q93" s="170"/>
      <c r="R93" s="192" t="str">
        <f>CONCATENATE(N93,P93)</f>
        <v>500grams</v>
      </c>
      <c r="S93" s="198">
        <f t="shared" si="1"/>
        <v>1500000</v>
      </c>
      <c r="T93" s="199" t="str">
        <f t="shared" si="2"/>
        <v>1500000grams</v>
      </c>
      <c r="U93" s="200">
        <f t="shared" si="3"/>
        <v>795</v>
      </c>
      <c r="V93" s="12"/>
      <c r="W93" s="12"/>
    </row>
    <row r="94" spans="1:23" x14ac:dyDescent="0.3">
      <c r="A94" s="183" t="e">
        <f ca="1"/>
        <v>#NAME?</v>
      </c>
      <c r="B94" s="194" t="s">
        <v>320</v>
      </c>
      <c r="C94" s="170"/>
      <c r="D94" s="194" t="str">
        <f ca="1">IFERROR(__xludf.DUMMYFUNCTION("IF(J94="""",""n/a"",IFERROR(SPLIT(J94,""/"")))"),"Excellent")</f>
        <v>Excellent</v>
      </c>
      <c r="E94" s="194" t="str">
        <f ca="1">IFERROR(__xludf.DUMMYFUNCTION("""COMPUTED_VALUE"""),"pack")</f>
        <v>pack</v>
      </c>
      <c r="F94" s="194" t="str">
        <f ca="1">IFERROR(__xludf.DUMMYFUNCTION("""COMPUTED_VALUE"""),"400grams")</f>
        <v>400grams</v>
      </c>
      <c r="G94" s="170"/>
      <c r="H94" s="183" t="s">
        <v>1895</v>
      </c>
      <c r="I94" s="170"/>
      <c r="J94" s="46" t="s">
        <v>321</v>
      </c>
      <c r="K94" s="170"/>
      <c r="L94" s="195">
        <v>129.88999999999999</v>
      </c>
      <c r="M94" s="61">
        <v>22</v>
      </c>
      <c r="N94" s="61">
        <v>1</v>
      </c>
      <c r="O94" s="61" t="str">
        <f t="shared" ca="1" si="0"/>
        <v>pack</v>
      </c>
      <c r="P94" s="61" t="s">
        <v>39</v>
      </c>
      <c r="Q94" s="170"/>
      <c r="R94" s="170"/>
      <c r="S94" s="198">
        <f t="shared" si="1"/>
        <v>22</v>
      </c>
      <c r="T94" s="199" t="str">
        <f t="shared" si="2"/>
        <v>22grams</v>
      </c>
      <c r="U94" s="200">
        <f t="shared" si="3"/>
        <v>2857.58</v>
      </c>
      <c r="V94" s="12"/>
      <c r="W94" s="12"/>
    </row>
    <row r="95" spans="1:23" x14ac:dyDescent="0.3">
      <c r="A95" s="183" t="e">
        <f ca="1"/>
        <v>#NAME?</v>
      </c>
      <c r="B95" s="194" t="s">
        <v>320</v>
      </c>
      <c r="C95" s="170"/>
      <c r="D95" s="194" t="str">
        <f ca="1">IFERROR(__xludf.DUMMYFUNCTION("IF(J95="""",""n/a"",IFERROR(SPLIT(J95,""/"")))"),"n/a")</f>
        <v>n/a</v>
      </c>
      <c r="E95" s="170"/>
      <c r="F95" s="170"/>
      <c r="G95" s="170"/>
      <c r="H95" s="206" t="s">
        <v>1898</v>
      </c>
      <c r="I95" s="170"/>
      <c r="J95" s="170"/>
      <c r="K95" s="170"/>
      <c r="L95" s="197">
        <v>0.18146000000000001</v>
      </c>
      <c r="M95" s="208">
        <v>10000</v>
      </c>
      <c r="N95" s="208">
        <v>500</v>
      </c>
      <c r="O95" s="170">
        <f t="shared" si="0"/>
        <v>0</v>
      </c>
      <c r="P95" s="61" t="s">
        <v>39</v>
      </c>
      <c r="Q95" s="170"/>
      <c r="R95" s="170"/>
      <c r="S95" s="198">
        <f t="shared" si="1"/>
        <v>5000000</v>
      </c>
      <c r="T95" s="199" t="str">
        <f t="shared" si="2"/>
        <v>5000000grams</v>
      </c>
      <c r="U95" s="200">
        <f t="shared" si="3"/>
        <v>1814.6000000000001</v>
      </c>
      <c r="V95" s="12"/>
      <c r="W95" s="12"/>
    </row>
    <row r="96" spans="1:23" x14ac:dyDescent="0.3">
      <c r="A96" s="183" t="e">
        <f ca="1"/>
        <v>#NAME?</v>
      </c>
      <c r="B96" s="194" t="s">
        <v>527</v>
      </c>
      <c r="C96" s="170"/>
      <c r="D96" s="194" t="str">
        <f ca="1">IFERROR(__xludf.DUMMYFUNCTION("IF(J96="""",""n/a"",IFERROR(SPLIT(J96,""/"")))"),"Oishi")</f>
        <v>Oishi</v>
      </c>
      <c r="E96" s="194" t="str">
        <f ca="1">IFERROR(__xludf.DUMMYFUNCTION("""COMPUTED_VALUE"""),"box (pcsx60grams)")</f>
        <v>box (pcsx60grams)</v>
      </c>
      <c r="F96" s="170"/>
      <c r="G96" s="170"/>
      <c r="H96" s="183" t="s">
        <v>1897</v>
      </c>
      <c r="I96" s="170"/>
      <c r="J96" s="46" t="s">
        <v>528</v>
      </c>
      <c r="K96" s="170"/>
      <c r="L96" s="195">
        <v>15.19</v>
      </c>
      <c r="M96" s="203">
        <v>12</v>
      </c>
      <c r="N96" s="203">
        <v>1</v>
      </c>
      <c r="O96" s="61" t="str">
        <f t="shared" ca="1" si="0"/>
        <v>box (pcsx60grams)</v>
      </c>
      <c r="P96" s="61" t="s">
        <v>92</v>
      </c>
      <c r="Q96" s="170"/>
      <c r="R96" s="192" t="str">
        <f>CONCATENATE(N96,P96)</f>
        <v>1pieces</v>
      </c>
      <c r="S96" s="198">
        <f t="shared" si="1"/>
        <v>12</v>
      </c>
      <c r="T96" s="199" t="str">
        <f t="shared" si="2"/>
        <v>12pieces</v>
      </c>
      <c r="U96" s="200">
        <f t="shared" si="3"/>
        <v>182.28</v>
      </c>
      <c r="V96" s="12"/>
      <c r="W96" s="12"/>
    </row>
    <row r="97" spans="1:23" x14ac:dyDescent="0.3">
      <c r="A97" s="183" t="e">
        <f ca="1"/>
        <v>#NAME?</v>
      </c>
      <c r="B97" s="194" t="s">
        <v>529</v>
      </c>
      <c r="C97" s="170"/>
      <c r="D97" s="194" t="str">
        <f ca="1">IFERROR(__xludf.DUMMYFUNCTION("IF(J97="""",""n/a"",IFERROR(SPLIT(J97,""/"")))"),"n/a")</f>
        <v>n/a</v>
      </c>
      <c r="E97" s="170"/>
      <c r="F97" s="170"/>
      <c r="G97" s="170"/>
      <c r="H97" s="206" t="s">
        <v>1898</v>
      </c>
      <c r="I97" s="170"/>
      <c r="J97" s="170"/>
      <c r="K97" s="170"/>
      <c r="L97" s="197">
        <v>0.17653846153846153</v>
      </c>
      <c r="M97" s="207">
        <v>1040</v>
      </c>
      <c r="N97" s="208">
        <v>260</v>
      </c>
      <c r="O97" s="170">
        <f t="shared" si="0"/>
        <v>0</v>
      </c>
      <c r="P97" s="197" t="s">
        <v>39</v>
      </c>
      <c r="Q97" s="170"/>
      <c r="R97" s="170"/>
      <c r="S97" s="198">
        <f t="shared" si="1"/>
        <v>270400</v>
      </c>
      <c r="T97" s="199" t="str">
        <f t="shared" si="2"/>
        <v>270400grams</v>
      </c>
      <c r="U97" s="200">
        <f t="shared" si="3"/>
        <v>183.6</v>
      </c>
      <c r="V97" s="12"/>
      <c r="W97" s="12"/>
    </row>
    <row r="98" spans="1:23" x14ac:dyDescent="0.3">
      <c r="A98" s="183" t="e">
        <f ca="1"/>
        <v>#NAME?</v>
      </c>
      <c r="B98" s="194" t="s">
        <v>451</v>
      </c>
      <c r="C98" s="170"/>
      <c r="D98" s="194" t="str">
        <f ca="1">IFERROR(__xludf.DUMMYFUNCTION("IF(J98="""",""n/a"",IFERROR(SPLIT(J98,""/"")))"),"Fresh")</f>
        <v>Fresh</v>
      </c>
      <c r="E98" s="170"/>
      <c r="F98" s="170"/>
      <c r="G98" s="170"/>
      <c r="H98" s="183" t="s">
        <v>1895</v>
      </c>
      <c r="I98" s="170"/>
      <c r="J98" s="46" t="s">
        <v>216</v>
      </c>
      <c r="K98" s="170"/>
      <c r="L98" s="195">
        <v>120</v>
      </c>
      <c r="M98" s="61">
        <v>3</v>
      </c>
      <c r="N98" s="61">
        <v>1</v>
      </c>
      <c r="O98" s="170">
        <f t="shared" si="0"/>
        <v>0</v>
      </c>
      <c r="P98" s="61" t="s">
        <v>39</v>
      </c>
      <c r="Q98" s="170"/>
      <c r="R98" s="170"/>
      <c r="S98" s="198">
        <f t="shared" si="1"/>
        <v>3</v>
      </c>
      <c r="T98" s="199" t="str">
        <f t="shared" si="2"/>
        <v>3grams</v>
      </c>
      <c r="U98" s="200">
        <f t="shared" si="3"/>
        <v>360</v>
      </c>
      <c r="V98" s="12"/>
      <c r="W98" s="12"/>
    </row>
    <row r="99" spans="1:23" x14ac:dyDescent="0.3">
      <c r="A99" s="183" t="e">
        <f ca="1"/>
        <v>#NAME?</v>
      </c>
      <c r="B99" s="194" t="s">
        <v>52</v>
      </c>
      <c r="C99" s="170"/>
      <c r="D99" s="194" t="str">
        <f ca="1">IFERROR(__xludf.DUMMYFUNCTION("IF(J99="""",""n/a"",IFERROR(SPLIT(J99,""/"")))"),"pack")</f>
        <v>pack</v>
      </c>
      <c r="E99" s="194" t="str">
        <f ca="1">IFERROR(__xludf.DUMMYFUNCTION("""COMPUTED_VALUE"""),"1000grams")</f>
        <v>1000grams</v>
      </c>
      <c r="F99" s="170"/>
      <c r="G99" s="170"/>
      <c r="H99" s="183" t="s">
        <v>1897</v>
      </c>
      <c r="I99" s="170"/>
      <c r="J99" s="46" t="s">
        <v>51</v>
      </c>
      <c r="K99" s="170"/>
      <c r="L99" s="195">
        <v>0.105</v>
      </c>
      <c r="M99" s="203">
        <v>1000</v>
      </c>
      <c r="N99" s="203">
        <v>1000</v>
      </c>
      <c r="O99" s="61" t="str">
        <f t="shared" ca="1" si="0"/>
        <v>1000grams</v>
      </c>
      <c r="P99" s="61" t="s">
        <v>39</v>
      </c>
      <c r="Q99" s="61" t="s">
        <v>33</v>
      </c>
      <c r="R99" s="192" t="str">
        <f>CONCATENATE(N99,P99)</f>
        <v>1000grams</v>
      </c>
      <c r="S99" s="198">
        <f t="shared" si="1"/>
        <v>1000000</v>
      </c>
      <c r="T99" s="199" t="str">
        <f t="shared" si="2"/>
        <v>1000000 grams</v>
      </c>
      <c r="U99" s="200">
        <f t="shared" si="3"/>
        <v>105</v>
      </c>
      <c r="V99" s="205">
        <f>U99/M99</f>
        <v>0.105</v>
      </c>
      <c r="W99" s="62"/>
    </row>
    <row r="100" spans="1:23" x14ac:dyDescent="0.3">
      <c r="A100" s="183" t="e">
        <f ca="1"/>
        <v>#NAME?</v>
      </c>
      <c r="B100" s="194" t="s">
        <v>52</v>
      </c>
      <c r="C100" s="170"/>
      <c r="D100" s="194" t="str">
        <f ca="1">IFERROR(__xludf.DUMMYFUNCTION("IF(J100="""",""n/a"",IFERROR(SPLIT(J100,""/"")))"),"pack")</f>
        <v>pack</v>
      </c>
      <c r="E100" s="194" t="str">
        <f ca="1">IFERROR(__xludf.DUMMYFUNCTION("""COMPUTED_VALUE"""),"1000grams")</f>
        <v>1000grams</v>
      </c>
      <c r="F100" s="170"/>
      <c r="G100" s="170"/>
      <c r="H100" s="183" t="s">
        <v>1895</v>
      </c>
      <c r="I100" s="170"/>
      <c r="J100" s="46" t="s">
        <v>51</v>
      </c>
      <c r="K100" s="170"/>
      <c r="L100" s="195">
        <v>70</v>
      </c>
      <c r="M100" s="61">
        <v>10</v>
      </c>
      <c r="N100" s="61">
        <v>1000</v>
      </c>
      <c r="O100" s="61" t="str">
        <f t="shared" ca="1" si="0"/>
        <v>1000grams</v>
      </c>
      <c r="P100" s="61" t="s">
        <v>39</v>
      </c>
      <c r="Q100" s="170"/>
      <c r="R100" s="170"/>
      <c r="S100" s="198">
        <f t="shared" si="1"/>
        <v>10000</v>
      </c>
      <c r="T100" s="199" t="str">
        <f t="shared" si="2"/>
        <v>10000grams</v>
      </c>
      <c r="U100" s="200">
        <f t="shared" si="3"/>
        <v>700</v>
      </c>
      <c r="V100" s="12"/>
      <c r="W100" s="12"/>
    </row>
    <row r="101" spans="1:23" x14ac:dyDescent="0.3">
      <c r="A101" s="183" t="e">
        <f ca="1"/>
        <v>#NAME?</v>
      </c>
      <c r="B101" s="194" t="s">
        <v>238</v>
      </c>
      <c r="C101" s="170"/>
      <c r="D101" s="194" t="str">
        <f ca="1">IFERROR(__xludf.DUMMYFUNCTION("IF(J101="""",""n/a"",IFERROR(SPLIT(J101,""/"")))"),"Ticman")</f>
        <v>Ticman</v>
      </c>
      <c r="E101" s="194" t="str">
        <f ca="1">IFERROR(__xludf.DUMMYFUNCTION("""COMPUTED_VALUE"""),"gallon")</f>
        <v>gallon</v>
      </c>
      <c r="F101" s="194" t="str">
        <f ca="1">IFERROR(__xludf.DUMMYFUNCTION("""COMPUTED_VALUE"""),"3500ml")</f>
        <v>3500ml</v>
      </c>
      <c r="G101" s="170"/>
      <c r="H101" s="183" t="s">
        <v>1897</v>
      </c>
      <c r="I101" s="170"/>
      <c r="J101" s="46" t="s">
        <v>239</v>
      </c>
      <c r="K101" s="170"/>
      <c r="L101" s="197">
        <v>88</v>
      </c>
      <c r="M101" s="203">
        <v>16</v>
      </c>
      <c r="N101" s="203">
        <v>1</v>
      </c>
      <c r="O101" s="61" t="str">
        <f t="shared" ca="1" si="0"/>
        <v>gallon</v>
      </c>
      <c r="P101" s="61" t="s">
        <v>200</v>
      </c>
      <c r="Q101" s="170"/>
      <c r="R101" s="192" t="str">
        <f>CONCATENATE(N101,P101)</f>
        <v>1gal</v>
      </c>
      <c r="S101" s="198">
        <f t="shared" si="1"/>
        <v>16</v>
      </c>
      <c r="T101" s="199" t="str">
        <f t="shared" si="2"/>
        <v>16gal</v>
      </c>
      <c r="U101" s="200">
        <f t="shared" si="3"/>
        <v>1408</v>
      </c>
      <c r="V101" s="205">
        <f>U101/M101</f>
        <v>88</v>
      </c>
      <c r="W101" s="62"/>
    </row>
    <row r="102" spans="1:23" x14ac:dyDescent="0.3">
      <c r="A102" s="183" t="e">
        <f ca="1"/>
        <v>#NAME?</v>
      </c>
      <c r="B102" s="194" t="s">
        <v>238</v>
      </c>
      <c r="C102" s="170"/>
      <c r="D102" s="194" t="str">
        <f ca="1">IFERROR(__xludf.DUMMYFUNCTION("IF(J102="""",""n/a"",IFERROR(SPLIT(J102,""/"")))"),"Ticman")</f>
        <v>Ticman</v>
      </c>
      <c r="E102" s="194" t="str">
        <f ca="1">IFERROR(__xludf.DUMMYFUNCTION("""COMPUTED_VALUE"""),"gallon")</f>
        <v>gallon</v>
      </c>
      <c r="F102" s="194" t="str">
        <f ca="1">IFERROR(__xludf.DUMMYFUNCTION("""COMPUTED_VALUE"""),"3500ml")</f>
        <v>3500ml</v>
      </c>
      <c r="G102" s="170"/>
      <c r="H102" s="183" t="s">
        <v>1895</v>
      </c>
      <c r="I102" s="170"/>
      <c r="J102" s="46" t="s">
        <v>239</v>
      </c>
      <c r="K102" s="170"/>
      <c r="L102" s="218">
        <v>88</v>
      </c>
      <c r="M102" s="61">
        <v>25</v>
      </c>
      <c r="N102" s="61">
        <v>1</v>
      </c>
      <c r="O102" s="61" t="str">
        <f t="shared" ca="1" si="0"/>
        <v>gallon</v>
      </c>
      <c r="P102" s="61" t="s">
        <v>200</v>
      </c>
      <c r="Q102" s="170"/>
      <c r="R102" s="170"/>
      <c r="S102" s="198">
        <f t="shared" si="1"/>
        <v>25</v>
      </c>
      <c r="T102" s="199" t="str">
        <f t="shared" si="2"/>
        <v>25gal</v>
      </c>
      <c r="U102" s="200">
        <f t="shared" si="3"/>
        <v>2200</v>
      </c>
      <c r="V102" s="12"/>
      <c r="W102" s="12"/>
    </row>
    <row r="103" spans="1:23" x14ac:dyDescent="0.3">
      <c r="A103" s="183" t="e">
        <f ca="1"/>
        <v>#NAME?</v>
      </c>
      <c r="B103" s="194" t="s">
        <v>530</v>
      </c>
      <c r="C103" s="170"/>
      <c r="D103" s="194" t="str">
        <f ca="1">IFERROR(__xludf.DUMMYFUNCTION("IF(J103="""",""n/a"",IFERROR(SPLIT(J103,""/"")))"),"n/a")</f>
        <v>n/a</v>
      </c>
      <c r="E103" s="170"/>
      <c r="F103" s="170"/>
      <c r="G103" s="170"/>
      <c r="H103" s="206" t="s">
        <v>1898</v>
      </c>
      <c r="I103" s="170"/>
      <c r="J103" s="170"/>
      <c r="K103" s="170"/>
      <c r="L103" s="197">
        <v>1.1333333333333333</v>
      </c>
      <c r="M103" s="207">
        <v>30</v>
      </c>
      <c r="N103" s="208">
        <v>30</v>
      </c>
      <c r="O103" s="170">
        <f t="shared" si="0"/>
        <v>0</v>
      </c>
      <c r="P103" s="61" t="s">
        <v>39</v>
      </c>
      <c r="Q103" s="170"/>
      <c r="R103" s="170"/>
      <c r="S103" s="198">
        <f t="shared" si="1"/>
        <v>900</v>
      </c>
      <c r="T103" s="199" t="str">
        <f t="shared" si="2"/>
        <v>900grams</v>
      </c>
      <c r="U103" s="200">
        <f t="shared" si="3"/>
        <v>34</v>
      </c>
      <c r="V103" s="12"/>
      <c r="W103" s="12"/>
    </row>
    <row r="104" spans="1:23" x14ac:dyDescent="0.3">
      <c r="A104" s="183" t="e">
        <f ca="1"/>
        <v>#NAME?</v>
      </c>
      <c r="B104" s="194" t="s">
        <v>531</v>
      </c>
      <c r="C104" s="170"/>
      <c r="D104" s="194" t="str">
        <f ca="1">IFERROR(__xludf.DUMMYFUNCTION("IF(J104="""",""n/a"",IFERROR(SPLIT(J104,""/"")))"),"n/a")</f>
        <v>n/a</v>
      </c>
      <c r="E104" s="170"/>
      <c r="F104" s="170"/>
      <c r="G104" s="170"/>
      <c r="H104" s="206" t="s">
        <v>1898</v>
      </c>
      <c r="I104" s="170"/>
      <c r="J104" s="170"/>
      <c r="K104" s="170"/>
      <c r="L104" s="197">
        <v>0.23023809523809524</v>
      </c>
      <c r="M104" s="207">
        <v>2520</v>
      </c>
      <c r="N104" s="208">
        <v>420</v>
      </c>
      <c r="O104" s="170">
        <f t="shared" si="0"/>
        <v>0</v>
      </c>
      <c r="P104" s="197" t="s">
        <v>39</v>
      </c>
      <c r="Q104" s="170"/>
      <c r="R104" s="170"/>
      <c r="S104" s="198">
        <f t="shared" si="1"/>
        <v>1058400</v>
      </c>
      <c r="T104" s="199" t="str">
        <f t="shared" si="2"/>
        <v>1058400grams</v>
      </c>
      <c r="U104" s="200">
        <f t="shared" si="3"/>
        <v>580.20000000000005</v>
      </c>
      <c r="V104" s="12"/>
      <c r="W104" s="12"/>
    </row>
    <row r="105" spans="1:23" x14ac:dyDescent="0.3">
      <c r="A105" s="183" t="e">
        <f ca="1"/>
        <v>#NAME?</v>
      </c>
      <c r="B105" s="194" t="s">
        <v>129</v>
      </c>
      <c r="C105" s="170"/>
      <c r="D105" s="194" t="str">
        <f ca="1">IFERROR(__xludf.DUMMYFUNCTION("IF(J105="""",""n/a"",IFERROR(SPLIT(J105,""/"")))"),"Energen")</f>
        <v>Energen</v>
      </c>
      <c r="E105" s="194" t="str">
        <f ca="1">IFERROR(__xludf.DUMMYFUNCTION("""COMPUTED_VALUE"""),"pack (pcsx30grams)")</f>
        <v>pack (pcsx30grams)</v>
      </c>
      <c r="F105" s="170"/>
      <c r="G105" s="170"/>
      <c r="H105" s="183" t="s">
        <v>1897</v>
      </c>
      <c r="I105" s="170"/>
      <c r="J105" s="46" t="s">
        <v>130</v>
      </c>
      <c r="K105" s="170"/>
      <c r="L105" s="204">
        <v>8.4</v>
      </c>
      <c r="M105" s="203">
        <v>234</v>
      </c>
      <c r="N105" s="203">
        <v>1</v>
      </c>
      <c r="O105" s="61" t="str">
        <f t="shared" ca="1" si="0"/>
        <v>pack (pcsx30grams)</v>
      </c>
      <c r="P105" s="61" t="s">
        <v>92</v>
      </c>
      <c r="Q105" s="170"/>
      <c r="R105" s="192" t="str">
        <f>CONCATENATE(N105,P105)</f>
        <v>1pieces</v>
      </c>
      <c r="S105" s="198">
        <f t="shared" si="1"/>
        <v>234</v>
      </c>
      <c r="T105" s="199" t="str">
        <f t="shared" si="2"/>
        <v>234pieces</v>
      </c>
      <c r="U105" s="200">
        <f t="shared" si="3"/>
        <v>1965.6000000000001</v>
      </c>
      <c r="V105" s="205">
        <f>U105/M105</f>
        <v>8.4</v>
      </c>
      <c r="W105" s="62"/>
    </row>
    <row r="106" spans="1:23" x14ac:dyDescent="0.3">
      <c r="A106" s="183" t="e">
        <f ca="1"/>
        <v>#NAME?</v>
      </c>
      <c r="B106" s="194" t="s">
        <v>129</v>
      </c>
      <c r="C106" s="170"/>
      <c r="D106" s="194" t="str">
        <f ca="1">IFERROR(__xludf.DUMMYFUNCTION("IF(J106="""",""n/a"",IFERROR(SPLIT(J106,""/"")))"),"Energen")</f>
        <v>Energen</v>
      </c>
      <c r="E106" s="194" t="str">
        <f ca="1">IFERROR(__xludf.DUMMYFUNCTION("""COMPUTED_VALUE"""),"pack (pcsx30grams)")</f>
        <v>pack (pcsx30grams)</v>
      </c>
      <c r="F106" s="170"/>
      <c r="G106" s="170"/>
      <c r="H106" s="183" t="s">
        <v>1895</v>
      </c>
      <c r="I106" s="170"/>
      <c r="J106" s="46" t="s">
        <v>130</v>
      </c>
      <c r="K106" s="170"/>
      <c r="L106" s="195">
        <v>8.9700000000000006</v>
      </c>
      <c r="M106" s="61">
        <v>788</v>
      </c>
      <c r="N106" s="61">
        <v>1</v>
      </c>
      <c r="O106" s="61" t="str">
        <f t="shared" ca="1" si="0"/>
        <v>pack (pcsx30grams)</v>
      </c>
      <c r="P106" s="61" t="s">
        <v>92</v>
      </c>
      <c r="Q106" s="170"/>
      <c r="R106" s="170"/>
      <c r="S106" s="198">
        <f t="shared" si="1"/>
        <v>788</v>
      </c>
      <c r="T106" s="199" t="str">
        <f t="shared" si="2"/>
        <v>788pieces</v>
      </c>
      <c r="U106" s="200">
        <f t="shared" si="3"/>
        <v>7068.3600000000006</v>
      </c>
      <c r="V106" s="12"/>
      <c r="W106" s="12"/>
    </row>
    <row r="107" spans="1:23" x14ac:dyDescent="0.3">
      <c r="A107" s="183" t="e">
        <f ca="1"/>
        <v>#NAME?</v>
      </c>
      <c r="B107" s="214" t="s">
        <v>532</v>
      </c>
      <c r="C107" s="215"/>
      <c r="D107" s="194" t="str">
        <f ca="1">IFERROR(__xludf.DUMMYFUNCTION("IF(J107="""",""n/a"",IFERROR(SPLIT(J107,""/"")))"),"n/a")</f>
        <v>n/a</v>
      </c>
      <c r="E107" s="215"/>
      <c r="F107" s="215"/>
      <c r="G107" s="215"/>
      <c r="H107" s="206" t="s">
        <v>1898</v>
      </c>
      <c r="I107" s="170"/>
      <c r="J107" s="170"/>
      <c r="K107" s="170"/>
      <c r="L107" s="197">
        <v>26</v>
      </c>
      <c r="M107" s="207">
        <v>24</v>
      </c>
      <c r="N107" s="207">
        <v>1</v>
      </c>
      <c r="O107" s="170">
        <f t="shared" si="0"/>
        <v>0</v>
      </c>
      <c r="P107" s="209" t="s">
        <v>92</v>
      </c>
      <c r="Q107" s="170"/>
      <c r="R107" s="170"/>
      <c r="S107" s="198">
        <f t="shared" si="1"/>
        <v>24</v>
      </c>
      <c r="T107" s="199" t="str">
        <f t="shared" si="2"/>
        <v>24pieces</v>
      </c>
      <c r="U107" s="200">
        <f t="shared" si="3"/>
        <v>624</v>
      </c>
      <c r="V107" s="12"/>
      <c r="W107" s="12"/>
    </row>
    <row r="108" spans="1:23" x14ac:dyDescent="0.3">
      <c r="A108" s="183" t="e">
        <f ca="1"/>
        <v>#NAME?</v>
      </c>
      <c r="B108" s="194" t="s">
        <v>53</v>
      </c>
      <c r="C108" s="170"/>
      <c r="D108" s="194" t="str">
        <f ca="1">IFERROR(__xludf.DUMMYFUNCTION("IF(J108="""",""n/a"",IFERROR(SPLIT(J108,""/"")))"),"Daily Quezo")</f>
        <v>Daily Quezo</v>
      </c>
      <c r="E108" s="194" t="str">
        <f ca="1">IFERROR(__xludf.DUMMYFUNCTION("""COMPUTED_VALUE"""),"box")</f>
        <v>box</v>
      </c>
      <c r="F108" s="194" t="str">
        <f ca="1">IFERROR(__xludf.DUMMYFUNCTION("""COMPUTED_VALUE"""),"160grams")</f>
        <v>160grams</v>
      </c>
      <c r="G108" s="170"/>
      <c r="H108" s="183" t="s">
        <v>1897</v>
      </c>
      <c r="I108" s="170"/>
      <c r="J108" s="46" t="s">
        <v>54</v>
      </c>
      <c r="K108" s="170"/>
      <c r="L108" s="195">
        <v>0.22387499999999999</v>
      </c>
      <c r="M108" s="203">
        <v>7520</v>
      </c>
      <c r="N108" s="203">
        <v>160</v>
      </c>
      <c r="O108" s="61" t="str">
        <f t="shared" ca="1" si="0"/>
        <v>box</v>
      </c>
      <c r="P108" s="61" t="s">
        <v>39</v>
      </c>
      <c r="Q108" s="61" t="s">
        <v>33</v>
      </c>
      <c r="R108" s="192" t="str">
        <f>CONCATENATE(N108,P108)</f>
        <v>160grams</v>
      </c>
      <c r="S108" s="198">
        <f t="shared" si="1"/>
        <v>1203200</v>
      </c>
      <c r="T108" s="199" t="str">
        <f t="shared" si="2"/>
        <v>1203200 grams</v>
      </c>
      <c r="U108" s="200">
        <f t="shared" si="3"/>
        <v>1683.54</v>
      </c>
      <c r="V108" s="205">
        <f>U108/M108</f>
        <v>0.22387499999999999</v>
      </c>
      <c r="W108" s="62"/>
    </row>
    <row r="109" spans="1:23" x14ac:dyDescent="0.3">
      <c r="A109" s="183" t="e">
        <f ca="1"/>
        <v>#NAME?</v>
      </c>
      <c r="B109" s="194" t="s">
        <v>53</v>
      </c>
      <c r="C109" s="170"/>
      <c r="D109" s="194" t="str">
        <f ca="1">IFERROR(__xludf.DUMMYFUNCTION("IF(J109="""",""n/a"",IFERROR(SPLIT(J109,""/"")))"),"Daily Quezo")</f>
        <v>Daily Quezo</v>
      </c>
      <c r="E109" s="194" t="str">
        <f ca="1">IFERROR(__xludf.DUMMYFUNCTION("""COMPUTED_VALUE"""),"box")</f>
        <v>box</v>
      </c>
      <c r="F109" s="194" t="str">
        <f ca="1">IFERROR(__xludf.DUMMYFUNCTION("""COMPUTED_VALUE"""),"160grams")</f>
        <v>160grams</v>
      </c>
      <c r="G109" s="170"/>
      <c r="H109" s="183" t="s">
        <v>1895</v>
      </c>
      <c r="I109" s="170"/>
      <c r="J109" s="46" t="s">
        <v>54</v>
      </c>
      <c r="K109" s="170"/>
      <c r="L109" s="195">
        <v>34.42</v>
      </c>
      <c r="M109" s="61">
        <v>32</v>
      </c>
      <c r="N109" s="61">
        <v>160</v>
      </c>
      <c r="O109" s="61" t="str">
        <f t="shared" ca="1" si="0"/>
        <v>box</v>
      </c>
      <c r="P109" s="61" t="s">
        <v>39</v>
      </c>
      <c r="Q109" s="170"/>
      <c r="R109" s="170"/>
      <c r="S109" s="198">
        <f t="shared" si="1"/>
        <v>5120</v>
      </c>
      <c r="T109" s="199" t="str">
        <f t="shared" si="2"/>
        <v>5120grams</v>
      </c>
      <c r="U109" s="200">
        <f t="shared" si="3"/>
        <v>1101.44</v>
      </c>
      <c r="V109" s="12"/>
      <c r="W109" s="12"/>
    </row>
    <row r="110" spans="1:23" x14ac:dyDescent="0.3">
      <c r="A110" s="183" t="e">
        <f ca="1"/>
        <v>#NAME?</v>
      </c>
      <c r="B110" s="194" t="s">
        <v>53</v>
      </c>
      <c r="C110" s="170"/>
      <c r="D110" s="194" t="str">
        <f ca="1">IFERROR(__xludf.DUMMYFUNCTION("IF(J110="""",""n/a"",IFERROR(SPLIT(J110,""/"")))"),"Bigtime")</f>
        <v>Bigtime</v>
      </c>
      <c r="E110" s="194" t="str">
        <f ca="1">IFERROR(__xludf.DUMMYFUNCTION("""COMPUTED_VALUE"""),"pack")</f>
        <v>pack</v>
      </c>
      <c r="F110" s="194" t="str">
        <f ca="1">IFERROR(__xludf.DUMMYFUNCTION("""COMPUTED_VALUE"""),"160grams")</f>
        <v>160grams</v>
      </c>
      <c r="G110" s="170"/>
      <c r="H110" s="183" t="s">
        <v>1895</v>
      </c>
      <c r="I110" s="170"/>
      <c r="J110" s="46" t="s">
        <v>55</v>
      </c>
      <c r="K110" s="170"/>
      <c r="L110" s="195">
        <v>35.82</v>
      </c>
      <c r="M110" s="61">
        <v>24</v>
      </c>
      <c r="N110" s="61">
        <v>160</v>
      </c>
      <c r="O110" s="61" t="str">
        <f t="shared" ca="1" si="0"/>
        <v>pack</v>
      </c>
      <c r="P110" s="61" t="s">
        <v>39</v>
      </c>
      <c r="Q110" s="170"/>
      <c r="R110" s="170"/>
      <c r="S110" s="198">
        <f t="shared" si="1"/>
        <v>3840</v>
      </c>
      <c r="T110" s="199" t="str">
        <f t="shared" si="2"/>
        <v>3840grams</v>
      </c>
      <c r="U110" s="200">
        <f t="shared" si="3"/>
        <v>859.68000000000006</v>
      </c>
      <c r="V110" s="12"/>
      <c r="W110" s="12"/>
    </row>
    <row r="111" spans="1:23" x14ac:dyDescent="0.3">
      <c r="A111" s="183" t="e">
        <f ca="1"/>
        <v>#NAME?</v>
      </c>
      <c r="B111" s="194" t="s">
        <v>53</v>
      </c>
      <c r="C111" s="170"/>
      <c r="D111" s="194" t="str">
        <f ca="1">IFERROR(__xludf.DUMMYFUNCTION("IF(J111="""",""n/a"",IFERROR(SPLIT(J111,""/"")))"),"Daily Quezo")</f>
        <v>Daily Quezo</v>
      </c>
      <c r="E111" s="194" t="str">
        <f ca="1">IFERROR(__xludf.DUMMYFUNCTION("""COMPUTED_VALUE"""),"box")</f>
        <v>box</v>
      </c>
      <c r="F111" s="194" t="str">
        <f ca="1">IFERROR(__xludf.DUMMYFUNCTION("""COMPUTED_VALUE"""),"160grams")</f>
        <v>160grams</v>
      </c>
      <c r="G111" s="170"/>
      <c r="H111" s="206" t="s">
        <v>1898</v>
      </c>
      <c r="I111" s="170"/>
      <c r="J111" s="46" t="s">
        <v>54</v>
      </c>
      <c r="K111" s="170"/>
      <c r="L111" s="197">
        <v>0.22187499999999999</v>
      </c>
      <c r="M111" s="207">
        <v>5280</v>
      </c>
      <c r="N111" s="208">
        <v>160</v>
      </c>
      <c r="O111" s="61" t="str">
        <f t="shared" ca="1" si="0"/>
        <v>box</v>
      </c>
      <c r="P111" s="61" t="s">
        <v>39</v>
      </c>
      <c r="Q111" s="170"/>
      <c r="R111" s="170"/>
      <c r="S111" s="198">
        <f t="shared" si="1"/>
        <v>844800</v>
      </c>
      <c r="T111" s="199" t="str">
        <f t="shared" si="2"/>
        <v>844800grams</v>
      </c>
      <c r="U111" s="200">
        <f t="shared" si="3"/>
        <v>1171.5</v>
      </c>
      <c r="V111" s="12"/>
      <c r="W111" s="12"/>
    </row>
    <row r="112" spans="1:23" x14ac:dyDescent="0.3">
      <c r="A112" s="183" t="e">
        <f ca="1"/>
        <v>#NAME?</v>
      </c>
      <c r="B112" s="194" t="s">
        <v>533</v>
      </c>
      <c r="C112" s="170"/>
      <c r="D112" s="194" t="str">
        <f ca="1">IFERROR(__xludf.DUMMYFUNCTION("IF(J112="""",""n/a"",IFERROR(SPLIT(J112,""/"")))"),"n/a")</f>
        <v>n/a</v>
      </c>
      <c r="E112" s="170"/>
      <c r="F112" s="170"/>
      <c r="G112" s="170"/>
      <c r="H112" s="206" t="s">
        <v>1898</v>
      </c>
      <c r="I112" s="170"/>
      <c r="J112" s="170"/>
      <c r="K112" s="170"/>
      <c r="L112" s="197">
        <v>15.724</v>
      </c>
      <c r="M112" s="207">
        <v>25</v>
      </c>
      <c r="N112" s="208">
        <v>25</v>
      </c>
      <c r="O112" s="170">
        <f t="shared" si="0"/>
        <v>0</v>
      </c>
      <c r="P112" s="61" t="s">
        <v>92</v>
      </c>
      <c r="Q112" s="170"/>
      <c r="R112" s="170"/>
      <c r="S112" s="198">
        <f t="shared" si="1"/>
        <v>625</v>
      </c>
      <c r="T112" s="199" t="str">
        <f t="shared" si="2"/>
        <v>625pieces</v>
      </c>
      <c r="U112" s="200">
        <f t="shared" si="3"/>
        <v>393.1</v>
      </c>
      <c r="V112" s="12"/>
      <c r="W112" s="12"/>
    </row>
    <row r="113" spans="1:23" x14ac:dyDescent="0.3">
      <c r="A113" s="183" t="e">
        <f ca="1"/>
        <v>#NAME?</v>
      </c>
      <c r="B113" s="194" t="s">
        <v>534</v>
      </c>
      <c r="C113" s="170"/>
      <c r="D113" s="194" t="str">
        <f ca="1">IFERROR(__xludf.DUMMYFUNCTION("IF(J113="""",""n/a"",IFERROR(SPLIT(J113,""/"")))"),"n/a")</f>
        <v>n/a</v>
      </c>
      <c r="E113" s="170"/>
      <c r="F113" s="170"/>
      <c r="G113" s="170"/>
      <c r="H113" s="206" t="s">
        <v>1898</v>
      </c>
      <c r="I113" s="170"/>
      <c r="J113" s="170"/>
      <c r="K113" s="170"/>
      <c r="L113" s="197">
        <v>18.97</v>
      </c>
      <c r="M113" s="207">
        <v>23</v>
      </c>
      <c r="N113" s="208">
        <v>1</v>
      </c>
      <c r="O113" s="170">
        <f t="shared" si="0"/>
        <v>0</v>
      </c>
      <c r="P113" s="209" t="s">
        <v>92</v>
      </c>
      <c r="Q113" s="170"/>
      <c r="R113" s="170"/>
      <c r="S113" s="198">
        <f t="shared" si="1"/>
        <v>23</v>
      </c>
      <c r="T113" s="199" t="str">
        <f t="shared" si="2"/>
        <v>23pieces</v>
      </c>
      <c r="U113" s="200">
        <f t="shared" si="3"/>
        <v>436.30999999999995</v>
      </c>
      <c r="V113" s="12"/>
      <c r="W113" s="12"/>
    </row>
    <row r="114" spans="1:23" x14ac:dyDescent="0.3">
      <c r="A114" s="183" t="e">
        <f ca="1"/>
        <v>#NAME?</v>
      </c>
      <c r="B114" s="194" t="s">
        <v>240</v>
      </c>
      <c r="C114" s="170"/>
      <c r="D114" s="194" t="str">
        <f ca="1">IFERROR(__xludf.DUMMYFUNCTION("IF(J114="""",""n/a"",IFERROR(SPLIT(J114,""/"")))"),"SM Bonus")</f>
        <v>SM Bonus</v>
      </c>
      <c r="E114" s="194" t="str">
        <f ca="1">IFERROR(__xludf.DUMMYFUNCTION("""COMPUTED_VALUE"""),"pack")</f>
        <v>pack</v>
      </c>
      <c r="F114" s="194" t="str">
        <f ca="1">IFERROR(__xludf.DUMMYFUNCTION("""COMPUTED_VALUE"""),"50grams")</f>
        <v>50grams</v>
      </c>
      <c r="G114" s="170"/>
      <c r="H114" s="183" t="s">
        <v>1895</v>
      </c>
      <c r="I114" s="170"/>
      <c r="J114" s="46" t="s">
        <v>241</v>
      </c>
      <c r="K114" s="170"/>
      <c r="L114" s="195">
        <v>18.5</v>
      </c>
      <c r="M114" s="61">
        <v>6</v>
      </c>
      <c r="N114" s="61">
        <v>1</v>
      </c>
      <c r="O114" s="61" t="str">
        <f t="shared" ca="1" si="0"/>
        <v>pack</v>
      </c>
      <c r="P114" s="61" t="s">
        <v>39</v>
      </c>
      <c r="Q114" s="170"/>
      <c r="R114" s="170"/>
      <c r="S114" s="198">
        <f t="shared" si="1"/>
        <v>6</v>
      </c>
      <c r="T114" s="199" t="str">
        <f t="shared" si="2"/>
        <v>6grams</v>
      </c>
      <c r="U114" s="200">
        <f t="shared" si="3"/>
        <v>111</v>
      </c>
      <c r="V114" s="12"/>
      <c r="W114" s="12"/>
    </row>
    <row r="115" spans="1:23" x14ac:dyDescent="0.3">
      <c r="A115" s="183" t="e">
        <f ca="1"/>
        <v>#NAME?</v>
      </c>
      <c r="B115" s="194" t="s">
        <v>535</v>
      </c>
      <c r="C115" s="170"/>
      <c r="D115" s="194" t="str">
        <f ca="1">IFERROR(__xludf.DUMMYFUNCTION("IF(J115="""",""n/a"",IFERROR(SPLIT(J115,""/"")))"),"n/a")</f>
        <v>n/a</v>
      </c>
      <c r="E115" s="170"/>
      <c r="F115" s="170"/>
      <c r="G115" s="170"/>
      <c r="H115" s="206" t="s">
        <v>1898</v>
      </c>
      <c r="I115" s="170"/>
      <c r="J115" s="170"/>
      <c r="K115" s="170"/>
      <c r="L115" s="197">
        <v>15.472000000000001</v>
      </c>
      <c r="M115" s="207">
        <v>25</v>
      </c>
      <c r="N115" s="208">
        <v>25</v>
      </c>
      <c r="O115" s="170">
        <f t="shared" si="0"/>
        <v>0</v>
      </c>
      <c r="P115" s="61" t="s">
        <v>92</v>
      </c>
      <c r="Q115" s="170"/>
      <c r="R115" s="170"/>
      <c r="S115" s="198">
        <f t="shared" si="1"/>
        <v>625</v>
      </c>
      <c r="T115" s="199" t="str">
        <f t="shared" si="2"/>
        <v>625pieces</v>
      </c>
      <c r="U115" s="200">
        <f t="shared" si="3"/>
        <v>386.8</v>
      </c>
      <c r="V115" s="12"/>
      <c r="W115" s="12"/>
    </row>
    <row r="116" spans="1:23" x14ac:dyDescent="0.3">
      <c r="A116" s="183" t="e">
        <f ca="1"/>
        <v>#NAME?</v>
      </c>
      <c r="B116" s="194" t="s">
        <v>374</v>
      </c>
      <c r="C116" s="170"/>
      <c r="D116" s="194" t="str">
        <f ca="1">IFERROR(__xludf.DUMMYFUNCTION("IF(J116="""",""n/a"",IFERROR(SPLIT(J116,""/"")))"),"Regent")</f>
        <v>Regent</v>
      </c>
      <c r="E116" s="194" t="str">
        <f ca="1">IFERROR(__xludf.DUMMYFUNCTION("""COMPUTED_VALUE"""),"bundle (25x60 grams)")</f>
        <v>bundle (25x60 grams)</v>
      </c>
      <c r="F116" s="170"/>
      <c r="G116" s="170"/>
      <c r="H116" s="183" t="s">
        <v>1897</v>
      </c>
      <c r="I116" s="170"/>
      <c r="J116" s="46" t="s">
        <v>375</v>
      </c>
      <c r="K116" s="170"/>
      <c r="L116" s="195">
        <v>15.47</v>
      </c>
      <c r="M116" s="203">
        <v>10</v>
      </c>
      <c r="N116" s="203">
        <v>1</v>
      </c>
      <c r="O116" s="61" t="str">
        <f t="shared" ca="1" si="0"/>
        <v>bundle (25x60 grams)</v>
      </c>
      <c r="P116" s="61" t="s">
        <v>92</v>
      </c>
      <c r="Q116" s="170"/>
      <c r="R116" s="192" t="str">
        <f>CONCATENATE(N116,P116)</f>
        <v>1pieces</v>
      </c>
      <c r="S116" s="198">
        <f t="shared" si="1"/>
        <v>10</v>
      </c>
      <c r="T116" s="199" t="str">
        <f t="shared" si="2"/>
        <v>10pieces</v>
      </c>
      <c r="U116" s="200">
        <f t="shared" si="3"/>
        <v>154.70000000000002</v>
      </c>
      <c r="V116" s="12"/>
      <c r="W116" s="12"/>
    </row>
    <row r="117" spans="1:23" x14ac:dyDescent="0.3">
      <c r="A117" s="183" t="e">
        <f ca="1"/>
        <v>#NAME?</v>
      </c>
      <c r="B117" s="194" t="s">
        <v>374</v>
      </c>
      <c r="C117" s="170"/>
      <c r="D117" s="194" t="str">
        <f ca="1">IFERROR(__xludf.DUMMYFUNCTION("IF(J117="""",""n/a"",IFERROR(SPLIT(J117,""/"")))"),"Regent")</f>
        <v>Regent</v>
      </c>
      <c r="E117" s="194" t="str">
        <f ca="1">IFERROR(__xludf.DUMMYFUNCTION("""COMPUTED_VALUE"""),"bundle (25x60 grams)")</f>
        <v>bundle (25x60 grams)</v>
      </c>
      <c r="F117" s="170"/>
      <c r="G117" s="170"/>
      <c r="H117" s="183" t="s">
        <v>1895</v>
      </c>
      <c r="I117" s="170"/>
      <c r="J117" s="46" t="s">
        <v>375</v>
      </c>
      <c r="K117" s="170"/>
      <c r="L117" s="195">
        <v>15.472</v>
      </c>
      <c r="M117" s="61">
        <v>50</v>
      </c>
      <c r="N117" s="61">
        <v>1</v>
      </c>
      <c r="O117" s="61" t="str">
        <f t="shared" ca="1" si="0"/>
        <v>bundle (25x60 grams)</v>
      </c>
      <c r="P117" s="61" t="s">
        <v>92</v>
      </c>
      <c r="Q117" s="170"/>
      <c r="R117" s="170"/>
      <c r="S117" s="198">
        <f t="shared" si="1"/>
        <v>50</v>
      </c>
      <c r="T117" s="199" t="str">
        <f t="shared" si="2"/>
        <v>50pieces</v>
      </c>
      <c r="U117" s="200">
        <f t="shared" si="3"/>
        <v>773.6</v>
      </c>
      <c r="V117" s="12"/>
      <c r="W117" s="12"/>
    </row>
    <row r="118" spans="1:23" x14ac:dyDescent="0.3">
      <c r="A118" s="183" t="e">
        <f ca="1"/>
        <v>#NAME?</v>
      </c>
      <c r="B118" s="194" t="s">
        <v>376</v>
      </c>
      <c r="C118" s="170"/>
      <c r="D118" s="194" t="str">
        <f ca="1">IFERROR(__xludf.DUMMYFUNCTION("IF(J118="""",""n/a"",IFERROR(SPLIT(J118,""/"")))"),"Pepsi")</f>
        <v>Pepsi</v>
      </c>
      <c r="E118" s="194" t="str">
        <f ca="1">IFERROR(__xludf.DUMMYFUNCTION("""COMPUTED_VALUE"""),"case (24x500ml)")</f>
        <v>case (24x500ml)</v>
      </c>
      <c r="F118" s="170"/>
      <c r="G118" s="170"/>
      <c r="H118" s="183" t="s">
        <v>1897</v>
      </c>
      <c r="I118" s="170"/>
      <c r="J118" s="46" t="s">
        <v>100</v>
      </c>
      <c r="K118" s="170"/>
      <c r="L118" s="195">
        <v>43.4</v>
      </c>
      <c r="M118" s="203">
        <v>24</v>
      </c>
      <c r="N118" s="203">
        <v>1</v>
      </c>
      <c r="O118" s="61" t="str">
        <f t="shared" ca="1" si="0"/>
        <v>case (24x500ml)</v>
      </c>
      <c r="P118" s="61" t="s">
        <v>92</v>
      </c>
      <c r="Q118" s="170"/>
      <c r="R118" s="192" t="str">
        <f t="shared" ref="R118:R119" si="12">CONCATENATE(N118,P118)</f>
        <v>1pieces</v>
      </c>
      <c r="S118" s="198">
        <f t="shared" si="1"/>
        <v>24</v>
      </c>
      <c r="T118" s="199" t="str">
        <f t="shared" si="2"/>
        <v>24pieces</v>
      </c>
      <c r="U118" s="200">
        <f t="shared" si="3"/>
        <v>1041.5999999999999</v>
      </c>
      <c r="V118" s="205">
        <f>U118/M118</f>
        <v>43.4</v>
      </c>
      <c r="W118" s="62"/>
    </row>
    <row r="119" spans="1:23" x14ac:dyDescent="0.3">
      <c r="A119" s="183" t="e">
        <f ca="1"/>
        <v>#NAME?</v>
      </c>
      <c r="B119" s="194" t="s">
        <v>376</v>
      </c>
      <c r="C119" s="170"/>
      <c r="D119" s="194" t="str">
        <f ca="1">IFERROR(__xludf.DUMMYFUNCTION("IF(J119="""",""n/a"",IFERROR(SPLIT(J119,""/"")))"),"Nutri-Snackbundle (50x60grams)")</f>
        <v>Nutri-Snackbundle (50x60grams)</v>
      </c>
      <c r="E119" s="170"/>
      <c r="F119" s="170"/>
      <c r="G119" s="170"/>
      <c r="H119" s="183" t="s">
        <v>1897</v>
      </c>
      <c r="I119" s="170"/>
      <c r="J119" s="46" t="s">
        <v>377</v>
      </c>
      <c r="K119" s="170"/>
      <c r="L119" s="195">
        <v>15.39</v>
      </c>
      <c r="M119" s="203">
        <v>12</v>
      </c>
      <c r="N119" s="203">
        <v>1</v>
      </c>
      <c r="O119" s="170">
        <f t="shared" si="0"/>
        <v>0</v>
      </c>
      <c r="P119" s="61" t="s">
        <v>92</v>
      </c>
      <c r="Q119" s="170"/>
      <c r="R119" s="192" t="str">
        <f t="shared" si="12"/>
        <v>1pieces</v>
      </c>
      <c r="S119" s="198">
        <f t="shared" si="1"/>
        <v>12</v>
      </c>
      <c r="T119" s="199" t="str">
        <f t="shared" si="2"/>
        <v>12pieces</v>
      </c>
      <c r="U119" s="200">
        <f t="shared" si="3"/>
        <v>184.68</v>
      </c>
      <c r="V119" s="12"/>
      <c r="W119" s="12"/>
    </row>
    <row r="120" spans="1:23" x14ac:dyDescent="0.3">
      <c r="A120" s="183" t="e">
        <f ca="1"/>
        <v>#NAME?</v>
      </c>
      <c r="B120" s="194" t="s">
        <v>376</v>
      </c>
      <c r="C120" s="170"/>
      <c r="D120" s="194" t="str">
        <f ca="1">IFERROR(__xludf.DUMMYFUNCTION("IF(J120="""",""n/a"",IFERROR(SPLIT(J120,""/"")))"),"Nutri-Snackbundle (50x60grams)")</f>
        <v>Nutri-Snackbundle (50x60grams)</v>
      </c>
      <c r="E120" s="170"/>
      <c r="F120" s="170"/>
      <c r="G120" s="170"/>
      <c r="H120" s="183" t="s">
        <v>1895</v>
      </c>
      <c r="I120" s="170"/>
      <c r="J120" s="46" t="s">
        <v>377</v>
      </c>
      <c r="K120" s="170"/>
      <c r="L120" s="195">
        <v>16.329999999999998</v>
      </c>
      <c r="M120" s="61">
        <v>50</v>
      </c>
      <c r="N120" s="61">
        <v>1</v>
      </c>
      <c r="O120" s="170">
        <f t="shared" si="0"/>
        <v>0</v>
      </c>
      <c r="P120" s="61" t="s">
        <v>92</v>
      </c>
      <c r="Q120" s="170"/>
      <c r="R120" s="170"/>
      <c r="S120" s="198">
        <f t="shared" si="1"/>
        <v>50</v>
      </c>
      <c r="T120" s="199" t="str">
        <f t="shared" si="2"/>
        <v>50pieces</v>
      </c>
      <c r="U120" s="200">
        <f t="shared" si="3"/>
        <v>816.49999999999989</v>
      </c>
      <c r="V120" s="12"/>
      <c r="W120" s="12"/>
    </row>
    <row r="121" spans="1:23" x14ac:dyDescent="0.3">
      <c r="A121" s="183" t="e">
        <f ca="1"/>
        <v>#NAME?</v>
      </c>
      <c r="B121" s="194" t="s">
        <v>376</v>
      </c>
      <c r="C121" s="170"/>
      <c r="D121" s="194" t="str">
        <f ca="1">IFERROR(__xludf.DUMMYFUNCTION("IF(J121="""",""n/a"",IFERROR(SPLIT(J121,""/"")))"),"n/a")</f>
        <v>n/a</v>
      </c>
      <c r="E121" s="170"/>
      <c r="F121" s="170"/>
      <c r="G121" s="170"/>
      <c r="H121" s="206" t="s">
        <v>1898</v>
      </c>
      <c r="I121" s="170"/>
      <c r="J121" s="170"/>
      <c r="K121" s="170"/>
      <c r="L121" s="197">
        <v>15.39</v>
      </c>
      <c r="M121" s="207">
        <v>3</v>
      </c>
      <c r="N121" s="208">
        <v>50</v>
      </c>
      <c r="O121" s="170">
        <f t="shared" si="0"/>
        <v>0</v>
      </c>
      <c r="P121" s="209" t="s">
        <v>92</v>
      </c>
      <c r="Q121" s="170"/>
      <c r="R121" s="170"/>
      <c r="S121" s="198">
        <f t="shared" si="1"/>
        <v>150</v>
      </c>
      <c r="T121" s="199" t="str">
        <f t="shared" si="2"/>
        <v>150pieces</v>
      </c>
      <c r="U121" s="200">
        <f t="shared" si="3"/>
        <v>46.17</v>
      </c>
      <c r="V121" s="12"/>
      <c r="W121" s="12"/>
    </row>
    <row r="122" spans="1:23" x14ac:dyDescent="0.3">
      <c r="A122" s="183" t="e">
        <f ca="1"/>
        <v>#NAME?</v>
      </c>
      <c r="B122" s="194" t="s">
        <v>536</v>
      </c>
      <c r="C122" s="170"/>
      <c r="D122" s="194" t="str">
        <f ca="1">IFERROR(__xludf.DUMMYFUNCTION("IF(J122="""",""n/a"",IFERROR(SPLIT(J122,""/"")))"),"n/a")</f>
        <v>n/a</v>
      </c>
      <c r="E122" s="170"/>
      <c r="F122" s="170"/>
      <c r="G122" s="170"/>
      <c r="H122" s="206" t="s">
        <v>1898</v>
      </c>
      <c r="I122" s="170"/>
      <c r="J122" s="170"/>
      <c r="K122" s="170"/>
      <c r="L122" s="197">
        <v>26.35</v>
      </c>
      <c r="M122" s="207">
        <v>4</v>
      </c>
      <c r="N122" s="208">
        <v>1</v>
      </c>
      <c r="O122" s="170">
        <f t="shared" si="0"/>
        <v>0</v>
      </c>
      <c r="P122" s="209" t="s">
        <v>92</v>
      </c>
      <c r="Q122" s="170"/>
      <c r="R122" s="170"/>
      <c r="S122" s="198">
        <f t="shared" si="1"/>
        <v>4</v>
      </c>
      <c r="T122" s="199" t="str">
        <f t="shared" si="2"/>
        <v>4pieces</v>
      </c>
      <c r="U122" s="200">
        <f t="shared" si="3"/>
        <v>105.4</v>
      </c>
      <c r="V122" s="12"/>
      <c r="W122" s="12"/>
    </row>
    <row r="123" spans="1:23" x14ac:dyDescent="0.3">
      <c r="A123" s="183" t="e">
        <f ca="1"/>
        <v>#NAME?</v>
      </c>
      <c r="B123" s="194" t="s">
        <v>242</v>
      </c>
      <c r="C123" s="170"/>
      <c r="D123" s="194" t="str">
        <f ca="1">IFERROR(__xludf.DUMMYFUNCTION("IF(J123="""",""n/a"",IFERROR(SPLIT(J123,""/"")))"),"Knorr")</f>
        <v>Knorr</v>
      </c>
      <c r="E123" s="194" t="str">
        <f ca="1">IFERROR(__xludf.DUMMYFUNCTION("""COMPUTED_VALUE"""),"sachet")</f>
        <v>sachet</v>
      </c>
      <c r="F123" s="194" t="str">
        <f ca="1">IFERROR(__xludf.DUMMYFUNCTION("""COMPUTED_VALUE"""),"60grams")</f>
        <v>60grams</v>
      </c>
      <c r="G123" s="170"/>
      <c r="H123" s="183" t="s">
        <v>1895</v>
      </c>
      <c r="I123" s="170"/>
      <c r="J123" s="46" t="s">
        <v>243</v>
      </c>
      <c r="K123" s="170"/>
      <c r="L123" s="195">
        <v>58</v>
      </c>
      <c r="M123" s="61">
        <v>12</v>
      </c>
      <c r="N123" s="61">
        <v>1</v>
      </c>
      <c r="O123" s="61" t="str">
        <f t="shared" ca="1" si="0"/>
        <v>sachet</v>
      </c>
      <c r="P123" s="61" t="s">
        <v>39</v>
      </c>
      <c r="Q123" s="170"/>
      <c r="R123" s="170"/>
      <c r="S123" s="198">
        <f t="shared" si="1"/>
        <v>12</v>
      </c>
      <c r="T123" s="199" t="str">
        <f t="shared" si="2"/>
        <v>12grams</v>
      </c>
      <c r="U123" s="200">
        <f t="shared" si="3"/>
        <v>696</v>
      </c>
      <c r="V123" s="12"/>
      <c r="W123" s="12"/>
    </row>
    <row r="124" spans="1:23" x14ac:dyDescent="0.3">
      <c r="A124" s="183" t="e">
        <f ca="1"/>
        <v>#NAME?</v>
      </c>
      <c r="B124" s="194" t="s">
        <v>537</v>
      </c>
      <c r="C124" s="170"/>
      <c r="D124" s="194" t="str">
        <f ca="1">IFERROR(__xludf.DUMMYFUNCTION("IF(J124="""",""n/a"",IFERROR(SPLIT(J124,""/"")))"),"Star")</f>
        <v>Star</v>
      </c>
      <c r="E124" s="194" t="str">
        <f ca="1">IFERROR(__xludf.DUMMYFUNCTION("""COMPUTED_VALUE"""),"pail")</f>
        <v>pail</v>
      </c>
      <c r="F124" s="194" t="str">
        <f ca="1">IFERROR(__xludf.DUMMYFUNCTION("""COMPUTED_VALUE"""),"1000grams")</f>
        <v>1000grams</v>
      </c>
      <c r="G124" s="170"/>
      <c r="H124" s="183" t="s">
        <v>1897</v>
      </c>
      <c r="I124" s="170"/>
      <c r="J124" s="46" t="s">
        <v>538</v>
      </c>
      <c r="K124" s="170"/>
      <c r="L124" s="195">
        <v>0.12</v>
      </c>
      <c r="M124" s="203">
        <v>7000</v>
      </c>
      <c r="N124" s="203">
        <v>1000</v>
      </c>
      <c r="O124" s="61" t="str">
        <f t="shared" ca="1" si="0"/>
        <v>pail</v>
      </c>
      <c r="P124" s="61" t="s">
        <v>39</v>
      </c>
      <c r="Q124" s="170"/>
      <c r="R124" s="192" t="str">
        <f t="shared" ref="R124:R126" si="13">CONCATENATE(N124,P124)</f>
        <v>1000grams</v>
      </c>
      <c r="S124" s="198">
        <f t="shared" si="1"/>
        <v>7000000</v>
      </c>
      <c r="T124" s="199" t="str">
        <f t="shared" si="2"/>
        <v>7000000grams</v>
      </c>
      <c r="U124" s="200">
        <f t="shared" si="3"/>
        <v>840</v>
      </c>
      <c r="V124" s="205">
        <f t="shared" ref="V124:V126" si="14">U124/M124</f>
        <v>0.12</v>
      </c>
      <c r="W124" s="62"/>
    </row>
    <row r="125" spans="1:23" x14ac:dyDescent="0.3">
      <c r="A125" s="183" t="e">
        <f ca="1"/>
        <v>#NAME?</v>
      </c>
      <c r="B125" s="194" t="s">
        <v>537</v>
      </c>
      <c r="C125" s="170"/>
      <c r="D125" s="194" t="str">
        <f ca="1">IFERROR(__xludf.DUMMYFUNCTION("IF(J125="""",""n/a"",IFERROR(SPLIT(J125,""/"")))"),"Frozen with bone")</f>
        <v>Frozen with bone</v>
      </c>
      <c r="E125" s="170"/>
      <c r="F125" s="170"/>
      <c r="G125" s="170"/>
      <c r="H125" s="183" t="s">
        <v>1897</v>
      </c>
      <c r="I125" s="170"/>
      <c r="J125" s="46" t="s">
        <v>539</v>
      </c>
      <c r="K125" s="170"/>
      <c r="L125" s="195">
        <v>285</v>
      </c>
      <c r="M125" s="210">
        <v>5</v>
      </c>
      <c r="N125" s="203">
        <v>1</v>
      </c>
      <c r="O125" s="170">
        <f t="shared" si="0"/>
        <v>0</v>
      </c>
      <c r="P125" s="61" t="s">
        <v>213</v>
      </c>
      <c r="Q125" s="170"/>
      <c r="R125" s="192" t="str">
        <f t="shared" si="13"/>
        <v>1kilos</v>
      </c>
      <c r="S125" s="198">
        <f t="shared" si="1"/>
        <v>5</v>
      </c>
      <c r="T125" s="199" t="str">
        <f t="shared" si="2"/>
        <v>5kilos</v>
      </c>
      <c r="U125" s="200">
        <f t="shared" si="3"/>
        <v>1425</v>
      </c>
      <c r="V125" s="205">
        <f t="shared" si="14"/>
        <v>285</v>
      </c>
      <c r="W125" s="62"/>
    </row>
    <row r="126" spans="1:23" x14ac:dyDescent="0.3">
      <c r="A126" s="183" t="e">
        <f ca="1"/>
        <v>#NAME?</v>
      </c>
      <c r="B126" s="194" t="s">
        <v>211</v>
      </c>
      <c r="C126" s="170"/>
      <c r="D126" s="194" t="str">
        <f ca="1">IFERROR(__xludf.DUMMYFUNCTION("IF(J126="""",""n/a"",IFERROR(SPLIT(J126,""/"")))"),"Frozen")</f>
        <v>Frozen</v>
      </c>
      <c r="E126" s="194" t="str">
        <f ca="1">IFERROR(__xludf.DUMMYFUNCTION("""COMPUTED_VALUE"""),"box(kilos)")</f>
        <v>box(kilos)</v>
      </c>
      <c r="F126" s="170"/>
      <c r="G126" s="170"/>
      <c r="H126" s="183" t="s">
        <v>1897</v>
      </c>
      <c r="I126" s="170"/>
      <c r="J126" s="46" t="s">
        <v>212</v>
      </c>
      <c r="K126" s="170"/>
      <c r="L126" s="195">
        <v>138</v>
      </c>
      <c r="M126" s="210">
        <v>50</v>
      </c>
      <c r="N126" s="203">
        <v>1</v>
      </c>
      <c r="O126" s="61" t="str">
        <f t="shared" ca="1" si="0"/>
        <v>box(kilos)</v>
      </c>
      <c r="P126" s="61" t="s">
        <v>213</v>
      </c>
      <c r="Q126" s="170"/>
      <c r="R126" s="192" t="str">
        <f t="shared" si="13"/>
        <v>1kilos</v>
      </c>
      <c r="S126" s="198">
        <f t="shared" si="1"/>
        <v>50</v>
      </c>
      <c r="T126" s="199" t="str">
        <f t="shared" si="2"/>
        <v>50kilos</v>
      </c>
      <c r="U126" s="200">
        <f t="shared" si="3"/>
        <v>6900</v>
      </c>
      <c r="V126" s="205">
        <f t="shared" si="14"/>
        <v>138</v>
      </c>
      <c r="W126" s="62"/>
    </row>
    <row r="127" spans="1:23" x14ac:dyDescent="0.3">
      <c r="A127" s="183" t="e">
        <f ca="1"/>
        <v>#NAME?</v>
      </c>
      <c r="B127" s="214" t="s">
        <v>211</v>
      </c>
      <c r="C127" s="215"/>
      <c r="D127" s="194" t="str">
        <f ca="1">IFERROR(__xludf.DUMMYFUNCTION("IF(J127="""",""n/a"",IFERROR(SPLIT(J127,""/"")))"),"Frozen")</f>
        <v>Frozen</v>
      </c>
      <c r="E127" s="214" t="str">
        <f ca="1">IFERROR(__xludf.DUMMYFUNCTION("""COMPUTED_VALUE"""),"box(kilos)")</f>
        <v>box(kilos)</v>
      </c>
      <c r="F127" s="215"/>
      <c r="G127" s="215"/>
      <c r="H127" s="183" t="s">
        <v>1895</v>
      </c>
      <c r="I127" s="170"/>
      <c r="J127" s="46" t="s">
        <v>212</v>
      </c>
      <c r="K127" s="170"/>
      <c r="L127" s="195">
        <v>138</v>
      </c>
      <c r="M127" s="61">
        <v>123</v>
      </c>
      <c r="N127" s="61">
        <v>1</v>
      </c>
      <c r="O127" s="61" t="str">
        <f t="shared" ca="1" si="0"/>
        <v>box(kilos)</v>
      </c>
      <c r="P127" s="61" t="s">
        <v>213</v>
      </c>
      <c r="Q127" s="170"/>
      <c r="R127" s="170"/>
      <c r="S127" s="198">
        <f t="shared" si="1"/>
        <v>123</v>
      </c>
      <c r="T127" s="199" t="str">
        <f t="shared" si="2"/>
        <v>123kilos</v>
      </c>
      <c r="U127" s="200">
        <f t="shared" si="3"/>
        <v>16974</v>
      </c>
      <c r="V127" s="12"/>
      <c r="W127" s="12"/>
    </row>
    <row r="128" spans="1:23" x14ac:dyDescent="0.3">
      <c r="A128" s="183" t="e">
        <f ca="1"/>
        <v>#NAME?</v>
      </c>
      <c r="B128" s="194" t="s">
        <v>211</v>
      </c>
      <c r="C128" s="170"/>
      <c r="D128" s="194" t="str">
        <f ca="1">IFERROR(__xludf.DUMMYFUNCTION("IF(J128="""",""n/a"",IFERROR(SPLIT(J128,""/"")))"),"n/a")</f>
        <v>n/a</v>
      </c>
      <c r="E128" s="170"/>
      <c r="F128" s="170"/>
      <c r="G128" s="170"/>
      <c r="H128" s="206" t="s">
        <v>1898</v>
      </c>
      <c r="I128" s="170"/>
      <c r="J128" s="170"/>
      <c r="K128" s="170"/>
      <c r="L128" s="197">
        <v>139</v>
      </c>
      <c r="M128" s="207">
        <v>40</v>
      </c>
      <c r="N128" s="208">
        <v>1</v>
      </c>
      <c r="O128" s="170">
        <f t="shared" si="0"/>
        <v>0</v>
      </c>
      <c r="P128" s="61" t="s">
        <v>213</v>
      </c>
      <c r="Q128" s="170"/>
      <c r="R128" s="170"/>
      <c r="S128" s="198">
        <f t="shared" si="1"/>
        <v>40</v>
      </c>
      <c r="T128" s="199" t="str">
        <f t="shared" si="2"/>
        <v>40kilos</v>
      </c>
      <c r="U128" s="200">
        <f t="shared" si="3"/>
        <v>5560</v>
      </c>
      <c r="V128" s="12"/>
      <c r="W128" s="12"/>
    </row>
    <row r="129" spans="1:23" x14ac:dyDescent="0.3">
      <c r="A129" s="183" t="e">
        <f ca="1"/>
        <v>#NAME?</v>
      </c>
      <c r="B129" s="214" t="s">
        <v>214</v>
      </c>
      <c r="C129" s="215"/>
      <c r="D129" s="194" t="str">
        <f ca="1">IFERROR(__xludf.DUMMYFUNCTION("IF(J129="""",""n/a"",IFERROR(SPLIT(J129,""/"")))"),"Frozen")</f>
        <v>Frozen</v>
      </c>
      <c r="E129" s="214" t="str">
        <f ca="1">IFERROR(__xludf.DUMMYFUNCTION("""COMPUTED_VALUE"""),"box(kilos)")</f>
        <v>box(kilos)</v>
      </c>
      <c r="F129" s="215"/>
      <c r="G129" s="215"/>
      <c r="H129" s="183" t="s">
        <v>1895</v>
      </c>
      <c r="I129" s="170"/>
      <c r="J129" s="46" t="s">
        <v>212</v>
      </c>
      <c r="K129" s="170"/>
      <c r="L129" s="195">
        <v>169</v>
      </c>
      <c r="M129" s="61">
        <v>58</v>
      </c>
      <c r="N129" s="61">
        <v>1</v>
      </c>
      <c r="O129" s="61" t="str">
        <f t="shared" ca="1" si="0"/>
        <v>box(kilos)</v>
      </c>
      <c r="P129" s="61" t="s">
        <v>213</v>
      </c>
      <c r="Q129" s="170"/>
      <c r="R129" s="170"/>
      <c r="S129" s="198">
        <f t="shared" si="1"/>
        <v>58</v>
      </c>
      <c r="T129" s="199" t="str">
        <f t="shared" si="2"/>
        <v>58kilos</v>
      </c>
      <c r="U129" s="200">
        <f t="shared" si="3"/>
        <v>9802</v>
      </c>
      <c r="V129" s="12"/>
      <c r="W129" s="12"/>
    </row>
    <row r="130" spans="1:23" x14ac:dyDescent="0.3">
      <c r="A130" s="183" t="e">
        <f ca="1"/>
        <v>#NAME?</v>
      </c>
      <c r="B130" s="194" t="s">
        <v>214</v>
      </c>
      <c r="C130" s="170"/>
      <c r="D130" s="194" t="str">
        <f ca="1">IFERROR(__xludf.DUMMYFUNCTION("IF(J130="""",""n/a"",IFERROR(SPLIT(J130,""/"")))"),"n/a")</f>
        <v>n/a</v>
      </c>
      <c r="E130" s="170"/>
      <c r="F130" s="170"/>
      <c r="G130" s="170"/>
      <c r="H130" s="206" t="s">
        <v>1898</v>
      </c>
      <c r="I130" s="170"/>
      <c r="J130" s="170"/>
      <c r="K130" s="170"/>
      <c r="L130" s="197">
        <v>168</v>
      </c>
      <c r="M130" s="207">
        <v>19</v>
      </c>
      <c r="N130" s="208">
        <v>1</v>
      </c>
      <c r="O130" s="170">
        <f t="shared" si="0"/>
        <v>0</v>
      </c>
      <c r="P130" s="61" t="s">
        <v>213</v>
      </c>
      <c r="Q130" s="170"/>
      <c r="R130" s="170"/>
      <c r="S130" s="198">
        <f t="shared" si="1"/>
        <v>19</v>
      </c>
      <c r="T130" s="199" t="str">
        <f t="shared" si="2"/>
        <v>19kilos</v>
      </c>
      <c r="U130" s="200">
        <f t="shared" si="3"/>
        <v>3192</v>
      </c>
      <c r="V130" s="12"/>
      <c r="W130" s="12"/>
    </row>
    <row r="131" spans="1:23" x14ac:dyDescent="0.3">
      <c r="A131" s="183" t="e">
        <f ca="1"/>
        <v>#NAME?</v>
      </c>
      <c r="B131" s="214" t="s">
        <v>215</v>
      </c>
      <c r="C131" s="215"/>
      <c r="D131" s="194" t="str">
        <f ca="1">IFERROR(__xludf.DUMMYFUNCTION("IF(J131="""",""n/a"",IFERROR(SPLIT(J131,""/"")))"),"Fresh")</f>
        <v>Fresh</v>
      </c>
      <c r="E131" s="215"/>
      <c r="F131" s="215"/>
      <c r="G131" s="215"/>
      <c r="H131" s="183" t="s">
        <v>1895</v>
      </c>
      <c r="I131" s="170"/>
      <c r="J131" s="46" t="s">
        <v>216</v>
      </c>
      <c r="K131" s="170"/>
      <c r="L131" s="195">
        <v>168</v>
      </c>
      <c r="M131" s="61">
        <v>30</v>
      </c>
      <c r="N131" s="61">
        <v>1</v>
      </c>
      <c r="O131" s="170">
        <f t="shared" si="0"/>
        <v>0</v>
      </c>
      <c r="P131" s="61" t="s">
        <v>213</v>
      </c>
      <c r="Q131" s="170"/>
      <c r="R131" s="170"/>
      <c r="S131" s="198">
        <f t="shared" si="1"/>
        <v>30</v>
      </c>
      <c r="T131" s="199" t="str">
        <f t="shared" si="2"/>
        <v>30kilos</v>
      </c>
      <c r="U131" s="200">
        <f t="shared" si="3"/>
        <v>5040</v>
      </c>
      <c r="V131" s="12"/>
      <c r="W131" s="12"/>
    </row>
    <row r="132" spans="1:23" x14ac:dyDescent="0.3">
      <c r="A132" s="183" t="e">
        <f ca="1"/>
        <v>#NAME?</v>
      </c>
      <c r="B132" s="194" t="s">
        <v>244</v>
      </c>
      <c r="C132" s="170"/>
      <c r="D132" s="194" t="str">
        <f ca="1">IFERROR(__xludf.DUMMYFUNCTION("IF(J132="""",""n/a"",IFERROR(SPLIT(J132,""/"")))"),"Lee Kum Kee")</f>
        <v>Lee Kum Kee</v>
      </c>
      <c r="E132" s="194" t="str">
        <f ca="1">IFERROR(__xludf.DUMMYFUNCTION("""COMPUTED_VALUE"""),"bottle")</f>
        <v>bottle</v>
      </c>
      <c r="F132" s="194" t="str">
        <f ca="1">IFERROR(__xludf.DUMMYFUNCTION("""COMPUTED_VALUE"""),"226grams")</f>
        <v>226grams</v>
      </c>
      <c r="G132" s="170"/>
      <c r="H132" s="183" t="s">
        <v>1895</v>
      </c>
      <c r="I132" s="170"/>
      <c r="J132" s="46" t="s">
        <v>245</v>
      </c>
      <c r="K132" s="170"/>
      <c r="L132" s="195">
        <v>240</v>
      </c>
      <c r="M132" s="61">
        <v>1</v>
      </c>
      <c r="N132" s="61">
        <v>1</v>
      </c>
      <c r="O132" s="61" t="str">
        <f t="shared" ca="1" si="0"/>
        <v>bottle</v>
      </c>
      <c r="P132" s="61" t="s">
        <v>39</v>
      </c>
      <c r="Q132" s="170"/>
      <c r="R132" s="170"/>
      <c r="S132" s="198">
        <f t="shared" si="1"/>
        <v>1</v>
      </c>
      <c r="T132" s="199" t="str">
        <f t="shared" si="2"/>
        <v>1grams</v>
      </c>
      <c r="U132" s="200">
        <f t="shared" si="3"/>
        <v>240</v>
      </c>
      <c r="V132" s="12"/>
      <c r="W132" s="12"/>
    </row>
    <row r="133" spans="1:23" x14ac:dyDescent="0.3">
      <c r="A133" s="183" t="e">
        <f ca="1"/>
        <v>#NAME?</v>
      </c>
      <c r="B133" s="194" t="s">
        <v>540</v>
      </c>
      <c r="C133" s="170"/>
      <c r="D133" s="194" t="str">
        <f ca="1">IFERROR(__xludf.DUMMYFUNCTION("IF(J133="""",""n/a"",IFERROR(SPLIT(J133,""/"")))"),"UFC")</f>
        <v>UFC</v>
      </c>
      <c r="E133" s="194" t="str">
        <f ca="1">IFERROR(__xludf.DUMMYFUNCTION("""COMPUTED_VALUE"""),"pack")</f>
        <v>pack</v>
      </c>
      <c r="F133" s="194" t="str">
        <f ca="1">IFERROR(__xludf.DUMMYFUNCTION("""COMPUTED_VALUE"""),"30grams")</f>
        <v>30grams</v>
      </c>
      <c r="G133" s="170"/>
      <c r="H133" s="183" t="s">
        <v>1897</v>
      </c>
      <c r="I133" s="170"/>
      <c r="J133" s="46" t="s">
        <v>541</v>
      </c>
      <c r="K133" s="170"/>
      <c r="L133" s="197">
        <v>1.46</v>
      </c>
      <c r="M133" s="203">
        <v>60</v>
      </c>
      <c r="N133" s="203">
        <v>30</v>
      </c>
      <c r="O133" s="61" t="str">
        <f t="shared" ca="1" si="0"/>
        <v>pack</v>
      </c>
      <c r="P133" s="61" t="s">
        <v>39</v>
      </c>
      <c r="Q133" s="170"/>
      <c r="R133" s="192" t="str">
        <f t="shared" ref="R133:R134" si="15">CONCATENATE(N133,P133)</f>
        <v>30grams</v>
      </c>
      <c r="S133" s="198">
        <f t="shared" si="1"/>
        <v>1800</v>
      </c>
      <c r="T133" s="199" t="str">
        <f t="shared" si="2"/>
        <v>1800grams</v>
      </c>
      <c r="U133" s="200">
        <f t="shared" si="3"/>
        <v>87.6</v>
      </c>
      <c r="V133" s="205">
        <f>U133/M133</f>
        <v>1.46</v>
      </c>
      <c r="W133" s="62"/>
    </row>
    <row r="134" spans="1:23" x14ac:dyDescent="0.3">
      <c r="A134" s="183" t="e">
        <f ca="1"/>
        <v>#NAME?</v>
      </c>
      <c r="B134" s="194" t="s">
        <v>542</v>
      </c>
      <c r="C134" s="170"/>
      <c r="D134" s="194" t="str">
        <f ca="1">IFERROR(__xludf.DUMMYFUNCTION("IF(J134="""",""n/a"",IFERROR(SPLIT(J134,""/"")))"),"Jack n Jill")</f>
        <v>Jack n Jill</v>
      </c>
      <c r="E134" s="194" t="str">
        <f ca="1">IFERROR(__xludf.DUMMYFUNCTION("""COMPUTED_VALUE"""),"box (100")</f>
        <v>box (100</v>
      </c>
      <c r="F134" s="194" t="str">
        <f ca="1">IFERROR(__xludf.DUMMYFUNCTION("""COMPUTED_VALUE"""),"25grams)")</f>
        <v>25grams)</v>
      </c>
      <c r="G134" s="170"/>
      <c r="H134" s="183" t="s">
        <v>1897</v>
      </c>
      <c r="I134" s="170"/>
      <c r="J134" s="46" t="s">
        <v>543</v>
      </c>
      <c r="K134" s="170"/>
      <c r="L134" s="195">
        <v>6.79</v>
      </c>
      <c r="M134" s="203">
        <v>13</v>
      </c>
      <c r="N134" s="202">
        <v>1</v>
      </c>
      <c r="O134" s="61" t="str">
        <f t="shared" ca="1" si="0"/>
        <v>box (100</v>
      </c>
      <c r="P134" s="61" t="s">
        <v>92</v>
      </c>
      <c r="Q134" s="170"/>
      <c r="R134" s="192" t="str">
        <f t="shared" si="15"/>
        <v>1pieces</v>
      </c>
      <c r="S134" s="198">
        <f t="shared" si="1"/>
        <v>13</v>
      </c>
      <c r="T134" s="199" t="str">
        <f t="shared" si="2"/>
        <v>13pieces</v>
      </c>
      <c r="U134" s="200">
        <f t="shared" si="3"/>
        <v>88.27</v>
      </c>
      <c r="V134" s="12"/>
      <c r="W134" s="12"/>
    </row>
    <row r="135" spans="1:23" x14ac:dyDescent="0.3">
      <c r="A135" s="183" t="e">
        <f ca="1"/>
        <v>#NAME?</v>
      </c>
      <c r="B135" s="194" t="s">
        <v>542</v>
      </c>
      <c r="C135" s="170"/>
      <c r="D135" s="194" t="str">
        <f ca="1">IFERROR(__xludf.DUMMYFUNCTION("IF(J135="""",""n/a"",IFERROR(SPLIT(J135,""/"")))"),"n/a")</f>
        <v>n/a</v>
      </c>
      <c r="E135" s="170"/>
      <c r="F135" s="170"/>
      <c r="G135" s="170"/>
      <c r="H135" s="206" t="s">
        <v>1898</v>
      </c>
      <c r="I135" s="170"/>
      <c r="J135" s="170"/>
      <c r="K135" s="170"/>
      <c r="L135" s="197">
        <v>23.313000000000002</v>
      </c>
      <c r="M135" s="207">
        <v>50</v>
      </c>
      <c r="N135" s="208">
        <v>50</v>
      </c>
      <c r="O135" s="170">
        <f t="shared" si="0"/>
        <v>0</v>
      </c>
      <c r="P135" s="61" t="s">
        <v>92</v>
      </c>
      <c r="Q135" s="170"/>
      <c r="R135" s="170"/>
      <c r="S135" s="198">
        <f t="shared" si="1"/>
        <v>2500</v>
      </c>
      <c r="T135" s="199" t="str">
        <f t="shared" si="2"/>
        <v>2500pieces</v>
      </c>
      <c r="U135" s="200">
        <f t="shared" si="3"/>
        <v>1165.6500000000001</v>
      </c>
      <c r="V135" s="12"/>
      <c r="W135" s="12"/>
    </row>
    <row r="136" spans="1:23" x14ac:dyDescent="0.3">
      <c r="A136" s="183" t="e">
        <f ca="1"/>
        <v>#NAME?</v>
      </c>
      <c r="B136" s="194" t="s">
        <v>544</v>
      </c>
      <c r="C136" s="170"/>
      <c r="D136" s="194" t="str">
        <f ca="1">IFERROR(__xludf.DUMMYFUNCTION("IF(J136="""",""n/a"",IFERROR(SPLIT(J136,""/"")))"),"Jack n Jill")</f>
        <v>Jack n Jill</v>
      </c>
      <c r="E136" s="194" t="str">
        <f ca="1">IFERROR(__xludf.DUMMYFUNCTION("""COMPUTED_VALUE"""),"box (pcsx55grams)")</f>
        <v>box (pcsx55grams)</v>
      </c>
      <c r="F136" s="170"/>
      <c r="G136" s="170"/>
      <c r="H136" s="183" t="s">
        <v>1897</v>
      </c>
      <c r="I136" s="170"/>
      <c r="J136" s="46" t="s">
        <v>545</v>
      </c>
      <c r="K136" s="170"/>
      <c r="L136" s="202">
        <v>19.25</v>
      </c>
      <c r="M136" s="203">
        <v>139</v>
      </c>
      <c r="N136" s="203">
        <v>1</v>
      </c>
      <c r="O136" s="61" t="str">
        <f t="shared" ca="1" si="0"/>
        <v>box (pcsx55grams)</v>
      </c>
      <c r="P136" s="61" t="s">
        <v>92</v>
      </c>
      <c r="Q136" s="170"/>
      <c r="R136" s="192" t="str">
        <f t="shared" ref="R136:R137" si="16">CONCATENATE(N136,P136)</f>
        <v>1pieces</v>
      </c>
      <c r="S136" s="198">
        <f t="shared" si="1"/>
        <v>139</v>
      </c>
      <c r="T136" s="199" t="str">
        <f t="shared" si="2"/>
        <v>139pieces</v>
      </c>
      <c r="U136" s="200">
        <f t="shared" si="3"/>
        <v>2675.75</v>
      </c>
      <c r="V136" s="12"/>
      <c r="W136" s="12"/>
    </row>
    <row r="137" spans="1:23" x14ac:dyDescent="0.3">
      <c r="A137" s="183" t="e">
        <f ca="1"/>
        <v>#NAME?</v>
      </c>
      <c r="B137" s="194" t="s">
        <v>546</v>
      </c>
      <c r="C137" s="170"/>
      <c r="D137" s="194" t="str">
        <f ca="1">IFERROR(__xludf.DUMMYFUNCTION("IF(J137="""",""n/a"",IFERROR(SPLIT(J137,""/"")))"),"King")</f>
        <v>King</v>
      </c>
      <c r="E137" s="194" t="str">
        <f ca="1">IFERROR(__xludf.DUMMYFUNCTION("""COMPUTED_VALUE"""),"pack (24pcsxgrams)")</f>
        <v>pack (24pcsxgrams)</v>
      </c>
      <c r="F137" s="170"/>
      <c r="G137" s="170"/>
      <c r="H137" s="183" t="s">
        <v>1897</v>
      </c>
      <c r="I137" s="170"/>
      <c r="J137" s="46" t="s">
        <v>547</v>
      </c>
      <c r="K137" s="170"/>
      <c r="L137" s="195">
        <v>1.8</v>
      </c>
      <c r="M137" s="203">
        <v>379</v>
      </c>
      <c r="N137" s="203">
        <v>1</v>
      </c>
      <c r="O137" s="61" t="str">
        <f t="shared" ca="1" si="0"/>
        <v>pack (24pcsxgrams)</v>
      </c>
      <c r="P137" s="61" t="s">
        <v>92</v>
      </c>
      <c r="Q137" s="170"/>
      <c r="R137" s="192" t="str">
        <f t="shared" si="16"/>
        <v>1pieces</v>
      </c>
      <c r="S137" s="198">
        <f t="shared" si="1"/>
        <v>379</v>
      </c>
      <c r="T137" s="199" t="str">
        <f t="shared" si="2"/>
        <v>379pieces</v>
      </c>
      <c r="U137" s="200">
        <f t="shared" si="3"/>
        <v>682.2</v>
      </c>
      <c r="V137" s="12"/>
      <c r="W137" s="12"/>
    </row>
    <row r="138" spans="1:23" x14ac:dyDescent="0.3">
      <c r="A138" s="183" t="e">
        <f ca="1"/>
        <v>#NAME?</v>
      </c>
      <c r="B138" s="194" t="s">
        <v>548</v>
      </c>
      <c r="C138" s="170"/>
      <c r="D138" s="194" t="str">
        <f ca="1">IFERROR(__xludf.DUMMYFUNCTION("IF(J138="""",""n/a"",IFERROR(SPLIT(J138,""/"")))"),"n/a")</f>
        <v>n/a</v>
      </c>
      <c r="E138" s="170"/>
      <c r="F138" s="170"/>
      <c r="G138" s="170"/>
      <c r="H138" s="206" t="s">
        <v>1898</v>
      </c>
      <c r="I138" s="170"/>
      <c r="J138" s="170"/>
      <c r="K138" s="170"/>
      <c r="L138" s="197">
        <v>1.4729166666666667</v>
      </c>
      <c r="M138" s="208">
        <v>2</v>
      </c>
      <c r="N138" s="208">
        <v>48</v>
      </c>
      <c r="O138" s="170">
        <f t="shared" si="0"/>
        <v>0</v>
      </c>
      <c r="P138" s="61" t="s">
        <v>92</v>
      </c>
      <c r="Q138" s="170"/>
      <c r="R138" s="170"/>
      <c r="S138" s="198">
        <f t="shared" si="1"/>
        <v>96</v>
      </c>
      <c r="T138" s="199" t="str">
        <f t="shared" si="2"/>
        <v>96pieces</v>
      </c>
      <c r="U138" s="200">
        <f t="shared" si="3"/>
        <v>2.9458333333333333</v>
      </c>
      <c r="V138" s="12"/>
      <c r="W138" s="12"/>
    </row>
    <row r="139" spans="1:23" x14ac:dyDescent="0.3">
      <c r="A139" s="183" t="e">
        <f ca="1"/>
        <v>#NAME?</v>
      </c>
      <c r="B139" s="194" t="s">
        <v>548</v>
      </c>
      <c r="C139" s="170"/>
      <c r="D139" s="194" t="str">
        <f ca="1">IFERROR(__xludf.DUMMYFUNCTION("IF(J139="""",""n/a"",IFERROR(SPLIT(J139,""/"")))"),"n/a")</f>
        <v>n/a</v>
      </c>
      <c r="E139" s="170"/>
      <c r="F139" s="170"/>
      <c r="G139" s="170"/>
      <c r="H139" s="206" t="s">
        <v>1898</v>
      </c>
      <c r="I139" s="170"/>
      <c r="J139" s="170"/>
      <c r="K139" s="170"/>
      <c r="L139" s="197">
        <v>3.69</v>
      </c>
      <c r="M139" s="208">
        <v>2</v>
      </c>
      <c r="N139" s="208">
        <v>1</v>
      </c>
      <c r="O139" s="170">
        <f t="shared" si="0"/>
        <v>0</v>
      </c>
      <c r="P139" s="61" t="s">
        <v>92</v>
      </c>
      <c r="Q139" s="170"/>
      <c r="R139" s="170"/>
      <c r="S139" s="198">
        <f t="shared" si="1"/>
        <v>2</v>
      </c>
      <c r="T139" s="199" t="str">
        <f t="shared" si="2"/>
        <v>2pieces</v>
      </c>
      <c r="U139" s="200">
        <f t="shared" si="3"/>
        <v>7.38</v>
      </c>
      <c r="V139" s="12"/>
      <c r="W139" s="12"/>
    </row>
    <row r="140" spans="1:23" x14ac:dyDescent="0.3">
      <c r="A140" s="183" t="e">
        <f ca="1"/>
        <v>#NAME?</v>
      </c>
      <c r="B140" s="194" t="s">
        <v>549</v>
      </c>
      <c r="C140" s="170"/>
      <c r="D140" s="194" t="str">
        <f ca="1">IFERROR(__xludf.DUMMYFUNCTION("IF(J140="""",""n/a"",IFERROR(SPLIT(J140,""/"")))"),"Injoy bottle")</f>
        <v>Injoy bottle</v>
      </c>
      <c r="E140" s="194" t="str">
        <f ca="1">IFERROR(__xludf.DUMMYFUNCTION("""COMPUTED_VALUE"""),"750ml")</f>
        <v>750ml</v>
      </c>
      <c r="F140" s="170"/>
      <c r="G140" s="170"/>
      <c r="H140" s="183" t="s">
        <v>1897</v>
      </c>
      <c r="I140" s="170"/>
      <c r="J140" s="46" t="s">
        <v>550</v>
      </c>
      <c r="K140" s="170"/>
      <c r="L140" s="195">
        <v>0.17066666666666666</v>
      </c>
      <c r="M140" s="203">
        <v>750</v>
      </c>
      <c r="N140" s="203">
        <v>750</v>
      </c>
      <c r="O140" s="61" t="str">
        <f t="shared" ca="1" si="0"/>
        <v>750ml</v>
      </c>
      <c r="P140" s="61" t="s">
        <v>32</v>
      </c>
      <c r="Q140" s="61" t="s">
        <v>33</v>
      </c>
      <c r="R140" s="192" t="str">
        <f>CONCATENATE(N140,P140)</f>
        <v>750ml</v>
      </c>
      <c r="S140" s="198">
        <f t="shared" si="1"/>
        <v>562500</v>
      </c>
      <c r="T140" s="199" t="str">
        <f t="shared" si="2"/>
        <v>562500 ml</v>
      </c>
      <c r="U140" s="200">
        <f t="shared" si="3"/>
        <v>128</v>
      </c>
      <c r="V140" s="205">
        <f>U140/M140</f>
        <v>0.17066666666666666</v>
      </c>
      <c r="W140" s="62"/>
    </row>
    <row r="141" spans="1:23" x14ac:dyDescent="0.3">
      <c r="A141" s="183" t="e">
        <f ca="1"/>
        <v>#NAME?</v>
      </c>
      <c r="B141" s="194" t="s">
        <v>551</v>
      </c>
      <c r="C141" s="170"/>
      <c r="D141" s="194" t="str">
        <f ca="1">IFERROR(__xludf.DUMMYFUNCTION("IF(J141="""",""n/a"",IFERROR(SPLIT(J141,""/"")))"),"n/a")</f>
        <v>n/a</v>
      </c>
      <c r="E141" s="170"/>
      <c r="F141" s="170"/>
      <c r="G141" s="170"/>
      <c r="H141" s="206" t="s">
        <v>1898</v>
      </c>
      <c r="I141" s="170"/>
      <c r="J141" s="170"/>
      <c r="K141" s="170"/>
      <c r="L141" s="197">
        <v>8.2799999999999994</v>
      </c>
      <c r="M141" s="208">
        <v>36</v>
      </c>
      <c r="N141" s="208">
        <v>1</v>
      </c>
      <c r="O141" s="170">
        <f t="shared" si="0"/>
        <v>0</v>
      </c>
      <c r="P141" s="61" t="s">
        <v>92</v>
      </c>
      <c r="Q141" s="170"/>
      <c r="R141" s="170"/>
      <c r="S141" s="198">
        <f t="shared" si="1"/>
        <v>36</v>
      </c>
      <c r="T141" s="199" t="str">
        <f t="shared" si="2"/>
        <v>36pieces</v>
      </c>
      <c r="U141" s="200">
        <f t="shared" si="3"/>
        <v>298.08</v>
      </c>
      <c r="V141" s="12"/>
      <c r="W141" s="12"/>
    </row>
    <row r="142" spans="1:23" x14ac:dyDescent="0.3">
      <c r="A142" s="183" t="e">
        <f ca="1"/>
        <v>#NAME?</v>
      </c>
      <c r="B142" s="194" t="s">
        <v>552</v>
      </c>
      <c r="C142" s="170"/>
      <c r="D142" s="194" t="str">
        <f ca="1">IFERROR(__xludf.DUMMYFUNCTION("IF(J142="""",""n/a"",IFERROR(SPLIT(J142,""/"")))"),"n/a")</f>
        <v>n/a</v>
      </c>
      <c r="E142" s="170"/>
      <c r="F142" s="170"/>
      <c r="G142" s="170"/>
      <c r="H142" s="206" t="s">
        <v>1898</v>
      </c>
      <c r="I142" s="170"/>
      <c r="J142" s="170"/>
      <c r="K142" s="170"/>
      <c r="L142" s="197">
        <v>16.899999999999999</v>
      </c>
      <c r="M142" s="208">
        <v>28</v>
      </c>
      <c r="N142" s="208">
        <v>1</v>
      </c>
      <c r="O142" s="170">
        <f t="shared" si="0"/>
        <v>0</v>
      </c>
      <c r="P142" s="61" t="s">
        <v>92</v>
      </c>
      <c r="Q142" s="170"/>
      <c r="R142" s="170"/>
      <c r="S142" s="198">
        <f t="shared" si="1"/>
        <v>28</v>
      </c>
      <c r="T142" s="199" t="str">
        <f t="shared" si="2"/>
        <v>28pieces</v>
      </c>
      <c r="U142" s="200">
        <f t="shared" si="3"/>
        <v>473.19999999999993</v>
      </c>
      <c r="V142" s="12"/>
      <c r="W142" s="12"/>
    </row>
    <row r="143" spans="1:23" x14ac:dyDescent="0.3">
      <c r="A143" s="183" t="e">
        <f ca="1"/>
        <v>#NAME?</v>
      </c>
      <c r="B143" s="194" t="s">
        <v>302</v>
      </c>
      <c r="C143" s="170"/>
      <c r="D143" s="194" t="str">
        <f ca="1">IFERROR(__xludf.DUMMYFUNCTION("IF(J143="""",""n/a"",IFERROR(SPLIT(J143,""/"")))"),"Welcome")</f>
        <v>Welcome</v>
      </c>
      <c r="E143" s="194" t="str">
        <f ca="1">IFERROR(__xludf.DUMMYFUNCTION("""COMPUTED_VALUE"""),"pack 100s'")</f>
        <v>pack 100s'</v>
      </c>
      <c r="F143" s="170"/>
      <c r="G143" s="170"/>
      <c r="H143" s="183" t="s">
        <v>1895</v>
      </c>
      <c r="I143" s="170"/>
      <c r="J143" s="46" t="s">
        <v>303</v>
      </c>
      <c r="K143" s="170"/>
      <c r="L143" s="195">
        <v>100</v>
      </c>
      <c r="M143" s="61">
        <v>4</v>
      </c>
      <c r="N143" s="61">
        <v>1</v>
      </c>
      <c r="O143" s="61" t="str">
        <f t="shared" ca="1" si="0"/>
        <v>pack 100s'</v>
      </c>
      <c r="P143" s="61" t="s">
        <v>304</v>
      </c>
      <c r="Q143" s="170"/>
      <c r="R143" s="170"/>
      <c r="S143" s="198">
        <f t="shared" si="1"/>
        <v>4</v>
      </c>
      <c r="T143" s="199" t="str">
        <f t="shared" si="2"/>
        <v>4packs</v>
      </c>
      <c r="U143" s="200">
        <f t="shared" si="3"/>
        <v>400</v>
      </c>
      <c r="V143" s="12"/>
      <c r="W143" s="12"/>
    </row>
    <row r="144" spans="1:23" x14ac:dyDescent="0.3">
      <c r="A144" s="183" t="e">
        <f ca="1"/>
        <v>#NAME?</v>
      </c>
      <c r="B144" s="194" t="s">
        <v>378</v>
      </c>
      <c r="C144" s="170"/>
      <c r="D144" s="194" t="str">
        <f ca="1">IFERROR(__xludf.DUMMYFUNCTION("IF(J144="""",""n/a"",IFERROR(SPLIT(J144,""/"")))"),"Jack n Jill")</f>
        <v>Jack n Jill</v>
      </c>
      <c r="E144" s="194" t="str">
        <f ca="1">IFERROR(__xludf.DUMMYFUNCTION("""COMPUTED_VALUE"""),"box (12pcsx")</f>
        <v>box (12pcsx</v>
      </c>
      <c r="F144" s="194" t="str">
        <f ca="1">IFERROR(__xludf.DUMMYFUNCTION("""COMPUTED_VALUE"""),"28grams)")</f>
        <v>28grams)</v>
      </c>
      <c r="G144" s="170"/>
      <c r="H144" s="183" t="s">
        <v>1895</v>
      </c>
      <c r="I144" s="170"/>
      <c r="J144" s="46" t="s">
        <v>379</v>
      </c>
      <c r="K144" s="170"/>
      <c r="L144" s="195">
        <v>7.78</v>
      </c>
      <c r="M144" s="61">
        <v>144</v>
      </c>
      <c r="N144" s="61">
        <v>1</v>
      </c>
      <c r="O144" s="61" t="str">
        <f t="shared" ca="1" si="0"/>
        <v>box (12pcsx</v>
      </c>
      <c r="P144" s="61" t="s">
        <v>92</v>
      </c>
      <c r="Q144" s="170"/>
      <c r="R144" s="170"/>
      <c r="S144" s="198">
        <f t="shared" si="1"/>
        <v>144</v>
      </c>
      <c r="T144" s="199" t="str">
        <f t="shared" si="2"/>
        <v>144pieces</v>
      </c>
      <c r="U144" s="200">
        <f t="shared" si="3"/>
        <v>1120.32</v>
      </c>
      <c r="V144" s="12"/>
      <c r="W144" s="12"/>
    </row>
    <row r="145" spans="1:23" x14ac:dyDescent="0.3">
      <c r="A145" s="183" t="e">
        <f ca="1"/>
        <v>#NAME?</v>
      </c>
      <c r="B145" s="194" t="s">
        <v>553</v>
      </c>
      <c r="C145" s="170"/>
      <c r="D145" s="194" t="str">
        <f ca="1">IFERROR(__xludf.DUMMYFUNCTION("IF(J145="""",""n/a"",IFERROR(SPLIT(J145,""/"")))"),"n/a")</f>
        <v>n/a</v>
      </c>
      <c r="E145" s="170"/>
      <c r="F145" s="170"/>
      <c r="G145" s="170"/>
      <c r="H145" s="206" t="s">
        <v>1898</v>
      </c>
      <c r="I145" s="170"/>
      <c r="J145" s="170"/>
      <c r="K145" s="170"/>
      <c r="L145" s="197">
        <v>2.1111111111111112</v>
      </c>
      <c r="M145" s="207">
        <v>419</v>
      </c>
      <c r="N145" s="208">
        <v>36</v>
      </c>
      <c r="O145" s="170">
        <f t="shared" si="0"/>
        <v>0</v>
      </c>
      <c r="P145" s="209" t="s">
        <v>92</v>
      </c>
      <c r="Q145" s="170"/>
      <c r="R145" s="170"/>
      <c r="S145" s="198">
        <f t="shared" si="1"/>
        <v>15084</v>
      </c>
      <c r="T145" s="199" t="str">
        <f t="shared" si="2"/>
        <v>15084pieces</v>
      </c>
      <c r="U145" s="200">
        <f t="shared" si="3"/>
        <v>884.55555555555554</v>
      </c>
      <c r="V145" s="12"/>
      <c r="W145" s="12"/>
    </row>
    <row r="146" spans="1:23" x14ac:dyDescent="0.3">
      <c r="A146" s="183" t="e">
        <f ca="1"/>
        <v>#NAME?</v>
      </c>
      <c r="B146" s="194" t="s">
        <v>554</v>
      </c>
      <c r="C146" s="170"/>
      <c r="D146" s="194" t="str">
        <f ca="1">IFERROR(__xludf.DUMMYFUNCTION("IF(J146="""",""n/a"",IFERROR(SPLIT(J146,""/"")))"),"n/a")</f>
        <v>n/a</v>
      </c>
      <c r="E146" s="170"/>
      <c r="F146" s="170"/>
      <c r="G146" s="170"/>
      <c r="H146" s="206" t="s">
        <v>1898</v>
      </c>
      <c r="I146" s="170"/>
      <c r="J146" s="170"/>
      <c r="K146" s="170"/>
      <c r="L146" s="197">
        <v>31.799999999999997</v>
      </c>
      <c r="M146" s="207">
        <v>36</v>
      </c>
      <c r="N146" s="208">
        <v>36</v>
      </c>
      <c r="O146" s="170">
        <f t="shared" si="0"/>
        <v>0</v>
      </c>
      <c r="P146" s="209" t="s">
        <v>92</v>
      </c>
      <c r="Q146" s="170"/>
      <c r="R146" s="170"/>
      <c r="S146" s="198">
        <f t="shared" si="1"/>
        <v>1296</v>
      </c>
      <c r="T146" s="199" t="str">
        <f t="shared" si="2"/>
        <v>1296pieces</v>
      </c>
      <c r="U146" s="200">
        <f t="shared" si="3"/>
        <v>1144.8</v>
      </c>
      <c r="V146" s="12"/>
      <c r="W146" s="12"/>
    </row>
    <row r="147" spans="1:23" x14ac:dyDescent="0.3">
      <c r="A147" s="183" t="e">
        <f ca="1"/>
        <v>#NAME?</v>
      </c>
      <c r="B147" s="194" t="s">
        <v>554</v>
      </c>
      <c r="C147" s="170"/>
      <c r="D147" s="194" t="str">
        <f ca="1">IFERROR(__xludf.DUMMYFUNCTION("IF(J147="""",""n/a"",IFERROR(SPLIT(J147,""/"")))"),"n/a")</f>
        <v>n/a</v>
      </c>
      <c r="E147" s="170"/>
      <c r="F147" s="170"/>
      <c r="G147" s="170"/>
      <c r="H147" s="206" t="s">
        <v>1898</v>
      </c>
      <c r="I147" s="170"/>
      <c r="J147" s="170"/>
      <c r="K147" s="170"/>
      <c r="L147" s="197">
        <v>52.76</v>
      </c>
      <c r="M147" s="207">
        <v>1</v>
      </c>
      <c r="N147" s="208">
        <v>30</v>
      </c>
      <c r="O147" s="170">
        <f t="shared" si="0"/>
        <v>0</v>
      </c>
      <c r="P147" s="209" t="s">
        <v>92</v>
      </c>
      <c r="Q147" s="170"/>
      <c r="R147" s="170"/>
      <c r="S147" s="198">
        <f t="shared" si="1"/>
        <v>30</v>
      </c>
      <c r="T147" s="199" t="str">
        <f t="shared" si="2"/>
        <v>30pieces</v>
      </c>
      <c r="U147" s="200">
        <f t="shared" si="3"/>
        <v>52.76</v>
      </c>
      <c r="V147" s="12"/>
      <c r="W147" s="12"/>
    </row>
    <row r="148" spans="1:23" x14ac:dyDescent="0.3">
      <c r="A148" s="183" t="e">
        <f ca="1"/>
        <v>#NAME?</v>
      </c>
      <c r="B148" s="194" t="s">
        <v>555</v>
      </c>
      <c r="C148" s="170"/>
      <c r="D148" s="194" t="str">
        <f ca="1">IFERROR(__xludf.DUMMYFUNCTION("IF(J148="""",""n/a"",IFERROR(SPLIT(J148,""/"")))"),"n/a")</f>
        <v>n/a</v>
      </c>
      <c r="E148" s="170"/>
      <c r="F148" s="170"/>
      <c r="G148" s="170"/>
      <c r="H148" s="206" t="s">
        <v>1898</v>
      </c>
      <c r="I148" s="170"/>
      <c r="J148" s="170"/>
      <c r="K148" s="170"/>
      <c r="L148" s="197">
        <v>0.57100000000000006</v>
      </c>
      <c r="M148" s="208">
        <v>50</v>
      </c>
      <c r="N148" s="208">
        <v>50</v>
      </c>
      <c r="O148" s="170">
        <f t="shared" si="0"/>
        <v>0</v>
      </c>
      <c r="P148" s="61" t="s">
        <v>39</v>
      </c>
      <c r="Q148" s="170"/>
      <c r="R148" s="170"/>
      <c r="S148" s="198">
        <f t="shared" si="1"/>
        <v>2500</v>
      </c>
      <c r="T148" s="199" t="str">
        <f t="shared" si="2"/>
        <v>2500grams</v>
      </c>
      <c r="U148" s="200">
        <f t="shared" si="3"/>
        <v>28.550000000000004</v>
      </c>
      <c r="V148" s="12"/>
      <c r="W148" s="12"/>
    </row>
    <row r="149" spans="1:23" x14ac:dyDescent="0.3">
      <c r="A149" s="183" t="e">
        <f ca="1"/>
        <v>#NAME?</v>
      </c>
      <c r="B149" s="194" t="s">
        <v>556</v>
      </c>
      <c r="C149" s="170"/>
      <c r="D149" s="194" t="str">
        <f ca="1">IFERROR(__xludf.DUMMYFUNCTION("IF(J149="""",""n/a"",IFERROR(SPLIT(J149,""/"")))"),"Vista")</f>
        <v>Vista</v>
      </c>
      <c r="E149" s="194" t="str">
        <f ca="1">IFERROR(__xludf.DUMMYFUNCTION("""COMPUTED_VALUE"""),"pack (24pcsx50grams)")</f>
        <v>pack (24pcsx50grams)</v>
      </c>
      <c r="F149" s="170"/>
      <c r="G149" s="170"/>
      <c r="H149" s="183" t="s">
        <v>1897</v>
      </c>
      <c r="I149" s="170"/>
      <c r="J149" s="46" t="s">
        <v>557</v>
      </c>
      <c r="K149" s="170"/>
      <c r="L149" s="197">
        <v>0.63100000000000001</v>
      </c>
      <c r="M149" s="203">
        <v>2350</v>
      </c>
      <c r="N149" s="203">
        <v>50</v>
      </c>
      <c r="O149" s="61" t="str">
        <f t="shared" ca="1" si="0"/>
        <v>pack (24pcsx50grams)</v>
      </c>
      <c r="P149" s="61" t="s">
        <v>39</v>
      </c>
      <c r="Q149" s="170"/>
      <c r="R149" s="192" t="str">
        <f>CONCATENATE(N149,P149)</f>
        <v>50grams</v>
      </c>
      <c r="S149" s="198">
        <f t="shared" si="1"/>
        <v>117500</v>
      </c>
      <c r="T149" s="199" t="str">
        <f t="shared" si="2"/>
        <v>117500grams</v>
      </c>
      <c r="U149" s="200">
        <f t="shared" si="3"/>
        <v>1482.85</v>
      </c>
      <c r="V149" s="205">
        <f>U149/M149</f>
        <v>0.63100000000000001</v>
      </c>
      <c r="W149" s="62"/>
    </row>
    <row r="150" spans="1:23" x14ac:dyDescent="0.3">
      <c r="A150" s="183" t="e">
        <f ca="1"/>
        <v>#NAME?</v>
      </c>
      <c r="B150" s="194" t="s">
        <v>558</v>
      </c>
      <c r="C150" s="170"/>
      <c r="D150" s="194" t="str">
        <f ca="1">IFERROR(__xludf.DUMMYFUNCTION("IF(J150="""",""n/a"",IFERROR(SPLIT(J150,""/"")))"),"n/a")</f>
        <v>n/a</v>
      </c>
      <c r="E150" s="170"/>
      <c r="F150" s="170"/>
      <c r="G150" s="170"/>
      <c r="H150" s="206" t="s">
        <v>1898</v>
      </c>
      <c r="I150" s="170"/>
      <c r="J150" s="170"/>
      <c r="K150" s="170"/>
      <c r="L150" s="197">
        <v>14.25</v>
      </c>
      <c r="M150" s="207">
        <v>20</v>
      </c>
      <c r="N150" s="208">
        <v>1</v>
      </c>
      <c r="O150" s="170">
        <f t="shared" si="0"/>
        <v>0</v>
      </c>
      <c r="P150" s="209" t="s">
        <v>92</v>
      </c>
      <c r="Q150" s="170"/>
      <c r="R150" s="170"/>
      <c r="S150" s="198">
        <f t="shared" si="1"/>
        <v>20</v>
      </c>
      <c r="T150" s="199" t="str">
        <f t="shared" si="2"/>
        <v>20pieces</v>
      </c>
      <c r="U150" s="200">
        <f t="shared" si="3"/>
        <v>285</v>
      </c>
      <c r="V150" s="12"/>
      <c r="W150" s="12"/>
    </row>
    <row r="151" spans="1:23" x14ac:dyDescent="0.3">
      <c r="A151" s="183" t="e">
        <f ca="1"/>
        <v>#NAME?</v>
      </c>
      <c r="B151" s="194" t="s">
        <v>139</v>
      </c>
      <c r="C151" s="170"/>
      <c r="D151" s="194" t="str">
        <f ca="1">IFERROR(__xludf.DUMMYFUNCTION("IF(J151="""",""n/a"",IFERROR(SPLIT(J151,""/"")))"),"Great Taste")</f>
        <v>Great Taste</v>
      </c>
      <c r="E151" s="194">
        <f ca="1">IFERROR(__xludf.DUMMYFUNCTION("""COMPUTED_VALUE"""),1.8)</f>
        <v>1.8</v>
      </c>
      <c r="F151" s="194" t="str">
        <f ca="1">IFERROR(__xludf.DUMMYFUNCTION("""COMPUTED_VALUE"""),"Sachet")</f>
        <v>Sachet</v>
      </c>
      <c r="G151" s="170"/>
      <c r="H151" s="183" t="s">
        <v>1895</v>
      </c>
      <c r="I151" s="170"/>
      <c r="J151" s="46" t="s">
        <v>140</v>
      </c>
      <c r="K151" s="170"/>
      <c r="L151" s="195">
        <v>2.04</v>
      </c>
      <c r="M151" s="61">
        <v>1492</v>
      </c>
      <c r="N151" s="170"/>
      <c r="O151" s="61">
        <f t="shared" ca="1" si="0"/>
        <v>1.8</v>
      </c>
      <c r="P151" s="61" t="s">
        <v>92</v>
      </c>
      <c r="Q151" s="170"/>
      <c r="R151" s="170"/>
      <c r="S151" s="198">
        <f t="shared" si="1"/>
        <v>0</v>
      </c>
      <c r="T151" s="199" t="str">
        <f t="shared" si="2"/>
        <v>0pieces</v>
      </c>
      <c r="U151" s="200">
        <f t="shared" si="3"/>
        <v>3043.68</v>
      </c>
      <c r="V151" s="12"/>
      <c r="W151" s="12"/>
    </row>
    <row r="152" spans="1:23" x14ac:dyDescent="0.3">
      <c r="A152" s="183" t="e">
        <f ca="1"/>
        <v>#NAME?</v>
      </c>
      <c r="B152" s="194" t="s">
        <v>139</v>
      </c>
      <c r="C152" s="170"/>
      <c r="D152" s="194" t="str">
        <f ca="1">IFERROR(__xludf.DUMMYFUNCTION("IF(J152="""",""n/a"",IFERROR(SPLIT(J152,""/"")))"),"n/a")</f>
        <v>n/a</v>
      </c>
      <c r="E152" s="170"/>
      <c r="F152" s="170"/>
      <c r="G152" s="170"/>
      <c r="H152" s="206" t="s">
        <v>1898</v>
      </c>
      <c r="I152" s="170"/>
      <c r="J152" s="170"/>
      <c r="K152" s="170"/>
      <c r="L152" s="197">
        <v>2.04</v>
      </c>
      <c r="M152" s="207">
        <v>720</v>
      </c>
      <c r="N152" s="208">
        <v>1</v>
      </c>
      <c r="O152" s="170">
        <f t="shared" si="0"/>
        <v>0</v>
      </c>
      <c r="P152" s="209" t="s">
        <v>92</v>
      </c>
      <c r="Q152" s="170"/>
      <c r="R152" s="170"/>
      <c r="S152" s="198">
        <f t="shared" si="1"/>
        <v>720</v>
      </c>
      <c r="T152" s="199" t="str">
        <f t="shared" si="2"/>
        <v>720pieces</v>
      </c>
      <c r="U152" s="200">
        <f t="shared" si="3"/>
        <v>1468.8</v>
      </c>
      <c r="V152" s="12"/>
      <c r="W152" s="12"/>
    </row>
    <row r="153" spans="1:23" x14ac:dyDescent="0.3">
      <c r="A153" s="183" t="e">
        <f ca="1"/>
        <v>#NAME?</v>
      </c>
      <c r="B153" s="194" t="s">
        <v>559</v>
      </c>
      <c r="C153" s="170"/>
      <c r="D153" s="194" t="str">
        <f ca="1">IFERROR(__xludf.DUMMYFUNCTION("IF(J153="""",""n/a"",IFERROR(SPLIT(J153,""/"")))"),"n/a")</f>
        <v>n/a</v>
      </c>
      <c r="E153" s="170"/>
      <c r="F153" s="170"/>
      <c r="G153" s="170"/>
      <c r="H153" s="206" t="s">
        <v>1898</v>
      </c>
      <c r="I153" s="170"/>
      <c r="J153" s="170"/>
      <c r="K153" s="170"/>
      <c r="L153" s="197">
        <v>1.97</v>
      </c>
      <c r="M153" s="207">
        <v>684</v>
      </c>
      <c r="N153" s="208">
        <v>1</v>
      </c>
      <c r="O153" s="170">
        <f t="shared" si="0"/>
        <v>0</v>
      </c>
      <c r="P153" s="209" t="s">
        <v>92</v>
      </c>
      <c r="Q153" s="170"/>
      <c r="R153" s="170"/>
      <c r="S153" s="198">
        <f t="shared" si="1"/>
        <v>684</v>
      </c>
      <c r="T153" s="199" t="str">
        <f t="shared" si="2"/>
        <v>684pieces</v>
      </c>
      <c r="U153" s="200">
        <f t="shared" si="3"/>
        <v>1347.48</v>
      </c>
      <c r="V153" s="12"/>
      <c r="W153" s="12"/>
    </row>
    <row r="154" spans="1:23" x14ac:dyDescent="0.3">
      <c r="A154" s="183" t="e">
        <f ca="1"/>
        <v>#NAME?</v>
      </c>
      <c r="B154" s="194" t="s">
        <v>560</v>
      </c>
      <c r="C154" s="170"/>
      <c r="D154" s="194" t="str">
        <f ca="1">IFERROR(__xludf.DUMMYFUNCTION("IF(J154="""",""n/a"",IFERROR(SPLIT(J154,""/"")))"),"n/a")</f>
        <v>n/a</v>
      </c>
      <c r="E154" s="170"/>
      <c r="F154" s="170"/>
      <c r="G154" s="170"/>
      <c r="H154" s="206" t="s">
        <v>1898</v>
      </c>
      <c r="I154" s="170"/>
      <c r="J154" s="170"/>
      <c r="K154" s="170"/>
      <c r="L154" s="197">
        <v>2.65</v>
      </c>
      <c r="M154" s="207">
        <v>828</v>
      </c>
      <c r="N154" s="208">
        <v>1</v>
      </c>
      <c r="O154" s="170">
        <f t="shared" si="0"/>
        <v>0</v>
      </c>
      <c r="P154" s="209" t="s">
        <v>92</v>
      </c>
      <c r="Q154" s="170"/>
      <c r="R154" s="170"/>
      <c r="S154" s="198">
        <f t="shared" si="1"/>
        <v>828</v>
      </c>
      <c r="T154" s="199" t="str">
        <f t="shared" si="2"/>
        <v>828pieces</v>
      </c>
      <c r="U154" s="200">
        <f t="shared" si="3"/>
        <v>2194.1999999999998</v>
      </c>
      <c r="V154" s="12"/>
      <c r="W154" s="12"/>
    </row>
    <row r="155" spans="1:23" x14ac:dyDescent="0.3">
      <c r="A155" s="183" t="e">
        <f ca="1"/>
        <v>#NAME?</v>
      </c>
      <c r="B155" s="194" t="s">
        <v>131</v>
      </c>
      <c r="C155" s="170"/>
      <c r="D155" s="194" t="str">
        <f ca="1">IFERROR(__xludf.DUMMYFUNCTION("IF(J155="""",""n/a"",IFERROR(SPLIT(J155,""/"")))"),"Great Tastepack (pcsx1.8grams)")</f>
        <v>Great Tastepack (pcsx1.8grams)</v>
      </c>
      <c r="E155" s="170"/>
      <c r="F155" s="170"/>
      <c r="G155" s="170"/>
      <c r="H155" s="183" t="s">
        <v>1897</v>
      </c>
      <c r="I155" s="170"/>
      <c r="J155" s="46" t="s">
        <v>132</v>
      </c>
      <c r="K155" s="170"/>
      <c r="L155" s="204">
        <v>2.79</v>
      </c>
      <c r="M155" s="203">
        <v>2312</v>
      </c>
      <c r="N155" s="203">
        <v>1</v>
      </c>
      <c r="O155" s="170">
        <f t="shared" si="0"/>
        <v>0</v>
      </c>
      <c r="P155" s="61" t="s">
        <v>92</v>
      </c>
      <c r="Q155" s="170"/>
      <c r="R155" s="192" t="str">
        <f>CONCATENATE(N155,P155)</f>
        <v>1pieces</v>
      </c>
      <c r="S155" s="198">
        <f t="shared" si="1"/>
        <v>2312</v>
      </c>
      <c r="T155" s="199" t="str">
        <f t="shared" si="2"/>
        <v>2312pieces</v>
      </c>
      <c r="U155" s="200">
        <f t="shared" si="3"/>
        <v>6450.4800000000005</v>
      </c>
      <c r="V155" s="205">
        <f>U155/M155</f>
        <v>2.79</v>
      </c>
      <c r="W155" s="62"/>
    </row>
    <row r="156" spans="1:23" x14ac:dyDescent="0.3">
      <c r="A156" s="183" t="e">
        <f ca="1"/>
        <v>#NAME?</v>
      </c>
      <c r="B156" s="194" t="s">
        <v>131</v>
      </c>
      <c r="C156" s="170"/>
      <c r="D156" s="194" t="str">
        <f ca="1">IFERROR(__xludf.DUMMYFUNCTION("IF(J156="""",""n/a"",IFERROR(SPLIT(J156,""/"")))"),"Great Tastepack (pcsx1.8grams)")</f>
        <v>Great Tastepack (pcsx1.8grams)</v>
      </c>
      <c r="E156" s="170"/>
      <c r="F156" s="170"/>
      <c r="G156" s="170"/>
      <c r="H156" s="183" t="s">
        <v>1895</v>
      </c>
      <c r="I156" s="170"/>
      <c r="J156" s="46" t="s">
        <v>132</v>
      </c>
      <c r="K156" s="170"/>
      <c r="L156" s="195">
        <v>2.89</v>
      </c>
      <c r="M156" s="61">
        <v>3576</v>
      </c>
      <c r="N156" s="61">
        <v>1</v>
      </c>
      <c r="O156" s="170">
        <f t="shared" si="0"/>
        <v>0</v>
      </c>
      <c r="P156" s="61" t="s">
        <v>92</v>
      </c>
      <c r="Q156" s="170"/>
      <c r="R156" s="170"/>
      <c r="S156" s="198">
        <f t="shared" si="1"/>
        <v>3576</v>
      </c>
      <c r="T156" s="199" t="str">
        <f t="shared" si="2"/>
        <v>3576pieces</v>
      </c>
      <c r="U156" s="200">
        <f t="shared" si="3"/>
        <v>10334.640000000001</v>
      </c>
      <c r="V156" s="12"/>
      <c r="W156" s="12"/>
    </row>
    <row r="157" spans="1:23" x14ac:dyDescent="0.3">
      <c r="A157" s="183" t="e">
        <f ca="1"/>
        <v>#NAME?</v>
      </c>
      <c r="B157" s="194" t="s">
        <v>331</v>
      </c>
      <c r="C157" s="170"/>
      <c r="D157" s="194" t="str">
        <f ca="1">IFERROR(__xludf.DUMMYFUNCTION("IF(J157="""",""n/a"",IFERROR(SPLIT(J157,""/"")))"),"My Everyday")</f>
        <v>My Everyday</v>
      </c>
      <c r="E157" s="194" t="str">
        <f ca="1">IFERROR(__xludf.DUMMYFUNCTION("""COMPUTED_VALUE"""),"50's")</f>
        <v>50's</v>
      </c>
      <c r="F157" s="170"/>
      <c r="G157" s="170"/>
      <c r="H157" s="183" t="s">
        <v>1895</v>
      </c>
      <c r="I157" s="170"/>
      <c r="J157" s="46" t="s">
        <v>332</v>
      </c>
      <c r="K157" s="170"/>
      <c r="L157" s="195">
        <v>13.3</v>
      </c>
      <c r="M157" s="61">
        <v>20</v>
      </c>
      <c r="N157" s="61">
        <v>1</v>
      </c>
      <c r="O157" s="61" t="str">
        <f t="shared" ca="1" si="0"/>
        <v>50's</v>
      </c>
      <c r="P157" s="61" t="s">
        <v>304</v>
      </c>
      <c r="Q157" s="170"/>
      <c r="R157" s="170"/>
      <c r="S157" s="198">
        <f t="shared" si="1"/>
        <v>20</v>
      </c>
      <c r="T157" s="199" t="str">
        <f t="shared" si="2"/>
        <v>20packs</v>
      </c>
      <c r="U157" s="200">
        <f t="shared" si="3"/>
        <v>266</v>
      </c>
      <c r="V157" s="12"/>
      <c r="W157" s="12"/>
    </row>
    <row r="158" spans="1:23" x14ac:dyDescent="0.3">
      <c r="A158" s="183" t="e">
        <f ca="1"/>
        <v>#NAME?</v>
      </c>
      <c r="B158" s="194" t="s">
        <v>133</v>
      </c>
      <c r="C158" s="170"/>
      <c r="D158" s="194" t="str">
        <f ca="1">IFERROR(__xludf.DUMMYFUNCTION("IF(J158="""",""n/a"",IFERROR(SPLIT(J158,""/"")))"),"Nestle")</f>
        <v>Nestle</v>
      </c>
      <c r="E158" s="194" t="str">
        <f ca="1">IFERROR(__xludf.DUMMYFUNCTION("""COMPUTED_VALUE"""),"pack")</f>
        <v>pack</v>
      </c>
      <c r="F158" s="194" t="str">
        <f ca="1">IFERROR(__xludf.DUMMYFUNCTION("""COMPUTED_VALUE"""),"400grams")</f>
        <v>400grams</v>
      </c>
      <c r="G158" s="170"/>
      <c r="H158" s="183" t="s">
        <v>1897</v>
      </c>
      <c r="I158" s="170"/>
      <c r="J158" s="46" t="s">
        <v>561</v>
      </c>
      <c r="K158" s="170"/>
      <c r="L158" s="195">
        <v>0.25824999999999998</v>
      </c>
      <c r="M158" s="203">
        <v>800</v>
      </c>
      <c r="N158" s="203">
        <v>400</v>
      </c>
      <c r="O158" s="61" t="str">
        <f t="shared" ca="1" si="0"/>
        <v>pack</v>
      </c>
      <c r="P158" s="61" t="s">
        <v>39</v>
      </c>
      <c r="Q158" s="170"/>
      <c r="R158" s="192" t="str">
        <f t="shared" ref="R158:R159" si="17">CONCATENATE(N158,P158)</f>
        <v>400grams</v>
      </c>
      <c r="S158" s="198">
        <f t="shared" si="1"/>
        <v>320000</v>
      </c>
      <c r="T158" s="199" t="str">
        <f t="shared" si="2"/>
        <v>320000grams</v>
      </c>
      <c r="U158" s="200">
        <f t="shared" si="3"/>
        <v>206.6</v>
      </c>
      <c r="V158" s="205">
        <f t="shared" ref="V158:V159" si="18">U158/M158</f>
        <v>0.25824999999999998</v>
      </c>
      <c r="W158" s="62"/>
    </row>
    <row r="159" spans="1:23" x14ac:dyDescent="0.3">
      <c r="A159" s="183" t="e">
        <f ca="1"/>
        <v>#NAME?</v>
      </c>
      <c r="B159" s="194" t="s">
        <v>133</v>
      </c>
      <c r="C159" s="170"/>
      <c r="D159" s="194" t="str">
        <f ca="1">IFERROR(__xludf.DUMMYFUNCTION("IF(J159="""",""n/a"",IFERROR(SPLIT(J159,""/"")))"),"Nestle")</f>
        <v>Nestle</v>
      </c>
      <c r="E159" s="194" t="str">
        <f ca="1">IFERROR(__xludf.DUMMYFUNCTION("""COMPUTED_VALUE"""),"pack (pcsx5grams)")</f>
        <v>pack (pcsx5grams)</v>
      </c>
      <c r="F159" s="170"/>
      <c r="G159" s="170"/>
      <c r="H159" s="183" t="s">
        <v>1897</v>
      </c>
      <c r="I159" s="170"/>
      <c r="J159" s="46" t="s">
        <v>134</v>
      </c>
      <c r="K159" s="170"/>
      <c r="L159" s="204">
        <v>1.97</v>
      </c>
      <c r="M159" s="212">
        <v>479</v>
      </c>
      <c r="N159" s="203">
        <v>1</v>
      </c>
      <c r="O159" s="61" t="str">
        <f t="shared" ca="1" si="0"/>
        <v>pack (pcsx5grams)</v>
      </c>
      <c r="P159" s="61" t="s">
        <v>92</v>
      </c>
      <c r="Q159" s="170"/>
      <c r="R159" s="192" t="str">
        <f t="shared" si="17"/>
        <v>1pieces</v>
      </c>
      <c r="S159" s="198">
        <f t="shared" si="1"/>
        <v>479</v>
      </c>
      <c r="T159" s="199" t="str">
        <f t="shared" si="2"/>
        <v>479pieces</v>
      </c>
      <c r="U159" s="200">
        <f t="shared" si="3"/>
        <v>943.63</v>
      </c>
      <c r="V159" s="205">
        <f t="shared" si="18"/>
        <v>1.97</v>
      </c>
      <c r="W159" s="62"/>
    </row>
    <row r="160" spans="1:23" x14ac:dyDescent="0.3">
      <c r="A160" s="183" t="e">
        <f ca="1"/>
        <v>#NAME?</v>
      </c>
      <c r="B160" s="194" t="s">
        <v>133</v>
      </c>
      <c r="C160" s="170"/>
      <c r="D160" s="194" t="str">
        <f ca="1">IFERROR(__xludf.DUMMYFUNCTION("IF(J160="""",""n/a"",IFERROR(SPLIT(J160,""/"")))"),"Nestle")</f>
        <v>Nestle</v>
      </c>
      <c r="E160" s="194" t="str">
        <f ca="1">IFERROR(__xludf.DUMMYFUNCTION("""COMPUTED_VALUE"""),"pack (pcsx5grams)")</f>
        <v>pack (pcsx5grams)</v>
      </c>
      <c r="F160" s="170"/>
      <c r="G160" s="170"/>
      <c r="H160" s="183" t="s">
        <v>1895</v>
      </c>
      <c r="I160" s="170"/>
      <c r="J160" s="46" t="s">
        <v>134</v>
      </c>
      <c r="K160" s="170"/>
      <c r="L160" s="195">
        <v>1.93</v>
      </c>
      <c r="M160" s="61">
        <v>1074</v>
      </c>
      <c r="N160" s="61">
        <v>1</v>
      </c>
      <c r="O160" s="61" t="str">
        <f t="shared" ca="1" si="0"/>
        <v>pack (pcsx5grams)</v>
      </c>
      <c r="P160" s="61" t="s">
        <v>92</v>
      </c>
      <c r="Q160" s="170"/>
      <c r="R160" s="170"/>
      <c r="S160" s="198">
        <f t="shared" si="1"/>
        <v>1074</v>
      </c>
      <c r="T160" s="199" t="str">
        <f t="shared" si="2"/>
        <v>1074pieces</v>
      </c>
      <c r="U160" s="200">
        <f t="shared" si="3"/>
        <v>2072.8199999999997</v>
      </c>
      <c r="V160" s="12"/>
      <c r="W160" s="12"/>
    </row>
    <row r="161" spans="1:23" x14ac:dyDescent="0.3">
      <c r="A161" s="183" t="e">
        <f ca="1"/>
        <v>#NAME?</v>
      </c>
      <c r="B161" s="194" t="s">
        <v>562</v>
      </c>
      <c r="C161" s="170"/>
      <c r="D161" s="194" t="str">
        <f ca="1">IFERROR(__xludf.DUMMYFUNCTION("IF(J161="""",""n/a"",IFERROR(SPLIT(J161,""/"")))"),"Coca-Cola")</f>
        <v>Coca-Cola</v>
      </c>
      <c r="E161" s="194" t="str">
        <f ca="1">IFERROR(__xludf.DUMMYFUNCTION("""COMPUTED_VALUE"""),"case (12x290ml)")</f>
        <v>case (12x290ml)</v>
      </c>
      <c r="F161" s="170"/>
      <c r="G161" s="170"/>
      <c r="H161" s="183" t="s">
        <v>1895</v>
      </c>
      <c r="I161" s="170"/>
      <c r="J161" s="46" t="s">
        <v>96</v>
      </c>
      <c r="K161" s="170"/>
      <c r="L161" s="195">
        <v>16.66</v>
      </c>
      <c r="M161" s="61">
        <v>135</v>
      </c>
      <c r="N161" s="61">
        <v>12</v>
      </c>
      <c r="O161" s="61" t="str">
        <f t="shared" ca="1" si="0"/>
        <v>case (12x290ml)</v>
      </c>
      <c r="P161" s="61" t="s">
        <v>92</v>
      </c>
      <c r="Q161" s="170"/>
      <c r="R161" s="170"/>
      <c r="S161" s="198">
        <f t="shared" si="1"/>
        <v>1620</v>
      </c>
      <c r="T161" s="199" t="str">
        <f t="shared" si="2"/>
        <v>1620pieces</v>
      </c>
      <c r="U161" s="200">
        <f t="shared" si="3"/>
        <v>2249.1</v>
      </c>
      <c r="V161" s="12"/>
      <c r="W161" s="12"/>
    </row>
    <row r="162" spans="1:23" x14ac:dyDescent="0.3">
      <c r="A162" s="183" t="e">
        <f ca="1"/>
        <v>#NAME?</v>
      </c>
      <c r="B162" s="194" t="s">
        <v>563</v>
      </c>
      <c r="C162" s="170"/>
      <c r="D162" s="194" t="str">
        <f ca="1">IFERROR(__xludf.DUMMYFUNCTION("IF(J162="""",""n/a"",IFERROR(SPLIT(J162,""/"")))"),"Alaska (48x370ml)")</f>
        <v>Alaska (48x370ml)</v>
      </c>
      <c r="E162" s="170"/>
      <c r="F162" s="170"/>
      <c r="G162" s="170"/>
      <c r="H162" s="206" t="s">
        <v>1898</v>
      </c>
      <c r="I162" s="170"/>
      <c r="J162" s="46" t="s">
        <v>564</v>
      </c>
      <c r="K162" s="170"/>
      <c r="L162" s="197">
        <v>0.14451351351351352</v>
      </c>
      <c r="M162" s="207">
        <v>9620</v>
      </c>
      <c r="N162" s="208">
        <v>370</v>
      </c>
      <c r="O162" s="170">
        <f t="shared" si="0"/>
        <v>0</v>
      </c>
      <c r="P162" s="61" t="s">
        <v>39</v>
      </c>
      <c r="Q162" s="170"/>
      <c r="R162" s="170"/>
      <c r="S162" s="198">
        <f t="shared" si="1"/>
        <v>3559400</v>
      </c>
      <c r="T162" s="199" t="str">
        <f t="shared" si="2"/>
        <v>3559400grams</v>
      </c>
      <c r="U162" s="200">
        <f t="shared" si="3"/>
        <v>1390.22</v>
      </c>
      <c r="V162" s="12"/>
      <c r="W162" s="12"/>
    </row>
    <row r="163" spans="1:23" x14ac:dyDescent="0.3">
      <c r="A163" s="183" t="e">
        <f ca="1"/>
        <v>#NAME?</v>
      </c>
      <c r="B163" s="194" t="s">
        <v>563</v>
      </c>
      <c r="C163" s="170"/>
      <c r="D163" s="194" t="str">
        <f ca="1">IFERROR(__xludf.DUMMYFUNCTION("IF(J163="""",""n/a"",IFERROR(SPLIT(J163,""/"")))"),"Alaska 206ml")</f>
        <v>Alaska 206ml</v>
      </c>
      <c r="E163" s="170"/>
      <c r="F163" s="170"/>
      <c r="G163" s="170"/>
      <c r="H163" s="206" t="s">
        <v>1898</v>
      </c>
      <c r="I163" s="170"/>
      <c r="J163" s="46" t="s">
        <v>565</v>
      </c>
      <c r="K163" s="170"/>
      <c r="L163" s="197">
        <v>0.17038834951456311</v>
      </c>
      <c r="M163" s="207">
        <v>3502</v>
      </c>
      <c r="N163" s="208">
        <v>206</v>
      </c>
      <c r="O163" s="170">
        <f t="shared" si="0"/>
        <v>0</v>
      </c>
      <c r="P163" s="61" t="s">
        <v>39</v>
      </c>
      <c r="Q163" s="170"/>
      <c r="R163" s="170"/>
      <c r="S163" s="198">
        <f t="shared" si="1"/>
        <v>721412</v>
      </c>
      <c r="T163" s="199" t="str">
        <f t="shared" si="2"/>
        <v>721412grams</v>
      </c>
      <c r="U163" s="200">
        <f t="shared" si="3"/>
        <v>596.70000000000005</v>
      </c>
      <c r="V163" s="12"/>
      <c r="W163" s="12"/>
    </row>
    <row r="164" spans="1:23" x14ac:dyDescent="0.3">
      <c r="A164" s="183" t="e">
        <f ca="1"/>
        <v>#NAME?</v>
      </c>
      <c r="B164" s="194" t="s">
        <v>56</v>
      </c>
      <c r="C164" s="170"/>
      <c r="D164" s="194" t="str">
        <f ca="1">IFERROR(__xludf.DUMMYFUNCTION("IF(J164="""",""n/a"",IFERROR(SPLIT(J164,""/"")))"),"Cowbell")</f>
        <v>Cowbell</v>
      </c>
      <c r="E164" s="194" t="str">
        <f ca="1">IFERROR(__xludf.DUMMYFUNCTION("""COMPUTED_VALUE"""),"can")</f>
        <v>can</v>
      </c>
      <c r="F164" s="194" t="str">
        <f ca="1">IFERROR(__xludf.DUMMYFUNCTION("""COMPUTED_VALUE"""),"375ml")</f>
        <v>375ml</v>
      </c>
      <c r="G164" s="170"/>
      <c r="H164" s="183" t="s">
        <v>1897</v>
      </c>
      <c r="I164" s="170"/>
      <c r="J164" s="46" t="s">
        <v>566</v>
      </c>
      <c r="K164" s="170"/>
      <c r="L164" s="195">
        <v>0.112</v>
      </c>
      <c r="M164" s="203">
        <v>28875</v>
      </c>
      <c r="N164" s="203">
        <v>375</v>
      </c>
      <c r="O164" s="61" t="str">
        <f t="shared" ca="1" si="0"/>
        <v>can</v>
      </c>
      <c r="P164" s="61" t="s">
        <v>32</v>
      </c>
      <c r="Q164" s="61" t="s">
        <v>33</v>
      </c>
      <c r="R164" s="192" t="str">
        <f>CONCATENATE(N164,P164)</f>
        <v>375ml</v>
      </c>
      <c r="S164" s="198">
        <f t="shared" si="1"/>
        <v>10828125</v>
      </c>
      <c r="T164" s="199" t="str">
        <f t="shared" si="2"/>
        <v>10828125 ml</v>
      </c>
      <c r="U164" s="200">
        <f t="shared" si="3"/>
        <v>3234</v>
      </c>
      <c r="V164" s="205">
        <f>U164/M164</f>
        <v>0.112</v>
      </c>
      <c r="W164" s="62"/>
    </row>
    <row r="165" spans="1:23" x14ac:dyDescent="0.3">
      <c r="A165" s="183" t="e">
        <f ca="1"/>
        <v>#NAME?</v>
      </c>
      <c r="B165" s="194" t="s">
        <v>56</v>
      </c>
      <c r="C165" s="170"/>
      <c r="D165" s="194" t="str">
        <f ca="1">IFERROR(__xludf.DUMMYFUNCTION("IF(J165="""",""n/a"",IFERROR(SPLIT(J165,""/"")))"),"Cowbell")</f>
        <v>Cowbell</v>
      </c>
      <c r="E165" s="194" t="str">
        <f ca="1">IFERROR(__xludf.DUMMYFUNCTION("""COMPUTED_VALUE"""),"can")</f>
        <v>can</v>
      </c>
      <c r="F165" s="194" t="str">
        <f ca="1">IFERROR(__xludf.DUMMYFUNCTION("""COMPUTED_VALUE"""),"374ml")</f>
        <v>374ml</v>
      </c>
      <c r="G165" s="170"/>
      <c r="H165" s="183" t="s">
        <v>1895</v>
      </c>
      <c r="I165" s="170"/>
      <c r="J165" s="46" t="s">
        <v>57</v>
      </c>
      <c r="K165" s="170"/>
      <c r="L165" s="195">
        <v>40.72</v>
      </c>
      <c r="M165" s="61">
        <v>163.63999999999999</v>
      </c>
      <c r="N165" s="61">
        <v>374</v>
      </c>
      <c r="O165" s="61" t="str">
        <f t="shared" ca="1" si="0"/>
        <v>can</v>
      </c>
      <c r="P165" s="61" t="s">
        <v>32</v>
      </c>
      <c r="Q165" s="170"/>
      <c r="R165" s="170"/>
      <c r="S165" s="198">
        <f t="shared" si="1"/>
        <v>61201.359999999993</v>
      </c>
      <c r="T165" s="199" t="str">
        <f t="shared" si="2"/>
        <v>61201.36ml</v>
      </c>
      <c r="U165" s="200">
        <f t="shared" si="3"/>
        <v>6663.420799999999</v>
      </c>
      <c r="V165" s="12"/>
      <c r="W165" s="12"/>
    </row>
    <row r="166" spans="1:23" x14ac:dyDescent="0.3">
      <c r="A166" s="183" t="e">
        <f ca="1"/>
        <v>#NAME?</v>
      </c>
      <c r="B166" s="194" t="s">
        <v>567</v>
      </c>
      <c r="C166" s="170"/>
      <c r="D166" s="194" t="str">
        <f ca="1">IFERROR(__xludf.DUMMYFUNCTION("IF(J166="""",""n/a"",IFERROR(SPLIT(J166,""/"")))"),"Jersey")</f>
        <v>Jersey</v>
      </c>
      <c r="E166" s="194" t="str">
        <f ca="1">IFERROR(__xludf.DUMMYFUNCTION("""COMPUTED_VALUE"""),"can")</f>
        <v>can</v>
      </c>
      <c r="F166" s="194" t="str">
        <f ca="1">IFERROR(__xludf.DUMMYFUNCTION("""COMPUTED_VALUE"""),"390ml")</f>
        <v>390ml</v>
      </c>
      <c r="G166" s="170"/>
      <c r="H166" s="206" t="s">
        <v>1898</v>
      </c>
      <c r="I166" s="170"/>
      <c r="J166" s="46" t="s">
        <v>59</v>
      </c>
      <c r="K166" s="170"/>
      <c r="L166" s="197">
        <v>0.14461538461538462</v>
      </c>
      <c r="M166" s="207">
        <v>780</v>
      </c>
      <c r="N166" s="208">
        <v>390</v>
      </c>
      <c r="O166" s="61" t="str">
        <f t="shared" ca="1" si="0"/>
        <v>can</v>
      </c>
      <c r="P166" s="61" t="s">
        <v>32</v>
      </c>
      <c r="Q166" s="170"/>
      <c r="R166" s="170"/>
      <c r="S166" s="198">
        <f t="shared" si="1"/>
        <v>304200</v>
      </c>
      <c r="T166" s="199" t="str">
        <f t="shared" si="2"/>
        <v>304200ml</v>
      </c>
      <c r="U166" s="200">
        <f t="shared" si="3"/>
        <v>112.8</v>
      </c>
      <c r="V166" s="12"/>
      <c r="W166" s="12"/>
    </row>
    <row r="167" spans="1:23" x14ac:dyDescent="0.3">
      <c r="A167" s="183" t="e">
        <f ca="1"/>
        <v>#NAME?</v>
      </c>
      <c r="B167" s="194" t="s">
        <v>58</v>
      </c>
      <c r="C167" s="170"/>
      <c r="D167" s="194" t="str">
        <f ca="1">IFERROR(__xludf.DUMMYFUNCTION("IF(J167="""",""n/a"",IFERROR(SPLIT(J167,""/"")))"),"Jersey")</f>
        <v>Jersey</v>
      </c>
      <c r="E167" s="194" t="str">
        <f ca="1">IFERROR(__xludf.DUMMYFUNCTION("""COMPUTED_VALUE"""),"can")</f>
        <v>can</v>
      </c>
      <c r="F167" s="194" t="str">
        <f ca="1">IFERROR(__xludf.DUMMYFUNCTION("""COMPUTED_VALUE"""),"390ml")</f>
        <v>390ml</v>
      </c>
      <c r="G167" s="170"/>
      <c r="H167" s="183" t="s">
        <v>1895</v>
      </c>
      <c r="I167" s="170"/>
      <c r="J167" s="46" t="s">
        <v>59</v>
      </c>
      <c r="K167" s="170"/>
      <c r="L167" s="195">
        <v>62.7</v>
      </c>
      <c r="M167" s="61">
        <v>1</v>
      </c>
      <c r="N167" s="61">
        <v>390</v>
      </c>
      <c r="O167" s="61" t="str">
        <f t="shared" ca="1" si="0"/>
        <v>can</v>
      </c>
      <c r="P167" s="61" t="s">
        <v>32</v>
      </c>
      <c r="Q167" s="170"/>
      <c r="R167" s="170"/>
      <c r="S167" s="198">
        <f t="shared" si="1"/>
        <v>390</v>
      </c>
      <c r="T167" s="199" t="str">
        <f t="shared" si="2"/>
        <v>390ml</v>
      </c>
      <c r="U167" s="200">
        <f t="shared" si="3"/>
        <v>62.7</v>
      </c>
      <c r="V167" s="12"/>
      <c r="W167" s="12"/>
    </row>
    <row r="168" spans="1:23" x14ac:dyDescent="0.3">
      <c r="A168" s="183" t="e">
        <f ca="1"/>
        <v>#NAME?</v>
      </c>
      <c r="B168" s="194" t="s">
        <v>568</v>
      </c>
      <c r="C168" s="170"/>
      <c r="D168" s="194" t="str">
        <f ca="1">IFERROR(__xludf.DUMMYFUNCTION("IF(J168="""",""n/a"",IFERROR(SPLIT(J168,""/"")))"),"Jersey")</f>
        <v>Jersey</v>
      </c>
      <c r="E168" s="194" t="str">
        <f ca="1">IFERROR(__xludf.DUMMYFUNCTION("""COMPUTED_VALUE"""),"can")</f>
        <v>can</v>
      </c>
      <c r="F168" s="194" t="str">
        <f ca="1">IFERROR(__xludf.DUMMYFUNCTION("""COMPUTED_VALUE"""),"390ml")</f>
        <v>390ml</v>
      </c>
      <c r="G168" s="170"/>
      <c r="H168" s="183" t="s">
        <v>1897</v>
      </c>
      <c r="I168" s="170"/>
      <c r="J168" s="46" t="s">
        <v>59</v>
      </c>
      <c r="K168" s="170"/>
      <c r="L168" s="195">
        <v>0.14461538461538462</v>
      </c>
      <c r="M168" s="203">
        <v>390</v>
      </c>
      <c r="N168" s="203">
        <v>390</v>
      </c>
      <c r="O168" s="61" t="str">
        <f t="shared" ca="1" si="0"/>
        <v>can</v>
      </c>
      <c r="P168" s="61" t="s">
        <v>32</v>
      </c>
      <c r="Q168" s="61" t="s">
        <v>33</v>
      </c>
      <c r="R168" s="192" t="str">
        <f>CONCATENATE(N168,P168)</f>
        <v>390ml</v>
      </c>
      <c r="S168" s="198">
        <f t="shared" si="1"/>
        <v>152100</v>
      </c>
      <c r="T168" s="199" t="str">
        <f t="shared" si="2"/>
        <v>152100 ml</v>
      </c>
      <c r="U168" s="200">
        <f t="shared" si="3"/>
        <v>56.4</v>
      </c>
      <c r="V168" s="205">
        <f>U168/M168</f>
        <v>0.14461538461538462</v>
      </c>
      <c r="W168" s="62"/>
    </row>
    <row r="169" spans="1:23" x14ac:dyDescent="0.3">
      <c r="A169" s="183" t="e">
        <f ca="1"/>
        <v>#NAME?</v>
      </c>
      <c r="B169" s="194" t="s">
        <v>60</v>
      </c>
      <c r="C169" s="170"/>
      <c r="D169" s="194" t="str">
        <f ca="1">IFERROR(__xludf.DUMMYFUNCTION("IF(J169="""",""n/a"",IFERROR(SPLIT(J169,""/"")))"),"Peotraco")</f>
        <v>Peotraco</v>
      </c>
      <c r="E169" s="194" t="str">
        <f ca="1">IFERROR(__xludf.DUMMYFUNCTION("""COMPUTED_VALUE"""),"box")</f>
        <v>box</v>
      </c>
      <c r="F169" s="194" t="str">
        <f ca="1">IFERROR(__xludf.DUMMYFUNCTION("""COMPUTED_VALUE"""),"450grams")</f>
        <v>450grams</v>
      </c>
      <c r="G169" s="170"/>
      <c r="H169" s="183" t="s">
        <v>1895</v>
      </c>
      <c r="I169" s="170"/>
      <c r="J169" s="46" t="s">
        <v>61</v>
      </c>
      <c r="K169" s="170"/>
      <c r="L169" s="195">
        <v>350</v>
      </c>
      <c r="M169" s="61">
        <v>2.2200000000000002</v>
      </c>
      <c r="N169" s="61">
        <v>450</v>
      </c>
      <c r="O169" s="61" t="str">
        <f t="shared" ca="1" si="0"/>
        <v>box</v>
      </c>
      <c r="P169" s="61" t="s">
        <v>39</v>
      </c>
      <c r="Q169" s="170"/>
      <c r="R169" s="170"/>
      <c r="S169" s="198">
        <f t="shared" si="1"/>
        <v>999.00000000000011</v>
      </c>
      <c r="T169" s="199" t="str">
        <f t="shared" si="2"/>
        <v>999grams</v>
      </c>
      <c r="U169" s="200">
        <f t="shared" si="3"/>
        <v>777.00000000000011</v>
      </c>
      <c r="V169" s="12"/>
      <c r="W169" s="12"/>
    </row>
    <row r="170" spans="1:23" x14ac:dyDescent="0.3">
      <c r="A170" s="183" t="e">
        <f ca="1"/>
        <v>#NAME?</v>
      </c>
      <c r="B170" s="214" t="s">
        <v>217</v>
      </c>
      <c r="C170" s="215"/>
      <c r="D170" s="194" t="str">
        <f ca="1">IFERROR(__xludf.DUMMYFUNCTION("IF(J170="""",""n/a"",IFERROR(SPLIT(J170,""/"")))"),"CDO")</f>
        <v>CDO</v>
      </c>
      <c r="E170" s="214" t="str">
        <f ca="1">IFERROR(__xludf.DUMMYFUNCTION("""COMPUTED_VALUE"""),"pack")</f>
        <v>pack</v>
      </c>
      <c r="F170" s="214" t="str">
        <f ca="1">IFERROR(__xludf.DUMMYFUNCTION("""COMPUTED_VALUE"""),"250grams")</f>
        <v>250grams</v>
      </c>
      <c r="G170" s="215"/>
      <c r="H170" s="183" t="s">
        <v>1895</v>
      </c>
      <c r="I170" s="170"/>
      <c r="J170" s="46" t="s">
        <v>218</v>
      </c>
      <c r="K170" s="170"/>
      <c r="L170" s="195">
        <v>69</v>
      </c>
      <c r="M170" s="61">
        <v>21</v>
      </c>
      <c r="N170" s="61">
        <v>1</v>
      </c>
      <c r="O170" s="61" t="str">
        <f t="shared" ca="1" si="0"/>
        <v>pack</v>
      </c>
      <c r="P170" s="61" t="s">
        <v>39</v>
      </c>
      <c r="Q170" s="170"/>
      <c r="R170" s="170"/>
      <c r="S170" s="198">
        <f t="shared" si="1"/>
        <v>21</v>
      </c>
      <c r="T170" s="199" t="str">
        <f t="shared" si="2"/>
        <v>21grams</v>
      </c>
      <c r="U170" s="200">
        <f t="shared" si="3"/>
        <v>1449</v>
      </c>
      <c r="V170" s="12"/>
      <c r="W170" s="12"/>
    </row>
    <row r="171" spans="1:23" x14ac:dyDescent="0.3">
      <c r="A171" s="183" t="e">
        <f ca="1"/>
        <v>#NAME?</v>
      </c>
      <c r="B171" s="194" t="s">
        <v>569</v>
      </c>
      <c r="C171" s="170"/>
      <c r="D171" s="194" t="str">
        <f ca="1">IFERROR(__xludf.DUMMYFUNCTION("IF(J171="""",""n/a"",IFERROR(SPLIT(J171,""/"")))"),"Happy Fiesta")</f>
        <v>Happy Fiesta</v>
      </c>
      <c r="E171" s="194" t="str">
        <f ca="1">IFERROR(__xludf.DUMMYFUNCTION("""COMPUTED_VALUE"""),"pouch")</f>
        <v>pouch</v>
      </c>
      <c r="F171" s="194" t="str">
        <f ca="1">IFERROR(__xludf.DUMMYFUNCTION("""COMPUTED_VALUE"""),"1800ml")</f>
        <v>1800ml</v>
      </c>
      <c r="G171" s="170"/>
      <c r="H171" s="183" t="s">
        <v>1897</v>
      </c>
      <c r="I171" s="170"/>
      <c r="J171" s="46" t="s">
        <v>570</v>
      </c>
      <c r="K171" s="170"/>
      <c r="L171" s="197">
        <v>1.1883333333333334E-2</v>
      </c>
      <c r="M171" s="203">
        <v>486000</v>
      </c>
      <c r="N171" s="203">
        <v>18000</v>
      </c>
      <c r="O171" s="61" t="str">
        <f t="shared" ca="1" si="0"/>
        <v>pouch</v>
      </c>
      <c r="P171" s="61" t="s">
        <v>32</v>
      </c>
      <c r="Q171" s="170"/>
      <c r="R171" s="192" t="str">
        <f>CONCATENATE(N171,P171)</f>
        <v>18000ml</v>
      </c>
      <c r="S171" s="198">
        <f t="shared" si="1"/>
        <v>8748000000</v>
      </c>
      <c r="T171" s="199" t="str">
        <f t="shared" si="2"/>
        <v>8748000000ml</v>
      </c>
      <c r="U171" s="200">
        <f t="shared" si="3"/>
        <v>5775.3</v>
      </c>
      <c r="V171" s="205">
        <f>U171/M171</f>
        <v>1.1883333333333334E-2</v>
      </c>
      <c r="W171" s="62"/>
    </row>
    <row r="172" spans="1:23" x14ac:dyDescent="0.3">
      <c r="A172" s="183" t="e">
        <f ca="1"/>
        <v>#NAME?</v>
      </c>
      <c r="B172" s="194" t="s">
        <v>569</v>
      </c>
      <c r="C172" s="170"/>
      <c r="D172" s="194" t="str">
        <f ca="1">IFERROR(__xludf.DUMMYFUNCTION("IF(J172="""",""n/a"",IFERROR(SPLIT(J172,""/"")))"),"n/a")</f>
        <v>n/a</v>
      </c>
      <c r="E172" s="170"/>
      <c r="F172" s="170"/>
      <c r="G172" s="170"/>
      <c r="H172" s="206" t="s">
        <v>1898</v>
      </c>
      <c r="I172" s="170"/>
      <c r="J172" s="170"/>
      <c r="K172" s="170"/>
      <c r="L172" s="197">
        <v>0.11883333333333333</v>
      </c>
      <c r="M172" s="208">
        <v>10800</v>
      </c>
      <c r="N172" s="208">
        <v>1800</v>
      </c>
      <c r="O172" s="170">
        <f t="shared" si="0"/>
        <v>0</v>
      </c>
      <c r="P172" s="61" t="s">
        <v>32</v>
      </c>
      <c r="Q172" s="170"/>
      <c r="R172" s="170"/>
      <c r="S172" s="198">
        <f t="shared" si="1"/>
        <v>19440000</v>
      </c>
      <c r="T172" s="199" t="str">
        <f t="shared" si="2"/>
        <v>19440000ml</v>
      </c>
      <c r="U172" s="200">
        <f t="shared" si="3"/>
        <v>1283.4000000000001</v>
      </c>
      <c r="V172" s="12"/>
      <c r="W172" s="12"/>
    </row>
    <row r="173" spans="1:23" x14ac:dyDescent="0.3">
      <c r="A173" s="183" t="e">
        <f ca="1"/>
        <v>#NAME?</v>
      </c>
      <c r="B173" s="194" t="s">
        <v>246</v>
      </c>
      <c r="C173" s="170"/>
      <c r="D173" s="194" t="str">
        <f ca="1">IFERROR(__xludf.DUMMYFUNCTION("IF(J173="""",""n/a"",IFERROR(SPLIT(J173,""/"")))"),"Freeto")</f>
        <v>Freeto</v>
      </c>
      <c r="E173" s="194" t="str">
        <f ca="1">IFERROR(__xludf.DUMMYFUNCTION("""COMPUTED_VALUE"""),"tin can")</f>
        <v>tin can</v>
      </c>
      <c r="F173" s="194" t="str">
        <f ca="1">IFERROR(__xludf.DUMMYFUNCTION("""COMPUTED_VALUE"""),"16kilos")</f>
        <v>16kilos</v>
      </c>
      <c r="G173" s="170"/>
      <c r="H173" s="183" t="s">
        <v>1895</v>
      </c>
      <c r="I173" s="170"/>
      <c r="J173" s="46" t="s">
        <v>247</v>
      </c>
      <c r="K173" s="170"/>
      <c r="L173" s="195">
        <v>105</v>
      </c>
      <c r="M173" s="61">
        <v>112</v>
      </c>
      <c r="N173" s="61">
        <v>1</v>
      </c>
      <c r="O173" s="61" t="str">
        <f t="shared" ca="1" si="0"/>
        <v>tin can</v>
      </c>
      <c r="P173" s="61" t="s">
        <v>213</v>
      </c>
      <c r="Q173" s="170"/>
      <c r="R173" s="170"/>
      <c r="S173" s="198">
        <f t="shared" si="1"/>
        <v>112</v>
      </c>
      <c r="T173" s="199" t="str">
        <f t="shared" si="2"/>
        <v>112kilos</v>
      </c>
      <c r="U173" s="200">
        <f t="shared" si="3"/>
        <v>11760</v>
      </c>
      <c r="V173" s="12"/>
      <c r="W173" s="12"/>
    </row>
    <row r="174" spans="1:23" x14ac:dyDescent="0.3">
      <c r="A174" s="183" t="e">
        <f ca="1"/>
        <v>#NAME?</v>
      </c>
      <c r="B174" s="194" t="s">
        <v>305</v>
      </c>
      <c r="C174" s="170"/>
      <c r="D174" s="194" t="str">
        <f ca="1">IFERROR(__xludf.DUMMYFUNCTION("IF(J174="""",""n/a"",IFERROR(SPLIT(J174,""/"")))"),"gallon")</f>
        <v>gallon</v>
      </c>
      <c r="E174" s="194" t="str">
        <f ca="1">IFERROR(__xludf.DUMMYFUNCTION("""COMPUTED_VALUE"""),"2000ml")</f>
        <v>2000ml</v>
      </c>
      <c r="F174" s="170"/>
      <c r="G174" s="170"/>
      <c r="H174" s="183" t="s">
        <v>1895</v>
      </c>
      <c r="I174" s="170"/>
      <c r="J174" s="46" t="s">
        <v>306</v>
      </c>
      <c r="K174" s="170"/>
      <c r="L174" s="195">
        <v>227</v>
      </c>
      <c r="M174" s="61">
        <v>1</v>
      </c>
      <c r="N174" s="61">
        <v>1</v>
      </c>
      <c r="O174" s="61" t="str">
        <f t="shared" ca="1" si="0"/>
        <v>2000ml</v>
      </c>
      <c r="P174" s="61" t="s">
        <v>32</v>
      </c>
      <c r="Q174" s="170"/>
      <c r="R174" s="170"/>
      <c r="S174" s="198">
        <f t="shared" si="1"/>
        <v>1</v>
      </c>
      <c r="T174" s="199" t="str">
        <f t="shared" si="2"/>
        <v>1ml</v>
      </c>
      <c r="U174" s="200">
        <f t="shared" si="3"/>
        <v>227</v>
      </c>
      <c r="V174" s="12"/>
      <c r="W174" s="12"/>
    </row>
    <row r="175" spans="1:23" x14ac:dyDescent="0.3">
      <c r="A175" s="183" t="e">
        <f ca="1"/>
        <v>#NAME?</v>
      </c>
      <c r="B175" s="194" t="s">
        <v>171</v>
      </c>
      <c r="C175" s="170"/>
      <c r="D175" s="194" t="str">
        <f ca="1">IFERROR(__xludf.DUMMYFUNCTION("IF(J175="""",""n/a"",IFERROR(SPLIT(J175,""/"")))"),"Argentina")</f>
        <v>Argentina</v>
      </c>
      <c r="E175" s="194" t="str">
        <f ca="1">IFERROR(__xludf.DUMMYFUNCTION("""COMPUTED_VALUE"""),"can")</f>
        <v>can</v>
      </c>
      <c r="F175" s="194" t="str">
        <f ca="1">IFERROR(__xludf.DUMMYFUNCTION("""COMPUTED_VALUE"""),"260grams")</f>
        <v>260grams</v>
      </c>
      <c r="G175" s="170"/>
      <c r="H175" s="183" t="s">
        <v>1895</v>
      </c>
      <c r="I175" s="170"/>
      <c r="J175" s="46" t="s">
        <v>172</v>
      </c>
      <c r="K175" s="170"/>
      <c r="L175" s="195">
        <v>55.05</v>
      </c>
      <c r="M175" s="61">
        <v>8</v>
      </c>
      <c r="N175" s="61">
        <v>1</v>
      </c>
      <c r="O175" s="61" t="str">
        <f t="shared" ca="1" si="0"/>
        <v>can</v>
      </c>
      <c r="P175" s="61" t="s">
        <v>39</v>
      </c>
      <c r="Q175" s="170"/>
      <c r="R175" s="170"/>
      <c r="S175" s="198">
        <f t="shared" si="1"/>
        <v>8</v>
      </c>
      <c r="T175" s="199" t="str">
        <f t="shared" si="2"/>
        <v>8grams</v>
      </c>
      <c r="U175" s="200">
        <f t="shared" si="3"/>
        <v>440.4</v>
      </c>
      <c r="V175" s="12"/>
      <c r="W175" s="12"/>
    </row>
    <row r="176" spans="1:23" x14ac:dyDescent="0.3">
      <c r="A176" s="183" t="e">
        <f ca="1"/>
        <v>#NAME?</v>
      </c>
      <c r="B176" s="194" t="s">
        <v>571</v>
      </c>
      <c r="C176" s="170"/>
      <c r="D176" s="194" t="str">
        <f ca="1">IFERROR(__xludf.DUMMYFUNCTION("IF(J176="""",""n/a"",IFERROR(SPLIT(J176,""/"")))"),"n/a")</f>
        <v>n/a</v>
      </c>
      <c r="E176" s="170"/>
      <c r="F176" s="170"/>
      <c r="G176" s="170"/>
      <c r="H176" s="206" t="s">
        <v>1898</v>
      </c>
      <c r="I176" s="170"/>
      <c r="J176" s="170"/>
      <c r="K176" s="170"/>
      <c r="L176" s="197">
        <v>27.89</v>
      </c>
      <c r="M176" s="207">
        <v>48</v>
      </c>
      <c r="N176" s="208">
        <v>1</v>
      </c>
      <c r="O176" s="170">
        <f t="shared" si="0"/>
        <v>0</v>
      </c>
      <c r="P176" s="61" t="s">
        <v>39</v>
      </c>
      <c r="Q176" s="170"/>
      <c r="R176" s="170"/>
      <c r="S176" s="198">
        <f t="shared" si="1"/>
        <v>48</v>
      </c>
      <c r="T176" s="199" t="str">
        <f t="shared" si="2"/>
        <v>48grams</v>
      </c>
      <c r="U176" s="200">
        <f t="shared" si="3"/>
        <v>1338.72</v>
      </c>
      <c r="V176" s="12"/>
      <c r="W176" s="12"/>
    </row>
    <row r="177" spans="1:23" x14ac:dyDescent="0.3">
      <c r="A177" s="183" t="e">
        <f ca="1"/>
        <v>#NAME?</v>
      </c>
      <c r="B177" s="194" t="s">
        <v>572</v>
      </c>
      <c r="C177" s="170"/>
      <c r="D177" s="194" t="str">
        <f ca="1">IFERROR(__xludf.DUMMYFUNCTION("IF(J177="""",""n/a"",IFERROR(SPLIT(J177,""/"")))"),"n/a")</f>
        <v>n/a</v>
      </c>
      <c r="E177" s="170"/>
      <c r="F177" s="170"/>
      <c r="G177" s="170"/>
      <c r="H177" s="206" t="s">
        <v>1898</v>
      </c>
      <c r="I177" s="170"/>
      <c r="J177" s="170"/>
      <c r="K177" s="170"/>
      <c r="L177" s="197">
        <v>27.89</v>
      </c>
      <c r="M177" s="208">
        <v>48</v>
      </c>
      <c r="N177" s="208">
        <v>1</v>
      </c>
      <c r="O177" s="170">
        <f t="shared" si="0"/>
        <v>0</v>
      </c>
      <c r="P177" s="61" t="s">
        <v>92</v>
      </c>
      <c r="Q177" s="170"/>
      <c r="R177" s="170"/>
      <c r="S177" s="198">
        <f t="shared" si="1"/>
        <v>48</v>
      </c>
      <c r="T177" s="199" t="str">
        <f t="shared" si="2"/>
        <v>48pieces</v>
      </c>
      <c r="U177" s="200">
        <f t="shared" si="3"/>
        <v>1338.72</v>
      </c>
      <c r="V177" s="12"/>
      <c r="W177" s="12"/>
    </row>
    <row r="178" spans="1:23" x14ac:dyDescent="0.3">
      <c r="A178" s="183" t="e">
        <f ca="1"/>
        <v>#NAME?</v>
      </c>
      <c r="B178" s="194" t="s">
        <v>62</v>
      </c>
      <c r="C178" s="170"/>
      <c r="D178" s="194" t="str">
        <f ca="1">IFERROR(__xludf.DUMMYFUNCTION("IF(J178="""",""n/a"",IFERROR(SPLIT(J178,""/"")))"),"Superior")</f>
        <v>Superior</v>
      </c>
      <c r="E178" s="194" t="str">
        <f ca="1">IFERROR(__xludf.DUMMYFUNCTION("""COMPUTED_VALUE"""),"pack")</f>
        <v>pack</v>
      </c>
      <c r="F178" s="194" t="str">
        <f ca="1">IFERROR(__xludf.DUMMYFUNCTION("""COMPUTED_VALUE"""),"1000grams")</f>
        <v>1000grams</v>
      </c>
      <c r="G178" s="170"/>
      <c r="H178" s="183" t="s">
        <v>1897</v>
      </c>
      <c r="I178" s="170"/>
      <c r="J178" s="46" t="s">
        <v>63</v>
      </c>
      <c r="K178" s="170"/>
      <c r="L178" s="195">
        <v>5.6000000000000001E-2</v>
      </c>
      <c r="M178" s="203">
        <v>7000</v>
      </c>
      <c r="N178" s="203">
        <v>1000</v>
      </c>
      <c r="O178" s="61" t="str">
        <f t="shared" ca="1" si="0"/>
        <v>pack</v>
      </c>
      <c r="P178" s="61" t="s">
        <v>39</v>
      </c>
      <c r="Q178" s="61" t="s">
        <v>33</v>
      </c>
      <c r="R178" s="192" t="str">
        <f>CONCATENATE(N178,P178)</f>
        <v>1000grams</v>
      </c>
      <c r="S178" s="198">
        <f t="shared" si="1"/>
        <v>7000000</v>
      </c>
      <c r="T178" s="199" t="str">
        <f t="shared" si="2"/>
        <v>7000000 grams</v>
      </c>
      <c r="U178" s="200">
        <f t="shared" si="3"/>
        <v>392</v>
      </c>
      <c r="V178" s="205">
        <f>U178/M178</f>
        <v>5.6000000000000001E-2</v>
      </c>
      <c r="W178" s="62"/>
    </row>
    <row r="179" spans="1:23" x14ac:dyDescent="0.3">
      <c r="A179" s="183" t="e">
        <f ca="1"/>
        <v>#NAME?</v>
      </c>
      <c r="B179" s="194" t="s">
        <v>62</v>
      </c>
      <c r="C179" s="170"/>
      <c r="D179" s="194" t="str">
        <f ca="1">IFERROR(__xludf.DUMMYFUNCTION("IF(J179="""",""n/a"",IFERROR(SPLIT(J179,""/"")))"),"Superior")</f>
        <v>Superior</v>
      </c>
      <c r="E179" s="194" t="str">
        <f ca="1">IFERROR(__xludf.DUMMYFUNCTION("""COMPUTED_VALUE"""),"pack")</f>
        <v>pack</v>
      </c>
      <c r="F179" s="194" t="str">
        <f ca="1">IFERROR(__xludf.DUMMYFUNCTION("""COMPUTED_VALUE"""),"1000grams")</f>
        <v>1000grams</v>
      </c>
      <c r="G179" s="170"/>
      <c r="H179" s="183" t="s">
        <v>1895</v>
      </c>
      <c r="I179" s="170"/>
      <c r="J179" s="46" t="s">
        <v>63</v>
      </c>
      <c r="K179" s="170"/>
      <c r="L179" s="195">
        <v>51.4</v>
      </c>
      <c r="M179" s="61">
        <v>28</v>
      </c>
      <c r="N179" s="61">
        <v>1000</v>
      </c>
      <c r="O179" s="61" t="str">
        <f t="shared" ca="1" si="0"/>
        <v>pack</v>
      </c>
      <c r="P179" s="61" t="s">
        <v>39</v>
      </c>
      <c r="Q179" s="170"/>
      <c r="R179" s="170"/>
      <c r="S179" s="198">
        <f t="shared" si="1"/>
        <v>28000</v>
      </c>
      <c r="T179" s="199" t="str">
        <f t="shared" si="2"/>
        <v>28000grams</v>
      </c>
      <c r="U179" s="200">
        <f t="shared" si="3"/>
        <v>1439.2</v>
      </c>
      <c r="V179" s="12"/>
      <c r="W179" s="12"/>
    </row>
    <row r="180" spans="1:23" x14ac:dyDescent="0.3">
      <c r="A180" s="183" t="e">
        <f ca="1"/>
        <v>#NAME?</v>
      </c>
      <c r="B180" s="194" t="s">
        <v>62</v>
      </c>
      <c r="C180" s="170"/>
      <c r="D180" s="194" t="str">
        <f ca="1">IFERROR(__xludf.DUMMYFUNCTION("IF(J180="""",""n/a"",IFERROR(SPLIT(J180,""/"")))"),"Superior")</f>
        <v>Superior</v>
      </c>
      <c r="E180" s="194" t="str">
        <f ca="1">IFERROR(__xludf.DUMMYFUNCTION("""COMPUTED_VALUE"""),"pack")</f>
        <v>pack</v>
      </c>
      <c r="F180" s="194" t="str">
        <f ca="1">IFERROR(__xludf.DUMMYFUNCTION("""COMPUTED_VALUE"""),"1000grams")</f>
        <v>1000grams</v>
      </c>
      <c r="G180" s="170"/>
      <c r="H180" s="206" t="s">
        <v>1898</v>
      </c>
      <c r="I180" s="170"/>
      <c r="J180" s="46" t="s">
        <v>63</v>
      </c>
      <c r="K180" s="170"/>
      <c r="L180" s="197">
        <v>5.6000000000000001E-2</v>
      </c>
      <c r="M180" s="207">
        <v>200</v>
      </c>
      <c r="N180" s="208">
        <v>1000</v>
      </c>
      <c r="O180" s="61" t="str">
        <f t="shared" ca="1" si="0"/>
        <v>pack</v>
      </c>
      <c r="P180" s="61" t="s">
        <v>39</v>
      </c>
      <c r="Q180" s="170"/>
      <c r="R180" s="170"/>
      <c r="S180" s="198">
        <f t="shared" si="1"/>
        <v>200000</v>
      </c>
      <c r="T180" s="199" t="str">
        <f t="shared" si="2"/>
        <v>200000grams</v>
      </c>
      <c r="U180" s="200">
        <f t="shared" si="3"/>
        <v>11.200000000000001</v>
      </c>
      <c r="V180" s="12"/>
      <c r="W180" s="12"/>
    </row>
    <row r="181" spans="1:23" x14ac:dyDescent="0.3">
      <c r="A181" s="183" t="e">
        <f ca="1"/>
        <v>#NAME?</v>
      </c>
      <c r="B181" s="194" t="s">
        <v>248</v>
      </c>
      <c r="C181" s="170"/>
      <c r="D181" s="194" t="str">
        <f ca="1">IFERROR(__xludf.DUMMYFUNCTION("IF(J181="""",""n/a"",IFERROR(SPLIT(J181,""/"")))"),"Knorr")</f>
        <v>Knorr</v>
      </c>
      <c r="E181" s="194" t="str">
        <f ca="1">IFERROR(__xludf.DUMMYFUNCTION("""COMPUTED_VALUE"""),"sachet")</f>
        <v>sachet</v>
      </c>
      <c r="F181" s="194" t="str">
        <f ca="1">IFERROR(__xludf.DUMMYFUNCTION("""COMPUTED_VALUE"""),"37grams")</f>
        <v>37grams</v>
      </c>
      <c r="G181" s="170"/>
      <c r="H181" s="183" t="s">
        <v>1895</v>
      </c>
      <c r="I181" s="170"/>
      <c r="J181" s="46" t="s">
        <v>249</v>
      </c>
      <c r="K181" s="170"/>
      <c r="L181" s="195">
        <v>35.9</v>
      </c>
      <c r="M181" s="61">
        <v>15</v>
      </c>
      <c r="N181" s="61">
        <v>1</v>
      </c>
      <c r="O181" s="61" t="str">
        <f t="shared" ca="1" si="0"/>
        <v>sachet</v>
      </c>
      <c r="P181" s="61" t="s">
        <v>39</v>
      </c>
      <c r="Q181" s="170"/>
      <c r="R181" s="170"/>
      <c r="S181" s="198">
        <f t="shared" si="1"/>
        <v>15</v>
      </c>
      <c r="T181" s="199" t="str">
        <f t="shared" si="2"/>
        <v>15grams</v>
      </c>
      <c r="U181" s="200">
        <f t="shared" si="3"/>
        <v>538.5</v>
      </c>
      <c r="V181" s="12"/>
      <c r="W181" s="12"/>
    </row>
    <row r="182" spans="1:23" x14ac:dyDescent="0.3">
      <c r="A182" s="183" t="e">
        <f ca="1"/>
        <v>#NAME?</v>
      </c>
      <c r="B182" s="194" t="s">
        <v>380</v>
      </c>
      <c r="C182" s="170"/>
      <c r="D182" s="194" t="str">
        <f ca="1">IFERROR(__xludf.DUMMYFUNCTION("IF(J182="""",""n/a"",IFERROR(SPLIT(J182,""/"")))"),"Oishi")</f>
        <v>Oishi</v>
      </c>
      <c r="E182" s="194" t="str">
        <f ca="1">IFERROR(__xludf.DUMMYFUNCTION("""COMPUTED_VALUE"""),"box (50pcsx50grams)")</f>
        <v>box (50pcsx50grams)</v>
      </c>
      <c r="F182" s="170"/>
      <c r="G182" s="170"/>
      <c r="H182" s="183" t="s">
        <v>1895</v>
      </c>
      <c r="I182" s="170"/>
      <c r="J182" s="46" t="s">
        <v>381</v>
      </c>
      <c r="K182" s="170"/>
      <c r="L182" s="195">
        <v>13.564</v>
      </c>
      <c r="M182" s="61">
        <v>25</v>
      </c>
      <c r="N182" s="61">
        <v>1</v>
      </c>
      <c r="O182" s="61" t="str">
        <f t="shared" ca="1" si="0"/>
        <v>box (50pcsx50grams)</v>
      </c>
      <c r="P182" s="61" t="s">
        <v>92</v>
      </c>
      <c r="Q182" s="170"/>
      <c r="R182" s="170"/>
      <c r="S182" s="198">
        <f t="shared" si="1"/>
        <v>25</v>
      </c>
      <c r="T182" s="199" t="str">
        <f t="shared" si="2"/>
        <v>25pieces</v>
      </c>
      <c r="U182" s="200">
        <f t="shared" si="3"/>
        <v>339.1</v>
      </c>
      <c r="V182" s="12"/>
      <c r="W182" s="12"/>
    </row>
    <row r="183" spans="1:23" x14ac:dyDescent="0.3">
      <c r="A183" s="183" t="e">
        <f ca="1"/>
        <v>#NAME?</v>
      </c>
      <c r="B183" s="194" t="s">
        <v>573</v>
      </c>
      <c r="C183" s="170"/>
      <c r="D183" s="194" t="str">
        <f ca="1">IFERROR(__xludf.DUMMYFUNCTION("IF(J183="""",""n/a"",IFERROR(SPLIT(J183,""/"")))"),"n/a")</f>
        <v>n/a</v>
      </c>
      <c r="E183" s="170"/>
      <c r="F183" s="170"/>
      <c r="G183" s="170"/>
      <c r="H183" s="206" t="s">
        <v>1898</v>
      </c>
      <c r="I183" s="170"/>
      <c r="J183" s="170"/>
      <c r="K183" s="170"/>
      <c r="L183" s="197">
        <v>0.112</v>
      </c>
      <c r="M183" s="208">
        <v>10000</v>
      </c>
      <c r="N183" s="208">
        <v>1000</v>
      </c>
      <c r="O183" s="170">
        <f t="shared" si="0"/>
        <v>0</v>
      </c>
      <c r="P183" s="61" t="s">
        <v>39</v>
      </c>
      <c r="Q183" s="170"/>
      <c r="R183" s="170"/>
      <c r="S183" s="198">
        <f t="shared" si="1"/>
        <v>10000000</v>
      </c>
      <c r="T183" s="199" t="str">
        <f t="shared" si="2"/>
        <v>10000000grams</v>
      </c>
      <c r="U183" s="200">
        <f t="shared" si="3"/>
        <v>1120</v>
      </c>
      <c r="V183" s="12"/>
      <c r="W183" s="12"/>
    </row>
    <row r="184" spans="1:23" x14ac:dyDescent="0.3">
      <c r="A184" s="183" t="e">
        <f ca="1"/>
        <v>#NAME?</v>
      </c>
      <c r="B184" s="214" t="s">
        <v>574</v>
      </c>
      <c r="C184" s="215"/>
      <c r="D184" s="194" t="str">
        <f ca="1">IFERROR(__xludf.DUMMYFUNCTION("IF(J184="""",""n/a"",IFERROR(SPLIT(J184,""/"")))"),"CREAM O37G")</f>
        <v>CREAM O37G</v>
      </c>
      <c r="E184" s="215"/>
      <c r="F184" s="215"/>
      <c r="G184" s="215"/>
      <c r="H184" s="183" t="s">
        <v>1897</v>
      </c>
      <c r="I184" s="170"/>
      <c r="J184" s="219" t="s">
        <v>575</v>
      </c>
      <c r="K184" s="170"/>
      <c r="L184" s="217">
        <v>8.11</v>
      </c>
      <c r="M184" s="220">
        <v>11</v>
      </c>
      <c r="N184" s="220">
        <v>1</v>
      </c>
      <c r="O184" s="170">
        <f t="shared" si="0"/>
        <v>0</v>
      </c>
      <c r="P184" s="209" t="s">
        <v>92</v>
      </c>
      <c r="Q184" s="170"/>
      <c r="R184" s="192" t="str">
        <f t="shared" ref="R184:R186" si="19">CONCATENATE(N184,P184)</f>
        <v>1pieces</v>
      </c>
      <c r="S184" s="198">
        <f t="shared" si="1"/>
        <v>11</v>
      </c>
      <c r="T184" s="199" t="str">
        <f t="shared" si="2"/>
        <v>11pieces</v>
      </c>
      <c r="U184" s="200">
        <f t="shared" si="3"/>
        <v>89.21</v>
      </c>
      <c r="V184" s="12"/>
      <c r="W184" s="12"/>
    </row>
    <row r="185" spans="1:23" x14ac:dyDescent="0.3">
      <c r="A185" s="183" t="e">
        <f ca="1"/>
        <v>#NAME?</v>
      </c>
      <c r="B185" s="214" t="s">
        <v>576</v>
      </c>
      <c r="C185" s="215"/>
      <c r="D185" s="194" t="str">
        <f ca="1">IFERROR(__xludf.DUMMYFUNCTION("IF(J185="""",""n/a"",IFERROR(SPLIT(J185,""/"")))"),"CREAM O 30G")</f>
        <v>CREAM O 30G</v>
      </c>
      <c r="E185" s="215"/>
      <c r="F185" s="215"/>
      <c r="G185" s="215"/>
      <c r="H185" s="183" t="s">
        <v>1897</v>
      </c>
      <c r="I185" s="170"/>
      <c r="J185" s="219" t="s">
        <v>577</v>
      </c>
      <c r="K185" s="170"/>
      <c r="L185" s="217">
        <v>7.03</v>
      </c>
      <c r="M185" s="220">
        <v>15</v>
      </c>
      <c r="N185" s="220">
        <v>1</v>
      </c>
      <c r="O185" s="170">
        <f t="shared" si="0"/>
        <v>0</v>
      </c>
      <c r="P185" s="209" t="s">
        <v>92</v>
      </c>
      <c r="Q185" s="170"/>
      <c r="R185" s="192" t="str">
        <f t="shared" si="19"/>
        <v>1pieces</v>
      </c>
      <c r="S185" s="198">
        <f t="shared" si="1"/>
        <v>15</v>
      </c>
      <c r="T185" s="199" t="str">
        <f t="shared" si="2"/>
        <v>15pieces</v>
      </c>
      <c r="U185" s="200">
        <f t="shared" si="3"/>
        <v>105.45</v>
      </c>
      <c r="V185" s="12"/>
      <c r="W185" s="12"/>
    </row>
    <row r="186" spans="1:23" x14ac:dyDescent="0.3">
      <c r="A186" s="183" t="e">
        <f ca="1"/>
        <v>#NAME?</v>
      </c>
      <c r="B186" s="194" t="s">
        <v>173</v>
      </c>
      <c r="C186" s="170"/>
      <c r="D186" s="194" t="str">
        <f ca="1">IFERROR(__xludf.DUMMYFUNCTION("IF(J186="""",""n/a"",IFERROR(SPLIT(J186,""/"")))"),"Jolly")</f>
        <v>Jolly</v>
      </c>
      <c r="E186" s="194" t="str">
        <f ca="1">IFERROR(__xludf.DUMMYFUNCTION("""COMPUTED_VALUE"""),"can")</f>
        <v>can</v>
      </c>
      <c r="F186" s="194" t="str">
        <f ca="1">IFERROR(__xludf.DUMMYFUNCTION("""COMPUTED_VALUE"""),"425grams")</f>
        <v>425grams</v>
      </c>
      <c r="G186" s="170"/>
      <c r="H186" s="183" t="s">
        <v>1897</v>
      </c>
      <c r="I186" s="170"/>
      <c r="J186" s="46" t="s">
        <v>578</v>
      </c>
      <c r="K186" s="170"/>
      <c r="L186" s="204">
        <v>0.1011764705882353</v>
      </c>
      <c r="M186" s="203">
        <v>2550</v>
      </c>
      <c r="N186" s="203">
        <v>425</v>
      </c>
      <c r="O186" s="61" t="str">
        <f t="shared" ca="1" si="0"/>
        <v>can</v>
      </c>
      <c r="P186" s="221" t="s">
        <v>39</v>
      </c>
      <c r="Q186" s="170"/>
      <c r="R186" s="192" t="str">
        <f t="shared" si="19"/>
        <v>425grams</v>
      </c>
      <c r="S186" s="198">
        <f t="shared" si="1"/>
        <v>1083750</v>
      </c>
      <c r="T186" s="199" t="str">
        <f t="shared" si="2"/>
        <v>1083750grams</v>
      </c>
      <c r="U186" s="200">
        <f t="shared" si="3"/>
        <v>258</v>
      </c>
      <c r="V186" s="205">
        <f>U186/M186</f>
        <v>0.1011764705882353</v>
      </c>
      <c r="W186" s="62"/>
    </row>
    <row r="187" spans="1:23" x14ac:dyDescent="0.3">
      <c r="A187" s="183" t="e">
        <f ca="1"/>
        <v>#NAME?</v>
      </c>
      <c r="B187" s="194" t="s">
        <v>173</v>
      </c>
      <c r="C187" s="170"/>
      <c r="D187" s="194" t="str">
        <f ca="1">IFERROR(__xludf.DUMMYFUNCTION("IF(J187="""",""n/a"",IFERROR(SPLIT(J187,""/"")))"),"Mega Prime")</f>
        <v>Mega Prime</v>
      </c>
      <c r="E187" s="194" t="str">
        <f ca="1">IFERROR(__xludf.DUMMYFUNCTION("""COMPUTED_VALUE"""),"can")</f>
        <v>can</v>
      </c>
      <c r="F187" s="194" t="str">
        <f ca="1">IFERROR(__xludf.DUMMYFUNCTION("""COMPUTED_VALUE"""),"425grams")</f>
        <v>425grams</v>
      </c>
      <c r="G187" s="170"/>
      <c r="H187" s="183" t="s">
        <v>1895</v>
      </c>
      <c r="I187" s="170"/>
      <c r="J187" s="46" t="s">
        <v>174</v>
      </c>
      <c r="K187" s="170"/>
      <c r="L187" s="195">
        <v>43</v>
      </c>
      <c r="M187" s="61">
        <v>17</v>
      </c>
      <c r="N187" s="61">
        <v>1</v>
      </c>
      <c r="O187" s="61" t="str">
        <f t="shared" ca="1" si="0"/>
        <v>can</v>
      </c>
      <c r="P187" s="61" t="s">
        <v>39</v>
      </c>
      <c r="Q187" s="170"/>
      <c r="R187" s="170"/>
      <c r="S187" s="198">
        <f t="shared" si="1"/>
        <v>17</v>
      </c>
      <c r="T187" s="199" t="str">
        <f t="shared" si="2"/>
        <v>17grams</v>
      </c>
      <c r="U187" s="200">
        <f t="shared" si="3"/>
        <v>731</v>
      </c>
      <c r="V187" s="12"/>
      <c r="W187" s="12"/>
    </row>
    <row r="188" spans="1:23" x14ac:dyDescent="0.3">
      <c r="A188" s="183" t="e">
        <f ca="1"/>
        <v>#NAME?</v>
      </c>
      <c r="B188" s="194" t="s">
        <v>173</v>
      </c>
      <c r="C188" s="170"/>
      <c r="D188" s="194" t="str">
        <f ca="1">IFERROR(__xludf.DUMMYFUNCTION("IF(J188="""",""n/a"",IFERROR(SPLIT(J188,""/"")))"),"n/a")</f>
        <v>n/a</v>
      </c>
      <c r="E188" s="170"/>
      <c r="F188" s="170"/>
      <c r="G188" s="170"/>
      <c r="H188" s="206" t="s">
        <v>1898</v>
      </c>
      <c r="I188" s="170"/>
      <c r="J188" s="170"/>
      <c r="K188" s="170"/>
      <c r="L188" s="197">
        <v>0.13647058823529412</v>
      </c>
      <c r="M188" s="207">
        <v>2125</v>
      </c>
      <c r="N188" s="208">
        <v>425</v>
      </c>
      <c r="O188" s="170">
        <f t="shared" si="0"/>
        <v>0</v>
      </c>
      <c r="P188" s="222" t="s">
        <v>39</v>
      </c>
      <c r="Q188" s="170"/>
      <c r="R188" s="170"/>
      <c r="S188" s="198">
        <f t="shared" si="1"/>
        <v>903125</v>
      </c>
      <c r="T188" s="199" t="str">
        <f t="shared" si="2"/>
        <v>903125grams</v>
      </c>
      <c r="U188" s="200">
        <f t="shared" si="3"/>
        <v>290</v>
      </c>
      <c r="V188" s="12"/>
      <c r="W188" s="12"/>
    </row>
    <row r="189" spans="1:23" x14ac:dyDescent="0.3">
      <c r="A189" s="183" t="e">
        <f ca="1"/>
        <v>#NAME?</v>
      </c>
      <c r="B189" s="194" t="s">
        <v>250</v>
      </c>
      <c r="C189" s="170"/>
      <c r="D189" s="194" t="str">
        <f ca="1">IFERROR(__xludf.DUMMYFUNCTION("IF(J189="""",""n/a"",IFERROR(SPLIT(J189,""/"")))"),"Knorr")</f>
        <v>Knorr</v>
      </c>
      <c r="E189" s="194" t="str">
        <f ca="1">IFERROR(__xludf.DUMMYFUNCTION("""COMPUTED_VALUE"""),"sachet")</f>
        <v>sachet</v>
      </c>
      <c r="F189" s="194" t="str">
        <f ca="1">IFERROR(__xludf.DUMMYFUNCTION("""COMPUTED_VALUE"""),"62grams")</f>
        <v>62grams</v>
      </c>
      <c r="G189" s="170"/>
      <c r="H189" s="183" t="s">
        <v>1897</v>
      </c>
      <c r="I189" s="170"/>
      <c r="J189" s="46" t="s">
        <v>251</v>
      </c>
      <c r="K189" s="170"/>
      <c r="L189" s="197">
        <v>0.83870967741935487</v>
      </c>
      <c r="M189" s="203">
        <v>930</v>
      </c>
      <c r="N189" s="203">
        <v>62</v>
      </c>
      <c r="O189" s="61" t="str">
        <f t="shared" ca="1" si="0"/>
        <v>sachet</v>
      </c>
      <c r="P189" s="61" t="s">
        <v>39</v>
      </c>
      <c r="Q189" s="61" t="s">
        <v>33</v>
      </c>
      <c r="R189" s="192" t="str">
        <f>CONCATENATE(N189,P189)</f>
        <v>62grams</v>
      </c>
      <c r="S189" s="198">
        <f t="shared" si="1"/>
        <v>57660</v>
      </c>
      <c r="T189" s="199" t="str">
        <f t="shared" si="2"/>
        <v>57660 grams</v>
      </c>
      <c r="U189" s="200">
        <f t="shared" si="3"/>
        <v>780</v>
      </c>
      <c r="V189" s="205">
        <f>U189/M189</f>
        <v>0.83870967741935487</v>
      </c>
      <c r="W189" s="62"/>
    </row>
    <row r="190" spans="1:23" x14ac:dyDescent="0.3">
      <c r="A190" s="183" t="e">
        <f ca="1"/>
        <v>#NAME?</v>
      </c>
      <c r="B190" s="194" t="s">
        <v>250</v>
      </c>
      <c r="C190" s="170"/>
      <c r="D190" s="194" t="str">
        <f ca="1">IFERROR(__xludf.DUMMYFUNCTION("IF(J190="""",""n/a"",IFERROR(SPLIT(J190,""/"")))"),"Knorr")</f>
        <v>Knorr</v>
      </c>
      <c r="E190" s="194" t="str">
        <f ca="1">IFERROR(__xludf.DUMMYFUNCTION("""COMPUTED_VALUE"""),"sachet")</f>
        <v>sachet</v>
      </c>
      <c r="F190" s="194" t="str">
        <f ca="1">IFERROR(__xludf.DUMMYFUNCTION("""COMPUTED_VALUE"""),"62grams")</f>
        <v>62grams</v>
      </c>
      <c r="G190" s="170"/>
      <c r="H190" s="183" t="s">
        <v>1895</v>
      </c>
      <c r="I190" s="170"/>
      <c r="J190" s="46" t="s">
        <v>251</v>
      </c>
      <c r="K190" s="170"/>
      <c r="L190" s="195">
        <v>52.6</v>
      </c>
      <c r="M190" s="61">
        <v>22</v>
      </c>
      <c r="N190" s="61">
        <v>1</v>
      </c>
      <c r="O190" s="61" t="str">
        <f t="shared" ca="1" si="0"/>
        <v>sachet</v>
      </c>
      <c r="P190" s="61" t="s">
        <v>39</v>
      </c>
      <c r="Q190" s="170"/>
      <c r="R190" s="170"/>
      <c r="S190" s="198">
        <f t="shared" si="1"/>
        <v>22</v>
      </c>
      <c r="T190" s="199" t="str">
        <f t="shared" si="2"/>
        <v>22grams</v>
      </c>
      <c r="U190" s="200">
        <f t="shared" si="3"/>
        <v>1157.2</v>
      </c>
      <c r="V190" s="12"/>
      <c r="W190" s="12"/>
    </row>
    <row r="191" spans="1:23" x14ac:dyDescent="0.3">
      <c r="A191" s="183" t="e">
        <f ca="1"/>
        <v>#NAME?</v>
      </c>
      <c r="B191" s="194" t="s">
        <v>579</v>
      </c>
      <c r="C191" s="170"/>
      <c r="D191" s="194" t="str">
        <f ca="1">IFERROR(__xludf.DUMMYFUNCTION("IF(J191="""",""n/a"",IFERROR(SPLIT(J191,""/"")))"),"Jack n Jill")</f>
        <v>Jack n Jill</v>
      </c>
      <c r="E191" s="194" t="str">
        <f ca="1">IFERROR(__xludf.DUMMYFUNCTION("""COMPUTED_VALUE"""),"pack (10pcsx33grams)")</f>
        <v>pack (10pcsx33grams)</v>
      </c>
      <c r="F191" s="170"/>
      <c r="G191" s="170"/>
      <c r="H191" s="183" t="s">
        <v>1897</v>
      </c>
      <c r="I191" s="170"/>
      <c r="J191" s="46" t="s">
        <v>383</v>
      </c>
      <c r="K191" s="170"/>
      <c r="L191" s="195">
        <v>7.07</v>
      </c>
      <c r="M191" s="220">
        <v>13</v>
      </c>
      <c r="N191" s="203">
        <v>1</v>
      </c>
      <c r="O191" s="61" t="str">
        <f t="shared" ca="1" si="0"/>
        <v>pack (10pcsx33grams)</v>
      </c>
      <c r="P191" s="61" t="s">
        <v>92</v>
      </c>
      <c r="Q191" s="170"/>
      <c r="R191" s="192" t="str">
        <f t="shared" ref="R191:R193" si="20">CONCATENATE(N191,P191)</f>
        <v>1pieces</v>
      </c>
      <c r="S191" s="198">
        <f t="shared" si="1"/>
        <v>13</v>
      </c>
      <c r="T191" s="199" t="str">
        <f t="shared" si="2"/>
        <v>13pieces</v>
      </c>
      <c r="U191" s="200">
        <f t="shared" si="3"/>
        <v>91.91</v>
      </c>
      <c r="V191" s="12"/>
      <c r="W191" s="12"/>
    </row>
    <row r="192" spans="1:23" x14ac:dyDescent="0.3">
      <c r="A192" s="183" t="e">
        <f ca="1"/>
        <v>#NAME?</v>
      </c>
      <c r="B192" s="194" t="s">
        <v>382</v>
      </c>
      <c r="C192" s="170"/>
      <c r="D192" s="194" t="str">
        <f ca="1">IFERROR(__xludf.DUMMYFUNCTION("IF(J192="""",""n/a"",IFERROR(SPLIT(J192,""/"")))"),"ZEST-O Big 250")</f>
        <v>ZEST-O Big 250</v>
      </c>
      <c r="E192" s="194" t="str">
        <f ca="1">IFERROR(__xludf.DUMMYFUNCTION("""COMPUTED_VALUE"""),"box (10x250ml)")</f>
        <v>box (10x250ml)</v>
      </c>
      <c r="F192" s="170"/>
      <c r="G192" s="170"/>
      <c r="H192" s="183" t="s">
        <v>1897</v>
      </c>
      <c r="I192" s="170"/>
      <c r="J192" s="46" t="s">
        <v>102</v>
      </c>
      <c r="K192" s="170"/>
      <c r="L192" s="195">
        <v>9.74</v>
      </c>
      <c r="M192" s="203">
        <v>7</v>
      </c>
      <c r="N192" s="203">
        <v>1</v>
      </c>
      <c r="O192" s="61" t="str">
        <f t="shared" ca="1" si="0"/>
        <v>box (10x250ml)</v>
      </c>
      <c r="P192" s="61" t="s">
        <v>92</v>
      </c>
      <c r="Q192" s="61" t="s">
        <v>33</v>
      </c>
      <c r="R192" s="192" t="str">
        <f t="shared" si="20"/>
        <v>1pieces</v>
      </c>
      <c r="S192" s="198">
        <f t="shared" si="1"/>
        <v>7</v>
      </c>
      <c r="T192" s="199" t="str">
        <f t="shared" si="2"/>
        <v>7 pieces</v>
      </c>
      <c r="U192" s="200">
        <f t="shared" si="3"/>
        <v>68.180000000000007</v>
      </c>
      <c r="V192" s="205">
        <f>U192/M192</f>
        <v>9.74</v>
      </c>
      <c r="W192" s="62"/>
    </row>
    <row r="193" spans="1:23" x14ac:dyDescent="0.3">
      <c r="A193" s="183" t="e">
        <f ca="1"/>
        <v>#NAME?</v>
      </c>
      <c r="B193" s="194" t="s">
        <v>382</v>
      </c>
      <c r="C193" s="170"/>
      <c r="D193" s="194" t="str">
        <f ca="1">IFERROR(__xludf.DUMMYFUNCTION("IF(J193="""",""n/a"",IFERROR(SPLIT(J193,""/"")))"),"Jack n Jill")</f>
        <v>Jack n Jill</v>
      </c>
      <c r="E193" s="194" t="str">
        <f ca="1">IFERROR(__xludf.DUMMYFUNCTION("""COMPUTED_VALUE"""),"pack (10pcsx33grams)")</f>
        <v>pack (10pcsx33grams)</v>
      </c>
      <c r="F193" s="170"/>
      <c r="G193" s="170"/>
      <c r="H193" s="183" t="s">
        <v>1897</v>
      </c>
      <c r="I193" s="170"/>
      <c r="J193" s="46" t="s">
        <v>383</v>
      </c>
      <c r="K193" s="170"/>
      <c r="L193" s="195">
        <v>8.86</v>
      </c>
      <c r="M193" s="203">
        <v>15</v>
      </c>
      <c r="N193" s="203">
        <v>1</v>
      </c>
      <c r="O193" s="61" t="str">
        <f t="shared" ca="1" si="0"/>
        <v>pack (10pcsx33grams)</v>
      </c>
      <c r="P193" s="61" t="s">
        <v>92</v>
      </c>
      <c r="Q193" s="170"/>
      <c r="R193" s="192" t="str">
        <f t="shared" si="20"/>
        <v>1pieces</v>
      </c>
      <c r="S193" s="198">
        <f t="shared" si="1"/>
        <v>15</v>
      </c>
      <c r="T193" s="199" t="str">
        <f t="shared" si="2"/>
        <v>15pieces</v>
      </c>
      <c r="U193" s="200">
        <f t="shared" si="3"/>
        <v>132.89999999999998</v>
      </c>
      <c r="V193" s="12"/>
      <c r="W193" s="12"/>
    </row>
    <row r="194" spans="1:23" x14ac:dyDescent="0.3">
      <c r="A194" s="183" t="e">
        <f ca="1"/>
        <v>#NAME?</v>
      </c>
      <c r="B194" s="194" t="s">
        <v>382</v>
      </c>
      <c r="C194" s="170"/>
      <c r="D194" s="194" t="str">
        <f ca="1">IFERROR(__xludf.DUMMYFUNCTION("IF(J194="""",""n/a"",IFERROR(SPLIT(J194,""/"")))"),"Jack n Jill")</f>
        <v>Jack n Jill</v>
      </c>
      <c r="E194" s="194" t="str">
        <f ca="1">IFERROR(__xludf.DUMMYFUNCTION("""COMPUTED_VALUE"""),"pack (10pcsx33grams)")</f>
        <v>pack (10pcsx33grams)</v>
      </c>
      <c r="F194" s="170"/>
      <c r="G194" s="170"/>
      <c r="H194" s="183" t="s">
        <v>1895</v>
      </c>
      <c r="I194" s="170"/>
      <c r="J194" s="46" t="s">
        <v>383</v>
      </c>
      <c r="K194" s="170"/>
      <c r="L194" s="195">
        <v>6.59</v>
      </c>
      <c r="M194" s="61">
        <v>147</v>
      </c>
      <c r="N194" s="61">
        <v>1</v>
      </c>
      <c r="O194" s="61" t="str">
        <f t="shared" ca="1" si="0"/>
        <v>pack (10pcsx33grams)</v>
      </c>
      <c r="P194" s="61" t="s">
        <v>92</v>
      </c>
      <c r="Q194" s="170"/>
      <c r="R194" s="170"/>
      <c r="S194" s="198">
        <f t="shared" si="1"/>
        <v>147</v>
      </c>
      <c r="T194" s="199" t="str">
        <f t="shared" si="2"/>
        <v>147pieces</v>
      </c>
      <c r="U194" s="200">
        <f t="shared" si="3"/>
        <v>968.73</v>
      </c>
      <c r="V194" s="12"/>
      <c r="W194" s="12"/>
    </row>
    <row r="195" spans="1:23" x14ac:dyDescent="0.3">
      <c r="A195" s="183" t="e">
        <f ca="1"/>
        <v>#NAME?</v>
      </c>
      <c r="B195" s="194" t="s">
        <v>382</v>
      </c>
      <c r="C195" s="170"/>
      <c r="D195" s="194" t="str">
        <f ca="1">IFERROR(__xludf.DUMMYFUNCTION("IF(J195="""",""n/a"",IFERROR(SPLIT(J195,""/"")))"),"n/a")</f>
        <v>n/a</v>
      </c>
      <c r="E195" s="170"/>
      <c r="F195" s="170"/>
      <c r="G195" s="170"/>
      <c r="H195" s="206" t="s">
        <v>1898</v>
      </c>
      <c r="I195" s="170"/>
      <c r="J195" s="170"/>
      <c r="K195" s="170"/>
      <c r="L195" s="197">
        <v>8.2099999999999991</v>
      </c>
      <c r="M195" s="207">
        <v>38</v>
      </c>
      <c r="N195" s="208">
        <v>10</v>
      </c>
      <c r="O195" s="170">
        <f t="shared" si="0"/>
        <v>0</v>
      </c>
      <c r="P195" s="209" t="s">
        <v>92</v>
      </c>
      <c r="Q195" s="170"/>
      <c r="R195" s="170"/>
      <c r="S195" s="198">
        <f t="shared" si="1"/>
        <v>380</v>
      </c>
      <c r="T195" s="199" t="str">
        <f t="shared" si="2"/>
        <v>380pieces</v>
      </c>
      <c r="U195" s="200">
        <f t="shared" si="3"/>
        <v>311.97999999999996</v>
      </c>
      <c r="V195" s="12"/>
      <c r="W195" s="12"/>
    </row>
    <row r="196" spans="1:23" x14ac:dyDescent="0.3">
      <c r="A196" s="183" t="e">
        <f ca="1"/>
        <v>#NAME?</v>
      </c>
      <c r="B196" s="194" t="s">
        <v>580</v>
      </c>
      <c r="C196" s="170"/>
      <c r="D196" s="194" t="str">
        <f ca="1">IFERROR(__xludf.DUMMYFUNCTION("IF(J196="""",""n/a"",IFERROR(SPLIT(J196,""/"")))"),"n/a")</f>
        <v>n/a</v>
      </c>
      <c r="E196" s="170"/>
      <c r="F196" s="170"/>
      <c r="G196" s="170"/>
      <c r="H196" s="206" t="s">
        <v>1898</v>
      </c>
      <c r="I196" s="170"/>
      <c r="J196" s="170"/>
      <c r="K196" s="170"/>
      <c r="L196" s="197">
        <v>9.4</v>
      </c>
      <c r="M196" s="207">
        <v>18</v>
      </c>
      <c r="N196" s="207">
        <v>10</v>
      </c>
      <c r="O196" s="170">
        <f t="shared" si="0"/>
        <v>0</v>
      </c>
      <c r="P196" s="209" t="s">
        <v>92</v>
      </c>
      <c r="Q196" s="170"/>
      <c r="R196" s="170"/>
      <c r="S196" s="198">
        <f t="shared" si="1"/>
        <v>180</v>
      </c>
      <c r="T196" s="199" t="str">
        <f t="shared" si="2"/>
        <v>180pieces</v>
      </c>
      <c r="U196" s="200">
        <f t="shared" si="3"/>
        <v>169.20000000000002</v>
      </c>
      <c r="V196" s="12"/>
      <c r="W196" s="12"/>
    </row>
    <row r="197" spans="1:23" x14ac:dyDescent="0.3">
      <c r="A197" s="183" t="e">
        <f ca="1"/>
        <v>#NAME?</v>
      </c>
      <c r="B197" s="194" t="s">
        <v>384</v>
      </c>
      <c r="C197" s="170"/>
      <c r="D197" s="194" t="str">
        <f ca="1">IFERROR(__xludf.DUMMYFUNCTION("IF(J197="""",""n/a"",IFERROR(SPLIT(J197,""/"")))"),"Jack n Jill")</f>
        <v>Jack n Jill</v>
      </c>
      <c r="E197" s="194" t="str">
        <f ca="1">IFERROR(__xludf.DUMMYFUNCTION("""COMPUTED_VALUE"""),"pack (10x30grams)")</f>
        <v>pack (10x30grams)</v>
      </c>
      <c r="F197" s="170"/>
      <c r="G197" s="170"/>
      <c r="H197" s="183" t="s">
        <v>1895</v>
      </c>
      <c r="I197" s="170"/>
      <c r="J197" s="46" t="s">
        <v>385</v>
      </c>
      <c r="K197" s="170"/>
      <c r="L197" s="195">
        <v>6</v>
      </c>
      <c r="M197" s="61">
        <v>410</v>
      </c>
      <c r="N197" s="61">
        <v>1</v>
      </c>
      <c r="O197" s="61" t="str">
        <f t="shared" ca="1" si="0"/>
        <v>pack (10x30grams)</v>
      </c>
      <c r="P197" s="61" t="s">
        <v>92</v>
      </c>
      <c r="Q197" s="170"/>
      <c r="R197" s="170"/>
      <c r="S197" s="198">
        <f t="shared" si="1"/>
        <v>410</v>
      </c>
      <c r="T197" s="199" t="str">
        <f t="shared" si="2"/>
        <v>410pieces</v>
      </c>
      <c r="U197" s="200">
        <f t="shared" si="3"/>
        <v>2460</v>
      </c>
      <c r="V197" s="12"/>
      <c r="W197" s="12"/>
    </row>
    <row r="198" spans="1:23" x14ac:dyDescent="0.3">
      <c r="A198" s="183" t="e">
        <f ca="1"/>
        <v>#NAME?</v>
      </c>
      <c r="B198" s="194" t="s">
        <v>386</v>
      </c>
      <c r="C198" s="170"/>
      <c r="D198" s="194" t="str">
        <f ca="1">IFERROR(__xludf.DUMMYFUNCTION("IF(J198="""",""n/a"",IFERROR(SPLIT(J198,""/"")))"),"Jack n Jill")</f>
        <v>Jack n Jill</v>
      </c>
      <c r="E198" s="194" t="str">
        <f ca="1">IFERROR(__xludf.DUMMYFUNCTION("""COMPUTED_VALUE"""),"pack (10pcsx30grams)")</f>
        <v>pack (10pcsx30grams)</v>
      </c>
      <c r="F198" s="170"/>
      <c r="G198" s="170"/>
      <c r="H198" s="183" t="s">
        <v>1895</v>
      </c>
      <c r="I198" s="170"/>
      <c r="J198" s="46" t="s">
        <v>387</v>
      </c>
      <c r="K198" s="170"/>
      <c r="L198" s="195">
        <v>7.87</v>
      </c>
      <c r="M198" s="61">
        <v>497</v>
      </c>
      <c r="N198" s="61">
        <v>1</v>
      </c>
      <c r="O198" s="61" t="str">
        <f t="shared" ca="1" si="0"/>
        <v>pack (10pcsx30grams)</v>
      </c>
      <c r="P198" s="61" t="s">
        <v>92</v>
      </c>
      <c r="Q198" s="170"/>
      <c r="R198" s="170"/>
      <c r="S198" s="198">
        <f t="shared" si="1"/>
        <v>497</v>
      </c>
      <c r="T198" s="199" t="str">
        <f t="shared" si="2"/>
        <v>497pieces</v>
      </c>
      <c r="U198" s="200">
        <f t="shared" si="3"/>
        <v>3911.39</v>
      </c>
      <c r="V198" s="12"/>
      <c r="W198" s="12"/>
    </row>
    <row r="199" spans="1:23" x14ac:dyDescent="0.3">
      <c r="A199" s="183" t="e">
        <f ca="1"/>
        <v>#NAME?</v>
      </c>
      <c r="B199" s="194" t="s">
        <v>386</v>
      </c>
      <c r="C199" s="170"/>
      <c r="D199" s="194" t="str">
        <f ca="1">IFERROR(__xludf.DUMMYFUNCTION("IF(J199="""",""n/a"",IFERROR(SPLIT(J199,""/"")))"),"n/a")</f>
        <v>n/a</v>
      </c>
      <c r="E199" s="170"/>
      <c r="F199" s="170"/>
      <c r="G199" s="170"/>
      <c r="H199" s="206" t="s">
        <v>1898</v>
      </c>
      <c r="I199" s="170"/>
      <c r="J199" s="170"/>
      <c r="K199" s="170"/>
      <c r="L199" s="197">
        <v>7.87</v>
      </c>
      <c r="M199" s="207">
        <v>65</v>
      </c>
      <c r="N199" s="208">
        <v>10</v>
      </c>
      <c r="O199" s="170">
        <f t="shared" si="0"/>
        <v>0</v>
      </c>
      <c r="P199" s="209" t="s">
        <v>92</v>
      </c>
      <c r="Q199" s="170"/>
      <c r="R199" s="170"/>
      <c r="S199" s="198">
        <f t="shared" si="1"/>
        <v>650</v>
      </c>
      <c r="T199" s="199" t="str">
        <f t="shared" si="2"/>
        <v>650pieces</v>
      </c>
      <c r="U199" s="200">
        <f t="shared" si="3"/>
        <v>511.55</v>
      </c>
      <c r="V199" s="12"/>
      <c r="W199" s="12"/>
    </row>
    <row r="200" spans="1:23" x14ac:dyDescent="0.3">
      <c r="A200" s="183" t="e">
        <f ca="1"/>
        <v>#NAME?</v>
      </c>
      <c r="B200" s="194" t="s">
        <v>135</v>
      </c>
      <c r="C200" s="170"/>
      <c r="D200" s="194" t="str">
        <f ca="1">IFERROR(__xludf.DUMMYFUNCTION("IF(J200="""",""n/a"",IFERROR(SPLIT(J200,""/"")))"),"Great Taste")</f>
        <v>Great Taste</v>
      </c>
      <c r="E200" s="194" t="str">
        <f ca="1">IFERROR(__xludf.DUMMYFUNCTION("""COMPUTED_VALUE"""),"pack (pcsx26grams)")</f>
        <v>pack (pcsx26grams)</v>
      </c>
      <c r="F200" s="170"/>
      <c r="G200" s="170"/>
      <c r="H200" s="183" t="s">
        <v>1895</v>
      </c>
      <c r="I200" s="170"/>
      <c r="J200" s="46" t="s">
        <v>581</v>
      </c>
      <c r="K200" s="170"/>
      <c r="L200" s="195">
        <v>8.34</v>
      </c>
      <c r="M200" s="61">
        <v>167</v>
      </c>
      <c r="N200" s="61">
        <v>1</v>
      </c>
      <c r="O200" s="61" t="str">
        <f t="shared" ca="1" si="0"/>
        <v>pack (pcsx26grams)</v>
      </c>
      <c r="P200" s="61" t="s">
        <v>92</v>
      </c>
      <c r="Q200" s="170"/>
      <c r="R200" s="170"/>
      <c r="S200" s="198">
        <f t="shared" si="1"/>
        <v>167</v>
      </c>
      <c r="T200" s="199" t="str">
        <f t="shared" si="2"/>
        <v>167pieces</v>
      </c>
      <c r="U200" s="200">
        <f t="shared" si="3"/>
        <v>1392.78</v>
      </c>
      <c r="V200" s="12"/>
      <c r="W200" s="12"/>
    </row>
    <row r="201" spans="1:23" x14ac:dyDescent="0.3">
      <c r="A201" s="183" t="e">
        <f ca="1"/>
        <v>#NAME?</v>
      </c>
      <c r="B201" s="194" t="s">
        <v>582</v>
      </c>
      <c r="C201" s="170"/>
      <c r="D201" s="194" t="str">
        <f ca="1">IFERROR(__xludf.DUMMYFUNCTION("IF(J201="""",""n/a"",IFERROR(SPLIT(J201,""/"")))"),"n/a")</f>
        <v>n/a</v>
      </c>
      <c r="E201" s="170"/>
      <c r="F201" s="170"/>
      <c r="G201" s="170"/>
      <c r="H201" s="206" t="s">
        <v>1898</v>
      </c>
      <c r="I201" s="170"/>
      <c r="J201" s="170"/>
      <c r="K201" s="170"/>
      <c r="L201" s="197">
        <v>0.34453781512605042</v>
      </c>
      <c r="M201" s="208">
        <v>676</v>
      </c>
      <c r="N201" s="208">
        <v>238</v>
      </c>
      <c r="O201" s="170">
        <f t="shared" si="0"/>
        <v>0</v>
      </c>
      <c r="P201" s="61" t="s">
        <v>39</v>
      </c>
      <c r="Q201" s="170"/>
      <c r="R201" s="170"/>
      <c r="S201" s="198">
        <f t="shared" si="1"/>
        <v>160888</v>
      </c>
      <c r="T201" s="199" t="str">
        <f t="shared" si="2"/>
        <v>160888grams</v>
      </c>
      <c r="U201" s="200">
        <f t="shared" si="3"/>
        <v>232.9075630252101</v>
      </c>
      <c r="V201" s="12"/>
      <c r="W201" s="12"/>
    </row>
    <row r="202" spans="1:23" x14ac:dyDescent="0.3">
      <c r="A202" s="183" t="e">
        <f ca="1"/>
        <v>#NAME?</v>
      </c>
      <c r="B202" s="194" t="s">
        <v>583</v>
      </c>
      <c r="C202" s="170"/>
      <c r="D202" s="194" t="str">
        <f ca="1">IFERROR(__xludf.DUMMYFUNCTION("IF(J202="""",""n/a"",IFERROR(SPLIT(J202,""/"")))"),"Ajinomoto")</f>
        <v>Ajinomoto</v>
      </c>
      <c r="E202" s="194" t="str">
        <f ca="1">IFERROR(__xludf.DUMMYFUNCTION("""COMPUTED_VALUE"""),"pack")</f>
        <v>pack</v>
      </c>
      <c r="F202" s="194" t="str">
        <f ca="1">IFERROR(__xludf.DUMMYFUNCTION("""COMPUTED_VALUE"""),"62grams")</f>
        <v>62grams</v>
      </c>
      <c r="G202" s="170"/>
      <c r="H202" s="183" t="s">
        <v>1897</v>
      </c>
      <c r="I202" s="170"/>
      <c r="J202" s="96" t="s">
        <v>584</v>
      </c>
      <c r="K202" s="170"/>
      <c r="L202" s="195">
        <v>0.26935483870967741</v>
      </c>
      <c r="M202" s="223">
        <v>248</v>
      </c>
      <c r="N202" s="223">
        <v>62</v>
      </c>
      <c r="O202" s="61" t="str">
        <f t="shared" ca="1" si="0"/>
        <v>pack</v>
      </c>
      <c r="P202" s="224" t="s">
        <v>39</v>
      </c>
      <c r="Q202" s="170"/>
      <c r="R202" s="192" t="str">
        <f t="shared" ref="R202:R203" si="21">CONCATENATE(N202,P202)</f>
        <v>62grams</v>
      </c>
      <c r="S202" s="198">
        <f t="shared" si="1"/>
        <v>15376</v>
      </c>
      <c r="T202" s="199" t="str">
        <f t="shared" si="2"/>
        <v>15376grams</v>
      </c>
      <c r="U202" s="200">
        <f t="shared" si="3"/>
        <v>66.8</v>
      </c>
      <c r="V202" s="205">
        <f t="shared" ref="V202:V203" si="22">U202/M202</f>
        <v>0.26935483870967741</v>
      </c>
      <c r="W202" s="62"/>
    </row>
    <row r="203" spans="1:23" x14ac:dyDescent="0.3">
      <c r="A203" s="183" t="e">
        <f ca="1"/>
        <v>#NAME?</v>
      </c>
      <c r="B203" s="194" t="s">
        <v>585</v>
      </c>
      <c r="C203" s="170"/>
      <c r="D203" s="194" t="str">
        <f ca="1">IFERROR(__xludf.DUMMYFUNCTION("IF(J203="""",""n/a"",IFERROR(SPLIT(J203,""/"")))"),"My San")</f>
        <v>My San</v>
      </c>
      <c r="E203" s="194" t="str">
        <f ca="1">IFERROR(__xludf.DUMMYFUNCTION("""COMPUTED_VALUE"""),"pack")</f>
        <v>pack</v>
      </c>
      <c r="F203" s="194" t="str">
        <f ca="1">IFERROR(__xludf.DUMMYFUNCTION("""COMPUTED_VALUE"""),"200grams")</f>
        <v>200grams</v>
      </c>
      <c r="G203" s="170"/>
      <c r="H203" s="183" t="s">
        <v>1897</v>
      </c>
      <c r="I203" s="170"/>
      <c r="J203" s="46" t="s">
        <v>586</v>
      </c>
      <c r="K203" s="170"/>
      <c r="L203" s="195">
        <v>0.23499999999999999</v>
      </c>
      <c r="M203" s="203">
        <v>200</v>
      </c>
      <c r="N203" s="203">
        <v>200</v>
      </c>
      <c r="O203" s="61" t="str">
        <f t="shared" ca="1" si="0"/>
        <v>pack</v>
      </c>
      <c r="P203" s="61" t="s">
        <v>39</v>
      </c>
      <c r="Q203" s="61" t="s">
        <v>33</v>
      </c>
      <c r="R203" s="192" t="str">
        <f t="shared" si="21"/>
        <v>200grams</v>
      </c>
      <c r="S203" s="198">
        <f t="shared" si="1"/>
        <v>40000</v>
      </c>
      <c r="T203" s="199" t="str">
        <f t="shared" si="2"/>
        <v>40000 grams</v>
      </c>
      <c r="U203" s="200">
        <f t="shared" si="3"/>
        <v>47</v>
      </c>
      <c r="V203" s="205">
        <f t="shared" si="22"/>
        <v>0.23499999999999999</v>
      </c>
      <c r="W203" s="62"/>
    </row>
    <row r="204" spans="1:23" x14ac:dyDescent="0.3">
      <c r="A204" s="183" t="e">
        <f ca="1"/>
        <v>#NAME?</v>
      </c>
      <c r="B204" s="194" t="s">
        <v>252</v>
      </c>
      <c r="C204" s="170"/>
      <c r="D204" s="194" t="str">
        <f ca="1">IFERROR(__xludf.DUMMYFUNCTION("IF(J204="""",""n/a"",IFERROR(SPLIT(J204,""/"")))"),"Robinson ")</f>
        <v xml:space="preserve">Robinson </v>
      </c>
      <c r="E204" s="194" t="str">
        <f ca="1">IFERROR(__xludf.DUMMYFUNCTION("""COMPUTED_VALUE"""),"pack")</f>
        <v>pack</v>
      </c>
      <c r="F204" s="194" t="str">
        <f ca="1">IFERROR(__xludf.DUMMYFUNCTION("""COMPUTED_VALUE"""),"20grams")</f>
        <v>20grams</v>
      </c>
      <c r="G204" s="170"/>
      <c r="H204" s="183" t="s">
        <v>1895</v>
      </c>
      <c r="I204" s="170"/>
      <c r="J204" s="46" t="s">
        <v>253</v>
      </c>
      <c r="K204" s="170"/>
      <c r="L204" s="195">
        <v>18.25</v>
      </c>
      <c r="M204" s="61">
        <v>2</v>
      </c>
      <c r="N204" s="61">
        <v>1</v>
      </c>
      <c r="O204" s="61" t="str">
        <f t="shared" ca="1" si="0"/>
        <v>pack</v>
      </c>
      <c r="P204" s="61" t="s">
        <v>39</v>
      </c>
      <c r="Q204" s="170"/>
      <c r="R204" s="170"/>
      <c r="S204" s="198">
        <f t="shared" si="1"/>
        <v>2</v>
      </c>
      <c r="T204" s="199" t="str">
        <f t="shared" si="2"/>
        <v>2grams</v>
      </c>
      <c r="U204" s="200">
        <f t="shared" si="3"/>
        <v>36.5</v>
      </c>
      <c r="V204" s="12"/>
      <c r="W204" s="12"/>
    </row>
    <row r="205" spans="1:23" x14ac:dyDescent="0.3">
      <c r="A205" s="183" t="e">
        <f ca="1"/>
        <v>#NAME?</v>
      </c>
      <c r="B205" s="194" t="s">
        <v>252</v>
      </c>
      <c r="C205" s="170"/>
      <c r="D205" s="194" t="str">
        <f ca="1">IFERROR(__xludf.DUMMYFUNCTION("IF(J205="""",""n/a"",IFERROR(SPLIT(J205,""/"")))"),"n/a")</f>
        <v>n/a</v>
      </c>
      <c r="E205" s="170"/>
      <c r="F205" s="170"/>
      <c r="G205" s="170"/>
      <c r="H205" s="206" t="s">
        <v>1898</v>
      </c>
      <c r="I205" s="170"/>
      <c r="J205" s="170"/>
      <c r="K205" s="170"/>
      <c r="L205" s="197">
        <v>0.91249999999999998</v>
      </c>
      <c r="M205" s="207">
        <v>40</v>
      </c>
      <c r="N205" s="208">
        <v>20</v>
      </c>
      <c r="O205" s="170">
        <f t="shared" si="0"/>
        <v>0</v>
      </c>
      <c r="P205" s="61" t="s">
        <v>39</v>
      </c>
      <c r="Q205" s="170"/>
      <c r="R205" s="170"/>
      <c r="S205" s="198">
        <f t="shared" si="1"/>
        <v>800</v>
      </c>
      <c r="T205" s="199" t="str">
        <f t="shared" si="2"/>
        <v>800grams</v>
      </c>
      <c r="U205" s="200">
        <f t="shared" si="3"/>
        <v>36.5</v>
      </c>
      <c r="V205" s="12"/>
      <c r="W205" s="12"/>
    </row>
    <row r="206" spans="1:23" x14ac:dyDescent="0.3">
      <c r="A206" s="183" t="e">
        <f ca="1"/>
        <v>#NAME?</v>
      </c>
      <c r="B206" s="194" t="s">
        <v>345</v>
      </c>
      <c r="C206" s="170"/>
      <c r="D206" s="194" t="str">
        <f ca="1">IFERROR(__xludf.DUMMYFUNCTION("IF(J206="""",""n/a"",IFERROR(SPLIT(J206,""/"")))"),"Cupcake Holder")</f>
        <v>Cupcake Holder</v>
      </c>
      <c r="E206" s="170"/>
      <c r="F206" s="170"/>
      <c r="G206" s="170"/>
      <c r="H206" s="183" t="s">
        <v>1895</v>
      </c>
      <c r="I206" s="170"/>
      <c r="J206" s="46" t="s">
        <v>346</v>
      </c>
      <c r="K206" s="170"/>
      <c r="L206" s="195">
        <v>1.25</v>
      </c>
      <c r="M206" s="61">
        <v>300</v>
      </c>
      <c r="N206" s="61">
        <v>1</v>
      </c>
      <c r="O206" s="170">
        <f t="shared" si="0"/>
        <v>0</v>
      </c>
      <c r="P206" s="61" t="s">
        <v>92</v>
      </c>
      <c r="Q206" s="170"/>
      <c r="R206" s="170"/>
      <c r="S206" s="198">
        <f t="shared" si="1"/>
        <v>300</v>
      </c>
      <c r="T206" s="199" t="str">
        <f t="shared" si="2"/>
        <v>300pieces</v>
      </c>
      <c r="U206" s="200">
        <f t="shared" si="3"/>
        <v>375</v>
      </c>
      <c r="V206" s="12"/>
      <c r="W206" s="12"/>
    </row>
    <row r="207" spans="1:23" x14ac:dyDescent="0.3">
      <c r="A207" s="183" t="e">
        <f ca="1"/>
        <v>#NAME?</v>
      </c>
      <c r="B207" s="194" t="s">
        <v>322</v>
      </c>
      <c r="C207" s="170"/>
      <c r="D207" s="194" t="str">
        <f ca="1">IFERROR(__xludf.DUMMYFUNCTION("IF(J207="""",""n/a"",IFERROR(SPLIT(J207,""/"")))"),"Lucky Me")</f>
        <v>Lucky Me</v>
      </c>
      <c r="E207" s="194" t="str">
        <f ca="1">IFERROR(__xludf.DUMMYFUNCTION("""COMPUTED_VALUE"""),"box (48pcsx40grams)")</f>
        <v>box (48pcsx40grams)</v>
      </c>
      <c r="F207" s="170"/>
      <c r="G207" s="170"/>
      <c r="H207" s="183" t="s">
        <v>1895</v>
      </c>
      <c r="I207" s="170"/>
      <c r="J207" s="46" t="s">
        <v>323</v>
      </c>
      <c r="K207" s="170"/>
      <c r="L207" s="195">
        <v>24.94</v>
      </c>
      <c r="M207" s="61">
        <v>48</v>
      </c>
      <c r="N207" s="61">
        <v>1</v>
      </c>
      <c r="O207" s="61" t="str">
        <f t="shared" ca="1" si="0"/>
        <v>box (48pcsx40grams)</v>
      </c>
      <c r="P207" s="61" t="s">
        <v>92</v>
      </c>
      <c r="Q207" s="170"/>
      <c r="R207" s="170"/>
      <c r="S207" s="198">
        <f t="shared" si="1"/>
        <v>48</v>
      </c>
      <c r="T207" s="199" t="str">
        <f t="shared" si="2"/>
        <v>48pieces</v>
      </c>
      <c r="U207" s="200">
        <f t="shared" si="3"/>
        <v>1197.1200000000001</v>
      </c>
      <c r="V207" s="12"/>
      <c r="W207" s="12"/>
    </row>
    <row r="208" spans="1:23" x14ac:dyDescent="0.3">
      <c r="A208" s="183" t="e">
        <f ca="1"/>
        <v>#NAME?</v>
      </c>
      <c r="B208" s="194" t="s">
        <v>324</v>
      </c>
      <c r="C208" s="170"/>
      <c r="D208" s="194" t="str">
        <f ca="1">IFERROR(__xludf.DUMMYFUNCTION("IF(J208="""",""n/a"",IFERROR(SPLIT(J208,""/"")))"),"Lucky Me")</f>
        <v>Lucky Me</v>
      </c>
      <c r="E208" s="194" t="str">
        <f ca="1">IFERROR(__xludf.DUMMYFUNCTION("""COMPUTED_VALUE"""),"box (48pcsx40grams)")</f>
        <v>box (48pcsx40grams)</v>
      </c>
      <c r="F208" s="170"/>
      <c r="G208" s="170"/>
      <c r="H208" s="183" t="s">
        <v>1895</v>
      </c>
      <c r="I208" s="170"/>
      <c r="J208" s="46" t="s">
        <v>323</v>
      </c>
      <c r="K208" s="170"/>
      <c r="L208" s="195">
        <v>24.77</v>
      </c>
      <c r="M208" s="61">
        <v>48</v>
      </c>
      <c r="N208" s="61">
        <v>1</v>
      </c>
      <c r="O208" s="61" t="str">
        <f t="shared" ca="1" si="0"/>
        <v>box (48pcsx40grams)</v>
      </c>
      <c r="P208" s="61" t="s">
        <v>92</v>
      </c>
      <c r="Q208" s="170"/>
      <c r="R208" s="170"/>
      <c r="S208" s="198">
        <f t="shared" si="1"/>
        <v>48</v>
      </c>
      <c r="T208" s="199" t="str">
        <f t="shared" si="2"/>
        <v>48pieces</v>
      </c>
      <c r="U208" s="200">
        <f t="shared" si="3"/>
        <v>1188.96</v>
      </c>
      <c r="V208" s="12"/>
      <c r="W208" s="12"/>
    </row>
    <row r="209" spans="1:23" x14ac:dyDescent="0.3">
      <c r="A209" s="183" t="e">
        <f ca="1"/>
        <v>#NAME?</v>
      </c>
      <c r="B209" s="194" t="s">
        <v>307</v>
      </c>
      <c r="C209" s="170"/>
      <c r="D209" s="194" t="str">
        <f ca="1">IFERROR(__xludf.DUMMYFUNCTION("IF(J209="""",""n/a"",IFERROR(SPLIT(J209,""/"")))"),"bar")</f>
        <v>bar</v>
      </c>
      <c r="E209" s="194" t="str">
        <f ca="1">IFERROR(__xludf.DUMMYFUNCTION("""COMPUTED_VALUE"""),"1000grams")</f>
        <v>1000grams</v>
      </c>
      <c r="F209" s="170"/>
      <c r="G209" s="170"/>
      <c r="H209" s="183" t="s">
        <v>1895</v>
      </c>
      <c r="I209" s="170"/>
      <c r="J209" s="46" t="s">
        <v>308</v>
      </c>
      <c r="K209" s="170"/>
      <c r="L209" s="195">
        <v>220</v>
      </c>
      <c r="M209" s="61">
        <v>2</v>
      </c>
      <c r="N209" s="61">
        <v>1</v>
      </c>
      <c r="O209" s="61" t="str">
        <f t="shared" ca="1" si="0"/>
        <v>1000grams</v>
      </c>
      <c r="P209" s="61" t="s">
        <v>39</v>
      </c>
      <c r="Q209" s="170"/>
      <c r="R209" s="170"/>
      <c r="S209" s="198">
        <f t="shared" si="1"/>
        <v>2</v>
      </c>
      <c r="T209" s="199" t="str">
        <f t="shared" si="2"/>
        <v>2grams</v>
      </c>
      <c r="U209" s="200">
        <f t="shared" si="3"/>
        <v>440</v>
      </c>
      <c r="V209" s="12"/>
      <c r="W209" s="12"/>
    </row>
    <row r="210" spans="1:23" x14ac:dyDescent="0.3">
      <c r="A210" s="183" t="e">
        <f ca="1"/>
        <v>#NAME?</v>
      </c>
      <c r="B210" s="194" t="s">
        <v>254</v>
      </c>
      <c r="C210" s="170"/>
      <c r="D210" s="194" t="str">
        <f ca="1">IFERROR(__xludf.DUMMYFUNCTION("IF(J210="""",""n/a"",IFERROR(SPLIT(J210,""/"")))"),"Mama")</f>
        <v>Mama</v>
      </c>
      <c r="E210" s="194" t="str">
        <f ca="1">IFERROR(__xludf.DUMMYFUNCTION("""COMPUTED_VALUE"""),"canister")</f>
        <v>canister</v>
      </c>
      <c r="F210" s="194" t="str">
        <f ca="1">IFERROR(__xludf.DUMMYFUNCTION("""COMPUTED_VALUE"""),"1000grams")</f>
        <v>1000grams</v>
      </c>
      <c r="G210" s="170"/>
      <c r="H210" s="183" t="s">
        <v>1897</v>
      </c>
      <c r="I210" s="170"/>
      <c r="J210" s="46" t="s">
        <v>587</v>
      </c>
      <c r="K210" s="170"/>
      <c r="L210" s="195">
        <v>0.22</v>
      </c>
      <c r="M210" s="203">
        <v>1000</v>
      </c>
      <c r="N210" s="203">
        <v>1000</v>
      </c>
      <c r="O210" s="61" t="str">
        <f t="shared" ca="1" si="0"/>
        <v>canister</v>
      </c>
      <c r="P210" s="61" t="s">
        <v>39</v>
      </c>
      <c r="Q210" s="170"/>
      <c r="R210" s="192" t="str">
        <f t="shared" ref="R210:R211" si="23">CONCATENATE(N210,P210)</f>
        <v>1000grams</v>
      </c>
      <c r="S210" s="198">
        <f t="shared" si="1"/>
        <v>1000000</v>
      </c>
      <c r="T210" s="199" t="str">
        <f t="shared" si="2"/>
        <v>1000000grams</v>
      </c>
      <c r="U210" s="200">
        <f t="shared" si="3"/>
        <v>220</v>
      </c>
      <c r="V210" s="205">
        <f t="shared" ref="V210:V211" si="24">U210/M210</f>
        <v>0.22</v>
      </c>
      <c r="W210" s="62"/>
    </row>
    <row r="211" spans="1:23" x14ac:dyDescent="0.3">
      <c r="A211" s="183" t="e">
        <f ca="1"/>
        <v>#NAME?</v>
      </c>
      <c r="B211" s="194" t="s">
        <v>254</v>
      </c>
      <c r="C211" s="170"/>
      <c r="D211" s="194" t="str">
        <f ca="1">IFERROR(__xludf.DUMMYFUNCTION("IF(J211="""",""n/a"",IFERROR(SPLIT(J211,""/"")))"),"S8 Greatbuy")</f>
        <v>S8 Greatbuy</v>
      </c>
      <c r="E211" s="194" t="str">
        <f ca="1">IFERROR(__xludf.DUMMYFUNCTION("""COMPUTED_VALUE"""),"pack")</f>
        <v>pack</v>
      </c>
      <c r="F211" s="194" t="str">
        <f ca="1">IFERROR(__xludf.DUMMYFUNCTION("""COMPUTED_VALUE"""),"30grams")</f>
        <v>30grams</v>
      </c>
      <c r="G211" s="170"/>
      <c r="H211" s="183" t="s">
        <v>1897</v>
      </c>
      <c r="I211" s="170"/>
      <c r="J211" s="46" t="s">
        <v>588</v>
      </c>
      <c r="K211" s="170"/>
      <c r="L211" s="197">
        <v>1.06</v>
      </c>
      <c r="M211" s="203">
        <v>150</v>
      </c>
      <c r="N211" s="203">
        <v>30</v>
      </c>
      <c r="O211" s="61" t="str">
        <f t="shared" ca="1" si="0"/>
        <v>pack</v>
      </c>
      <c r="P211" s="61" t="s">
        <v>39</v>
      </c>
      <c r="Q211" s="170"/>
      <c r="R211" s="192" t="str">
        <f t="shared" si="23"/>
        <v>30grams</v>
      </c>
      <c r="S211" s="198">
        <f t="shared" si="1"/>
        <v>4500</v>
      </c>
      <c r="T211" s="199" t="str">
        <f t="shared" si="2"/>
        <v>4500grams</v>
      </c>
      <c r="U211" s="200">
        <f t="shared" si="3"/>
        <v>159</v>
      </c>
      <c r="V211" s="205">
        <f t="shared" si="24"/>
        <v>1.06</v>
      </c>
      <c r="W211" s="62"/>
    </row>
    <row r="212" spans="1:23" x14ac:dyDescent="0.3">
      <c r="A212" s="183" t="e">
        <f ca="1"/>
        <v>#NAME?</v>
      </c>
      <c r="B212" s="194" t="s">
        <v>254</v>
      </c>
      <c r="C212" s="170"/>
      <c r="D212" s="194" t="str">
        <f ca="1">IFERROR(__xludf.DUMMYFUNCTION("IF(J212="""",""n/a"",IFERROR(SPLIT(J212,""/"")))"),"Pure Basic")</f>
        <v>Pure Basic</v>
      </c>
      <c r="E212" s="194" t="str">
        <f ca="1">IFERROR(__xludf.DUMMYFUNCTION("""COMPUTED_VALUE"""),"pack")</f>
        <v>pack</v>
      </c>
      <c r="F212" s="194" t="str">
        <f ca="1">IFERROR(__xludf.DUMMYFUNCTION("""COMPUTED_VALUE"""),"50grams")</f>
        <v>50grams</v>
      </c>
      <c r="G212" s="170"/>
      <c r="H212" s="183" t="s">
        <v>1895</v>
      </c>
      <c r="I212" s="170"/>
      <c r="J212" s="46" t="s">
        <v>255</v>
      </c>
      <c r="K212" s="170"/>
      <c r="L212" s="195">
        <v>113</v>
      </c>
      <c r="M212" s="61">
        <v>7</v>
      </c>
      <c r="N212" s="61">
        <v>1</v>
      </c>
      <c r="O212" s="61" t="str">
        <f t="shared" ca="1" si="0"/>
        <v>pack</v>
      </c>
      <c r="P212" s="61" t="s">
        <v>39</v>
      </c>
      <c r="Q212" s="170"/>
      <c r="R212" s="170"/>
      <c r="S212" s="198">
        <f t="shared" si="1"/>
        <v>7</v>
      </c>
      <c r="T212" s="199" t="str">
        <f t="shared" si="2"/>
        <v>7grams</v>
      </c>
      <c r="U212" s="200">
        <f t="shared" si="3"/>
        <v>791</v>
      </c>
      <c r="V212" s="12"/>
      <c r="W212" s="12"/>
    </row>
    <row r="213" spans="1:23" x14ac:dyDescent="0.3">
      <c r="A213" s="183" t="e">
        <f ca="1"/>
        <v>#NAME?</v>
      </c>
      <c r="B213" s="194" t="s">
        <v>309</v>
      </c>
      <c r="C213" s="170"/>
      <c r="D213" s="194" t="str">
        <f ca="1">IFERROR(__xludf.DUMMYFUNCTION("IF(J213="""",""n/a"",IFERROR(SPLIT(J213,""/"")))"),"Marutomo")</f>
        <v>Marutomo</v>
      </c>
      <c r="E213" s="170"/>
      <c r="F213" s="170"/>
      <c r="G213" s="170"/>
      <c r="H213" s="183" t="s">
        <v>1895</v>
      </c>
      <c r="I213" s="170"/>
      <c r="J213" s="46" t="s">
        <v>310</v>
      </c>
      <c r="K213" s="170"/>
      <c r="L213" s="195">
        <v>450</v>
      </c>
      <c r="M213" s="61">
        <v>1</v>
      </c>
      <c r="N213" s="61">
        <v>1</v>
      </c>
      <c r="O213" s="170">
        <f t="shared" si="0"/>
        <v>0</v>
      </c>
      <c r="P213" s="61" t="s">
        <v>39</v>
      </c>
      <c r="Q213" s="170"/>
      <c r="R213" s="170"/>
      <c r="S213" s="198">
        <f t="shared" si="1"/>
        <v>1</v>
      </c>
      <c r="T213" s="199" t="str">
        <f t="shared" si="2"/>
        <v>1grams</v>
      </c>
      <c r="U213" s="200">
        <f t="shared" si="3"/>
        <v>450</v>
      </c>
      <c r="V213" s="12"/>
      <c r="W213" s="12"/>
    </row>
    <row r="214" spans="1:23" x14ac:dyDescent="0.3">
      <c r="A214" s="183" t="e">
        <f ca="1"/>
        <v>#NAME?</v>
      </c>
      <c r="B214" s="194" t="s">
        <v>309</v>
      </c>
      <c r="C214" s="170"/>
      <c r="D214" s="194" t="str">
        <f ca="1">IFERROR(__xludf.DUMMYFUNCTION("IF(J214="""",""n/a"",IFERROR(SPLIT(J214,""/"")))"),"n/a")</f>
        <v>n/a</v>
      </c>
      <c r="E214" s="170"/>
      <c r="F214" s="170"/>
      <c r="G214" s="170"/>
      <c r="H214" s="206" t="s">
        <v>1898</v>
      </c>
      <c r="I214" s="170"/>
      <c r="J214" s="170"/>
      <c r="K214" s="170"/>
      <c r="L214" s="197">
        <v>0.56000000000000005</v>
      </c>
      <c r="M214" s="208">
        <v>500</v>
      </c>
      <c r="N214" s="208">
        <v>500</v>
      </c>
      <c r="O214" s="170">
        <f t="shared" si="0"/>
        <v>0</v>
      </c>
      <c r="P214" s="61" t="s">
        <v>39</v>
      </c>
      <c r="Q214" s="170"/>
      <c r="R214" s="170"/>
      <c r="S214" s="198">
        <f t="shared" si="1"/>
        <v>250000</v>
      </c>
      <c r="T214" s="199" t="str">
        <f t="shared" si="2"/>
        <v>250000grams</v>
      </c>
      <c r="U214" s="200">
        <f t="shared" si="3"/>
        <v>280</v>
      </c>
      <c r="V214" s="12"/>
      <c r="W214" s="12"/>
    </row>
    <row r="215" spans="1:23" x14ac:dyDescent="0.3">
      <c r="A215" s="183" t="e">
        <f ca="1"/>
        <v>#NAME?</v>
      </c>
      <c r="B215" s="194" t="s">
        <v>388</v>
      </c>
      <c r="C215" s="170"/>
      <c r="D215" s="194" t="str">
        <f ca="1">IFERROR(__xludf.DUMMYFUNCTION("IF(J215="""",""n/a"",IFERROR(SPLIT(J215,""/"")))"),"Jack n Jill")</f>
        <v>Jack n Jill</v>
      </c>
      <c r="E215" s="194" t="str">
        <f ca="1">IFERROR(__xludf.DUMMYFUNCTION("""COMPUTED_VALUE"""),"pack (10x33 grams)")</f>
        <v>pack (10x33 grams)</v>
      </c>
      <c r="F215" s="170"/>
      <c r="G215" s="170"/>
      <c r="H215" s="183" t="s">
        <v>1895</v>
      </c>
      <c r="I215" s="170"/>
      <c r="J215" s="46" t="s">
        <v>389</v>
      </c>
      <c r="K215" s="170"/>
      <c r="L215" s="195">
        <v>7.15</v>
      </c>
      <c r="M215" s="61">
        <v>400</v>
      </c>
      <c r="N215" s="61">
        <v>1</v>
      </c>
      <c r="O215" s="61" t="str">
        <f t="shared" ca="1" si="0"/>
        <v>pack (10x33 grams)</v>
      </c>
      <c r="P215" s="61" t="s">
        <v>92</v>
      </c>
      <c r="Q215" s="170"/>
      <c r="R215" s="170"/>
      <c r="S215" s="198">
        <f t="shared" si="1"/>
        <v>400</v>
      </c>
      <c r="T215" s="199" t="str">
        <f t="shared" si="2"/>
        <v>400pieces</v>
      </c>
      <c r="U215" s="200">
        <f t="shared" si="3"/>
        <v>2860</v>
      </c>
      <c r="V215" s="12"/>
      <c r="W215" s="12"/>
    </row>
    <row r="216" spans="1:23" x14ac:dyDescent="0.3">
      <c r="A216" s="183" t="e">
        <f ca="1"/>
        <v>#NAME?</v>
      </c>
      <c r="B216" s="194" t="s">
        <v>390</v>
      </c>
      <c r="C216" s="170"/>
      <c r="D216" s="194" t="str">
        <f ca="1">IFERROR(__xludf.DUMMYFUNCTION("IF(J216="""",""n/a"",IFERROR(SPLIT(J216,""/"")))"),"Jack n Jill")</f>
        <v>Jack n Jill</v>
      </c>
      <c r="E216" s="194" t="str">
        <f ca="1">IFERROR(__xludf.DUMMYFUNCTION("""COMPUTED_VALUE"""),"pack (10pcsx")</f>
        <v>pack (10pcsx</v>
      </c>
      <c r="F216" s="194" t="str">
        <f ca="1">IFERROR(__xludf.DUMMYFUNCTION("""COMPUTED_VALUE"""),"2grams)")</f>
        <v>2grams)</v>
      </c>
      <c r="G216" s="170"/>
      <c r="H216" s="183" t="s">
        <v>1897</v>
      </c>
      <c r="I216" s="170"/>
      <c r="J216" s="46" t="s">
        <v>391</v>
      </c>
      <c r="K216" s="170"/>
      <c r="L216" s="202">
        <v>7.26</v>
      </c>
      <c r="M216" s="203">
        <v>19</v>
      </c>
      <c r="N216" s="203">
        <v>1</v>
      </c>
      <c r="O216" s="61" t="str">
        <f t="shared" ca="1" si="0"/>
        <v>pack (10pcsx</v>
      </c>
      <c r="P216" s="61" t="s">
        <v>92</v>
      </c>
      <c r="Q216" s="170"/>
      <c r="R216" s="192" t="str">
        <f>CONCATENATE(N216,P216)</f>
        <v>1pieces</v>
      </c>
      <c r="S216" s="198">
        <f t="shared" si="1"/>
        <v>19</v>
      </c>
      <c r="T216" s="199" t="str">
        <f t="shared" si="2"/>
        <v>19pieces</v>
      </c>
      <c r="U216" s="200">
        <f t="shared" si="3"/>
        <v>137.94</v>
      </c>
      <c r="V216" s="12"/>
      <c r="W216" s="12"/>
    </row>
    <row r="217" spans="1:23" x14ac:dyDescent="0.3">
      <c r="A217" s="183" t="e">
        <f ca="1"/>
        <v>#NAME?</v>
      </c>
      <c r="B217" s="194" t="s">
        <v>390</v>
      </c>
      <c r="C217" s="170"/>
      <c r="D217" s="194" t="str">
        <f ca="1">IFERROR(__xludf.DUMMYFUNCTION("IF(J217="""",""n/a"",IFERROR(SPLIT(J217,""/"")))"),"Jack n Jill")</f>
        <v>Jack n Jill</v>
      </c>
      <c r="E217" s="194" t="str">
        <f ca="1">IFERROR(__xludf.DUMMYFUNCTION("""COMPUTED_VALUE"""),"pack (10pcsx")</f>
        <v>pack (10pcsx</v>
      </c>
      <c r="F217" s="194" t="str">
        <f ca="1">IFERROR(__xludf.DUMMYFUNCTION("""COMPUTED_VALUE"""),"2grams)")</f>
        <v>2grams)</v>
      </c>
      <c r="G217" s="170"/>
      <c r="H217" s="183" t="s">
        <v>1895</v>
      </c>
      <c r="I217" s="170"/>
      <c r="J217" s="46" t="s">
        <v>391</v>
      </c>
      <c r="K217" s="170"/>
      <c r="L217" s="195">
        <v>7.89</v>
      </c>
      <c r="M217" s="61">
        <v>440</v>
      </c>
      <c r="N217" s="61">
        <v>1</v>
      </c>
      <c r="O217" s="61" t="str">
        <f t="shared" ca="1" si="0"/>
        <v>pack (10pcsx</v>
      </c>
      <c r="P217" s="61" t="s">
        <v>92</v>
      </c>
      <c r="Q217" s="170"/>
      <c r="R217" s="170"/>
      <c r="S217" s="198">
        <f t="shared" si="1"/>
        <v>440</v>
      </c>
      <c r="T217" s="199" t="str">
        <f t="shared" si="2"/>
        <v>440pieces</v>
      </c>
      <c r="U217" s="200">
        <f t="shared" si="3"/>
        <v>3471.6</v>
      </c>
      <c r="V217" s="12"/>
      <c r="W217" s="12"/>
    </row>
    <row r="218" spans="1:23" x14ac:dyDescent="0.3">
      <c r="A218" s="183" t="e">
        <f ca="1"/>
        <v>#NAME?</v>
      </c>
      <c r="B218" s="214" t="s">
        <v>198</v>
      </c>
      <c r="C218" s="215"/>
      <c r="D218" s="194" t="str">
        <f ca="1">IFERROR(__xludf.DUMMYFUNCTION("IF(J218="""",""n/a"",IFERROR(SPLIT(J218,""/"")))"),"Quinriv")</f>
        <v>Quinriv</v>
      </c>
      <c r="E218" s="215"/>
      <c r="F218" s="215"/>
      <c r="G218" s="215"/>
      <c r="H218" s="183" t="s">
        <v>1895</v>
      </c>
      <c r="I218" s="170"/>
      <c r="J218" s="46" t="s">
        <v>199</v>
      </c>
      <c r="K218" s="170"/>
      <c r="L218" s="195">
        <v>309</v>
      </c>
      <c r="M218" s="61">
        <v>16</v>
      </c>
      <c r="N218" s="61">
        <v>1</v>
      </c>
      <c r="O218" s="170">
        <f t="shared" si="0"/>
        <v>0</v>
      </c>
      <c r="P218" s="61" t="s">
        <v>200</v>
      </c>
      <c r="Q218" s="170"/>
      <c r="R218" s="170"/>
      <c r="S218" s="198">
        <f t="shared" si="1"/>
        <v>16</v>
      </c>
      <c r="T218" s="199" t="str">
        <f t="shared" si="2"/>
        <v>16gal</v>
      </c>
      <c r="U218" s="200">
        <f t="shared" si="3"/>
        <v>4944</v>
      </c>
      <c r="V218" s="12"/>
      <c r="W218" s="12"/>
    </row>
    <row r="219" spans="1:23" x14ac:dyDescent="0.3">
      <c r="A219" s="183" t="e">
        <f ca="1"/>
        <v>#NAME?</v>
      </c>
      <c r="B219" s="194" t="s">
        <v>589</v>
      </c>
      <c r="C219" s="170"/>
      <c r="D219" s="194" t="str">
        <f ca="1">IFERROR(__xludf.DUMMYFUNCTION("IF(J219="""",""n/a"",IFERROR(SPLIT(J219,""/"")))"),"n/a")</f>
        <v>n/a</v>
      </c>
      <c r="E219" s="170"/>
      <c r="F219" s="170"/>
      <c r="G219" s="170"/>
      <c r="H219" s="206" t="s">
        <v>1898</v>
      </c>
      <c r="I219" s="170"/>
      <c r="J219" s="170"/>
      <c r="K219" s="170"/>
      <c r="L219" s="197">
        <v>0.32</v>
      </c>
      <c r="M219" s="207">
        <v>1300</v>
      </c>
      <c r="N219" s="208">
        <v>1000</v>
      </c>
      <c r="O219" s="170">
        <f t="shared" si="0"/>
        <v>0</v>
      </c>
      <c r="P219" s="61" t="s">
        <v>39</v>
      </c>
      <c r="Q219" s="170"/>
      <c r="R219" s="170"/>
      <c r="S219" s="198">
        <f t="shared" si="1"/>
        <v>1300000</v>
      </c>
      <c r="T219" s="199" t="str">
        <f t="shared" si="2"/>
        <v>1300000grams</v>
      </c>
      <c r="U219" s="200">
        <f t="shared" si="3"/>
        <v>416</v>
      </c>
      <c r="V219" s="12"/>
      <c r="W219" s="12"/>
    </row>
    <row r="220" spans="1:23" x14ac:dyDescent="0.3">
      <c r="A220" s="183" t="e">
        <f ca="1"/>
        <v>#NAME?</v>
      </c>
      <c r="B220" s="194" t="s">
        <v>590</v>
      </c>
      <c r="C220" s="170"/>
      <c r="D220" s="194" t="str">
        <f ca="1">IFERROR(__xludf.DUMMYFUNCTION("IF(J220="""",""n/a"",IFERROR(SPLIT(J220,""/"")))"),"pack")</f>
        <v>pack</v>
      </c>
      <c r="E220" s="194" t="str">
        <f ca="1">IFERROR(__xludf.DUMMYFUNCTION("""COMPUTED_VALUE"""),"1000grams")</f>
        <v>1000grams</v>
      </c>
      <c r="F220" s="170"/>
      <c r="G220" s="170"/>
      <c r="H220" s="183" t="s">
        <v>1897</v>
      </c>
      <c r="I220" s="170"/>
      <c r="J220" s="46" t="s">
        <v>51</v>
      </c>
      <c r="K220" s="170"/>
      <c r="L220" s="202">
        <v>0.625</v>
      </c>
      <c r="M220" s="203">
        <v>250</v>
      </c>
      <c r="N220" s="203">
        <v>1000</v>
      </c>
      <c r="O220" s="61" t="str">
        <f t="shared" ca="1" si="0"/>
        <v>1000grams</v>
      </c>
      <c r="P220" s="61" t="s">
        <v>39</v>
      </c>
      <c r="Q220" s="170"/>
      <c r="R220" s="192" t="str">
        <f>CONCATENATE(N220,P220)</f>
        <v>1000grams</v>
      </c>
      <c r="S220" s="198">
        <f t="shared" si="1"/>
        <v>250000</v>
      </c>
      <c r="T220" s="199" t="str">
        <f t="shared" si="2"/>
        <v>250000grams</v>
      </c>
      <c r="U220" s="200">
        <f t="shared" si="3"/>
        <v>156.25</v>
      </c>
      <c r="V220" s="12"/>
      <c r="W220" s="12"/>
    </row>
    <row r="221" spans="1:23" x14ac:dyDescent="0.3">
      <c r="A221" s="183" t="e">
        <f ca="1"/>
        <v>#NAME?</v>
      </c>
      <c r="B221" s="194" t="s">
        <v>590</v>
      </c>
      <c r="C221" s="170"/>
      <c r="D221" s="194" t="str">
        <f ca="1">IFERROR(__xludf.DUMMYFUNCTION("IF(J221="""",""n/a"",IFERROR(SPLIT(J221,""/"")))"),"n/a")</f>
        <v>n/a</v>
      </c>
      <c r="E221" s="170"/>
      <c r="F221" s="170"/>
      <c r="G221" s="170"/>
      <c r="H221" s="206" t="s">
        <v>1898</v>
      </c>
      <c r="I221" s="170"/>
      <c r="J221" s="170"/>
      <c r="K221" s="170"/>
      <c r="L221" s="197">
        <v>0.35</v>
      </c>
      <c r="M221" s="208">
        <v>100</v>
      </c>
      <c r="N221" s="208">
        <v>1000</v>
      </c>
      <c r="O221" s="170">
        <f t="shared" si="0"/>
        <v>0</v>
      </c>
      <c r="P221" s="61" t="s">
        <v>39</v>
      </c>
      <c r="Q221" s="170"/>
      <c r="R221" s="170"/>
      <c r="S221" s="198">
        <f t="shared" si="1"/>
        <v>100000</v>
      </c>
      <c r="T221" s="199" t="str">
        <f t="shared" si="2"/>
        <v>100000grams</v>
      </c>
      <c r="U221" s="200">
        <f t="shared" si="3"/>
        <v>35</v>
      </c>
      <c r="V221" s="12"/>
      <c r="W221" s="12"/>
    </row>
    <row r="222" spans="1:23" x14ac:dyDescent="0.3">
      <c r="A222" s="183" t="e">
        <f ca="1"/>
        <v>#NAME?</v>
      </c>
      <c r="B222" s="194" t="s">
        <v>591</v>
      </c>
      <c r="C222" s="170"/>
      <c r="D222" s="194" t="str">
        <f ca="1">IFERROR(__xludf.DUMMYFUNCTION("IF(J222="""",""n/a"",IFERROR(SPLIT(J222,""/"")))"),"100grams per pc")</f>
        <v>100grams per pc</v>
      </c>
      <c r="E222" s="170"/>
      <c r="F222" s="170"/>
      <c r="G222" s="170"/>
      <c r="H222" s="183" t="s">
        <v>1897</v>
      </c>
      <c r="I222" s="170"/>
      <c r="J222" s="46" t="s">
        <v>592</v>
      </c>
      <c r="K222" s="170"/>
      <c r="L222" s="202">
        <v>0.18</v>
      </c>
      <c r="M222" s="203">
        <v>10000</v>
      </c>
      <c r="N222" s="203">
        <v>1000</v>
      </c>
      <c r="O222" s="170">
        <f t="shared" si="0"/>
        <v>0</v>
      </c>
      <c r="P222" s="61" t="s">
        <v>39</v>
      </c>
      <c r="Q222" s="170"/>
      <c r="R222" s="192" t="str">
        <f>CONCATENATE(N222,P222)</f>
        <v>1000grams</v>
      </c>
      <c r="S222" s="198">
        <f t="shared" si="1"/>
        <v>10000000</v>
      </c>
      <c r="T222" s="199" t="str">
        <f t="shared" si="2"/>
        <v>10000000grams</v>
      </c>
      <c r="U222" s="200">
        <f t="shared" si="3"/>
        <v>1800</v>
      </c>
      <c r="V222" s="12"/>
      <c r="W222" s="12"/>
    </row>
    <row r="223" spans="1:23" x14ac:dyDescent="0.3">
      <c r="A223" s="183" t="e">
        <f ca="1"/>
        <v>#NAME?</v>
      </c>
      <c r="B223" s="214" t="s">
        <v>593</v>
      </c>
      <c r="C223" s="215"/>
      <c r="D223" s="194" t="str">
        <f ca="1">IFERROR(__xludf.DUMMYFUNCTION("IF(J223="""",""n/a"",IFERROR(SPLIT(J223,""/"")))"),"n/a")</f>
        <v>n/a</v>
      </c>
      <c r="E223" s="215"/>
      <c r="F223" s="215"/>
      <c r="G223" s="215"/>
      <c r="H223" s="206" t="s">
        <v>1898</v>
      </c>
      <c r="I223" s="170"/>
      <c r="J223" s="170"/>
      <c r="K223" s="170"/>
      <c r="L223" s="197">
        <v>19.524999999999999</v>
      </c>
      <c r="M223" s="207">
        <v>4</v>
      </c>
      <c r="N223" s="207">
        <v>4</v>
      </c>
      <c r="O223" s="170">
        <f t="shared" si="0"/>
        <v>0</v>
      </c>
      <c r="P223" s="209" t="s">
        <v>92</v>
      </c>
      <c r="Q223" s="170"/>
      <c r="R223" s="170"/>
      <c r="S223" s="198">
        <f t="shared" si="1"/>
        <v>16</v>
      </c>
      <c r="T223" s="199" t="str">
        <f t="shared" si="2"/>
        <v>16pieces</v>
      </c>
      <c r="U223" s="200">
        <f t="shared" si="3"/>
        <v>78.099999999999994</v>
      </c>
      <c r="V223" s="12"/>
      <c r="W223" s="12"/>
    </row>
    <row r="224" spans="1:23" x14ac:dyDescent="0.3">
      <c r="A224" s="183" t="e">
        <f ca="1"/>
        <v>#NAME?</v>
      </c>
      <c r="B224" s="214" t="s">
        <v>594</v>
      </c>
      <c r="C224" s="215"/>
      <c r="D224" s="194" t="str">
        <f ca="1">IFERROR(__xludf.DUMMYFUNCTION("IF(J224="""",""n/a"",IFERROR(SPLIT(J224,""/"")))"),"n/a")</f>
        <v>n/a</v>
      </c>
      <c r="E224" s="215"/>
      <c r="F224" s="215"/>
      <c r="G224" s="215"/>
      <c r="H224" s="206" t="s">
        <v>1898</v>
      </c>
      <c r="I224" s="170"/>
      <c r="J224" s="170"/>
      <c r="K224" s="170"/>
      <c r="L224" s="197">
        <v>19.524999999999999</v>
      </c>
      <c r="M224" s="207">
        <v>4</v>
      </c>
      <c r="N224" s="207">
        <v>4</v>
      </c>
      <c r="O224" s="170">
        <f t="shared" si="0"/>
        <v>0</v>
      </c>
      <c r="P224" s="209" t="s">
        <v>92</v>
      </c>
      <c r="Q224" s="170"/>
      <c r="R224" s="170"/>
      <c r="S224" s="198">
        <f t="shared" si="1"/>
        <v>16</v>
      </c>
      <c r="T224" s="199" t="str">
        <f t="shared" si="2"/>
        <v>16pieces</v>
      </c>
      <c r="U224" s="200">
        <f t="shared" si="3"/>
        <v>78.099999999999994</v>
      </c>
      <c r="V224" s="12"/>
      <c r="W224" s="12"/>
    </row>
    <row r="225" spans="1:23" x14ac:dyDescent="0.3">
      <c r="A225" s="183" t="e">
        <f ca="1"/>
        <v>#NAME?</v>
      </c>
      <c r="B225" s="194" t="s">
        <v>595</v>
      </c>
      <c r="C225" s="170"/>
      <c r="D225" s="194" t="str">
        <f ca="1">IFERROR(__xludf.DUMMYFUNCTION("IF(J225="""",""n/a"",IFERROR(SPLIT(J225,""/"")))"),"n/a")</f>
        <v>n/a</v>
      </c>
      <c r="E225" s="170"/>
      <c r="F225" s="170"/>
      <c r="G225" s="170"/>
      <c r="H225" s="206" t="s">
        <v>1898</v>
      </c>
      <c r="I225" s="170"/>
      <c r="J225" s="170"/>
      <c r="K225" s="170"/>
      <c r="L225" s="197">
        <v>656</v>
      </c>
      <c r="M225" s="208">
        <v>17</v>
      </c>
      <c r="N225" s="208">
        <v>1</v>
      </c>
      <c r="O225" s="170">
        <f t="shared" si="0"/>
        <v>0</v>
      </c>
      <c r="P225" s="61" t="s">
        <v>200</v>
      </c>
      <c r="Q225" s="170"/>
      <c r="R225" s="170"/>
      <c r="S225" s="198">
        <f t="shared" si="1"/>
        <v>17</v>
      </c>
      <c r="T225" s="199" t="str">
        <f t="shared" si="2"/>
        <v>17gal</v>
      </c>
      <c r="U225" s="200">
        <f t="shared" si="3"/>
        <v>11152</v>
      </c>
      <c r="V225" s="12"/>
      <c r="W225" s="12"/>
    </row>
    <row r="226" spans="1:23" x14ac:dyDescent="0.3">
      <c r="A226" s="183" t="e">
        <f ca="1"/>
        <v>#NAME?</v>
      </c>
      <c r="B226" s="194" t="s">
        <v>293</v>
      </c>
      <c r="C226" s="170"/>
      <c r="D226" s="194" t="str">
        <f ca="1">IFERROR(__xludf.DUMMYFUNCTION("IF(J226="""",""n/a"",IFERROR(SPLIT(J226,""/"")))"),"Mr Brown")</f>
        <v>Mr Brown</v>
      </c>
      <c r="E226" s="194" t="str">
        <f ca="1">IFERROR(__xludf.DUMMYFUNCTION("""COMPUTED_VALUE"""),"bottle")</f>
        <v>bottle</v>
      </c>
      <c r="F226" s="194" t="str">
        <f ca="1">IFERROR(__xludf.DUMMYFUNCTION("""COMPUTED_VALUE"""),"350ml")</f>
        <v>350ml</v>
      </c>
      <c r="G226" s="170"/>
      <c r="H226" s="183" t="s">
        <v>1897</v>
      </c>
      <c r="I226" s="170"/>
      <c r="J226" s="46" t="s">
        <v>596</v>
      </c>
      <c r="K226" s="170"/>
      <c r="L226" s="195">
        <v>0.24285714285714285</v>
      </c>
      <c r="M226" s="203">
        <v>350</v>
      </c>
      <c r="N226" s="203">
        <v>350</v>
      </c>
      <c r="O226" s="61" t="str">
        <f t="shared" ca="1" si="0"/>
        <v>bottle</v>
      </c>
      <c r="P226" s="61" t="s">
        <v>32</v>
      </c>
      <c r="Q226" s="170"/>
      <c r="R226" s="192" t="str">
        <f t="shared" ref="R226:R227" si="25">CONCATENATE(N226,P226)</f>
        <v>350ml</v>
      </c>
      <c r="S226" s="198">
        <f t="shared" si="1"/>
        <v>122500</v>
      </c>
      <c r="T226" s="199" t="str">
        <f t="shared" si="2"/>
        <v>122500ml</v>
      </c>
      <c r="U226" s="200">
        <f t="shared" si="3"/>
        <v>85</v>
      </c>
      <c r="V226" s="205">
        <f>U226/M226</f>
        <v>0.24285714285714285</v>
      </c>
      <c r="W226" s="62"/>
    </row>
    <row r="227" spans="1:23" x14ac:dyDescent="0.3">
      <c r="A227" s="183" t="e">
        <f ca="1"/>
        <v>#NAME?</v>
      </c>
      <c r="B227" s="194" t="s">
        <v>293</v>
      </c>
      <c r="C227" s="170"/>
      <c r="D227" s="194" t="str">
        <f ca="1">IFERROR(__xludf.DUMMYFUNCTION("IF(J227="""",""n/a"",IFERROR(SPLIT(J227,""/"")))"),"Small")</f>
        <v>Small</v>
      </c>
      <c r="E227" s="194" t="str">
        <f ca="1">IFERROR(__xludf.DUMMYFUNCTION("""COMPUTED_VALUE"""),"tray")</f>
        <v>tray</v>
      </c>
      <c r="F227" s="170"/>
      <c r="G227" s="170"/>
      <c r="H227" s="183" t="s">
        <v>1897</v>
      </c>
      <c r="I227" s="170"/>
      <c r="J227" s="46" t="s">
        <v>294</v>
      </c>
      <c r="K227" s="170"/>
      <c r="L227" s="202">
        <v>6.8</v>
      </c>
      <c r="M227" s="203">
        <v>3570</v>
      </c>
      <c r="N227" s="225">
        <v>1</v>
      </c>
      <c r="O227" s="61" t="str">
        <f t="shared" ca="1" si="0"/>
        <v>tray</v>
      </c>
      <c r="P227" s="226" t="s">
        <v>92</v>
      </c>
      <c r="Q227" s="170"/>
      <c r="R227" s="192" t="str">
        <f t="shared" si="25"/>
        <v>1pieces</v>
      </c>
      <c r="S227" s="198">
        <f t="shared" si="1"/>
        <v>3570</v>
      </c>
      <c r="T227" s="199" t="str">
        <f t="shared" si="2"/>
        <v>3570pieces</v>
      </c>
      <c r="U227" s="200">
        <f t="shared" si="3"/>
        <v>24276</v>
      </c>
      <c r="V227" s="62"/>
      <c r="W227" s="12"/>
    </row>
    <row r="228" spans="1:23" x14ac:dyDescent="0.3">
      <c r="A228" s="183" t="e">
        <f ca="1"/>
        <v>#NAME?</v>
      </c>
      <c r="B228" s="194" t="s">
        <v>293</v>
      </c>
      <c r="C228" s="170"/>
      <c r="D228" s="194" t="str">
        <f ca="1">IFERROR(__xludf.DUMMYFUNCTION("IF(J228="""",""n/a"",IFERROR(SPLIT(J228,""/"")))"),"Small")</f>
        <v>Small</v>
      </c>
      <c r="E228" s="194" t="str">
        <f ca="1">IFERROR(__xludf.DUMMYFUNCTION("""COMPUTED_VALUE"""),"tray")</f>
        <v>tray</v>
      </c>
      <c r="F228" s="170"/>
      <c r="G228" s="170"/>
      <c r="H228" s="183" t="s">
        <v>1895</v>
      </c>
      <c r="I228" s="170"/>
      <c r="J228" s="46" t="s">
        <v>294</v>
      </c>
      <c r="K228" s="170"/>
      <c r="L228" s="195">
        <v>6.83</v>
      </c>
      <c r="M228" s="61">
        <v>5370</v>
      </c>
      <c r="N228" s="61">
        <v>1</v>
      </c>
      <c r="O228" s="61" t="str">
        <f t="shared" ca="1" si="0"/>
        <v>tray</v>
      </c>
      <c r="P228" s="61" t="s">
        <v>92</v>
      </c>
      <c r="Q228" s="170"/>
      <c r="R228" s="170"/>
      <c r="S228" s="198">
        <f t="shared" si="1"/>
        <v>5370</v>
      </c>
      <c r="T228" s="199" t="str">
        <f t="shared" si="2"/>
        <v>5370pieces</v>
      </c>
      <c r="U228" s="200">
        <f t="shared" si="3"/>
        <v>36677.1</v>
      </c>
      <c r="V228" s="12"/>
      <c r="W228" s="12"/>
    </row>
    <row r="229" spans="1:23" x14ac:dyDescent="0.3">
      <c r="A229" s="183" t="e">
        <f ca="1"/>
        <v>#NAME?</v>
      </c>
      <c r="B229" s="194" t="s">
        <v>293</v>
      </c>
      <c r="C229" s="170"/>
      <c r="D229" s="194" t="str">
        <f ca="1">IFERROR(__xludf.DUMMYFUNCTION("IF(J229="""",""n/a"",IFERROR(SPLIT(J229,""/"")))"),"n/a")</f>
        <v>n/a</v>
      </c>
      <c r="E229" s="170"/>
      <c r="F229" s="170"/>
      <c r="G229" s="170"/>
      <c r="H229" s="206" t="s">
        <v>1898</v>
      </c>
      <c r="I229" s="170"/>
      <c r="J229" s="170"/>
      <c r="K229" s="170"/>
      <c r="L229" s="197">
        <v>7.666666666666667</v>
      </c>
      <c r="M229" s="208">
        <v>1485</v>
      </c>
      <c r="N229" s="208">
        <v>30</v>
      </c>
      <c r="O229" s="170">
        <f t="shared" si="0"/>
        <v>0</v>
      </c>
      <c r="P229" s="61" t="s">
        <v>92</v>
      </c>
      <c r="Q229" s="170"/>
      <c r="R229" s="170"/>
      <c r="S229" s="198">
        <f t="shared" si="1"/>
        <v>44550</v>
      </c>
      <c r="T229" s="199" t="str">
        <f t="shared" si="2"/>
        <v>44550pieces</v>
      </c>
      <c r="U229" s="200">
        <f t="shared" si="3"/>
        <v>11385</v>
      </c>
      <c r="V229" s="12"/>
      <c r="W229" s="12"/>
    </row>
    <row r="230" spans="1:23" x14ac:dyDescent="0.3">
      <c r="A230" s="183" t="e">
        <f ca="1"/>
        <v>#NAME?</v>
      </c>
      <c r="B230" s="194" t="s">
        <v>597</v>
      </c>
      <c r="C230" s="170"/>
      <c r="D230" s="194" t="str">
        <f ca="1">IFERROR(__xludf.DUMMYFUNCTION("IF(J230="""",""n/a"",IFERROR(SPLIT(J230,""/"")))"),"n/a")</f>
        <v>n/a</v>
      </c>
      <c r="E230" s="170"/>
      <c r="F230" s="170"/>
      <c r="G230" s="170"/>
      <c r="H230" s="206" t="s">
        <v>1898</v>
      </c>
      <c r="I230" s="170"/>
      <c r="J230" s="170"/>
      <c r="K230" s="170"/>
      <c r="L230" s="197">
        <v>9.1</v>
      </c>
      <c r="M230" s="207">
        <v>47</v>
      </c>
      <c r="N230" s="208">
        <v>1</v>
      </c>
      <c r="O230" s="170">
        <f t="shared" si="0"/>
        <v>0</v>
      </c>
      <c r="P230" s="209" t="s">
        <v>92</v>
      </c>
      <c r="Q230" s="170"/>
      <c r="R230" s="170"/>
      <c r="S230" s="198">
        <f t="shared" si="1"/>
        <v>47</v>
      </c>
      <c r="T230" s="199" t="str">
        <f t="shared" si="2"/>
        <v>47pieces</v>
      </c>
      <c r="U230" s="200">
        <f t="shared" si="3"/>
        <v>427.7</v>
      </c>
      <c r="V230" s="12"/>
      <c r="W230" s="12"/>
    </row>
    <row r="231" spans="1:23" x14ac:dyDescent="0.3">
      <c r="A231" s="183" t="e">
        <f ca="1"/>
        <v>#NAME?</v>
      </c>
      <c r="B231" s="194" t="s">
        <v>598</v>
      </c>
      <c r="C231" s="170"/>
      <c r="D231" s="194" t="str">
        <f ca="1">IFERROR(__xludf.DUMMYFUNCTION("IF(J231="""",""n/a"",IFERROR(SPLIT(J231,""/"")))"),"Energen")</f>
        <v>Energen</v>
      </c>
      <c r="E231" s="194" t="str">
        <f ca="1">IFERROR(__xludf.DUMMYFUNCTION("""COMPUTED_VALUE"""),"pack (pcsx40grams)")</f>
        <v>pack (pcsx40grams)</v>
      </c>
      <c r="F231" s="170"/>
      <c r="G231" s="170"/>
      <c r="H231" s="183" t="s">
        <v>1897</v>
      </c>
      <c r="I231" s="170"/>
      <c r="J231" s="46" t="s">
        <v>599</v>
      </c>
      <c r="K231" s="170"/>
      <c r="L231" s="204">
        <v>8.51</v>
      </c>
      <c r="M231" s="203">
        <v>19</v>
      </c>
      <c r="N231" s="203">
        <v>1</v>
      </c>
      <c r="O231" s="61" t="str">
        <f t="shared" ca="1" si="0"/>
        <v>pack (pcsx40grams)</v>
      </c>
      <c r="P231" s="61" t="s">
        <v>92</v>
      </c>
      <c r="Q231" s="170"/>
      <c r="R231" s="192" t="str">
        <f>CONCATENATE(N231,P231)</f>
        <v>1pieces</v>
      </c>
      <c r="S231" s="198">
        <f t="shared" si="1"/>
        <v>19</v>
      </c>
      <c r="T231" s="199" t="str">
        <f t="shared" si="2"/>
        <v>19pieces</v>
      </c>
      <c r="U231" s="200">
        <f t="shared" si="3"/>
        <v>161.69</v>
      </c>
      <c r="V231" s="205">
        <f>U231/M231</f>
        <v>8.51</v>
      </c>
      <c r="W231" s="62"/>
    </row>
    <row r="232" spans="1:23" x14ac:dyDescent="0.3">
      <c r="A232" s="183" t="e">
        <f ca="1"/>
        <v>#NAME?</v>
      </c>
      <c r="B232" s="194" t="s">
        <v>598</v>
      </c>
      <c r="C232" s="170"/>
      <c r="D232" s="194" t="str">
        <f ca="1">IFERROR(__xludf.DUMMYFUNCTION("IF(J232="""",""n/a"",IFERROR(SPLIT(J232,""/"")))"),"n/a")</f>
        <v>n/a</v>
      </c>
      <c r="E232" s="170"/>
      <c r="F232" s="170"/>
      <c r="G232" s="170"/>
      <c r="H232" s="206" t="s">
        <v>1898</v>
      </c>
      <c r="I232" s="170"/>
      <c r="J232" s="170"/>
      <c r="K232" s="170"/>
      <c r="L232" s="197">
        <v>8.6999999999999993</v>
      </c>
      <c r="M232" s="207">
        <v>86</v>
      </c>
      <c r="N232" s="208">
        <v>1</v>
      </c>
      <c r="O232" s="170">
        <f t="shared" si="0"/>
        <v>0</v>
      </c>
      <c r="P232" s="209" t="s">
        <v>92</v>
      </c>
      <c r="Q232" s="170"/>
      <c r="R232" s="170"/>
      <c r="S232" s="198">
        <f t="shared" si="1"/>
        <v>86</v>
      </c>
      <c r="T232" s="199" t="str">
        <f t="shared" si="2"/>
        <v>86pieces</v>
      </c>
      <c r="U232" s="200">
        <f t="shared" si="3"/>
        <v>748.19999999999993</v>
      </c>
      <c r="V232" s="12"/>
      <c r="W232" s="12"/>
    </row>
    <row r="233" spans="1:23" x14ac:dyDescent="0.3">
      <c r="A233" s="183" t="e">
        <f ca="1"/>
        <v>#NAME?</v>
      </c>
      <c r="B233" s="194" t="s">
        <v>600</v>
      </c>
      <c r="C233" s="170"/>
      <c r="D233" s="194" t="str">
        <f ca="1">IFERROR(__xludf.DUMMYFUNCTION("IF(J233="""",""n/a"",IFERROR(SPLIT(J233,""/"")))"),"n/a")</f>
        <v>n/a</v>
      </c>
      <c r="E233" s="170"/>
      <c r="F233" s="170"/>
      <c r="G233" s="170"/>
      <c r="H233" s="206" t="s">
        <v>1898</v>
      </c>
      <c r="I233" s="170"/>
      <c r="J233" s="170"/>
      <c r="K233" s="170"/>
      <c r="L233" s="197">
        <v>8.6999999999999993</v>
      </c>
      <c r="M233" s="207">
        <v>60</v>
      </c>
      <c r="N233" s="208">
        <v>1</v>
      </c>
      <c r="O233" s="170">
        <f t="shared" si="0"/>
        <v>0</v>
      </c>
      <c r="P233" s="209" t="s">
        <v>92</v>
      </c>
      <c r="Q233" s="170"/>
      <c r="R233" s="170"/>
      <c r="S233" s="198">
        <f t="shared" si="1"/>
        <v>60</v>
      </c>
      <c r="T233" s="199" t="str">
        <f t="shared" si="2"/>
        <v>60pieces</v>
      </c>
      <c r="U233" s="200">
        <f t="shared" si="3"/>
        <v>522</v>
      </c>
      <c r="V233" s="12"/>
      <c r="W233" s="12"/>
    </row>
    <row r="234" spans="1:23" x14ac:dyDescent="0.3">
      <c r="A234" s="183" t="e">
        <f ca="1"/>
        <v>#NAME?</v>
      </c>
      <c r="B234" s="194" t="s">
        <v>137</v>
      </c>
      <c r="C234" s="170"/>
      <c r="D234" s="194" t="str">
        <f ca="1">IFERROR(__xludf.DUMMYFUNCTION("IF(J234="""",""n/a"",IFERROR(SPLIT(J234,""/"")))"),"Energen")</f>
        <v>Energen</v>
      </c>
      <c r="E234" s="194" t="str">
        <f ca="1">IFERROR(__xludf.DUMMYFUNCTION("""COMPUTED_VALUE"""),"pack (pcsx40grams)")</f>
        <v>pack (pcsx40grams)</v>
      </c>
      <c r="F234" s="170"/>
      <c r="G234" s="170"/>
      <c r="H234" s="183" t="s">
        <v>1897</v>
      </c>
      <c r="I234" s="170"/>
      <c r="J234" s="46" t="s">
        <v>599</v>
      </c>
      <c r="K234" s="170"/>
      <c r="L234" s="204">
        <v>8.51</v>
      </c>
      <c r="M234" s="203">
        <v>124</v>
      </c>
      <c r="N234" s="203">
        <v>1</v>
      </c>
      <c r="O234" s="61" t="str">
        <f t="shared" ca="1" si="0"/>
        <v>pack (pcsx40grams)</v>
      </c>
      <c r="P234" s="61" t="s">
        <v>92</v>
      </c>
      <c r="Q234" s="170"/>
      <c r="R234" s="192" t="str">
        <f>CONCATENATE(N234,P234)</f>
        <v>1pieces</v>
      </c>
      <c r="S234" s="198">
        <f t="shared" si="1"/>
        <v>124</v>
      </c>
      <c r="T234" s="199" t="str">
        <f t="shared" si="2"/>
        <v>124pieces</v>
      </c>
      <c r="U234" s="200">
        <f t="shared" si="3"/>
        <v>1055.24</v>
      </c>
      <c r="V234" s="205">
        <f>U234/M234</f>
        <v>8.51</v>
      </c>
      <c r="W234" s="62"/>
    </row>
    <row r="235" spans="1:23" x14ac:dyDescent="0.3">
      <c r="A235" s="183" t="e">
        <f ca="1"/>
        <v>#NAME?</v>
      </c>
      <c r="B235" s="194" t="s">
        <v>137</v>
      </c>
      <c r="C235" s="170"/>
      <c r="D235" s="194" t="str">
        <f ca="1">IFERROR(__xludf.DUMMYFUNCTION("IF(J235="""",""n/a"",IFERROR(SPLIT(J235,""/"")))"),"Energen")</f>
        <v>Energen</v>
      </c>
      <c r="E235" s="194" t="str">
        <f ca="1">IFERROR(__xludf.DUMMYFUNCTION("""COMPUTED_VALUE"""),"pack (pcsx40grams)")</f>
        <v>pack (pcsx40grams)</v>
      </c>
      <c r="F235" s="170"/>
      <c r="G235" s="170"/>
      <c r="H235" s="183" t="s">
        <v>1895</v>
      </c>
      <c r="I235" s="170"/>
      <c r="J235" s="46" t="s">
        <v>599</v>
      </c>
      <c r="K235" s="170"/>
      <c r="L235" s="195">
        <v>8.51</v>
      </c>
      <c r="M235" s="61">
        <v>126</v>
      </c>
      <c r="N235" s="61">
        <v>1</v>
      </c>
      <c r="O235" s="61" t="str">
        <f t="shared" ca="1" si="0"/>
        <v>pack (pcsx40grams)</v>
      </c>
      <c r="P235" s="61" t="s">
        <v>92</v>
      </c>
      <c r="Q235" s="170"/>
      <c r="R235" s="170"/>
      <c r="S235" s="198">
        <f t="shared" si="1"/>
        <v>126</v>
      </c>
      <c r="T235" s="199" t="str">
        <f t="shared" si="2"/>
        <v>126pieces</v>
      </c>
      <c r="U235" s="200">
        <f t="shared" si="3"/>
        <v>1072.26</v>
      </c>
      <c r="V235" s="12"/>
      <c r="W235" s="12"/>
    </row>
    <row r="236" spans="1:23" x14ac:dyDescent="0.3">
      <c r="A236" s="183" t="e">
        <f ca="1"/>
        <v>#NAME?</v>
      </c>
      <c r="B236" s="194" t="s">
        <v>137</v>
      </c>
      <c r="C236" s="170"/>
      <c r="D236" s="194" t="str">
        <f ca="1">IFERROR(__xludf.DUMMYFUNCTION("IF(J236="""",""n/a"",IFERROR(SPLIT(J236,""/"")))"),"n/a")</f>
        <v>n/a</v>
      </c>
      <c r="E236" s="170"/>
      <c r="F236" s="170"/>
      <c r="G236" s="170"/>
      <c r="H236" s="206" t="s">
        <v>1898</v>
      </c>
      <c r="I236" s="170"/>
      <c r="J236" s="170"/>
      <c r="K236" s="170"/>
      <c r="L236" s="197">
        <v>8.6999999999999993</v>
      </c>
      <c r="M236" s="207">
        <v>71</v>
      </c>
      <c r="N236" s="208">
        <v>1</v>
      </c>
      <c r="O236" s="170">
        <f t="shared" si="0"/>
        <v>0</v>
      </c>
      <c r="P236" s="209" t="s">
        <v>92</v>
      </c>
      <c r="Q236" s="170"/>
      <c r="R236" s="170"/>
      <c r="S236" s="198">
        <f t="shared" si="1"/>
        <v>71</v>
      </c>
      <c r="T236" s="199" t="str">
        <f t="shared" si="2"/>
        <v>71pieces</v>
      </c>
      <c r="U236" s="200">
        <f t="shared" si="3"/>
        <v>617.69999999999993</v>
      </c>
      <c r="V236" s="12"/>
      <c r="W236" s="12"/>
    </row>
    <row r="237" spans="1:23" x14ac:dyDescent="0.3">
      <c r="A237" s="183" t="e">
        <f ca="1"/>
        <v>#NAME?</v>
      </c>
      <c r="B237" s="194" t="s">
        <v>64</v>
      </c>
      <c r="C237" s="170"/>
      <c r="D237" s="194" t="str">
        <f ca="1">IFERROR(__xludf.DUMMYFUNCTION("IF(J237="""",""n/a"",IFERROR(SPLIT(J237,""/"")))"),"Alaska")</f>
        <v>Alaska</v>
      </c>
      <c r="E237" s="194" t="str">
        <f ca="1">IFERROR(__xludf.DUMMYFUNCTION("""COMPUTED_VALUE"""),"can")</f>
        <v>can</v>
      </c>
      <c r="F237" s="194" t="str">
        <f ca="1">IFERROR(__xludf.DUMMYFUNCTION("""COMPUTED_VALUE"""),"360ml")</f>
        <v>360ml</v>
      </c>
      <c r="G237" s="170"/>
      <c r="H237" s="183" t="s">
        <v>1897</v>
      </c>
      <c r="I237" s="170"/>
      <c r="J237" s="46" t="s">
        <v>601</v>
      </c>
      <c r="K237" s="170"/>
      <c r="L237" s="195">
        <v>9.325E-2</v>
      </c>
      <c r="M237" s="203">
        <v>34920</v>
      </c>
      <c r="N237" s="203">
        <v>360</v>
      </c>
      <c r="O237" s="61" t="str">
        <f t="shared" ca="1" si="0"/>
        <v>can</v>
      </c>
      <c r="P237" s="61" t="s">
        <v>32</v>
      </c>
      <c r="Q237" s="170"/>
      <c r="R237" s="192" t="str">
        <f>CONCATENATE(N237,P237)</f>
        <v>360ml</v>
      </c>
      <c r="S237" s="198">
        <f t="shared" si="1"/>
        <v>12571200</v>
      </c>
      <c r="T237" s="199" t="str">
        <f t="shared" si="2"/>
        <v>12571200ml</v>
      </c>
      <c r="U237" s="200">
        <f t="shared" si="3"/>
        <v>3256.29</v>
      </c>
      <c r="V237" s="205">
        <f>U237/M237</f>
        <v>9.325E-2</v>
      </c>
      <c r="W237" s="62"/>
    </row>
    <row r="238" spans="1:23" x14ac:dyDescent="0.3">
      <c r="A238" s="183" t="e">
        <f ca="1"/>
        <v>#NAME?</v>
      </c>
      <c r="B238" s="194" t="s">
        <v>64</v>
      </c>
      <c r="C238" s="170"/>
      <c r="D238" s="194" t="str">
        <f ca="1">IFERROR(__xludf.DUMMYFUNCTION("IF(J238="""",""n/a"",IFERROR(SPLIT(J238,""/"")))"),"Cowbell")</f>
        <v>Cowbell</v>
      </c>
      <c r="E238" s="194" t="str">
        <f ca="1">IFERROR(__xludf.DUMMYFUNCTION("""COMPUTED_VALUE"""),"can")</f>
        <v>can</v>
      </c>
      <c r="F238" s="194" t="str">
        <f ca="1">IFERROR(__xludf.DUMMYFUNCTION("""COMPUTED_VALUE"""),"360ml")</f>
        <v>360ml</v>
      </c>
      <c r="G238" s="170"/>
      <c r="H238" s="183" t="s">
        <v>1895</v>
      </c>
      <c r="I238" s="170"/>
      <c r="J238" s="46" t="s">
        <v>65</v>
      </c>
      <c r="K238" s="170"/>
      <c r="L238" s="195">
        <v>29.63</v>
      </c>
      <c r="M238" s="61">
        <v>191.73</v>
      </c>
      <c r="N238" s="61">
        <v>360</v>
      </c>
      <c r="O238" s="61" t="str">
        <f t="shared" ca="1" si="0"/>
        <v>can</v>
      </c>
      <c r="P238" s="61" t="s">
        <v>32</v>
      </c>
      <c r="Q238" s="170"/>
      <c r="R238" s="170"/>
      <c r="S238" s="198">
        <f t="shared" si="1"/>
        <v>69022.8</v>
      </c>
      <c r="T238" s="199" t="str">
        <f t="shared" si="2"/>
        <v>69022.8ml</v>
      </c>
      <c r="U238" s="200">
        <f t="shared" si="3"/>
        <v>5680.9598999999998</v>
      </c>
      <c r="V238" s="12"/>
      <c r="W238" s="12"/>
    </row>
    <row r="239" spans="1:23" x14ac:dyDescent="0.3">
      <c r="A239" s="183" t="e">
        <f ca="1"/>
        <v>#NAME?</v>
      </c>
      <c r="B239" s="194" t="s">
        <v>64</v>
      </c>
      <c r="C239" s="170"/>
      <c r="D239" s="194" t="str">
        <f ca="1">IFERROR(__xludf.DUMMYFUNCTION("IF(J239="""",""n/a"",IFERROR(SPLIT(J239,""/"")))"),"Alaska")</f>
        <v>Alaska</v>
      </c>
      <c r="E239" s="194" t="str">
        <f ca="1">IFERROR(__xludf.DUMMYFUNCTION("""COMPUTED_VALUE"""),"can")</f>
        <v>can</v>
      </c>
      <c r="F239" s="194" t="str">
        <f ca="1">IFERROR(__xludf.DUMMYFUNCTION("""COMPUTED_VALUE"""),"360ml")</f>
        <v>360ml</v>
      </c>
      <c r="G239" s="170"/>
      <c r="H239" s="206" t="s">
        <v>1898</v>
      </c>
      <c r="I239" s="170"/>
      <c r="J239" s="46" t="s">
        <v>601</v>
      </c>
      <c r="K239" s="170"/>
      <c r="L239" s="197">
        <v>9.325E-2</v>
      </c>
      <c r="M239" s="208">
        <v>7560</v>
      </c>
      <c r="N239" s="208">
        <v>360</v>
      </c>
      <c r="O239" s="61" t="str">
        <f t="shared" ca="1" si="0"/>
        <v>can</v>
      </c>
      <c r="P239" s="61" t="s">
        <v>32</v>
      </c>
      <c r="Q239" s="170"/>
      <c r="R239" s="170"/>
      <c r="S239" s="198">
        <f t="shared" si="1"/>
        <v>2721600</v>
      </c>
      <c r="T239" s="199" t="str">
        <f t="shared" si="2"/>
        <v>2721600ml</v>
      </c>
      <c r="U239" s="200">
        <f t="shared" si="3"/>
        <v>704.97</v>
      </c>
      <c r="V239" s="12"/>
      <c r="W239" s="12"/>
    </row>
    <row r="240" spans="1:23" x14ac:dyDescent="0.3">
      <c r="A240" s="183" t="e">
        <f ca="1"/>
        <v>#NAME?</v>
      </c>
      <c r="B240" s="194" t="s">
        <v>64</v>
      </c>
      <c r="C240" s="170"/>
      <c r="D240" s="194" t="str">
        <f ca="1">IFERROR(__xludf.DUMMYFUNCTION("IF(J240="""",""n/a"",IFERROR(SPLIT(J240,""/"")))"),"Alaska")</f>
        <v>Alaska</v>
      </c>
      <c r="E240" s="194" t="str">
        <f ca="1">IFERROR(__xludf.DUMMYFUNCTION("""COMPUTED_VALUE"""),"tetrapack")</f>
        <v>tetrapack</v>
      </c>
      <c r="F240" s="194" t="str">
        <f ca="1">IFERROR(__xludf.DUMMYFUNCTION("""COMPUTED_VALUE"""),"1liter")</f>
        <v>1liter</v>
      </c>
      <c r="G240" s="170"/>
      <c r="H240" s="206" t="s">
        <v>1898</v>
      </c>
      <c r="I240" s="170"/>
      <c r="J240" s="46" t="s">
        <v>602</v>
      </c>
      <c r="K240" s="170"/>
      <c r="L240" s="197">
        <v>9.01E-2</v>
      </c>
      <c r="M240" s="207">
        <v>4000</v>
      </c>
      <c r="N240" s="208">
        <v>1000</v>
      </c>
      <c r="O240" s="61" t="str">
        <f t="shared" ca="1" si="0"/>
        <v>tetrapack</v>
      </c>
      <c r="P240" s="61" t="s">
        <v>32</v>
      </c>
      <c r="Q240" s="170"/>
      <c r="R240" s="170"/>
      <c r="S240" s="198">
        <f t="shared" si="1"/>
        <v>4000000</v>
      </c>
      <c r="T240" s="199" t="str">
        <f t="shared" si="2"/>
        <v>4000000ml</v>
      </c>
      <c r="U240" s="200">
        <f t="shared" si="3"/>
        <v>360.4</v>
      </c>
      <c r="V240" s="12"/>
      <c r="W240" s="12"/>
    </row>
    <row r="241" spans="1:23" x14ac:dyDescent="0.3">
      <c r="A241" s="183" t="e">
        <f ca="1"/>
        <v>#NAME?</v>
      </c>
      <c r="B241" s="194" t="s">
        <v>64</v>
      </c>
      <c r="C241" s="170"/>
      <c r="D241" s="194" t="str">
        <f ca="1">IFERROR(__xludf.DUMMYFUNCTION("IF(J241="""",""n/a"",IFERROR(SPLIT(J241,""/"")))"),"Healthy cow")</f>
        <v>Healthy cow</v>
      </c>
      <c r="E241" s="194" t="str">
        <f ca="1">IFERROR(__xludf.DUMMYFUNCTION("""COMPUTED_VALUE"""),"can")</f>
        <v>can</v>
      </c>
      <c r="F241" s="194" t="str">
        <f ca="1">IFERROR(__xludf.DUMMYFUNCTION("""COMPUTED_VALUE"""),"370ml")</f>
        <v>370ml</v>
      </c>
      <c r="G241" s="170"/>
      <c r="H241" s="206" t="s">
        <v>1898</v>
      </c>
      <c r="I241" s="170"/>
      <c r="J241" s="46" t="s">
        <v>603</v>
      </c>
      <c r="K241" s="170"/>
      <c r="L241" s="197">
        <v>0.15027777777777779</v>
      </c>
      <c r="M241" s="207">
        <v>370</v>
      </c>
      <c r="N241" s="208">
        <v>360</v>
      </c>
      <c r="O241" s="61" t="str">
        <f t="shared" ca="1" si="0"/>
        <v>can</v>
      </c>
      <c r="P241" s="61" t="s">
        <v>32</v>
      </c>
      <c r="Q241" s="170"/>
      <c r="R241" s="170"/>
      <c r="S241" s="198">
        <f t="shared" si="1"/>
        <v>133200</v>
      </c>
      <c r="T241" s="199" t="str">
        <f t="shared" si="2"/>
        <v>133200ml</v>
      </c>
      <c r="U241" s="200">
        <f t="shared" si="3"/>
        <v>55.602777777777781</v>
      </c>
      <c r="V241" s="12"/>
      <c r="W241" s="12"/>
    </row>
    <row r="242" spans="1:23" x14ac:dyDescent="0.3">
      <c r="A242" s="183" t="e">
        <f ca="1"/>
        <v>#NAME?</v>
      </c>
      <c r="B242" s="214" t="s">
        <v>219</v>
      </c>
      <c r="C242" s="215"/>
      <c r="D242" s="194" t="str">
        <f ca="1">IFERROR(__xludf.DUMMYFUNCTION("IF(J242="""",""n/a"",IFERROR(SPLIT(J242,""/"")))"),"Shanghai")</f>
        <v>Shanghai</v>
      </c>
      <c r="E242" s="214" t="str">
        <f ca="1">IFERROR(__xludf.DUMMYFUNCTION("""COMPUTED_VALUE"""),"pack")</f>
        <v>pack</v>
      </c>
      <c r="F242" s="214" t="str">
        <f ca="1">IFERROR(__xludf.DUMMYFUNCTION("""COMPUTED_VALUE"""),"250grams")</f>
        <v>250grams</v>
      </c>
      <c r="G242" s="215"/>
      <c r="H242" s="183" t="s">
        <v>1895</v>
      </c>
      <c r="I242" s="170"/>
      <c r="J242" s="46" t="s">
        <v>220</v>
      </c>
      <c r="K242" s="170"/>
      <c r="L242" s="195">
        <v>80</v>
      </c>
      <c r="M242" s="61">
        <v>12</v>
      </c>
      <c r="N242" s="61">
        <v>1</v>
      </c>
      <c r="O242" s="61" t="str">
        <f t="shared" ca="1" si="0"/>
        <v>pack</v>
      </c>
      <c r="P242" s="61" t="s">
        <v>39</v>
      </c>
      <c r="Q242" s="170"/>
      <c r="R242" s="170"/>
      <c r="S242" s="198">
        <f t="shared" si="1"/>
        <v>12</v>
      </c>
      <c r="T242" s="199" t="str">
        <f t="shared" si="2"/>
        <v>12grams</v>
      </c>
      <c r="U242" s="200">
        <f t="shared" si="3"/>
        <v>960</v>
      </c>
      <c r="V242" s="12"/>
      <c r="W242" s="12"/>
    </row>
    <row r="243" spans="1:23" x14ac:dyDescent="0.3">
      <c r="A243" s="183" t="e">
        <f ca="1"/>
        <v>#NAME?</v>
      </c>
      <c r="B243" s="194" t="s">
        <v>256</v>
      </c>
      <c r="C243" s="170"/>
      <c r="D243" s="194" t="str">
        <f ca="1">IFERROR(__xludf.DUMMYFUNCTION("IF(J243="""",""n/a"",IFERROR(SPLIT(J243,""/"")))"),"Ticman")</f>
        <v>Ticman</v>
      </c>
      <c r="E243" s="194" t="str">
        <f ca="1">IFERROR(__xludf.DUMMYFUNCTION("""COMPUTED_VALUE"""),"gallon")</f>
        <v>gallon</v>
      </c>
      <c r="F243" s="194" t="str">
        <f ca="1">IFERROR(__xludf.DUMMYFUNCTION("""COMPUTED_VALUE"""),"3500ml")</f>
        <v>3500ml</v>
      </c>
      <c r="G243" s="170"/>
      <c r="H243" s="183" t="s">
        <v>1895</v>
      </c>
      <c r="I243" s="170"/>
      <c r="J243" s="46" t="s">
        <v>239</v>
      </c>
      <c r="K243" s="170"/>
      <c r="L243" s="195">
        <v>73</v>
      </c>
      <c r="M243" s="61">
        <v>12</v>
      </c>
      <c r="N243" s="61">
        <v>1</v>
      </c>
      <c r="O243" s="61" t="str">
        <f t="shared" ca="1" si="0"/>
        <v>gallon</v>
      </c>
      <c r="P243" s="61" t="s">
        <v>200</v>
      </c>
      <c r="Q243" s="170"/>
      <c r="R243" s="170"/>
      <c r="S243" s="198">
        <f t="shared" si="1"/>
        <v>12</v>
      </c>
      <c r="T243" s="199" t="str">
        <f t="shared" si="2"/>
        <v>12gal</v>
      </c>
      <c r="U243" s="200">
        <f t="shared" si="3"/>
        <v>876</v>
      </c>
      <c r="V243" s="12"/>
      <c r="W243" s="12"/>
    </row>
    <row r="244" spans="1:23" x14ac:dyDescent="0.3">
      <c r="A244" s="183" t="e">
        <f ca="1"/>
        <v>#NAME?</v>
      </c>
      <c r="B244" s="194" t="s">
        <v>256</v>
      </c>
      <c r="C244" s="170"/>
      <c r="D244" s="194" t="str">
        <f ca="1">IFERROR(__xludf.DUMMYFUNCTION("IF(J244="""",""n/a"",IFERROR(SPLIT(J244,""/"")))"),"n/a")</f>
        <v>n/a</v>
      </c>
      <c r="E244" s="170"/>
      <c r="F244" s="170"/>
      <c r="G244" s="170"/>
      <c r="H244" s="206" t="s">
        <v>1898</v>
      </c>
      <c r="I244" s="170"/>
      <c r="J244" s="170"/>
      <c r="K244" s="170"/>
      <c r="L244" s="197">
        <v>73</v>
      </c>
      <c r="M244" s="208">
        <v>8</v>
      </c>
      <c r="N244" s="208">
        <v>1</v>
      </c>
      <c r="O244" s="170">
        <f t="shared" si="0"/>
        <v>0</v>
      </c>
      <c r="P244" s="61" t="s">
        <v>200</v>
      </c>
      <c r="Q244" s="170"/>
      <c r="R244" s="170"/>
      <c r="S244" s="198">
        <f t="shared" si="1"/>
        <v>8</v>
      </c>
      <c r="T244" s="199" t="str">
        <f t="shared" si="2"/>
        <v>8gal</v>
      </c>
      <c r="U244" s="200">
        <f t="shared" si="3"/>
        <v>584</v>
      </c>
      <c r="V244" s="12"/>
      <c r="W244" s="12"/>
    </row>
    <row r="245" spans="1:23" x14ac:dyDescent="0.3">
      <c r="A245" s="183" t="e">
        <f ca="1"/>
        <v>#NAME?</v>
      </c>
      <c r="B245" s="194" t="s">
        <v>392</v>
      </c>
      <c r="C245" s="170"/>
      <c r="D245" s="194" t="str">
        <f ca="1">IFERROR(__xludf.DUMMYFUNCTION("IF(J245="""",""n/a"",IFERROR(SPLIT(J245,""/"")))"),"Oishibox(pcsx90grams)")</f>
        <v>Oishibox(pcsx90grams)</v>
      </c>
      <c r="E245" s="170"/>
      <c r="F245" s="170"/>
      <c r="G245" s="170"/>
      <c r="H245" s="183" t="s">
        <v>1895</v>
      </c>
      <c r="I245" s="170"/>
      <c r="J245" s="46" t="s">
        <v>393</v>
      </c>
      <c r="K245" s="170"/>
      <c r="L245" s="195">
        <v>20.54</v>
      </c>
      <c r="M245" s="61">
        <v>7</v>
      </c>
      <c r="N245" s="61">
        <v>1</v>
      </c>
      <c r="O245" s="170">
        <f t="shared" si="0"/>
        <v>0</v>
      </c>
      <c r="P245" s="61" t="s">
        <v>92</v>
      </c>
      <c r="Q245" s="170"/>
      <c r="R245" s="170"/>
      <c r="S245" s="198">
        <f t="shared" si="1"/>
        <v>7</v>
      </c>
      <c r="T245" s="199" t="str">
        <f t="shared" si="2"/>
        <v>7pieces</v>
      </c>
      <c r="U245" s="200">
        <f t="shared" si="3"/>
        <v>143.78</v>
      </c>
      <c r="V245" s="12"/>
      <c r="W245" s="12"/>
    </row>
    <row r="246" spans="1:23" x14ac:dyDescent="0.3">
      <c r="A246" s="183" t="e">
        <f ca="1"/>
        <v>#NAME?</v>
      </c>
      <c r="B246" s="194" t="s">
        <v>97</v>
      </c>
      <c r="C246" s="170"/>
      <c r="D246" s="194" t="str">
        <f ca="1">IFERROR(__xludf.DUMMYFUNCTION("IF(J246="""",""n/a"",IFERROR(SPLIT(J246,""/"")))"),"Del Monte")</f>
        <v>Del Monte</v>
      </c>
      <c r="E246" s="194" t="str">
        <f ca="1">IFERROR(__xludf.DUMMYFUNCTION("""COMPUTED_VALUE"""),"box (24x320ml)")</f>
        <v>box (24x320ml)</v>
      </c>
      <c r="F246" s="170"/>
      <c r="G246" s="170"/>
      <c r="H246" s="183" t="s">
        <v>1897</v>
      </c>
      <c r="I246" s="170"/>
      <c r="J246" s="46" t="s">
        <v>98</v>
      </c>
      <c r="K246" s="170"/>
      <c r="L246" s="195">
        <v>26.25</v>
      </c>
      <c r="M246" s="203">
        <v>20</v>
      </c>
      <c r="N246" s="203">
        <v>1</v>
      </c>
      <c r="O246" s="61" t="str">
        <f t="shared" ca="1" si="0"/>
        <v>box (24x320ml)</v>
      </c>
      <c r="P246" s="61" t="s">
        <v>92</v>
      </c>
      <c r="Q246" s="170"/>
      <c r="R246" s="192" t="str">
        <f>CONCATENATE(N246,P246)</f>
        <v>1pieces</v>
      </c>
      <c r="S246" s="198">
        <f t="shared" si="1"/>
        <v>20</v>
      </c>
      <c r="T246" s="199" t="str">
        <f t="shared" si="2"/>
        <v>20pieces</v>
      </c>
      <c r="U246" s="200">
        <f t="shared" si="3"/>
        <v>525</v>
      </c>
      <c r="V246" s="205">
        <f>U246/M246</f>
        <v>26.25</v>
      </c>
      <c r="W246" s="62"/>
    </row>
    <row r="247" spans="1:23" x14ac:dyDescent="0.3">
      <c r="A247" s="183" t="e">
        <f ca="1"/>
        <v>#NAME?</v>
      </c>
      <c r="B247" s="194" t="s">
        <v>97</v>
      </c>
      <c r="C247" s="170"/>
      <c r="D247" s="194" t="str">
        <f ca="1">IFERROR(__xludf.DUMMYFUNCTION("IF(J247="""",""n/a"",IFERROR(SPLIT(J247,""/"")))"),"Del Monte")</f>
        <v>Del Monte</v>
      </c>
      <c r="E247" s="194" t="str">
        <f ca="1">IFERROR(__xludf.DUMMYFUNCTION("""COMPUTED_VALUE"""),"box (24x320ml)")</f>
        <v>box (24x320ml)</v>
      </c>
      <c r="F247" s="170"/>
      <c r="G247" s="170"/>
      <c r="H247" s="183" t="s">
        <v>1895</v>
      </c>
      <c r="I247" s="170"/>
      <c r="J247" s="46" t="s">
        <v>98</v>
      </c>
      <c r="K247" s="170"/>
      <c r="L247" s="195">
        <v>26.16</v>
      </c>
      <c r="M247" s="61">
        <v>30</v>
      </c>
      <c r="N247" s="61">
        <v>1</v>
      </c>
      <c r="O247" s="61" t="str">
        <f t="shared" ca="1" si="0"/>
        <v>box (24x320ml)</v>
      </c>
      <c r="P247" s="61" t="s">
        <v>92</v>
      </c>
      <c r="Q247" s="170"/>
      <c r="R247" s="170"/>
      <c r="S247" s="198">
        <f t="shared" si="1"/>
        <v>30</v>
      </c>
      <c r="T247" s="199" t="str">
        <f t="shared" si="2"/>
        <v>30pieces</v>
      </c>
      <c r="U247" s="200">
        <f t="shared" si="3"/>
        <v>784.8</v>
      </c>
      <c r="V247" s="12"/>
      <c r="W247" s="12"/>
    </row>
    <row r="248" spans="1:23" x14ac:dyDescent="0.3">
      <c r="A248" s="183" t="e">
        <f ca="1"/>
        <v>#NAME?</v>
      </c>
      <c r="B248" s="194" t="s">
        <v>604</v>
      </c>
      <c r="C248" s="170"/>
      <c r="D248" s="194" t="str">
        <f ca="1">IFERROR(__xludf.DUMMYFUNCTION("IF(J248="""",""n/a"",IFERROR(SPLIT(J248,""/"")))"),"MY Sac")</f>
        <v>MY Sac</v>
      </c>
      <c r="E248" s="194" t="str">
        <f ca="1">IFERROR(__xludf.DUMMYFUNCTION("""COMPUTED_VALUE"""),"pck")</f>
        <v>pck</v>
      </c>
      <c r="F248" s="194">
        <f ca="1">IFERROR(__xludf.DUMMYFUNCTION("""COMPUTED_VALUE"""),10)</f>
        <v>10</v>
      </c>
      <c r="G248" s="194" t="str">
        <f ca="1">IFERROR(__xludf.DUMMYFUNCTION("""COMPUTED_VALUE"""),"30g")</f>
        <v>30g</v>
      </c>
      <c r="H248" s="183" t="s">
        <v>1897</v>
      </c>
      <c r="I248" s="170"/>
      <c r="J248" s="46" t="s">
        <v>605</v>
      </c>
      <c r="K248" s="170"/>
      <c r="L248" s="195">
        <v>5.59</v>
      </c>
      <c r="M248" s="203">
        <v>170</v>
      </c>
      <c r="N248" s="203">
        <v>1</v>
      </c>
      <c r="O248" s="61" t="str">
        <f t="shared" ca="1" si="0"/>
        <v>pck</v>
      </c>
      <c r="P248" s="61" t="s">
        <v>92</v>
      </c>
      <c r="Q248" s="170"/>
      <c r="R248" s="192" t="str">
        <f>CONCATENATE(N248,P248)</f>
        <v>1pieces</v>
      </c>
      <c r="S248" s="198">
        <f t="shared" si="1"/>
        <v>170</v>
      </c>
      <c r="T248" s="199" t="str">
        <f t="shared" si="2"/>
        <v>170pieces</v>
      </c>
      <c r="U248" s="200">
        <f t="shared" si="3"/>
        <v>950.3</v>
      </c>
      <c r="V248" s="12"/>
      <c r="W248" s="12"/>
    </row>
    <row r="249" spans="1:23" x14ac:dyDescent="0.3">
      <c r="A249" s="183" t="e">
        <f ca="1"/>
        <v>#NAME?</v>
      </c>
      <c r="B249" s="194" t="s">
        <v>394</v>
      </c>
      <c r="C249" s="170"/>
      <c r="D249" s="194" t="str">
        <f ca="1">IFERROR(__xludf.DUMMYFUNCTION("IF(J249="""",""n/a"",IFERROR(SPLIT(J249,""/"")))"),"M.Y Sanpack (10x30grams)")</f>
        <v>M.Y Sanpack (10x30grams)</v>
      </c>
      <c r="E249" s="170"/>
      <c r="F249" s="170"/>
      <c r="G249" s="170"/>
      <c r="H249" s="183" t="s">
        <v>1895</v>
      </c>
      <c r="I249" s="170"/>
      <c r="J249" s="46" t="s">
        <v>395</v>
      </c>
      <c r="K249" s="170"/>
      <c r="L249" s="195">
        <v>5.59</v>
      </c>
      <c r="M249" s="61">
        <v>480</v>
      </c>
      <c r="N249" s="61">
        <v>1</v>
      </c>
      <c r="O249" s="170">
        <f t="shared" si="0"/>
        <v>0</v>
      </c>
      <c r="P249" s="61" t="s">
        <v>92</v>
      </c>
      <c r="Q249" s="170"/>
      <c r="R249" s="170"/>
      <c r="S249" s="198">
        <f t="shared" si="1"/>
        <v>480</v>
      </c>
      <c r="T249" s="199" t="str">
        <f t="shared" si="2"/>
        <v>480pieces</v>
      </c>
      <c r="U249" s="200">
        <f t="shared" si="3"/>
        <v>2683.2</v>
      </c>
      <c r="V249" s="12"/>
      <c r="W249" s="12"/>
    </row>
    <row r="250" spans="1:23" x14ac:dyDescent="0.3">
      <c r="A250" s="183" t="e">
        <f ca="1"/>
        <v>#NAME?</v>
      </c>
      <c r="B250" s="194" t="s">
        <v>606</v>
      </c>
      <c r="C250" s="170"/>
      <c r="D250" s="194" t="str">
        <f ca="1">IFERROR(__xludf.DUMMYFUNCTION("IF(J250="""",""n/a"",IFERROR(SPLIT(J250,""/"")))"),"Hyco")</f>
        <v>Hyco</v>
      </c>
      <c r="E250" s="194" t="str">
        <f ca="1">IFERROR(__xludf.DUMMYFUNCTION("""COMPUTED_VALUE"""),"bottle")</f>
        <v>bottle</v>
      </c>
      <c r="F250" s="194" t="str">
        <f ca="1">IFERROR(__xludf.DUMMYFUNCTION("""COMPUTED_VALUE"""),"454grams")</f>
        <v>454grams</v>
      </c>
      <c r="G250" s="170"/>
      <c r="H250" s="183" t="s">
        <v>1897</v>
      </c>
      <c r="I250" s="170"/>
      <c r="J250" s="46" t="s">
        <v>607</v>
      </c>
      <c r="K250" s="170"/>
      <c r="L250" s="195">
        <v>1.1599999999999999</v>
      </c>
      <c r="M250" s="203">
        <v>125</v>
      </c>
      <c r="N250" s="203">
        <v>125</v>
      </c>
      <c r="O250" s="61" t="str">
        <f t="shared" ca="1" si="0"/>
        <v>bottle</v>
      </c>
      <c r="P250" s="61" t="s">
        <v>39</v>
      </c>
      <c r="Q250" s="170"/>
      <c r="R250" s="192" t="str">
        <f>CONCATENATE(N250,P250)</f>
        <v>125grams</v>
      </c>
      <c r="S250" s="198">
        <f t="shared" si="1"/>
        <v>15625</v>
      </c>
      <c r="T250" s="199" t="str">
        <f t="shared" si="2"/>
        <v>15625grams</v>
      </c>
      <c r="U250" s="200">
        <f t="shared" si="3"/>
        <v>145</v>
      </c>
      <c r="V250" s="205">
        <f>U250/M250</f>
        <v>1.1599999999999999</v>
      </c>
      <c r="W250" s="62"/>
    </row>
    <row r="251" spans="1:23" x14ac:dyDescent="0.3">
      <c r="A251" s="183" t="e">
        <f ca="1"/>
        <v>#NAME?</v>
      </c>
      <c r="B251" s="194" t="s">
        <v>608</v>
      </c>
      <c r="C251" s="170"/>
      <c r="D251" s="194" t="str">
        <f ca="1">IFERROR(__xludf.DUMMYFUNCTION("IF(J251="""",""n/a"",IFERROR(SPLIT(J251,""/"")))"),"Good Foods")</f>
        <v>Good Foods</v>
      </c>
      <c r="E251" s="194" t="str">
        <f ca="1">IFERROR(__xludf.DUMMYFUNCTION("""COMPUTED_VALUE"""),"100grams")</f>
        <v>100grams</v>
      </c>
      <c r="F251" s="194" t="str">
        <f ca="1">IFERROR(__xludf.DUMMYFUNCTION("""COMPUTED_VALUE"""),"pack")</f>
        <v>pack</v>
      </c>
      <c r="G251" s="170"/>
      <c r="H251" s="206" t="s">
        <v>1898</v>
      </c>
      <c r="I251" s="170"/>
      <c r="J251" s="46" t="s">
        <v>609</v>
      </c>
      <c r="K251" s="170"/>
      <c r="L251" s="197">
        <v>0.40500000000000003</v>
      </c>
      <c r="M251" s="208">
        <v>300</v>
      </c>
      <c r="N251" s="208">
        <v>100</v>
      </c>
      <c r="O251" s="61" t="str">
        <f t="shared" ca="1" si="0"/>
        <v>100grams</v>
      </c>
      <c r="P251" s="61" t="s">
        <v>39</v>
      </c>
      <c r="Q251" s="170"/>
      <c r="R251" s="170"/>
      <c r="S251" s="198">
        <f t="shared" si="1"/>
        <v>30000</v>
      </c>
      <c r="T251" s="199" t="str">
        <f t="shared" si="2"/>
        <v>30000grams</v>
      </c>
      <c r="U251" s="200">
        <f t="shared" si="3"/>
        <v>121.50000000000001</v>
      </c>
      <c r="V251" s="12"/>
      <c r="W251" s="12"/>
    </row>
    <row r="252" spans="1:23" x14ac:dyDescent="0.3">
      <c r="A252" s="183" t="e">
        <f ca="1"/>
        <v>#NAME?</v>
      </c>
      <c r="B252" s="194" t="s">
        <v>610</v>
      </c>
      <c r="C252" s="170"/>
      <c r="D252" s="194" t="str">
        <f ca="1">IFERROR(__xludf.DUMMYFUNCTION("IF(J252="""",""n/a"",IFERROR(SPLIT(J252,""/"")))"),"n/a")</f>
        <v>n/a</v>
      </c>
      <c r="E252" s="170"/>
      <c r="F252" s="170"/>
      <c r="G252" s="170"/>
      <c r="H252" s="206" t="s">
        <v>1898</v>
      </c>
      <c r="I252" s="170"/>
      <c r="J252" s="170"/>
      <c r="K252" s="170"/>
      <c r="L252" s="197">
        <v>181.39</v>
      </c>
      <c r="M252" s="207">
        <v>24</v>
      </c>
      <c r="N252" s="208">
        <v>1</v>
      </c>
      <c r="O252" s="170">
        <f t="shared" si="0"/>
        <v>0</v>
      </c>
      <c r="P252" s="61" t="s">
        <v>92</v>
      </c>
      <c r="Q252" s="170"/>
      <c r="R252" s="170"/>
      <c r="S252" s="198">
        <f t="shared" si="1"/>
        <v>24</v>
      </c>
      <c r="T252" s="199" t="str">
        <f t="shared" si="2"/>
        <v>24pieces</v>
      </c>
      <c r="U252" s="200">
        <f t="shared" si="3"/>
        <v>4353.3599999999997</v>
      </c>
      <c r="V252" s="12"/>
      <c r="W252" s="12"/>
    </row>
    <row r="253" spans="1:23" x14ac:dyDescent="0.3">
      <c r="A253" s="183" t="e">
        <f ca="1"/>
        <v>#NAME?</v>
      </c>
      <c r="B253" s="194" t="s">
        <v>175</v>
      </c>
      <c r="C253" s="170"/>
      <c r="D253" s="194" t="str">
        <f ca="1">IFERROR(__xludf.DUMMYFUNCTION("IF(J253="""",""n/a"",IFERROR(SPLIT(J253,""/"")))"),"Today's")</f>
        <v>Today's</v>
      </c>
      <c r="E253" s="194" t="str">
        <f ca="1">IFERROR(__xludf.DUMMYFUNCTION("""COMPUTED_VALUE"""),"can")</f>
        <v>can</v>
      </c>
      <c r="F253" s="194" t="str">
        <f ca="1">IFERROR(__xludf.DUMMYFUNCTION("""COMPUTED_VALUE"""),"836grams")</f>
        <v>836grams</v>
      </c>
      <c r="G253" s="194" t="str">
        <f ca="1">IFERROR(__xludf.DUMMYFUNCTION("""COMPUTED_VALUE"""),"422drainedweight")</f>
        <v>422drainedweight</v>
      </c>
      <c r="H253" s="183" t="s">
        <v>1897</v>
      </c>
      <c r="I253" s="170"/>
      <c r="J253" s="46" t="s">
        <v>611</v>
      </c>
      <c r="K253" s="170"/>
      <c r="L253" s="195">
        <v>0.20521327014218008</v>
      </c>
      <c r="M253" s="203">
        <v>422</v>
      </c>
      <c r="N253" s="203">
        <v>422</v>
      </c>
      <c r="O253" s="61" t="str">
        <f t="shared" ca="1" si="0"/>
        <v>can</v>
      </c>
      <c r="P253" s="61" t="s">
        <v>39</v>
      </c>
      <c r="Q253" s="170"/>
      <c r="R253" s="192" t="str">
        <f>CONCATENATE(N253,P253)</f>
        <v>422grams</v>
      </c>
      <c r="S253" s="198">
        <f t="shared" si="1"/>
        <v>178084</v>
      </c>
      <c r="T253" s="199" t="str">
        <f t="shared" si="2"/>
        <v>178084grams</v>
      </c>
      <c r="U253" s="200">
        <f t="shared" si="3"/>
        <v>86.6</v>
      </c>
      <c r="V253" s="205">
        <f>U253/M253</f>
        <v>0.20521327014218008</v>
      </c>
      <c r="W253" s="62"/>
    </row>
    <row r="254" spans="1:23" x14ac:dyDescent="0.3">
      <c r="A254" s="183" t="e">
        <f ca="1"/>
        <v>#NAME?</v>
      </c>
      <c r="B254" s="194" t="s">
        <v>175</v>
      </c>
      <c r="C254" s="170"/>
      <c r="D254" s="194" t="str">
        <f ca="1">IFERROR(__xludf.DUMMYFUNCTION("IF(J254="""",""n/a"",IFERROR(SPLIT(J254,""/"")))"),"Today's")</f>
        <v>Today's</v>
      </c>
      <c r="E254" s="194" t="str">
        <f ca="1">IFERROR(__xludf.DUMMYFUNCTION("""COMPUTED_VALUE"""),"can")</f>
        <v>can</v>
      </c>
      <c r="F254" s="194" t="str">
        <f ca="1">IFERROR(__xludf.DUMMYFUNCTION("""COMPUTED_VALUE"""),"3033grams")</f>
        <v>3033grams</v>
      </c>
      <c r="G254" s="170"/>
      <c r="H254" s="183" t="s">
        <v>1895</v>
      </c>
      <c r="I254" s="170"/>
      <c r="J254" s="46" t="s">
        <v>176</v>
      </c>
      <c r="K254" s="170"/>
      <c r="L254" s="195">
        <v>253.33</v>
      </c>
      <c r="M254" s="61">
        <v>2</v>
      </c>
      <c r="N254" s="61">
        <v>1</v>
      </c>
      <c r="O254" s="61" t="str">
        <f t="shared" ca="1" si="0"/>
        <v>can</v>
      </c>
      <c r="P254" s="61" t="s">
        <v>39</v>
      </c>
      <c r="Q254" s="170"/>
      <c r="R254" s="170"/>
      <c r="S254" s="198">
        <f t="shared" si="1"/>
        <v>2</v>
      </c>
      <c r="T254" s="199" t="str">
        <f t="shared" si="2"/>
        <v>2grams</v>
      </c>
      <c r="U254" s="200">
        <f t="shared" si="3"/>
        <v>506.66</v>
      </c>
      <c r="V254" s="12"/>
      <c r="W254" s="12"/>
    </row>
    <row r="255" spans="1:23" x14ac:dyDescent="0.3">
      <c r="A255" s="183" t="e">
        <f ca="1"/>
        <v>#NAME?</v>
      </c>
      <c r="B255" s="194" t="s">
        <v>175</v>
      </c>
      <c r="C255" s="170"/>
      <c r="D255" s="194" t="str">
        <f ca="1">IFERROR(__xludf.DUMMYFUNCTION("IF(J255="""",""n/a"",IFERROR(SPLIT(J255,""/"")))"),"n/a")</f>
        <v>n/a</v>
      </c>
      <c r="E255" s="170"/>
      <c r="F255" s="170"/>
      <c r="G255" s="170"/>
      <c r="H255" s="206" t="s">
        <v>1898</v>
      </c>
      <c r="I255" s="170"/>
      <c r="J255" s="170"/>
      <c r="K255" s="170"/>
      <c r="L255" s="197">
        <v>0.16322809278350517</v>
      </c>
      <c r="M255" s="208">
        <v>3104</v>
      </c>
      <c r="N255" s="208">
        <v>1552</v>
      </c>
      <c r="O255" s="170">
        <f t="shared" si="0"/>
        <v>0</v>
      </c>
      <c r="P255" s="61" t="s">
        <v>39</v>
      </c>
      <c r="Q255" s="170"/>
      <c r="R255" s="170"/>
      <c r="S255" s="198">
        <f t="shared" si="1"/>
        <v>4817408</v>
      </c>
      <c r="T255" s="199" t="str">
        <f t="shared" si="2"/>
        <v>4817408grams</v>
      </c>
      <c r="U255" s="200">
        <f t="shared" si="3"/>
        <v>506.66</v>
      </c>
      <c r="V255" s="12"/>
      <c r="W255" s="12"/>
    </row>
    <row r="256" spans="1:23" x14ac:dyDescent="0.3">
      <c r="A256" s="183" t="e">
        <f ca="1"/>
        <v>#NAME?</v>
      </c>
      <c r="B256" s="194" t="s">
        <v>612</v>
      </c>
      <c r="C256" s="170"/>
      <c r="D256" s="194" t="str">
        <f ca="1">IFERROR(__xludf.DUMMYFUNCTION("IF(J256="""",""n/a"",IFERROR(SPLIT(J256,""/"")))"),"n/a")</f>
        <v>n/a</v>
      </c>
      <c r="E256" s="170"/>
      <c r="F256" s="170"/>
      <c r="G256" s="170"/>
      <c r="H256" s="206" t="s">
        <v>1898</v>
      </c>
      <c r="I256" s="170"/>
      <c r="J256" s="170"/>
      <c r="K256" s="170"/>
      <c r="L256" s="197">
        <v>0.95833333333333337</v>
      </c>
      <c r="M256" s="207">
        <v>60</v>
      </c>
      <c r="N256" s="207">
        <v>24</v>
      </c>
      <c r="O256" s="170">
        <f t="shared" si="0"/>
        <v>0</v>
      </c>
      <c r="P256" s="209" t="s">
        <v>92</v>
      </c>
      <c r="Q256" s="170"/>
      <c r="R256" s="170"/>
      <c r="S256" s="198">
        <f t="shared" si="1"/>
        <v>1440</v>
      </c>
      <c r="T256" s="199" t="str">
        <f t="shared" si="2"/>
        <v>1440pieces</v>
      </c>
      <c r="U256" s="200">
        <f t="shared" si="3"/>
        <v>57.5</v>
      </c>
      <c r="V256" s="12"/>
      <c r="W256" s="12"/>
    </row>
    <row r="257" spans="1:23" x14ac:dyDescent="0.3">
      <c r="A257" s="183" t="e">
        <f ca="1"/>
        <v>#NAME?</v>
      </c>
      <c r="B257" s="194" t="s">
        <v>613</v>
      </c>
      <c r="C257" s="170"/>
      <c r="D257" s="194" t="str">
        <f ca="1">IFERROR(__xludf.DUMMYFUNCTION("IF(J257="""",""n/a"",IFERROR(SPLIT(J257,""/"")))"),"n/a")</f>
        <v>n/a</v>
      </c>
      <c r="E257" s="170"/>
      <c r="F257" s="170"/>
      <c r="G257" s="170"/>
      <c r="H257" s="206" t="s">
        <v>1898</v>
      </c>
      <c r="I257" s="170"/>
      <c r="J257" s="170"/>
      <c r="K257" s="170"/>
      <c r="L257" s="197">
        <v>0.95833333333333337</v>
      </c>
      <c r="M257" s="207">
        <v>49</v>
      </c>
      <c r="N257" s="207">
        <v>24</v>
      </c>
      <c r="O257" s="170">
        <f t="shared" si="0"/>
        <v>0</v>
      </c>
      <c r="P257" s="209" t="s">
        <v>92</v>
      </c>
      <c r="Q257" s="170"/>
      <c r="R257" s="170"/>
      <c r="S257" s="198">
        <f t="shared" si="1"/>
        <v>1176</v>
      </c>
      <c r="T257" s="199" t="str">
        <f t="shared" si="2"/>
        <v>1176pieces</v>
      </c>
      <c r="U257" s="200">
        <f t="shared" si="3"/>
        <v>46.958333333333336</v>
      </c>
      <c r="V257" s="12"/>
      <c r="W257" s="12"/>
    </row>
    <row r="258" spans="1:23" x14ac:dyDescent="0.3">
      <c r="A258" s="183" t="e">
        <f ca="1"/>
        <v>#NAME?</v>
      </c>
      <c r="B258" s="194" t="s">
        <v>614</v>
      </c>
      <c r="C258" s="170"/>
      <c r="D258" s="194" t="str">
        <f ca="1">IFERROR(__xludf.DUMMYFUNCTION("IF(J258="""",""n/a"",IFERROR(SPLIT(J258,""/"")))"),"n/a")</f>
        <v>n/a</v>
      </c>
      <c r="E258" s="170"/>
      <c r="F258" s="170"/>
      <c r="G258" s="170"/>
      <c r="H258" s="206" t="s">
        <v>1898</v>
      </c>
      <c r="I258" s="170"/>
      <c r="J258" s="170"/>
      <c r="K258" s="170"/>
      <c r="L258" s="197">
        <v>10.72</v>
      </c>
      <c r="M258" s="207">
        <v>41</v>
      </c>
      <c r="N258" s="207">
        <v>1</v>
      </c>
      <c r="O258" s="170">
        <f t="shared" si="0"/>
        <v>0</v>
      </c>
      <c r="P258" s="209" t="s">
        <v>92</v>
      </c>
      <c r="Q258" s="170"/>
      <c r="R258" s="170"/>
      <c r="S258" s="198">
        <f t="shared" si="1"/>
        <v>41</v>
      </c>
      <c r="T258" s="199" t="str">
        <f t="shared" si="2"/>
        <v>41pieces</v>
      </c>
      <c r="U258" s="200">
        <f t="shared" si="3"/>
        <v>439.52000000000004</v>
      </c>
      <c r="V258" s="12"/>
      <c r="W258" s="12"/>
    </row>
    <row r="259" spans="1:23" x14ac:dyDescent="0.3">
      <c r="A259" s="183" t="e">
        <f ca="1"/>
        <v>#NAME?</v>
      </c>
      <c r="B259" s="194" t="s">
        <v>615</v>
      </c>
      <c r="C259" s="170"/>
      <c r="D259" s="194" t="str">
        <f ca="1">IFERROR(__xludf.DUMMYFUNCTION("IF(J259="""",""n/a"",IFERROR(SPLIT(J259,""/"")))"),"n/a")</f>
        <v>n/a</v>
      </c>
      <c r="E259" s="170"/>
      <c r="F259" s="170"/>
      <c r="G259" s="170"/>
      <c r="H259" s="206" t="s">
        <v>1898</v>
      </c>
      <c r="I259" s="170"/>
      <c r="J259" s="170"/>
      <c r="K259" s="170"/>
      <c r="L259" s="197">
        <v>8.64</v>
      </c>
      <c r="M259" s="207">
        <v>54</v>
      </c>
      <c r="N259" s="207">
        <v>48</v>
      </c>
      <c r="O259" s="170">
        <f t="shared" si="0"/>
        <v>0</v>
      </c>
      <c r="P259" s="209" t="s">
        <v>92</v>
      </c>
      <c r="Q259" s="170"/>
      <c r="R259" s="170"/>
      <c r="S259" s="198">
        <f t="shared" si="1"/>
        <v>2592</v>
      </c>
      <c r="T259" s="199" t="str">
        <f t="shared" si="2"/>
        <v>2592pieces</v>
      </c>
      <c r="U259" s="200">
        <f t="shared" si="3"/>
        <v>466.56000000000006</v>
      </c>
      <c r="V259" s="12"/>
      <c r="W259" s="12"/>
    </row>
    <row r="260" spans="1:23" x14ac:dyDescent="0.3">
      <c r="A260" s="183" t="e">
        <f ca="1"/>
        <v>#NAME?</v>
      </c>
      <c r="B260" s="194" t="s">
        <v>396</v>
      </c>
      <c r="C260" s="170"/>
      <c r="D260" s="194" t="str">
        <f ca="1">IFERROR(__xludf.DUMMYFUNCTION("IF(J260="""",""n/a"",IFERROR(SPLIT(J260,""/"")))"),"Suncrest Food")</f>
        <v>Suncrest Food</v>
      </c>
      <c r="E260" s="194" t="str">
        <f ca="1">IFERROR(__xludf.DUMMYFUNCTION("""COMPUTED_VALUE"""),"pack (10pcsx41grams)")</f>
        <v>pack (10pcsx41grams)</v>
      </c>
      <c r="F260" s="170"/>
      <c r="G260" s="170"/>
      <c r="H260" s="183" t="s">
        <v>1895</v>
      </c>
      <c r="I260" s="170"/>
      <c r="J260" s="46" t="s">
        <v>397</v>
      </c>
      <c r="K260" s="170"/>
      <c r="L260" s="195">
        <v>7.51</v>
      </c>
      <c r="M260" s="61">
        <v>320</v>
      </c>
      <c r="N260" s="61">
        <v>1</v>
      </c>
      <c r="O260" s="61" t="str">
        <f t="shared" ca="1" si="0"/>
        <v>pack (10pcsx41grams)</v>
      </c>
      <c r="P260" s="61" t="s">
        <v>92</v>
      </c>
      <c r="Q260" s="170"/>
      <c r="R260" s="170"/>
      <c r="S260" s="198">
        <f t="shared" si="1"/>
        <v>320</v>
      </c>
      <c r="T260" s="199" t="str">
        <f t="shared" si="2"/>
        <v>320pieces</v>
      </c>
      <c r="U260" s="200">
        <f t="shared" si="3"/>
        <v>2403.1999999999998</v>
      </c>
      <c r="V260" s="12"/>
      <c r="W260" s="12"/>
    </row>
    <row r="261" spans="1:23" x14ac:dyDescent="0.3">
      <c r="A261" s="183" t="e">
        <f ca="1"/>
        <v>#NAME?</v>
      </c>
      <c r="B261" s="194" t="s">
        <v>616</v>
      </c>
      <c r="C261" s="170"/>
      <c r="D261" s="194" t="str">
        <f ca="1">IFERROR(__xludf.DUMMYFUNCTION("IF(J261="""",""n/a"",IFERROR(SPLIT(J261,""/"")))"),"n/a")</f>
        <v>n/a</v>
      </c>
      <c r="E261" s="170"/>
      <c r="F261" s="170"/>
      <c r="G261" s="170"/>
      <c r="H261" s="206" t="s">
        <v>1898</v>
      </c>
      <c r="I261" s="170"/>
      <c r="J261" s="170"/>
      <c r="K261" s="170"/>
      <c r="L261" s="197">
        <v>0.21</v>
      </c>
      <c r="M261" s="208">
        <v>500</v>
      </c>
      <c r="N261" s="208">
        <v>500</v>
      </c>
      <c r="O261" s="170">
        <f t="shared" si="0"/>
        <v>0</v>
      </c>
      <c r="P261" s="61" t="s">
        <v>39</v>
      </c>
      <c r="Q261" s="170"/>
      <c r="R261" s="170"/>
      <c r="S261" s="198">
        <f t="shared" si="1"/>
        <v>250000</v>
      </c>
      <c r="T261" s="199" t="str">
        <f t="shared" si="2"/>
        <v>250000grams</v>
      </c>
      <c r="U261" s="200">
        <f t="shared" si="3"/>
        <v>105</v>
      </c>
      <c r="V261" s="12"/>
      <c r="W261" s="12"/>
    </row>
    <row r="262" spans="1:23" x14ac:dyDescent="0.3">
      <c r="A262" s="183" t="e">
        <f ca="1"/>
        <v>#NAME?</v>
      </c>
      <c r="B262" s="194" t="s">
        <v>177</v>
      </c>
      <c r="C262" s="170"/>
      <c r="D262" s="194" t="str">
        <f ca="1">IFERROR(__xludf.DUMMYFUNCTION("IF(J262="""",""n/a"",IFERROR(SPLIT(J262,""/"")))"),"Ram")</f>
        <v>Ram</v>
      </c>
      <c r="E262" s="194" t="str">
        <f ca="1">IFERROR(__xludf.DUMMYFUNCTION("""COMPUTED_VALUE"""),"can")</f>
        <v>can</v>
      </c>
      <c r="F262" s="194" t="str">
        <f ca="1">IFERROR(__xludf.DUMMYFUNCTION("""COMPUTED_VALUE"""),"450grams")</f>
        <v>450grams</v>
      </c>
      <c r="G262" s="170"/>
      <c r="H262" s="183" t="s">
        <v>1897</v>
      </c>
      <c r="I262" s="170"/>
      <c r="J262" s="46" t="s">
        <v>178</v>
      </c>
      <c r="K262" s="170"/>
      <c r="L262" s="195">
        <v>0.10488888888888889</v>
      </c>
      <c r="M262" s="210">
        <v>1350</v>
      </c>
      <c r="N262" s="203">
        <v>450</v>
      </c>
      <c r="O262" s="61" t="str">
        <f t="shared" ca="1" si="0"/>
        <v>can</v>
      </c>
      <c r="P262" s="61" t="s">
        <v>519</v>
      </c>
      <c r="Q262" s="170"/>
      <c r="R262" s="192" t="str">
        <f>CONCATENATE(N262,P262)</f>
        <v>450drained weight grams</v>
      </c>
      <c r="S262" s="198">
        <f t="shared" si="1"/>
        <v>607500</v>
      </c>
      <c r="T262" s="199" t="str">
        <f t="shared" si="2"/>
        <v>607500drained weight grams</v>
      </c>
      <c r="U262" s="200">
        <f t="shared" si="3"/>
        <v>141.6</v>
      </c>
      <c r="V262" s="205">
        <f>U262/M262</f>
        <v>0.10488888888888888</v>
      </c>
      <c r="W262" s="62"/>
    </row>
    <row r="263" spans="1:23" x14ac:dyDescent="0.3">
      <c r="A263" s="183" t="e">
        <f ca="1"/>
        <v>#NAME?</v>
      </c>
      <c r="B263" s="214" t="s">
        <v>177</v>
      </c>
      <c r="C263" s="215"/>
      <c r="D263" s="194" t="str">
        <f ca="1">IFERROR(__xludf.DUMMYFUNCTION("IF(J263="""",""n/a"",IFERROR(SPLIT(J263,""/"")))"),"Ram")</f>
        <v>Ram</v>
      </c>
      <c r="E263" s="214" t="str">
        <f ca="1">IFERROR(__xludf.DUMMYFUNCTION("""COMPUTED_VALUE"""),"can")</f>
        <v>can</v>
      </c>
      <c r="F263" s="214" t="str">
        <f ca="1">IFERROR(__xludf.DUMMYFUNCTION("""COMPUTED_VALUE"""),"450grams")</f>
        <v>450grams</v>
      </c>
      <c r="G263" s="215"/>
      <c r="H263" s="183" t="s">
        <v>1895</v>
      </c>
      <c r="I263" s="170"/>
      <c r="J263" s="46" t="s">
        <v>178</v>
      </c>
      <c r="K263" s="170"/>
      <c r="L263" s="195">
        <v>47.2</v>
      </c>
      <c r="M263" s="61">
        <v>1</v>
      </c>
      <c r="N263" s="61">
        <v>1</v>
      </c>
      <c r="O263" s="61" t="str">
        <f t="shared" ca="1" si="0"/>
        <v>can</v>
      </c>
      <c r="P263" s="61" t="s">
        <v>519</v>
      </c>
      <c r="Q263" s="170"/>
      <c r="R263" s="170"/>
      <c r="S263" s="198">
        <f t="shared" si="1"/>
        <v>1</v>
      </c>
      <c r="T263" s="199" t="str">
        <f t="shared" si="2"/>
        <v>1drained weight grams</v>
      </c>
      <c r="U263" s="200">
        <f t="shared" si="3"/>
        <v>47.2</v>
      </c>
      <c r="V263" s="12"/>
      <c r="W263" s="12"/>
    </row>
    <row r="264" spans="1:23" x14ac:dyDescent="0.3">
      <c r="A264" s="183" t="e">
        <f ca="1"/>
        <v>#NAME?</v>
      </c>
      <c r="B264" s="194" t="s">
        <v>177</v>
      </c>
      <c r="C264" s="170"/>
      <c r="D264" s="194" t="str">
        <f ca="1">IFERROR(__xludf.DUMMYFUNCTION("IF(J264="""",""n/a"",IFERROR(SPLIT(J264,""/"")))"),"n/a")</f>
        <v>n/a</v>
      </c>
      <c r="E264" s="170"/>
      <c r="F264" s="170"/>
      <c r="G264" s="170"/>
      <c r="H264" s="206" t="s">
        <v>1898</v>
      </c>
      <c r="I264" s="170"/>
      <c r="J264" s="170"/>
      <c r="K264" s="170"/>
      <c r="L264" s="197">
        <v>0.24070796460176991</v>
      </c>
      <c r="M264" s="207">
        <v>791</v>
      </c>
      <c r="N264" s="208">
        <v>113</v>
      </c>
      <c r="O264" s="170">
        <f t="shared" ref="O264:O518" si="26">E264</f>
        <v>0</v>
      </c>
      <c r="P264" s="61" t="s">
        <v>39</v>
      </c>
      <c r="Q264" s="170"/>
      <c r="R264" s="170"/>
      <c r="S264" s="198">
        <f t="shared" ref="S264:S518" si="27">M264*N264</f>
        <v>89383</v>
      </c>
      <c r="T264" s="199" t="str">
        <f t="shared" ref="T264:T518" si="28">CONCATENATE(S264,Q264,P264)</f>
        <v>89383grams</v>
      </c>
      <c r="U264" s="200">
        <f t="shared" ref="U264:U518" si="29">L264*M264</f>
        <v>190.4</v>
      </c>
      <c r="V264" s="12"/>
      <c r="W264" s="12"/>
    </row>
    <row r="265" spans="1:23" x14ac:dyDescent="0.3">
      <c r="A265" s="183" t="e">
        <f ca="1"/>
        <v>#NAME?</v>
      </c>
      <c r="B265" s="194" t="s">
        <v>452</v>
      </c>
      <c r="C265" s="170"/>
      <c r="D265" s="194" t="str">
        <f ca="1">IFERROR(__xludf.DUMMYFUNCTION("IF(J265="""",""n/a"",IFERROR(SPLIT(J265,""/"")))"),"Fresh")</f>
        <v>Fresh</v>
      </c>
      <c r="E265" s="170"/>
      <c r="F265" s="170"/>
      <c r="G265" s="170"/>
      <c r="H265" s="183" t="s">
        <v>1895</v>
      </c>
      <c r="I265" s="170"/>
      <c r="J265" s="46" t="s">
        <v>216</v>
      </c>
      <c r="K265" s="170"/>
      <c r="L265" s="195">
        <v>143</v>
      </c>
      <c r="M265" s="61">
        <v>2</v>
      </c>
      <c r="N265" s="61">
        <v>1</v>
      </c>
      <c r="O265" s="170">
        <f t="shared" si="26"/>
        <v>0</v>
      </c>
      <c r="P265" s="61" t="s">
        <v>39</v>
      </c>
      <c r="Q265" s="170"/>
      <c r="R265" s="170"/>
      <c r="S265" s="198">
        <f t="shared" si="27"/>
        <v>2</v>
      </c>
      <c r="T265" s="199" t="str">
        <f t="shared" si="28"/>
        <v>2grams</v>
      </c>
      <c r="U265" s="200">
        <f t="shared" si="29"/>
        <v>286</v>
      </c>
      <c r="V265" s="12"/>
      <c r="W265" s="12"/>
    </row>
    <row r="266" spans="1:23" x14ac:dyDescent="0.3">
      <c r="A266" s="183" t="e">
        <f ca="1"/>
        <v>#NAME?</v>
      </c>
      <c r="B266" s="194" t="s">
        <v>398</v>
      </c>
      <c r="C266" s="170"/>
      <c r="D266" s="194" t="str">
        <f ca="1">IFERROR(__xludf.DUMMYFUNCTION("IF(J266="""",""n/a"",IFERROR(SPLIT(J266,""/"")))"),"Growers")</f>
        <v>Growers</v>
      </c>
      <c r="E266" s="194" t="str">
        <f ca="1">IFERROR(__xludf.DUMMYFUNCTION("""COMPUTED_VALUE"""),"box (24pcsx80grams)")</f>
        <v>box (24pcsx80grams)</v>
      </c>
      <c r="F266" s="170"/>
      <c r="G266" s="170"/>
      <c r="H266" s="183" t="s">
        <v>1895</v>
      </c>
      <c r="I266" s="170"/>
      <c r="J266" s="46" t="s">
        <v>399</v>
      </c>
      <c r="K266" s="170"/>
      <c r="L266" s="195">
        <v>65.44</v>
      </c>
      <c r="M266" s="61">
        <v>24</v>
      </c>
      <c r="N266" s="61">
        <v>1</v>
      </c>
      <c r="O266" s="61" t="str">
        <f t="shared" ca="1" si="26"/>
        <v>box (24pcsx80grams)</v>
      </c>
      <c r="P266" s="61" t="s">
        <v>92</v>
      </c>
      <c r="Q266" s="170"/>
      <c r="R266" s="170"/>
      <c r="S266" s="198">
        <f t="shared" si="27"/>
        <v>24</v>
      </c>
      <c r="T266" s="199" t="str">
        <f t="shared" si="28"/>
        <v>24pieces</v>
      </c>
      <c r="U266" s="200">
        <f t="shared" si="29"/>
        <v>1570.56</v>
      </c>
      <c r="V266" s="12"/>
      <c r="W266" s="12"/>
    </row>
    <row r="267" spans="1:23" x14ac:dyDescent="0.3">
      <c r="A267" s="183" t="e">
        <f ca="1"/>
        <v>#NAME?</v>
      </c>
      <c r="B267" s="194" t="s">
        <v>257</v>
      </c>
      <c r="C267" s="170"/>
      <c r="D267" s="194" t="str">
        <f ca="1">IFERROR(__xludf.DUMMYFUNCTION("IF(J267="""",""n/a"",IFERROR(SPLIT(J267,""/"")))"),"Sure buy")</f>
        <v>Sure buy</v>
      </c>
      <c r="E267" s="194" t="str">
        <f ca="1">IFERROR(__xludf.DUMMYFUNCTION("""COMPUTED_VALUE"""),"pack")</f>
        <v>pack</v>
      </c>
      <c r="F267" s="194" t="str">
        <f ca="1">IFERROR(__xludf.DUMMYFUNCTION("""COMPUTED_VALUE"""),"30grams")</f>
        <v>30grams</v>
      </c>
      <c r="G267" s="170"/>
      <c r="H267" s="183" t="s">
        <v>1895</v>
      </c>
      <c r="I267" s="170"/>
      <c r="J267" s="46" t="s">
        <v>258</v>
      </c>
      <c r="K267" s="170"/>
      <c r="L267" s="195">
        <v>20.25</v>
      </c>
      <c r="M267" s="61">
        <v>2</v>
      </c>
      <c r="N267" s="61">
        <v>1</v>
      </c>
      <c r="O267" s="61" t="str">
        <f t="shared" ca="1" si="26"/>
        <v>pack</v>
      </c>
      <c r="P267" s="61" t="s">
        <v>39</v>
      </c>
      <c r="Q267" s="170"/>
      <c r="R267" s="170"/>
      <c r="S267" s="198">
        <f t="shared" si="27"/>
        <v>2</v>
      </c>
      <c r="T267" s="199" t="str">
        <f t="shared" si="28"/>
        <v>2grams</v>
      </c>
      <c r="U267" s="200">
        <f t="shared" si="29"/>
        <v>40.5</v>
      </c>
      <c r="V267" s="12"/>
      <c r="W267" s="12"/>
    </row>
    <row r="268" spans="1:23" x14ac:dyDescent="0.3">
      <c r="A268" s="183" t="e">
        <f ca="1"/>
        <v>#NAME?</v>
      </c>
      <c r="B268" s="194" t="s">
        <v>99</v>
      </c>
      <c r="C268" s="170"/>
      <c r="D268" s="194" t="str">
        <f ca="1">IFERROR(__xludf.DUMMYFUNCTION("IF(J268="""",""n/a"",IFERROR(SPLIT(J268,""/"")))"),"Pepsi")</f>
        <v>Pepsi</v>
      </c>
      <c r="E268" s="194" t="str">
        <f ca="1">IFERROR(__xludf.DUMMYFUNCTION("""COMPUTED_VALUE"""),"case (24x500ml)")</f>
        <v>case (24x500ml)</v>
      </c>
      <c r="F268" s="170"/>
      <c r="G268" s="170"/>
      <c r="H268" s="183" t="s">
        <v>1895</v>
      </c>
      <c r="I268" s="170"/>
      <c r="J268" s="46" t="s">
        <v>100</v>
      </c>
      <c r="K268" s="170"/>
      <c r="L268" s="195">
        <v>33.619999999999997</v>
      </c>
      <c r="M268" s="61">
        <v>69</v>
      </c>
      <c r="N268" s="61">
        <v>1</v>
      </c>
      <c r="O268" s="61" t="str">
        <f t="shared" ca="1" si="26"/>
        <v>case (24x500ml)</v>
      </c>
      <c r="P268" s="61" t="s">
        <v>92</v>
      </c>
      <c r="Q268" s="170"/>
      <c r="R268" s="170"/>
      <c r="S268" s="198">
        <f t="shared" si="27"/>
        <v>69</v>
      </c>
      <c r="T268" s="199" t="str">
        <f t="shared" si="28"/>
        <v>69pieces</v>
      </c>
      <c r="U268" s="200">
        <f t="shared" si="29"/>
        <v>2319.7799999999997</v>
      </c>
      <c r="V268" s="12"/>
      <c r="W268" s="12"/>
    </row>
    <row r="269" spans="1:23" x14ac:dyDescent="0.3">
      <c r="A269" s="183" t="e">
        <f ca="1"/>
        <v>#NAME?</v>
      </c>
      <c r="B269" s="194" t="s">
        <v>617</v>
      </c>
      <c r="C269" s="170"/>
      <c r="D269" s="194" t="str">
        <f ca="1">IFERROR(__xludf.DUMMYFUNCTION("IF(J269="""",""n/a"",IFERROR(SPLIT(J269,""/"")))"),"n/a")</f>
        <v>n/a</v>
      </c>
      <c r="E269" s="170"/>
      <c r="F269" s="170"/>
      <c r="G269" s="170"/>
      <c r="H269" s="206" t="s">
        <v>1898</v>
      </c>
      <c r="I269" s="170"/>
      <c r="J269" s="170"/>
      <c r="K269" s="170"/>
      <c r="L269" s="197">
        <v>342</v>
      </c>
      <c r="M269" s="208">
        <v>1</v>
      </c>
      <c r="N269" s="208">
        <v>1</v>
      </c>
      <c r="O269" s="170">
        <f t="shared" si="26"/>
        <v>0</v>
      </c>
      <c r="P269" s="61" t="s">
        <v>200</v>
      </c>
      <c r="Q269" s="170"/>
      <c r="R269" s="170"/>
      <c r="S269" s="198">
        <f t="shared" si="27"/>
        <v>1</v>
      </c>
      <c r="T269" s="199" t="str">
        <f t="shared" si="28"/>
        <v>1gal</v>
      </c>
      <c r="U269" s="200">
        <f t="shared" si="29"/>
        <v>342</v>
      </c>
      <c r="V269" s="12"/>
      <c r="W269" s="12"/>
    </row>
    <row r="270" spans="1:23" x14ac:dyDescent="0.3">
      <c r="A270" s="183" t="e">
        <f ca="1"/>
        <v>#NAME?</v>
      </c>
      <c r="B270" s="194" t="s">
        <v>453</v>
      </c>
      <c r="C270" s="170"/>
      <c r="D270" s="194" t="str">
        <f ca="1">IFERROR(__xludf.DUMMYFUNCTION("IF(J270="""",""n/a"",IFERROR(SPLIT(J270,""/"")))"),"Fresh")</f>
        <v>Fresh</v>
      </c>
      <c r="E270" s="170"/>
      <c r="F270" s="170"/>
      <c r="G270" s="170"/>
      <c r="H270" s="183" t="s">
        <v>1895</v>
      </c>
      <c r="I270" s="170"/>
      <c r="J270" s="46" t="s">
        <v>216</v>
      </c>
      <c r="K270" s="170"/>
      <c r="L270" s="195">
        <v>130</v>
      </c>
      <c r="M270" s="61">
        <v>3</v>
      </c>
      <c r="N270" s="61">
        <v>1</v>
      </c>
      <c r="O270" s="170">
        <f t="shared" si="26"/>
        <v>0</v>
      </c>
      <c r="P270" s="61" t="s">
        <v>39</v>
      </c>
      <c r="Q270" s="170"/>
      <c r="R270" s="170"/>
      <c r="S270" s="198">
        <f t="shared" si="27"/>
        <v>3</v>
      </c>
      <c r="T270" s="199" t="str">
        <f t="shared" si="28"/>
        <v>3grams</v>
      </c>
      <c r="U270" s="200">
        <f t="shared" si="29"/>
        <v>390</v>
      </c>
      <c r="V270" s="12"/>
      <c r="W270" s="12"/>
    </row>
    <row r="271" spans="1:23" x14ac:dyDescent="0.3">
      <c r="A271" s="183" t="e">
        <f ca="1"/>
        <v>#NAME?</v>
      </c>
      <c r="B271" s="194" t="s">
        <v>618</v>
      </c>
      <c r="C271" s="170"/>
      <c r="D271" s="194" t="str">
        <f ca="1">IFERROR(__xludf.DUMMYFUNCTION("IF(J271="""",""n/a"",IFERROR(SPLIT(J271,""/"")))"),"n/a")</f>
        <v>n/a</v>
      </c>
      <c r="E271" s="170"/>
      <c r="F271" s="170"/>
      <c r="G271" s="170"/>
      <c r="H271" s="206" t="s">
        <v>1898</v>
      </c>
      <c r="I271" s="170"/>
      <c r="J271" s="170"/>
      <c r="K271" s="170"/>
      <c r="L271" s="197">
        <v>0.16639999999999999</v>
      </c>
      <c r="M271" s="207">
        <v>750</v>
      </c>
      <c r="N271" s="208">
        <v>250</v>
      </c>
      <c r="O271" s="170">
        <f t="shared" si="26"/>
        <v>0</v>
      </c>
      <c r="P271" s="222" t="s">
        <v>39</v>
      </c>
      <c r="Q271" s="170"/>
      <c r="R271" s="170"/>
      <c r="S271" s="198">
        <f t="shared" si="27"/>
        <v>187500</v>
      </c>
      <c r="T271" s="199" t="str">
        <f t="shared" si="28"/>
        <v>187500grams</v>
      </c>
      <c r="U271" s="200">
        <f t="shared" si="29"/>
        <v>124.8</v>
      </c>
      <c r="V271" s="12"/>
      <c r="W271" s="12"/>
    </row>
    <row r="272" spans="1:23" x14ac:dyDescent="0.3">
      <c r="A272" s="183" t="e">
        <f ca="1"/>
        <v>#NAME?</v>
      </c>
      <c r="B272" s="194" t="s">
        <v>66</v>
      </c>
      <c r="C272" s="170"/>
      <c r="D272" s="194" t="str">
        <f ca="1">IFERROR(__xludf.DUMMYFUNCTION("IF(J272="""",""n/a"",IFERROR(SPLIT(J272,""/"")))"),"Polar Bear")</f>
        <v>Polar Bear</v>
      </c>
      <c r="E272" s="194" t="str">
        <f ca="1">IFERROR(__xludf.DUMMYFUNCTION("""COMPUTED_VALUE"""),"pack")</f>
        <v>pack</v>
      </c>
      <c r="F272" s="194" t="str">
        <f ca="1">IFERROR(__xludf.DUMMYFUNCTION("""COMPUTED_VALUE"""),"500grams")</f>
        <v>500grams</v>
      </c>
      <c r="G272" s="170"/>
      <c r="H272" s="183" t="s">
        <v>1897</v>
      </c>
      <c r="I272" s="170"/>
      <c r="J272" s="46" t="s">
        <v>67</v>
      </c>
      <c r="K272" s="170"/>
      <c r="L272" s="195">
        <v>0.115</v>
      </c>
      <c r="M272" s="213">
        <v>2000</v>
      </c>
      <c r="N272" s="203">
        <v>500</v>
      </c>
      <c r="O272" s="61" t="str">
        <f t="shared" ca="1" si="26"/>
        <v>pack</v>
      </c>
      <c r="P272" s="61" t="s">
        <v>39</v>
      </c>
      <c r="Q272" s="61" t="s">
        <v>33</v>
      </c>
      <c r="R272" s="192" t="str">
        <f t="shared" ref="R272:R273" si="30">CONCATENATE(N272,P272)</f>
        <v>500grams</v>
      </c>
      <c r="S272" s="198">
        <f t="shared" si="27"/>
        <v>1000000</v>
      </c>
      <c r="T272" s="199" t="str">
        <f t="shared" si="28"/>
        <v>1000000 grams</v>
      </c>
      <c r="U272" s="200">
        <f t="shared" si="29"/>
        <v>230</v>
      </c>
      <c r="V272" s="205">
        <f t="shared" ref="V272:V273" si="31">U272/M272</f>
        <v>0.115</v>
      </c>
      <c r="W272" s="62"/>
    </row>
    <row r="273" spans="1:23" x14ac:dyDescent="0.3">
      <c r="A273" s="183" t="e">
        <f ca="1"/>
        <v>#NAME?</v>
      </c>
      <c r="B273" s="194" t="s">
        <v>66</v>
      </c>
      <c r="C273" s="170"/>
      <c r="D273" s="194" t="str">
        <f ca="1">IFERROR(__xludf.DUMMYFUNCTION("IF(J273="""",""n/a"",IFERROR(SPLIT(J273,""/"")))"),"Kings")</f>
        <v>Kings</v>
      </c>
      <c r="E273" s="194" t="str">
        <f ca="1">IFERROR(__xludf.DUMMYFUNCTION("""COMPUTED_VALUE"""),"pack")</f>
        <v>pack</v>
      </c>
      <c r="F273" s="194" t="str">
        <f ca="1">IFERROR(__xludf.DUMMYFUNCTION("""COMPUTED_VALUE"""),"500grams")</f>
        <v>500grams</v>
      </c>
      <c r="G273" s="170"/>
      <c r="H273" s="183" t="s">
        <v>1897</v>
      </c>
      <c r="I273" s="170"/>
      <c r="J273" s="46" t="s">
        <v>619</v>
      </c>
      <c r="K273" s="170"/>
      <c r="L273" s="195">
        <v>0.19</v>
      </c>
      <c r="M273" s="203">
        <v>3000</v>
      </c>
      <c r="N273" s="203">
        <v>500</v>
      </c>
      <c r="O273" s="61" t="str">
        <f t="shared" ca="1" si="26"/>
        <v>pack</v>
      </c>
      <c r="P273" s="61" t="s">
        <v>39</v>
      </c>
      <c r="Q273" s="61" t="s">
        <v>33</v>
      </c>
      <c r="R273" s="192" t="str">
        <f t="shared" si="30"/>
        <v>500grams</v>
      </c>
      <c r="S273" s="198">
        <f t="shared" si="27"/>
        <v>1500000</v>
      </c>
      <c r="T273" s="199" t="str">
        <f t="shared" si="28"/>
        <v>1500000 grams</v>
      </c>
      <c r="U273" s="200">
        <f t="shared" si="29"/>
        <v>570</v>
      </c>
      <c r="V273" s="205">
        <f t="shared" si="31"/>
        <v>0.19</v>
      </c>
      <c r="W273" s="62"/>
    </row>
    <row r="274" spans="1:23" x14ac:dyDescent="0.3">
      <c r="A274" s="183" t="e">
        <f ca="1"/>
        <v>#NAME?</v>
      </c>
      <c r="B274" s="194" t="s">
        <v>66</v>
      </c>
      <c r="C274" s="170"/>
      <c r="D274" s="194" t="str">
        <f ca="1">IFERROR(__xludf.DUMMYFUNCTION("IF(J274="""",""n/a"",IFERROR(SPLIT(J274,""/"")))"),"Polar Bear")</f>
        <v>Polar Bear</v>
      </c>
      <c r="E274" s="194" t="str">
        <f ca="1">IFERROR(__xludf.DUMMYFUNCTION("""COMPUTED_VALUE"""),"pack")</f>
        <v>pack</v>
      </c>
      <c r="F274" s="194" t="str">
        <f ca="1">IFERROR(__xludf.DUMMYFUNCTION("""COMPUTED_VALUE"""),"500grams")</f>
        <v>500grams</v>
      </c>
      <c r="G274" s="170"/>
      <c r="H274" s="183" t="s">
        <v>1895</v>
      </c>
      <c r="I274" s="170"/>
      <c r="J274" s="46" t="s">
        <v>67</v>
      </c>
      <c r="K274" s="170"/>
      <c r="L274" s="195">
        <v>57.5</v>
      </c>
      <c r="M274" s="61">
        <v>2</v>
      </c>
      <c r="N274" s="61">
        <v>500</v>
      </c>
      <c r="O274" s="61" t="str">
        <f t="shared" ca="1" si="26"/>
        <v>pack</v>
      </c>
      <c r="P274" s="61" t="s">
        <v>39</v>
      </c>
      <c r="Q274" s="170"/>
      <c r="R274" s="170"/>
      <c r="S274" s="198">
        <f t="shared" si="27"/>
        <v>1000</v>
      </c>
      <c r="T274" s="199" t="str">
        <f t="shared" si="28"/>
        <v>1000grams</v>
      </c>
      <c r="U274" s="200">
        <f t="shared" si="29"/>
        <v>115</v>
      </c>
      <c r="V274" s="12"/>
      <c r="W274" s="12"/>
    </row>
    <row r="275" spans="1:23" x14ac:dyDescent="0.3">
      <c r="A275" s="183" t="e">
        <f ca="1"/>
        <v>#NAME?</v>
      </c>
      <c r="B275" s="194" t="s">
        <v>620</v>
      </c>
      <c r="C275" s="170"/>
      <c r="D275" s="194" t="str">
        <f ca="1">IFERROR(__xludf.DUMMYFUNCTION("IF(J275="""",""n/a"",IFERROR(SPLIT(J275,""/"")))"),"n/a")</f>
        <v>n/a</v>
      </c>
      <c r="E275" s="170"/>
      <c r="F275" s="170"/>
      <c r="G275" s="170"/>
      <c r="H275" s="206" t="s">
        <v>1898</v>
      </c>
      <c r="I275" s="170"/>
      <c r="J275" s="170"/>
      <c r="K275" s="170"/>
      <c r="L275" s="197">
        <v>186</v>
      </c>
      <c r="M275" s="208">
        <v>20</v>
      </c>
      <c r="N275" s="227">
        <v>1</v>
      </c>
      <c r="O275" s="170">
        <f t="shared" si="26"/>
        <v>0</v>
      </c>
      <c r="P275" s="61" t="s">
        <v>213</v>
      </c>
      <c r="Q275" s="170"/>
      <c r="R275" s="170"/>
      <c r="S275" s="198">
        <f t="shared" si="27"/>
        <v>20</v>
      </c>
      <c r="T275" s="199" t="str">
        <f t="shared" si="28"/>
        <v>20kilos</v>
      </c>
      <c r="U275" s="200">
        <f t="shared" si="29"/>
        <v>3720</v>
      </c>
      <c r="V275" s="12"/>
      <c r="W275" s="12"/>
    </row>
    <row r="276" spans="1:23" x14ac:dyDescent="0.3">
      <c r="A276" s="183" t="e">
        <f ca="1"/>
        <v>#NAME?</v>
      </c>
      <c r="B276" s="194" t="s">
        <v>621</v>
      </c>
      <c r="C276" s="170"/>
      <c r="D276" s="194" t="str">
        <f ca="1">IFERROR(__xludf.DUMMYFUNCTION("IF(J276="""",""n/a"",IFERROR(SPLIT(J276,""/"")))"),"n/a")</f>
        <v>n/a</v>
      </c>
      <c r="E276" s="170"/>
      <c r="F276" s="170"/>
      <c r="G276" s="170"/>
      <c r="H276" s="206" t="s">
        <v>1898</v>
      </c>
      <c r="I276" s="170"/>
      <c r="J276" s="170"/>
      <c r="K276" s="170"/>
      <c r="L276" s="197">
        <v>177.4</v>
      </c>
      <c r="M276" s="208">
        <v>2</v>
      </c>
      <c r="N276" s="208">
        <v>1</v>
      </c>
      <c r="O276" s="170">
        <f t="shared" si="26"/>
        <v>0</v>
      </c>
      <c r="P276" s="61" t="s">
        <v>92</v>
      </c>
      <c r="Q276" s="170"/>
      <c r="R276" s="170"/>
      <c r="S276" s="198">
        <f t="shared" si="27"/>
        <v>2</v>
      </c>
      <c r="T276" s="199" t="str">
        <f t="shared" si="28"/>
        <v>2pieces</v>
      </c>
      <c r="U276" s="200">
        <f t="shared" si="29"/>
        <v>354.8</v>
      </c>
      <c r="V276" s="12"/>
      <c r="W276" s="12"/>
    </row>
    <row r="277" spans="1:23" x14ac:dyDescent="0.3">
      <c r="A277" s="183" t="e">
        <f ca="1"/>
        <v>#NAME?</v>
      </c>
      <c r="B277" s="194" t="s">
        <v>622</v>
      </c>
      <c r="C277" s="170"/>
      <c r="D277" s="194" t="str">
        <f ca="1">IFERROR(__xludf.DUMMYFUNCTION("IF(J277="""",""n/a"",IFERROR(SPLIT(J277,""/"")))"),"n/a")</f>
        <v>n/a</v>
      </c>
      <c r="E277" s="170"/>
      <c r="F277" s="170"/>
      <c r="G277" s="170"/>
      <c r="H277" s="206" t="s">
        <v>1898</v>
      </c>
      <c r="I277" s="170"/>
      <c r="J277" s="170"/>
      <c r="K277" s="170"/>
      <c r="L277" s="197">
        <v>118</v>
      </c>
      <c r="M277" s="208">
        <v>3</v>
      </c>
      <c r="N277" s="208">
        <v>1</v>
      </c>
      <c r="O277" s="170">
        <f t="shared" si="26"/>
        <v>0</v>
      </c>
      <c r="P277" s="61" t="s">
        <v>92</v>
      </c>
      <c r="Q277" s="170"/>
      <c r="R277" s="170"/>
      <c r="S277" s="198">
        <f t="shared" si="27"/>
        <v>3</v>
      </c>
      <c r="T277" s="199" t="str">
        <f t="shared" si="28"/>
        <v>3pieces</v>
      </c>
      <c r="U277" s="200">
        <f t="shared" si="29"/>
        <v>354</v>
      </c>
      <c r="V277" s="12"/>
      <c r="W277" s="12"/>
    </row>
    <row r="278" spans="1:23" x14ac:dyDescent="0.3">
      <c r="A278" s="183" t="e">
        <f ca="1"/>
        <v>#NAME?</v>
      </c>
      <c r="B278" s="194" t="s">
        <v>400</v>
      </c>
      <c r="C278" s="170"/>
      <c r="D278" s="194" t="str">
        <f ca="1">IFERROR(__xludf.DUMMYFUNCTION("IF(J278="""",""n/a"",IFERROR(SPLIT(J278,""/"")))"),"M.Y San")</f>
        <v>M.Y San</v>
      </c>
      <c r="E278" s="194" t="str">
        <f ca="1">IFERROR(__xludf.DUMMYFUNCTION("""COMPUTED_VALUE"""),"pack (210grams)")</f>
        <v>pack (210grams)</v>
      </c>
      <c r="F278" s="170"/>
      <c r="G278" s="170"/>
      <c r="H278" s="183" t="s">
        <v>1895</v>
      </c>
      <c r="I278" s="170"/>
      <c r="J278" s="46" t="s">
        <v>401</v>
      </c>
      <c r="K278" s="170"/>
      <c r="L278" s="195">
        <v>41.9</v>
      </c>
      <c r="M278" s="61">
        <v>15</v>
      </c>
      <c r="N278" s="61">
        <v>1</v>
      </c>
      <c r="O278" s="61" t="str">
        <f t="shared" ca="1" si="26"/>
        <v>pack (210grams)</v>
      </c>
      <c r="P278" s="61" t="s">
        <v>92</v>
      </c>
      <c r="Q278" s="170"/>
      <c r="R278" s="170"/>
      <c r="S278" s="198">
        <f t="shared" si="27"/>
        <v>15</v>
      </c>
      <c r="T278" s="199" t="str">
        <f t="shared" si="28"/>
        <v>15pieces</v>
      </c>
      <c r="U278" s="200">
        <f t="shared" si="29"/>
        <v>628.5</v>
      </c>
      <c r="V278" s="12"/>
      <c r="W278" s="12"/>
    </row>
    <row r="279" spans="1:23" x14ac:dyDescent="0.3">
      <c r="A279" s="183" t="e">
        <f ca="1"/>
        <v>#NAME?</v>
      </c>
      <c r="B279" s="194" t="s">
        <v>400</v>
      </c>
      <c r="C279" s="170"/>
      <c r="D279" s="194" t="str">
        <f ca="1">IFERROR(__xludf.DUMMYFUNCTION("IF(J279="""",""n/a"",IFERROR(SPLIT(J279,""/"")))"),"n/a")</f>
        <v>n/a</v>
      </c>
      <c r="E279" s="170"/>
      <c r="F279" s="170"/>
      <c r="G279" s="170"/>
      <c r="H279" s="206" t="s">
        <v>1898</v>
      </c>
      <c r="I279" s="170"/>
      <c r="J279" s="170"/>
      <c r="K279" s="170"/>
      <c r="L279" s="197">
        <v>41.9</v>
      </c>
      <c r="M279" s="208">
        <v>9</v>
      </c>
      <c r="N279" s="208">
        <v>1</v>
      </c>
      <c r="O279" s="170">
        <f t="shared" si="26"/>
        <v>0</v>
      </c>
      <c r="P279" s="61" t="s">
        <v>92</v>
      </c>
      <c r="Q279" s="170"/>
      <c r="R279" s="170"/>
      <c r="S279" s="198">
        <f t="shared" si="27"/>
        <v>9</v>
      </c>
      <c r="T279" s="199" t="str">
        <f t="shared" si="28"/>
        <v>9pieces</v>
      </c>
      <c r="U279" s="200">
        <f t="shared" si="29"/>
        <v>377.09999999999997</v>
      </c>
      <c r="V279" s="12"/>
      <c r="W279" s="12"/>
    </row>
    <row r="280" spans="1:23" x14ac:dyDescent="0.3">
      <c r="A280" s="183" t="e">
        <f ca="1"/>
        <v>#NAME?</v>
      </c>
      <c r="B280" s="194" t="s">
        <v>402</v>
      </c>
      <c r="C280" s="170"/>
      <c r="D280" s="194" t="str">
        <f ca="1">IFERROR(__xludf.DUMMYFUNCTION("IF(J280="""",""n/a"",IFERROR(SPLIT(J280,""/"")))"),"M.Y San")</f>
        <v>M.Y San</v>
      </c>
      <c r="E280" s="194" t="str">
        <f ca="1">IFERROR(__xludf.DUMMYFUNCTION("""COMPUTED_VALUE"""),"pack (200grams)")</f>
        <v>pack (200grams)</v>
      </c>
      <c r="F280" s="170"/>
      <c r="G280" s="170"/>
      <c r="H280" s="183" t="s">
        <v>1897</v>
      </c>
      <c r="I280" s="170"/>
      <c r="J280" s="46" t="s">
        <v>403</v>
      </c>
      <c r="K280" s="170"/>
      <c r="L280" s="195">
        <v>41.2</v>
      </c>
      <c r="M280" s="203">
        <v>1</v>
      </c>
      <c r="N280" s="203">
        <v>1</v>
      </c>
      <c r="O280" s="61" t="str">
        <f t="shared" ca="1" si="26"/>
        <v>pack (200grams)</v>
      </c>
      <c r="P280" s="61" t="s">
        <v>92</v>
      </c>
      <c r="Q280" s="170"/>
      <c r="R280" s="192" t="str">
        <f>CONCATENATE(N280,P280)</f>
        <v>1pieces</v>
      </c>
      <c r="S280" s="198">
        <f t="shared" si="27"/>
        <v>1</v>
      </c>
      <c r="T280" s="199" t="str">
        <f t="shared" si="28"/>
        <v>1pieces</v>
      </c>
      <c r="U280" s="200">
        <f t="shared" si="29"/>
        <v>41.2</v>
      </c>
      <c r="V280" s="12"/>
      <c r="W280" s="12"/>
    </row>
    <row r="281" spans="1:23" x14ac:dyDescent="0.3">
      <c r="A281" s="183" t="e">
        <f ca="1"/>
        <v>#NAME?</v>
      </c>
      <c r="B281" s="194" t="s">
        <v>402</v>
      </c>
      <c r="C281" s="170"/>
      <c r="D281" s="194" t="str">
        <f ca="1">IFERROR(__xludf.DUMMYFUNCTION("IF(J281="""",""n/a"",IFERROR(SPLIT(J281,""/"")))"),"M.Y San")</f>
        <v>M.Y San</v>
      </c>
      <c r="E281" s="194" t="str">
        <f ca="1">IFERROR(__xludf.DUMMYFUNCTION("""COMPUTED_VALUE"""),"pack (200grams)")</f>
        <v>pack (200grams)</v>
      </c>
      <c r="F281" s="170"/>
      <c r="G281" s="170"/>
      <c r="H281" s="183" t="s">
        <v>1895</v>
      </c>
      <c r="I281" s="170"/>
      <c r="J281" s="46" t="s">
        <v>403</v>
      </c>
      <c r="K281" s="170"/>
      <c r="L281" s="195">
        <v>47.3</v>
      </c>
      <c r="M281" s="61">
        <v>5</v>
      </c>
      <c r="N281" s="61">
        <v>1</v>
      </c>
      <c r="O281" s="61" t="str">
        <f t="shared" ca="1" si="26"/>
        <v>pack (200grams)</v>
      </c>
      <c r="P281" s="61" t="s">
        <v>92</v>
      </c>
      <c r="Q281" s="170"/>
      <c r="R281" s="170"/>
      <c r="S281" s="198">
        <f t="shared" si="27"/>
        <v>5</v>
      </c>
      <c r="T281" s="199" t="str">
        <f t="shared" si="28"/>
        <v>5pieces</v>
      </c>
      <c r="U281" s="200">
        <f t="shared" si="29"/>
        <v>236.5</v>
      </c>
      <c r="V281" s="12"/>
      <c r="W281" s="12"/>
    </row>
    <row r="282" spans="1:23" x14ac:dyDescent="0.3">
      <c r="A282" s="183" t="e">
        <f ca="1"/>
        <v>#NAME?</v>
      </c>
      <c r="B282" s="194" t="s">
        <v>623</v>
      </c>
      <c r="C282" s="170"/>
      <c r="D282" s="194" t="str">
        <f ca="1">IFERROR(__xludf.DUMMYFUNCTION("IF(J282="""",""n/a"",IFERROR(SPLIT(J282,""/"")))"),"Jolly")</f>
        <v>Jolly</v>
      </c>
      <c r="E282" s="194" t="str">
        <f ca="1">IFERROR(__xludf.DUMMYFUNCTION("""COMPUTED_VALUE"""),"can")</f>
        <v>can</v>
      </c>
      <c r="F282" s="194" t="str">
        <f ca="1">IFERROR(__xludf.DUMMYFUNCTION("""COMPUTED_VALUE"""),"540grams")</f>
        <v>540grams</v>
      </c>
      <c r="G282" s="170"/>
      <c r="H282" s="183" t="s">
        <v>1897</v>
      </c>
      <c r="I282" s="170"/>
      <c r="J282" s="46" t="s">
        <v>624</v>
      </c>
      <c r="K282" s="170"/>
      <c r="L282" s="195">
        <v>9.4444444444444442E-2</v>
      </c>
      <c r="M282" s="210">
        <v>1080</v>
      </c>
      <c r="N282" s="203">
        <v>540</v>
      </c>
      <c r="O282" s="61" t="str">
        <f t="shared" ca="1" si="26"/>
        <v>can</v>
      </c>
      <c r="P282" s="61" t="s">
        <v>39</v>
      </c>
      <c r="Q282" s="170"/>
      <c r="R282" s="192" t="str">
        <f>CONCATENATE(N282,P282)</f>
        <v>540grams</v>
      </c>
      <c r="S282" s="198">
        <f t="shared" si="27"/>
        <v>583200</v>
      </c>
      <c r="T282" s="199" t="str">
        <f t="shared" si="28"/>
        <v>583200grams</v>
      </c>
      <c r="U282" s="200">
        <f t="shared" si="29"/>
        <v>102</v>
      </c>
      <c r="V282" s="205">
        <f>U282/M282</f>
        <v>9.4444444444444442E-2</v>
      </c>
      <c r="W282" s="62"/>
    </row>
    <row r="283" spans="1:23" x14ac:dyDescent="0.3">
      <c r="A283" s="183" t="e">
        <f ca="1"/>
        <v>#NAME?</v>
      </c>
      <c r="B283" s="194" t="s">
        <v>623</v>
      </c>
      <c r="C283" s="170"/>
      <c r="D283" s="194" t="str">
        <f ca="1">IFERROR(__xludf.DUMMYFUNCTION("IF(J283="""",""n/a"",IFERROR(SPLIT(J283,""/"")))"),"n/a")</f>
        <v>n/a</v>
      </c>
      <c r="E283" s="170"/>
      <c r="F283" s="170"/>
      <c r="G283" s="170"/>
      <c r="H283" s="206" t="s">
        <v>1898</v>
      </c>
      <c r="I283" s="170"/>
      <c r="J283" s="170"/>
      <c r="K283" s="170"/>
      <c r="L283" s="197">
        <v>9.6296296296296297E-2</v>
      </c>
      <c r="M283" s="207">
        <v>1620</v>
      </c>
      <c r="N283" s="208">
        <v>540</v>
      </c>
      <c r="O283" s="170">
        <f t="shared" si="26"/>
        <v>0</v>
      </c>
      <c r="P283" s="61" t="s">
        <v>39</v>
      </c>
      <c r="Q283" s="170"/>
      <c r="R283" s="170"/>
      <c r="S283" s="198">
        <f t="shared" si="27"/>
        <v>874800</v>
      </c>
      <c r="T283" s="199" t="str">
        <f t="shared" si="28"/>
        <v>874800grams</v>
      </c>
      <c r="U283" s="200">
        <f t="shared" si="29"/>
        <v>156</v>
      </c>
      <c r="V283" s="12"/>
      <c r="W283" s="12"/>
    </row>
    <row r="284" spans="1:23" x14ac:dyDescent="0.3">
      <c r="A284" s="183" t="e">
        <f ca="1"/>
        <v>#NAME?</v>
      </c>
      <c r="B284" s="194" t="s">
        <v>625</v>
      </c>
      <c r="C284" s="170"/>
      <c r="D284" s="194" t="str">
        <f ca="1">IFERROR(__xludf.DUMMYFUNCTION("IF(J284="""",""n/a"",IFERROR(SPLIT(J284,""/"")))"),"Great Taste")</f>
        <v>Great Taste</v>
      </c>
      <c r="E284" s="194" t="str">
        <f ca="1">IFERROR(__xludf.DUMMYFUNCTION("""COMPUTED_VALUE"""),"pack (10pcsx30grams)")</f>
        <v>pack (10pcsx30grams)</v>
      </c>
      <c r="F284" s="170"/>
      <c r="G284" s="170"/>
      <c r="H284" s="183" t="s">
        <v>1897</v>
      </c>
      <c r="I284" s="170"/>
      <c r="J284" s="46" t="s">
        <v>626</v>
      </c>
      <c r="K284" s="170"/>
      <c r="L284" s="204">
        <v>7.72</v>
      </c>
      <c r="M284" s="203">
        <v>314</v>
      </c>
      <c r="N284" s="203">
        <v>1</v>
      </c>
      <c r="O284" s="61" t="str">
        <f t="shared" ca="1" si="26"/>
        <v>pack (10pcsx30grams)</v>
      </c>
      <c r="P284" s="61" t="s">
        <v>92</v>
      </c>
      <c r="Q284" s="170"/>
      <c r="R284" s="192" t="str">
        <f>CONCATENATE(N284,P284)</f>
        <v>1pieces</v>
      </c>
      <c r="S284" s="198">
        <f t="shared" si="27"/>
        <v>314</v>
      </c>
      <c r="T284" s="199" t="str">
        <f t="shared" si="28"/>
        <v>314pieces</v>
      </c>
      <c r="U284" s="200">
        <f t="shared" si="29"/>
        <v>2424.08</v>
      </c>
      <c r="V284" s="205">
        <f>U284/M284</f>
        <v>7.72</v>
      </c>
      <c r="W284" s="62"/>
    </row>
    <row r="285" spans="1:23" x14ac:dyDescent="0.3">
      <c r="A285" s="183" t="e">
        <f ca="1"/>
        <v>#NAME?</v>
      </c>
      <c r="B285" s="194" t="s">
        <v>627</v>
      </c>
      <c r="C285" s="170"/>
      <c r="D285" s="194" t="str">
        <f ca="1">IFERROR(__xludf.DUMMYFUNCTION("IF(J285="""",""n/a"",IFERROR(SPLIT(J285,""/"")))"),"n/a")</f>
        <v>n/a</v>
      </c>
      <c r="E285" s="170"/>
      <c r="F285" s="170"/>
      <c r="G285" s="170"/>
      <c r="H285" s="206" t="s">
        <v>1898</v>
      </c>
      <c r="I285" s="170"/>
      <c r="J285" s="170"/>
      <c r="K285" s="170"/>
      <c r="L285" s="197">
        <v>7.9</v>
      </c>
      <c r="M285" s="207">
        <v>30</v>
      </c>
      <c r="N285" s="208">
        <v>10</v>
      </c>
      <c r="O285" s="170">
        <f t="shared" si="26"/>
        <v>0</v>
      </c>
      <c r="P285" s="209" t="s">
        <v>92</v>
      </c>
      <c r="Q285" s="170"/>
      <c r="R285" s="170"/>
      <c r="S285" s="198">
        <f t="shared" si="27"/>
        <v>300</v>
      </c>
      <c r="T285" s="199" t="str">
        <f t="shared" si="28"/>
        <v>300pieces</v>
      </c>
      <c r="U285" s="200">
        <f t="shared" si="29"/>
        <v>237</v>
      </c>
      <c r="V285" s="12"/>
      <c r="W285" s="12"/>
    </row>
    <row r="286" spans="1:23" x14ac:dyDescent="0.3">
      <c r="A286" s="183" t="e">
        <f ca="1"/>
        <v>#NAME?</v>
      </c>
      <c r="B286" s="214" t="s">
        <v>141</v>
      </c>
      <c r="C286" s="215"/>
      <c r="D286" s="194" t="str">
        <f ca="1">IFERROR(__xludf.DUMMYFUNCTION("IF(J286="""",""n/a"",IFERROR(SPLIT(J286,""/"")))"),"Lipton")</f>
        <v>Lipton</v>
      </c>
      <c r="E286" s="214" t="str">
        <f ca="1">IFERROR(__xludf.DUMMYFUNCTION("""COMPUTED_VALUE"""),"box (pcsx1.5grams)")</f>
        <v>box (pcsx1.5grams)</v>
      </c>
      <c r="F286" s="215"/>
      <c r="G286" s="215"/>
      <c r="H286" s="183" t="s">
        <v>1895</v>
      </c>
      <c r="I286" s="170"/>
      <c r="J286" s="46" t="s">
        <v>142</v>
      </c>
      <c r="K286" s="170"/>
      <c r="L286" s="195">
        <v>8.59</v>
      </c>
      <c r="M286" s="61">
        <v>12</v>
      </c>
      <c r="N286" s="61">
        <v>14</v>
      </c>
      <c r="O286" s="61" t="str">
        <f t="shared" ca="1" si="26"/>
        <v>box (pcsx1.5grams)</v>
      </c>
      <c r="P286" s="61" t="s">
        <v>92</v>
      </c>
      <c r="Q286" s="170"/>
      <c r="R286" s="170"/>
      <c r="S286" s="198">
        <f t="shared" si="27"/>
        <v>168</v>
      </c>
      <c r="T286" s="199" t="str">
        <f t="shared" si="28"/>
        <v>168pieces</v>
      </c>
      <c r="U286" s="200">
        <f t="shared" si="29"/>
        <v>103.08</v>
      </c>
      <c r="V286" s="12"/>
      <c r="W286" s="12"/>
    </row>
    <row r="287" spans="1:23" x14ac:dyDescent="0.3">
      <c r="A287" s="183" t="e">
        <f ca="1"/>
        <v>#NAME?</v>
      </c>
      <c r="B287" s="194" t="s">
        <v>141</v>
      </c>
      <c r="C287" s="170"/>
      <c r="D287" s="194" t="str">
        <f ca="1">IFERROR(__xludf.DUMMYFUNCTION("IF(J287="""",""n/a"",IFERROR(SPLIT(J287,""/"")))"),"n/a")</f>
        <v>n/a</v>
      </c>
      <c r="E287" s="170"/>
      <c r="F287" s="170"/>
      <c r="G287" s="170"/>
      <c r="H287" s="206" t="s">
        <v>1898</v>
      </c>
      <c r="I287" s="170"/>
      <c r="J287" s="170"/>
      <c r="K287" s="170"/>
      <c r="L287" s="197">
        <v>34.057142857142857</v>
      </c>
      <c r="M287" s="207">
        <v>50</v>
      </c>
      <c r="N287" s="208">
        <v>14</v>
      </c>
      <c r="O287" s="170">
        <f t="shared" si="26"/>
        <v>0</v>
      </c>
      <c r="P287" s="209" t="s">
        <v>92</v>
      </c>
      <c r="Q287" s="170"/>
      <c r="R287" s="170"/>
      <c r="S287" s="198">
        <f t="shared" si="27"/>
        <v>700</v>
      </c>
      <c r="T287" s="199" t="str">
        <f t="shared" si="28"/>
        <v>700pieces</v>
      </c>
      <c r="U287" s="200">
        <f t="shared" si="29"/>
        <v>1702.8571428571429</v>
      </c>
      <c r="V287" s="12"/>
      <c r="W287" s="12"/>
    </row>
    <row r="288" spans="1:23" x14ac:dyDescent="0.3">
      <c r="A288" s="183" t="e">
        <f ca="1"/>
        <v>#NAME?</v>
      </c>
      <c r="B288" s="194" t="s">
        <v>628</v>
      </c>
      <c r="C288" s="170"/>
      <c r="D288" s="194" t="str">
        <f ca="1">IFERROR(__xludf.DUMMYFUNCTION("IF(J288="""",""n/a"",IFERROR(SPLIT(J288,""/"")))"),"n/a")</f>
        <v>n/a</v>
      </c>
      <c r="E288" s="170"/>
      <c r="F288" s="170"/>
      <c r="G288" s="170"/>
      <c r="H288" s="206" t="s">
        <v>1898</v>
      </c>
      <c r="I288" s="170"/>
      <c r="J288" s="170"/>
      <c r="K288" s="170"/>
      <c r="L288" s="197">
        <v>1.9666666666666666</v>
      </c>
      <c r="M288" s="207">
        <v>30</v>
      </c>
      <c r="N288" s="208">
        <v>30</v>
      </c>
      <c r="O288" s="170">
        <f t="shared" si="26"/>
        <v>0</v>
      </c>
      <c r="P288" s="61" t="s">
        <v>39</v>
      </c>
      <c r="Q288" s="170"/>
      <c r="R288" s="170"/>
      <c r="S288" s="198">
        <f t="shared" si="27"/>
        <v>900</v>
      </c>
      <c r="T288" s="199" t="str">
        <f t="shared" si="28"/>
        <v>900grams</v>
      </c>
      <c r="U288" s="200">
        <f t="shared" si="29"/>
        <v>59</v>
      </c>
      <c r="V288" s="12"/>
      <c r="W288" s="12"/>
    </row>
    <row r="289" spans="1:23" x14ac:dyDescent="0.3">
      <c r="A289" s="183" t="e">
        <f ca="1"/>
        <v>#NAME?</v>
      </c>
      <c r="B289" s="194" t="s">
        <v>629</v>
      </c>
      <c r="C289" s="170"/>
      <c r="D289" s="194" t="str">
        <f ca="1">IFERROR(__xludf.DUMMYFUNCTION("IF(J289="""",""n/a"",IFERROR(SPLIT(J289,""/"")))"),"Mr Gulaman")</f>
        <v>Mr Gulaman</v>
      </c>
      <c r="E289" s="194" t="str">
        <f ca="1">IFERROR(__xludf.DUMMYFUNCTION("""COMPUTED_VALUE"""),"box")</f>
        <v>box</v>
      </c>
      <c r="F289" s="194" t="str">
        <f ca="1">IFERROR(__xludf.DUMMYFUNCTION("""COMPUTED_VALUE"""),"(10sachetx25grams)")</f>
        <v>(10sachetx25grams)</v>
      </c>
      <c r="G289" s="170"/>
      <c r="H289" s="183" t="s">
        <v>1897</v>
      </c>
      <c r="I289" s="170"/>
      <c r="J289" s="46" t="s">
        <v>69</v>
      </c>
      <c r="K289" s="170"/>
      <c r="L289" s="195">
        <v>0.50560000000000005</v>
      </c>
      <c r="M289" s="203">
        <v>600</v>
      </c>
      <c r="N289" s="203">
        <v>25</v>
      </c>
      <c r="O289" s="61" t="str">
        <f t="shared" ca="1" si="26"/>
        <v>box</v>
      </c>
      <c r="P289" s="61" t="s">
        <v>39</v>
      </c>
      <c r="Q289" s="170"/>
      <c r="R289" s="192" t="str">
        <f t="shared" ref="R289:R290" si="32">CONCATENATE(N289,P289)</f>
        <v>25grams</v>
      </c>
      <c r="S289" s="198">
        <f t="shared" si="27"/>
        <v>15000</v>
      </c>
      <c r="T289" s="199" t="str">
        <f t="shared" si="28"/>
        <v>15000grams</v>
      </c>
      <c r="U289" s="200">
        <f t="shared" si="29"/>
        <v>303.36</v>
      </c>
      <c r="V289" s="205">
        <f t="shared" ref="V289:V290" si="33">U289/M289</f>
        <v>0.50560000000000005</v>
      </c>
      <c r="W289" s="62"/>
    </row>
    <row r="290" spans="1:23" x14ac:dyDescent="0.3">
      <c r="A290" s="183" t="e">
        <f ca="1"/>
        <v>#NAME?</v>
      </c>
      <c r="B290" s="194" t="s">
        <v>630</v>
      </c>
      <c r="C290" s="170"/>
      <c r="D290" s="194" t="str">
        <f ca="1">IFERROR(__xludf.DUMMYFUNCTION("IF(J290="""",""n/a"",IFERROR(SPLIT(J290,""/"")))"),"Mr Gulaman")</f>
        <v>Mr Gulaman</v>
      </c>
      <c r="E290" s="194" t="str">
        <f ca="1">IFERROR(__xludf.DUMMYFUNCTION("""COMPUTED_VALUE"""),"box")</f>
        <v>box</v>
      </c>
      <c r="F290" s="194" t="str">
        <f ca="1">IFERROR(__xludf.DUMMYFUNCTION("""COMPUTED_VALUE"""),"(10sachetx25grams)")</f>
        <v>(10sachetx25grams)</v>
      </c>
      <c r="G290" s="170"/>
      <c r="H290" s="183" t="s">
        <v>1897</v>
      </c>
      <c r="I290" s="170"/>
      <c r="J290" s="46" t="s">
        <v>69</v>
      </c>
      <c r="K290" s="170"/>
      <c r="L290" s="195">
        <v>0.51280000000000003</v>
      </c>
      <c r="M290" s="203">
        <v>200</v>
      </c>
      <c r="N290" s="203">
        <v>25</v>
      </c>
      <c r="O290" s="61" t="str">
        <f t="shared" ca="1" si="26"/>
        <v>box</v>
      </c>
      <c r="P290" s="61" t="s">
        <v>39</v>
      </c>
      <c r="Q290" s="61" t="s">
        <v>33</v>
      </c>
      <c r="R290" s="192" t="str">
        <f t="shared" si="32"/>
        <v>25grams</v>
      </c>
      <c r="S290" s="198">
        <f t="shared" si="27"/>
        <v>5000</v>
      </c>
      <c r="T290" s="199" t="str">
        <f t="shared" si="28"/>
        <v>5000 grams</v>
      </c>
      <c r="U290" s="200">
        <f t="shared" si="29"/>
        <v>102.56</v>
      </c>
      <c r="V290" s="205">
        <f t="shared" si="33"/>
        <v>0.51280000000000003</v>
      </c>
      <c r="W290" s="62"/>
    </row>
    <row r="291" spans="1:23" x14ac:dyDescent="0.3">
      <c r="A291" s="183" t="e">
        <f ca="1"/>
        <v>#NAME?</v>
      </c>
      <c r="B291" s="194" t="s">
        <v>68</v>
      </c>
      <c r="C291" s="170"/>
      <c r="D291" s="194" t="str">
        <f ca="1">IFERROR(__xludf.DUMMYFUNCTION("IF(J291="""",""n/a"",IFERROR(SPLIT(J291,""/"")))"),"Mr Gulaman")</f>
        <v>Mr Gulaman</v>
      </c>
      <c r="E291" s="194" t="str">
        <f ca="1">IFERROR(__xludf.DUMMYFUNCTION("""COMPUTED_VALUE"""),"box")</f>
        <v>box</v>
      </c>
      <c r="F291" s="194" t="str">
        <f ca="1">IFERROR(__xludf.DUMMYFUNCTION("""COMPUTED_VALUE"""),"(10sachetx25grams)")</f>
        <v>(10sachetx25grams)</v>
      </c>
      <c r="G291" s="170"/>
      <c r="H291" s="183" t="s">
        <v>1895</v>
      </c>
      <c r="I291" s="170"/>
      <c r="J291" s="46" t="s">
        <v>69</v>
      </c>
      <c r="K291" s="170"/>
      <c r="L291" s="195">
        <v>14</v>
      </c>
      <c r="M291" s="61">
        <v>10</v>
      </c>
      <c r="N291" s="61">
        <v>25</v>
      </c>
      <c r="O291" s="61" t="str">
        <f t="shared" ca="1" si="26"/>
        <v>box</v>
      </c>
      <c r="P291" s="61" t="s">
        <v>39</v>
      </c>
      <c r="Q291" s="170"/>
      <c r="R291" s="170"/>
      <c r="S291" s="198">
        <f t="shared" si="27"/>
        <v>250</v>
      </c>
      <c r="T291" s="199" t="str">
        <f t="shared" si="28"/>
        <v>250grams</v>
      </c>
      <c r="U291" s="200">
        <f t="shared" si="29"/>
        <v>140</v>
      </c>
      <c r="V291" s="12"/>
      <c r="W291" s="12"/>
    </row>
    <row r="292" spans="1:23" x14ac:dyDescent="0.3">
      <c r="A292" s="183" t="e">
        <f ca="1"/>
        <v>#NAME?</v>
      </c>
      <c r="B292" s="194" t="s">
        <v>68</v>
      </c>
      <c r="C292" s="170"/>
      <c r="D292" s="194" t="str">
        <f ca="1">IFERROR(__xludf.DUMMYFUNCTION("IF(J292="""",""n/a"",IFERROR(SPLIT(J292,""/"")))"),"Mr Gulaman")</f>
        <v>Mr Gulaman</v>
      </c>
      <c r="E292" s="194" t="str">
        <f ca="1">IFERROR(__xludf.DUMMYFUNCTION("""COMPUTED_VALUE"""),"box")</f>
        <v>box</v>
      </c>
      <c r="F292" s="194" t="str">
        <f ca="1">IFERROR(__xludf.DUMMYFUNCTION("""COMPUTED_VALUE"""),"(10sachetx25grams)")</f>
        <v>(10sachetx25grams)</v>
      </c>
      <c r="G292" s="170"/>
      <c r="H292" s="206" t="s">
        <v>1898</v>
      </c>
      <c r="I292" s="170"/>
      <c r="J292" s="46" t="s">
        <v>69</v>
      </c>
      <c r="K292" s="170"/>
      <c r="L292" s="197">
        <v>1.282</v>
      </c>
      <c r="M292" s="208">
        <v>24</v>
      </c>
      <c r="N292" s="208">
        <v>10</v>
      </c>
      <c r="O292" s="61" t="str">
        <f t="shared" ca="1" si="26"/>
        <v>box</v>
      </c>
      <c r="P292" s="197" t="s">
        <v>39</v>
      </c>
      <c r="Q292" s="170"/>
      <c r="R292" s="170"/>
      <c r="S292" s="198">
        <f t="shared" si="27"/>
        <v>240</v>
      </c>
      <c r="T292" s="199" t="str">
        <f t="shared" si="28"/>
        <v>240grams</v>
      </c>
      <c r="U292" s="200">
        <f t="shared" si="29"/>
        <v>30.768000000000001</v>
      </c>
      <c r="V292" s="12"/>
      <c r="W292" s="12"/>
    </row>
    <row r="293" spans="1:23" x14ac:dyDescent="0.3">
      <c r="A293" s="183" t="e">
        <f ca="1"/>
        <v>#NAME?</v>
      </c>
      <c r="B293" s="194" t="s">
        <v>70</v>
      </c>
      <c r="C293" s="170"/>
      <c r="D293" s="194" t="str">
        <f ca="1">IFERROR(__xludf.DUMMYFUNCTION("IF(J293="""",""n/a"",IFERROR(SPLIT(J293,""/"")))"),"Mr Gulaman")</f>
        <v>Mr Gulaman</v>
      </c>
      <c r="E293" s="194" t="str">
        <f ca="1">IFERROR(__xludf.DUMMYFUNCTION("""COMPUTED_VALUE"""),"box")</f>
        <v>box</v>
      </c>
      <c r="F293" s="194" t="str">
        <f ca="1">IFERROR(__xludf.DUMMYFUNCTION("""COMPUTED_VALUE"""),"(10sachetx25grams)")</f>
        <v>(10sachetx25grams)</v>
      </c>
      <c r="G293" s="170"/>
      <c r="H293" s="183" t="s">
        <v>1895</v>
      </c>
      <c r="I293" s="170"/>
      <c r="J293" s="46" t="s">
        <v>69</v>
      </c>
      <c r="K293" s="170"/>
      <c r="L293" s="195">
        <v>14</v>
      </c>
      <c r="M293" s="61">
        <v>20</v>
      </c>
      <c r="N293" s="61">
        <v>25</v>
      </c>
      <c r="O293" s="61" t="str">
        <f t="shared" ca="1" si="26"/>
        <v>box</v>
      </c>
      <c r="P293" s="61" t="s">
        <v>39</v>
      </c>
      <c r="Q293" s="170"/>
      <c r="R293" s="170"/>
      <c r="S293" s="198">
        <f t="shared" si="27"/>
        <v>500</v>
      </c>
      <c r="T293" s="199" t="str">
        <f t="shared" si="28"/>
        <v>500grams</v>
      </c>
      <c r="U293" s="200">
        <f t="shared" si="29"/>
        <v>280</v>
      </c>
      <c r="V293" s="12"/>
      <c r="W293" s="12"/>
    </row>
    <row r="294" spans="1:23" x14ac:dyDescent="0.3">
      <c r="A294" s="183" t="e">
        <f ca="1"/>
        <v>#NAME?</v>
      </c>
      <c r="B294" s="194" t="s">
        <v>71</v>
      </c>
      <c r="C294" s="170"/>
      <c r="D294" s="194" t="str">
        <f ca="1">IFERROR(__xludf.DUMMYFUNCTION("IF(J294="""",""n/a"",IFERROR(SPLIT(J294,""/"")))"),"Mr Gulaman")</f>
        <v>Mr Gulaman</v>
      </c>
      <c r="E294" s="194" t="str">
        <f ca="1">IFERROR(__xludf.DUMMYFUNCTION("""COMPUTED_VALUE"""),"box")</f>
        <v>box</v>
      </c>
      <c r="F294" s="194" t="str">
        <f ca="1">IFERROR(__xludf.DUMMYFUNCTION("""COMPUTED_VALUE"""),"(10sachetx25grams)")</f>
        <v>(10sachetx25grams)</v>
      </c>
      <c r="G294" s="170"/>
      <c r="H294" s="183" t="s">
        <v>1895</v>
      </c>
      <c r="I294" s="170"/>
      <c r="J294" s="46" t="s">
        <v>69</v>
      </c>
      <c r="K294" s="170"/>
      <c r="L294" s="195">
        <v>14</v>
      </c>
      <c r="M294" s="61">
        <v>5</v>
      </c>
      <c r="N294" s="61">
        <v>25</v>
      </c>
      <c r="O294" s="61" t="str">
        <f t="shared" ca="1" si="26"/>
        <v>box</v>
      </c>
      <c r="P294" s="61" t="s">
        <v>39</v>
      </c>
      <c r="Q294" s="170"/>
      <c r="R294" s="170"/>
      <c r="S294" s="198">
        <f t="shared" si="27"/>
        <v>125</v>
      </c>
      <c r="T294" s="199" t="str">
        <f t="shared" si="28"/>
        <v>125grams</v>
      </c>
      <c r="U294" s="200">
        <f t="shared" si="29"/>
        <v>70</v>
      </c>
      <c r="V294" s="12"/>
      <c r="W294" s="12"/>
    </row>
    <row r="295" spans="1:23" x14ac:dyDescent="0.3">
      <c r="A295" s="183" t="e">
        <f ca="1"/>
        <v>#NAME?</v>
      </c>
      <c r="B295" s="194" t="s">
        <v>71</v>
      </c>
      <c r="C295" s="170"/>
      <c r="D295" s="194" t="str">
        <f ca="1">IFERROR(__xludf.DUMMYFUNCTION("IF(J295="""",""n/a"",IFERROR(SPLIT(J295,""/"")))"),"Mr Gulaman")</f>
        <v>Mr Gulaman</v>
      </c>
      <c r="E295" s="194" t="str">
        <f ca="1">IFERROR(__xludf.DUMMYFUNCTION("""COMPUTED_VALUE"""),"box")</f>
        <v>box</v>
      </c>
      <c r="F295" s="194" t="str">
        <f ca="1">IFERROR(__xludf.DUMMYFUNCTION("""COMPUTED_VALUE"""),"(10sachetx25grams)")</f>
        <v>(10sachetx25grams)</v>
      </c>
      <c r="G295" s="170"/>
      <c r="H295" s="206" t="s">
        <v>1898</v>
      </c>
      <c r="I295" s="170"/>
      <c r="J295" s="46" t="s">
        <v>69</v>
      </c>
      <c r="K295" s="170"/>
      <c r="L295" s="197">
        <v>12.55</v>
      </c>
      <c r="M295" s="208">
        <v>10</v>
      </c>
      <c r="N295" s="208">
        <v>10</v>
      </c>
      <c r="O295" s="61" t="str">
        <f t="shared" ca="1" si="26"/>
        <v>box</v>
      </c>
      <c r="P295" s="61" t="s">
        <v>39</v>
      </c>
      <c r="Q295" s="170"/>
      <c r="R295" s="170"/>
      <c r="S295" s="198">
        <f t="shared" si="27"/>
        <v>100</v>
      </c>
      <c r="T295" s="199" t="str">
        <f t="shared" si="28"/>
        <v>100grams</v>
      </c>
      <c r="U295" s="200">
        <f t="shared" si="29"/>
        <v>125.5</v>
      </c>
      <c r="V295" s="12"/>
      <c r="W295" s="12"/>
    </row>
    <row r="296" spans="1:23" x14ac:dyDescent="0.3">
      <c r="A296" s="183" t="e">
        <f ca="1"/>
        <v>#NAME?</v>
      </c>
      <c r="B296" s="194" t="s">
        <v>72</v>
      </c>
      <c r="C296" s="170"/>
      <c r="D296" s="194" t="str">
        <f ca="1">IFERROR(__xludf.DUMMYFUNCTION("IF(J296="""",""n/a"",IFERROR(SPLIT(J296,""/"")))"),"Mr Gulaman")</f>
        <v>Mr Gulaman</v>
      </c>
      <c r="E296" s="194" t="str">
        <f ca="1">IFERROR(__xludf.DUMMYFUNCTION("""COMPUTED_VALUE"""),"box")</f>
        <v>box</v>
      </c>
      <c r="F296" s="194" t="str">
        <f ca="1">IFERROR(__xludf.DUMMYFUNCTION("""COMPUTED_VALUE"""),"(10sachetx25grams)")</f>
        <v>(10sachetx25grams)</v>
      </c>
      <c r="G296" s="170"/>
      <c r="H296" s="183" t="s">
        <v>1895</v>
      </c>
      <c r="I296" s="170"/>
      <c r="J296" s="46" t="s">
        <v>69</v>
      </c>
      <c r="K296" s="170"/>
      <c r="L296" s="195">
        <v>14</v>
      </c>
      <c r="M296" s="61">
        <v>20</v>
      </c>
      <c r="N296" s="61">
        <v>25</v>
      </c>
      <c r="O296" s="61" t="str">
        <f t="shared" ca="1" si="26"/>
        <v>box</v>
      </c>
      <c r="P296" s="61" t="s">
        <v>39</v>
      </c>
      <c r="Q296" s="170"/>
      <c r="R296" s="170"/>
      <c r="S296" s="198">
        <f t="shared" si="27"/>
        <v>500</v>
      </c>
      <c r="T296" s="199" t="str">
        <f t="shared" si="28"/>
        <v>500grams</v>
      </c>
      <c r="U296" s="200">
        <f t="shared" si="29"/>
        <v>280</v>
      </c>
      <c r="V296" s="12"/>
      <c r="W296" s="12"/>
    </row>
    <row r="297" spans="1:23" x14ac:dyDescent="0.3">
      <c r="A297" s="183" t="e">
        <f ca="1"/>
        <v>#NAME?</v>
      </c>
      <c r="B297" s="194" t="s">
        <v>72</v>
      </c>
      <c r="C297" s="170"/>
      <c r="D297" s="194" t="str">
        <f ca="1">IFERROR(__xludf.DUMMYFUNCTION("IF(J297="""",""n/a"",IFERROR(SPLIT(J297,""/"")))"),"Mr Gulaman")</f>
        <v>Mr Gulaman</v>
      </c>
      <c r="E297" s="194" t="str">
        <f ca="1">IFERROR(__xludf.DUMMYFUNCTION("""COMPUTED_VALUE"""),"box")</f>
        <v>box</v>
      </c>
      <c r="F297" s="194" t="str">
        <f ca="1">IFERROR(__xludf.DUMMYFUNCTION("""COMPUTED_VALUE"""),"(10sachetx25grams)")</f>
        <v>(10sachetx25grams)</v>
      </c>
      <c r="G297" s="170"/>
      <c r="H297" s="206" t="s">
        <v>1898</v>
      </c>
      <c r="I297" s="170"/>
      <c r="J297" s="46" t="s">
        <v>69</v>
      </c>
      <c r="K297" s="170"/>
      <c r="L297" s="197">
        <v>12.55</v>
      </c>
      <c r="M297" s="208">
        <v>44</v>
      </c>
      <c r="N297" s="208">
        <v>10</v>
      </c>
      <c r="O297" s="61" t="str">
        <f t="shared" ca="1" si="26"/>
        <v>box</v>
      </c>
      <c r="P297" s="61" t="s">
        <v>39</v>
      </c>
      <c r="Q297" s="170"/>
      <c r="R297" s="170"/>
      <c r="S297" s="198">
        <f t="shared" si="27"/>
        <v>440</v>
      </c>
      <c r="T297" s="199" t="str">
        <f t="shared" si="28"/>
        <v>440grams</v>
      </c>
      <c r="U297" s="200">
        <f t="shared" si="29"/>
        <v>552.20000000000005</v>
      </c>
      <c r="V297" s="12"/>
      <c r="W297" s="12"/>
    </row>
    <row r="298" spans="1:23" x14ac:dyDescent="0.3">
      <c r="A298" s="183" t="e">
        <f ca="1"/>
        <v>#NAME?</v>
      </c>
      <c r="B298" s="194" t="s">
        <v>631</v>
      </c>
      <c r="C298" s="170"/>
      <c r="D298" s="194" t="str">
        <f ca="1">IFERROR(__xludf.DUMMYFUNCTION("IF(J298="""",""n/a"",IFERROR(SPLIT(J298,""/"")))"),"Mr Gulaman")</f>
        <v>Mr Gulaman</v>
      </c>
      <c r="E298" s="194" t="str">
        <f ca="1">IFERROR(__xludf.DUMMYFUNCTION("""COMPUTED_VALUE"""),"box")</f>
        <v>box</v>
      </c>
      <c r="F298" s="194" t="str">
        <f ca="1">IFERROR(__xludf.DUMMYFUNCTION("""COMPUTED_VALUE"""),"(10sachetx25grams)")</f>
        <v>(10sachetx25grams)</v>
      </c>
      <c r="G298" s="170"/>
      <c r="H298" s="206" t="s">
        <v>1898</v>
      </c>
      <c r="I298" s="170"/>
      <c r="J298" s="46" t="s">
        <v>69</v>
      </c>
      <c r="K298" s="170"/>
      <c r="L298" s="197">
        <v>5.229166666666667</v>
      </c>
      <c r="M298" s="208">
        <v>12</v>
      </c>
      <c r="N298" s="208">
        <v>24</v>
      </c>
      <c r="O298" s="61" t="str">
        <f t="shared" ca="1" si="26"/>
        <v>box</v>
      </c>
      <c r="P298" s="197" t="s">
        <v>39</v>
      </c>
      <c r="Q298" s="170"/>
      <c r="R298" s="170"/>
      <c r="S298" s="198">
        <f t="shared" si="27"/>
        <v>288</v>
      </c>
      <c r="T298" s="199" t="str">
        <f t="shared" si="28"/>
        <v>288grams</v>
      </c>
      <c r="U298" s="200">
        <f t="shared" si="29"/>
        <v>62.75</v>
      </c>
      <c r="V298" s="12"/>
      <c r="W298" s="12"/>
    </row>
    <row r="299" spans="1:23" x14ac:dyDescent="0.3">
      <c r="A299" s="183" t="e">
        <f ca="1"/>
        <v>#NAME?</v>
      </c>
      <c r="B299" s="194" t="s">
        <v>101</v>
      </c>
      <c r="C299" s="170"/>
      <c r="D299" s="194" t="str">
        <f ca="1">IFERROR(__xludf.DUMMYFUNCTION("IF(J299="""",""n/a"",IFERROR(SPLIT(J299,""/"")))"),"ZEST-O Big 250")</f>
        <v>ZEST-O Big 250</v>
      </c>
      <c r="E299" s="194" t="str">
        <f ca="1">IFERROR(__xludf.DUMMYFUNCTION("""COMPUTED_VALUE"""),"box (10x250ml)")</f>
        <v>box (10x250ml)</v>
      </c>
      <c r="F299" s="170"/>
      <c r="G299" s="170"/>
      <c r="H299" s="183" t="s">
        <v>1895</v>
      </c>
      <c r="I299" s="170"/>
      <c r="J299" s="46" t="s">
        <v>102</v>
      </c>
      <c r="K299" s="170"/>
      <c r="L299" s="195">
        <v>8.86</v>
      </c>
      <c r="M299" s="61">
        <v>190</v>
      </c>
      <c r="N299" s="61">
        <v>1</v>
      </c>
      <c r="O299" s="61" t="str">
        <f t="shared" ca="1" si="26"/>
        <v>box (10x250ml)</v>
      </c>
      <c r="P299" s="61" t="s">
        <v>92</v>
      </c>
      <c r="Q299" s="170"/>
      <c r="R299" s="170"/>
      <c r="S299" s="198">
        <f t="shared" si="27"/>
        <v>190</v>
      </c>
      <c r="T299" s="199" t="str">
        <f t="shared" si="28"/>
        <v>190pieces</v>
      </c>
      <c r="U299" s="200">
        <f t="shared" si="29"/>
        <v>1683.3999999999999</v>
      </c>
      <c r="V299" s="12"/>
      <c r="W299" s="12"/>
    </row>
    <row r="300" spans="1:23" x14ac:dyDescent="0.3">
      <c r="A300" s="183" t="e">
        <f ca="1"/>
        <v>#NAME?</v>
      </c>
      <c r="B300" s="194" t="s">
        <v>201</v>
      </c>
      <c r="C300" s="170"/>
      <c r="D300" s="194" t="str">
        <f ca="1">IFERROR(__xludf.DUMMYFUNCTION("IF(J300="""",""n/a"",IFERROR(SPLIT(J300,""/"")))"),"My Eveyday ( 1 X 100 )")</f>
        <v>My Eveyday ( 1 X 100 )</v>
      </c>
      <c r="E300" s="170"/>
      <c r="F300" s="170"/>
      <c r="G300" s="170"/>
      <c r="H300" s="183" t="s">
        <v>1895</v>
      </c>
      <c r="I300" s="170"/>
      <c r="J300" s="46" t="s">
        <v>202</v>
      </c>
      <c r="K300" s="170"/>
      <c r="L300" s="195">
        <v>49</v>
      </c>
      <c r="M300" s="61">
        <v>20</v>
      </c>
      <c r="N300" s="61">
        <v>1</v>
      </c>
      <c r="O300" s="170">
        <f t="shared" si="26"/>
        <v>0</v>
      </c>
      <c r="P300" s="61" t="s">
        <v>92</v>
      </c>
      <c r="Q300" s="170"/>
      <c r="R300" s="170"/>
      <c r="S300" s="198">
        <f t="shared" si="27"/>
        <v>20</v>
      </c>
      <c r="T300" s="199" t="str">
        <f t="shared" si="28"/>
        <v>20pieces</v>
      </c>
      <c r="U300" s="200">
        <f t="shared" si="29"/>
        <v>980</v>
      </c>
      <c r="V300" s="12"/>
      <c r="W300" s="12"/>
    </row>
    <row r="301" spans="1:23" x14ac:dyDescent="0.3">
      <c r="A301" s="183" t="e">
        <f ca="1"/>
        <v>#NAME?</v>
      </c>
      <c r="B301" s="194" t="s">
        <v>632</v>
      </c>
      <c r="C301" s="170"/>
      <c r="D301" s="194" t="str">
        <f ca="1">IFERROR(__xludf.DUMMYFUNCTION("IF(J301="""",""n/a"",IFERROR(SPLIT(J301,""/"")))"),"n/a")</f>
        <v>n/a</v>
      </c>
      <c r="E301" s="170"/>
      <c r="F301" s="170"/>
      <c r="G301" s="170"/>
      <c r="H301" s="206" t="s">
        <v>1898</v>
      </c>
      <c r="I301" s="170"/>
      <c r="J301" s="170"/>
      <c r="K301" s="170"/>
      <c r="L301" s="197">
        <v>607</v>
      </c>
      <c r="M301" s="207">
        <v>0.5</v>
      </c>
      <c r="N301" s="208">
        <v>1</v>
      </c>
      <c r="O301" s="170">
        <f t="shared" si="26"/>
        <v>0</v>
      </c>
      <c r="P301" s="61" t="s">
        <v>200</v>
      </c>
      <c r="Q301" s="170"/>
      <c r="R301" s="170"/>
      <c r="S301" s="198">
        <f t="shared" si="27"/>
        <v>0.5</v>
      </c>
      <c r="T301" s="199" t="str">
        <f t="shared" si="28"/>
        <v>0.5gal</v>
      </c>
      <c r="U301" s="200">
        <f t="shared" si="29"/>
        <v>303.5</v>
      </c>
      <c r="V301" s="12"/>
      <c r="W301" s="12"/>
    </row>
    <row r="302" spans="1:23" x14ac:dyDescent="0.3">
      <c r="A302" s="183" t="e">
        <f ca="1"/>
        <v>#NAME?</v>
      </c>
      <c r="B302" s="194" t="s">
        <v>404</v>
      </c>
      <c r="C302" s="170"/>
      <c r="D302" s="194" t="str">
        <f ca="1">IFERROR(__xludf.DUMMYFUNCTION("IF(J302="""",""n/a"",IFERROR(SPLIT(J302,""/"")))"),"Rebisco")</f>
        <v>Rebisco</v>
      </c>
      <c r="E302" s="194" t="str">
        <f ca="1">IFERROR(__xludf.DUMMYFUNCTION("""COMPUTED_VALUE"""),"pack (10pcsx32grams)")</f>
        <v>pack (10pcsx32grams)</v>
      </c>
      <c r="F302" s="170"/>
      <c r="G302" s="170"/>
      <c r="H302" s="183" t="s">
        <v>1895</v>
      </c>
      <c r="I302" s="170"/>
      <c r="J302" s="46" t="s">
        <v>405</v>
      </c>
      <c r="K302" s="170"/>
      <c r="L302" s="195">
        <v>5.8</v>
      </c>
      <c r="M302" s="61">
        <v>600</v>
      </c>
      <c r="N302" s="61">
        <v>1</v>
      </c>
      <c r="O302" s="61" t="str">
        <f t="shared" ca="1" si="26"/>
        <v>pack (10pcsx32grams)</v>
      </c>
      <c r="P302" s="61" t="s">
        <v>92</v>
      </c>
      <c r="Q302" s="170"/>
      <c r="R302" s="170"/>
      <c r="S302" s="198">
        <f t="shared" si="27"/>
        <v>600</v>
      </c>
      <c r="T302" s="199" t="str">
        <f t="shared" si="28"/>
        <v>600pieces</v>
      </c>
      <c r="U302" s="200">
        <f t="shared" si="29"/>
        <v>3480</v>
      </c>
      <c r="V302" s="12"/>
      <c r="W302" s="12"/>
    </row>
    <row r="303" spans="1:23" x14ac:dyDescent="0.3">
      <c r="A303" s="183" t="e">
        <f ca="1"/>
        <v>#NAME?</v>
      </c>
      <c r="B303" s="194" t="s">
        <v>406</v>
      </c>
      <c r="C303" s="170"/>
      <c r="D303" s="194" t="str">
        <f ca="1">IFERROR(__xludf.DUMMYFUNCTION("IF(J303="""",""n/a"",IFERROR(SPLIT(J303,""/"")))"),"Rebisco")</f>
        <v>Rebisco</v>
      </c>
      <c r="E303" s="194" t="str">
        <f ca="1">IFERROR(__xludf.DUMMYFUNCTION("""COMPUTED_VALUE"""),"pack (10pcsx31grams)")</f>
        <v>pack (10pcsx31grams)</v>
      </c>
      <c r="F303" s="170"/>
      <c r="G303" s="170"/>
      <c r="H303" s="183" t="s">
        <v>1895</v>
      </c>
      <c r="I303" s="170"/>
      <c r="J303" s="46" t="s">
        <v>407</v>
      </c>
      <c r="K303" s="170"/>
      <c r="L303" s="195">
        <v>5.79</v>
      </c>
      <c r="M303" s="61">
        <v>200</v>
      </c>
      <c r="N303" s="61">
        <v>1</v>
      </c>
      <c r="O303" s="61" t="str">
        <f t="shared" ca="1" si="26"/>
        <v>pack (10pcsx31grams)</v>
      </c>
      <c r="P303" s="61" t="s">
        <v>92</v>
      </c>
      <c r="Q303" s="170"/>
      <c r="R303" s="170"/>
      <c r="S303" s="198">
        <f t="shared" si="27"/>
        <v>200</v>
      </c>
      <c r="T303" s="199" t="str">
        <f t="shared" si="28"/>
        <v>200pieces</v>
      </c>
      <c r="U303" s="200">
        <f t="shared" si="29"/>
        <v>1158</v>
      </c>
      <c r="V303" s="12"/>
      <c r="W303" s="12"/>
    </row>
    <row r="304" spans="1:23" x14ac:dyDescent="0.3">
      <c r="A304" s="183" t="e">
        <f ca="1"/>
        <v>#NAME?</v>
      </c>
      <c r="B304" s="194" t="s">
        <v>408</v>
      </c>
      <c r="C304" s="170"/>
      <c r="D304" s="194" t="str">
        <f ca="1">IFERROR(__xludf.DUMMYFUNCTION("IF(J304="""",""n/a"",IFERROR(SPLIT(J304,""/"")))"),"Rebisco")</f>
        <v>Rebisco</v>
      </c>
      <c r="E304" s="194" t="str">
        <f ca="1">IFERROR(__xludf.DUMMYFUNCTION("""COMPUTED_VALUE"""),"pack (10pcsx31grams)")</f>
        <v>pack (10pcsx31grams)</v>
      </c>
      <c r="F304" s="170"/>
      <c r="G304" s="170"/>
      <c r="H304" s="183" t="s">
        <v>1895</v>
      </c>
      <c r="I304" s="170"/>
      <c r="J304" s="46" t="s">
        <v>407</v>
      </c>
      <c r="K304" s="170"/>
      <c r="L304" s="195">
        <v>5.79</v>
      </c>
      <c r="M304" s="61">
        <v>220</v>
      </c>
      <c r="N304" s="61">
        <v>1</v>
      </c>
      <c r="O304" s="61" t="str">
        <f t="shared" ca="1" si="26"/>
        <v>pack (10pcsx31grams)</v>
      </c>
      <c r="P304" s="61" t="s">
        <v>92</v>
      </c>
      <c r="Q304" s="170"/>
      <c r="R304" s="170"/>
      <c r="S304" s="198">
        <f t="shared" si="27"/>
        <v>220</v>
      </c>
      <c r="T304" s="199" t="str">
        <f t="shared" si="28"/>
        <v>220pieces</v>
      </c>
      <c r="U304" s="200">
        <f t="shared" si="29"/>
        <v>1273.8</v>
      </c>
      <c r="V304" s="12"/>
      <c r="W304" s="12"/>
    </row>
    <row r="305" spans="1:23" x14ac:dyDescent="0.3">
      <c r="A305" s="183" t="e">
        <f ca="1"/>
        <v>#NAME?</v>
      </c>
      <c r="B305" s="194" t="s">
        <v>633</v>
      </c>
      <c r="C305" s="170"/>
      <c r="D305" s="194" t="str">
        <f ca="1">IFERROR(__xludf.DUMMYFUNCTION("IF(J305="""",""n/a"",IFERROR(SPLIT(J305,""/"")))"),"n/a")</f>
        <v>n/a</v>
      </c>
      <c r="E305" s="170"/>
      <c r="F305" s="170"/>
      <c r="G305" s="170"/>
      <c r="H305" s="206" t="s">
        <v>1898</v>
      </c>
      <c r="I305" s="170"/>
      <c r="J305" s="170"/>
      <c r="K305" s="170"/>
      <c r="L305" s="197">
        <v>6.4166666666666664E-2</v>
      </c>
      <c r="M305" s="207">
        <v>785</v>
      </c>
      <c r="N305" s="208">
        <v>24</v>
      </c>
      <c r="O305" s="170">
        <f t="shared" si="26"/>
        <v>0</v>
      </c>
      <c r="P305" s="61" t="s">
        <v>304</v>
      </c>
      <c r="Q305" s="170"/>
      <c r="R305" s="170"/>
      <c r="S305" s="198">
        <f t="shared" si="27"/>
        <v>18840</v>
      </c>
      <c r="T305" s="199" t="str">
        <f t="shared" si="28"/>
        <v>18840packs</v>
      </c>
      <c r="U305" s="200">
        <f t="shared" si="29"/>
        <v>50.37083333333333</v>
      </c>
      <c r="V305" s="12"/>
      <c r="W305" s="12"/>
    </row>
    <row r="306" spans="1:23" x14ac:dyDescent="0.3">
      <c r="A306" s="183" t="e">
        <f ca="1"/>
        <v>#NAME?</v>
      </c>
      <c r="B306" s="194" t="s">
        <v>634</v>
      </c>
      <c r="C306" s="170"/>
      <c r="D306" s="194" t="str">
        <f ca="1">IFERROR(__xludf.DUMMYFUNCTION("IF(J306="""",""n/a"",IFERROR(SPLIT(J306,""/"")))"),"n/a")</f>
        <v>n/a</v>
      </c>
      <c r="E306" s="170"/>
      <c r="F306" s="170"/>
      <c r="G306" s="170"/>
      <c r="H306" s="206" t="s">
        <v>1898</v>
      </c>
      <c r="I306" s="170"/>
      <c r="J306" s="170"/>
      <c r="K306" s="170"/>
      <c r="L306" s="197">
        <v>5.12</v>
      </c>
      <c r="M306" s="208">
        <v>5</v>
      </c>
      <c r="N306" s="208">
        <v>1</v>
      </c>
      <c r="O306" s="170">
        <f t="shared" si="26"/>
        <v>0</v>
      </c>
      <c r="P306" s="61" t="s">
        <v>92</v>
      </c>
      <c r="Q306" s="170"/>
      <c r="R306" s="170"/>
      <c r="S306" s="198">
        <f t="shared" si="27"/>
        <v>5</v>
      </c>
      <c r="T306" s="199" t="str">
        <f t="shared" si="28"/>
        <v>5pieces</v>
      </c>
      <c r="U306" s="200">
        <f t="shared" si="29"/>
        <v>25.6</v>
      </c>
      <c r="V306" s="12"/>
      <c r="W306" s="12"/>
    </row>
    <row r="307" spans="1:23" x14ac:dyDescent="0.3">
      <c r="A307" s="183" t="e">
        <f ca="1"/>
        <v>#NAME?</v>
      </c>
      <c r="B307" s="194" t="s">
        <v>409</v>
      </c>
      <c r="C307" s="170"/>
      <c r="D307" s="194" t="str">
        <f ca="1">IFERROR(__xludf.DUMMYFUNCTION("IF(J307="""",""n/a"",IFERROR(SPLIT(J307,""/"")))"),"Jack n Jill")</f>
        <v>Jack n Jill</v>
      </c>
      <c r="E307" s="194" t="str">
        <f ca="1">IFERROR(__xludf.DUMMYFUNCTION("""COMPUTED_VALUE"""),"pack (10pcsX15grams)")</f>
        <v>pack (10pcsX15grams)</v>
      </c>
      <c r="F307" s="170"/>
      <c r="G307" s="170"/>
      <c r="H307" s="183" t="s">
        <v>1895</v>
      </c>
      <c r="I307" s="170"/>
      <c r="J307" s="46" t="s">
        <v>410</v>
      </c>
      <c r="K307" s="170"/>
      <c r="L307" s="195">
        <v>6.56</v>
      </c>
      <c r="M307" s="61">
        <v>28</v>
      </c>
      <c r="N307" s="61">
        <v>1</v>
      </c>
      <c r="O307" s="61" t="str">
        <f t="shared" ca="1" si="26"/>
        <v>pack (10pcsX15grams)</v>
      </c>
      <c r="P307" s="61" t="s">
        <v>92</v>
      </c>
      <c r="Q307" s="170"/>
      <c r="R307" s="170"/>
      <c r="S307" s="198">
        <f t="shared" si="27"/>
        <v>28</v>
      </c>
      <c r="T307" s="199" t="str">
        <f t="shared" si="28"/>
        <v>28pieces</v>
      </c>
      <c r="U307" s="200">
        <f t="shared" si="29"/>
        <v>183.67999999999998</v>
      </c>
      <c r="V307" s="12"/>
      <c r="W307" s="12"/>
    </row>
    <row r="308" spans="1:23" x14ac:dyDescent="0.3">
      <c r="A308" s="183" t="e">
        <f ca="1"/>
        <v>#NAME?</v>
      </c>
      <c r="B308" s="194" t="s">
        <v>635</v>
      </c>
      <c r="C308" s="170"/>
      <c r="D308" s="194" t="str">
        <f ca="1">IFERROR(__xludf.DUMMYFUNCTION("IF(J308="""",""n/a"",IFERROR(SPLIT(J308,""/"")))"),"n/a")</f>
        <v>n/a</v>
      </c>
      <c r="E308" s="170"/>
      <c r="F308" s="170"/>
      <c r="G308" s="170"/>
      <c r="H308" s="206" t="s">
        <v>1898</v>
      </c>
      <c r="I308" s="170"/>
      <c r="J308" s="170"/>
      <c r="K308" s="170"/>
      <c r="L308" s="197">
        <v>14.202999999999999</v>
      </c>
      <c r="M308" s="207">
        <v>2</v>
      </c>
      <c r="N308" s="207">
        <v>50</v>
      </c>
      <c r="O308" s="170">
        <f t="shared" si="26"/>
        <v>0</v>
      </c>
      <c r="P308" s="209" t="s">
        <v>92</v>
      </c>
      <c r="Q308" s="170"/>
      <c r="R308" s="170"/>
      <c r="S308" s="198">
        <f t="shared" si="27"/>
        <v>100</v>
      </c>
      <c r="T308" s="199" t="str">
        <f t="shared" si="28"/>
        <v>100pieces</v>
      </c>
      <c r="U308" s="200">
        <f t="shared" si="29"/>
        <v>28.405999999999999</v>
      </c>
      <c r="V308" s="12"/>
      <c r="W308" s="12"/>
    </row>
    <row r="309" spans="1:23" x14ac:dyDescent="0.3">
      <c r="A309" s="183" t="e">
        <f ca="1"/>
        <v>#NAME?</v>
      </c>
      <c r="B309" s="194" t="s">
        <v>636</v>
      </c>
      <c r="C309" s="170"/>
      <c r="D309" s="194" t="str">
        <f ca="1">IFERROR(__xludf.DUMMYFUNCTION("IF(J309="""",""n/a"",IFERROR(SPLIT(J309,""/"")))"),"n/a")</f>
        <v>n/a</v>
      </c>
      <c r="E309" s="170"/>
      <c r="F309" s="170"/>
      <c r="G309" s="170"/>
      <c r="H309" s="206" t="s">
        <v>1898</v>
      </c>
      <c r="I309" s="170"/>
      <c r="J309" s="170"/>
      <c r="K309" s="170"/>
      <c r="L309" s="197">
        <v>0.52</v>
      </c>
      <c r="M309" s="208">
        <v>1000</v>
      </c>
      <c r="N309" s="208">
        <v>1000</v>
      </c>
      <c r="O309" s="170">
        <f t="shared" si="26"/>
        <v>0</v>
      </c>
      <c r="P309" s="61" t="s">
        <v>39</v>
      </c>
      <c r="Q309" s="170"/>
      <c r="R309" s="170"/>
      <c r="S309" s="198">
        <f t="shared" si="27"/>
        <v>1000000</v>
      </c>
      <c r="T309" s="199" t="str">
        <f t="shared" si="28"/>
        <v>1000000grams</v>
      </c>
      <c r="U309" s="200">
        <f t="shared" si="29"/>
        <v>520</v>
      </c>
      <c r="V309" s="12"/>
      <c r="W309" s="12"/>
    </row>
    <row r="310" spans="1:23" x14ac:dyDescent="0.3">
      <c r="A310" s="183" t="e">
        <f ca="1"/>
        <v>#NAME?</v>
      </c>
      <c r="B310" s="194" t="s">
        <v>411</v>
      </c>
      <c r="C310" s="170"/>
      <c r="D310" s="194" t="str">
        <f ca="1">IFERROR(__xludf.DUMMYFUNCTION("IF(J310="""",""n/a"",IFERROR(SPLIT(J310,""/"")))"),"Fibisco")</f>
        <v>Fibisco</v>
      </c>
      <c r="E310" s="194" t="str">
        <f ca="1">IFERROR(__xludf.DUMMYFUNCTION("""COMPUTED_VALUE"""),"pack (10pcsx33grams)")</f>
        <v>pack (10pcsx33grams)</v>
      </c>
      <c r="F310" s="170"/>
      <c r="G310" s="170"/>
      <c r="H310" s="183" t="s">
        <v>1897</v>
      </c>
      <c r="I310" s="170"/>
      <c r="J310" s="46" t="s">
        <v>412</v>
      </c>
      <c r="K310" s="170"/>
      <c r="L310" s="195">
        <v>6.06</v>
      </c>
      <c r="M310" s="203">
        <v>100</v>
      </c>
      <c r="N310" s="203">
        <v>1</v>
      </c>
      <c r="O310" s="61" t="str">
        <f t="shared" ca="1" si="26"/>
        <v>pack (10pcsx33grams)</v>
      </c>
      <c r="P310" s="61" t="s">
        <v>92</v>
      </c>
      <c r="Q310" s="170"/>
      <c r="R310" s="192" t="str">
        <f>CONCATENATE(N310,P310)</f>
        <v>1pieces</v>
      </c>
      <c r="S310" s="198">
        <f t="shared" si="27"/>
        <v>100</v>
      </c>
      <c r="T310" s="199" t="str">
        <f t="shared" si="28"/>
        <v>100pieces</v>
      </c>
      <c r="U310" s="200">
        <f t="shared" si="29"/>
        <v>606</v>
      </c>
      <c r="V310" s="12"/>
      <c r="W310" s="12"/>
    </row>
    <row r="311" spans="1:23" x14ac:dyDescent="0.3">
      <c r="A311" s="183" t="e">
        <f ca="1"/>
        <v>#NAME?</v>
      </c>
      <c r="B311" s="194" t="s">
        <v>411</v>
      </c>
      <c r="C311" s="170"/>
      <c r="D311" s="194" t="str">
        <f ca="1">IFERROR(__xludf.DUMMYFUNCTION("IF(J311="""",""n/a"",IFERROR(SPLIT(J311,""/"")))"),"Fibisco")</f>
        <v>Fibisco</v>
      </c>
      <c r="E311" s="194" t="str">
        <f ca="1">IFERROR(__xludf.DUMMYFUNCTION("""COMPUTED_VALUE"""),"pack (10pcsx33grams)")</f>
        <v>pack (10pcsx33grams)</v>
      </c>
      <c r="F311" s="170"/>
      <c r="G311" s="170"/>
      <c r="H311" s="183" t="s">
        <v>1895</v>
      </c>
      <c r="I311" s="170"/>
      <c r="J311" s="46" t="s">
        <v>412</v>
      </c>
      <c r="K311" s="170"/>
      <c r="L311" s="195">
        <v>6</v>
      </c>
      <c r="M311" s="61">
        <v>261</v>
      </c>
      <c r="N311" s="61">
        <v>1</v>
      </c>
      <c r="O311" s="61" t="str">
        <f t="shared" ca="1" si="26"/>
        <v>pack (10pcsx33grams)</v>
      </c>
      <c r="P311" s="61" t="s">
        <v>92</v>
      </c>
      <c r="Q311" s="170"/>
      <c r="R311" s="170"/>
      <c r="S311" s="198">
        <f t="shared" si="27"/>
        <v>261</v>
      </c>
      <c r="T311" s="199" t="str">
        <f t="shared" si="28"/>
        <v>261pieces</v>
      </c>
      <c r="U311" s="200">
        <f t="shared" si="29"/>
        <v>1566</v>
      </c>
      <c r="V311" s="12"/>
      <c r="W311" s="12"/>
    </row>
    <row r="312" spans="1:23" x14ac:dyDescent="0.3">
      <c r="A312" s="183" t="e">
        <f ca="1"/>
        <v>#NAME?</v>
      </c>
      <c r="B312" s="194" t="s">
        <v>411</v>
      </c>
      <c r="C312" s="170"/>
      <c r="D312" s="194" t="str">
        <f ca="1">IFERROR(__xludf.DUMMYFUNCTION("IF(J312="""",""n/a"",IFERROR(SPLIT(J312,""/"")))"),"n/a")</f>
        <v>n/a</v>
      </c>
      <c r="E312" s="170"/>
      <c r="F312" s="170"/>
      <c r="G312" s="170"/>
      <c r="H312" s="206" t="s">
        <v>1898</v>
      </c>
      <c r="I312" s="170"/>
      <c r="J312" s="170"/>
      <c r="K312" s="170"/>
      <c r="L312" s="197">
        <v>6.1899999999999995</v>
      </c>
      <c r="M312" s="207">
        <v>80</v>
      </c>
      <c r="N312" s="207">
        <v>10</v>
      </c>
      <c r="O312" s="170">
        <f t="shared" si="26"/>
        <v>0</v>
      </c>
      <c r="P312" s="209" t="s">
        <v>92</v>
      </c>
      <c r="Q312" s="170"/>
      <c r="R312" s="170"/>
      <c r="S312" s="198">
        <f t="shared" si="27"/>
        <v>800</v>
      </c>
      <c r="T312" s="199" t="str">
        <f t="shared" si="28"/>
        <v>800pieces</v>
      </c>
      <c r="U312" s="200">
        <f t="shared" si="29"/>
        <v>495.19999999999993</v>
      </c>
      <c r="V312" s="12"/>
      <c r="W312" s="12"/>
    </row>
    <row r="313" spans="1:23" x14ac:dyDescent="0.3">
      <c r="A313" s="183" t="e">
        <f ca="1"/>
        <v>#NAME?</v>
      </c>
      <c r="B313" s="194" t="s">
        <v>413</v>
      </c>
      <c r="C313" s="170"/>
      <c r="D313" s="194" t="str">
        <f ca="1">IFERROR(__xludf.DUMMYFUNCTION("IF(J313="""",""n/a"",IFERROR(SPLIT(J313,""/"")))"),"Rebisco")</f>
        <v>Rebisco</v>
      </c>
      <c r="E313" s="194" t="str">
        <f ca="1">IFERROR(__xludf.DUMMYFUNCTION("""COMPUTED_VALUE"""),"pack (10pcsx32grams)")</f>
        <v>pack (10pcsx32grams)</v>
      </c>
      <c r="F313" s="170"/>
      <c r="G313" s="170"/>
      <c r="H313" s="183" t="s">
        <v>1895</v>
      </c>
      <c r="I313" s="170"/>
      <c r="J313" s="46" t="s">
        <v>405</v>
      </c>
      <c r="K313" s="170"/>
      <c r="L313" s="195">
        <v>5.8</v>
      </c>
      <c r="M313" s="61">
        <v>200</v>
      </c>
      <c r="N313" s="61">
        <v>1</v>
      </c>
      <c r="O313" s="61" t="str">
        <f t="shared" ca="1" si="26"/>
        <v>pack (10pcsx32grams)</v>
      </c>
      <c r="P313" s="61" t="s">
        <v>92</v>
      </c>
      <c r="Q313" s="170"/>
      <c r="R313" s="170"/>
      <c r="S313" s="198">
        <f t="shared" si="27"/>
        <v>200</v>
      </c>
      <c r="T313" s="199" t="str">
        <f t="shared" si="28"/>
        <v>200pieces</v>
      </c>
      <c r="U313" s="200">
        <f t="shared" si="29"/>
        <v>1160</v>
      </c>
      <c r="V313" s="12"/>
      <c r="W313" s="12"/>
    </row>
    <row r="314" spans="1:23" x14ac:dyDescent="0.3">
      <c r="A314" s="183" t="e">
        <f ca="1"/>
        <v>#NAME?</v>
      </c>
      <c r="B314" s="194" t="s">
        <v>73</v>
      </c>
      <c r="C314" s="170"/>
      <c r="D314" s="194" t="str">
        <f ca="1">IFERROR(__xludf.DUMMYFUNCTION("IF(J314="""",""n/a"",IFERROR(SPLIT(J314,""/"")))"),"Maya")</f>
        <v>Maya</v>
      </c>
      <c r="E314" s="194" t="str">
        <f ca="1">IFERROR(__xludf.DUMMYFUNCTION("""COMPUTED_VALUE"""),"box")</f>
        <v>box</v>
      </c>
      <c r="F314" s="194" t="str">
        <f ca="1">IFERROR(__xludf.DUMMYFUNCTION("""COMPUTED_VALUE"""),"500grams")</f>
        <v>500grams</v>
      </c>
      <c r="G314" s="170"/>
      <c r="H314" s="183" t="s">
        <v>1895</v>
      </c>
      <c r="I314" s="170"/>
      <c r="J314" s="46" t="s">
        <v>74</v>
      </c>
      <c r="K314" s="170"/>
      <c r="L314" s="195">
        <v>56.2</v>
      </c>
      <c r="M314" s="61">
        <v>1</v>
      </c>
      <c r="N314" s="61">
        <v>500</v>
      </c>
      <c r="O314" s="61" t="str">
        <f t="shared" ca="1" si="26"/>
        <v>box</v>
      </c>
      <c r="P314" s="61" t="s">
        <v>39</v>
      </c>
      <c r="Q314" s="170"/>
      <c r="R314" s="170"/>
      <c r="S314" s="198">
        <f t="shared" si="27"/>
        <v>500</v>
      </c>
      <c r="T314" s="199" t="str">
        <f t="shared" si="28"/>
        <v>500grams</v>
      </c>
      <c r="U314" s="200">
        <f t="shared" si="29"/>
        <v>56.2</v>
      </c>
      <c r="V314" s="12"/>
      <c r="W314" s="12"/>
    </row>
    <row r="315" spans="1:23" x14ac:dyDescent="0.3">
      <c r="A315" s="183" t="e">
        <f ca="1"/>
        <v>#NAME?</v>
      </c>
      <c r="B315" s="214" t="s">
        <v>221</v>
      </c>
      <c r="C315" s="215"/>
      <c r="D315" s="194" t="str">
        <f ca="1">IFERROR(__xludf.DUMMYFUNCTION("IF(J315="""",""n/a"",IFERROR(SPLIT(J315,""/"")))"),"Purefoods")</f>
        <v>Purefoods</v>
      </c>
      <c r="E315" s="214" t="str">
        <f ca="1">IFERROR(__xludf.DUMMYFUNCTION("""COMPUTED_VALUE"""),"pack")</f>
        <v>pack</v>
      </c>
      <c r="F315" s="214" t="str">
        <f ca="1">IFERROR(__xludf.DUMMYFUNCTION("""COMPUTED_VALUE"""),"1000grams")</f>
        <v>1000grams</v>
      </c>
      <c r="G315" s="215"/>
      <c r="H315" s="183" t="s">
        <v>1895</v>
      </c>
      <c r="I315" s="170"/>
      <c r="J315" s="46" t="s">
        <v>222</v>
      </c>
      <c r="K315" s="170"/>
      <c r="L315" s="195">
        <v>181</v>
      </c>
      <c r="M315" s="61">
        <v>5.6</v>
      </c>
      <c r="N315" s="61">
        <v>1</v>
      </c>
      <c r="O315" s="61" t="str">
        <f t="shared" ca="1" si="26"/>
        <v>pack</v>
      </c>
      <c r="P315" s="61" t="s">
        <v>39</v>
      </c>
      <c r="Q315" s="170"/>
      <c r="R315" s="170"/>
      <c r="S315" s="198">
        <f t="shared" si="27"/>
        <v>5.6</v>
      </c>
      <c r="T315" s="199" t="str">
        <f t="shared" si="28"/>
        <v>5.6grams</v>
      </c>
      <c r="U315" s="200">
        <f t="shared" si="29"/>
        <v>1013.5999999999999</v>
      </c>
      <c r="V315" s="12"/>
      <c r="W315" s="12"/>
    </row>
    <row r="316" spans="1:23" x14ac:dyDescent="0.3">
      <c r="A316" s="183" t="e">
        <f ca="1"/>
        <v>#NAME?</v>
      </c>
      <c r="B316" s="194" t="s">
        <v>637</v>
      </c>
      <c r="C316" s="170"/>
      <c r="D316" s="194" t="str">
        <f ca="1">IFERROR(__xludf.DUMMYFUNCTION("IF(J316="""",""n/a"",IFERROR(SPLIT(J316,""/"")))"),"Purefoods")</f>
        <v>Purefoods</v>
      </c>
      <c r="E316" s="194" t="str">
        <f ca="1">IFERROR(__xludf.DUMMYFUNCTION("""COMPUTED_VALUE"""),"pack")</f>
        <v>pack</v>
      </c>
      <c r="F316" s="194" t="str">
        <f ca="1">IFERROR(__xludf.DUMMYFUNCTION("""COMPUTED_VALUE"""),"1000grams")</f>
        <v>1000grams</v>
      </c>
      <c r="G316" s="170"/>
      <c r="H316" s="183" t="s">
        <v>1897</v>
      </c>
      <c r="I316" s="170"/>
      <c r="J316" s="46" t="s">
        <v>222</v>
      </c>
      <c r="K316" s="170"/>
      <c r="L316" s="195">
        <v>0.17100000000000001</v>
      </c>
      <c r="M316" s="210">
        <v>24000</v>
      </c>
      <c r="N316" s="228">
        <v>1000</v>
      </c>
      <c r="O316" s="61" t="str">
        <f t="shared" ca="1" si="26"/>
        <v>pack</v>
      </c>
      <c r="P316" s="229" t="s">
        <v>39</v>
      </c>
      <c r="Q316" s="170"/>
      <c r="R316" s="192" t="str">
        <f>CONCATENATE(N316,P316)</f>
        <v>1000grams</v>
      </c>
      <c r="S316" s="198">
        <f t="shared" si="27"/>
        <v>24000000</v>
      </c>
      <c r="T316" s="199" t="str">
        <f t="shared" si="28"/>
        <v>24000000grams</v>
      </c>
      <c r="U316" s="200">
        <f t="shared" si="29"/>
        <v>4104</v>
      </c>
      <c r="V316" s="205">
        <f>U316/M316</f>
        <v>0.17100000000000001</v>
      </c>
      <c r="W316" s="62"/>
    </row>
    <row r="317" spans="1:23" x14ac:dyDescent="0.3">
      <c r="A317" s="183" t="e">
        <f ca="1"/>
        <v>#NAME?</v>
      </c>
      <c r="B317" s="194" t="s">
        <v>638</v>
      </c>
      <c r="C317" s="170"/>
      <c r="D317" s="194" t="str">
        <f ca="1">IFERROR(__xludf.DUMMYFUNCTION("IF(J317="""",""n/a"",IFERROR(SPLIT(J317,""/"")))"),"Australia Harvest")</f>
        <v>Australia Harvest</v>
      </c>
      <c r="E317" s="194" t="str">
        <f ca="1">IFERROR(__xludf.DUMMYFUNCTION("""COMPUTED_VALUE"""),"pack")</f>
        <v>pack</v>
      </c>
      <c r="F317" s="194" t="str">
        <f ca="1">IFERROR(__xludf.DUMMYFUNCTION("""COMPUTED_VALUE"""),"1000grams")</f>
        <v>1000grams</v>
      </c>
      <c r="G317" s="170"/>
      <c r="H317" s="206" t="s">
        <v>1898</v>
      </c>
      <c r="I317" s="170"/>
      <c r="J317" s="46" t="s">
        <v>639</v>
      </c>
      <c r="K317" s="170"/>
      <c r="L317" s="197">
        <v>0.14085</v>
      </c>
      <c r="M317" s="207">
        <v>600</v>
      </c>
      <c r="N317" s="208">
        <v>1000</v>
      </c>
      <c r="O317" s="61" t="str">
        <f t="shared" ca="1" si="26"/>
        <v>pack</v>
      </c>
      <c r="P317" s="61" t="s">
        <v>39</v>
      </c>
      <c r="Q317" s="170"/>
      <c r="R317" s="170"/>
      <c r="S317" s="198">
        <f t="shared" si="27"/>
        <v>600000</v>
      </c>
      <c r="T317" s="199" t="str">
        <f t="shared" si="28"/>
        <v>600000grams</v>
      </c>
      <c r="U317" s="200">
        <f t="shared" si="29"/>
        <v>84.51</v>
      </c>
      <c r="V317" s="12"/>
      <c r="W317" s="12"/>
    </row>
    <row r="318" spans="1:23" x14ac:dyDescent="0.3">
      <c r="A318" s="183" t="e">
        <f ca="1"/>
        <v>#NAME?</v>
      </c>
      <c r="B318" s="194" t="s">
        <v>640</v>
      </c>
      <c r="C318" s="170"/>
      <c r="D318" s="194" t="str">
        <f ca="1">IFERROR(__xludf.DUMMYFUNCTION("IF(J318="""",""n/a"",IFERROR(SPLIT(J318,""/"")))"),"Del Monte")</f>
        <v>Del Monte</v>
      </c>
      <c r="E318" s="194" t="str">
        <f ca="1">IFERROR(__xludf.DUMMYFUNCTION("""COMPUTED_VALUE"""),"pack")</f>
        <v>pack</v>
      </c>
      <c r="F318" s="194" t="str">
        <f ca="1">IFERROR(__xludf.DUMMYFUNCTION("""COMPUTED_VALUE"""),"900grams")</f>
        <v>900grams</v>
      </c>
      <c r="G318" s="170"/>
      <c r="H318" s="183" t="s">
        <v>1897</v>
      </c>
      <c r="I318" s="170"/>
      <c r="J318" s="46" t="s">
        <v>641</v>
      </c>
      <c r="K318" s="170"/>
      <c r="L318" s="197">
        <v>0.10033333333333333</v>
      </c>
      <c r="M318" s="203">
        <v>1800</v>
      </c>
      <c r="N318" s="203">
        <v>900</v>
      </c>
      <c r="O318" s="61" t="str">
        <f t="shared" ca="1" si="26"/>
        <v>pack</v>
      </c>
      <c r="P318" s="61" t="s">
        <v>39</v>
      </c>
      <c r="Q318" s="170"/>
      <c r="R318" s="192" t="str">
        <f t="shared" ref="R318:R319" si="34">CONCATENATE(N318,P318)</f>
        <v>900grams</v>
      </c>
      <c r="S318" s="198">
        <f t="shared" si="27"/>
        <v>1620000</v>
      </c>
      <c r="T318" s="199" t="str">
        <f t="shared" si="28"/>
        <v>1620000grams</v>
      </c>
      <c r="U318" s="200">
        <f t="shared" si="29"/>
        <v>180.6</v>
      </c>
      <c r="V318" s="205">
        <f t="shared" ref="V318:V319" si="35">U318/M318</f>
        <v>0.10033333333333333</v>
      </c>
      <c r="W318" s="62"/>
    </row>
    <row r="319" spans="1:23" x14ac:dyDescent="0.3">
      <c r="A319" s="183" t="e">
        <f ca="1"/>
        <v>#NAME?</v>
      </c>
      <c r="B319" s="194" t="s">
        <v>180</v>
      </c>
      <c r="C319" s="170"/>
      <c r="D319" s="194" t="str">
        <f ca="1">IFERROR(__xludf.DUMMYFUNCTION("IF(J319="""",""n/a"",IFERROR(SPLIT(J319,""/"")))"),"Tulip")</f>
        <v>Tulip</v>
      </c>
      <c r="E319" s="194" t="str">
        <f ca="1">IFERROR(__xludf.DUMMYFUNCTION("""COMPUTED_VALUE"""),"can")</f>
        <v>can</v>
      </c>
      <c r="F319" s="194" t="str">
        <f ca="1">IFERROR(__xludf.DUMMYFUNCTION("""COMPUTED_VALUE"""),"24pcsx340 grams")</f>
        <v>24pcsx340 grams</v>
      </c>
      <c r="G319" s="170"/>
      <c r="H319" s="183" t="s">
        <v>1897</v>
      </c>
      <c r="I319" s="170"/>
      <c r="J319" s="46" t="s">
        <v>642</v>
      </c>
      <c r="K319" s="170"/>
      <c r="L319" s="195">
        <v>0.48473529411764704</v>
      </c>
      <c r="M319" s="210">
        <v>11560</v>
      </c>
      <c r="N319" s="203">
        <v>340</v>
      </c>
      <c r="O319" s="61" t="str">
        <f t="shared" ca="1" si="26"/>
        <v>can</v>
      </c>
      <c r="P319" s="61" t="s">
        <v>39</v>
      </c>
      <c r="Q319" s="170"/>
      <c r="R319" s="192" t="str">
        <f t="shared" si="34"/>
        <v>340grams</v>
      </c>
      <c r="S319" s="198">
        <f t="shared" si="27"/>
        <v>3930400</v>
      </c>
      <c r="T319" s="199" t="str">
        <f t="shared" si="28"/>
        <v>3930400grams</v>
      </c>
      <c r="U319" s="200">
        <f t="shared" si="29"/>
        <v>5603.54</v>
      </c>
      <c r="V319" s="205">
        <f t="shared" si="35"/>
        <v>0.48473529411764704</v>
      </c>
      <c r="W319" s="62"/>
    </row>
    <row r="320" spans="1:23" x14ac:dyDescent="0.3">
      <c r="A320" s="183" t="e">
        <f ca="1"/>
        <v>#NAME?</v>
      </c>
      <c r="B320" s="214" t="s">
        <v>180</v>
      </c>
      <c r="C320" s="215"/>
      <c r="D320" s="194" t="str">
        <f ca="1">IFERROR(__xludf.DUMMYFUNCTION("IF(J320="""",""n/a"",IFERROR(SPLIT(J320,""/"")))"),"Tulip")</f>
        <v>Tulip</v>
      </c>
      <c r="E320" s="214" t="str">
        <f ca="1">IFERROR(__xludf.DUMMYFUNCTION("""COMPUTED_VALUE"""),"can24pcs")</f>
        <v>can24pcs</v>
      </c>
      <c r="F320" s="214" t="str">
        <f ca="1">IFERROR(__xludf.DUMMYFUNCTION("""COMPUTED_VALUE"""),"340 grams")</f>
        <v>340 grams</v>
      </c>
      <c r="G320" s="215"/>
      <c r="H320" s="183" t="s">
        <v>1895</v>
      </c>
      <c r="I320" s="170"/>
      <c r="J320" s="46" t="s">
        <v>181</v>
      </c>
      <c r="K320" s="170"/>
      <c r="L320" s="195">
        <v>166.43</v>
      </c>
      <c r="M320" s="61">
        <v>29</v>
      </c>
      <c r="N320" s="61">
        <v>1</v>
      </c>
      <c r="O320" s="61" t="str">
        <f t="shared" ca="1" si="26"/>
        <v>can24pcs</v>
      </c>
      <c r="P320" s="61" t="s">
        <v>39</v>
      </c>
      <c r="Q320" s="170"/>
      <c r="R320" s="170"/>
      <c r="S320" s="198">
        <f t="shared" si="27"/>
        <v>29</v>
      </c>
      <c r="T320" s="199" t="str">
        <f t="shared" si="28"/>
        <v>29grams</v>
      </c>
      <c r="U320" s="200">
        <f t="shared" si="29"/>
        <v>4826.47</v>
      </c>
      <c r="V320" s="12"/>
      <c r="W320" s="12"/>
    </row>
    <row r="321" spans="1:23" x14ac:dyDescent="0.3">
      <c r="A321" s="183" t="e">
        <f ca="1"/>
        <v>#NAME?</v>
      </c>
      <c r="B321" s="194" t="s">
        <v>180</v>
      </c>
      <c r="C321" s="170"/>
      <c r="D321" s="194" t="str">
        <f ca="1">IFERROR(__xludf.DUMMYFUNCTION("IF(J321="""",""n/a"",IFERROR(SPLIT(J321,""/"")))"),"n/a")</f>
        <v>n/a</v>
      </c>
      <c r="E321" s="170"/>
      <c r="F321" s="170"/>
      <c r="G321" s="170"/>
      <c r="H321" s="206" t="s">
        <v>1898</v>
      </c>
      <c r="I321" s="170"/>
      <c r="J321" s="170"/>
      <c r="K321" s="170"/>
      <c r="L321" s="197">
        <v>0.44067647058823534</v>
      </c>
      <c r="M321" s="208">
        <v>8160</v>
      </c>
      <c r="N321" s="230">
        <v>340</v>
      </c>
      <c r="O321" s="170">
        <f t="shared" si="26"/>
        <v>0</v>
      </c>
      <c r="P321" s="224" t="s">
        <v>39</v>
      </c>
      <c r="Q321" s="170"/>
      <c r="R321" s="170"/>
      <c r="S321" s="198">
        <f t="shared" si="27"/>
        <v>2774400</v>
      </c>
      <c r="T321" s="199" t="str">
        <f t="shared" si="28"/>
        <v>2774400grams</v>
      </c>
      <c r="U321" s="200">
        <f t="shared" si="29"/>
        <v>3595.9200000000005</v>
      </c>
      <c r="V321" s="12"/>
      <c r="W321" s="12"/>
    </row>
    <row r="322" spans="1:23" x14ac:dyDescent="0.3">
      <c r="A322" s="183" t="e">
        <f ca="1"/>
        <v>#NAME?</v>
      </c>
      <c r="B322" s="194" t="s">
        <v>414</v>
      </c>
      <c r="C322" s="170"/>
      <c r="D322" s="194" t="str">
        <f ca="1">IFERROR(__xludf.DUMMYFUNCTION("IF(J322="""",""n/a"",IFERROR(SPLIT(J322,""/"")))"),"Regent")</f>
        <v>Regent</v>
      </c>
      <c r="E322" s="194" t="str">
        <f ca="1">IFERROR(__xludf.DUMMYFUNCTION("""COMPUTED_VALUE"""),"pack (10pcsx34grams)")</f>
        <v>pack (10pcsx34grams)</v>
      </c>
      <c r="F322" s="170"/>
      <c r="G322" s="170"/>
      <c r="H322" s="183" t="s">
        <v>1895</v>
      </c>
      <c r="I322" s="170"/>
      <c r="J322" s="46" t="s">
        <v>415</v>
      </c>
      <c r="K322" s="170"/>
      <c r="L322" s="195">
        <v>8.6999999999999993</v>
      </c>
      <c r="M322" s="61">
        <v>201</v>
      </c>
      <c r="N322" s="61">
        <v>1</v>
      </c>
      <c r="O322" s="61" t="str">
        <f t="shared" ca="1" si="26"/>
        <v>pack (10pcsx34grams)</v>
      </c>
      <c r="P322" s="61" t="s">
        <v>92</v>
      </c>
      <c r="Q322" s="170"/>
      <c r="R322" s="170"/>
      <c r="S322" s="198">
        <f t="shared" si="27"/>
        <v>201</v>
      </c>
      <c r="T322" s="199" t="str">
        <f t="shared" si="28"/>
        <v>201pieces</v>
      </c>
      <c r="U322" s="200">
        <f t="shared" si="29"/>
        <v>1748.6999999999998</v>
      </c>
      <c r="V322" s="12"/>
      <c r="W322" s="12"/>
    </row>
    <row r="323" spans="1:23" x14ac:dyDescent="0.3">
      <c r="A323" s="183" t="e">
        <f ca="1"/>
        <v>#NAME?</v>
      </c>
      <c r="B323" s="194" t="s">
        <v>643</v>
      </c>
      <c r="C323" s="170"/>
      <c r="D323" s="194" t="str">
        <f ca="1">IFERROR(__xludf.DUMMYFUNCTION("IF(J323="""",""n/a"",IFERROR(SPLIT(J323,""/"")))"),"n/a")</f>
        <v>n/a</v>
      </c>
      <c r="E323" s="170"/>
      <c r="F323" s="170"/>
      <c r="G323" s="170"/>
      <c r="H323" s="206" t="s">
        <v>1898</v>
      </c>
      <c r="I323" s="170"/>
      <c r="J323" s="170"/>
      <c r="K323" s="170"/>
      <c r="L323" s="197">
        <v>8.6999999999999993</v>
      </c>
      <c r="M323" s="208">
        <v>30</v>
      </c>
      <c r="N323" s="208">
        <v>10</v>
      </c>
      <c r="O323" s="170">
        <f t="shared" si="26"/>
        <v>0</v>
      </c>
      <c r="P323" s="61" t="s">
        <v>92</v>
      </c>
      <c r="Q323" s="170"/>
      <c r="R323" s="170"/>
      <c r="S323" s="198">
        <f t="shared" si="27"/>
        <v>300</v>
      </c>
      <c r="T323" s="199" t="str">
        <f t="shared" si="28"/>
        <v>300pieces</v>
      </c>
      <c r="U323" s="200">
        <f t="shared" si="29"/>
        <v>261</v>
      </c>
      <c r="V323" s="12"/>
      <c r="W323" s="12"/>
    </row>
    <row r="324" spans="1:23" x14ac:dyDescent="0.3">
      <c r="A324" s="183" t="e">
        <f ca="1"/>
        <v>#NAME?</v>
      </c>
      <c r="B324" s="194" t="s">
        <v>644</v>
      </c>
      <c r="C324" s="170"/>
      <c r="D324" s="194" t="str">
        <f ca="1">IFERROR(__xludf.DUMMYFUNCTION("IF(J324="""",""n/a"",IFERROR(SPLIT(J324,""/"")))"),"n/a")</f>
        <v>n/a</v>
      </c>
      <c r="E324" s="170"/>
      <c r="F324" s="170"/>
      <c r="G324" s="170"/>
      <c r="H324" s="206" t="s">
        <v>1898</v>
      </c>
      <c r="I324" s="170"/>
      <c r="J324" s="170"/>
      <c r="K324" s="170"/>
      <c r="L324" s="197">
        <v>0.41880000000000001</v>
      </c>
      <c r="M324" s="208">
        <v>6500</v>
      </c>
      <c r="N324" s="208">
        <v>500</v>
      </c>
      <c r="O324" s="170">
        <f t="shared" si="26"/>
        <v>0</v>
      </c>
      <c r="P324" s="61" t="s">
        <v>32</v>
      </c>
      <c r="Q324" s="170"/>
      <c r="R324" s="170"/>
      <c r="S324" s="198">
        <f t="shared" si="27"/>
        <v>3250000</v>
      </c>
      <c r="T324" s="199" t="str">
        <f t="shared" si="28"/>
        <v>3250000ml</v>
      </c>
      <c r="U324" s="200">
        <f t="shared" si="29"/>
        <v>2722.2</v>
      </c>
      <c r="V324" s="12"/>
      <c r="W324" s="12"/>
    </row>
    <row r="325" spans="1:23" x14ac:dyDescent="0.3">
      <c r="A325" s="183" t="e">
        <f ca="1"/>
        <v>#NAME?</v>
      </c>
      <c r="B325" s="194" t="s">
        <v>311</v>
      </c>
      <c r="C325" s="170"/>
      <c r="D325" s="194" t="str">
        <f ca="1">IFERROR(__xludf.DUMMYFUNCTION("IF(J325="""",""n/a"",IFERROR(SPLIT(J325,""/"")))"),"Kewpie")</f>
        <v>Kewpie</v>
      </c>
      <c r="E325" s="194" t="str">
        <f ca="1">IFERROR(__xludf.DUMMYFUNCTION("""COMPUTED_VALUE"""),"bottle")</f>
        <v>bottle</v>
      </c>
      <c r="F325" s="194" t="str">
        <f ca="1">IFERROR(__xludf.DUMMYFUNCTION("""COMPUTED_VALUE"""),"1000ml")</f>
        <v>1000ml</v>
      </c>
      <c r="G325" s="170"/>
      <c r="H325" s="183" t="s">
        <v>1895</v>
      </c>
      <c r="I325" s="170"/>
      <c r="J325" s="46" t="s">
        <v>312</v>
      </c>
      <c r="K325" s="170"/>
      <c r="L325" s="195">
        <v>390</v>
      </c>
      <c r="M325" s="61">
        <v>0.7</v>
      </c>
      <c r="N325" s="61">
        <v>1</v>
      </c>
      <c r="O325" s="61" t="str">
        <f t="shared" ca="1" si="26"/>
        <v>bottle</v>
      </c>
      <c r="P325" s="61" t="s">
        <v>32</v>
      </c>
      <c r="Q325" s="170"/>
      <c r="R325" s="170"/>
      <c r="S325" s="198">
        <f t="shared" si="27"/>
        <v>0.7</v>
      </c>
      <c r="T325" s="199" t="str">
        <f t="shared" si="28"/>
        <v>0.7ml</v>
      </c>
      <c r="U325" s="200">
        <f t="shared" si="29"/>
        <v>273</v>
      </c>
      <c r="V325" s="12"/>
      <c r="W325" s="12"/>
    </row>
    <row r="326" spans="1:23" x14ac:dyDescent="0.3">
      <c r="A326" s="183" t="e">
        <f ca="1"/>
        <v>#NAME?</v>
      </c>
      <c r="B326" s="194" t="s">
        <v>416</v>
      </c>
      <c r="C326" s="170"/>
      <c r="D326" s="194" t="str">
        <f ca="1">IFERROR(__xludf.DUMMYFUNCTION("IF(J326="""",""n/a"",IFERROR(SPLIT(J326,""/"")))"),"Regent")</f>
        <v>Regent</v>
      </c>
      <c r="E326" s="194" t="str">
        <f ca="1">IFERROR(__xludf.DUMMYFUNCTION("""COMPUTED_VALUE"""),"pack (10pcsx34grams)")</f>
        <v>pack (10pcsx34grams)</v>
      </c>
      <c r="F326" s="170"/>
      <c r="G326" s="170"/>
      <c r="H326" s="183" t="s">
        <v>1895</v>
      </c>
      <c r="I326" s="170"/>
      <c r="J326" s="46" t="s">
        <v>415</v>
      </c>
      <c r="K326" s="170"/>
      <c r="L326" s="195">
        <v>64</v>
      </c>
      <c r="M326" s="61">
        <v>8</v>
      </c>
      <c r="N326" s="61">
        <v>1</v>
      </c>
      <c r="O326" s="61" t="str">
        <f t="shared" ca="1" si="26"/>
        <v>pack (10pcsx34grams)</v>
      </c>
      <c r="P326" s="61" t="s">
        <v>92</v>
      </c>
      <c r="Q326" s="170"/>
      <c r="R326" s="170"/>
      <c r="S326" s="198">
        <f t="shared" si="27"/>
        <v>8</v>
      </c>
      <c r="T326" s="199" t="str">
        <f t="shared" si="28"/>
        <v>8pieces</v>
      </c>
      <c r="U326" s="200">
        <f t="shared" si="29"/>
        <v>512</v>
      </c>
      <c r="V326" s="12"/>
      <c r="W326" s="12"/>
    </row>
    <row r="327" spans="1:23" x14ac:dyDescent="0.3">
      <c r="A327" s="183" t="e">
        <f ca="1"/>
        <v>#NAME?</v>
      </c>
      <c r="B327" s="194" t="s">
        <v>645</v>
      </c>
      <c r="C327" s="170"/>
      <c r="D327" s="194" t="str">
        <f ca="1">IFERROR(__xludf.DUMMYFUNCTION("IF(J327="""",""n/a"",IFERROR(SPLIT(J327,""/"")))"),"n/a")</f>
        <v>n/a</v>
      </c>
      <c r="E327" s="170"/>
      <c r="F327" s="170"/>
      <c r="G327" s="170"/>
      <c r="H327" s="183" t="s">
        <v>1897</v>
      </c>
      <c r="I327" s="170"/>
      <c r="J327" s="170"/>
      <c r="K327" s="170"/>
      <c r="L327" s="195">
        <v>330</v>
      </c>
      <c r="M327" s="203">
        <v>14</v>
      </c>
      <c r="N327" s="203">
        <v>1</v>
      </c>
      <c r="O327" s="170">
        <f t="shared" si="26"/>
        <v>0</v>
      </c>
      <c r="P327" s="61" t="s">
        <v>213</v>
      </c>
      <c r="Q327" s="170"/>
      <c r="R327" s="192" t="str">
        <f t="shared" ref="R327:R328" si="36">CONCATENATE(N327,P327)</f>
        <v>1kilos</v>
      </c>
      <c r="S327" s="198">
        <f t="shared" si="27"/>
        <v>14</v>
      </c>
      <c r="T327" s="199" t="str">
        <f t="shared" si="28"/>
        <v>14kilos</v>
      </c>
      <c r="U327" s="200">
        <f t="shared" si="29"/>
        <v>4620</v>
      </c>
      <c r="V327" s="205">
        <f>U327/M327</f>
        <v>330</v>
      </c>
      <c r="W327" s="62"/>
    </row>
    <row r="328" spans="1:23" x14ac:dyDescent="0.3">
      <c r="A328" s="183" t="e">
        <f ca="1"/>
        <v>#NAME?</v>
      </c>
      <c r="B328" s="194" t="s">
        <v>645</v>
      </c>
      <c r="C328" s="170"/>
      <c r="D328" s="194" t="str">
        <f ca="1">IFERROR(__xludf.DUMMYFUNCTION("IF(J328="""",""n/a"",IFERROR(SPLIT(J328,""/"")))"),"Mt. Fuji")</f>
        <v>Mt. Fuji</v>
      </c>
      <c r="E328" s="194" t="str">
        <f ca="1">IFERROR(__xludf.DUMMYFUNCTION("""COMPUTED_VALUE"""),"sack")</f>
        <v>sack</v>
      </c>
      <c r="F328" s="194" t="str">
        <f ca="1">IFERROR(__xludf.DUMMYFUNCTION("""COMPUTED_VALUE"""),"25kilos")</f>
        <v>25kilos</v>
      </c>
      <c r="G328" s="170"/>
      <c r="H328" s="183" t="s">
        <v>1897</v>
      </c>
      <c r="I328" s="170"/>
      <c r="J328" s="46" t="s">
        <v>646</v>
      </c>
      <c r="K328" s="170"/>
      <c r="L328" s="202">
        <v>189</v>
      </c>
      <c r="M328" s="203">
        <v>1</v>
      </c>
      <c r="N328" s="203">
        <v>1</v>
      </c>
      <c r="O328" s="61" t="str">
        <f t="shared" ca="1" si="26"/>
        <v>sack</v>
      </c>
      <c r="P328" s="61" t="s">
        <v>213</v>
      </c>
      <c r="Q328" s="170"/>
      <c r="R328" s="192" t="str">
        <f t="shared" si="36"/>
        <v>1kilos</v>
      </c>
      <c r="S328" s="198">
        <f t="shared" si="27"/>
        <v>1</v>
      </c>
      <c r="T328" s="199" t="str">
        <f t="shared" si="28"/>
        <v>1kilos</v>
      </c>
      <c r="U328" s="200">
        <f t="shared" si="29"/>
        <v>189</v>
      </c>
      <c r="V328" s="12"/>
      <c r="W328" s="12"/>
    </row>
    <row r="329" spans="1:23" x14ac:dyDescent="0.3">
      <c r="A329" s="183" t="e">
        <f ca="1"/>
        <v>#NAME?</v>
      </c>
      <c r="B329" s="194" t="s">
        <v>645</v>
      </c>
      <c r="C329" s="170"/>
      <c r="D329" s="194" t="str">
        <f ca="1">IFERROR(__xludf.DUMMYFUNCTION("IF(J329="""",""n/a"",IFERROR(SPLIT(J329,""/"")))"),"n/a")</f>
        <v>n/a</v>
      </c>
      <c r="E329" s="170"/>
      <c r="F329" s="170"/>
      <c r="G329" s="170"/>
      <c r="H329" s="206" t="s">
        <v>1898</v>
      </c>
      <c r="I329" s="170"/>
      <c r="J329" s="170"/>
      <c r="K329" s="170"/>
      <c r="L329" s="197">
        <v>103</v>
      </c>
      <c r="M329" s="208">
        <v>2</v>
      </c>
      <c r="N329" s="208">
        <v>1</v>
      </c>
      <c r="O329" s="170">
        <f t="shared" si="26"/>
        <v>0</v>
      </c>
      <c r="P329" s="61" t="s">
        <v>213</v>
      </c>
      <c r="Q329" s="170"/>
      <c r="R329" s="170"/>
      <c r="S329" s="198">
        <f t="shared" si="27"/>
        <v>2</v>
      </c>
      <c r="T329" s="199" t="str">
        <f t="shared" si="28"/>
        <v>2kilos</v>
      </c>
      <c r="U329" s="200">
        <f t="shared" si="29"/>
        <v>206</v>
      </c>
      <c r="V329" s="12"/>
      <c r="W329" s="12"/>
    </row>
    <row r="330" spans="1:23" x14ac:dyDescent="0.3">
      <c r="A330" s="183" t="e">
        <f ca="1"/>
        <v>#NAME?</v>
      </c>
      <c r="B330" s="194" t="s">
        <v>647</v>
      </c>
      <c r="C330" s="170"/>
      <c r="D330" s="194" t="str">
        <f ca="1">IFERROR(__xludf.DUMMYFUNCTION("IF(J330="""",""n/a"",IFERROR(SPLIT(J330,""/"")))"),"kewpien")</f>
        <v>kewpien</v>
      </c>
      <c r="E330" s="194" t="str">
        <f ca="1">IFERROR(__xludf.DUMMYFUNCTION("""COMPUTED_VALUE"""),"500ml")</f>
        <v>500ml</v>
      </c>
      <c r="F330" s="170"/>
      <c r="G330" s="170"/>
      <c r="H330" s="183" t="s">
        <v>1897</v>
      </c>
      <c r="I330" s="170"/>
      <c r="J330" s="46" t="s">
        <v>648</v>
      </c>
      <c r="K330" s="170"/>
      <c r="L330" s="202">
        <v>0.56000000000000005</v>
      </c>
      <c r="M330" s="203">
        <v>1500</v>
      </c>
      <c r="N330" s="203">
        <v>500</v>
      </c>
      <c r="O330" s="61" t="str">
        <f t="shared" ca="1" si="26"/>
        <v>500ml</v>
      </c>
      <c r="P330" s="61" t="s">
        <v>32</v>
      </c>
      <c r="Q330" s="170"/>
      <c r="R330" s="192" t="str">
        <f>CONCATENATE(N330,P330)</f>
        <v>500ml</v>
      </c>
      <c r="S330" s="198">
        <f t="shared" si="27"/>
        <v>750000</v>
      </c>
      <c r="T330" s="199" t="str">
        <f t="shared" si="28"/>
        <v>750000ml</v>
      </c>
      <c r="U330" s="200">
        <f t="shared" si="29"/>
        <v>840.00000000000011</v>
      </c>
      <c r="V330" s="12"/>
      <c r="W330" s="12"/>
    </row>
    <row r="331" spans="1:23" x14ac:dyDescent="0.3">
      <c r="A331" s="183" t="e">
        <f ca="1"/>
        <v>#NAME?</v>
      </c>
      <c r="B331" s="194" t="s">
        <v>364</v>
      </c>
      <c r="C331" s="170"/>
      <c r="D331" s="194" t="str">
        <f ca="1">IFERROR(__xludf.DUMMYFUNCTION("IF(J331="""",""n/a"",IFERROR(SPLIT(J331,""/"")))"),"Thai Jasmine")</f>
        <v>Thai Jasmine</v>
      </c>
      <c r="E331" s="194" t="str">
        <f ca="1">IFERROR(__xludf.DUMMYFUNCTION("""COMPUTED_VALUE"""),"sack")</f>
        <v>sack</v>
      </c>
      <c r="F331" s="194" t="str">
        <f ca="1">IFERROR(__xludf.DUMMYFUNCTION("""COMPUTED_VALUE"""),"25kilos")</f>
        <v>25kilos</v>
      </c>
      <c r="G331" s="170"/>
      <c r="H331" s="183" t="s">
        <v>1895</v>
      </c>
      <c r="I331" s="170"/>
      <c r="J331" s="46" t="s">
        <v>365</v>
      </c>
      <c r="K331" s="170"/>
      <c r="L331" s="195">
        <v>48.8</v>
      </c>
      <c r="M331" s="61">
        <v>405</v>
      </c>
      <c r="N331" s="61">
        <v>1</v>
      </c>
      <c r="O331" s="61" t="str">
        <f t="shared" ca="1" si="26"/>
        <v>sack</v>
      </c>
      <c r="P331" s="61" t="s">
        <v>213</v>
      </c>
      <c r="Q331" s="170"/>
      <c r="R331" s="170"/>
      <c r="S331" s="198">
        <f t="shared" si="27"/>
        <v>405</v>
      </c>
      <c r="T331" s="199" t="str">
        <f t="shared" si="28"/>
        <v>405kilos</v>
      </c>
      <c r="U331" s="200">
        <f t="shared" si="29"/>
        <v>19764</v>
      </c>
      <c r="V331" s="12"/>
      <c r="W331" s="12"/>
    </row>
    <row r="332" spans="1:23" x14ac:dyDescent="0.3">
      <c r="A332" s="183" t="e">
        <f ca="1"/>
        <v>#NAME?</v>
      </c>
      <c r="B332" s="194" t="s">
        <v>649</v>
      </c>
      <c r="C332" s="170"/>
      <c r="D332" s="194" t="str">
        <f ca="1">IFERROR(__xludf.DUMMYFUNCTION("IF(J332="""",""n/a"",IFERROR(SPLIT(J332,""/"")))"),"n/a")</f>
        <v>n/a</v>
      </c>
      <c r="E332" s="170"/>
      <c r="F332" s="170"/>
      <c r="G332" s="170"/>
      <c r="H332" s="206" t="s">
        <v>1898</v>
      </c>
      <c r="I332" s="170"/>
      <c r="J332" s="170"/>
      <c r="K332" s="170"/>
      <c r="L332" s="197">
        <v>1860</v>
      </c>
      <c r="M332" s="208">
        <v>0.5</v>
      </c>
      <c r="N332" s="208">
        <v>1</v>
      </c>
      <c r="O332" s="170">
        <f t="shared" si="26"/>
        <v>0</v>
      </c>
      <c r="P332" s="61" t="s">
        <v>200</v>
      </c>
      <c r="Q332" s="170"/>
      <c r="R332" s="170"/>
      <c r="S332" s="198">
        <f t="shared" si="27"/>
        <v>0.5</v>
      </c>
      <c r="T332" s="199" t="str">
        <f t="shared" si="28"/>
        <v>0.5gal</v>
      </c>
      <c r="U332" s="200">
        <f t="shared" si="29"/>
        <v>930</v>
      </c>
      <c r="V332" s="12"/>
      <c r="W332" s="12"/>
    </row>
    <row r="333" spans="1:23" x14ac:dyDescent="0.3">
      <c r="A333" s="183" t="e">
        <f ca="1"/>
        <v>#NAME?</v>
      </c>
      <c r="B333" s="194" t="s">
        <v>650</v>
      </c>
      <c r="C333" s="170"/>
      <c r="D333" s="194" t="str">
        <f ca="1">IFERROR(__xludf.DUMMYFUNCTION("IF(J333="""",""n/a"",IFERROR(SPLIT(J333,""/"")))"),"n/a")</f>
        <v>n/a</v>
      </c>
      <c r="E333" s="170"/>
      <c r="F333" s="170"/>
      <c r="G333" s="170"/>
      <c r="H333" s="206" t="s">
        <v>1898</v>
      </c>
      <c r="I333" s="170"/>
      <c r="J333" s="170"/>
      <c r="K333" s="170"/>
      <c r="L333" s="197">
        <v>6.4799999999999995</v>
      </c>
      <c r="M333" s="208">
        <v>4</v>
      </c>
      <c r="N333" s="208">
        <v>10</v>
      </c>
      <c r="O333" s="170">
        <f t="shared" si="26"/>
        <v>0</v>
      </c>
      <c r="P333" s="61" t="s">
        <v>92</v>
      </c>
      <c r="Q333" s="170"/>
      <c r="R333" s="170"/>
      <c r="S333" s="198">
        <f t="shared" si="27"/>
        <v>40</v>
      </c>
      <c r="T333" s="199" t="str">
        <f t="shared" si="28"/>
        <v>40pieces</v>
      </c>
      <c r="U333" s="200">
        <f t="shared" si="29"/>
        <v>25.919999999999998</v>
      </c>
      <c r="V333" s="12"/>
      <c r="W333" s="12"/>
    </row>
    <row r="334" spans="1:23" x14ac:dyDescent="0.3">
      <c r="A334" s="183" t="e">
        <f ca="1"/>
        <v>#NAME?</v>
      </c>
      <c r="B334" s="194" t="s">
        <v>182</v>
      </c>
      <c r="C334" s="170"/>
      <c r="D334" s="194" t="str">
        <f ca="1">IFERROR(__xludf.DUMMYFUNCTION("IF(J334="""",""n/a"",IFERROR(SPLIT(J334,""/"")))"),"J em J")</f>
        <v>J em J</v>
      </c>
      <c r="E334" s="194" t="str">
        <f ca="1">IFERROR(__xludf.DUMMYFUNCTION("""COMPUTED_VALUE"""),"can")</f>
        <v>can</v>
      </c>
      <c r="F334" s="194" t="str">
        <f ca="1">IFERROR(__xludf.DUMMYFUNCTION("""COMPUTED_VALUE"""),"425grams")</f>
        <v>425grams</v>
      </c>
      <c r="G334" s="170"/>
      <c r="H334" s="183" t="s">
        <v>1895</v>
      </c>
      <c r="I334" s="215"/>
      <c r="J334" s="46" t="s">
        <v>183</v>
      </c>
      <c r="K334" s="170"/>
      <c r="L334" s="195">
        <v>42</v>
      </c>
      <c r="M334" s="61">
        <v>22.47</v>
      </c>
      <c r="N334" s="61">
        <v>1</v>
      </c>
      <c r="O334" s="61" t="str">
        <f t="shared" ca="1" si="26"/>
        <v>can</v>
      </c>
      <c r="P334" s="61" t="s">
        <v>39</v>
      </c>
      <c r="Q334" s="170"/>
      <c r="R334" s="170"/>
      <c r="S334" s="198">
        <f t="shared" si="27"/>
        <v>22.47</v>
      </c>
      <c r="T334" s="199" t="str">
        <f t="shared" si="28"/>
        <v>22.47grams</v>
      </c>
      <c r="U334" s="200">
        <f t="shared" si="29"/>
        <v>943.74</v>
      </c>
      <c r="V334" s="12"/>
      <c r="W334" s="12"/>
    </row>
    <row r="335" spans="1:23" x14ac:dyDescent="0.3">
      <c r="A335" s="183" t="e">
        <f ca="1"/>
        <v>#NAME?</v>
      </c>
      <c r="B335" s="194" t="s">
        <v>182</v>
      </c>
      <c r="C335" s="170"/>
      <c r="D335" s="194" t="str">
        <f ca="1">IFERROR(__xludf.DUMMYFUNCTION("IF(J335="""",""n/a"",IFERROR(SPLIT(J335,""/"")))"),"n/a")</f>
        <v>n/a</v>
      </c>
      <c r="E335" s="170"/>
      <c r="F335" s="170"/>
      <c r="G335" s="170"/>
      <c r="H335" s="206" t="s">
        <v>1898</v>
      </c>
      <c r="I335" s="170"/>
      <c r="J335" s="170"/>
      <c r="K335" s="170"/>
      <c r="L335" s="197">
        <v>0.17208000000000001</v>
      </c>
      <c r="M335" s="208">
        <v>250</v>
      </c>
      <c r="N335" s="208">
        <v>250</v>
      </c>
      <c r="O335" s="170">
        <f t="shared" si="26"/>
        <v>0</v>
      </c>
      <c r="P335" s="222" t="s">
        <v>39</v>
      </c>
      <c r="Q335" s="170"/>
      <c r="R335" s="170"/>
      <c r="S335" s="198">
        <f t="shared" si="27"/>
        <v>62500</v>
      </c>
      <c r="T335" s="199" t="str">
        <f t="shared" si="28"/>
        <v>62500grams</v>
      </c>
      <c r="U335" s="200">
        <f t="shared" si="29"/>
        <v>43.02</v>
      </c>
      <c r="V335" s="12"/>
      <c r="W335" s="12"/>
    </row>
    <row r="336" spans="1:23" x14ac:dyDescent="0.3">
      <c r="A336" s="183" t="e">
        <f ca="1"/>
        <v>#NAME?</v>
      </c>
      <c r="B336" s="194" t="s">
        <v>223</v>
      </c>
      <c r="C336" s="170"/>
      <c r="D336" s="194" t="str">
        <f ca="1">IFERROR(__xludf.DUMMYFUNCTION("IF(J336="""",""n/a"",IFERROR(SPLIT(J336,""/"")))"),"Shanghai")</f>
        <v>Shanghai</v>
      </c>
      <c r="E336" s="194" t="str">
        <f ca="1">IFERROR(__xludf.DUMMYFUNCTION("""COMPUTED_VALUE"""),"pack")</f>
        <v>pack</v>
      </c>
      <c r="F336" s="194" t="str">
        <f ca="1">IFERROR(__xludf.DUMMYFUNCTION("""COMPUTED_VALUE"""),"1000grams")</f>
        <v>1000grams</v>
      </c>
      <c r="G336" s="170"/>
      <c r="H336" s="183" t="s">
        <v>1895</v>
      </c>
      <c r="I336" s="170"/>
      <c r="J336" s="46" t="s">
        <v>224</v>
      </c>
      <c r="K336" s="170"/>
      <c r="L336" s="195">
        <v>115</v>
      </c>
      <c r="M336" s="61">
        <v>0.5</v>
      </c>
      <c r="N336" s="61">
        <v>1</v>
      </c>
      <c r="O336" s="61" t="str">
        <f t="shared" ca="1" si="26"/>
        <v>pack</v>
      </c>
      <c r="P336" s="61" t="s">
        <v>39</v>
      </c>
      <c r="Q336" s="170"/>
      <c r="R336" s="170"/>
      <c r="S336" s="198">
        <f t="shared" si="27"/>
        <v>0.5</v>
      </c>
      <c r="T336" s="199" t="str">
        <f t="shared" si="28"/>
        <v>0.5grams</v>
      </c>
      <c r="U336" s="200">
        <f t="shared" si="29"/>
        <v>57.5</v>
      </c>
      <c r="V336" s="12"/>
      <c r="W336" s="12"/>
    </row>
    <row r="337" spans="1:23" x14ac:dyDescent="0.3">
      <c r="A337" s="183" t="e">
        <f ca="1"/>
        <v>#NAME?</v>
      </c>
      <c r="B337" s="194" t="s">
        <v>143</v>
      </c>
      <c r="C337" s="170"/>
      <c r="D337" s="194" t="str">
        <f ca="1">IFERROR(__xludf.DUMMYFUNCTION("IF(J337="""",""n/a"",IFERROR(SPLIT(J337,""/"")))"),"Kopiko")</f>
        <v>Kopiko</v>
      </c>
      <c r="E337" s="194" t="str">
        <f ca="1">IFERROR(__xludf.DUMMYFUNCTION("""COMPUTED_VALUE"""),"pack (30x30grams)")</f>
        <v>pack (30x30grams)</v>
      </c>
      <c r="F337" s="170"/>
      <c r="G337" s="170"/>
      <c r="H337" s="183" t="s">
        <v>1897</v>
      </c>
      <c r="I337" s="170"/>
      <c r="J337" s="46" t="s">
        <v>651</v>
      </c>
      <c r="K337" s="170"/>
      <c r="L337" s="204">
        <v>7.37</v>
      </c>
      <c r="M337" s="203">
        <v>139</v>
      </c>
      <c r="N337" s="203">
        <v>1</v>
      </c>
      <c r="O337" s="61" t="str">
        <f t="shared" ca="1" si="26"/>
        <v>pack (30x30grams)</v>
      </c>
      <c r="P337" s="61" t="s">
        <v>92</v>
      </c>
      <c r="Q337" s="170"/>
      <c r="R337" s="192" t="str">
        <f>CONCATENATE(N337,P337)</f>
        <v>1pieces</v>
      </c>
      <c r="S337" s="198">
        <f t="shared" si="27"/>
        <v>139</v>
      </c>
      <c r="T337" s="199" t="str">
        <f t="shared" si="28"/>
        <v>139pieces</v>
      </c>
      <c r="U337" s="200">
        <f t="shared" si="29"/>
        <v>1024.43</v>
      </c>
      <c r="V337" s="205">
        <f>U337/M337</f>
        <v>7.37</v>
      </c>
      <c r="W337" s="62"/>
    </row>
    <row r="338" spans="1:23" x14ac:dyDescent="0.3">
      <c r="A338" s="183" t="e">
        <f ca="1"/>
        <v>#NAME?</v>
      </c>
      <c r="B338" s="194" t="s">
        <v>143</v>
      </c>
      <c r="C338" s="170"/>
      <c r="D338" s="194" t="str">
        <f ca="1">IFERROR(__xludf.DUMMYFUNCTION("IF(J338="""",""n/a"",IFERROR(SPLIT(J338,""/"")))"),"Kopiko")</f>
        <v>Kopiko</v>
      </c>
      <c r="E338" s="194" t="str">
        <f ca="1">IFERROR(__xludf.DUMMYFUNCTION("""COMPUTED_VALUE"""),"pack (10x30grams)")</f>
        <v>pack (10x30grams)</v>
      </c>
      <c r="F338" s="170"/>
      <c r="G338" s="170"/>
      <c r="H338" s="183" t="s">
        <v>1895</v>
      </c>
      <c r="I338" s="170"/>
      <c r="J338" s="46" t="s">
        <v>144</v>
      </c>
      <c r="K338" s="170"/>
      <c r="L338" s="195">
        <v>7</v>
      </c>
      <c r="M338" s="61">
        <v>240</v>
      </c>
      <c r="N338" s="61">
        <v>1</v>
      </c>
      <c r="O338" s="61" t="str">
        <f t="shared" ca="1" si="26"/>
        <v>pack (10x30grams)</v>
      </c>
      <c r="P338" s="61" t="s">
        <v>92</v>
      </c>
      <c r="Q338" s="170"/>
      <c r="R338" s="170"/>
      <c r="S338" s="198">
        <f t="shared" si="27"/>
        <v>240</v>
      </c>
      <c r="T338" s="199" t="str">
        <f t="shared" si="28"/>
        <v>240pieces</v>
      </c>
      <c r="U338" s="200">
        <f t="shared" si="29"/>
        <v>1680</v>
      </c>
      <c r="V338" s="12"/>
      <c r="W338" s="12"/>
    </row>
    <row r="339" spans="1:23" x14ac:dyDescent="0.3">
      <c r="A339" s="183" t="e">
        <f ca="1"/>
        <v>#NAME?</v>
      </c>
      <c r="B339" s="194" t="s">
        <v>143</v>
      </c>
      <c r="C339" s="170"/>
      <c r="D339" s="194" t="str">
        <f ca="1">IFERROR(__xludf.DUMMYFUNCTION("IF(J339="""",""n/a"",IFERROR(SPLIT(J339,""/"")))"),"n/a")</f>
        <v>n/a</v>
      </c>
      <c r="E339" s="170"/>
      <c r="F339" s="170"/>
      <c r="G339" s="170"/>
      <c r="H339" s="206" t="s">
        <v>1898</v>
      </c>
      <c r="I339" s="170"/>
      <c r="J339" s="170"/>
      <c r="K339" s="170"/>
      <c r="L339" s="197">
        <v>7.74</v>
      </c>
      <c r="M339" s="207">
        <v>489</v>
      </c>
      <c r="N339" s="208">
        <v>10</v>
      </c>
      <c r="O339" s="170">
        <f t="shared" si="26"/>
        <v>0</v>
      </c>
      <c r="P339" s="209" t="s">
        <v>92</v>
      </c>
      <c r="Q339" s="170"/>
      <c r="R339" s="170"/>
      <c r="S339" s="198">
        <f t="shared" si="27"/>
        <v>4890</v>
      </c>
      <c r="T339" s="199" t="str">
        <f t="shared" si="28"/>
        <v>4890pieces</v>
      </c>
      <c r="U339" s="200">
        <f t="shared" si="29"/>
        <v>3784.86</v>
      </c>
      <c r="V339" s="12"/>
      <c r="W339" s="12"/>
    </row>
    <row r="340" spans="1:23" x14ac:dyDescent="0.3">
      <c r="A340" s="183" t="e">
        <f ca="1"/>
        <v>#NAME?</v>
      </c>
      <c r="B340" s="194" t="s">
        <v>652</v>
      </c>
      <c r="C340" s="170"/>
      <c r="D340" s="194" t="str">
        <f ca="1">IFERROR(__xludf.DUMMYFUNCTION("IF(J340="""",""n/a"",IFERROR(SPLIT(J340,""/"")))"),"Kopiko")</f>
        <v>Kopiko</v>
      </c>
      <c r="E340" s="194" t="str">
        <f ca="1">IFERROR(__xludf.DUMMYFUNCTION("""COMPUTED_VALUE"""),"pack (30x30grams)")</f>
        <v>pack (30x30grams)</v>
      </c>
      <c r="F340" s="170"/>
      <c r="G340" s="170"/>
      <c r="H340" s="183" t="s">
        <v>1897</v>
      </c>
      <c r="I340" s="170"/>
      <c r="J340" s="46" t="s">
        <v>651</v>
      </c>
      <c r="K340" s="170"/>
      <c r="L340" s="204">
        <v>8.1999999999999993</v>
      </c>
      <c r="M340" s="203">
        <v>170</v>
      </c>
      <c r="N340" s="203">
        <v>1</v>
      </c>
      <c r="O340" s="61" t="str">
        <f t="shared" ca="1" si="26"/>
        <v>pack (30x30grams)</v>
      </c>
      <c r="P340" s="61" t="s">
        <v>92</v>
      </c>
      <c r="Q340" s="170"/>
      <c r="R340" s="192" t="str">
        <f>CONCATENATE(N340,P340)</f>
        <v>1pieces</v>
      </c>
      <c r="S340" s="198">
        <f t="shared" si="27"/>
        <v>170</v>
      </c>
      <c r="T340" s="199" t="str">
        <f t="shared" si="28"/>
        <v>170pieces</v>
      </c>
      <c r="U340" s="200">
        <f t="shared" si="29"/>
        <v>1393.9999999999998</v>
      </c>
      <c r="V340" s="205">
        <f>U340/M340</f>
        <v>8.1999999999999993</v>
      </c>
      <c r="W340" s="62"/>
    </row>
    <row r="341" spans="1:23" x14ac:dyDescent="0.3">
      <c r="A341" s="183" t="e">
        <f ca="1"/>
        <v>#NAME?</v>
      </c>
      <c r="B341" s="194" t="s">
        <v>652</v>
      </c>
      <c r="C341" s="170"/>
      <c r="D341" s="194" t="str">
        <f ca="1">IFERROR(__xludf.DUMMYFUNCTION("IF(J341="""",""n/a"",IFERROR(SPLIT(J341,""/"")))"),"n/a")</f>
        <v>n/a</v>
      </c>
      <c r="E341" s="170"/>
      <c r="F341" s="170"/>
      <c r="G341" s="170"/>
      <c r="H341" s="206" t="s">
        <v>1898</v>
      </c>
      <c r="I341" s="170"/>
      <c r="J341" s="170"/>
      <c r="K341" s="170"/>
      <c r="L341" s="197">
        <v>8.75</v>
      </c>
      <c r="M341" s="207">
        <v>4</v>
      </c>
      <c r="N341" s="208">
        <v>10</v>
      </c>
      <c r="O341" s="170">
        <f t="shared" si="26"/>
        <v>0</v>
      </c>
      <c r="P341" s="209" t="s">
        <v>92</v>
      </c>
      <c r="Q341" s="170"/>
      <c r="R341" s="170"/>
      <c r="S341" s="198">
        <f t="shared" si="27"/>
        <v>40</v>
      </c>
      <c r="T341" s="199" t="str">
        <f t="shared" si="28"/>
        <v>40pieces</v>
      </c>
      <c r="U341" s="200">
        <f t="shared" si="29"/>
        <v>35</v>
      </c>
      <c r="V341" s="12"/>
      <c r="W341" s="12"/>
    </row>
    <row r="342" spans="1:23" x14ac:dyDescent="0.3">
      <c r="A342" s="183" t="e">
        <f ca="1"/>
        <v>#NAME?</v>
      </c>
      <c r="B342" s="194" t="s">
        <v>145</v>
      </c>
      <c r="C342" s="170"/>
      <c r="D342" s="194" t="str">
        <f ca="1">IFERROR(__xludf.DUMMYFUNCTION("IF(J342="""",""n/a"",IFERROR(SPLIT(J342,""/"")))"),"Kopiko")</f>
        <v>Kopiko</v>
      </c>
      <c r="E342" s="194" t="str">
        <f ca="1">IFERROR(__xludf.DUMMYFUNCTION("""COMPUTED_VALUE"""),"pack (10x27.5grams)")</f>
        <v>pack (10x27.5grams)</v>
      </c>
      <c r="F342" s="170"/>
      <c r="G342" s="170"/>
      <c r="H342" s="183" t="s">
        <v>1895</v>
      </c>
      <c r="I342" s="170"/>
      <c r="J342" s="46" t="s">
        <v>146</v>
      </c>
      <c r="K342" s="170"/>
      <c r="L342" s="195">
        <v>7</v>
      </c>
      <c r="M342" s="61">
        <v>351</v>
      </c>
      <c r="N342" s="61">
        <v>1</v>
      </c>
      <c r="O342" s="61" t="str">
        <f t="shared" ca="1" si="26"/>
        <v>pack (10x27.5grams)</v>
      </c>
      <c r="P342" s="61" t="s">
        <v>92</v>
      </c>
      <c r="Q342" s="170"/>
      <c r="R342" s="170"/>
      <c r="S342" s="198">
        <f t="shared" si="27"/>
        <v>351</v>
      </c>
      <c r="T342" s="199" t="str">
        <f t="shared" si="28"/>
        <v>351pieces</v>
      </c>
      <c r="U342" s="200">
        <f t="shared" si="29"/>
        <v>2457</v>
      </c>
      <c r="V342" s="12"/>
      <c r="W342" s="12"/>
    </row>
    <row r="343" spans="1:23" x14ac:dyDescent="0.3">
      <c r="A343" s="183" t="e">
        <f ca="1"/>
        <v>#NAME?</v>
      </c>
      <c r="B343" s="194" t="s">
        <v>145</v>
      </c>
      <c r="C343" s="170"/>
      <c r="D343" s="194" t="str">
        <f ca="1">IFERROR(__xludf.DUMMYFUNCTION("IF(J343="""",""n/a"",IFERROR(SPLIT(J343,""/"")))"),"n/a")</f>
        <v>n/a</v>
      </c>
      <c r="E343" s="170"/>
      <c r="F343" s="170"/>
      <c r="G343" s="170"/>
      <c r="H343" s="206" t="s">
        <v>1898</v>
      </c>
      <c r="I343" s="170"/>
      <c r="J343" s="170"/>
      <c r="K343" s="170"/>
      <c r="L343" s="197">
        <v>7.7</v>
      </c>
      <c r="M343" s="207">
        <v>311</v>
      </c>
      <c r="N343" s="208">
        <v>10</v>
      </c>
      <c r="O343" s="170">
        <f t="shared" si="26"/>
        <v>0</v>
      </c>
      <c r="P343" s="209" t="s">
        <v>92</v>
      </c>
      <c r="Q343" s="170"/>
      <c r="R343" s="170"/>
      <c r="S343" s="198">
        <f t="shared" si="27"/>
        <v>3110</v>
      </c>
      <c r="T343" s="199" t="str">
        <f t="shared" si="28"/>
        <v>3110pieces</v>
      </c>
      <c r="U343" s="200">
        <f t="shared" si="29"/>
        <v>2394.7000000000003</v>
      </c>
      <c r="V343" s="12"/>
      <c r="W343" s="12"/>
    </row>
    <row r="344" spans="1:23" x14ac:dyDescent="0.3">
      <c r="A344" s="183" t="e">
        <f ca="1"/>
        <v>#NAME?</v>
      </c>
      <c r="B344" s="194" t="s">
        <v>147</v>
      </c>
      <c r="C344" s="170"/>
      <c r="D344" s="194" t="str">
        <f ca="1">IFERROR(__xludf.DUMMYFUNCTION("IF(J344="""",""n/a"",IFERROR(SPLIT(J344,""/"")))"),"Kopikopack (20pcsx")</f>
        <v>Kopikopack (20pcsx</v>
      </c>
      <c r="E344" s="194" t="str">
        <f ca="1">IFERROR(__xludf.DUMMYFUNCTION("""COMPUTED_VALUE"""),"25grams)")</f>
        <v>25grams)</v>
      </c>
      <c r="F344" s="170"/>
      <c r="G344" s="170"/>
      <c r="H344" s="183" t="s">
        <v>1897</v>
      </c>
      <c r="I344" s="170"/>
      <c r="J344" s="46" t="s">
        <v>148</v>
      </c>
      <c r="K344" s="170"/>
      <c r="L344" s="204">
        <v>7.72</v>
      </c>
      <c r="M344" s="203">
        <v>60</v>
      </c>
      <c r="N344" s="203">
        <v>1</v>
      </c>
      <c r="O344" s="61" t="str">
        <f t="shared" ca="1" si="26"/>
        <v>25grams)</v>
      </c>
      <c r="P344" s="61" t="s">
        <v>92</v>
      </c>
      <c r="Q344" s="170"/>
      <c r="R344" s="192" t="str">
        <f>CONCATENATE(N344,P344)</f>
        <v>1pieces</v>
      </c>
      <c r="S344" s="198">
        <f t="shared" si="27"/>
        <v>60</v>
      </c>
      <c r="T344" s="199" t="str">
        <f t="shared" si="28"/>
        <v>60pieces</v>
      </c>
      <c r="U344" s="200">
        <f t="shared" si="29"/>
        <v>463.2</v>
      </c>
      <c r="V344" s="205">
        <f>U344/M344</f>
        <v>7.72</v>
      </c>
      <c r="W344" s="62"/>
    </row>
    <row r="345" spans="1:23" x14ac:dyDescent="0.3">
      <c r="A345" s="183" t="e">
        <f ca="1"/>
        <v>#NAME?</v>
      </c>
      <c r="B345" s="214" t="s">
        <v>147</v>
      </c>
      <c r="C345" s="215"/>
      <c r="D345" s="194" t="str">
        <f ca="1">IFERROR(__xludf.DUMMYFUNCTION("IF(J345="""",""n/a"",IFERROR(SPLIT(J345,""/"")))"),"Kopikopack (20pcsx")</f>
        <v>Kopikopack (20pcsx</v>
      </c>
      <c r="E345" s="214" t="str">
        <f ca="1">IFERROR(__xludf.DUMMYFUNCTION("""COMPUTED_VALUE"""),"25grams)")</f>
        <v>25grams)</v>
      </c>
      <c r="F345" s="215"/>
      <c r="G345" s="215"/>
      <c r="H345" s="183" t="s">
        <v>1895</v>
      </c>
      <c r="I345" s="170"/>
      <c r="J345" s="46" t="s">
        <v>148</v>
      </c>
      <c r="K345" s="170"/>
      <c r="L345" s="195">
        <v>7.77</v>
      </c>
      <c r="M345" s="61">
        <v>116</v>
      </c>
      <c r="N345" s="61">
        <v>1</v>
      </c>
      <c r="O345" s="61" t="str">
        <f t="shared" ca="1" si="26"/>
        <v>25grams)</v>
      </c>
      <c r="P345" s="61" t="s">
        <v>92</v>
      </c>
      <c r="Q345" s="170"/>
      <c r="R345" s="170"/>
      <c r="S345" s="198">
        <f t="shared" si="27"/>
        <v>116</v>
      </c>
      <c r="T345" s="199" t="str">
        <f t="shared" si="28"/>
        <v>116pieces</v>
      </c>
      <c r="U345" s="200">
        <f t="shared" si="29"/>
        <v>901.31999999999994</v>
      </c>
      <c r="V345" s="12"/>
      <c r="W345" s="12"/>
    </row>
    <row r="346" spans="1:23" x14ac:dyDescent="0.3">
      <c r="A346" s="183" t="e">
        <f ca="1"/>
        <v>#NAME?</v>
      </c>
      <c r="B346" s="194" t="s">
        <v>653</v>
      </c>
      <c r="C346" s="170"/>
      <c r="D346" s="194" t="str">
        <f ca="1">IFERROR(__xludf.DUMMYFUNCTION("IF(J346="""",""n/a"",IFERROR(SPLIT(J346,""/"")))"),"n/a")</f>
        <v>n/a</v>
      </c>
      <c r="E346" s="170"/>
      <c r="F346" s="170"/>
      <c r="G346" s="170"/>
      <c r="H346" s="206" t="s">
        <v>1898</v>
      </c>
      <c r="I346" s="170"/>
      <c r="J346" s="170"/>
      <c r="K346" s="170"/>
      <c r="L346" s="197">
        <v>33.612500000000004</v>
      </c>
      <c r="M346" s="207">
        <v>24</v>
      </c>
      <c r="N346" s="208">
        <v>24</v>
      </c>
      <c r="O346" s="170">
        <f t="shared" si="26"/>
        <v>0</v>
      </c>
      <c r="P346" s="61" t="s">
        <v>92</v>
      </c>
      <c r="Q346" s="170"/>
      <c r="R346" s="170"/>
      <c r="S346" s="198">
        <f t="shared" si="27"/>
        <v>576</v>
      </c>
      <c r="T346" s="199" t="str">
        <f t="shared" si="28"/>
        <v>576pieces</v>
      </c>
      <c r="U346" s="200">
        <f t="shared" si="29"/>
        <v>806.7</v>
      </c>
      <c r="V346" s="12"/>
      <c r="W346" s="12"/>
    </row>
    <row r="347" spans="1:23" x14ac:dyDescent="0.3">
      <c r="A347" s="183" t="e">
        <f ca="1"/>
        <v>#NAME?</v>
      </c>
      <c r="B347" s="194" t="s">
        <v>75</v>
      </c>
      <c r="C347" s="170"/>
      <c r="D347" s="194" t="str">
        <f ca="1">IFERROR(__xludf.DUMMYFUNCTION("IF(J347="""",""n/a"",IFERROR(SPLIT(J347,""/"")))"),"Spring Shortening")</f>
        <v>Spring Shortening</v>
      </c>
      <c r="E347" s="194" t="str">
        <f ca="1">IFERROR(__xludf.DUMMYFUNCTION("""COMPUTED_VALUE"""),"pail")</f>
        <v>pail</v>
      </c>
      <c r="F347" s="194" t="str">
        <f ca="1">IFERROR(__xludf.DUMMYFUNCTION("""COMPUTED_VALUE"""),"11000grams")</f>
        <v>11000grams</v>
      </c>
      <c r="G347" s="170"/>
      <c r="H347" s="183" t="s">
        <v>1895</v>
      </c>
      <c r="I347" s="170"/>
      <c r="J347" s="46" t="s">
        <v>76</v>
      </c>
      <c r="K347" s="170"/>
      <c r="L347" s="195">
        <v>1440</v>
      </c>
      <c r="M347" s="61">
        <v>0.14000000000000001</v>
      </c>
      <c r="N347" s="61">
        <v>11000</v>
      </c>
      <c r="O347" s="61" t="str">
        <f t="shared" ca="1" si="26"/>
        <v>pail</v>
      </c>
      <c r="P347" s="61" t="s">
        <v>39</v>
      </c>
      <c r="Q347" s="170"/>
      <c r="R347" s="170"/>
      <c r="S347" s="198">
        <f t="shared" si="27"/>
        <v>1540.0000000000002</v>
      </c>
      <c r="T347" s="199" t="str">
        <f t="shared" si="28"/>
        <v>1540grams</v>
      </c>
      <c r="U347" s="200">
        <f t="shared" si="29"/>
        <v>201.60000000000002</v>
      </c>
      <c r="V347" s="12"/>
      <c r="W347" s="12"/>
    </row>
    <row r="348" spans="1:23" x14ac:dyDescent="0.3">
      <c r="A348" s="183" t="e">
        <f ca="1"/>
        <v>#NAME?</v>
      </c>
      <c r="B348" s="194" t="s">
        <v>654</v>
      </c>
      <c r="C348" s="170"/>
      <c r="D348" s="194" t="str">
        <f ca="1">IFERROR(__xludf.DUMMYFUNCTION("IF(J348="""",""n/a"",IFERROR(SPLIT(J348,""/"")))"),"Ideal")</f>
        <v>Ideal</v>
      </c>
      <c r="E348" s="194" t="str">
        <f ca="1">IFERROR(__xludf.DUMMYFUNCTION("""COMPUTED_VALUE"""),"box")</f>
        <v>box</v>
      </c>
      <c r="F348" s="194" t="str">
        <f ca="1">IFERROR(__xludf.DUMMYFUNCTION("""COMPUTED_VALUE"""),"500grams")</f>
        <v>500grams</v>
      </c>
      <c r="G348" s="170"/>
      <c r="H348" s="183" t="s">
        <v>1897</v>
      </c>
      <c r="I348" s="170"/>
      <c r="J348" s="46" t="s">
        <v>655</v>
      </c>
      <c r="K348" s="170"/>
      <c r="L348" s="202">
        <v>0.28832599118942731</v>
      </c>
      <c r="M348" s="203">
        <v>1816</v>
      </c>
      <c r="N348" s="203">
        <v>454</v>
      </c>
      <c r="O348" s="61" t="str">
        <f t="shared" ca="1" si="26"/>
        <v>box</v>
      </c>
      <c r="P348" s="61" t="s">
        <v>39</v>
      </c>
      <c r="Q348" s="170"/>
      <c r="R348" s="192" t="str">
        <f>CONCATENATE(N348,P348)</f>
        <v>454grams</v>
      </c>
      <c r="S348" s="198">
        <f t="shared" si="27"/>
        <v>824464</v>
      </c>
      <c r="T348" s="199" t="str">
        <f t="shared" si="28"/>
        <v>824464grams</v>
      </c>
      <c r="U348" s="200">
        <f t="shared" si="29"/>
        <v>523.6</v>
      </c>
      <c r="V348" s="12"/>
      <c r="W348" s="12"/>
    </row>
    <row r="349" spans="1:23" x14ac:dyDescent="0.3">
      <c r="A349" s="183" t="e">
        <f ca="1"/>
        <v>#NAME?</v>
      </c>
      <c r="B349" s="194" t="s">
        <v>656</v>
      </c>
      <c r="C349" s="170"/>
      <c r="D349" s="194" t="str">
        <f ca="1">IFERROR(__xludf.DUMMYFUNCTION("IF(J349="""",""n/a"",IFERROR(SPLIT(J349,""/"")))"),"n/a")</f>
        <v>n/a</v>
      </c>
      <c r="E349" s="170"/>
      <c r="F349" s="170"/>
      <c r="G349" s="170"/>
      <c r="H349" s="206" t="s">
        <v>1898</v>
      </c>
      <c r="I349" s="170"/>
      <c r="J349" s="170"/>
      <c r="K349" s="170"/>
      <c r="L349" s="197">
        <v>0.39</v>
      </c>
      <c r="M349" s="208">
        <v>750</v>
      </c>
      <c r="N349" s="208">
        <v>1000</v>
      </c>
      <c r="O349" s="170">
        <f t="shared" si="26"/>
        <v>0</v>
      </c>
      <c r="P349" s="61" t="s">
        <v>39</v>
      </c>
      <c r="Q349" s="170"/>
      <c r="R349" s="170"/>
      <c r="S349" s="198">
        <f t="shared" si="27"/>
        <v>750000</v>
      </c>
      <c r="T349" s="199" t="str">
        <f t="shared" si="28"/>
        <v>750000grams</v>
      </c>
      <c r="U349" s="200">
        <f t="shared" si="29"/>
        <v>292.5</v>
      </c>
      <c r="V349" s="12"/>
      <c r="W349" s="12"/>
    </row>
    <row r="350" spans="1:23" x14ac:dyDescent="0.3">
      <c r="A350" s="183" t="e">
        <f ca="1"/>
        <v>#NAME?</v>
      </c>
      <c r="B350" s="194" t="s">
        <v>259</v>
      </c>
      <c r="C350" s="170"/>
      <c r="D350" s="194" t="str">
        <f ca="1">IFERROR(__xludf.DUMMYFUNCTION("IF(J350="""",""n/a"",IFERROR(SPLIT(J350,""/"")))"),"Mang Tomas")</f>
        <v>Mang Tomas</v>
      </c>
      <c r="E350" s="194" t="str">
        <f ca="1">IFERROR(__xludf.DUMMYFUNCTION("""COMPUTED_VALUE"""),"bottle")</f>
        <v>bottle</v>
      </c>
      <c r="F350" s="194" t="str">
        <f ca="1">IFERROR(__xludf.DUMMYFUNCTION("""COMPUTED_VALUE"""),"550grams")</f>
        <v>550grams</v>
      </c>
      <c r="G350" s="170"/>
      <c r="H350" s="183" t="s">
        <v>1897</v>
      </c>
      <c r="I350" s="170"/>
      <c r="J350" s="46" t="s">
        <v>260</v>
      </c>
      <c r="K350" s="170"/>
      <c r="L350" s="197">
        <v>8.8545454545454552E-2</v>
      </c>
      <c r="M350" s="212">
        <v>1650</v>
      </c>
      <c r="N350" s="203">
        <v>550</v>
      </c>
      <c r="O350" s="61" t="str">
        <f t="shared" ca="1" si="26"/>
        <v>bottle</v>
      </c>
      <c r="P350" s="61" t="s">
        <v>39</v>
      </c>
      <c r="Q350" s="170"/>
      <c r="R350" s="192" t="str">
        <f>CONCATENATE(N350,P350)</f>
        <v>550grams</v>
      </c>
      <c r="S350" s="198">
        <f t="shared" si="27"/>
        <v>907500</v>
      </c>
      <c r="T350" s="199" t="str">
        <f t="shared" si="28"/>
        <v>907500grams</v>
      </c>
      <c r="U350" s="200">
        <f t="shared" si="29"/>
        <v>146.10000000000002</v>
      </c>
      <c r="V350" s="205">
        <f>U350/M350</f>
        <v>8.8545454545454566E-2</v>
      </c>
      <c r="W350" s="62"/>
    </row>
    <row r="351" spans="1:23" x14ac:dyDescent="0.3">
      <c r="A351" s="183" t="e">
        <f ca="1"/>
        <v>#NAME?</v>
      </c>
      <c r="B351" s="194" t="s">
        <v>259</v>
      </c>
      <c r="C351" s="170"/>
      <c r="D351" s="194" t="str">
        <f ca="1">IFERROR(__xludf.DUMMYFUNCTION("IF(J351="""",""n/a"",IFERROR(SPLIT(J351,""/"")))"),"Mang Tomas")</f>
        <v>Mang Tomas</v>
      </c>
      <c r="E351" s="194" t="str">
        <f ca="1">IFERROR(__xludf.DUMMYFUNCTION("""COMPUTED_VALUE"""),"bottle")</f>
        <v>bottle</v>
      </c>
      <c r="F351" s="194" t="str">
        <f ca="1">IFERROR(__xludf.DUMMYFUNCTION("""COMPUTED_VALUE"""),"550grams")</f>
        <v>550grams</v>
      </c>
      <c r="G351" s="170"/>
      <c r="H351" s="183" t="s">
        <v>1895</v>
      </c>
      <c r="I351" s="170"/>
      <c r="J351" s="46" t="s">
        <v>260</v>
      </c>
      <c r="K351" s="170"/>
      <c r="L351" s="195">
        <v>48.7</v>
      </c>
      <c r="M351" s="196">
        <v>20</v>
      </c>
      <c r="N351" s="229">
        <v>1</v>
      </c>
      <c r="O351" s="61" t="str">
        <f t="shared" ca="1" si="26"/>
        <v>bottle</v>
      </c>
      <c r="P351" s="197" t="s">
        <v>39</v>
      </c>
      <c r="Q351" s="170"/>
      <c r="R351" s="170"/>
      <c r="S351" s="198">
        <f t="shared" si="27"/>
        <v>20</v>
      </c>
      <c r="T351" s="199" t="str">
        <f t="shared" si="28"/>
        <v>20grams</v>
      </c>
      <c r="U351" s="200">
        <f t="shared" si="29"/>
        <v>974</v>
      </c>
      <c r="V351" s="12"/>
      <c r="W351" s="12"/>
    </row>
    <row r="352" spans="1:23" x14ac:dyDescent="0.3">
      <c r="A352" s="183" t="e">
        <f ca="1"/>
        <v>#NAME?</v>
      </c>
      <c r="B352" s="194" t="s">
        <v>77</v>
      </c>
      <c r="C352" s="170"/>
      <c r="D352" s="194" t="str">
        <f ca="1">IFERROR(__xludf.DUMMYFUNCTION("IF(J352="""",""n/a"",IFERROR(SPLIT(J352,""/"")))"),"Mr. Brown")</f>
        <v>Mr. Brown</v>
      </c>
      <c r="E352" s="194" t="str">
        <f ca="1">IFERROR(__xludf.DUMMYFUNCTION("""COMPUTED_VALUE"""),"bottle")</f>
        <v>bottle</v>
      </c>
      <c r="F352" s="194" t="str">
        <f ca="1">IFERROR(__xludf.DUMMYFUNCTION("""COMPUTED_VALUE"""),"350ml")</f>
        <v>350ml</v>
      </c>
      <c r="G352" s="170"/>
      <c r="H352" s="183" t="s">
        <v>1895</v>
      </c>
      <c r="I352" s="170"/>
      <c r="J352" s="46" t="s">
        <v>78</v>
      </c>
      <c r="K352" s="170"/>
      <c r="L352" s="195">
        <v>55</v>
      </c>
      <c r="M352" s="61">
        <v>3</v>
      </c>
      <c r="N352" s="61">
        <v>350</v>
      </c>
      <c r="O352" s="61" t="str">
        <f t="shared" ca="1" si="26"/>
        <v>bottle</v>
      </c>
      <c r="P352" s="61" t="s">
        <v>32</v>
      </c>
      <c r="Q352" s="170"/>
      <c r="R352" s="170"/>
      <c r="S352" s="198">
        <f t="shared" si="27"/>
        <v>1050</v>
      </c>
      <c r="T352" s="199" t="str">
        <f t="shared" si="28"/>
        <v>1050ml</v>
      </c>
      <c r="U352" s="200">
        <f t="shared" si="29"/>
        <v>165</v>
      </c>
      <c r="V352" s="12"/>
      <c r="W352" s="12"/>
    </row>
    <row r="353" spans="1:23" x14ac:dyDescent="0.3">
      <c r="A353" s="183" t="e">
        <f ca="1"/>
        <v>#NAME?</v>
      </c>
      <c r="B353" s="194" t="s">
        <v>657</v>
      </c>
      <c r="C353" s="170"/>
      <c r="D353" s="194" t="str">
        <f ca="1">IFERROR(__xludf.DUMMYFUNCTION("IF(J353="""",""n/a"",IFERROR(SPLIT(J353,""/"")))"),"Green Leaves")</f>
        <v>Green Leaves</v>
      </c>
      <c r="E353" s="194" t="str">
        <f ca="1">IFERROR(__xludf.DUMMYFUNCTION("""COMPUTED_VALUE"""),"bottle")</f>
        <v>bottle</v>
      </c>
      <c r="F353" s="194" t="str">
        <f ca="1">IFERROR(__xludf.DUMMYFUNCTION("""COMPUTED_VALUE"""),"375ml")</f>
        <v>375ml</v>
      </c>
      <c r="G353" s="170"/>
      <c r="H353" s="206" t="s">
        <v>1898</v>
      </c>
      <c r="I353" s="170"/>
      <c r="J353" s="46" t="s">
        <v>658</v>
      </c>
      <c r="K353" s="170"/>
      <c r="L353" s="197">
        <v>0.13333333333333333</v>
      </c>
      <c r="M353" s="207">
        <v>1125</v>
      </c>
      <c r="N353" s="208">
        <v>375</v>
      </c>
      <c r="O353" s="61" t="str">
        <f t="shared" ca="1" si="26"/>
        <v>bottle</v>
      </c>
      <c r="P353" s="61" t="s">
        <v>32</v>
      </c>
      <c r="Q353" s="170"/>
      <c r="R353" s="170"/>
      <c r="S353" s="198">
        <f t="shared" si="27"/>
        <v>421875</v>
      </c>
      <c r="T353" s="199" t="str">
        <f t="shared" si="28"/>
        <v>421875ml</v>
      </c>
      <c r="U353" s="200">
        <f t="shared" si="29"/>
        <v>150</v>
      </c>
      <c r="V353" s="12"/>
      <c r="W353" s="12"/>
    </row>
    <row r="354" spans="1:23" x14ac:dyDescent="0.3">
      <c r="A354" s="183" t="e">
        <f ca="1"/>
        <v>#NAME?</v>
      </c>
      <c r="B354" s="194" t="s">
        <v>659</v>
      </c>
      <c r="C354" s="170"/>
      <c r="D354" s="194" t="str">
        <f ca="1">IFERROR(__xludf.DUMMYFUNCTION("IF(J354="""",""n/a"",IFERROR(SPLIT(J354,""/"")))"),"n/a")</f>
        <v>n/a</v>
      </c>
      <c r="E354" s="170"/>
      <c r="F354" s="170"/>
      <c r="G354" s="170"/>
      <c r="H354" s="206" t="s">
        <v>1898</v>
      </c>
      <c r="I354" s="170"/>
      <c r="J354" s="170"/>
      <c r="K354" s="170"/>
      <c r="L354" s="197">
        <v>4721.1099999999997</v>
      </c>
      <c r="M354" s="208">
        <v>1.5</v>
      </c>
      <c r="N354" s="208">
        <v>1</v>
      </c>
      <c r="O354" s="170">
        <f t="shared" si="26"/>
        <v>0</v>
      </c>
      <c r="P354" s="61" t="s">
        <v>200</v>
      </c>
      <c r="Q354" s="170"/>
      <c r="R354" s="170"/>
      <c r="S354" s="198">
        <f t="shared" si="27"/>
        <v>1.5</v>
      </c>
      <c r="T354" s="199" t="str">
        <f t="shared" si="28"/>
        <v>1.5gal</v>
      </c>
      <c r="U354" s="200">
        <f t="shared" si="29"/>
        <v>7081.6649999999991</v>
      </c>
      <c r="V354" s="12"/>
      <c r="W354" s="12"/>
    </row>
    <row r="355" spans="1:23" x14ac:dyDescent="0.3">
      <c r="A355" s="183" t="e">
        <f ca="1"/>
        <v>#NAME?</v>
      </c>
      <c r="B355" s="194" t="s">
        <v>660</v>
      </c>
      <c r="C355" s="170"/>
      <c r="D355" s="194" t="str">
        <f ca="1">IFERROR(__xludf.DUMMYFUNCTION("IF(J355="""",""n/a"",IFERROR(SPLIT(J355,""/"")))"),"Knorr")</f>
        <v>Knorr</v>
      </c>
      <c r="E355" s="194" t="str">
        <f ca="1">IFERROR(__xludf.DUMMYFUNCTION("""COMPUTED_VALUE"""),"bottle")</f>
        <v>bottle</v>
      </c>
      <c r="F355" s="194" t="str">
        <f ca="1">IFERROR(__xludf.DUMMYFUNCTION("""COMPUTED_VALUE"""),"500ml")</f>
        <v>500ml</v>
      </c>
      <c r="G355" s="170"/>
      <c r="H355" s="183" t="s">
        <v>1897</v>
      </c>
      <c r="I355" s="170"/>
      <c r="J355" s="46" t="s">
        <v>661</v>
      </c>
      <c r="K355" s="170"/>
      <c r="L355" s="197">
        <v>0.31660000000000005</v>
      </c>
      <c r="M355" s="203">
        <v>1000</v>
      </c>
      <c r="N355" s="203">
        <v>500</v>
      </c>
      <c r="O355" s="61" t="str">
        <f t="shared" ca="1" si="26"/>
        <v>bottle</v>
      </c>
      <c r="P355" s="61" t="s">
        <v>32</v>
      </c>
      <c r="Q355" s="170"/>
      <c r="R355" s="192" t="str">
        <f>CONCATENATE(N355,P355)</f>
        <v>500ml</v>
      </c>
      <c r="S355" s="198">
        <f t="shared" si="27"/>
        <v>500000</v>
      </c>
      <c r="T355" s="199" t="str">
        <f t="shared" si="28"/>
        <v>500000ml</v>
      </c>
      <c r="U355" s="200">
        <f t="shared" si="29"/>
        <v>316.60000000000002</v>
      </c>
      <c r="V355" s="205">
        <f>U355/M355</f>
        <v>0.31660000000000005</v>
      </c>
      <c r="W355" s="62"/>
    </row>
    <row r="356" spans="1:23" x14ac:dyDescent="0.3">
      <c r="A356" s="183" t="e">
        <f ca="1"/>
        <v>#NAME?</v>
      </c>
      <c r="B356" s="194" t="s">
        <v>660</v>
      </c>
      <c r="C356" s="170"/>
      <c r="D356" s="194" t="str">
        <f ca="1">IFERROR(__xludf.DUMMYFUNCTION("IF(J356="""",""n/a"",IFERROR(SPLIT(J356,""/"")))"),"Knorr")</f>
        <v>Knorr</v>
      </c>
      <c r="E356" s="194" t="str">
        <f ca="1">IFERROR(__xludf.DUMMYFUNCTION("""COMPUTED_VALUE"""),"bottle")</f>
        <v>bottle</v>
      </c>
      <c r="F356" s="194" t="str">
        <f ca="1">IFERROR(__xludf.DUMMYFUNCTION("""COMPUTED_VALUE"""),"1000ml")</f>
        <v>1000ml</v>
      </c>
      <c r="G356" s="170"/>
      <c r="H356" s="183" t="s">
        <v>1895</v>
      </c>
      <c r="I356" s="170"/>
      <c r="J356" s="46" t="s">
        <v>262</v>
      </c>
      <c r="K356" s="170"/>
      <c r="L356" s="195">
        <v>301.8</v>
      </c>
      <c r="M356" s="61">
        <v>2</v>
      </c>
      <c r="N356" s="61">
        <v>1</v>
      </c>
      <c r="O356" s="61" t="str">
        <f t="shared" ca="1" si="26"/>
        <v>bottle</v>
      </c>
      <c r="P356" s="61" t="s">
        <v>32</v>
      </c>
      <c r="Q356" s="170"/>
      <c r="R356" s="170"/>
      <c r="S356" s="198">
        <f t="shared" si="27"/>
        <v>2</v>
      </c>
      <c r="T356" s="199" t="str">
        <f t="shared" si="28"/>
        <v>2ml</v>
      </c>
      <c r="U356" s="200">
        <f t="shared" si="29"/>
        <v>603.6</v>
      </c>
      <c r="V356" s="12"/>
      <c r="W356" s="12"/>
    </row>
    <row r="357" spans="1:23" x14ac:dyDescent="0.3">
      <c r="A357" s="183" t="e">
        <f ca="1"/>
        <v>#NAME?</v>
      </c>
      <c r="B357" s="214" t="s">
        <v>184</v>
      </c>
      <c r="C357" s="215"/>
      <c r="D357" s="194" t="str">
        <f ca="1">IFERROR(__xludf.DUMMYFUNCTION("IF(J357="""",""n/a"",IFERROR(SPLIT(J357,""/"")))"),"CDO")</f>
        <v>CDO</v>
      </c>
      <c r="E357" s="214" t="str">
        <f ca="1">IFERROR(__xludf.DUMMYFUNCTION("""COMPUTED_VALUE"""),"can")</f>
        <v>can</v>
      </c>
      <c r="F357" s="214" t="str">
        <f ca="1">IFERROR(__xludf.DUMMYFUNCTION("""COMPUTED_VALUE"""),"85grams")</f>
        <v>85grams</v>
      </c>
      <c r="G357" s="215"/>
      <c r="H357" s="183" t="s">
        <v>1895</v>
      </c>
      <c r="I357" s="215"/>
      <c r="J357" s="46" t="s">
        <v>185</v>
      </c>
      <c r="K357" s="170"/>
      <c r="L357" s="195">
        <v>22.82</v>
      </c>
      <c r="M357" s="61">
        <v>12</v>
      </c>
      <c r="N357" s="61">
        <v>1</v>
      </c>
      <c r="O357" s="61" t="str">
        <f t="shared" ca="1" si="26"/>
        <v>can</v>
      </c>
      <c r="P357" s="61" t="s">
        <v>39</v>
      </c>
      <c r="Q357" s="170"/>
      <c r="R357" s="170"/>
      <c r="S357" s="198">
        <f t="shared" si="27"/>
        <v>12</v>
      </c>
      <c r="T357" s="199" t="str">
        <f t="shared" si="28"/>
        <v>12grams</v>
      </c>
      <c r="U357" s="200">
        <f t="shared" si="29"/>
        <v>273.84000000000003</v>
      </c>
      <c r="V357" s="12"/>
      <c r="W357" s="12"/>
    </row>
    <row r="358" spans="1:23" x14ac:dyDescent="0.3">
      <c r="A358" s="183" t="e">
        <f ca="1"/>
        <v>#NAME?</v>
      </c>
      <c r="B358" s="194" t="s">
        <v>184</v>
      </c>
      <c r="C358" s="170"/>
      <c r="D358" s="194" t="str">
        <f ca="1">IFERROR(__xludf.DUMMYFUNCTION("IF(J358="""",""n/a"",IFERROR(SPLIT(J358,""/"")))"),"n/a")</f>
        <v>n/a</v>
      </c>
      <c r="E358" s="170"/>
      <c r="F358" s="170"/>
      <c r="G358" s="170"/>
      <c r="H358" s="206" t="s">
        <v>1898</v>
      </c>
      <c r="I358" s="170"/>
      <c r="J358" s="170"/>
      <c r="K358" s="170"/>
      <c r="L358" s="197">
        <v>0.26776470588235296</v>
      </c>
      <c r="M358" s="207">
        <v>4080</v>
      </c>
      <c r="N358" s="208">
        <v>85</v>
      </c>
      <c r="O358" s="170">
        <f t="shared" si="26"/>
        <v>0</v>
      </c>
      <c r="P358" s="61" t="s">
        <v>39</v>
      </c>
      <c r="Q358" s="170"/>
      <c r="R358" s="170"/>
      <c r="S358" s="198">
        <f t="shared" si="27"/>
        <v>346800</v>
      </c>
      <c r="T358" s="199" t="str">
        <f t="shared" si="28"/>
        <v>346800grams</v>
      </c>
      <c r="U358" s="200">
        <f t="shared" si="29"/>
        <v>1092.48</v>
      </c>
      <c r="V358" s="12"/>
      <c r="W358" s="12"/>
    </row>
    <row r="359" spans="1:23" x14ac:dyDescent="0.3">
      <c r="A359" s="183" t="e">
        <f ca="1"/>
        <v>#NAME?</v>
      </c>
      <c r="B359" s="194" t="s">
        <v>186</v>
      </c>
      <c r="C359" s="170"/>
      <c r="D359" s="194" t="str">
        <f ca="1">IFERROR(__xludf.DUMMYFUNCTION("IF(J359="""",""n/a"",IFERROR(SPLIT(J359,""/"")))"),"Purefoods")</f>
        <v>Purefoods</v>
      </c>
      <c r="E359" s="194" t="str">
        <f ca="1">IFERROR(__xludf.DUMMYFUNCTION("""COMPUTED_VALUE"""),"can")</f>
        <v>can</v>
      </c>
      <c r="F359" s="194" t="str">
        <f ca="1">IFERROR(__xludf.DUMMYFUNCTION("""COMPUTED_VALUE"""),"340grams")</f>
        <v>340grams</v>
      </c>
      <c r="G359" s="170"/>
      <c r="H359" s="183" t="s">
        <v>1895</v>
      </c>
      <c r="I359" s="215"/>
      <c r="J359" s="46" t="s">
        <v>187</v>
      </c>
      <c r="K359" s="170"/>
      <c r="L359" s="195">
        <v>79</v>
      </c>
      <c r="M359" s="61">
        <v>37.381999999999998</v>
      </c>
      <c r="N359" s="61">
        <v>1</v>
      </c>
      <c r="O359" s="61" t="str">
        <f t="shared" ca="1" si="26"/>
        <v>can</v>
      </c>
      <c r="P359" s="61" t="s">
        <v>39</v>
      </c>
      <c r="Q359" s="170"/>
      <c r="R359" s="170"/>
      <c r="S359" s="198">
        <f t="shared" si="27"/>
        <v>37.381999999999998</v>
      </c>
      <c r="T359" s="199" t="str">
        <f t="shared" si="28"/>
        <v>37.382grams</v>
      </c>
      <c r="U359" s="200">
        <f t="shared" si="29"/>
        <v>2953.1779999999999</v>
      </c>
      <c r="V359" s="12"/>
      <c r="W359" s="12"/>
    </row>
    <row r="360" spans="1:23" x14ac:dyDescent="0.3">
      <c r="A360" s="183" t="e">
        <f ca="1"/>
        <v>#NAME?</v>
      </c>
      <c r="B360" s="194" t="s">
        <v>662</v>
      </c>
      <c r="C360" s="170"/>
      <c r="D360" s="194" t="str">
        <f ca="1">IFERROR(__xludf.DUMMYFUNCTION("IF(J360="""",""n/a"",IFERROR(SPLIT(J360,""/"")))"),"n/a")</f>
        <v>n/a</v>
      </c>
      <c r="E360" s="170"/>
      <c r="F360" s="170"/>
      <c r="G360" s="170"/>
      <c r="H360" s="206" t="s">
        <v>1898</v>
      </c>
      <c r="I360" s="170"/>
      <c r="J360" s="170"/>
      <c r="K360" s="170"/>
      <c r="L360" s="197">
        <v>0.20330555555555554</v>
      </c>
      <c r="M360" s="208">
        <v>9360</v>
      </c>
      <c r="N360" s="208">
        <v>360</v>
      </c>
      <c r="O360" s="170">
        <f t="shared" si="26"/>
        <v>0</v>
      </c>
      <c r="P360" s="61" t="s">
        <v>39</v>
      </c>
      <c r="Q360" s="170"/>
      <c r="R360" s="170"/>
      <c r="S360" s="198">
        <f t="shared" si="27"/>
        <v>3369600</v>
      </c>
      <c r="T360" s="199" t="str">
        <f t="shared" si="28"/>
        <v>3369600grams</v>
      </c>
      <c r="U360" s="200">
        <f t="shared" si="29"/>
        <v>1902.9399999999998</v>
      </c>
      <c r="V360" s="12"/>
      <c r="W360" s="12"/>
    </row>
    <row r="361" spans="1:23" x14ac:dyDescent="0.3">
      <c r="A361" s="183" t="e">
        <f ca="1"/>
        <v>#NAME?</v>
      </c>
      <c r="B361" s="194" t="s">
        <v>663</v>
      </c>
      <c r="C361" s="170"/>
      <c r="D361" s="194" t="str">
        <f ca="1">IFERROR(__xludf.DUMMYFUNCTION("IF(J361="""",""n/a"",IFERROR(SPLIT(J361,""/"")))"),"Purefoods")</f>
        <v>Purefoods</v>
      </c>
      <c r="E361" s="194" t="str">
        <f ca="1">IFERROR(__xludf.DUMMYFUNCTION("""COMPUTED_VALUE"""),"can")</f>
        <v>can</v>
      </c>
      <c r="F361" s="194" t="str">
        <f ca="1">IFERROR(__xludf.DUMMYFUNCTION("""COMPUTED_VALUE"""),"340grams")</f>
        <v>340grams</v>
      </c>
      <c r="G361" s="170"/>
      <c r="H361" s="183" t="s">
        <v>1897</v>
      </c>
      <c r="I361" s="170"/>
      <c r="J361" s="46" t="s">
        <v>187</v>
      </c>
      <c r="K361" s="170"/>
      <c r="L361" s="195">
        <v>0.20330555555555554</v>
      </c>
      <c r="M361" s="210">
        <v>11160</v>
      </c>
      <c r="N361" s="203">
        <v>360</v>
      </c>
      <c r="O361" s="61" t="str">
        <f t="shared" ca="1" si="26"/>
        <v>can</v>
      </c>
      <c r="P361" s="61" t="s">
        <v>39</v>
      </c>
      <c r="Q361" s="61" t="s">
        <v>33</v>
      </c>
      <c r="R361" s="192" t="str">
        <f t="shared" ref="R361:R362" si="37">CONCATENATE(N361,P361)</f>
        <v>360grams</v>
      </c>
      <c r="S361" s="198">
        <f t="shared" si="27"/>
        <v>4017600</v>
      </c>
      <c r="T361" s="199" t="str">
        <f t="shared" si="28"/>
        <v>4017600 grams</v>
      </c>
      <c r="U361" s="200">
        <f t="shared" si="29"/>
        <v>2268.89</v>
      </c>
      <c r="V361" s="205">
        <f>U361/M361</f>
        <v>0.20330555555555554</v>
      </c>
      <c r="W361" s="62"/>
    </row>
    <row r="362" spans="1:23" x14ac:dyDescent="0.3">
      <c r="A362" s="183" t="e">
        <f ca="1"/>
        <v>#NAME?</v>
      </c>
      <c r="B362" s="194" t="s">
        <v>664</v>
      </c>
      <c r="C362" s="170"/>
      <c r="D362" s="194" t="str">
        <f ca="1">IFERROR(__xludf.DUMMYFUNCTION("IF(J362="""",""n/a"",IFERROR(SPLIT(J362,""/"")))"),"Fresh")</f>
        <v>Fresh</v>
      </c>
      <c r="E362" s="170"/>
      <c r="F362" s="170"/>
      <c r="G362" s="170"/>
      <c r="H362" s="183" t="s">
        <v>1897</v>
      </c>
      <c r="I362" s="170"/>
      <c r="J362" s="46" t="s">
        <v>216</v>
      </c>
      <c r="K362" s="170"/>
      <c r="L362" s="217">
        <v>9.5000000000000001E-2</v>
      </c>
      <c r="M362" s="203">
        <v>1000</v>
      </c>
      <c r="N362" s="203">
        <v>1000</v>
      </c>
      <c r="O362" s="170">
        <f t="shared" si="26"/>
        <v>0</v>
      </c>
      <c r="P362" s="61" t="s">
        <v>39</v>
      </c>
      <c r="Q362" s="170"/>
      <c r="R362" s="192" t="str">
        <f t="shared" si="37"/>
        <v>1000grams</v>
      </c>
      <c r="S362" s="198">
        <f t="shared" si="27"/>
        <v>1000000</v>
      </c>
      <c r="T362" s="199" t="str">
        <f t="shared" si="28"/>
        <v>1000000grams</v>
      </c>
      <c r="U362" s="200">
        <f t="shared" si="29"/>
        <v>95</v>
      </c>
      <c r="V362" s="12"/>
      <c r="W362" s="12"/>
    </row>
    <row r="363" spans="1:23" x14ac:dyDescent="0.3">
      <c r="A363" s="183" t="e">
        <f ca="1"/>
        <v>#NAME?</v>
      </c>
      <c r="B363" s="194" t="s">
        <v>665</v>
      </c>
      <c r="C363" s="170"/>
      <c r="D363" s="194" t="str">
        <f ca="1">IFERROR(__xludf.DUMMYFUNCTION("IF(J363="""",""n/a"",IFERROR(SPLIT(J363,""/"")))"),"n/a")</f>
        <v>n/a</v>
      </c>
      <c r="E363" s="170"/>
      <c r="F363" s="170"/>
      <c r="G363" s="170"/>
      <c r="H363" s="206" t="s">
        <v>1898</v>
      </c>
      <c r="I363" s="170"/>
      <c r="J363" s="170"/>
      <c r="K363" s="170"/>
      <c r="L363" s="197">
        <v>0.18849557522123894</v>
      </c>
      <c r="M363" s="208">
        <v>690</v>
      </c>
      <c r="N363" s="208">
        <v>565</v>
      </c>
      <c r="O363" s="170">
        <f t="shared" si="26"/>
        <v>0</v>
      </c>
      <c r="P363" s="61" t="s">
        <v>39</v>
      </c>
      <c r="Q363" s="170"/>
      <c r="R363" s="170"/>
      <c r="S363" s="198">
        <f t="shared" si="27"/>
        <v>389850</v>
      </c>
      <c r="T363" s="199" t="str">
        <f t="shared" si="28"/>
        <v>389850grams</v>
      </c>
      <c r="U363" s="200">
        <f t="shared" si="29"/>
        <v>130.06194690265488</v>
      </c>
      <c r="V363" s="12"/>
      <c r="W363" s="12"/>
    </row>
    <row r="364" spans="1:23" x14ac:dyDescent="0.3">
      <c r="A364" s="183" t="e">
        <f ca="1"/>
        <v>#NAME?</v>
      </c>
      <c r="B364" s="194" t="s">
        <v>666</v>
      </c>
      <c r="C364" s="170"/>
      <c r="D364" s="194" t="str">
        <f ca="1">IFERROR(__xludf.DUMMYFUNCTION("IF(J364="""",""n/a"",IFERROR(SPLIT(J364,""/"")))"),"White king")</f>
        <v>White king</v>
      </c>
      <c r="E364" s="194" t="str">
        <f ca="1">IFERROR(__xludf.DUMMYFUNCTION("""COMPUTED_VALUE"""),"pack")</f>
        <v>pack</v>
      </c>
      <c r="F364" s="194" t="str">
        <f ca="1">IFERROR(__xludf.DUMMYFUNCTION("""COMPUTED_VALUE"""),"1000grams")</f>
        <v>1000grams</v>
      </c>
      <c r="G364" s="170"/>
      <c r="H364" s="183" t="s">
        <v>1897</v>
      </c>
      <c r="I364" s="170"/>
      <c r="J364" s="46" t="s">
        <v>667</v>
      </c>
      <c r="K364" s="170"/>
      <c r="L364" s="202">
        <v>5.9609999999999996E-2</v>
      </c>
      <c r="M364" s="203">
        <v>1000</v>
      </c>
      <c r="N364" s="203">
        <v>1000</v>
      </c>
      <c r="O364" s="61" t="str">
        <f t="shared" ca="1" si="26"/>
        <v>pack</v>
      </c>
      <c r="P364" s="61" t="s">
        <v>39</v>
      </c>
      <c r="Q364" s="170"/>
      <c r="R364" s="192" t="str">
        <f>CONCATENATE(N364,P364)</f>
        <v>1000grams</v>
      </c>
      <c r="S364" s="198">
        <f t="shared" si="27"/>
        <v>1000000</v>
      </c>
      <c r="T364" s="199" t="str">
        <f t="shared" si="28"/>
        <v>1000000grams</v>
      </c>
      <c r="U364" s="200">
        <f t="shared" si="29"/>
        <v>59.61</v>
      </c>
      <c r="V364" s="12"/>
      <c r="W364" s="12"/>
    </row>
    <row r="365" spans="1:23" x14ac:dyDescent="0.3">
      <c r="A365" s="183" t="e">
        <f ca="1"/>
        <v>#NAME?</v>
      </c>
      <c r="B365" s="194" t="s">
        <v>666</v>
      </c>
      <c r="C365" s="170"/>
      <c r="D365" s="194" t="str">
        <f ca="1">IFERROR(__xludf.DUMMYFUNCTION("IF(J365="""",""n/a"",IFERROR(SPLIT(J365,""/"")))"),"n/a")</f>
        <v>n/a</v>
      </c>
      <c r="E365" s="170"/>
      <c r="F365" s="170"/>
      <c r="G365" s="170"/>
      <c r="H365" s="206" t="s">
        <v>1898</v>
      </c>
      <c r="I365" s="170"/>
      <c r="J365" s="170"/>
      <c r="K365" s="170"/>
      <c r="L365" s="197">
        <v>5.9610000000000003E-2</v>
      </c>
      <c r="M365" s="208">
        <v>15600</v>
      </c>
      <c r="N365" s="208">
        <v>5000</v>
      </c>
      <c r="O365" s="170">
        <f t="shared" si="26"/>
        <v>0</v>
      </c>
      <c r="P365" s="61" t="s">
        <v>39</v>
      </c>
      <c r="Q365" s="170"/>
      <c r="R365" s="170"/>
      <c r="S365" s="198">
        <f t="shared" si="27"/>
        <v>78000000</v>
      </c>
      <c r="T365" s="199" t="str">
        <f t="shared" si="28"/>
        <v>78000000grams</v>
      </c>
      <c r="U365" s="200">
        <f t="shared" si="29"/>
        <v>929.91600000000005</v>
      </c>
      <c r="V365" s="12"/>
      <c r="W365" s="12"/>
    </row>
    <row r="366" spans="1:23" x14ac:dyDescent="0.3">
      <c r="A366" s="183" t="e">
        <f ca="1"/>
        <v>#NAME?</v>
      </c>
      <c r="B366" s="194" t="s">
        <v>325</v>
      </c>
      <c r="C366" s="170"/>
      <c r="D366" s="194" t="str">
        <f ca="1">IFERROR(__xludf.DUMMYFUNCTION("IF(J366="""",""n/a"",IFERROR(SPLIT(J366,""/"")))"),"Ideal")</f>
        <v>Ideal</v>
      </c>
      <c r="E366" s="194" t="str">
        <f ca="1">IFERROR(__xludf.DUMMYFUNCTION("""COMPUTED_VALUE"""),"pack")</f>
        <v>pack</v>
      </c>
      <c r="F366" s="194" t="str">
        <f ca="1">IFERROR(__xludf.DUMMYFUNCTION("""COMPUTED_VALUE"""),"1000grams")</f>
        <v>1000grams</v>
      </c>
      <c r="G366" s="170"/>
      <c r="H366" s="183" t="s">
        <v>1895</v>
      </c>
      <c r="I366" s="170"/>
      <c r="J366" s="46" t="s">
        <v>326</v>
      </c>
      <c r="K366" s="170"/>
      <c r="L366" s="195">
        <v>59.3</v>
      </c>
      <c r="M366" s="61">
        <v>7</v>
      </c>
      <c r="N366" s="170"/>
      <c r="O366" s="61" t="str">
        <f t="shared" ca="1" si="26"/>
        <v>pack</v>
      </c>
      <c r="P366" s="61" t="s">
        <v>39</v>
      </c>
      <c r="Q366" s="170"/>
      <c r="R366" s="170"/>
      <c r="S366" s="198">
        <f t="shared" si="27"/>
        <v>0</v>
      </c>
      <c r="T366" s="199" t="str">
        <f t="shared" si="28"/>
        <v>0grams</v>
      </c>
      <c r="U366" s="200">
        <f t="shared" si="29"/>
        <v>415.09999999999997</v>
      </c>
      <c r="V366" s="12"/>
      <c r="W366" s="12"/>
    </row>
    <row r="367" spans="1:23" x14ac:dyDescent="0.3">
      <c r="A367" s="183" t="e">
        <f ca="1"/>
        <v>#NAME?</v>
      </c>
      <c r="B367" s="194" t="s">
        <v>188</v>
      </c>
      <c r="C367" s="170"/>
      <c r="D367" s="194" t="str">
        <f ca="1">IFERROR(__xludf.DUMMYFUNCTION("IF(J367="""",""n/a"",IFERROR(SPLIT(J367,""/"")))"),"Unipack")</f>
        <v>Unipack</v>
      </c>
      <c r="E367" s="194" t="str">
        <f ca="1">IFERROR(__xludf.DUMMYFUNCTION("""COMPUTED_VALUE"""),"can")</f>
        <v>can</v>
      </c>
      <c r="F367" s="194" t="str">
        <f ca="1">IFERROR(__xludf.DUMMYFUNCTION("""COMPUTED_VALUE"""),"425grams")</f>
        <v>425grams</v>
      </c>
      <c r="G367" s="170"/>
      <c r="H367" s="183" t="s">
        <v>1897</v>
      </c>
      <c r="I367" s="170"/>
      <c r="J367" s="46" t="s">
        <v>189</v>
      </c>
      <c r="K367" s="170"/>
      <c r="L367" s="195">
        <v>0.17199999999999999</v>
      </c>
      <c r="M367" s="210">
        <v>14450</v>
      </c>
      <c r="N367" s="203">
        <v>425</v>
      </c>
      <c r="O367" s="61" t="str">
        <f t="shared" ca="1" si="26"/>
        <v>can</v>
      </c>
      <c r="P367" s="61" t="s">
        <v>39</v>
      </c>
      <c r="Q367" s="61" t="s">
        <v>33</v>
      </c>
      <c r="R367" s="192" t="str">
        <f>CONCATENATE(N367,P367)</f>
        <v>425grams</v>
      </c>
      <c r="S367" s="198">
        <f t="shared" si="27"/>
        <v>6141250</v>
      </c>
      <c r="T367" s="199" t="str">
        <f t="shared" si="28"/>
        <v>6141250 grams</v>
      </c>
      <c r="U367" s="200">
        <f t="shared" si="29"/>
        <v>2485.3999999999996</v>
      </c>
      <c r="V367" s="205">
        <f>U367/M367</f>
        <v>0.17199999999999999</v>
      </c>
      <c r="W367" s="62"/>
    </row>
    <row r="368" spans="1:23" x14ac:dyDescent="0.3">
      <c r="A368" s="183" t="e">
        <f ca="1"/>
        <v>#NAME?</v>
      </c>
      <c r="B368" s="194" t="s">
        <v>188</v>
      </c>
      <c r="C368" s="170"/>
      <c r="D368" s="194" t="str">
        <f ca="1">IFERROR(__xludf.DUMMYFUNCTION("IF(J368="""",""n/a"",IFERROR(SPLIT(J368,""/"")))"),"Unipack")</f>
        <v>Unipack</v>
      </c>
      <c r="E368" s="194" t="str">
        <f ca="1">IFERROR(__xludf.DUMMYFUNCTION("""COMPUTED_VALUE"""),"can")</f>
        <v>can</v>
      </c>
      <c r="F368" s="194" t="str">
        <f ca="1">IFERROR(__xludf.DUMMYFUNCTION("""COMPUTED_VALUE"""),"425grams")</f>
        <v>425grams</v>
      </c>
      <c r="G368" s="170"/>
      <c r="H368" s="183" t="s">
        <v>1895</v>
      </c>
      <c r="I368" s="215"/>
      <c r="J368" s="46" t="s">
        <v>189</v>
      </c>
      <c r="K368" s="170"/>
      <c r="L368" s="195">
        <v>71.09</v>
      </c>
      <c r="M368" s="61">
        <v>80</v>
      </c>
      <c r="N368" s="61">
        <v>1</v>
      </c>
      <c r="O368" s="61" t="str">
        <f t="shared" ca="1" si="26"/>
        <v>can</v>
      </c>
      <c r="P368" s="61" t="s">
        <v>39</v>
      </c>
      <c r="Q368" s="170"/>
      <c r="R368" s="170"/>
      <c r="S368" s="198">
        <f t="shared" si="27"/>
        <v>80</v>
      </c>
      <c r="T368" s="199" t="str">
        <f t="shared" si="28"/>
        <v>80grams</v>
      </c>
      <c r="U368" s="200">
        <f t="shared" si="29"/>
        <v>5687.2000000000007</v>
      </c>
      <c r="V368" s="12"/>
      <c r="W368" s="12"/>
    </row>
    <row r="369" spans="1:23" x14ac:dyDescent="0.3">
      <c r="A369" s="183" t="e">
        <f ca="1"/>
        <v>#NAME?</v>
      </c>
      <c r="B369" s="194" t="s">
        <v>417</v>
      </c>
      <c r="C369" s="170"/>
      <c r="D369" s="194" t="str">
        <f ca="1">IFERROR(__xludf.DUMMYFUNCTION("IF(J369="""",""n/a"",IFERROR(SPLIT(J369,""/"")))"),"Rebisco")</f>
        <v>Rebisco</v>
      </c>
      <c r="E369" s="194" t="str">
        <f ca="1">IFERROR(__xludf.DUMMYFUNCTION("""COMPUTED_VALUE"""),"box (10pcsx28grams)")</f>
        <v>box (10pcsx28grams)</v>
      </c>
      <c r="F369" s="170"/>
      <c r="G369" s="170"/>
      <c r="H369" s="183" t="s">
        <v>1895</v>
      </c>
      <c r="I369" s="170"/>
      <c r="J369" s="46" t="s">
        <v>418</v>
      </c>
      <c r="K369" s="170"/>
      <c r="L369" s="195">
        <v>5.59</v>
      </c>
      <c r="M369" s="61">
        <v>400</v>
      </c>
      <c r="N369" s="61">
        <v>1</v>
      </c>
      <c r="O369" s="61" t="str">
        <f t="shared" ca="1" si="26"/>
        <v>box (10pcsx28grams)</v>
      </c>
      <c r="P369" s="61" t="s">
        <v>92</v>
      </c>
      <c r="Q369" s="170"/>
      <c r="R369" s="170"/>
      <c r="S369" s="198">
        <f t="shared" si="27"/>
        <v>400</v>
      </c>
      <c r="T369" s="199" t="str">
        <f t="shared" si="28"/>
        <v>400pieces</v>
      </c>
      <c r="U369" s="200">
        <f t="shared" si="29"/>
        <v>2236</v>
      </c>
      <c r="V369" s="12"/>
      <c r="W369" s="12"/>
    </row>
    <row r="370" spans="1:23" x14ac:dyDescent="0.3">
      <c r="A370" s="183" t="e">
        <f ca="1"/>
        <v>#NAME?</v>
      </c>
      <c r="B370" s="194" t="s">
        <v>668</v>
      </c>
      <c r="C370" s="170"/>
      <c r="D370" s="194" t="str">
        <f ca="1">IFERROR(__xludf.DUMMYFUNCTION("IF(J370="""",""n/a"",IFERROR(SPLIT(J370,""/"")))"),"n/a")</f>
        <v>n/a</v>
      </c>
      <c r="E370" s="170"/>
      <c r="F370" s="170"/>
      <c r="G370" s="170"/>
      <c r="H370" s="206" t="s">
        <v>1898</v>
      </c>
      <c r="I370" s="170"/>
      <c r="J370" s="170"/>
      <c r="K370" s="170"/>
      <c r="L370" s="197">
        <v>6.9</v>
      </c>
      <c r="M370" s="208">
        <v>20</v>
      </c>
      <c r="N370" s="208">
        <v>10</v>
      </c>
      <c r="O370" s="170">
        <f t="shared" si="26"/>
        <v>0</v>
      </c>
      <c r="P370" s="61" t="s">
        <v>92</v>
      </c>
      <c r="Q370" s="170"/>
      <c r="R370" s="170"/>
      <c r="S370" s="198">
        <f t="shared" si="27"/>
        <v>200</v>
      </c>
      <c r="T370" s="199" t="str">
        <f t="shared" si="28"/>
        <v>200pieces</v>
      </c>
      <c r="U370" s="200">
        <f t="shared" si="29"/>
        <v>138</v>
      </c>
      <c r="V370" s="12"/>
      <c r="W370" s="12"/>
    </row>
    <row r="371" spans="1:23" x14ac:dyDescent="0.3">
      <c r="A371" s="183" t="e">
        <f ca="1"/>
        <v>#NAME?</v>
      </c>
      <c r="B371" s="231" t="s">
        <v>419</v>
      </c>
      <c r="C371" s="191"/>
      <c r="D371" s="194" t="str">
        <f ca="1">IFERROR(__xludf.DUMMYFUNCTION("IF(J371="""",""n/a"",IFERROR(SPLIT(J371,""/"")))"),"Jack n jill")</f>
        <v>Jack n jill</v>
      </c>
      <c r="E371" s="232" t="str">
        <f ca="1">IFERROR(__xludf.DUMMYFUNCTION("""COMPUTED_VALUE"""),"pack (10pcsx28grams)")</f>
        <v>pack (10pcsx28grams)</v>
      </c>
      <c r="F371" s="191"/>
      <c r="G371" s="191"/>
      <c r="H371" s="183" t="s">
        <v>1895</v>
      </c>
      <c r="I371" s="170"/>
      <c r="J371" s="46" t="s">
        <v>420</v>
      </c>
      <c r="K371" s="170"/>
      <c r="L371" s="195">
        <v>5.5</v>
      </c>
      <c r="M371" s="233">
        <v>300</v>
      </c>
      <c r="N371" s="234">
        <v>1</v>
      </c>
      <c r="O371" s="61" t="str">
        <f t="shared" ca="1" si="26"/>
        <v>pack (10pcsx28grams)</v>
      </c>
      <c r="P371" s="235" t="s">
        <v>92</v>
      </c>
      <c r="Q371" s="170"/>
      <c r="R371" s="170"/>
      <c r="S371" s="198">
        <f t="shared" si="27"/>
        <v>300</v>
      </c>
      <c r="T371" s="199" t="str">
        <f t="shared" si="28"/>
        <v>300pieces</v>
      </c>
      <c r="U371" s="200">
        <f t="shared" si="29"/>
        <v>1650</v>
      </c>
      <c r="V371" s="12"/>
      <c r="W371" s="12"/>
    </row>
    <row r="372" spans="1:23" x14ac:dyDescent="0.3">
      <c r="A372" s="183" t="e">
        <f ca="1"/>
        <v>#NAME?</v>
      </c>
      <c r="B372" s="194" t="s">
        <v>263</v>
      </c>
      <c r="C372" s="170"/>
      <c r="D372" s="194" t="str">
        <f ca="1">IFERROR(__xludf.DUMMYFUNCTION("IF(J372="""",""n/a"",IFERROR(SPLIT(J372,""/"")))"),"Maggi")</f>
        <v>Maggi</v>
      </c>
      <c r="E372" s="194" t="str">
        <f ca="1">IFERROR(__xludf.DUMMYFUNCTION("""COMPUTED_VALUE"""),"sachet")</f>
        <v>sachet</v>
      </c>
      <c r="F372" s="194" t="str">
        <f ca="1">IFERROR(__xludf.DUMMYFUNCTION("""COMPUTED_VALUE"""),"8grams")</f>
        <v>8grams</v>
      </c>
      <c r="G372" s="170"/>
      <c r="H372" s="183" t="s">
        <v>1897</v>
      </c>
      <c r="I372" s="170"/>
      <c r="J372" s="46" t="s">
        <v>264</v>
      </c>
      <c r="K372" s="170"/>
      <c r="L372" s="197">
        <v>0.60250000000000004</v>
      </c>
      <c r="M372" s="223">
        <v>7920</v>
      </c>
      <c r="N372" s="203">
        <v>8</v>
      </c>
      <c r="O372" s="61" t="str">
        <f t="shared" ca="1" si="26"/>
        <v>sachet</v>
      </c>
      <c r="P372" s="224" t="s">
        <v>39</v>
      </c>
      <c r="Q372" s="61" t="s">
        <v>33</v>
      </c>
      <c r="R372" s="192" t="str">
        <f>CONCATENATE(N372,P372)</f>
        <v>8grams</v>
      </c>
      <c r="S372" s="198">
        <f t="shared" si="27"/>
        <v>63360</v>
      </c>
      <c r="T372" s="199" t="str">
        <f t="shared" si="28"/>
        <v>63360 grams</v>
      </c>
      <c r="U372" s="200">
        <f t="shared" si="29"/>
        <v>4771.8</v>
      </c>
      <c r="V372" s="205">
        <f>U372/M372</f>
        <v>0.60250000000000004</v>
      </c>
      <c r="W372" s="62"/>
    </row>
    <row r="373" spans="1:23" x14ac:dyDescent="0.3">
      <c r="A373" s="183" t="e">
        <f ca="1"/>
        <v>#NAME?</v>
      </c>
      <c r="B373" s="194" t="s">
        <v>263</v>
      </c>
      <c r="C373" s="170"/>
      <c r="D373" s="194" t="str">
        <f ca="1">IFERROR(__xludf.DUMMYFUNCTION("IF(J373="""",""n/a"",IFERROR(SPLIT(J373,""/"")))"),"Maggi")</f>
        <v>Maggi</v>
      </c>
      <c r="E373" s="194" t="str">
        <f ca="1">IFERROR(__xludf.DUMMYFUNCTION("""COMPUTED_VALUE"""),"sachet")</f>
        <v>sachet</v>
      </c>
      <c r="F373" s="194" t="str">
        <f ca="1">IFERROR(__xludf.DUMMYFUNCTION("""COMPUTED_VALUE"""),"8grams")</f>
        <v>8grams</v>
      </c>
      <c r="G373" s="170"/>
      <c r="H373" s="183" t="s">
        <v>1895</v>
      </c>
      <c r="I373" s="170"/>
      <c r="J373" s="46" t="s">
        <v>264</v>
      </c>
      <c r="K373" s="170"/>
      <c r="L373" s="195">
        <v>4.82</v>
      </c>
      <c r="M373" s="224">
        <v>2676</v>
      </c>
      <c r="N373" s="61">
        <v>1</v>
      </c>
      <c r="O373" s="61" t="str">
        <f t="shared" ca="1" si="26"/>
        <v>sachet</v>
      </c>
      <c r="P373" s="224" t="s">
        <v>39</v>
      </c>
      <c r="Q373" s="170"/>
      <c r="R373" s="170"/>
      <c r="S373" s="198">
        <f t="shared" si="27"/>
        <v>2676</v>
      </c>
      <c r="T373" s="199" t="str">
        <f t="shared" si="28"/>
        <v>2676grams</v>
      </c>
      <c r="U373" s="200">
        <f t="shared" si="29"/>
        <v>12898.320000000002</v>
      </c>
      <c r="V373" s="12"/>
      <c r="W373" s="12"/>
    </row>
    <row r="374" spans="1:23" x14ac:dyDescent="0.3">
      <c r="A374" s="183" t="e">
        <f ca="1"/>
        <v>#NAME?</v>
      </c>
      <c r="B374" s="194" t="s">
        <v>263</v>
      </c>
      <c r="C374" s="170"/>
      <c r="D374" s="194" t="str">
        <f ca="1">IFERROR(__xludf.DUMMYFUNCTION("IF(J374="""",""n/a"",IFERROR(SPLIT(J374,""/"")))"),"n/a")</f>
        <v>n/a</v>
      </c>
      <c r="E374" s="170"/>
      <c r="F374" s="170"/>
      <c r="G374" s="170"/>
      <c r="H374" s="206" t="s">
        <v>1898</v>
      </c>
      <c r="I374" s="170"/>
      <c r="J374" s="170"/>
      <c r="K374" s="170"/>
      <c r="L374" s="197">
        <v>0.60250000000000004</v>
      </c>
      <c r="M374" s="208">
        <v>2432</v>
      </c>
      <c r="N374" s="208">
        <v>8</v>
      </c>
      <c r="O374" s="170">
        <f t="shared" si="26"/>
        <v>0</v>
      </c>
      <c r="P374" s="61" t="s">
        <v>39</v>
      </c>
      <c r="Q374" s="170"/>
      <c r="R374" s="170"/>
      <c r="S374" s="198">
        <f t="shared" si="27"/>
        <v>19456</v>
      </c>
      <c r="T374" s="199" t="str">
        <f t="shared" si="28"/>
        <v>19456grams</v>
      </c>
      <c r="U374" s="200">
        <f t="shared" si="29"/>
        <v>1465.2800000000002</v>
      </c>
      <c r="V374" s="12"/>
      <c r="W374" s="12"/>
    </row>
    <row r="375" spans="1:23" x14ac:dyDescent="0.3">
      <c r="A375" s="183" t="e">
        <f ca="1"/>
        <v>#NAME?</v>
      </c>
      <c r="B375" s="194" t="s">
        <v>366</v>
      </c>
      <c r="C375" s="170"/>
      <c r="D375" s="194" t="str">
        <f ca="1">IFERROR(__xludf.DUMMYFUNCTION("IF(J375="""",""n/a"",IFERROR(SPLIT(J375,""/"")))"),"Amparos")</f>
        <v>Amparos</v>
      </c>
      <c r="E375" s="194" t="str">
        <f ca="1">IFERROR(__xludf.DUMMYFUNCTION("""COMPUTED_VALUE"""),"pack")</f>
        <v>pack</v>
      </c>
      <c r="F375" s="194" t="str">
        <f ca="1">IFERROR(__xludf.DUMMYFUNCTION("""COMPUTED_VALUE"""),"1kilos")</f>
        <v>1kilos</v>
      </c>
      <c r="G375" s="170"/>
      <c r="H375" s="183" t="s">
        <v>1897</v>
      </c>
      <c r="I375" s="170"/>
      <c r="J375" s="46" t="s">
        <v>367</v>
      </c>
      <c r="K375" s="170"/>
      <c r="L375" s="195">
        <v>85</v>
      </c>
      <c r="M375" s="213">
        <v>3</v>
      </c>
      <c r="N375" s="203">
        <v>1</v>
      </c>
      <c r="O375" s="61" t="str">
        <f t="shared" ca="1" si="26"/>
        <v>pack</v>
      </c>
      <c r="P375" s="61" t="s">
        <v>213</v>
      </c>
      <c r="Q375" s="170"/>
      <c r="R375" s="192" t="str">
        <f>CONCATENATE(N375,P375)</f>
        <v>1kilos</v>
      </c>
      <c r="S375" s="198">
        <f t="shared" si="27"/>
        <v>3</v>
      </c>
      <c r="T375" s="199" t="str">
        <f t="shared" si="28"/>
        <v>3kilos</v>
      </c>
      <c r="U375" s="200">
        <f t="shared" si="29"/>
        <v>255</v>
      </c>
      <c r="V375" s="12"/>
      <c r="W375" s="12"/>
    </row>
    <row r="376" spans="1:23" x14ac:dyDescent="0.3">
      <c r="A376" s="183" t="e">
        <f ca="1"/>
        <v>#NAME?</v>
      </c>
      <c r="B376" s="194" t="s">
        <v>366</v>
      </c>
      <c r="C376" s="170"/>
      <c r="D376" s="194" t="str">
        <f ca="1">IFERROR(__xludf.DUMMYFUNCTION("IF(J376="""",""n/a"",IFERROR(SPLIT(J376,""/"")))"),"Amparos")</f>
        <v>Amparos</v>
      </c>
      <c r="E376" s="194" t="str">
        <f ca="1">IFERROR(__xludf.DUMMYFUNCTION("""COMPUTED_VALUE"""),"pack")</f>
        <v>pack</v>
      </c>
      <c r="F376" s="194" t="str">
        <f ca="1">IFERROR(__xludf.DUMMYFUNCTION("""COMPUTED_VALUE"""),"1kilos")</f>
        <v>1kilos</v>
      </c>
      <c r="G376" s="170"/>
      <c r="H376" s="183" t="s">
        <v>1895</v>
      </c>
      <c r="I376" s="170"/>
      <c r="J376" s="46" t="s">
        <v>367</v>
      </c>
      <c r="K376" s="170"/>
      <c r="L376" s="195">
        <v>85</v>
      </c>
      <c r="M376" s="61">
        <v>10</v>
      </c>
      <c r="N376" s="61">
        <v>1</v>
      </c>
      <c r="O376" s="61" t="str">
        <f t="shared" ca="1" si="26"/>
        <v>pack</v>
      </c>
      <c r="P376" s="61" t="s">
        <v>213</v>
      </c>
      <c r="Q376" s="170"/>
      <c r="R376" s="170"/>
      <c r="S376" s="198">
        <f t="shared" si="27"/>
        <v>10</v>
      </c>
      <c r="T376" s="199" t="str">
        <f t="shared" si="28"/>
        <v>10kilos</v>
      </c>
      <c r="U376" s="200">
        <f t="shared" si="29"/>
        <v>850</v>
      </c>
      <c r="V376" s="12"/>
      <c r="W376" s="12"/>
    </row>
    <row r="377" spans="1:23" x14ac:dyDescent="0.3">
      <c r="A377" s="183" t="e">
        <f ca="1"/>
        <v>#NAME?</v>
      </c>
      <c r="B377" s="194" t="s">
        <v>366</v>
      </c>
      <c r="C377" s="170"/>
      <c r="D377" s="194" t="str">
        <f ca="1">IFERROR(__xludf.DUMMYFUNCTION("IF(J377="""",""n/a"",IFERROR(SPLIT(J377,""/"")))"),"n/a")</f>
        <v>n/a</v>
      </c>
      <c r="E377" s="170"/>
      <c r="F377" s="170"/>
      <c r="G377" s="170"/>
      <c r="H377" s="206" t="s">
        <v>1898</v>
      </c>
      <c r="I377" s="170"/>
      <c r="J377" s="170"/>
      <c r="K377" s="170"/>
      <c r="L377" s="197">
        <v>85</v>
      </c>
      <c r="M377" s="208">
        <v>19.5</v>
      </c>
      <c r="N377" s="208">
        <v>1</v>
      </c>
      <c r="O377" s="170">
        <f t="shared" si="26"/>
        <v>0</v>
      </c>
      <c r="P377" s="61" t="s">
        <v>213</v>
      </c>
      <c r="Q377" s="170"/>
      <c r="R377" s="170"/>
      <c r="S377" s="198">
        <f t="shared" si="27"/>
        <v>19.5</v>
      </c>
      <c r="T377" s="199" t="str">
        <f t="shared" si="28"/>
        <v>19.5kilos</v>
      </c>
      <c r="U377" s="200">
        <f t="shared" si="29"/>
        <v>1657.5</v>
      </c>
      <c r="V377" s="12"/>
      <c r="W377" s="12"/>
    </row>
    <row r="378" spans="1:23" x14ac:dyDescent="0.3">
      <c r="A378" s="183" t="e">
        <f ca="1"/>
        <v>#NAME?</v>
      </c>
      <c r="B378" s="194" t="s">
        <v>669</v>
      </c>
      <c r="C378" s="170"/>
      <c r="D378" s="194" t="str">
        <f ca="1">IFERROR(__xludf.DUMMYFUNCTION("IF(J378="""",""n/a"",IFERROR(SPLIT(J378,""/"")))"),"n/a")</f>
        <v>n/a</v>
      </c>
      <c r="E378" s="170"/>
      <c r="F378" s="170"/>
      <c r="G378" s="170"/>
      <c r="H378" s="206" t="s">
        <v>1898</v>
      </c>
      <c r="I378" s="170"/>
      <c r="J378" s="170"/>
      <c r="K378" s="170"/>
      <c r="L378" s="197">
        <v>18.582999999999998</v>
      </c>
      <c r="M378" s="207">
        <v>50</v>
      </c>
      <c r="N378" s="208">
        <v>50</v>
      </c>
      <c r="O378" s="170">
        <f t="shared" si="26"/>
        <v>0</v>
      </c>
      <c r="P378" s="61" t="s">
        <v>92</v>
      </c>
      <c r="Q378" s="170"/>
      <c r="R378" s="170"/>
      <c r="S378" s="198">
        <f t="shared" si="27"/>
        <v>2500</v>
      </c>
      <c r="T378" s="199" t="str">
        <f t="shared" si="28"/>
        <v>2500pieces</v>
      </c>
      <c r="U378" s="200">
        <f t="shared" si="29"/>
        <v>929.14999999999986</v>
      </c>
      <c r="V378" s="12"/>
      <c r="W378" s="12"/>
    </row>
    <row r="379" spans="1:23" x14ac:dyDescent="0.3">
      <c r="A379" s="183" t="e">
        <f ca="1"/>
        <v>#NAME?</v>
      </c>
      <c r="B379" s="194" t="s">
        <v>421</v>
      </c>
      <c r="C379" s="170"/>
      <c r="D379" s="194" t="str">
        <f ca="1">IFERROR(__xludf.DUMMYFUNCTION("IF(J379="""",""n/a"",IFERROR(SPLIT(J379,""/"")))"),"Jack n Jill")</f>
        <v>Jack n Jill</v>
      </c>
      <c r="E379" s="194" t="str">
        <f ca="1">IFERROR(__xludf.DUMMYFUNCTION("""COMPUTED_VALUE"""),"bundle (18x90grams)")</f>
        <v>bundle (18x90grams)</v>
      </c>
      <c r="F379" s="170"/>
      <c r="G379" s="170"/>
      <c r="H379" s="183" t="s">
        <v>1895</v>
      </c>
      <c r="I379" s="170"/>
      <c r="J379" s="46" t="s">
        <v>422</v>
      </c>
      <c r="K379" s="170"/>
      <c r="L379" s="195">
        <v>21.69</v>
      </c>
      <c r="M379" s="61">
        <v>40</v>
      </c>
      <c r="N379" s="61">
        <v>1</v>
      </c>
      <c r="O379" s="61" t="str">
        <f t="shared" ca="1" si="26"/>
        <v>bundle (18x90grams)</v>
      </c>
      <c r="P379" s="61" t="s">
        <v>92</v>
      </c>
      <c r="Q379" s="170"/>
      <c r="R379" s="170"/>
      <c r="S379" s="198">
        <f t="shared" si="27"/>
        <v>40</v>
      </c>
      <c r="T379" s="199" t="str">
        <f t="shared" si="28"/>
        <v>40pieces</v>
      </c>
      <c r="U379" s="200">
        <f t="shared" si="29"/>
        <v>867.6</v>
      </c>
      <c r="V379" s="12"/>
      <c r="W379" s="12"/>
    </row>
    <row r="380" spans="1:23" x14ac:dyDescent="0.3">
      <c r="A380" s="183" t="e">
        <f ca="1"/>
        <v>#NAME?</v>
      </c>
      <c r="B380" s="194" t="s">
        <v>670</v>
      </c>
      <c r="C380" s="170"/>
      <c r="D380" s="194" t="str">
        <f ca="1">IFERROR(__xludf.DUMMYFUNCTION("IF(J380="""",""n/a"",IFERROR(SPLIT(J380,""/"")))"),"n/a")</f>
        <v>n/a</v>
      </c>
      <c r="E380" s="170"/>
      <c r="F380" s="170"/>
      <c r="G380" s="170"/>
      <c r="H380" s="206" t="s">
        <v>1898</v>
      </c>
      <c r="I380" s="170"/>
      <c r="J380" s="170"/>
      <c r="K380" s="170"/>
      <c r="L380" s="197">
        <v>6.958333333333333</v>
      </c>
      <c r="M380" s="207">
        <v>1</v>
      </c>
      <c r="N380" s="208">
        <v>6</v>
      </c>
      <c r="O380" s="170">
        <f t="shared" si="26"/>
        <v>0</v>
      </c>
      <c r="P380" s="209" t="s">
        <v>92</v>
      </c>
      <c r="Q380" s="170"/>
      <c r="R380" s="170"/>
      <c r="S380" s="198">
        <f t="shared" si="27"/>
        <v>6</v>
      </c>
      <c r="T380" s="199" t="str">
        <f t="shared" si="28"/>
        <v>6pieces</v>
      </c>
      <c r="U380" s="200">
        <f t="shared" si="29"/>
        <v>6.958333333333333</v>
      </c>
      <c r="V380" s="12"/>
      <c r="W380" s="12"/>
    </row>
    <row r="381" spans="1:23" x14ac:dyDescent="0.3">
      <c r="A381" s="183" t="e">
        <f ca="1"/>
        <v>#NAME?</v>
      </c>
      <c r="B381" s="194" t="s">
        <v>79</v>
      </c>
      <c r="C381" s="170"/>
      <c r="D381" s="194" t="str">
        <f ca="1">IFERROR(__xludf.DUMMYFUNCTION("IF(J381="""",""n/a"",IFERROR(SPLIT(J381,""/"")))"),"Freeto")</f>
        <v>Freeto</v>
      </c>
      <c r="E381" s="194" t="str">
        <f ca="1">IFERROR(__xludf.DUMMYFUNCTION("""COMPUTED_VALUE"""),"pail")</f>
        <v>pail</v>
      </c>
      <c r="F381" s="194" t="str">
        <f ca="1">IFERROR(__xludf.DUMMYFUNCTION("""COMPUTED_VALUE"""),"11000grams")</f>
        <v>11000grams</v>
      </c>
      <c r="G381" s="170"/>
      <c r="H381" s="183" t="s">
        <v>1895</v>
      </c>
      <c r="I381" s="170"/>
      <c r="J381" s="46" t="s">
        <v>80</v>
      </c>
      <c r="K381" s="170"/>
      <c r="L381" s="195">
        <v>1120</v>
      </c>
      <c r="M381" s="61">
        <v>1</v>
      </c>
      <c r="N381" s="61">
        <v>11000</v>
      </c>
      <c r="O381" s="61" t="str">
        <f t="shared" ca="1" si="26"/>
        <v>pail</v>
      </c>
      <c r="P381" s="61" t="s">
        <v>39</v>
      </c>
      <c r="Q381" s="170"/>
      <c r="R381" s="170"/>
      <c r="S381" s="198">
        <f t="shared" si="27"/>
        <v>11000</v>
      </c>
      <c r="T381" s="199" t="str">
        <f t="shared" si="28"/>
        <v>11000grams</v>
      </c>
      <c r="U381" s="200">
        <f t="shared" si="29"/>
        <v>1120</v>
      </c>
      <c r="V381" s="12"/>
      <c r="W381" s="12"/>
    </row>
    <row r="382" spans="1:23" x14ac:dyDescent="0.3">
      <c r="A382" s="183" t="e">
        <f ca="1"/>
        <v>#NAME?</v>
      </c>
      <c r="B382" s="194" t="s">
        <v>671</v>
      </c>
      <c r="C382" s="170"/>
      <c r="D382" s="194" t="str">
        <f ca="1">IFERROR(__xludf.DUMMYFUNCTION("IF(J382="""",""n/a"",IFERROR(SPLIT(J382,""/"")))"),"Mello")</f>
        <v>Mello</v>
      </c>
      <c r="E382" s="194">
        <f ca="1">IFERROR(__xludf.DUMMYFUNCTION("""COMPUTED_VALUE"""),680)</f>
        <v>680</v>
      </c>
      <c r="F382" s="170"/>
      <c r="G382" s="170"/>
      <c r="H382" s="206" t="s">
        <v>1898</v>
      </c>
      <c r="I382" s="170"/>
      <c r="J382" s="46" t="s">
        <v>672</v>
      </c>
      <c r="K382" s="170"/>
      <c r="L382" s="197">
        <v>0.17647058823529413</v>
      </c>
      <c r="M382" s="208">
        <v>680</v>
      </c>
      <c r="N382" s="208">
        <v>680</v>
      </c>
      <c r="O382" s="61">
        <f t="shared" ca="1" si="26"/>
        <v>680</v>
      </c>
      <c r="P382" s="61" t="s">
        <v>39</v>
      </c>
      <c r="Q382" s="170"/>
      <c r="R382" s="170"/>
      <c r="S382" s="198">
        <f t="shared" si="27"/>
        <v>462400</v>
      </c>
      <c r="T382" s="199" t="str">
        <f t="shared" si="28"/>
        <v>462400grams</v>
      </c>
      <c r="U382" s="200">
        <f t="shared" si="29"/>
        <v>120.00000000000001</v>
      </c>
      <c r="V382" s="12"/>
      <c r="W382" s="12"/>
    </row>
    <row r="383" spans="1:23" x14ac:dyDescent="0.3">
      <c r="A383" s="183" t="e">
        <f ca="1"/>
        <v>#NAME?</v>
      </c>
      <c r="B383" s="194" t="s">
        <v>673</v>
      </c>
      <c r="C383" s="170"/>
      <c r="D383" s="194" t="str">
        <f ca="1">IFERROR(__xludf.DUMMYFUNCTION("IF(J383="""",""n/a"",IFERROR(SPLIT(J383,""/"")))"),"Best Foods")</f>
        <v>Best Foods</v>
      </c>
      <c r="E383" s="194" t="str">
        <f ca="1">IFERROR(__xludf.DUMMYFUNCTION("""COMPUTED_VALUE"""),"gallon")</f>
        <v>gallon</v>
      </c>
      <c r="F383" s="194" t="str">
        <f ca="1">IFERROR(__xludf.DUMMYFUNCTION("""COMPUTED_VALUE"""),"3500ml")</f>
        <v>3500ml</v>
      </c>
      <c r="G383" s="170"/>
      <c r="H383" s="183" t="s">
        <v>1897</v>
      </c>
      <c r="I383" s="170"/>
      <c r="J383" s="46" t="s">
        <v>228</v>
      </c>
      <c r="K383" s="170"/>
      <c r="L383" s="197">
        <v>420.6</v>
      </c>
      <c r="M383" s="203">
        <v>3</v>
      </c>
      <c r="N383" s="203">
        <v>1</v>
      </c>
      <c r="O383" s="61" t="str">
        <f t="shared" ca="1" si="26"/>
        <v>gallon</v>
      </c>
      <c r="P383" s="61" t="s">
        <v>32</v>
      </c>
      <c r="Q383" s="61" t="s">
        <v>33</v>
      </c>
      <c r="R383" s="192" t="str">
        <f>CONCATENATE(N383,P383)</f>
        <v>1ml</v>
      </c>
      <c r="S383" s="198">
        <f t="shared" si="27"/>
        <v>3</v>
      </c>
      <c r="T383" s="199" t="str">
        <f t="shared" si="28"/>
        <v>3 ml</v>
      </c>
      <c r="U383" s="200">
        <f t="shared" si="29"/>
        <v>1261.8000000000002</v>
      </c>
      <c r="V383" s="205">
        <f>U383/M383</f>
        <v>420.60000000000008</v>
      </c>
      <c r="W383" s="62"/>
    </row>
    <row r="384" spans="1:23" x14ac:dyDescent="0.3">
      <c r="A384" s="183" t="e">
        <f ca="1"/>
        <v>#NAME?</v>
      </c>
      <c r="B384" s="194" t="s">
        <v>265</v>
      </c>
      <c r="C384" s="170"/>
      <c r="D384" s="194" t="str">
        <f ca="1">IFERROR(__xludf.DUMMYFUNCTION("IF(J384="""",""n/a"",IFERROR(SPLIT(J384,""/"")))"),"Mc Cormik")</f>
        <v>Mc Cormik</v>
      </c>
      <c r="E384" s="194" t="str">
        <f ca="1">IFERROR(__xludf.DUMMYFUNCTION("""COMPUTED_VALUE"""),"bottle")</f>
        <v>bottle</v>
      </c>
      <c r="F384" s="194" t="str">
        <f ca="1">IFERROR(__xludf.DUMMYFUNCTION("""COMPUTED_VALUE"""),"35grams")</f>
        <v>35grams</v>
      </c>
      <c r="G384" s="170"/>
      <c r="H384" s="183" t="s">
        <v>1895</v>
      </c>
      <c r="I384" s="170"/>
      <c r="J384" s="46" t="s">
        <v>266</v>
      </c>
      <c r="K384" s="170"/>
      <c r="L384" s="195">
        <v>87.5</v>
      </c>
      <c r="M384" s="61">
        <v>1.43</v>
      </c>
      <c r="N384" s="61">
        <v>1</v>
      </c>
      <c r="O384" s="61" t="str">
        <f t="shared" ca="1" si="26"/>
        <v>bottle</v>
      </c>
      <c r="P384" s="61" t="s">
        <v>39</v>
      </c>
      <c r="Q384" s="170"/>
      <c r="R384" s="170"/>
      <c r="S384" s="198">
        <f t="shared" si="27"/>
        <v>1.43</v>
      </c>
      <c r="T384" s="199" t="str">
        <f t="shared" si="28"/>
        <v>1.43grams</v>
      </c>
      <c r="U384" s="200">
        <f t="shared" si="29"/>
        <v>125.125</v>
      </c>
      <c r="V384" s="12"/>
      <c r="W384" s="12"/>
    </row>
    <row r="385" spans="1:23" x14ac:dyDescent="0.3">
      <c r="A385" s="183" t="e">
        <f ca="1"/>
        <v>#NAME?</v>
      </c>
      <c r="B385" s="194" t="s">
        <v>267</v>
      </c>
      <c r="C385" s="170"/>
      <c r="D385" s="194" t="str">
        <f ca="1">IFERROR(__xludf.DUMMYFUNCTION("IF(J385="""",""n/a"",IFERROR(SPLIT(J385,""/"")))"),"Mc Cormick")</f>
        <v>Mc Cormick</v>
      </c>
      <c r="E385" s="194" t="str">
        <f ca="1">IFERROR(__xludf.DUMMYFUNCTION("""COMPUTED_VALUE"""),"bottle")</f>
        <v>bottle</v>
      </c>
      <c r="F385" s="194" t="str">
        <f ca="1">IFERROR(__xludf.DUMMYFUNCTION("""COMPUTED_VALUE"""),"45grams")</f>
        <v>45grams</v>
      </c>
      <c r="G385" s="170"/>
      <c r="H385" s="183" t="s">
        <v>1895</v>
      </c>
      <c r="I385" s="170"/>
      <c r="J385" s="46" t="s">
        <v>268</v>
      </c>
      <c r="K385" s="170"/>
      <c r="L385" s="195">
        <v>102.5</v>
      </c>
      <c r="M385" s="61">
        <v>1.67</v>
      </c>
      <c r="N385" s="61">
        <v>1</v>
      </c>
      <c r="O385" s="61" t="str">
        <f t="shared" ca="1" si="26"/>
        <v>bottle</v>
      </c>
      <c r="P385" s="61" t="s">
        <v>39</v>
      </c>
      <c r="Q385" s="170"/>
      <c r="R385" s="170"/>
      <c r="S385" s="198">
        <f t="shared" si="27"/>
        <v>1.67</v>
      </c>
      <c r="T385" s="199" t="str">
        <f t="shared" si="28"/>
        <v>1.67grams</v>
      </c>
      <c r="U385" s="200">
        <f t="shared" si="29"/>
        <v>171.17499999999998</v>
      </c>
      <c r="V385" s="12"/>
      <c r="W385" s="12"/>
    </row>
    <row r="386" spans="1:23" x14ac:dyDescent="0.3">
      <c r="A386" s="183" t="e">
        <f ca="1"/>
        <v>#NAME?</v>
      </c>
      <c r="B386" s="194" t="s">
        <v>674</v>
      </c>
      <c r="C386" s="170"/>
      <c r="D386" s="194" t="str">
        <f ca="1">IFERROR(__xludf.DUMMYFUNCTION("IF(J386="""",""n/a"",IFERROR(SPLIT(J386,""/"")))"),"Mc Cormick")</f>
        <v>Mc Cormick</v>
      </c>
      <c r="E386" s="194" t="str">
        <f ca="1">IFERROR(__xludf.DUMMYFUNCTION("""COMPUTED_VALUE"""),"bottle")</f>
        <v>bottle</v>
      </c>
      <c r="F386" s="194" t="str">
        <f ca="1">IFERROR(__xludf.DUMMYFUNCTION("""COMPUTED_VALUE"""),"30grams")</f>
        <v>30grams</v>
      </c>
      <c r="G386" s="170"/>
      <c r="H386" s="183" t="s">
        <v>1897</v>
      </c>
      <c r="I386" s="170"/>
      <c r="J386" s="46" t="s">
        <v>675</v>
      </c>
      <c r="K386" s="170"/>
      <c r="L386" s="197">
        <v>2.71</v>
      </c>
      <c r="M386" s="203">
        <v>30</v>
      </c>
      <c r="N386" s="203">
        <v>30</v>
      </c>
      <c r="O386" s="61" t="str">
        <f t="shared" ca="1" si="26"/>
        <v>bottle</v>
      </c>
      <c r="P386" s="61" t="s">
        <v>39</v>
      </c>
      <c r="Q386" s="170"/>
      <c r="R386" s="192" t="str">
        <f>CONCATENATE(N386,P386)</f>
        <v>30grams</v>
      </c>
      <c r="S386" s="198">
        <f t="shared" si="27"/>
        <v>900</v>
      </c>
      <c r="T386" s="199" t="str">
        <f t="shared" si="28"/>
        <v>900grams</v>
      </c>
      <c r="U386" s="200">
        <f t="shared" si="29"/>
        <v>81.3</v>
      </c>
      <c r="V386" s="205">
        <f>U386/M386</f>
        <v>2.71</v>
      </c>
      <c r="W386" s="62"/>
    </row>
    <row r="387" spans="1:23" x14ac:dyDescent="0.3">
      <c r="A387" s="183" t="e">
        <f ca="1"/>
        <v>#NAME?</v>
      </c>
      <c r="B387" s="194" t="s">
        <v>676</v>
      </c>
      <c r="C387" s="170"/>
      <c r="D387" s="194" t="str">
        <f ca="1">IFERROR(__xludf.DUMMYFUNCTION("IF(J387="""",""n/a"",IFERROR(SPLIT(J387,""/"")))"),"n/a")</f>
        <v>n/a</v>
      </c>
      <c r="E387" s="170"/>
      <c r="F387" s="170"/>
      <c r="G387" s="170"/>
      <c r="H387" s="206" t="s">
        <v>1898</v>
      </c>
      <c r="I387" s="170"/>
      <c r="J387" s="170"/>
      <c r="K387" s="170"/>
      <c r="L387" s="197">
        <v>0.50024999999999997</v>
      </c>
      <c r="M387" s="208">
        <v>400</v>
      </c>
      <c r="N387" s="208">
        <v>200</v>
      </c>
      <c r="O387" s="170">
        <f t="shared" si="26"/>
        <v>0</v>
      </c>
      <c r="P387" s="61" t="s">
        <v>39</v>
      </c>
      <c r="Q387" s="170"/>
      <c r="R387" s="170"/>
      <c r="S387" s="198">
        <f t="shared" si="27"/>
        <v>80000</v>
      </c>
      <c r="T387" s="199" t="str">
        <f t="shared" si="28"/>
        <v>80000grams</v>
      </c>
      <c r="U387" s="200">
        <f t="shared" si="29"/>
        <v>200.1</v>
      </c>
      <c r="V387" s="12"/>
      <c r="W387" s="12"/>
    </row>
    <row r="388" spans="1:23" x14ac:dyDescent="0.3">
      <c r="A388" s="183" t="e">
        <f ca="1"/>
        <v>#NAME?</v>
      </c>
      <c r="B388" s="194" t="s">
        <v>677</v>
      </c>
      <c r="C388" s="170"/>
      <c r="D388" s="194" t="str">
        <f ca="1">IFERROR(__xludf.DUMMYFUNCTION("IF(J388="""",""n/a"",IFERROR(SPLIT(J388,""/"")))"),"n/a")</f>
        <v>n/a</v>
      </c>
      <c r="E388" s="170"/>
      <c r="F388" s="170"/>
      <c r="G388" s="170"/>
      <c r="H388" s="206" t="s">
        <v>1898</v>
      </c>
      <c r="I388" s="170"/>
      <c r="J388" s="170"/>
      <c r="K388" s="170"/>
      <c r="L388" s="197">
        <v>8.4642857142857135</v>
      </c>
      <c r="M388" s="208">
        <v>7</v>
      </c>
      <c r="N388" s="208">
        <v>7</v>
      </c>
      <c r="O388" s="170">
        <f t="shared" si="26"/>
        <v>0</v>
      </c>
      <c r="P388" s="61" t="s">
        <v>39</v>
      </c>
      <c r="Q388" s="170"/>
      <c r="R388" s="170"/>
      <c r="S388" s="198">
        <f t="shared" si="27"/>
        <v>49</v>
      </c>
      <c r="T388" s="199" t="str">
        <f t="shared" si="28"/>
        <v>49grams</v>
      </c>
      <c r="U388" s="200">
        <f t="shared" si="29"/>
        <v>59.249999999999993</v>
      </c>
      <c r="V388" s="12"/>
      <c r="W388" s="12"/>
    </row>
    <row r="389" spans="1:23" x14ac:dyDescent="0.3">
      <c r="A389" s="183" t="e">
        <f ca="1"/>
        <v>#NAME?</v>
      </c>
      <c r="B389" s="194" t="s">
        <v>269</v>
      </c>
      <c r="C389" s="170"/>
      <c r="D389" s="194" t="str">
        <f ca="1">IFERROR(__xludf.DUMMYFUNCTION("IF(J389="""",""n/a"",IFERROR(SPLIT(J389,""/"")))"),"Mc Cormick")</f>
        <v>Mc Cormick</v>
      </c>
      <c r="E389" s="194" t="str">
        <f ca="1">IFERROR(__xludf.DUMMYFUNCTION("""COMPUTED_VALUE"""),"bottle")</f>
        <v>bottle</v>
      </c>
      <c r="F389" s="194" t="str">
        <f ca="1">IFERROR(__xludf.DUMMYFUNCTION("""COMPUTED_VALUE"""),"23grams")</f>
        <v>23grams</v>
      </c>
      <c r="G389" s="170"/>
      <c r="H389" s="183" t="s">
        <v>1895</v>
      </c>
      <c r="I389" s="170"/>
      <c r="J389" s="46" t="s">
        <v>270</v>
      </c>
      <c r="K389" s="170"/>
      <c r="L389" s="195">
        <v>110.25</v>
      </c>
      <c r="M389" s="61">
        <v>0.87</v>
      </c>
      <c r="N389" s="61">
        <v>1</v>
      </c>
      <c r="O389" s="61" t="str">
        <f t="shared" ca="1" si="26"/>
        <v>bottle</v>
      </c>
      <c r="P389" s="61" t="s">
        <v>39</v>
      </c>
      <c r="Q389" s="170"/>
      <c r="R389" s="170"/>
      <c r="S389" s="198">
        <f t="shared" si="27"/>
        <v>0.87</v>
      </c>
      <c r="T389" s="199" t="str">
        <f t="shared" si="28"/>
        <v>0.87grams</v>
      </c>
      <c r="U389" s="200">
        <f t="shared" si="29"/>
        <v>95.917500000000004</v>
      </c>
      <c r="V389" s="12"/>
      <c r="W389" s="12"/>
    </row>
    <row r="390" spans="1:23" x14ac:dyDescent="0.3">
      <c r="A390" s="183" t="e">
        <f ca="1"/>
        <v>#NAME?</v>
      </c>
      <c r="B390" s="194" t="s">
        <v>271</v>
      </c>
      <c r="C390" s="170"/>
      <c r="D390" s="194" t="str">
        <f ca="1">IFERROR(__xludf.DUMMYFUNCTION("IF(J390="""",""n/a"",IFERROR(SPLIT(J390,""/"")))"),"Mc Cormick")</f>
        <v>Mc Cormick</v>
      </c>
      <c r="E390" s="194" t="str">
        <f ca="1">IFERROR(__xludf.DUMMYFUNCTION("""COMPUTED_VALUE"""),"bottle")</f>
        <v>bottle</v>
      </c>
      <c r="F390" s="194" t="str">
        <f ca="1">IFERROR(__xludf.DUMMYFUNCTION("""COMPUTED_VALUE"""),"11grams")</f>
        <v>11grams</v>
      </c>
      <c r="G390" s="170"/>
      <c r="H390" s="183" t="s">
        <v>1895</v>
      </c>
      <c r="I390" s="170"/>
      <c r="J390" s="46" t="s">
        <v>272</v>
      </c>
      <c r="K390" s="170"/>
      <c r="L390" s="195">
        <v>67.5</v>
      </c>
      <c r="M390" s="61">
        <v>2</v>
      </c>
      <c r="N390" s="61">
        <v>1</v>
      </c>
      <c r="O390" s="61" t="str">
        <f t="shared" ca="1" si="26"/>
        <v>bottle</v>
      </c>
      <c r="P390" s="61" t="s">
        <v>39</v>
      </c>
      <c r="Q390" s="170"/>
      <c r="R390" s="170"/>
      <c r="S390" s="198">
        <f t="shared" si="27"/>
        <v>2</v>
      </c>
      <c r="T390" s="199" t="str">
        <f t="shared" si="28"/>
        <v>2grams</v>
      </c>
      <c r="U390" s="200">
        <f t="shared" si="29"/>
        <v>135</v>
      </c>
      <c r="V390" s="12"/>
      <c r="W390" s="12"/>
    </row>
    <row r="391" spans="1:23" x14ac:dyDescent="0.3">
      <c r="A391" s="183" t="e">
        <f ca="1"/>
        <v>#NAME?</v>
      </c>
      <c r="B391" s="194" t="s">
        <v>678</v>
      </c>
      <c r="C391" s="170"/>
      <c r="D391" s="194" t="str">
        <f ca="1">IFERROR(__xludf.DUMMYFUNCTION("IF(J391="""",""n/a"",IFERROR(SPLIT(J391,""/"")))"),"n/a")</f>
        <v>n/a</v>
      </c>
      <c r="E391" s="170"/>
      <c r="F391" s="170"/>
      <c r="G391" s="170"/>
      <c r="H391" s="206" t="s">
        <v>1898</v>
      </c>
      <c r="I391" s="170"/>
      <c r="J391" s="170"/>
      <c r="K391" s="170"/>
      <c r="L391" s="197">
        <v>1.325</v>
      </c>
      <c r="M391" s="208">
        <v>200</v>
      </c>
      <c r="N391" s="208">
        <v>40</v>
      </c>
      <c r="O391" s="170">
        <f t="shared" si="26"/>
        <v>0</v>
      </c>
      <c r="P391" s="61" t="s">
        <v>39</v>
      </c>
      <c r="Q391" s="170"/>
      <c r="R391" s="170"/>
      <c r="S391" s="198">
        <f t="shared" si="27"/>
        <v>8000</v>
      </c>
      <c r="T391" s="199" t="str">
        <f t="shared" si="28"/>
        <v>8000grams</v>
      </c>
      <c r="U391" s="200">
        <f t="shared" si="29"/>
        <v>265</v>
      </c>
      <c r="V391" s="12"/>
      <c r="W391" s="12"/>
    </row>
    <row r="392" spans="1:23" x14ac:dyDescent="0.3">
      <c r="A392" s="183" t="e">
        <f ca="1"/>
        <v>#NAME?</v>
      </c>
      <c r="B392" s="194" t="s">
        <v>273</v>
      </c>
      <c r="C392" s="170"/>
      <c r="D392" s="194" t="str">
        <f ca="1">IFERROR(__xludf.DUMMYFUNCTION("IF(J392="""",""n/a"",IFERROR(SPLIT(J392,""/"")))"),"Mc Cormick")</f>
        <v>Mc Cormick</v>
      </c>
      <c r="E392" s="194" t="str">
        <f ca="1">IFERROR(__xludf.DUMMYFUNCTION("""COMPUTED_VALUE"""),"bottle")</f>
        <v>bottle</v>
      </c>
      <c r="F392" s="194" t="str">
        <f ca="1">IFERROR(__xludf.DUMMYFUNCTION("""COMPUTED_VALUE"""),"14grams")</f>
        <v>14grams</v>
      </c>
      <c r="G392" s="170"/>
      <c r="H392" s="183" t="s">
        <v>1895</v>
      </c>
      <c r="I392" s="170"/>
      <c r="J392" s="46" t="s">
        <v>274</v>
      </c>
      <c r="K392" s="170"/>
      <c r="L392" s="195">
        <v>69.5</v>
      </c>
      <c r="M392" s="61">
        <v>2.57</v>
      </c>
      <c r="N392" s="61">
        <v>1</v>
      </c>
      <c r="O392" s="61" t="str">
        <f t="shared" ca="1" si="26"/>
        <v>bottle</v>
      </c>
      <c r="P392" s="61" t="s">
        <v>39</v>
      </c>
      <c r="Q392" s="170"/>
      <c r="R392" s="170"/>
      <c r="S392" s="198">
        <f t="shared" si="27"/>
        <v>2.57</v>
      </c>
      <c r="T392" s="199" t="str">
        <f t="shared" si="28"/>
        <v>2.57grams</v>
      </c>
      <c r="U392" s="200">
        <f t="shared" si="29"/>
        <v>178.61499999999998</v>
      </c>
      <c r="V392" s="12"/>
      <c r="W392" s="12"/>
    </row>
    <row r="393" spans="1:23" x14ac:dyDescent="0.3">
      <c r="A393" s="183" t="e">
        <f ca="1"/>
        <v>#NAME?</v>
      </c>
      <c r="B393" s="194" t="s">
        <v>275</v>
      </c>
      <c r="C393" s="170"/>
      <c r="D393" s="194" t="str">
        <f ca="1">IFERROR(__xludf.DUMMYFUNCTION("IF(J393="""",""n/a"",IFERROR(SPLIT(J393,""/"")))"),"Mc Cormick")</f>
        <v>Mc Cormick</v>
      </c>
      <c r="E393" s="194" t="str">
        <f ca="1">IFERROR(__xludf.DUMMYFUNCTION("""COMPUTED_VALUE"""),"bottle")</f>
        <v>bottle</v>
      </c>
      <c r="F393" s="194" t="str">
        <f ca="1">IFERROR(__xludf.DUMMYFUNCTION("""COMPUTED_VALUE"""),"31grams")</f>
        <v>31grams</v>
      </c>
      <c r="G393" s="170"/>
      <c r="H393" s="183" t="s">
        <v>1895</v>
      </c>
      <c r="I393" s="170"/>
      <c r="J393" s="46" t="s">
        <v>276</v>
      </c>
      <c r="K393" s="170"/>
      <c r="L393" s="195">
        <v>99</v>
      </c>
      <c r="M393" s="61">
        <v>0.80600000000000005</v>
      </c>
      <c r="N393" s="61">
        <v>1</v>
      </c>
      <c r="O393" s="61" t="str">
        <f t="shared" ca="1" si="26"/>
        <v>bottle</v>
      </c>
      <c r="P393" s="61" t="s">
        <v>39</v>
      </c>
      <c r="Q393" s="170"/>
      <c r="R393" s="170"/>
      <c r="S393" s="198">
        <f t="shared" si="27"/>
        <v>0.80600000000000005</v>
      </c>
      <c r="T393" s="199" t="str">
        <f t="shared" si="28"/>
        <v>0.806grams</v>
      </c>
      <c r="U393" s="200">
        <f t="shared" si="29"/>
        <v>79.794000000000011</v>
      </c>
      <c r="V393" s="12"/>
      <c r="W393" s="12"/>
    </row>
    <row r="394" spans="1:23" x14ac:dyDescent="0.3">
      <c r="A394" s="183" t="e">
        <f ca="1"/>
        <v>#NAME?</v>
      </c>
      <c r="B394" s="194" t="s">
        <v>679</v>
      </c>
      <c r="C394" s="170"/>
      <c r="D394" s="194" t="str">
        <f ca="1">IFERROR(__xludf.DUMMYFUNCTION("IF(J394="""",""n/a"",IFERROR(SPLIT(J394,""/"")))"),"n/a")</f>
        <v>n/a</v>
      </c>
      <c r="E394" s="170"/>
      <c r="F394" s="170"/>
      <c r="G394" s="170"/>
      <c r="H394" s="206" t="s">
        <v>1898</v>
      </c>
      <c r="I394" s="170"/>
      <c r="J394" s="170"/>
      <c r="K394" s="170"/>
      <c r="L394" s="197">
        <v>0.12479999999999999</v>
      </c>
      <c r="M394" s="208">
        <v>15100</v>
      </c>
      <c r="N394" s="208">
        <v>250</v>
      </c>
      <c r="O394" s="170">
        <f t="shared" si="26"/>
        <v>0</v>
      </c>
      <c r="P394" s="61" t="s">
        <v>39</v>
      </c>
      <c r="Q394" s="170"/>
      <c r="R394" s="170"/>
      <c r="S394" s="198">
        <f t="shared" si="27"/>
        <v>3775000</v>
      </c>
      <c r="T394" s="199" t="str">
        <f t="shared" si="28"/>
        <v>3775000grams</v>
      </c>
      <c r="U394" s="200">
        <f t="shared" si="29"/>
        <v>1884.48</v>
      </c>
      <c r="V394" s="12"/>
      <c r="W394" s="12"/>
    </row>
    <row r="395" spans="1:23" x14ac:dyDescent="0.3">
      <c r="A395" s="183" t="e">
        <f ca="1"/>
        <v>#NAME?</v>
      </c>
      <c r="B395" s="194" t="s">
        <v>347</v>
      </c>
      <c r="C395" s="170"/>
      <c r="D395" s="194" t="str">
        <f ca="1">IFERROR(__xludf.DUMMYFUNCTION("IF(J395="""",""n/a"",IFERROR(SPLIT(J395,""/"")))"),"Bestbuy")</f>
        <v>Bestbuy</v>
      </c>
      <c r="E395" s="194" t="str">
        <f ca="1">IFERROR(__xludf.DUMMYFUNCTION("""COMPUTED_VALUE"""),"pack by 10s'")</f>
        <v>pack by 10s'</v>
      </c>
      <c r="F395" s="170"/>
      <c r="G395" s="170"/>
      <c r="H395" s="183" t="s">
        <v>1895</v>
      </c>
      <c r="I395" s="170"/>
      <c r="J395" s="46" t="s">
        <v>348</v>
      </c>
      <c r="K395" s="170"/>
      <c r="L395" s="195">
        <v>77</v>
      </c>
      <c r="M395" s="61">
        <v>18</v>
      </c>
      <c r="N395" s="61">
        <v>1</v>
      </c>
      <c r="O395" s="61" t="str">
        <f t="shared" ca="1" si="26"/>
        <v>pack by 10s'</v>
      </c>
      <c r="P395" s="61" t="s">
        <v>92</v>
      </c>
      <c r="Q395" s="170"/>
      <c r="R395" s="170"/>
      <c r="S395" s="198">
        <f t="shared" si="27"/>
        <v>18</v>
      </c>
      <c r="T395" s="199" t="str">
        <f t="shared" si="28"/>
        <v>18pieces</v>
      </c>
      <c r="U395" s="200">
        <f t="shared" si="29"/>
        <v>1386</v>
      </c>
      <c r="V395" s="12"/>
      <c r="W395" s="12"/>
    </row>
    <row r="396" spans="1:23" x14ac:dyDescent="0.3">
      <c r="A396" s="183" t="e">
        <f ca="1"/>
        <v>#NAME?</v>
      </c>
      <c r="B396" s="194" t="s">
        <v>349</v>
      </c>
      <c r="C396" s="170"/>
      <c r="D396" s="194" t="str">
        <f ca="1">IFERROR(__xludf.DUMMYFUNCTION("IF(J396="""",""n/a"",IFERROR(SPLIT(J396,""/"")))"),"Gold Label")</f>
        <v>Gold Label</v>
      </c>
      <c r="E396" s="194" t="str">
        <f ca="1">IFERROR(__xludf.DUMMYFUNCTION("""COMPUTED_VALUE"""),"pack by 10s'")</f>
        <v>pack by 10s'</v>
      </c>
      <c r="F396" s="170"/>
      <c r="G396" s="170"/>
      <c r="H396" s="183" t="s">
        <v>1897</v>
      </c>
      <c r="I396" s="170"/>
      <c r="J396" s="46" t="s">
        <v>350</v>
      </c>
      <c r="K396" s="170"/>
      <c r="L396" s="202">
        <v>6.8</v>
      </c>
      <c r="M396" s="203">
        <v>8</v>
      </c>
      <c r="N396" s="203">
        <v>1</v>
      </c>
      <c r="O396" s="61" t="str">
        <f t="shared" ca="1" si="26"/>
        <v>pack by 10s'</v>
      </c>
      <c r="P396" s="61" t="s">
        <v>92</v>
      </c>
      <c r="Q396" s="170"/>
      <c r="R396" s="192" t="str">
        <f>CONCATENATE(N396,P396)</f>
        <v>1pieces</v>
      </c>
      <c r="S396" s="198">
        <f t="shared" si="27"/>
        <v>8</v>
      </c>
      <c r="T396" s="199" t="str">
        <f t="shared" si="28"/>
        <v>8pieces</v>
      </c>
      <c r="U396" s="200">
        <f t="shared" si="29"/>
        <v>54.4</v>
      </c>
      <c r="V396" s="12"/>
      <c r="W396" s="12"/>
    </row>
    <row r="397" spans="1:23" x14ac:dyDescent="0.3">
      <c r="A397" s="183" t="e">
        <f ca="1"/>
        <v>#NAME?</v>
      </c>
      <c r="B397" s="194" t="s">
        <v>349</v>
      </c>
      <c r="C397" s="170"/>
      <c r="D397" s="194" t="str">
        <f ca="1">IFERROR(__xludf.DUMMYFUNCTION("IF(J397="""",""n/a"",IFERROR(SPLIT(J397,""/"")))"),"Gold Label")</f>
        <v>Gold Label</v>
      </c>
      <c r="E397" s="194" t="str">
        <f ca="1">IFERROR(__xludf.DUMMYFUNCTION("""COMPUTED_VALUE"""),"pack by 10s'")</f>
        <v>pack by 10s'</v>
      </c>
      <c r="F397" s="170"/>
      <c r="G397" s="170"/>
      <c r="H397" s="183" t="s">
        <v>1895</v>
      </c>
      <c r="I397" s="170"/>
      <c r="J397" s="46" t="s">
        <v>350</v>
      </c>
      <c r="K397" s="170"/>
      <c r="L397" s="195">
        <v>51.9</v>
      </c>
      <c r="M397" s="61">
        <v>5.19</v>
      </c>
      <c r="N397" s="61">
        <v>1</v>
      </c>
      <c r="O397" s="61" t="str">
        <f t="shared" ca="1" si="26"/>
        <v>pack by 10s'</v>
      </c>
      <c r="P397" s="61" t="s">
        <v>92</v>
      </c>
      <c r="Q397" s="170"/>
      <c r="R397" s="170"/>
      <c r="S397" s="198">
        <f t="shared" si="27"/>
        <v>5.19</v>
      </c>
      <c r="T397" s="199" t="str">
        <f t="shared" si="28"/>
        <v>5.19pieces</v>
      </c>
      <c r="U397" s="200">
        <f t="shared" si="29"/>
        <v>269.36099999999999</v>
      </c>
      <c r="V397" s="12"/>
      <c r="W397" s="12"/>
    </row>
    <row r="398" spans="1:23" x14ac:dyDescent="0.3">
      <c r="A398" s="183" t="e">
        <f ca="1"/>
        <v>#NAME?</v>
      </c>
      <c r="B398" s="194" t="s">
        <v>680</v>
      </c>
      <c r="C398" s="170"/>
      <c r="D398" s="194" t="str">
        <f ca="1">IFERROR(__xludf.DUMMYFUNCTION("IF(J398="""",""n/a"",IFERROR(SPLIT(J398,""/"")))"),"Milk Shake")</f>
        <v>Milk Shake</v>
      </c>
      <c r="E398" s="194" t="str">
        <f ca="1">IFERROR(__xludf.DUMMYFUNCTION("""COMPUTED_VALUE"""),"Injoy")</f>
        <v>Injoy</v>
      </c>
      <c r="F398" s="194">
        <f ca="1">IFERROR(__xludf.DUMMYFUNCTION("""COMPUTED_VALUE"""),1000)</f>
        <v>1000</v>
      </c>
      <c r="G398" s="170"/>
      <c r="H398" s="206" t="s">
        <v>1898</v>
      </c>
      <c r="I398" s="170"/>
      <c r="J398" s="46" t="s">
        <v>681</v>
      </c>
      <c r="K398" s="170"/>
      <c r="L398" s="197">
        <v>0.15</v>
      </c>
      <c r="M398" s="208">
        <v>1000</v>
      </c>
      <c r="N398" s="208">
        <v>1000</v>
      </c>
      <c r="O398" s="61" t="str">
        <f t="shared" ca="1" si="26"/>
        <v>Injoy</v>
      </c>
      <c r="P398" s="61" t="s">
        <v>39</v>
      </c>
      <c r="Q398" s="170"/>
      <c r="R398" s="170"/>
      <c r="S398" s="198">
        <f t="shared" si="27"/>
        <v>1000000</v>
      </c>
      <c r="T398" s="199" t="str">
        <f t="shared" si="28"/>
        <v>1000000grams</v>
      </c>
      <c r="U398" s="200">
        <f t="shared" si="29"/>
        <v>150</v>
      </c>
      <c r="V398" s="12"/>
      <c r="W398" s="12"/>
    </row>
    <row r="399" spans="1:23" x14ac:dyDescent="0.3">
      <c r="A399" s="183" t="e">
        <f ca="1"/>
        <v>#NAME?</v>
      </c>
      <c r="B399" s="194" t="s">
        <v>682</v>
      </c>
      <c r="C399" s="170"/>
      <c r="D399" s="194" t="str">
        <f ca="1">IFERROR(__xludf.DUMMYFUNCTION("IF(J399="""",""n/a"",IFERROR(SPLIT(J399,""/"")))"),"n/a")</f>
        <v>n/a</v>
      </c>
      <c r="E399" s="170"/>
      <c r="F399" s="170"/>
      <c r="G399" s="170"/>
      <c r="H399" s="206" t="s">
        <v>1898</v>
      </c>
      <c r="I399" s="170"/>
      <c r="J399" s="170"/>
      <c r="K399" s="170"/>
      <c r="L399" s="197">
        <v>7.13</v>
      </c>
      <c r="M399" s="207">
        <v>101</v>
      </c>
      <c r="N399" s="208">
        <v>100</v>
      </c>
      <c r="O399" s="170">
        <f t="shared" si="26"/>
        <v>0</v>
      </c>
      <c r="P399" s="61" t="s">
        <v>92</v>
      </c>
      <c r="Q399" s="170"/>
      <c r="R399" s="170"/>
      <c r="S399" s="198">
        <f t="shared" si="27"/>
        <v>10100</v>
      </c>
      <c r="T399" s="199" t="str">
        <f t="shared" si="28"/>
        <v>10100pieces</v>
      </c>
      <c r="U399" s="200">
        <f t="shared" si="29"/>
        <v>720.13</v>
      </c>
      <c r="V399" s="12"/>
      <c r="W399" s="12"/>
    </row>
    <row r="400" spans="1:23" x14ac:dyDescent="0.3">
      <c r="A400" s="183" t="e">
        <f ca="1"/>
        <v>#NAME?</v>
      </c>
      <c r="B400" s="194" t="s">
        <v>149</v>
      </c>
      <c r="C400" s="170"/>
      <c r="D400" s="194" t="str">
        <f ca="1">IFERROR(__xludf.DUMMYFUNCTION("IF(J400="""",""n/a"",IFERROR(SPLIT(J400,""/"")))"),"Nestle")</f>
        <v>Nestle</v>
      </c>
      <c r="E400" s="194" t="str">
        <f ca="1">IFERROR(__xludf.DUMMYFUNCTION("""COMPUTED_VALUE"""),"pack (12x24grams)")</f>
        <v>pack (12x24grams)</v>
      </c>
      <c r="F400" s="170"/>
      <c r="G400" s="170"/>
      <c r="H400" s="183" t="s">
        <v>1897</v>
      </c>
      <c r="I400" s="170"/>
      <c r="J400" s="46" t="s">
        <v>150</v>
      </c>
      <c r="K400" s="170"/>
      <c r="L400" s="204">
        <v>8.7200000000000006</v>
      </c>
      <c r="M400" s="203">
        <v>537</v>
      </c>
      <c r="N400" s="203">
        <v>1</v>
      </c>
      <c r="O400" s="61" t="str">
        <f t="shared" ca="1" si="26"/>
        <v>pack (12x24grams)</v>
      </c>
      <c r="P400" s="61" t="s">
        <v>92</v>
      </c>
      <c r="Q400" s="170"/>
      <c r="R400" s="192" t="str">
        <f>CONCATENATE(N400,P400)</f>
        <v>1pieces</v>
      </c>
      <c r="S400" s="198">
        <f t="shared" si="27"/>
        <v>537</v>
      </c>
      <c r="T400" s="199" t="str">
        <f t="shared" si="28"/>
        <v>537pieces</v>
      </c>
      <c r="U400" s="200">
        <f t="shared" si="29"/>
        <v>4682.6400000000003</v>
      </c>
      <c r="V400" s="205">
        <f>U400/M400</f>
        <v>8.7200000000000006</v>
      </c>
      <c r="W400" s="62"/>
    </row>
    <row r="401" spans="1:23" x14ac:dyDescent="0.3">
      <c r="A401" s="183" t="e">
        <f ca="1"/>
        <v>#NAME?</v>
      </c>
      <c r="B401" s="194" t="s">
        <v>149</v>
      </c>
      <c r="C401" s="170"/>
      <c r="D401" s="194" t="str">
        <f ca="1">IFERROR(__xludf.DUMMYFUNCTION("IF(J401="""",""n/a"",IFERROR(SPLIT(J401,""/"")))"),"Nestle")</f>
        <v>Nestle</v>
      </c>
      <c r="E401" s="194" t="str">
        <f ca="1">IFERROR(__xludf.DUMMYFUNCTION("""COMPUTED_VALUE"""),"pack (12x24grams)")</f>
        <v>pack (12x24grams)</v>
      </c>
      <c r="F401" s="170"/>
      <c r="G401" s="170"/>
      <c r="H401" s="183" t="s">
        <v>1895</v>
      </c>
      <c r="I401" s="170"/>
      <c r="J401" s="46" t="s">
        <v>150</v>
      </c>
      <c r="K401" s="170"/>
      <c r="L401" s="195">
        <v>8.7200000000000006</v>
      </c>
      <c r="M401" s="61">
        <v>624</v>
      </c>
      <c r="N401" s="61">
        <v>1</v>
      </c>
      <c r="O401" s="61" t="str">
        <f t="shared" ca="1" si="26"/>
        <v>pack (12x24grams)</v>
      </c>
      <c r="P401" s="61" t="s">
        <v>92</v>
      </c>
      <c r="Q401" s="170"/>
      <c r="R401" s="170"/>
      <c r="S401" s="198">
        <f t="shared" si="27"/>
        <v>624</v>
      </c>
      <c r="T401" s="199" t="str">
        <f t="shared" si="28"/>
        <v>624pieces</v>
      </c>
      <c r="U401" s="200">
        <f t="shared" si="29"/>
        <v>5441.2800000000007</v>
      </c>
      <c r="V401" s="12"/>
      <c r="W401" s="12"/>
    </row>
    <row r="402" spans="1:23" x14ac:dyDescent="0.3">
      <c r="A402" s="183" t="e">
        <f ca="1"/>
        <v>#NAME?</v>
      </c>
      <c r="B402" s="194" t="s">
        <v>149</v>
      </c>
      <c r="C402" s="170"/>
      <c r="D402" s="194" t="str">
        <f ca="1">IFERROR(__xludf.DUMMYFUNCTION("IF(J402="""",""n/a"",IFERROR(SPLIT(J402,""/"")))"),"n/a")</f>
        <v>n/a</v>
      </c>
      <c r="E402" s="170"/>
      <c r="F402" s="170"/>
      <c r="G402" s="170"/>
      <c r="H402" s="206" t="s">
        <v>1898</v>
      </c>
      <c r="I402" s="170"/>
      <c r="J402" s="170"/>
      <c r="K402" s="170"/>
      <c r="L402" s="197">
        <v>8.25</v>
      </c>
      <c r="M402" s="207">
        <v>655</v>
      </c>
      <c r="N402" s="208">
        <v>12</v>
      </c>
      <c r="O402" s="170">
        <f t="shared" si="26"/>
        <v>0</v>
      </c>
      <c r="P402" s="209" t="s">
        <v>92</v>
      </c>
      <c r="Q402" s="170"/>
      <c r="R402" s="170"/>
      <c r="S402" s="198">
        <f t="shared" si="27"/>
        <v>7860</v>
      </c>
      <c r="T402" s="199" t="str">
        <f t="shared" si="28"/>
        <v>7860pieces</v>
      </c>
      <c r="U402" s="200">
        <f t="shared" si="29"/>
        <v>5403.75</v>
      </c>
      <c r="V402" s="12"/>
      <c r="W402" s="12"/>
    </row>
    <row r="403" spans="1:23" x14ac:dyDescent="0.3">
      <c r="A403" s="183" t="e">
        <f ca="1"/>
        <v>#NAME?</v>
      </c>
      <c r="B403" s="194" t="s">
        <v>103</v>
      </c>
      <c r="C403" s="170"/>
      <c r="D403" s="194" t="str">
        <f ca="1">IFERROR(__xludf.DUMMYFUNCTION("IF(J403="""",""n/a"",IFERROR(SPLIT(J403,""/"")))"),"Below Zero")</f>
        <v>Below Zero</v>
      </c>
      <c r="E403" s="194" t="str">
        <f ca="1">IFERROR(__xludf.DUMMYFUNCTION("""COMPUTED_VALUE"""),"box (24pcsx500ml)")</f>
        <v>box (24pcsx500ml)</v>
      </c>
      <c r="F403" s="170"/>
      <c r="G403" s="170"/>
      <c r="H403" s="183" t="s">
        <v>1895</v>
      </c>
      <c r="I403" s="170"/>
      <c r="J403" s="46" t="s">
        <v>104</v>
      </c>
      <c r="K403" s="170"/>
      <c r="L403" s="195">
        <v>7.5</v>
      </c>
      <c r="M403" s="61">
        <v>3519</v>
      </c>
      <c r="N403" s="61">
        <v>1</v>
      </c>
      <c r="O403" s="61" t="str">
        <f t="shared" ca="1" si="26"/>
        <v>box (24pcsx500ml)</v>
      </c>
      <c r="P403" s="61" t="s">
        <v>92</v>
      </c>
      <c r="Q403" s="170"/>
      <c r="R403" s="170"/>
      <c r="S403" s="198">
        <f t="shared" si="27"/>
        <v>3519</v>
      </c>
      <c r="T403" s="199" t="str">
        <f t="shared" si="28"/>
        <v>3519pieces</v>
      </c>
      <c r="U403" s="200">
        <f t="shared" si="29"/>
        <v>26392.5</v>
      </c>
      <c r="V403" s="12"/>
      <c r="W403" s="12"/>
    </row>
    <row r="404" spans="1:23" x14ac:dyDescent="0.3">
      <c r="A404" s="183" t="e">
        <f ca="1"/>
        <v>#NAME?</v>
      </c>
      <c r="B404" s="194" t="s">
        <v>103</v>
      </c>
      <c r="C404" s="170"/>
      <c r="D404" s="194" t="str">
        <f ca="1">IFERROR(__xludf.DUMMYFUNCTION("IF(J404="""",""n/a"",IFERROR(SPLIT(J404,""/"")))"),"n/a")</f>
        <v>n/a</v>
      </c>
      <c r="E404" s="170"/>
      <c r="F404" s="170"/>
      <c r="G404" s="170"/>
      <c r="H404" s="206" t="s">
        <v>1898</v>
      </c>
      <c r="I404" s="170"/>
      <c r="J404" s="170"/>
      <c r="K404" s="170"/>
      <c r="L404" s="197">
        <v>7.5</v>
      </c>
      <c r="M404" s="207">
        <f>24+23</f>
        <v>47</v>
      </c>
      <c r="N404" s="208">
        <v>24</v>
      </c>
      <c r="O404" s="170">
        <f t="shared" si="26"/>
        <v>0</v>
      </c>
      <c r="P404" s="209" t="s">
        <v>92</v>
      </c>
      <c r="Q404" s="170"/>
      <c r="R404" s="170"/>
      <c r="S404" s="198">
        <f t="shared" si="27"/>
        <v>1128</v>
      </c>
      <c r="T404" s="199" t="str">
        <f t="shared" si="28"/>
        <v>1128pieces</v>
      </c>
      <c r="U404" s="200">
        <f t="shared" si="29"/>
        <v>352.5</v>
      </c>
      <c r="V404" s="12"/>
      <c r="W404" s="12"/>
    </row>
    <row r="405" spans="1:23" x14ac:dyDescent="0.3">
      <c r="A405" s="183" t="e">
        <f ca="1"/>
        <v>#NAME?</v>
      </c>
      <c r="B405" s="194" t="s">
        <v>105</v>
      </c>
      <c r="C405" s="170"/>
      <c r="D405" s="194" t="str">
        <f ca="1">IFERROR(__xludf.DUMMYFUNCTION("IF(J405="""",""n/a"",IFERROR(SPLIT(J405,""/"")))"),"Coca-Cola (pcsx250ml)")</f>
        <v>Coca-Cola (pcsx250ml)</v>
      </c>
      <c r="E405" s="170"/>
      <c r="F405" s="170"/>
      <c r="G405" s="170"/>
      <c r="H405" s="183" t="s">
        <v>1895</v>
      </c>
      <c r="I405" s="170"/>
      <c r="J405" s="46" t="s">
        <v>106</v>
      </c>
      <c r="K405" s="170"/>
      <c r="L405" s="195">
        <v>14.35</v>
      </c>
      <c r="M405" s="61">
        <v>240</v>
      </c>
      <c r="N405" s="61">
        <v>1</v>
      </c>
      <c r="O405" s="170">
        <f t="shared" si="26"/>
        <v>0</v>
      </c>
      <c r="P405" s="61" t="s">
        <v>92</v>
      </c>
      <c r="Q405" s="170"/>
      <c r="R405" s="170"/>
      <c r="S405" s="198">
        <f t="shared" si="27"/>
        <v>240</v>
      </c>
      <c r="T405" s="199" t="str">
        <f t="shared" si="28"/>
        <v>240pieces</v>
      </c>
      <c r="U405" s="200">
        <f t="shared" si="29"/>
        <v>3444</v>
      </c>
      <c r="V405" s="12"/>
      <c r="W405" s="12"/>
    </row>
    <row r="406" spans="1:23" x14ac:dyDescent="0.3">
      <c r="A406" s="193" t="e">
        <f ca="1"/>
        <v>#NAME?</v>
      </c>
      <c r="B406" s="194" t="s">
        <v>683</v>
      </c>
      <c r="C406" s="170"/>
      <c r="D406" s="194" t="str">
        <f ca="1">IFERROR(__xludf.DUMMYFUNCTION("IF(J406="""",""n/a"",IFERROR(SPLIT(J406,""/"")))"),"n/a")</f>
        <v>n/a</v>
      </c>
      <c r="E406" s="170"/>
      <c r="F406" s="170"/>
      <c r="G406" s="170"/>
      <c r="H406" s="206" t="s">
        <v>1898</v>
      </c>
      <c r="I406" s="170"/>
      <c r="J406" s="170"/>
      <c r="K406" s="170"/>
      <c r="L406" s="197">
        <v>0.19222222222222221</v>
      </c>
      <c r="M406" s="208">
        <v>400</v>
      </c>
      <c r="N406" s="208">
        <v>1800</v>
      </c>
      <c r="O406" s="170">
        <f t="shared" si="26"/>
        <v>0</v>
      </c>
      <c r="P406" s="61" t="s">
        <v>39</v>
      </c>
      <c r="Q406" s="170"/>
      <c r="R406" s="170"/>
      <c r="S406" s="198">
        <f t="shared" si="27"/>
        <v>720000</v>
      </c>
      <c r="T406" s="199" t="str">
        <f t="shared" si="28"/>
        <v>720000grams</v>
      </c>
      <c r="U406" s="200">
        <f t="shared" si="29"/>
        <v>76.888888888888886</v>
      </c>
      <c r="V406" s="12"/>
      <c r="W406" s="12"/>
    </row>
    <row r="407" spans="1:23" x14ac:dyDescent="0.3">
      <c r="A407" s="183" t="e">
        <f ca="1"/>
        <v>#NAME?</v>
      </c>
      <c r="B407" s="194" t="s">
        <v>684</v>
      </c>
      <c r="C407" s="170"/>
      <c r="D407" s="194" t="str">
        <f ca="1">IFERROR(__xludf.DUMMYFUNCTION("IF(J407="""",""n/a"",IFERROR(SPLIT(J407,""/"")))"),"n/a")</f>
        <v>n/a</v>
      </c>
      <c r="E407" s="170"/>
      <c r="F407" s="170"/>
      <c r="G407" s="170"/>
      <c r="H407" s="206" t="s">
        <v>1898</v>
      </c>
      <c r="I407" s="170"/>
      <c r="J407" s="170"/>
      <c r="K407" s="170"/>
      <c r="L407" s="197">
        <v>0.159</v>
      </c>
      <c r="M407" s="208">
        <v>150</v>
      </c>
      <c r="N407" s="208">
        <v>1000</v>
      </c>
      <c r="O407" s="170">
        <f t="shared" si="26"/>
        <v>0</v>
      </c>
      <c r="P407" s="61" t="s">
        <v>39</v>
      </c>
      <c r="Q407" s="170"/>
      <c r="R407" s="170"/>
      <c r="S407" s="198">
        <f t="shared" si="27"/>
        <v>150000</v>
      </c>
      <c r="T407" s="199" t="str">
        <f t="shared" si="28"/>
        <v>150000grams</v>
      </c>
      <c r="U407" s="200">
        <f t="shared" si="29"/>
        <v>23.85</v>
      </c>
      <c r="V407" s="12"/>
      <c r="W407" s="12"/>
    </row>
    <row r="408" spans="1:23" x14ac:dyDescent="0.3">
      <c r="A408" s="183" t="e">
        <f ca="1"/>
        <v>#NAME?</v>
      </c>
      <c r="B408" s="194" t="s">
        <v>313</v>
      </c>
      <c r="C408" s="170"/>
      <c r="D408" s="194" t="str">
        <f ca="1">IFERROR(__xludf.DUMMYFUNCTION("IF(J408="""",""n/a"",IFERROR(SPLIT(J408,""/"")))"),"marukume")</f>
        <v>marukume</v>
      </c>
      <c r="E408" s="170"/>
      <c r="F408" s="170"/>
      <c r="G408" s="170"/>
      <c r="H408" s="183" t="s">
        <v>1895</v>
      </c>
      <c r="I408" s="170"/>
      <c r="J408" s="46" t="s">
        <v>314</v>
      </c>
      <c r="K408" s="170"/>
      <c r="L408" s="195">
        <v>198</v>
      </c>
      <c r="M408" s="61">
        <v>2</v>
      </c>
      <c r="N408" s="61">
        <v>1</v>
      </c>
      <c r="O408" s="170">
        <f t="shared" si="26"/>
        <v>0</v>
      </c>
      <c r="P408" s="61" t="s">
        <v>39</v>
      </c>
      <c r="Q408" s="170"/>
      <c r="R408" s="170"/>
      <c r="S408" s="198">
        <f t="shared" si="27"/>
        <v>2</v>
      </c>
      <c r="T408" s="199" t="str">
        <f t="shared" si="28"/>
        <v>2grams</v>
      </c>
      <c r="U408" s="200">
        <f t="shared" si="29"/>
        <v>396</v>
      </c>
      <c r="V408" s="12"/>
      <c r="W408" s="12"/>
    </row>
    <row r="409" spans="1:23" x14ac:dyDescent="0.3">
      <c r="A409" s="183" t="e">
        <f ca="1"/>
        <v>#NAME?</v>
      </c>
      <c r="B409" s="194" t="s">
        <v>327</v>
      </c>
      <c r="C409" s="170"/>
      <c r="D409" s="194" t="str">
        <f ca="1">IFERROR(__xludf.DUMMYFUNCTION("IF(J409="""",""n/a"",IFERROR(SPLIT(J409,""/"")))"),"Excellent")</f>
        <v>Excellent</v>
      </c>
      <c r="E409" s="194" t="str">
        <f ca="1">IFERROR(__xludf.DUMMYFUNCTION("""COMPUTED_VALUE"""),"pack")</f>
        <v>pack</v>
      </c>
      <c r="F409" s="194" t="str">
        <f ca="1">IFERROR(__xludf.DUMMYFUNCTION("""COMPUTED_VALUE"""),"10x100grams")</f>
        <v>10x100grams</v>
      </c>
      <c r="G409" s="170"/>
      <c r="H409" s="183" t="s">
        <v>1895</v>
      </c>
      <c r="I409" s="170"/>
      <c r="J409" s="46" t="s">
        <v>328</v>
      </c>
      <c r="K409" s="170"/>
      <c r="L409" s="195">
        <v>236.7</v>
      </c>
      <c r="M409" s="61">
        <v>4</v>
      </c>
      <c r="N409" s="61">
        <v>1</v>
      </c>
      <c r="O409" s="61" t="str">
        <f t="shared" ca="1" si="26"/>
        <v>pack</v>
      </c>
      <c r="P409" s="61" t="s">
        <v>39</v>
      </c>
      <c r="Q409" s="170"/>
      <c r="R409" s="170"/>
      <c r="S409" s="198">
        <f t="shared" si="27"/>
        <v>4</v>
      </c>
      <c r="T409" s="199" t="str">
        <f t="shared" si="28"/>
        <v>4grams</v>
      </c>
      <c r="U409" s="200">
        <f t="shared" si="29"/>
        <v>946.8</v>
      </c>
      <c r="V409" s="12"/>
      <c r="W409" s="12"/>
    </row>
    <row r="410" spans="1:23" x14ac:dyDescent="0.3">
      <c r="A410" s="183" t="e">
        <f ca="1"/>
        <v>#NAME?</v>
      </c>
      <c r="B410" s="194" t="s">
        <v>327</v>
      </c>
      <c r="C410" s="170"/>
      <c r="D410" s="194" t="str">
        <f ca="1">IFERROR(__xludf.DUMMYFUNCTION("IF(J410="""",""n/a"",IFERROR(SPLIT(J410,""/"")))"),"n/a")</f>
        <v>n/a</v>
      </c>
      <c r="E410" s="170"/>
      <c r="F410" s="170"/>
      <c r="G410" s="170"/>
      <c r="H410" s="206" t="s">
        <v>1898</v>
      </c>
      <c r="I410" s="170"/>
      <c r="J410" s="170"/>
      <c r="K410" s="170"/>
      <c r="L410" s="197">
        <v>0.23669999999999999</v>
      </c>
      <c r="M410" s="208">
        <v>2800</v>
      </c>
      <c r="N410" s="208">
        <v>1000</v>
      </c>
      <c r="O410" s="170">
        <f t="shared" si="26"/>
        <v>0</v>
      </c>
      <c r="P410" s="61" t="s">
        <v>39</v>
      </c>
      <c r="Q410" s="170"/>
      <c r="R410" s="170"/>
      <c r="S410" s="198">
        <f t="shared" si="27"/>
        <v>2800000</v>
      </c>
      <c r="T410" s="199" t="str">
        <f t="shared" si="28"/>
        <v>2800000grams</v>
      </c>
      <c r="U410" s="200">
        <f t="shared" si="29"/>
        <v>662.76</v>
      </c>
      <c r="V410" s="12"/>
      <c r="W410" s="12"/>
    </row>
    <row r="411" spans="1:23" x14ac:dyDescent="0.3">
      <c r="A411" s="183" t="e">
        <f ca="1"/>
        <v>#NAME?</v>
      </c>
      <c r="B411" s="194" t="s">
        <v>685</v>
      </c>
      <c r="C411" s="170"/>
      <c r="D411" s="194" t="str">
        <f ca="1">IFERROR(__xludf.DUMMYFUNCTION("IF(J411="""",""n/a"",IFERROR(SPLIT(J411,""/"")))"),"Unicorn")</f>
        <v>Unicorn</v>
      </c>
      <c r="E411" s="194" t="str">
        <f ca="1">IFERROR(__xludf.DUMMYFUNCTION("""COMPUTED_VALUE"""),"pack")</f>
        <v>pack</v>
      </c>
      <c r="F411" s="194" t="str">
        <f ca="1">IFERROR(__xludf.DUMMYFUNCTION("""COMPUTED_VALUE"""),"1000grams")</f>
        <v>1000grams</v>
      </c>
      <c r="G411" s="170"/>
      <c r="H411" s="183" t="s">
        <v>1897</v>
      </c>
      <c r="I411" s="170"/>
      <c r="J411" s="46" t="s">
        <v>686</v>
      </c>
      <c r="K411" s="170"/>
      <c r="L411" s="202">
        <v>0.125</v>
      </c>
      <c r="M411" s="203">
        <v>3000</v>
      </c>
      <c r="N411" s="203">
        <v>1000</v>
      </c>
      <c r="O411" s="61" t="str">
        <f t="shared" ca="1" si="26"/>
        <v>pack</v>
      </c>
      <c r="P411" s="61" t="s">
        <v>39</v>
      </c>
      <c r="Q411" s="170"/>
      <c r="R411" s="192" t="str">
        <f>CONCATENATE(N411,P411)</f>
        <v>1000grams</v>
      </c>
      <c r="S411" s="198">
        <f t="shared" si="27"/>
        <v>3000000</v>
      </c>
      <c r="T411" s="199" t="str">
        <f t="shared" si="28"/>
        <v>3000000grams</v>
      </c>
      <c r="U411" s="200">
        <f t="shared" si="29"/>
        <v>375</v>
      </c>
      <c r="V411" s="12"/>
      <c r="W411" s="12"/>
    </row>
    <row r="412" spans="1:23" x14ac:dyDescent="0.3">
      <c r="A412" s="183" t="e">
        <f ca="1"/>
        <v>#NAME?</v>
      </c>
      <c r="B412" s="194" t="s">
        <v>423</v>
      </c>
      <c r="C412" s="170"/>
      <c r="D412" s="194" t="str">
        <f ca="1">IFERROR(__xludf.DUMMYFUNCTION("IF(J412="""",""n/a"",IFERROR(SPLIT(J412,""/"")))"),"Oishi")</f>
        <v>Oishi</v>
      </c>
      <c r="E412" s="194" t="str">
        <f ca="1">IFERROR(__xludf.DUMMYFUNCTION("""COMPUTED_VALUE"""),"pack")</f>
        <v>pack</v>
      </c>
      <c r="F412" s="194" t="str">
        <f ca="1">IFERROR(__xludf.DUMMYFUNCTION("""COMPUTED_VALUE"""),"pc")</f>
        <v>pc</v>
      </c>
      <c r="G412" s="194" t="str">
        <f ca="1">IFERROR(__xludf.DUMMYFUNCTION("""COMPUTED_VALUE"""),"60grams")</f>
        <v>60grams</v>
      </c>
      <c r="H412" s="183" t="s">
        <v>1895</v>
      </c>
      <c r="I412" s="170"/>
      <c r="J412" s="46" t="s">
        <v>424</v>
      </c>
      <c r="K412" s="170"/>
      <c r="L412" s="195">
        <v>16.329999999999998</v>
      </c>
      <c r="M412" s="61">
        <v>50</v>
      </c>
      <c r="N412" s="61">
        <v>1</v>
      </c>
      <c r="O412" s="61" t="str">
        <f t="shared" ca="1" si="26"/>
        <v>pack</v>
      </c>
      <c r="P412" s="61" t="s">
        <v>92</v>
      </c>
      <c r="Q412" s="170"/>
      <c r="R412" s="170"/>
      <c r="S412" s="198">
        <f t="shared" si="27"/>
        <v>50</v>
      </c>
      <c r="T412" s="199" t="str">
        <f t="shared" si="28"/>
        <v>50pieces</v>
      </c>
      <c r="U412" s="200">
        <f t="shared" si="29"/>
        <v>816.49999999999989</v>
      </c>
      <c r="V412" s="12"/>
      <c r="W412" s="12"/>
    </row>
    <row r="413" spans="1:23" x14ac:dyDescent="0.3">
      <c r="A413" s="183" t="e">
        <f ca="1"/>
        <v>#NAME?</v>
      </c>
      <c r="B413" s="194" t="s">
        <v>687</v>
      </c>
      <c r="C413" s="170"/>
      <c r="D413" s="194" t="str">
        <f ca="1">IFERROR(__xludf.DUMMYFUNCTION("IF(J413="""",""n/a"",IFERROR(SPLIT(J413,""/"")))"),"n/a")</f>
        <v>n/a</v>
      </c>
      <c r="E413" s="170"/>
      <c r="F413" s="170"/>
      <c r="G413" s="170"/>
      <c r="H413" s="206" t="s">
        <v>1898</v>
      </c>
      <c r="I413" s="170"/>
      <c r="J413" s="170"/>
      <c r="K413" s="170"/>
      <c r="L413" s="197">
        <v>15.04</v>
      </c>
      <c r="M413" s="208">
        <v>113</v>
      </c>
      <c r="N413" s="208">
        <v>1</v>
      </c>
      <c r="O413" s="170">
        <f t="shared" si="26"/>
        <v>0</v>
      </c>
      <c r="P413" s="61" t="s">
        <v>92</v>
      </c>
      <c r="Q413" s="170"/>
      <c r="R413" s="170"/>
      <c r="S413" s="198">
        <f t="shared" si="27"/>
        <v>113</v>
      </c>
      <c r="T413" s="199" t="str">
        <f t="shared" si="28"/>
        <v>113pieces</v>
      </c>
      <c r="U413" s="200">
        <f t="shared" si="29"/>
        <v>1699.52</v>
      </c>
      <c r="V413" s="12"/>
      <c r="W413" s="12"/>
    </row>
    <row r="414" spans="1:23" x14ac:dyDescent="0.3">
      <c r="A414" s="183" t="e">
        <f ca="1"/>
        <v>#NAME?</v>
      </c>
      <c r="B414" s="194" t="s">
        <v>454</v>
      </c>
      <c r="C414" s="170"/>
      <c r="D414" s="194" t="str">
        <f ca="1">IFERROR(__xludf.DUMMYFUNCTION("IF(J414="""",""n/a"",IFERROR(SPLIT(J414,""/"")))"),"Fresh")</f>
        <v>Fresh</v>
      </c>
      <c r="E414" s="170"/>
      <c r="F414" s="170"/>
      <c r="G414" s="170"/>
      <c r="H414" s="183" t="s">
        <v>1897</v>
      </c>
      <c r="I414" s="170"/>
      <c r="J414" s="46" t="s">
        <v>216</v>
      </c>
      <c r="K414" s="170"/>
      <c r="L414" s="217">
        <v>0.14000000000000001</v>
      </c>
      <c r="M414" s="203">
        <v>5000</v>
      </c>
      <c r="N414" s="203">
        <v>1000</v>
      </c>
      <c r="O414" s="170">
        <f t="shared" si="26"/>
        <v>0</v>
      </c>
      <c r="P414" s="61" t="s">
        <v>39</v>
      </c>
      <c r="Q414" s="170"/>
      <c r="R414" s="192" t="str">
        <f>CONCATENATE(N414,P414)</f>
        <v>1000grams</v>
      </c>
      <c r="S414" s="198">
        <f t="shared" si="27"/>
        <v>5000000</v>
      </c>
      <c r="T414" s="199" t="str">
        <f t="shared" si="28"/>
        <v>5000000grams</v>
      </c>
      <c r="U414" s="200">
        <f t="shared" si="29"/>
        <v>700.00000000000011</v>
      </c>
      <c r="V414" s="12"/>
      <c r="W414" s="12"/>
    </row>
    <row r="415" spans="1:23" x14ac:dyDescent="0.3">
      <c r="A415" s="183" t="e">
        <f ca="1"/>
        <v>#NAME?</v>
      </c>
      <c r="B415" s="194" t="s">
        <v>454</v>
      </c>
      <c r="C415" s="170"/>
      <c r="D415" s="194" t="str">
        <f ca="1">IFERROR(__xludf.DUMMYFUNCTION("IF(J415="""",""n/a"",IFERROR(SPLIT(J415,""/"")))"),"Fresh")</f>
        <v>Fresh</v>
      </c>
      <c r="E415" s="170"/>
      <c r="F415" s="170"/>
      <c r="G415" s="170"/>
      <c r="H415" s="183" t="s">
        <v>1895</v>
      </c>
      <c r="I415" s="170"/>
      <c r="J415" s="46" t="s">
        <v>216</v>
      </c>
      <c r="K415" s="170"/>
      <c r="L415" s="195">
        <v>120</v>
      </c>
      <c r="M415" s="61">
        <v>15</v>
      </c>
      <c r="N415" s="61">
        <v>1</v>
      </c>
      <c r="O415" s="170">
        <f t="shared" si="26"/>
        <v>0</v>
      </c>
      <c r="P415" s="61" t="s">
        <v>39</v>
      </c>
      <c r="Q415" s="170"/>
      <c r="R415" s="170"/>
      <c r="S415" s="198">
        <f t="shared" si="27"/>
        <v>15</v>
      </c>
      <c r="T415" s="199" t="str">
        <f t="shared" si="28"/>
        <v>15grams</v>
      </c>
      <c r="U415" s="200">
        <f t="shared" si="29"/>
        <v>1800</v>
      </c>
      <c r="V415" s="12"/>
      <c r="W415" s="12"/>
    </row>
    <row r="416" spans="1:23" x14ac:dyDescent="0.3">
      <c r="A416" s="183" t="e">
        <f ca="1"/>
        <v>#NAME?</v>
      </c>
      <c r="B416" s="194" t="s">
        <v>454</v>
      </c>
      <c r="C416" s="170"/>
      <c r="D416" s="194" t="str">
        <f ca="1">IFERROR(__xludf.DUMMYFUNCTION("IF(J416="""",""n/a"",IFERROR(SPLIT(J416,""/"")))"),"n/a")</f>
        <v>n/a</v>
      </c>
      <c r="E416" s="170"/>
      <c r="F416" s="170"/>
      <c r="G416" s="170"/>
      <c r="H416" s="206" t="s">
        <v>1898</v>
      </c>
      <c r="I416" s="170"/>
      <c r="J416" s="170"/>
      <c r="K416" s="170"/>
      <c r="L416" s="197">
        <v>0.14000000000000001</v>
      </c>
      <c r="M416" s="208">
        <v>9000</v>
      </c>
      <c r="N416" s="208">
        <v>1000</v>
      </c>
      <c r="O416" s="170">
        <f t="shared" si="26"/>
        <v>0</v>
      </c>
      <c r="P416" s="61" t="s">
        <v>39</v>
      </c>
      <c r="Q416" s="170"/>
      <c r="R416" s="170"/>
      <c r="S416" s="198">
        <f t="shared" si="27"/>
        <v>9000000</v>
      </c>
      <c r="T416" s="199" t="str">
        <f t="shared" si="28"/>
        <v>9000000grams</v>
      </c>
      <c r="U416" s="200">
        <f t="shared" si="29"/>
        <v>1260.0000000000002</v>
      </c>
      <c r="V416" s="12"/>
      <c r="W416" s="12"/>
    </row>
    <row r="417" spans="1:23" x14ac:dyDescent="0.3">
      <c r="A417" s="183" t="e">
        <f ca="1"/>
        <v>#NAME?</v>
      </c>
      <c r="B417" s="194" t="s">
        <v>203</v>
      </c>
      <c r="C417" s="170"/>
      <c r="D417" s="194" t="str">
        <f ca="1">IFERROR(__xludf.DUMMYFUNCTION("IF(J417="""",""n/a"",IFERROR(SPLIT(J417,""/"")))"),"Universal")</f>
        <v>Universal</v>
      </c>
      <c r="E417" s="194" t="str">
        <f ca="1">IFERROR(__xludf.DUMMYFUNCTION("""COMPUTED_VALUE"""),"large")</f>
        <v>large</v>
      </c>
      <c r="F417" s="194" t="str">
        <f ca="1">IFERROR(__xludf.DUMMYFUNCTION("""COMPUTED_VALUE"""),"piece")</f>
        <v>piece</v>
      </c>
      <c r="G417" s="170"/>
      <c r="H417" s="183" t="s">
        <v>1897</v>
      </c>
      <c r="I417" s="170"/>
      <c r="J417" s="46" t="s">
        <v>204</v>
      </c>
      <c r="K417" s="170"/>
      <c r="L417" s="195">
        <v>125</v>
      </c>
      <c r="M417" s="210">
        <v>4</v>
      </c>
      <c r="N417" s="203">
        <v>1</v>
      </c>
      <c r="O417" s="61" t="str">
        <f t="shared" ca="1" si="26"/>
        <v>large</v>
      </c>
      <c r="P417" s="61" t="s">
        <v>92</v>
      </c>
      <c r="Q417" s="170"/>
      <c r="R417" s="192" t="str">
        <f>CONCATENATE(N417,P417)</f>
        <v>1pieces</v>
      </c>
      <c r="S417" s="198">
        <f t="shared" si="27"/>
        <v>4</v>
      </c>
      <c r="T417" s="199" t="str">
        <f t="shared" si="28"/>
        <v>4pieces</v>
      </c>
      <c r="U417" s="200">
        <f t="shared" si="29"/>
        <v>500</v>
      </c>
      <c r="V417" s="205">
        <f>U417/M417</f>
        <v>125</v>
      </c>
      <c r="W417" s="62"/>
    </row>
    <row r="418" spans="1:23" x14ac:dyDescent="0.3">
      <c r="A418" s="183" t="e">
        <f ca="1"/>
        <v>#NAME?</v>
      </c>
      <c r="B418" s="194" t="s">
        <v>203</v>
      </c>
      <c r="C418" s="170"/>
      <c r="D418" s="194" t="str">
        <f ca="1">IFERROR(__xludf.DUMMYFUNCTION("IF(J418="""",""n/a"",IFERROR(SPLIT(J418,""/"")))"),"Universal")</f>
        <v>Universal</v>
      </c>
      <c r="E418" s="194" t="str">
        <f ca="1">IFERROR(__xludf.DUMMYFUNCTION("""COMPUTED_VALUE"""),"large")</f>
        <v>large</v>
      </c>
      <c r="F418" s="194" t="str">
        <f ca="1">IFERROR(__xludf.DUMMYFUNCTION("""COMPUTED_VALUE"""),"piece")</f>
        <v>piece</v>
      </c>
      <c r="G418" s="170"/>
      <c r="H418" s="183" t="s">
        <v>1895</v>
      </c>
      <c r="I418" s="170"/>
      <c r="J418" s="46" t="s">
        <v>204</v>
      </c>
      <c r="K418" s="170"/>
      <c r="L418" s="195">
        <v>77</v>
      </c>
      <c r="M418" s="61">
        <v>6</v>
      </c>
      <c r="N418" s="61">
        <v>1</v>
      </c>
      <c r="O418" s="61" t="str">
        <f t="shared" ca="1" si="26"/>
        <v>large</v>
      </c>
      <c r="P418" s="61" t="s">
        <v>92</v>
      </c>
      <c r="Q418" s="170"/>
      <c r="R418" s="170"/>
      <c r="S418" s="198">
        <f t="shared" si="27"/>
        <v>6</v>
      </c>
      <c r="T418" s="199" t="str">
        <f t="shared" si="28"/>
        <v>6pieces</v>
      </c>
      <c r="U418" s="200">
        <f t="shared" si="29"/>
        <v>462</v>
      </c>
      <c r="V418" s="12"/>
      <c r="W418" s="12"/>
    </row>
    <row r="419" spans="1:23" x14ac:dyDescent="0.3">
      <c r="A419" s="183" t="e">
        <f ca="1"/>
        <v>#NAME?</v>
      </c>
      <c r="B419" s="194" t="s">
        <v>107</v>
      </c>
      <c r="C419" s="170"/>
      <c r="D419" s="194" t="str">
        <f ca="1">IFERROR(__xludf.DUMMYFUNCTION("IF(J419="""",""n/a"",IFERROR(SPLIT(J419,""/"")))"),"Pepsi (12x290ml)")</f>
        <v>Pepsi (12x290ml)</v>
      </c>
      <c r="E419" s="170"/>
      <c r="F419" s="170"/>
      <c r="G419" s="170"/>
      <c r="H419" s="183" t="s">
        <v>1895</v>
      </c>
      <c r="I419" s="170"/>
      <c r="J419" s="46" t="s">
        <v>108</v>
      </c>
      <c r="K419" s="170"/>
      <c r="L419" s="195">
        <v>16.079999999999998</v>
      </c>
      <c r="M419" s="61">
        <v>125</v>
      </c>
      <c r="N419" s="61">
        <v>1</v>
      </c>
      <c r="O419" s="170">
        <f t="shared" si="26"/>
        <v>0</v>
      </c>
      <c r="P419" s="61" t="s">
        <v>92</v>
      </c>
      <c r="Q419" s="170"/>
      <c r="R419" s="170"/>
      <c r="S419" s="198">
        <f t="shared" si="27"/>
        <v>125</v>
      </c>
      <c r="T419" s="199" t="str">
        <f t="shared" si="28"/>
        <v>125pieces</v>
      </c>
      <c r="U419" s="200">
        <f t="shared" si="29"/>
        <v>2009.9999999999998</v>
      </c>
      <c r="V419" s="12"/>
      <c r="W419" s="12"/>
    </row>
    <row r="420" spans="1:23" x14ac:dyDescent="0.3">
      <c r="A420" s="183" t="e">
        <f ca="1"/>
        <v>#NAME?</v>
      </c>
      <c r="B420" s="194" t="s">
        <v>688</v>
      </c>
      <c r="C420" s="170"/>
      <c r="D420" s="194" t="str">
        <f ca="1">IFERROR(__xludf.DUMMYFUNCTION("IF(J420="""",""n/a"",IFERROR(SPLIT(J420,""/"")))"),"pepsi")</f>
        <v>pepsi</v>
      </c>
      <c r="E420" s="194" t="str">
        <f ca="1">IFERROR(__xludf.DUMMYFUNCTION("""COMPUTED_VALUE"""),"290ml")</f>
        <v>290ml</v>
      </c>
      <c r="F420" s="170"/>
      <c r="G420" s="170"/>
      <c r="H420" s="183" t="s">
        <v>1897</v>
      </c>
      <c r="I420" s="170"/>
      <c r="J420" s="46" t="s">
        <v>689</v>
      </c>
      <c r="K420" s="170"/>
      <c r="L420" s="204">
        <v>16.14</v>
      </c>
      <c r="M420" s="212">
        <v>48</v>
      </c>
      <c r="N420" s="203">
        <v>1</v>
      </c>
      <c r="O420" s="61" t="str">
        <f t="shared" ca="1" si="26"/>
        <v>290ml</v>
      </c>
      <c r="P420" s="61" t="s">
        <v>92</v>
      </c>
      <c r="Q420" s="170"/>
      <c r="R420" s="192" t="str">
        <f>CONCATENATE(N420,P420)</f>
        <v>1pieces</v>
      </c>
      <c r="S420" s="198">
        <f t="shared" si="27"/>
        <v>48</v>
      </c>
      <c r="T420" s="199" t="str">
        <f t="shared" si="28"/>
        <v>48pieces</v>
      </c>
      <c r="U420" s="200">
        <f t="shared" si="29"/>
        <v>774.72</v>
      </c>
      <c r="V420" s="205">
        <f>U420/M420</f>
        <v>16.14</v>
      </c>
      <c r="W420" s="62"/>
    </row>
    <row r="421" spans="1:23" x14ac:dyDescent="0.3">
      <c r="A421" s="183" t="e">
        <f ca="1"/>
        <v>#NAME?</v>
      </c>
      <c r="B421" s="194" t="s">
        <v>690</v>
      </c>
      <c r="C421" s="170"/>
      <c r="D421" s="194" t="str">
        <f ca="1">IFERROR(__xludf.DUMMYFUNCTION("IF(J421="""",""n/a"",IFERROR(SPLIT(J421,""/"")))"),"n/a")</f>
        <v>n/a</v>
      </c>
      <c r="E421" s="170"/>
      <c r="F421" s="170"/>
      <c r="G421" s="170"/>
      <c r="H421" s="206" t="s">
        <v>1898</v>
      </c>
      <c r="I421" s="170"/>
      <c r="J421" s="170"/>
      <c r="K421" s="170"/>
      <c r="L421" s="197">
        <v>17.809999999999999</v>
      </c>
      <c r="M421" s="207">
        <v>48</v>
      </c>
      <c r="N421" s="208">
        <v>48</v>
      </c>
      <c r="O421" s="170">
        <f t="shared" si="26"/>
        <v>0</v>
      </c>
      <c r="P421" s="61" t="s">
        <v>92</v>
      </c>
      <c r="Q421" s="170"/>
      <c r="R421" s="170"/>
      <c r="S421" s="198">
        <f t="shared" si="27"/>
        <v>2304</v>
      </c>
      <c r="T421" s="199" t="str">
        <f t="shared" si="28"/>
        <v>2304pieces</v>
      </c>
      <c r="U421" s="200">
        <f t="shared" si="29"/>
        <v>854.87999999999988</v>
      </c>
      <c r="V421" s="12"/>
      <c r="W421" s="12"/>
    </row>
    <row r="422" spans="1:23" x14ac:dyDescent="0.3">
      <c r="A422" s="183" t="e">
        <f ca="1"/>
        <v>#NAME?</v>
      </c>
      <c r="B422" s="194" t="s">
        <v>109</v>
      </c>
      <c r="C422" s="170"/>
      <c r="D422" s="194" t="str">
        <f ca="1">IFERROR(__xludf.DUMMYFUNCTION("IF(J422="""",""n/a"",IFERROR(SPLIT(J422,""/"")))"),"Pepsi")</f>
        <v>Pepsi</v>
      </c>
      <c r="E422" s="194" t="str">
        <f ca="1">IFERROR(__xludf.DUMMYFUNCTION("""COMPUTED_VALUE"""),"case (24x330ml)")</f>
        <v>case (24x330ml)</v>
      </c>
      <c r="F422" s="170"/>
      <c r="G422" s="170"/>
      <c r="H422" s="183" t="s">
        <v>1895</v>
      </c>
      <c r="I422" s="170"/>
      <c r="J422" s="46" t="s">
        <v>110</v>
      </c>
      <c r="K422" s="170"/>
      <c r="L422" s="195">
        <v>30.07</v>
      </c>
      <c r="M422" s="61">
        <v>71</v>
      </c>
      <c r="N422" s="61">
        <v>1</v>
      </c>
      <c r="O422" s="61" t="str">
        <f t="shared" ca="1" si="26"/>
        <v>case (24x330ml)</v>
      </c>
      <c r="P422" s="61" t="s">
        <v>92</v>
      </c>
      <c r="Q422" s="170"/>
      <c r="R422" s="170"/>
      <c r="S422" s="198">
        <f t="shared" si="27"/>
        <v>71</v>
      </c>
      <c r="T422" s="199" t="str">
        <f t="shared" si="28"/>
        <v>71pieces</v>
      </c>
      <c r="U422" s="200">
        <f t="shared" si="29"/>
        <v>2134.9699999999998</v>
      </c>
      <c r="V422" s="12"/>
      <c r="W422" s="12"/>
    </row>
    <row r="423" spans="1:23" x14ac:dyDescent="0.3">
      <c r="A423" s="183" t="e">
        <f ca="1"/>
        <v>#NAME?</v>
      </c>
      <c r="B423" s="194" t="s">
        <v>691</v>
      </c>
      <c r="C423" s="170"/>
      <c r="D423" s="194" t="str">
        <f ca="1">IFERROR(__xludf.DUMMYFUNCTION("IF(J423="""",""n/a"",IFERROR(SPLIT(J423,""/"")))"),"n/a")</f>
        <v>n/a</v>
      </c>
      <c r="E423" s="170"/>
      <c r="F423" s="170"/>
      <c r="G423" s="170"/>
      <c r="H423" s="206" t="s">
        <v>1898</v>
      </c>
      <c r="I423" s="170"/>
      <c r="J423" s="170"/>
      <c r="K423" s="170"/>
      <c r="L423" s="197">
        <v>309</v>
      </c>
      <c r="M423" s="208">
        <v>7</v>
      </c>
      <c r="N423" s="208">
        <v>1</v>
      </c>
      <c r="O423" s="170">
        <f t="shared" si="26"/>
        <v>0</v>
      </c>
      <c r="P423" s="61" t="s">
        <v>200</v>
      </c>
      <c r="Q423" s="170"/>
      <c r="R423" s="170"/>
      <c r="S423" s="198">
        <f t="shared" si="27"/>
        <v>7</v>
      </c>
      <c r="T423" s="199" t="str">
        <f t="shared" si="28"/>
        <v>7gal</v>
      </c>
      <c r="U423" s="200">
        <f t="shared" si="29"/>
        <v>2163</v>
      </c>
      <c r="V423" s="12"/>
      <c r="W423" s="12"/>
    </row>
    <row r="424" spans="1:23" x14ac:dyDescent="0.3">
      <c r="A424" s="183" t="e">
        <f ca="1"/>
        <v>#NAME?</v>
      </c>
      <c r="B424" s="194" t="s">
        <v>692</v>
      </c>
      <c r="C424" s="170"/>
      <c r="D424" s="194" t="str">
        <f ca="1">IFERROR(__xludf.DUMMYFUNCTION("IF(J424="""",""n/a"",IFERROR(SPLIT(J424,""/"")))"),"Quinriv")</f>
        <v>Quinriv</v>
      </c>
      <c r="E424" s="194" t="str">
        <f ca="1">IFERROR(__xludf.DUMMYFUNCTION("""COMPUTED_VALUE"""),"gallon")</f>
        <v>gallon</v>
      </c>
      <c r="F424" s="170"/>
      <c r="G424" s="170"/>
      <c r="H424" s="183" t="s">
        <v>1897</v>
      </c>
      <c r="I424" s="170"/>
      <c r="J424" s="46" t="s">
        <v>693</v>
      </c>
      <c r="K424" s="170"/>
      <c r="L424" s="195">
        <v>309</v>
      </c>
      <c r="M424" s="210">
        <v>3</v>
      </c>
      <c r="N424" s="203">
        <v>1</v>
      </c>
      <c r="O424" s="61" t="str">
        <f t="shared" ca="1" si="26"/>
        <v>gallon</v>
      </c>
      <c r="P424" s="61" t="s">
        <v>200</v>
      </c>
      <c r="Q424" s="61" t="s">
        <v>33</v>
      </c>
      <c r="R424" s="192" t="str">
        <f t="shared" ref="R424:R425" si="38">CONCATENATE(N424,P424)</f>
        <v>1gal</v>
      </c>
      <c r="S424" s="198">
        <f t="shared" si="27"/>
        <v>3</v>
      </c>
      <c r="T424" s="199" t="str">
        <f t="shared" si="28"/>
        <v>3 gal</v>
      </c>
      <c r="U424" s="200">
        <f t="shared" si="29"/>
        <v>927</v>
      </c>
      <c r="V424" s="205">
        <f t="shared" ref="V424:V425" si="39">U424/M424</f>
        <v>309</v>
      </c>
      <c r="W424" s="62"/>
    </row>
    <row r="425" spans="1:23" x14ac:dyDescent="0.3">
      <c r="A425" s="183" t="e">
        <f ca="1"/>
        <v>#NAME?</v>
      </c>
      <c r="B425" s="194" t="s">
        <v>694</v>
      </c>
      <c r="C425" s="170"/>
      <c r="D425" s="194" t="str">
        <f ca="1">IFERROR(__xludf.DUMMYFUNCTION("IF(J425="""",""n/a"",IFERROR(SPLIT(J425,""/"")))"),"Mr Gulaman")</f>
        <v>Mr Gulaman</v>
      </c>
      <c r="E425" s="194" t="str">
        <f ca="1">IFERROR(__xludf.DUMMYFUNCTION("""COMPUTED_VALUE"""),"box")</f>
        <v>box</v>
      </c>
      <c r="F425" s="194" t="str">
        <f ca="1">IFERROR(__xludf.DUMMYFUNCTION("""COMPUTED_VALUE"""),"(10sachetx25grams)")</f>
        <v>(10sachetx25grams)</v>
      </c>
      <c r="G425" s="170"/>
      <c r="H425" s="183" t="s">
        <v>1897</v>
      </c>
      <c r="I425" s="170"/>
      <c r="J425" s="46" t="s">
        <v>69</v>
      </c>
      <c r="K425" s="170"/>
      <c r="L425" s="195">
        <v>0.44880000000000003</v>
      </c>
      <c r="M425" s="203">
        <v>300</v>
      </c>
      <c r="N425" s="202">
        <v>25</v>
      </c>
      <c r="O425" s="61" t="str">
        <f t="shared" ca="1" si="26"/>
        <v>box</v>
      </c>
      <c r="P425" s="197" t="s">
        <v>39</v>
      </c>
      <c r="Q425" s="170"/>
      <c r="R425" s="192" t="str">
        <f t="shared" si="38"/>
        <v>25grams</v>
      </c>
      <c r="S425" s="198">
        <f t="shared" si="27"/>
        <v>7500</v>
      </c>
      <c r="T425" s="199" t="str">
        <f t="shared" si="28"/>
        <v>7500grams</v>
      </c>
      <c r="U425" s="200">
        <f t="shared" si="29"/>
        <v>134.64000000000001</v>
      </c>
      <c r="V425" s="205">
        <f t="shared" si="39"/>
        <v>0.44880000000000003</v>
      </c>
      <c r="W425" s="62"/>
    </row>
    <row r="426" spans="1:23" x14ac:dyDescent="0.3">
      <c r="A426" s="183" t="e">
        <f ca="1"/>
        <v>#NAME?</v>
      </c>
      <c r="B426" s="194" t="s">
        <v>694</v>
      </c>
      <c r="C426" s="170"/>
      <c r="D426" s="194" t="str">
        <f ca="1">IFERROR(__xludf.DUMMYFUNCTION("IF(J426="""",""n/a"",IFERROR(SPLIT(J426,""/"")))"),"n/a")</f>
        <v>n/a</v>
      </c>
      <c r="E426" s="170"/>
      <c r="F426" s="170"/>
      <c r="G426" s="170"/>
      <c r="H426" s="206" t="s">
        <v>1898</v>
      </c>
      <c r="I426" s="170"/>
      <c r="J426" s="170"/>
      <c r="K426" s="170"/>
      <c r="L426" s="197">
        <v>0.26347826086956522</v>
      </c>
      <c r="M426" s="207">
        <v>460</v>
      </c>
      <c r="N426" s="208">
        <v>230</v>
      </c>
      <c r="O426" s="170">
        <f t="shared" si="26"/>
        <v>0</v>
      </c>
      <c r="P426" s="61" t="s">
        <v>39</v>
      </c>
      <c r="Q426" s="170"/>
      <c r="R426" s="170"/>
      <c r="S426" s="198">
        <f t="shared" si="27"/>
        <v>105800</v>
      </c>
      <c r="T426" s="199" t="str">
        <f t="shared" si="28"/>
        <v>105800grams</v>
      </c>
      <c r="U426" s="200">
        <f t="shared" si="29"/>
        <v>121.2</v>
      </c>
      <c r="V426" s="12"/>
      <c r="W426" s="12"/>
    </row>
    <row r="427" spans="1:23" x14ac:dyDescent="0.3">
      <c r="A427" s="183" t="e">
        <f ca="1"/>
        <v>#NAME?</v>
      </c>
      <c r="B427" s="194" t="s">
        <v>695</v>
      </c>
      <c r="C427" s="170"/>
      <c r="D427" s="194" t="str">
        <f ca="1">IFERROR(__xludf.DUMMYFUNCTION("IF(J427="""",""n/a"",IFERROR(SPLIT(J427,""/"")))"),"Jolly")</f>
        <v>Jolly</v>
      </c>
      <c r="E427" s="194" t="str">
        <f ca="1">IFERROR(__xludf.DUMMYFUNCTION("""COMPUTED_VALUE"""),"can")</f>
        <v>can</v>
      </c>
      <c r="F427" s="194" t="str">
        <f ca="1">IFERROR(__xludf.DUMMYFUNCTION("""COMPUTED_VALUE"""),"284grams")</f>
        <v>284grams</v>
      </c>
      <c r="G427" s="194" t="str">
        <f ca="1">IFERROR(__xludf.DUMMYFUNCTION("""COMPUTED_VALUE"""),"156 drained weight")</f>
        <v>156 drained weight</v>
      </c>
      <c r="H427" s="183" t="s">
        <v>1897</v>
      </c>
      <c r="I427" s="170"/>
      <c r="J427" s="46" t="s">
        <v>696</v>
      </c>
      <c r="K427" s="170"/>
      <c r="L427" s="195">
        <v>0.30641025641025638</v>
      </c>
      <c r="M427" s="210">
        <v>780</v>
      </c>
      <c r="N427" s="203">
        <v>156</v>
      </c>
      <c r="O427" s="61" t="str">
        <f t="shared" ca="1" si="26"/>
        <v>can</v>
      </c>
      <c r="P427" s="221" t="s">
        <v>519</v>
      </c>
      <c r="Q427" s="170"/>
      <c r="R427" s="192" t="str">
        <f>CONCATENATE(N427,P427)</f>
        <v>156drained weight grams</v>
      </c>
      <c r="S427" s="198">
        <f t="shared" si="27"/>
        <v>121680</v>
      </c>
      <c r="T427" s="199" t="str">
        <f t="shared" si="28"/>
        <v>121680drained weight grams</v>
      </c>
      <c r="U427" s="200">
        <f t="shared" si="29"/>
        <v>238.99999999999997</v>
      </c>
      <c r="V427" s="205">
        <f>U427/M427</f>
        <v>0.30641025641025638</v>
      </c>
      <c r="W427" s="62"/>
    </row>
    <row r="428" spans="1:23" x14ac:dyDescent="0.3">
      <c r="A428" s="183" t="e">
        <f ca="1"/>
        <v>#NAME?</v>
      </c>
      <c r="B428" s="194" t="s">
        <v>695</v>
      </c>
      <c r="C428" s="170"/>
      <c r="D428" s="194" t="str">
        <f ca="1">IFERROR(__xludf.DUMMYFUNCTION("IF(J428="""",""n/a"",IFERROR(SPLIT(J428,""/"")))"),"n/a")</f>
        <v>n/a</v>
      </c>
      <c r="E428" s="170"/>
      <c r="F428" s="170"/>
      <c r="G428" s="170"/>
      <c r="H428" s="206" t="s">
        <v>1898</v>
      </c>
      <c r="I428" s="170"/>
      <c r="J428" s="170"/>
      <c r="K428" s="170"/>
      <c r="L428" s="197">
        <v>0.36538461538461536</v>
      </c>
      <c r="M428" s="208">
        <v>156</v>
      </c>
      <c r="N428" s="208">
        <v>156</v>
      </c>
      <c r="O428" s="170">
        <f t="shared" si="26"/>
        <v>0</v>
      </c>
      <c r="P428" s="197" t="s">
        <v>39</v>
      </c>
      <c r="Q428" s="170"/>
      <c r="R428" s="170"/>
      <c r="S428" s="198">
        <f t="shared" si="27"/>
        <v>24336</v>
      </c>
      <c r="T428" s="199" t="str">
        <f t="shared" si="28"/>
        <v>24336grams</v>
      </c>
      <c r="U428" s="200">
        <f t="shared" si="29"/>
        <v>57</v>
      </c>
      <c r="V428" s="12"/>
      <c r="W428" s="12"/>
    </row>
    <row r="429" spans="1:23" x14ac:dyDescent="0.3">
      <c r="A429" s="183" t="e">
        <f ca="1"/>
        <v>#NAME?</v>
      </c>
      <c r="B429" s="194" t="s">
        <v>697</v>
      </c>
      <c r="C429" s="170"/>
      <c r="D429" s="194" t="str">
        <f ca="1">IFERROR(__xludf.DUMMYFUNCTION("IF(J429="""",""n/a"",IFERROR(SPLIT(J429,""/"")))"),"n/a")</f>
        <v>n/a</v>
      </c>
      <c r="E429" s="170"/>
      <c r="F429" s="170"/>
      <c r="G429" s="170"/>
      <c r="H429" s="206" t="s">
        <v>1898</v>
      </c>
      <c r="I429" s="170"/>
      <c r="J429" s="170"/>
      <c r="K429" s="170"/>
      <c r="L429" s="197">
        <v>8.9062500000000003E-2</v>
      </c>
      <c r="M429" s="207">
        <v>600</v>
      </c>
      <c r="N429" s="208">
        <v>800</v>
      </c>
      <c r="O429" s="170">
        <f t="shared" si="26"/>
        <v>0</v>
      </c>
      <c r="P429" s="61" t="s">
        <v>39</v>
      </c>
      <c r="Q429" s="170"/>
      <c r="R429" s="170"/>
      <c r="S429" s="198">
        <f t="shared" si="27"/>
        <v>480000</v>
      </c>
      <c r="T429" s="199" t="str">
        <f t="shared" si="28"/>
        <v>480000grams</v>
      </c>
      <c r="U429" s="200">
        <f t="shared" si="29"/>
        <v>53.4375</v>
      </c>
      <c r="V429" s="12"/>
      <c r="W429" s="12"/>
    </row>
    <row r="430" spans="1:23" x14ac:dyDescent="0.3">
      <c r="A430" s="183" t="e">
        <f ca="1"/>
        <v>#NAME?</v>
      </c>
      <c r="B430" s="194" t="s">
        <v>151</v>
      </c>
      <c r="C430" s="170"/>
      <c r="D430" s="194" t="str">
        <f ca="1">IFERROR(__xludf.DUMMYFUNCTION("IF(J430="""",""n/a"",IFERROR(SPLIT(J430,""/"")))"),"Nescafe")</f>
        <v>Nescafe</v>
      </c>
      <c r="E430" s="194" t="str">
        <f ca="1">IFERROR(__xludf.DUMMYFUNCTION("""COMPUTED_VALUE"""),"pack (30pcsx26grams)")</f>
        <v>pack (30pcsx26grams)</v>
      </c>
      <c r="F430" s="170"/>
      <c r="G430" s="170"/>
      <c r="H430" s="183" t="s">
        <v>1897</v>
      </c>
      <c r="I430" s="170"/>
      <c r="J430" s="46" t="s">
        <v>152</v>
      </c>
      <c r="K430" s="170"/>
      <c r="L430" s="204">
        <v>7.49</v>
      </c>
      <c r="M430" s="203">
        <v>443</v>
      </c>
      <c r="N430" s="203">
        <v>1</v>
      </c>
      <c r="O430" s="61" t="str">
        <f t="shared" ca="1" si="26"/>
        <v>pack (30pcsx26grams)</v>
      </c>
      <c r="P430" s="61" t="s">
        <v>92</v>
      </c>
      <c r="Q430" s="170"/>
      <c r="R430" s="192" t="str">
        <f>CONCATENATE(N430,P430)</f>
        <v>1pieces</v>
      </c>
      <c r="S430" s="198">
        <f t="shared" si="27"/>
        <v>443</v>
      </c>
      <c r="T430" s="199" t="str">
        <f t="shared" si="28"/>
        <v>443pieces</v>
      </c>
      <c r="U430" s="200">
        <f t="shared" si="29"/>
        <v>3318.07</v>
      </c>
      <c r="V430" s="205">
        <f>U430/M430</f>
        <v>7.49</v>
      </c>
      <c r="W430" s="62"/>
    </row>
    <row r="431" spans="1:23" x14ac:dyDescent="0.3">
      <c r="A431" s="183" t="e">
        <f ca="1"/>
        <v>#NAME?</v>
      </c>
      <c r="B431" s="194" t="s">
        <v>151</v>
      </c>
      <c r="C431" s="170"/>
      <c r="D431" s="194" t="str">
        <f ca="1">IFERROR(__xludf.DUMMYFUNCTION("IF(J431="""",""n/a"",IFERROR(SPLIT(J431,""/"")))"),"Nescafe")</f>
        <v>Nescafe</v>
      </c>
      <c r="E431" s="194" t="str">
        <f ca="1">IFERROR(__xludf.DUMMYFUNCTION("""COMPUTED_VALUE"""),"pack (30pcsx26grams)")</f>
        <v>pack (30pcsx26grams)</v>
      </c>
      <c r="F431" s="170"/>
      <c r="G431" s="170"/>
      <c r="H431" s="183" t="s">
        <v>1895</v>
      </c>
      <c r="I431" s="170"/>
      <c r="J431" s="46" t="s">
        <v>152</v>
      </c>
      <c r="K431" s="170"/>
      <c r="L431" s="195">
        <v>7.5</v>
      </c>
      <c r="M431" s="61">
        <v>1411</v>
      </c>
      <c r="N431" s="61">
        <v>1</v>
      </c>
      <c r="O431" s="61" t="str">
        <f t="shared" ca="1" si="26"/>
        <v>pack (30pcsx26grams)</v>
      </c>
      <c r="P431" s="61" t="s">
        <v>92</v>
      </c>
      <c r="Q431" s="170"/>
      <c r="R431" s="170"/>
      <c r="S431" s="198">
        <f t="shared" si="27"/>
        <v>1411</v>
      </c>
      <c r="T431" s="199" t="str">
        <f t="shared" si="28"/>
        <v>1411pieces</v>
      </c>
      <c r="U431" s="200">
        <f t="shared" si="29"/>
        <v>10582.5</v>
      </c>
      <c r="V431" s="12"/>
      <c r="W431" s="12"/>
    </row>
    <row r="432" spans="1:23" x14ac:dyDescent="0.3">
      <c r="A432" s="183" t="e">
        <f ca="1"/>
        <v>#NAME?</v>
      </c>
      <c r="B432" s="194" t="s">
        <v>151</v>
      </c>
      <c r="C432" s="170"/>
      <c r="D432" s="194" t="str">
        <f ca="1">IFERROR(__xludf.DUMMYFUNCTION("IF(J432="""",""n/a"",IFERROR(SPLIT(J432,""/"")))"),"n/a")</f>
        <v>n/a</v>
      </c>
      <c r="E432" s="170"/>
      <c r="F432" s="170"/>
      <c r="G432" s="170"/>
      <c r="H432" s="206" t="s">
        <v>1898</v>
      </c>
      <c r="I432" s="170"/>
      <c r="J432" s="170"/>
      <c r="K432" s="170"/>
      <c r="L432" s="197">
        <v>7.65</v>
      </c>
      <c r="M432" s="207">
        <v>379</v>
      </c>
      <c r="N432" s="208">
        <v>10</v>
      </c>
      <c r="O432" s="170">
        <f t="shared" si="26"/>
        <v>0</v>
      </c>
      <c r="P432" s="209" t="s">
        <v>92</v>
      </c>
      <c r="Q432" s="170"/>
      <c r="R432" s="170"/>
      <c r="S432" s="198">
        <f t="shared" si="27"/>
        <v>3790</v>
      </c>
      <c r="T432" s="199" t="str">
        <f t="shared" si="28"/>
        <v>3790pieces</v>
      </c>
      <c r="U432" s="200">
        <f t="shared" si="29"/>
        <v>2899.35</v>
      </c>
      <c r="V432" s="12"/>
      <c r="W432" s="12"/>
    </row>
    <row r="433" spans="1:23" x14ac:dyDescent="0.3">
      <c r="A433" s="183" t="e">
        <f ca="1"/>
        <v>#NAME?</v>
      </c>
      <c r="B433" s="194" t="s">
        <v>698</v>
      </c>
      <c r="C433" s="170"/>
      <c r="D433" s="194" t="str">
        <f ca="1">IFERROR(__xludf.DUMMYFUNCTION("IF(J433="""",""n/a"",IFERROR(SPLIT(J433,""/"")))"),"n/a")</f>
        <v>n/a</v>
      </c>
      <c r="E433" s="170"/>
      <c r="F433" s="170"/>
      <c r="G433" s="170"/>
      <c r="H433" s="206" t="s">
        <v>1898</v>
      </c>
      <c r="I433" s="170"/>
      <c r="J433" s="170"/>
      <c r="K433" s="170"/>
      <c r="L433" s="197">
        <v>8.51</v>
      </c>
      <c r="M433" s="207">
        <v>100</v>
      </c>
      <c r="N433" s="208">
        <v>10</v>
      </c>
      <c r="O433" s="170">
        <f t="shared" si="26"/>
        <v>0</v>
      </c>
      <c r="P433" s="209" t="s">
        <v>92</v>
      </c>
      <c r="Q433" s="170"/>
      <c r="R433" s="170"/>
      <c r="S433" s="198">
        <f t="shared" si="27"/>
        <v>1000</v>
      </c>
      <c r="T433" s="199" t="str">
        <f t="shared" si="28"/>
        <v>1000pieces</v>
      </c>
      <c r="U433" s="200">
        <f t="shared" si="29"/>
        <v>851</v>
      </c>
      <c r="V433" s="12"/>
      <c r="W433" s="12"/>
    </row>
    <row r="434" spans="1:23" x14ac:dyDescent="0.3">
      <c r="A434" s="183" t="e">
        <f ca="1"/>
        <v>#NAME?</v>
      </c>
      <c r="B434" s="194" t="s">
        <v>699</v>
      </c>
      <c r="C434" s="170"/>
      <c r="D434" s="194" t="str">
        <f ca="1">IFERROR(__xludf.DUMMYFUNCTION("IF(J434="""",""n/a"",IFERROR(SPLIT(J434,""/"")))"),"Nestle ")</f>
        <v xml:space="preserve">Nestle </v>
      </c>
      <c r="E434" s="194" t="str">
        <f ca="1">IFERROR(__xludf.DUMMYFUNCTION("""COMPUTED_VALUE"""),"(pcsx25.5grams)")</f>
        <v>(pcsx25.5grams)</v>
      </c>
      <c r="F434" s="170"/>
      <c r="G434" s="170"/>
      <c r="H434" s="183" t="s">
        <v>1897</v>
      </c>
      <c r="I434" s="170"/>
      <c r="J434" s="46" t="s">
        <v>700</v>
      </c>
      <c r="K434" s="170"/>
      <c r="L434" s="204">
        <v>8.34</v>
      </c>
      <c r="M434" s="203">
        <v>249</v>
      </c>
      <c r="N434" s="203">
        <v>1</v>
      </c>
      <c r="O434" s="61" t="str">
        <f t="shared" ca="1" si="26"/>
        <v>(pcsx25.5grams)</v>
      </c>
      <c r="P434" s="61" t="s">
        <v>92</v>
      </c>
      <c r="Q434" s="170"/>
      <c r="R434" s="192" t="str">
        <f>CONCATENATE(N434,P434)</f>
        <v>1pieces</v>
      </c>
      <c r="S434" s="198">
        <f t="shared" si="27"/>
        <v>249</v>
      </c>
      <c r="T434" s="199" t="str">
        <f t="shared" si="28"/>
        <v>249pieces</v>
      </c>
      <c r="U434" s="200">
        <f t="shared" si="29"/>
        <v>2076.66</v>
      </c>
      <c r="V434" s="205">
        <f>U434/M434</f>
        <v>8.34</v>
      </c>
      <c r="W434" s="62"/>
    </row>
    <row r="435" spans="1:23" x14ac:dyDescent="0.3">
      <c r="A435" s="183" t="e">
        <f ca="1"/>
        <v>#NAME?</v>
      </c>
      <c r="B435" s="214" t="s">
        <v>153</v>
      </c>
      <c r="C435" s="215"/>
      <c r="D435" s="194" t="str">
        <f ca="1">IFERROR(__xludf.DUMMYFUNCTION("IF(J435="""",""n/a"",IFERROR(SPLIT(J435,""/"")))"),"Nescafe")</f>
        <v>Nescafe</v>
      </c>
      <c r="E435" s="214" t="str">
        <f ca="1">IFERROR(__xludf.DUMMYFUNCTION("""COMPUTED_VALUE""")," (pcsx")</f>
        <v xml:space="preserve"> (pcsx</v>
      </c>
      <c r="F435" s="214" t="str">
        <f ca="1">IFERROR(__xludf.DUMMYFUNCTION("""COMPUTED_VALUE"""),"25.5grams)")</f>
        <v>25.5grams)</v>
      </c>
      <c r="G435" s="215"/>
      <c r="H435" s="183" t="s">
        <v>1895</v>
      </c>
      <c r="I435" s="170"/>
      <c r="J435" s="46" t="s">
        <v>154</v>
      </c>
      <c r="K435" s="170"/>
      <c r="L435" s="195">
        <v>8.34</v>
      </c>
      <c r="M435" s="61">
        <v>166</v>
      </c>
      <c r="N435" s="236">
        <v>1</v>
      </c>
      <c r="O435" s="61" t="str">
        <f t="shared" ca="1" si="26"/>
        <v xml:space="preserve"> (pcsx</v>
      </c>
      <c r="P435" s="61" t="s">
        <v>92</v>
      </c>
      <c r="Q435" s="170"/>
      <c r="R435" s="170"/>
      <c r="S435" s="198">
        <f t="shared" si="27"/>
        <v>166</v>
      </c>
      <c r="T435" s="199" t="str">
        <f t="shared" si="28"/>
        <v>166pieces</v>
      </c>
      <c r="U435" s="200">
        <f t="shared" si="29"/>
        <v>1384.44</v>
      </c>
      <c r="V435" s="12"/>
      <c r="W435" s="12"/>
    </row>
    <row r="436" spans="1:23" x14ac:dyDescent="0.3">
      <c r="A436" s="183" t="e">
        <f ca="1"/>
        <v>#NAME?</v>
      </c>
      <c r="B436" s="194" t="s">
        <v>153</v>
      </c>
      <c r="C436" s="170"/>
      <c r="D436" s="194" t="str">
        <f ca="1">IFERROR(__xludf.DUMMYFUNCTION("IF(J436="""",""n/a"",IFERROR(SPLIT(J436,""/"")))"),"n/a")</f>
        <v>n/a</v>
      </c>
      <c r="E436" s="170"/>
      <c r="F436" s="170"/>
      <c r="G436" s="170"/>
      <c r="H436" s="206" t="s">
        <v>1898</v>
      </c>
      <c r="I436" s="170"/>
      <c r="J436" s="170"/>
      <c r="K436" s="170"/>
      <c r="L436" s="197">
        <v>8.5</v>
      </c>
      <c r="M436" s="207">
        <v>428</v>
      </c>
      <c r="N436" s="208">
        <v>1</v>
      </c>
      <c r="O436" s="170">
        <f t="shared" si="26"/>
        <v>0</v>
      </c>
      <c r="P436" s="209" t="s">
        <v>92</v>
      </c>
      <c r="Q436" s="170"/>
      <c r="R436" s="170"/>
      <c r="S436" s="198">
        <f t="shared" si="27"/>
        <v>428</v>
      </c>
      <c r="T436" s="199" t="str">
        <f t="shared" si="28"/>
        <v>428pieces</v>
      </c>
      <c r="U436" s="200">
        <f t="shared" si="29"/>
        <v>3638</v>
      </c>
      <c r="V436" s="12"/>
      <c r="W436" s="12"/>
    </row>
    <row r="437" spans="1:23" x14ac:dyDescent="0.3">
      <c r="A437" s="183" t="e">
        <f ca="1"/>
        <v>#NAME?</v>
      </c>
      <c r="B437" s="194" t="s">
        <v>277</v>
      </c>
      <c r="C437" s="170"/>
      <c r="D437" s="194" t="str">
        <f ca="1">IFERROR(__xludf.DUMMYFUNCTION("IF(J437="""",""n/a"",IFERROR(SPLIT(J437,""/"")))"),"Knorr")</f>
        <v>Knorr</v>
      </c>
      <c r="E437" s="194" t="str">
        <f ca="1">IFERROR(__xludf.DUMMYFUNCTION("""COMPUTED_VALUE"""),"sachet")</f>
        <v>sachet</v>
      </c>
      <c r="F437" s="194" t="str">
        <f ca="1">IFERROR(__xludf.DUMMYFUNCTION("""COMPUTED_VALUE"""),"53grams")</f>
        <v>53grams</v>
      </c>
      <c r="G437" s="170"/>
      <c r="H437" s="183" t="s">
        <v>1895</v>
      </c>
      <c r="I437" s="170"/>
      <c r="J437" s="46" t="s">
        <v>278</v>
      </c>
      <c r="K437" s="170"/>
      <c r="L437" s="195">
        <v>52.6</v>
      </c>
      <c r="M437" s="61">
        <v>9.3390000000000004</v>
      </c>
      <c r="N437" s="61">
        <v>1</v>
      </c>
      <c r="O437" s="61" t="str">
        <f t="shared" ca="1" si="26"/>
        <v>sachet</v>
      </c>
      <c r="P437" s="61" t="s">
        <v>39</v>
      </c>
      <c r="Q437" s="170"/>
      <c r="R437" s="170"/>
      <c r="S437" s="198">
        <f t="shared" si="27"/>
        <v>9.3390000000000004</v>
      </c>
      <c r="T437" s="199" t="str">
        <f t="shared" si="28"/>
        <v>9.339grams</v>
      </c>
      <c r="U437" s="200">
        <f t="shared" si="29"/>
        <v>491.23140000000001</v>
      </c>
      <c r="V437" s="12"/>
      <c r="W437" s="12"/>
    </row>
    <row r="438" spans="1:23" x14ac:dyDescent="0.3">
      <c r="A438" s="183" t="e">
        <f ca="1"/>
        <v>#NAME?</v>
      </c>
      <c r="B438" s="194" t="s">
        <v>425</v>
      </c>
      <c r="C438" s="170"/>
      <c r="D438" s="194" t="str">
        <f ca="1">IFERROR(__xludf.DUMMYFUNCTION("IF(J438="""",""n/a"",IFERROR(SPLIT(J438,""/"")))"),"Jack &amp; Jill")</f>
        <v>Jack &amp; Jill</v>
      </c>
      <c r="E438" s="194" t="str">
        <f ca="1">IFERROR(__xludf.DUMMYFUNCTION("""COMPUTED_VALUE"""),"box")</f>
        <v>box</v>
      </c>
      <c r="F438" s="194" t="str">
        <f ca="1">IFERROR(__xludf.DUMMYFUNCTION("""COMPUTED_VALUE""")," (80pcsx 38grams)")</f>
        <v xml:space="preserve"> (80pcsx 38grams)</v>
      </c>
      <c r="G438" s="170"/>
      <c r="H438" s="183" t="s">
        <v>1895</v>
      </c>
      <c r="I438" s="170"/>
      <c r="J438" s="46" t="s">
        <v>426</v>
      </c>
      <c r="K438" s="170"/>
      <c r="L438" s="195">
        <v>15.51</v>
      </c>
      <c r="M438" s="61">
        <v>160</v>
      </c>
      <c r="N438" s="61">
        <v>1</v>
      </c>
      <c r="O438" s="61" t="str">
        <f t="shared" ca="1" si="26"/>
        <v>box</v>
      </c>
      <c r="P438" s="61" t="s">
        <v>92</v>
      </c>
      <c r="Q438" s="170"/>
      <c r="R438" s="170"/>
      <c r="S438" s="198">
        <f t="shared" si="27"/>
        <v>160</v>
      </c>
      <c r="T438" s="199" t="str">
        <f t="shared" si="28"/>
        <v>160pieces</v>
      </c>
      <c r="U438" s="200">
        <f t="shared" si="29"/>
        <v>2481.6</v>
      </c>
      <c r="V438" s="12"/>
      <c r="W438" s="12"/>
    </row>
    <row r="439" spans="1:23" x14ac:dyDescent="0.3">
      <c r="A439" s="183" t="e">
        <f ca="1"/>
        <v>#NAME?</v>
      </c>
      <c r="B439" s="194" t="s">
        <v>425</v>
      </c>
      <c r="C439" s="170"/>
      <c r="D439" s="194" t="str">
        <f ca="1">IFERROR(__xludf.DUMMYFUNCTION("IF(J439="""",""n/a"",IFERROR(SPLIT(J439,""/"")))"),"n/a")</f>
        <v>n/a</v>
      </c>
      <c r="E439" s="170"/>
      <c r="F439" s="170"/>
      <c r="G439" s="170"/>
      <c r="H439" s="206" t="s">
        <v>1898</v>
      </c>
      <c r="I439" s="237"/>
      <c r="J439" s="170"/>
      <c r="K439" s="170"/>
      <c r="L439" s="197">
        <v>66.11666666666666</v>
      </c>
      <c r="M439" s="207">
        <v>18</v>
      </c>
      <c r="N439" s="207">
        <v>18</v>
      </c>
      <c r="O439" s="170">
        <f t="shared" si="26"/>
        <v>0</v>
      </c>
      <c r="P439" s="238" t="s">
        <v>92</v>
      </c>
      <c r="Q439" s="170"/>
      <c r="R439" s="170"/>
      <c r="S439" s="198">
        <f t="shared" si="27"/>
        <v>324</v>
      </c>
      <c r="T439" s="199" t="str">
        <f t="shared" si="28"/>
        <v>324pieces</v>
      </c>
      <c r="U439" s="200">
        <f t="shared" si="29"/>
        <v>1190.0999999999999</v>
      </c>
      <c r="V439" s="12"/>
      <c r="W439" s="12"/>
    </row>
    <row r="440" spans="1:23" x14ac:dyDescent="0.3">
      <c r="A440" s="183" t="e">
        <f ca="1"/>
        <v>#NAME?</v>
      </c>
      <c r="B440" s="194" t="s">
        <v>701</v>
      </c>
      <c r="C440" s="170"/>
      <c r="D440" s="194" t="str">
        <f ca="1">IFERROR(__xludf.DUMMYFUNCTION("IF(J440="""",""n/a"",IFERROR(SPLIT(J440,""/"")))"),"Oishi")</f>
        <v>Oishi</v>
      </c>
      <c r="E440" s="194" t="str">
        <f ca="1">IFERROR(__xludf.DUMMYFUNCTION("""COMPUTED_VALUE"""),"80grams")</f>
        <v>80grams</v>
      </c>
      <c r="F440" s="170"/>
      <c r="G440" s="170"/>
      <c r="H440" s="183" t="s">
        <v>1897</v>
      </c>
      <c r="I440" s="239"/>
      <c r="J440" s="46" t="s">
        <v>702</v>
      </c>
      <c r="K440" s="170"/>
      <c r="L440" s="217">
        <v>22.38</v>
      </c>
      <c r="M440" s="220">
        <v>34</v>
      </c>
      <c r="N440" s="203">
        <v>1</v>
      </c>
      <c r="O440" s="61" t="str">
        <f t="shared" ca="1" si="26"/>
        <v>80grams</v>
      </c>
      <c r="P440" s="240" t="s">
        <v>92</v>
      </c>
      <c r="Q440" s="170"/>
      <c r="R440" s="192" t="str">
        <f>CONCATENATE(N440,P440)</f>
        <v>1pieces</v>
      </c>
      <c r="S440" s="198">
        <f t="shared" si="27"/>
        <v>34</v>
      </c>
      <c r="T440" s="199" t="str">
        <f t="shared" si="28"/>
        <v>34pieces</v>
      </c>
      <c r="U440" s="200">
        <f t="shared" si="29"/>
        <v>760.92</v>
      </c>
      <c r="V440" s="12"/>
      <c r="W440" s="12"/>
    </row>
    <row r="441" spans="1:23" x14ac:dyDescent="0.3">
      <c r="A441" s="183" t="e">
        <f ca="1"/>
        <v>#NAME?</v>
      </c>
      <c r="B441" s="194" t="s">
        <v>701</v>
      </c>
      <c r="C441" s="170"/>
      <c r="D441" s="194" t="str">
        <f ca="1">IFERROR(__xludf.DUMMYFUNCTION("IF(J441="""",""n/a"",IFERROR(SPLIT(J441,""/"")))"),"n/a")</f>
        <v>n/a</v>
      </c>
      <c r="E441" s="170"/>
      <c r="F441" s="170"/>
      <c r="G441" s="170"/>
      <c r="H441" s="206" t="s">
        <v>1898</v>
      </c>
      <c r="I441" s="239"/>
      <c r="J441" s="170"/>
      <c r="K441" s="170"/>
      <c r="L441" s="197">
        <v>22.378333333333334</v>
      </c>
      <c r="M441" s="208">
        <v>16</v>
      </c>
      <c r="N441" s="208">
        <v>30</v>
      </c>
      <c r="O441" s="170">
        <f t="shared" si="26"/>
        <v>0</v>
      </c>
      <c r="P441" s="238" t="s">
        <v>304</v>
      </c>
      <c r="Q441" s="170"/>
      <c r="R441" s="170"/>
      <c r="S441" s="198">
        <f t="shared" si="27"/>
        <v>480</v>
      </c>
      <c r="T441" s="199" t="str">
        <f t="shared" si="28"/>
        <v>480packs</v>
      </c>
      <c r="U441" s="200">
        <f t="shared" si="29"/>
        <v>358.05333333333334</v>
      </c>
      <c r="V441" s="12"/>
      <c r="W441" s="12"/>
    </row>
    <row r="442" spans="1:23" x14ac:dyDescent="0.3">
      <c r="A442" s="183" t="e">
        <f ca="1"/>
        <v>#NAME?</v>
      </c>
      <c r="B442" s="194" t="s">
        <v>703</v>
      </c>
      <c r="C442" s="170"/>
      <c r="D442" s="194" t="str">
        <f ca="1">IFERROR(__xludf.DUMMYFUNCTION("IF(J442="""",""n/a"",IFERROR(SPLIT(J442,""/"")))"),"Dona Elena")</f>
        <v>Dona Elena</v>
      </c>
      <c r="E442" s="194" t="str">
        <f ca="1">IFERROR(__xludf.DUMMYFUNCTION("""COMPUTED_VALUE"""),"bottle")</f>
        <v>bottle</v>
      </c>
      <c r="F442" s="194" t="str">
        <f ca="1">IFERROR(__xludf.DUMMYFUNCTION("""COMPUTED_VALUE"""),"250ml")</f>
        <v>250ml</v>
      </c>
      <c r="G442" s="170"/>
      <c r="H442" s="183" t="s">
        <v>1897</v>
      </c>
      <c r="I442" s="170"/>
      <c r="J442" s="46" t="s">
        <v>704</v>
      </c>
      <c r="K442" s="170"/>
      <c r="L442" s="241">
        <v>1.1164000000000001</v>
      </c>
      <c r="M442" s="242">
        <v>250</v>
      </c>
      <c r="N442" s="242">
        <v>250</v>
      </c>
      <c r="O442" s="61" t="str">
        <f t="shared" ca="1" si="26"/>
        <v>bottle</v>
      </c>
      <c r="P442" s="240" t="s">
        <v>32</v>
      </c>
      <c r="Q442" s="170"/>
      <c r="R442" s="192" t="str">
        <f t="shared" ref="R442:R443" si="40">CONCATENATE(N442,P442)</f>
        <v>250ml</v>
      </c>
      <c r="S442" s="198">
        <f t="shared" si="27"/>
        <v>62500</v>
      </c>
      <c r="T442" s="199" t="str">
        <f t="shared" si="28"/>
        <v>62500ml</v>
      </c>
      <c r="U442" s="200">
        <f t="shared" si="29"/>
        <v>279.10000000000002</v>
      </c>
      <c r="V442" s="62"/>
      <c r="W442" s="62"/>
    </row>
    <row r="443" spans="1:23" x14ac:dyDescent="0.3">
      <c r="A443" s="183" t="e">
        <f ca="1"/>
        <v>#NAME?</v>
      </c>
      <c r="B443" s="194" t="s">
        <v>705</v>
      </c>
      <c r="C443" s="170"/>
      <c r="D443" s="194" t="str">
        <f ca="1">IFERROR(__xludf.DUMMYFUNCTION("IF(J443="""",""n/a"",IFERROR(SPLIT(J443,""/"")))"),"Fresh")</f>
        <v>Fresh</v>
      </c>
      <c r="E443" s="170"/>
      <c r="F443" s="170"/>
      <c r="G443" s="170"/>
      <c r="H443" s="183" t="s">
        <v>1897</v>
      </c>
      <c r="I443" s="170"/>
      <c r="J443" s="46" t="s">
        <v>216</v>
      </c>
      <c r="K443" s="170"/>
      <c r="L443" s="217">
        <v>0.11</v>
      </c>
      <c r="M443" s="203">
        <v>3000</v>
      </c>
      <c r="N443" s="203">
        <v>1000</v>
      </c>
      <c r="O443" s="170">
        <f t="shared" si="26"/>
        <v>0</v>
      </c>
      <c r="P443" s="240" t="s">
        <v>39</v>
      </c>
      <c r="Q443" s="170"/>
      <c r="R443" s="192" t="str">
        <f t="shared" si="40"/>
        <v>1000grams</v>
      </c>
      <c r="S443" s="198">
        <f t="shared" si="27"/>
        <v>3000000</v>
      </c>
      <c r="T443" s="199" t="str">
        <f t="shared" si="28"/>
        <v>3000000grams</v>
      </c>
      <c r="U443" s="200">
        <f t="shared" si="29"/>
        <v>330</v>
      </c>
      <c r="V443" s="12"/>
      <c r="W443" s="12"/>
    </row>
    <row r="444" spans="1:23" x14ac:dyDescent="0.3">
      <c r="A444" s="183" t="e">
        <f ca="1"/>
        <v>#NAME?</v>
      </c>
      <c r="B444" s="194" t="s">
        <v>705</v>
      </c>
      <c r="C444" s="170"/>
      <c r="D444" s="194" t="str">
        <f ca="1">IFERROR(__xludf.DUMMYFUNCTION("IF(J444="""",""n/a"",IFERROR(SPLIT(J444,""/"")))"),"Fresh")</f>
        <v>Fresh</v>
      </c>
      <c r="E444" s="170"/>
      <c r="F444" s="170"/>
      <c r="G444" s="170"/>
      <c r="H444" s="183" t="s">
        <v>1895</v>
      </c>
      <c r="I444" s="170"/>
      <c r="J444" s="46" t="s">
        <v>216</v>
      </c>
      <c r="K444" s="170"/>
      <c r="L444" s="195">
        <v>110</v>
      </c>
      <c r="M444" s="61">
        <v>10</v>
      </c>
      <c r="N444" s="61">
        <v>1</v>
      </c>
      <c r="O444" s="170">
        <f t="shared" si="26"/>
        <v>0</v>
      </c>
      <c r="P444" s="240" t="s">
        <v>39</v>
      </c>
      <c r="Q444" s="170"/>
      <c r="R444" s="170"/>
      <c r="S444" s="198">
        <f t="shared" si="27"/>
        <v>10</v>
      </c>
      <c r="T444" s="199" t="str">
        <f t="shared" si="28"/>
        <v>10grams</v>
      </c>
      <c r="U444" s="200">
        <f t="shared" si="29"/>
        <v>1100</v>
      </c>
      <c r="V444" s="12"/>
      <c r="W444" s="12"/>
    </row>
    <row r="445" spans="1:23" x14ac:dyDescent="0.3">
      <c r="A445" s="183" t="e">
        <f ca="1"/>
        <v>#NAME?</v>
      </c>
      <c r="B445" s="194" t="s">
        <v>705</v>
      </c>
      <c r="C445" s="170"/>
      <c r="D445" s="194" t="str">
        <f ca="1">IFERROR(__xludf.DUMMYFUNCTION("IF(J445="""",""n/a"",IFERROR(SPLIT(J445,""/"")))"),"Fresh")</f>
        <v>Fresh</v>
      </c>
      <c r="E445" s="170"/>
      <c r="F445" s="170"/>
      <c r="G445" s="170"/>
      <c r="H445" s="183" t="s">
        <v>1895</v>
      </c>
      <c r="I445" s="170"/>
      <c r="J445" s="46" t="s">
        <v>216</v>
      </c>
      <c r="K445" s="170"/>
      <c r="L445" s="195">
        <v>110</v>
      </c>
      <c r="M445" s="61">
        <v>10</v>
      </c>
      <c r="N445" s="61">
        <v>1</v>
      </c>
      <c r="O445" s="170">
        <f t="shared" si="26"/>
        <v>0</v>
      </c>
      <c r="P445" s="240" t="s">
        <v>39</v>
      </c>
      <c r="Q445" s="170"/>
      <c r="R445" s="170"/>
      <c r="S445" s="198">
        <f t="shared" si="27"/>
        <v>10</v>
      </c>
      <c r="T445" s="199" t="str">
        <f t="shared" si="28"/>
        <v>10grams</v>
      </c>
      <c r="U445" s="200">
        <f t="shared" si="29"/>
        <v>1100</v>
      </c>
      <c r="V445" s="12"/>
      <c r="W445" s="12"/>
    </row>
    <row r="446" spans="1:23" x14ac:dyDescent="0.3">
      <c r="A446" s="183" t="e">
        <f ca="1"/>
        <v>#NAME?</v>
      </c>
      <c r="B446" s="194" t="s">
        <v>706</v>
      </c>
      <c r="C446" s="170"/>
      <c r="D446" s="194" t="str">
        <f ca="1">IFERROR(__xludf.DUMMYFUNCTION("IF(J446="""",""n/a"",IFERROR(SPLIT(J446,""/"")))"),"Tang")</f>
        <v>Tang</v>
      </c>
      <c r="E446" s="194" t="str">
        <f ca="1">IFERROR(__xludf.DUMMYFUNCTION("""COMPUTED_VALUE"""),"pack")</f>
        <v>pack</v>
      </c>
      <c r="F446" s="194" t="str">
        <f ca="1">IFERROR(__xludf.DUMMYFUNCTION("""COMPUTED_VALUE"""),"19grams")</f>
        <v>19grams</v>
      </c>
      <c r="G446" s="170"/>
      <c r="H446" s="183" t="s">
        <v>1895</v>
      </c>
      <c r="I446" s="170"/>
      <c r="J446" s="46" t="s">
        <v>156</v>
      </c>
      <c r="K446" s="170"/>
      <c r="L446" s="195">
        <v>19</v>
      </c>
      <c r="M446" s="61">
        <v>30</v>
      </c>
      <c r="N446" s="61">
        <v>1</v>
      </c>
      <c r="O446" s="61" t="str">
        <f t="shared" ca="1" si="26"/>
        <v>pack</v>
      </c>
      <c r="P446" s="240" t="s">
        <v>39</v>
      </c>
      <c r="Q446" s="170"/>
      <c r="R446" s="170"/>
      <c r="S446" s="198">
        <f t="shared" si="27"/>
        <v>30</v>
      </c>
      <c r="T446" s="199" t="str">
        <f t="shared" si="28"/>
        <v>30grams</v>
      </c>
      <c r="U446" s="200">
        <f t="shared" si="29"/>
        <v>570</v>
      </c>
      <c r="V446" s="12"/>
      <c r="W446" s="12"/>
    </row>
    <row r="447" spans="1:23" x14ac:dyDescent="0.3">
      <c r="A447" s="183" t="e">
        <f ca="1"/>
        <v>#NAME?</v>
      </c>
      <c r="B447" s="194" t="s">
        <v>427</v>
      </c>
      <c r="C447" s="170"/>
      <c r="D447" s="194" t="str">
        <f ca="1">IFERROR(__xludf.DUMMYFUNCTION("IF(J447="""",""n/a"",IFERROR(SPLIT(J447,""/"")))"),"Mondelez")</f>
        <v>Mondelez</v>
      </c>
      <c r="E447" s="194" t="str">
        <f ca="1">IFERROR(__xludf.DUMMYFUNCTION("""COMPUTED_VALUE"""),"pack (9pcsx27.6grams)")</f>
        <v>pack (9pcsx27.6grams)</v>
      </c>
      <c r="F447" s="170"/>
      <c r="G447" s="170"/>
      <c r="H447" s="183" t="s">
        <v>1895</v>
      </c>
      <c r="I447" s="170"/>
      <c r="J447" s="46" t="s">
        <v>428</v>
      </c>
      <c r="K447" s="170"/>
      <c r="L447" s="195">
        <v>8.51</v>
      </c>
      <c r="M447" s="61">
        <v>250</v>
      </c>
      <c r="N447" s="61">
        <v>1</v>
      </c>
      <c r="O447" s="61" t="str">
        <f t="shared" ca="1" si="26"/>
        <v>pack (9pcsx27.6grams)</v>
      </c>
      <c r="P447" s="240" t="s">
        <v>92</v>
      </c>
      <c r="Q447" s="170"/>
      <c r="R447" s="170"/>
      <c r="S447" s="198">
        <f t="shared" si="27"/>
        <v>250</v>
      </c>
      <c r="T447" s="199" t="str">
        <f t="shared" si="28"/>
        <v>250pieces</v>
      </c>
      <c r="U447" s="200">
        <f t="shared" si="29"/>
        <v>2127.5</v>
      </c>
      <c r="V447" s="12"/>
      <c r="W447" s="12"/>
    </row>
    <row r="448" spans="1:23" x14ac:dyDescent="0.3">
      <c r="A448" s="183" t="e">
        <f ca="1"/>
        <v>#NAME?</v>
      </c>
      <c r="B448" s="243" t="s">
        <v>707</v>
      </c>
      <c r="C448" s="173"/>
      <c r="D448" s="194" t="str">
        <f ca="1">IFERROR(__xludf.DUMMYFUNCTION("IF(J448="""",""n/a"",IFERROR(SPLIT(J448,""/"")))"),"n/a")</f>
        <v>n/a</v>
      </c>
      <c r="E448" s="173"/>
      <c r="F448" s="173"/>
      <c r="G448" s="173"/>
      <c r="H448" s="206" t="s">
        <v>1898</v>
      </c>
      <c r="I448" s="170"/>
      <c r="J448" s="170"/>
      <c r="K448" s="170"/>
      <c r="L448" s="197">
        <v>185.45</v>
      </c>
      <c r="M448" s="208">
        <v>2</v>
      </c>
      <c r="N448" s="208">
        <v>1</v>
      </c>
      <c r="O448" s="170">
        <f t="shared" si="26"/>
        <v>0</v>
      </c>
      <c r="P448" s="240" t="s">
        <v>92</v>
      </c>
      <c r="Q448" s="170"/>
      <c r="R448" s="170"/>
      <c r="S448" s="198">
        <f t="shared" si="27"/>
        <v>2</v>
      </c>
      <c r="T448" s="199" t="str">
        <f t="shared" si="28"/>
        <v>2pieces</v>
      </c>
      <c r="U448" s="200">
        <f t="shared" si="29"/>
        <v>370.9</v>
      </c>
      <c r="V448" s="12"/>
      <c r="W448" s="12"/>
    </row>
    <row r="449" spans="1:23" x14ac:dyDescent="0.3">
      <c r="A449" s="183" t="e">
        <f ca="1"/>
        <v>#NAME?</v>
      </c>
      <c r="B449" s="244" t="s">
        <v>279</v>
      </c>
      <c r="C449" s="239"/>
      <c r="D449" s="194" t="str">
        <f ca="1">IFERROR(__xludf.DUMMYFUNCTION("IF(J449="""",""n/a"",IFERROR(SPLIT(J449,""/"")))"),"Ticman")</f>
        <v>Ticman</v>
      </c>
      <c r="E449" s="244" t="str">
        <f ca="1">IFERROR(__xludf.DUMMYFUNCTION("""COMPUTED_VALUE"""),"gallon")</f>
        <v>gallon</v>
      </c>
      <c r="F449" s="244" t="str">
        <f ca="1">IFERROR(__xludf.DUMMYFUNCTION("""COMPUTED_VALUE"""),"3500ml")</f>
        <v>3500ml</v>
      </c>
      <c r="G449" s="239"/>
      <c r="H449" s="183" t="s">
        <v>1895</v>
      </c>
      <c r="I449" s="239"/>
      <c r="J449" s="46" t="s">
        <v>239</v>
      </c>
      <c r="K449" s="170"/>
      <c r="L449" s="245">
        <v>199</v>
      </c>
      <c r="M449" s="100">
        <v>3</v>
      </c>
      <c r="N449" s="100" t="s">
        <v>280</v>
      </c>
      <c r="O449" s="61" t="str">
        <f t="shared" ca="1" si="26"/>
        <v>gallon</v>
      </c>
      <c r="P449" s="240" t="s">
        <v>200</v>
      </c>
      <c r="Q449" s="170"/>
      <c r="R449" s="170"/>
      <c r="S449" s="198">
        <f t="shared" si="27"/>
        <v>3</v>
      </c>
      <c r="T449" s="199" t="str">
        <f t="shared" si="28"/>
        <v>3gal</v>
      </c>
      <c r="U449" s="200">
        <f t="shared" si="29"/>
        <v>597</v>
      </c>
      <c r="V449" s="12"/>
      <c r="W449" s="12"/>
    </row>
    <row r="450" spans="1:23" x14ac:dyDescent="0.3">
      <c r="A450" s="183" t="e">
        <f ca="1"/>
        <v>#NAME?</v>
      </c>
      <c r="B450" s="244" t="s">
        <v>279</v>
      </c>
      <c r="C450" s="239"/>
      <c r="D450" s="194" t="str">
        <f ca="1">IFERROR(__xludf.DUMMYFUNCTION("IF(J450="""",""n/a"",IFERROR(SPLIT(J450,""/"")))"),"Mama Sitas")</f>
        <v>Mama Sitas</v>
      </c>
      <c r="E450" s="244" t="str">
        <f ca="1">IFERROR(__xludf.DUMMYFUNCTION("""COMPUTED_VALUE"""),"bottle")</f>
        <v>bottle</v>
      </c>
      <c r="F450" s="244" t="str">
        <f ca="1">IFERROR(__xludf.DUMMYFUNCTION("""COMPUTED_VALUE"""),"405grams")</f>
        <v>405grams</v>
      </c>
      <c r="G450" s="239"/>
      <c r="H450" s="183" t="s">
        <v>1895</v>
      </c>
      <c r="I450" s="239"/>
      <c r="J450" s="46" t="s">
        <v>281</v>
      </c>
      <c r="K450" s="170"/>
      <c r="L450" s="245">
        <v>103.6</v>
      </c>
      <c r="M450" s="100">
        <v>2</v>
      </c>
      <c r="N450" s="100">
        <v>1</v>
      </c>
      <c r="O450" s="61" t="str">
        <f t="shared" ca="1" si="26"/>
        <v>bottle</v>
      </c>
      <c r="P450" s="240" t="s">
        <v>39</v>
      </c>
      <c r="Q450" s="170"/>
      <c r="R450" s="170"/>
      <c r="S450" s="198">
        <f t="shared" si="27"/>
        <v>2</v>
      </c>
      <c r="T450" s="199" t="str">
        <f t="shared" si="28"/>
        <v>2grams</v>
      </c>
      <c r="U450" s="200">
        <f t="shared" si="29"/>
        <v>207.2</v>
      </c>
      <c r="V450" s="12"/>
      <c r="W450" s="12"/>
    </row>
    <row r="451" spans="1:23" x14ac:dyDescent="0.3">
      <c r="A451" s="183" t="e">
        <f ca="1"/>
        <v>#NAME?</v>
      </c>
      <c r="B451" s="244" t="s">
        <v>708</v>
      </c>
      <c r="C451" s="239"/>
      <c r="D451" s="194" t="str">
        <f ca="1">IFERROR(__xludf.DUMMYFUNCTION("IF(J451="""",""n/a"",IFERROR(SPLIT(J451,""/"")))"),"Super Q")</f>
        <v>Super Q</v>
      </c>
      <c r="E451" s="244" t="str">
        <f ca="1">IFERROR(__xludf.DUMMYFUNCTION("""COMPUTED_VALUE"""),"pack")</f>
        <v>pack</v>
      </c>
      <c r="F451" s="244" t="str">
        <f ca="1">IFERROR(__xludf.DUMMYFUNCTION("""COMPUTED_VALUE"""),"500grams")</f>
        <v>500grams</v>
      </c>
      <c r="G451" s="239"/>
      <c r="H451" s="183" t="s">
        <v>1897</v>
      </c>
      <c r="I451" s="239"/>
      <c r="J451" s="68" t="s">
        <v>319</v>
      </c>
      <c r="K451" s="170"/>
      <c r="L451" s="246">
        <v>8.5999999999999993E-2</v>
      </c>
      <c r="M451" s="247">
        <v>1500</v>
      </c>
      <c r="N451" s="248">
        <v>500</v>
      </c>
      <c r="O451" s="61" t="str">
        <f t="shared" ca="1" si="26"/>
        <v>pack</v>
      </c>
      <c r="P451" s="249" t="s">
        <v>39</v>
      </c>
      <c r="Q451" s="170"/>
      <c r="R451" s="192" t="str">
        <f>CONCATENATE(N451,P451)</f>
        <v>500grams</v>
      </c>
      <c r="S451" s="198">
        <f t="shared" si="27"/>
        <v>750000</v>
      </c>
      <c r="T451" s="199" t="str">
        <f t="shared" si="28"/>
        <v>750000grams</v>
      </c>
      <c r="U451" s="200">
        <f t="shared" si="29"/>
        <v>129</v>
      </c>
      <c r="V451" s="12"/>
      <c r="W451" s="12"/>
    </row>
    <row r="452" spans="1:23" x14ac:dyDescent="0.3">
      <c r="A452" s="183" t="e">
        <f ca="1"/>
        <v>#NAME?</v>
      </c>
      <c r="B452" s="244" t="s">
        <v>708</v>
      </c>
      <c r="C452" s="239"/>
      <c r="D452" s="194" t="str">
        <f ca="1">IFERROR(__xludf.DUMMYFUNCTION("IF(J452="""",""n/a"",IFERROR(SPLIT(J452,""/"")))"),"n/a")</f>
        <v>n/a</v>
      </c>
      <c r="E452" s="239"/>
      <c r="F452" s="239"/>
      <c r="G452" s="239"/>
      <c r="H452" s="206" t="s">
        <v>1898</v>
      </c>
      <c r="I452" s="239"/>
      <c r="J452" s="173"/>
      <c r="K452" s="170"/>
      <c r="L452" s="197">
        <v>0.106</v>
      </c>
      <c r="M452" s="250">
        <v>14500</v>
      </c>
      <c r="N452" s="208">
        <v>500</v>
      </c>
      <c r="O452" s="170">
        <f t="shared" si="26"/>
        <v>0</v>
      </c>
      <c r="P452" s="249" t="s">
        <v>39</v>
      </c>
      <c r="Q452" s="170"/>
      <c r="R452" s="170"/>
      <c r="S452" s="198">
        <f t="shared" si="27"/>
        <v>7250000</v>
      </c>
      <c r="T452" s="199" t="str">
        <f t="shared" si="28"/>
        <v>7250000grams</v>
      </c>
      <c r="U452" s="200">
        <f t="shared" si="29"/>
        <v>1537</v>
      </c>
      <c r="V452" s="12"/>
      <c r="W452" s="12"/>
    </row>
    <row r="453" spans="1:23" x14ac:dyDescent="0.3">
      <c r="A453" s="183" t="e">
        <f ca="1"/>
        <v>#NAME?</v>
      </c>
      <c r="B453" s="244" t="s">
        <v>157</v>
      </c>
      <c r="C453" s="239"/>
      <c r="D453" s="194" t="str">
        <f ca="1">IFERROR(__xludf.DUMMYFUNCTION("IF(J453="""",""n/a"",IFERROR(SPLIT(J453,""/"")))"),"Energen")</f>
        <v>Energen</v>
      </c>
      <c r="E453" s="244" t="str">
        <f ca="1">IFERROR(__xludf.DUMMYFUNCTION("""COMPUTED_VALUE"""),"pack (pcsx30grams)")</f>
        <v>pack (pcsx30grams)</v>
      </c>
      <c r="F453" s="239"/>
      <c r="G453" s="239"/>
      <c r="H453" s="183" t="s">
        <v>1897</v>
      </c>
      <c r="I453" s="239"/>
      <c r="J453" s="96" t="s">
        <v>130</v>
      </c>
      <c r="K453" s="170"/>
      <c r="L453" s="251">
        <v>8.9600000000000009</v>
      </c>
      <c r="M453" s="247">
        <v>259</v>
      </c>
      <c r="N453" s="247">
        <v>1</v>
      </c>
      <c r="O453" s="61" t="str">
        <f t="shared" ca="1" si="26"/>
        <v>pack (pcsx30grams)</v>
      </c>
      <c r="P453" s="240" t="s">
        <v>92</v>
      </c>
      <c r="Q453" s="170"/>
      <c r="R453" s="192" t="str">
        <f>CONCATENATE(N453,P453)</f>
        <v>1pieces</v>
      </c>
      <c r="S453" s="198">
        <f t="shared" si="27"/>
        <v>259</v>
      </c>
      <c r="T453" s="199" t="str">
        <f t="shared" si="28"/>
        <v>259pieces</v>
      </c>
      <c r="U453" s="200">
        <f t="shared" si="29"/>
        <v>2320.6400000000003</v>
      </c>
      <c r="V453" s="205">
        <f>U453/M453</f>
        <v>8.9600000000000009</v>
      </c>
      <c r="W453" s="62"/>
    </row>
    <row r="454" spans="1:23" x14ac:dyDescent="0.3">
      <c r="A454" s="183" t="e">
        <f ca="1"/>
        <v>#NAME?</v>
      </c>
      <c r="B454" s="252" t="s">
        <v>157</v>
      </c>
      <c r="C454" s="253"/>
      <c r="D454" s="194" t="str">
        <f ca="1">IFERROR(__xludf.DUMMYFUNCTION("IF(J454="""",""n/a"",IFERROR(SPLIT(J454,""/"")))"),"Energen")</f>
        <v>Energen</v>
      </c>
      <c r="E454" s="252" t="str">
        <f ca="1">IFERROR(__xludf.DUMMYFUNCTION("""COMPUTED_VALUE"""),"pack (pcsx30grams)")</f>
        <v>pack (pcsx30grams)</v>
      </c>
      <c r="F454" s="253"/>
      <c r="G454" s="253"/>
      <c r="H454" s="183" t="s">
        <v>1895</v>
      </c>
      <c r="I454" s="239"/>
      <c r="J454" s="96" t="s">
        <v>130</v>
      </c>
      <c r="K454" s="170"/>
      <c r="L454" s="254">
        <v>8.9700000000000006</v>
      </c>
      <c r="M454" s="100">
        <v>275</v>
      </c>
      <c r="N454" s="100">
        <v>1</v>
      </c>
      <c r="O454" s="61" t="str">
        <f t="shared" ca="1" si="26"/>
        <v>pack (pcsx30grams)</v>
      </c>
      <c r="P454" s="100" t="s">
        <v>92</v>
      </c>
      <c r="Q454" s="170"/>
      <c r="R454" s="170"/>
      <c r="S454" s="198">
        <f t="shared" si="27"/>
        <v>275</v>
      </c>
      <c r="T454" s="199" t="str">
        <f t="shared" si="28"/>
        <v>275pieces</v>
      </c>
      <c r="U454" s="200">
        <f t="shared" si="29"/>
        <v>2466.75</v>
      </c>
      <c r="V454" s="12"/>
      <c r="W454" s="12"/>
    </row>
    <row r="455" spans="1:23" x14ac:dyDescent="0.3">
      <c r="A455" s="183" t="e">
        <f ca="1"/>
        <v>#NAME?</v>
      </c>
      <c r="B455" s="244" t="s">
        <v>333</v>
      </c>
      <c r="C455" s="239"/>
      <c r="D455" s="194" t="str">
        <f ca="1">IFERROR(__xludf.DUMMYFUNCTION("IF(J455="""",""n/a"",IFERROR(SPLIT(J455,""/"")))"),"charme")</f>
        <v>charme</v>
      </c>
      <c r="E455" s="239"/>
      <c r="F455" s="239"/>
      <c r="G455" s="239"/>
      <c r="H455" s="183" t="s">
        <v>1897</v>
      </c>
      <c r="I455" s="239"/>
      <c r="J455" s="96" t="s">
        <v>709</v>
      </c>
      <c r="K455" s="170"/>
      <c r="L455" s="254">
        <v>1.26</v>
      </c>
      <c r="M455" s="247">
        <v>808</v>
      </c>
      <c r="N455" s="247">
        <v>1</v>
      </c>
      <c r="O455" s="170">
        <f t="shared" si="26"/>
        <v>0</v>
      </c>
      <c r="P455" s="100" t="s">
        <v>92</v>
      </c>
      <c r="Q455" s="170"/>
      <c r="R455" s="192" t="str">
        <f>CONCATENATE(N455,P455)</f>
        <v>1pieces</v>
      </c>
      <c r="S455" s="198">
        <f t="shared" si="27"/>
        <v>808</v>
      </c>
      <c r="T455" s="199" t="str">
        <f t="shared" si="28"/>
        <v>808pieces</v>
      </c>
      <c r="U455" s="200">
        <f t="shared" si="29"/>
        <v>1018.08</v>
      </c>
      <c r="V455" s="12"/>
      <c r="W455" s="12"/>
    </row>
    <row r="456" spans="1:23" x14ac:dyDescent="0.3">
      <c r="A456" s="183" t="e">
        <f ca="1"/>
        <v>#NAME?</v>
      </c>
      <c r="B456" s="244" t="s">
        <v>333</v>
      </c>
      <c r="C456" s="239"/>
      <c r="D456" s="194" t="str">
        <f ca="1">IFERROR(__xludf.DUMMYFUNCTION("IF(J456="""",""n/a"",IFERROR(SPLIT(J456,""/"")))"),"Sister")</f>
        <v>Sister</v>
      </c>
      <c r="E456" s="244" t="str">
        <f ca="1">IFERROR(__xludf.DUMMYFUNCTION("""COMPUTED_VALUE"""),"pack")</f>
        <v>pack</v>
      </c>
      <c r="F456" s="244" t="str">
        <f ca="1">IFERROR(__xludf.DUMMYFUNCTION("""COMPUTED_VALUE"""),"8s'")</f>
        <v>8s'</v>
      </c>
      <c r="G456" s="239"/>
      <c r="H456" s="183" t="s">
        <v>1895</v>
      </c>
      <c r="I456" s="239"/>
      <c r="J456" s="96" t="s">
        <v>334</v>
      </c>
      <c r="K456" s="170"/>
      <c r="L456" s="254">
        <f>7.5*8</f>
        <v>60</v>
      </c>
      <c r="M456" s="100">
        <v>20</v>
      </c>
      <c r="N456" s="100">
        <v>1</v>
      </c>
      <c r="O456" s="61" t="str">
        <f t="shared" ca="1" si="26"/>
        <v>pack</v>
      </c>
      <c r="P456" s="100" t="s">
        <v>304</v>
      </c>
      <c r="Q456" s="170"/>
      <c r="R456" s="170"/>
      <c r="S456" s="198">
        <f t="shared" si="27"/>
        <v>20</v>
      </c>
      <c r="T456" s="199" t="str">
        <f t="shared" si="28"/>
        <v>20packs</v>
      </c>
      <c r="U456" s="200">
        <f t="shared" si="29"/>
        <v>1200</v>
      </c>
      <c r="V456" s="12"/>
      <c r="W456" s="12"/>
    </row>
    <row r="457" spans="1:23" x14ac:dyDescent="0.3">
      <c r="A457" s="183" t="e">
        <f ca="1"/>
        <v>#NAME?</v>
      </c>
      <c r="B457" s="244" t="s">
        <v>333</v>
      </c>
      <c r="C457" s="239"/>
      <c r="D457" s="194" t="str">
        <f ca="1">IFERROR(__xludf.DUMMYFUNCTION("IF(J457="""",""n/a"",IFERROR(SPLIT(J457,""/"")))"),"n/a")</f>
        <v>n/a</v>
      </c>
      <c r="E457" s="239"/>
      <c r="F457" s="239"/>
      <c r="G457" s="239"/>
      <c r="H457" s="206" t="s">
        <v>1898</v>
      </c>
      <c r="I457" s="239"/>
      <c r="J457" s="239"/>
      <c r="K457" s="170"/>
      <c r="L457" s="255">
        <v>7.5</v>
      </c>
      <c r="M457" s="250">
        <v>11</v>
      </c>
      <c r="N457" s="250">
        <v>1</v>
      </c>
      <c r="O457" s="170">
        <f t="shared" si="26"/>
        <v>0</v>
      </c>
      <c r="P457" s="100" t="s">
        <v>304</v>
      </c>
      <c r="Q457" s="170"/>
      <c r="R457" s="170"/>
      <c r="S457" s="198">
        <f t="shared" si="27"/>
        <v>11</v>
      </c>
      <c r="T457" s="199" t="str">
        <f t="shared" si="28"/>
        <v>11packs</v>
      </c>
      <c r="U457" s="200">
        <f t="shared" si="29"/>
        <v>82.5</v>
      </c>
      <c r="V457" s="12"/>
      <c r="W457" s="12"/>
    </row>
    <row r="458" spans="1:23" x14ac:dyDescent="0.3">
      <c r="A458" s="183" t="e">
        <f ca="1"/>
        <v>#NAME?</v>
      </c>
      <c r="B458" s="244" t="s">
        <v>333</v>
      </c>
      <c r="C458" s="239"/>
      <c r="D458" s="194" t="str">
        <f ca="1">IFERROR(__xludf.DUMMYFUNCTION("IF(J458="""",""n/a"",IFERROR(SPLIT(J458,""/"")))"),"n/a")</f>
        <v>n/a</v>
      </c>
      <c r="E458" s="239"/>
      <c r="F458" s="239"/>
      <c r="G458" s="239"/>
      <c r="H458" s="206" t="s">
        <v>1898</v>
      </c>
      <c r="I458" s="256"/>
      <c r="J458" s="239"/>
      <c r="K458" s="170"/>
      <c r="L458" s="255">
        <v>1.32</v>
      </c>
      <c r="M458" s="250">
        <v>84</v>
      </c>
      <c r="N458" s="250">
        <v>1</v>
      </c>
      <c r="O458" s="170">
        <f t="shared" si="26"/>
        <v>0</v>
      </c>
      <c r="P458" s="100" t="s">
        <v>92</v>
      </c>
      <c r="Q458" s="170"/>
      <c r="R458" s="170"/>
      <c r="S458" s="198">
        <f t="shared" si="27"/>
        <v>84</v>
      </c>
      <c r="T458" s="199" t="str">
        <f t="shared" si="28"/>
        <v>84pieces</v>
      </c>
      <c r="U458" s="200">
        <f t="shared" si="29"/>
        <v>110.88000000000001</v>
      </c>
      <c r="V458" s="12"/>
      <c r="W458" s="12"/>
    </row>
    <row r="459" spans="1:23" x14ac:dyDescent="0.3">
      <c r="A459" s="183" t="e">
        <f ca="1"/>
        <v>#NAME?</v>
      </c>
      <c r="B459" s="244" t="s">
        <v>710</v>
      </c>
      <c r="C459" s="239"/>
      <c r="D459" s="194" t="str">
        <f ca="1">IFERROR(__xludf.DUMMYFUNCTION("IF(J459="""",""n/a"",IFERROR(SPLIT(J459,""/"")))"),"Mama")</f>
        <v>Mama</v>
      </c>
      <c r="E459" s="244" t="str">
        <f ca="1">IFERROR(__xludf.DUMMYFUNCTION("""COMPUTED_VALUE"""),"canister")</f>
        <v>canister</v>
      </c>
      <c r="F459" s="244" t="str">
        <f ca="1">IFERROR(__xludf.DUMMYFUNCTION("""COMPUTED_VALUE"""),"1000grams")</f>
        <v>1000grams</v>
      </c>
      <c r="G459" s="239"/>
      <c r="H459" s="183" t="s">
        <v>1897</v>
      </c>
      <c r="I459" s="170"/>
      <c r="J459" s="96" t="s">
        <v>587</v>
      </c>
      <c r="K459" s="170"/>
      <c r="L459" s="255">
        <v>0.23</v>
      </c>
      <c r="M459" s="247">
        <v>1000</v>
      </c>
      <c r="N459" s="247">
        <v>1000</v>
      </c>
      <c r="O459" s="61" t="str">
        <f t="shared" ca="1" si="26"/>
        <v>canister</v>
      </c>
      <c r="P459" s="100" t="s">
        <v>39</v>
      </c>
      <c r="Q459" s="170"/>
      <c r="R459" s="192" t="str">
        <f>CONCATENATE(N459,P459)</f>
        <v>1000grams</v>
      </c>
      <c r="S459" s="198">
        <f t="shared" si="27"/>
        <v>1000000</v>
      </c>
      <c r="T459" s="199" t="str">
        <f t="shared" si="28"/>
        <v>1000000grams</v>
      </c>
      <c r="U459" s="200">
        <f t="shared" si="29"/>
        <v>230</v>
      </c>
      <c r="V459" s="62"/>
      <c r="W459" s="62"/>
    </row>
    <row r="460" spans="1:23" x14ac:dyDescent="0.3">
      <c r="A460" s="183" t="e">
        <f ca="1"/>
        <v>#NAME?</v>
      </c>
      <c r="B460" s="244" t="s">
        <v>711</v>
      </c>
      <c r="C460" s="239"/>
      <c r="D460" s="194" t="str">
        <f ca="1">IFERROR(__xludf.DUMMYFUNCTION("IF(J460="""",""n/a"",IFERROR(SPLIT(J460,""/"")))"),"Baby")</f>
        <v>Baby</v>
      </c>
      <c r="E460" s="244" t="str">
        <f ca="1">IFERROR(__xludf.DUMMYFUNCTION("""COMPUTED_VALUE"""),"canister")</f>
        <v>canister</v>
      </c>
      <c r="F460" s="244" t="str">
        <f ca="1">IFERROR(__xludf.DUMMYFUNCTION("""COMPUTED_VALUE"""),"1800grams")</f>
        <v>1800grams</v>
      </c>
      <c r="G460" s="239"/>
      <c r="H460" s="206" t="s">
        <v>1898</v>
      </c>
      <c r="I460" s="239"/>
      <c r="J460" s="96" t="s">
        <v>712</v>
      </c>
      <c r="K460" s="170"/>
      <c r="L460" s="255">
        <v>0.12777777777777777</v>
      </c>
      <c r="M460" s="250">
        <v>5400</v>
      </c>
      <c r="N460" s="250">
        <v>1800</v>
      </c>
      <c r="O460" s="61" t="str">
        <f t="shared" ca="1" si="26"/>
        <v>canister</v>
      </c>
      <c r="P460" s="100" t="s">
        <v>39</v>
      </c>
      <c r="Q460" s="170"/>
      <c r="R460" s="170"/>
      <c r="S460" s="198">
        <f t="shared" si="27"/>
        <v>9720000</v>
      </c>
      <c r="T460" s="199" t="str">
        <f t="shared" si="28"/>
        <v>9720000grams</v>
      </c>
      <c r="U460" s="200">
        <f t="shared" si="29"/>
        <v>690</v>
      </c>
      <c r="V460" s="12"/>
      <c r="W460" s="12"/>
    </row>
    <row r="461" spans="1:23" x14ac:dyDescent="0.3">
      <c r="A461" s="183" t="e">
        <f ca="1"/>
        <v>#NAME?</v>
      </c>
      <c r="B461" s="244" t="s">
        <v>429</v>
      </c>
      <c r="C461" s="239"/>
      <c r="D461" s="194" t="str">
        <f ca="1">IFERROR(__xludf.DUMMYFUNCTION("IF(J461="""",""n/a"",IFERROR(SPLIT(J461,""/"")))"),"Jack n Jill")</f>
        <v>Jack n Jill</v>
      </c>
      <c r="E461" s="244" t="str">
        <f ca="1">IFERROR(__xludf.DUMMYFUNCTION("""COMPUTED_VALUE"""),"box (50pcsx85grams)")</f>
        <v>box (50pcsx85grams)</v>
      </c>
      <c r="F461" s="239"/>
      <c r="G461" s="239"/>
      <c r="H461" s="183" t="s">
        <v>1895</v>
      </c>
      <c r="I461" s="239"/>
      <c r="J461" s="96" t="s">
        <v>430</v>
      </c>
      <c r="K461" s="170"/>
      <c r="L461" s="254">
        <v>15.24</v>
      </c>
      <c r="M461" s="100">
        <v>80</v>
      </c>
      <c r="N461" s="100">
        <v>1</v>
      </c>
      <c r="O461" s="61" t="str">
        <f t="shared" ca="1" si="26"/>
        <v>box (50pcsx85grams)</v>
      </c>
      <c r="P461" s="100" t="s">
        <v>92</v>
      </c>
      <c r="Q461" s="170"/>
      <c r="R461" s="170"/>
      <c r="S461" s="198">
        <f t="shared" si="27"/>
        <v>80</v>
      </c>
      <c r="T461" s="199" t="str">
        <f t="shared" si="28"/>
        <v>80pieces</v>
      </c>
      <c r="U461" s="200">
        <f t="shared" si="29"/>
        <v>1219.2</v>
      </c>
      <c r="V461" s="12"/>
      <c r="W461" s="12"/>
    </row>
    <row r="462" spans="1:23" x14ac:dyDescent="0.3">
      <c r="A462" s="183" t="e">
        <f ca="1"/>
        <v>#NAME?</v>
      </c>
      <c r="B462" s="244" t="s">
        <v>713</v>
      </c>
      <c r="C462" s="239"/>
      <c r="D462" s="194" t="str">
        <f ca="1">IFERROR(__xludf.DUMMYFUNCTION("IF(J462="""",""n/a"",IFERROR(SPLIT(J462,""/"")))"),"Jack n Jill")</f>
        <v>Jack n Jill</v>
      </c>
      <c r="E462" s="244" t="str">
        <f ca="1">IFERROR(__xludf.DUMMYFUNCTION("""COMPUTED_VALUE"""),"box (50pcsx85grams)")</f>
        <v>box (50pcsx85grams)</v>
      </c>
      <c r="F462" s="239"/>
      <c r="G462" s="239"/>
      <c r="H462" s="183" t="s">
        <v>1897</v>
      </c>
      <c r="I462" s="239"/>
      <c r="J462" s="96" t="s">
        <v>430</v>
      </c>
      <c r="K462" s="170"/>
      <c r="L462" s="257">
        <v>31.92</v>
      </c>
      <c r="M462" s="247">
        <v>3</v>
      </c>
      <c r="N462" s="247">
        <v>1</v>
      </c>
      <c r="O462" s="61" t="str">
        <f t="shared" ca="1" si="26"/>
        <v>box (50pcsx85grams)</v>
      </c>
      <c r="P462" s="100" t="s">
        <v>92</v>
      </c>
      <c r="Q462" s="170"/>
      <c r="R462" s="192" t="str">
        <f>CONCATENATE(N462,P462)</f>
        <v>1pieces</v>
      </c>
      <c r="S462" s="198">
        <f t="shared" si="27"/>
        <v>3</v>
      </c>
      <c r="T462" s="199" t="str">
        <f t="shared" si="28"/>
        <v>3pieces</v>
      </c>
      <c r="U462" s="200">
        <f t="shared" si="29"/>
        <v>95.76</v>
      </c>
      <c r="V462" s="12"/>
      <c r="W462" s="12"/>
    </row>
    <row r="463" spans="1:23" x14ac:dyDescent="0.3">
      <c r="A463" s="183" t="e">
        <f ca="1"/>
        <v>#NAME?</v>
      </c>
      <c r="B463" s="258" t="s">
        <v>714</v>
      </c>
      <c r="C463" s="256"/>
      <c r="D463" s="194" t="str">
        <f ca="1">IFERROR(__xludf.DUMMYFUNCTION("IF(J463="""",""n/a"",IFERROR(SPLIT(J463,""/"")))"),"n/a")</f>
        <v>n/a</v>
      </c>
      <c r="E463" s="256"/>
      <c r="F463" s="256"/>
      <c r="G463" s="256"/>
      <c r="H463" s="206" t="s">
        <v>1898</v>
      </c>
      <c r="I463" s="239"/>
      <c r="J463" s="256"/>
      <c r="K463" s="170"/>
      <c r="L463" s="259">
        <v>193</v>
      </c>
      <c r="M463" s="260">
        <v>2</v>
      </c>
      <c r="N463" s="260">
        <v>1</v>
      </c>
      <c r="O463" s="170">
        <f t="shared" si="26"/>
        <v>0</v>
      </c>
      <c r="P463" s="100" t="s">
        <v>92</v>
      </c>
      <c r="Q463" s="170"/>
      <c r="R463" s="170"/>
      <c r="S463" s="198">
        <f t="shared" si="27"/>
        <v>2</v>
      </c>
      <c r="T463" s="199" t="str">
        <f t="shared" si="28"/>
        <v>2pieces</v>
      </c>
      <c r="U463" s="200">
        <f t="shared" si="29"/>
        <v>386</v>
      </c>
      <c r="V463" s="12"/>
      <c r="W463" s="12"/>
    </row>
    <row r="464" spans="1:23" x14ac:dyDescent="0.3">
      <c r="A464" s="183" t="e">
        <f ca="1"/>
        <v>#NAME?</v>
      </c>
      <c r="B464" s="194" t="s">
        <v>431</v>
      </c>
      <c r="C464" s="170"/>
      <c r="D464" s="194" t="str">
        <f ca="1">IFERROR(__xludf.DUMMYFUNCTION("IF(J464="""",""n/a"",IFERROR(SPLIT(J464,""/"")))"),"Oishi")</f>
        <v>Oishi</v>
      </c>
      <c r="E464" s="194" t="str">
        <f ca="1">IFERROR(__xludf.DUMMYFUNCTION("""COMPUTED_VALUE"""),"pack(30x 100grams)")</f>
        <v>pack(30x 100grams)</v>
      </c>
      <c r="F464" s="170"/>
      <c r="G464" s="170"/>
      <c r="H464" s="183" t="s">
        <v>1895</v>
      </c>
      <c r="I464" s="239"/>
      <c r="J464" s="46" t="s">
        <v>432</v>
      </c>
      <c r="K464" s="170"/>
      <c r="L464" s="195">
        <v>28.06</v>
      </c>
      <c r="M464" s="61">
        <v>30</v>
      </c>
      <c r="N464" s="61">
        <v>1</v>
      </c>
      <c r="O464" s="61" t="str">
        <f t="shared" ca="1" si="26"/>
        <v>pack(30x 100grams)</v>
      </c>
      <c r="P464" s="100" t="s">
        <v>92</v>
      </c>
      <c r="Q464" s="170"/>
      <c r="R464" s="170"/>
      <c r="S464" s="198">
        <f t="shared" si="27"/>
        <v>30</v>
      </c>
      <c r="T464" s="199" t="str">
        <f t="shared" si="28"/>
        <v>30pieces</v>
      </c>
      <c r="U464" s="200">
        <f t="shared" si="29"/>
        <v>841.8</v>
      </c>
      <c r="V464" s="12"/>
      <c r="W464" s="12"/>
    </row>
    <row r="465" spans="1:23" x14ac:dyDescent="0.3">
      <c r="A465" s="183" t="e">
        <f ca="1"/>
        <v>#NAME?</v>
      </c>
      <c r="B465" s="194" t="s">
        <v>190</v>
      </c>
      <c r="C465" s="170"/>
      <c r="D465" s="194" t="str">
        <f ca="1">IFERROR(__xludf.DUMMYFUNCTION("IF(J465="""",""n/a"",IFERROR(SPLIT(J465,""/"")))"),"Del Monte")</f>
        <v>Del Monte</v>
      </c>
      <c r="E465" s="194" t="str">
        <f ca="1">IFERROR(__xludf.DUMMYFUNCTION("""COMPUTED_VALUE"""),"can227grams")</f>
        <v>can227grams</v>
      </c>
      <c r="F465" s="194" t="str">
        <f ca="1">IFERROR(__xludf.DUMMYFUNCTION("""COMPUTED_VALUE"""),"137drained weight")</f>
        <v>137drained weight</v>
      </c>
      <c r="G465" s="170"/>
      <c r="H465" s="183" t="s">
        <v>1897</v>
      </c>
      <c r="I465" s="239"/>
      <c r="J465" s="46" t="s">
        <v>715</v>
      </c>
      <c r="K465" s="170"/>
      <c r="L465" s="195">
        <v>0.25912408759124089</v>
      </c>
      <c r="M465" s="210">
        <v>411</v>
      </c>
      <c r="N465" s="203">
        <v>137</v>
      </c>
      <c r="O465" s="61" t="str">
        <f t="shared" ca="1" si="26"/>
        <v>can227grams</v>
      </c>
      <c r="P465" s="261" t="s">
        <v>519</v>
      </c>
      <c r="Q465" s="170"/>
      <c r="R465" s="192" t="str">
        <f t="shared" ref="R465:R466" si="41">CONCATENATE(N465,P465)</f>
        <v>137drained weight grams</v>
      </c>
      <c r="S465" s="198">
        <f t="shared" si="27"/>
        <v>56307</v>
      </c>
      <c r="T465" s="199" t="str">
        <f t="shared" si="28"/>
        <v>56307drained weight grams</v>
      </c>
      <c r="U465" s="200">
        <f t="shared" si="29"/>
        <v>106.5</v>
      </c>
      <c r="V465" s="205">
        <f t="shared" ref="V465:V466" si="42">U465/M465</f>
        <v>0.25912408759124089</v>
      </c>
      <c r="W465" s="62"/>
    </row>
    <row r="466" spans="1:23" x14ac:dyDescent="0.3">
      <c r="A466" s="183" t="e">
        <f ca="1"/>
        <v>#NAME?</v>
      </c>
      <c r="B466" s="194" t="s">
        <v>190</v>
      </c>
      <c r="C466" s="170"/>
      <c r="D466" s="194" t="str">
        <f ca="1">IFERROR(__xludf.DUMMYFUNCTION("IF(J466="""",""n/a"",IFERROR(SPLIT(J466,""/"")))"),"Mr Gulaman")</f>
        <v>Mr Gulaman</v>
      </c>
      <c r="E466" s="194" t="str">
        <f ca="1">IFERROR(__xludf.DUMMYFUNCTION("""COMPUTED_VALUE"""),"box")</f>
        <v>box</v>
      </c>
      <c r="F466" s="194" t="str">
        <f ca="1">IFERROR(__xludf.DUMMYFUNCTION("""COMPUTED_VALUE"""),"(10sachetx25grams)")</f>
        <v>(10sachetx25grams)</v>
      </c>
      <c r="G466" s="170"/>
      <c r="H466" s="183" t="s">
        <v>1897</v>
      </c>
      <c r="I466" s="239"/>
      <c r="J466" s="46" t="s">
        <v>69</v>
      </c>
      <c r="K466" s="170"/>
      <c r="L466" s="195">
        <v>0.44880000000000003</v>
      </c>
      <c r="M466" s="203">
        <v>450</v>
      </c>
      <c r="N466" s="202">
        <v>25</v>
      </c>
      <c r="O466" s="61" t="str">
        <f t="shared" ca="1" si="26"/>
        <v>box</v>
      </c>
      <c r="P466" s="255" t="s">
        <v>39</v>
      </c>
      <c r="Q466" s="170"/>
      <c r="R466" s="192" t="str">
        <f t="shared" si="41"/>
        <v>25grams</v>
      </c>
      <c r="S466" s="198">
        <f t="shared" si="27"/>
        <v>11250</v>
      </c>
      <c r="T466" s="199" t="str">
        <f t="shared" si="28"/>
        <v>11250grams</v>
      </c>
      <c r="U466" s="200">
        <f t="shared" si="29"/>
        <v>201.96</v>
      </c>
      <c r="V466" s="205">
        <f t="shared" si="42"/>
        <v>0.44880000000000003</v>
      </c>
      <c r="W466" s="62"/>
    </row>
    <row r="467" spans="1:23" x14ac:dyDescent="0.3">
      <c r="A467" s="183" t="e">
        <f ca="1"/>
        <v>#NAME?</v>
      </c>
      <c r="B467" s="194" t="s">
        <v>190</v>
      </c>
      <c r="C467" s="170"/>
      <c r="D467" s="194" t="str">
        <f ca="1">IFERROR(__xludf.DUMMYFUNCTION("IF(J467="""",""n/a"",IFERROR(SPLIT(J467,""/"")))"),"Del Monte")</f>
        <v>Del Monte</v>
      </c>
      <c r="E467" s="194" t="str">
        <f ca="1">IFERROR(__xludf.DUMMYFUNCTION("""COMPUTED_VALUE"""),"can (200grams)")</f>
        <v>can (200grams)</v>
      </c>
      <c r="F467" s="170"/>
      <c r="G467" s="170"/>
      <c r="H467" s="183" t="s">
        <v>1895</v>
      </c>
      <c r="I467" s="253"/>
      <c r="J467" s="46" t="s">
        <v>191</v>
      </c>
      <c r="K467" s="170"/>
      <c r="L467" s="195">
        <v>27.3</v>
      </c>
      <c r="M467" s="61">
        <v>12</v>
      </c>
      <c r="N467" s="61">
        <v>1</v>
      </c>
      <c r="O467" s="61" t="str">
        <f t="shared" ca="1" si="26"/>
        <v>can (200grams)</v>
      </c>
      <c r="P467" s="100" t="s">
        <v>39</v>
      </c>
      <c r="Q467" s="170"/>
      <c r="R467" s="170"/>
      <c r="S467" s="198">
        <f t="shared" si="27"/>
        <v>12</v>
      </c>
      <c r="T467" s="199" t="str">
        <f t="shared" si="28"/>
        <v>12grams</v>
      </c>
      <c r="U467" s="200">
        <f t="shared" si="29"/>
        <v>327.60000000000002</v>
      </c>
      <c r="V467" s="12"/>
      <c r="W467" s="12"/>
    </row>
    <row r="468" spans="1:23" x14ac:dyDescent="0.3">
      <c r="A468" s="183" t="e">
        <f ca="1"/>
        <v>#NAME?</v>
      </c>
      <c r="B468" s="194" t="s">
        <v>716</v>
      </c>
      <c r="C468" s="170"/>
      <c r="D468" s="194" t="str">
        <f ca="1">IFERROR(__xludf.DUMMYFUNCTION("IF(J468="""",""n/a"",IFERROR(SPLIT(J468,""/"")))"),"ZEST-O Big 250")</f>
        <v>ZEST-O Big 250</v>
      </c>
      <c r="E468" s="194" t="str">
        <f ca="1">IFERROR(__xludf.DUMMYFUNCTION("""COMPUTED_VALUE"""),"box(10x250ml)")</f>
        <v>box(10x250ml)</v>
      </c>
      <c r="F468" s="170"/>
      <c r="G468" s="170"/>
      <c r="H468" s="183" t="s">
        <v>1897</v>
      </c>
      <c r="I468" s="239"/>
      <c r="J468" s="46" t="s">
        <v>717</v>
      </c>
      <c r="K468" s="170"/>
      <c r="L468" s="195">
        <v>8.86</v>
      </c>
      <c r="M468" s="212">
        <v>3</v>
      </c>
      <c r="N468" s="247">
        <v>1</v>
      </c>
      <c r="O468" s="61" t="str">
        <f t="shared" ca="1" si="26"/>
        <v>box(10x250ml)</v>
      </c>
      <c r="P468" s="61" t="s">
        <v>92</v>
      </c>
      <c r="Q468" s="170"/>
      <c r="R468" s="192" t="str">
        <f t="shared" ref="R468:R470" si="43">CONCATENATE(N468,P468)</f>
        <v>1pieces</v>
      </c>
      <c r="S468" s="198">
        <f t="shared" si="27"/>
        <v>3</v>
      </c>
      <c r="T468" s="199" t="str">
        <f t="shared" si="28"/>
        <v>3pieces</v>
      </c>
      <c r="U468" s="200">
        <f t="shared" si="29"/>
        <v>26.58</v>
      </c>
      <c r="V468" s="205">
        <f t="shared" ref="V468:V470" si="44">U468/M468</f>
        <v>8.86</v>
      </c>
      <c r="W468" s="62"/>
    </row>
    <row r="469" spans="1:23" x14ac:dyDescent="0.3">
      <c r="A469" s="183" t="e">
        <f ca="1"/>
        <v>#NAME?</v>
      </c>
      <c r="B469" s="194" t="s">
        <v>718</v>
      </c>
      <c r="C469" s="170"/>
      <c r="D469" s="194" t="str">
        <f ca="1">IFERROR(__xludf.DUMMYFUNCTION("IF(J469="""",""n/a"",IFERROR(SPLIT(J469,""/"")))"),"Tang")</f>
        <v>Tang</v>
      </c>
      <c r="E469" s="194" t="str">
        <f ca="1">IFERROR(__xludf.DUMMYFUNCTION("""COMPUTED_VALUE"""),"sachet")</f>
        <v>sachet</v>
      </c>
      <c r="F469" s="194" t="str">
        <f ca="1">IFERROR(__xludf.DUMMYFUNCTION("""COMPUTED_VALUE"""),"19grams")</f>
        <v>19grams</v>
      </c>
      <c r="G469" s="170"/>
      <c r="H469" s="183" t="s">
        <v>1897</v>
      </c>
      <c r="I469" s="239"/>
      <c r="J469" s="46" t="s">
        <v>719</v>
      </c>
      <c r="K469" s="170"/>
      <c r="L469" s="251">
        <v>19</v>
      </c>
      <c r="M469" s="247">
        <v>12</v>
      </c>
      <c r="N469" s="247">
        <v>1</v>
      </c>
      <c r="O469" s="61" t="str">
        <f t="shared" ca="1" si="26"/>
        <v>sachet</v>
      </c>
      <c r="P469" s="240" t="s">
        <v>39</v>
      </c>
      <c r="Q469" s="170"/>
      <c r="R469" s="192" t="str">
        <f t="shared" si="43"/>
        <v>1grams</v>
      </c>
      <c r="S469" s="198">
        <f t="shared" si="27"/>
        <v>12</v>
      </c>
      <c r="T469" s="199" t="str">
        <f t="shared" si="28"/>
        <v>12grams</v>
      </c>
      <c r="U469" s="200">
        <f t="shared" si="29"/>
        <v>228</v>
      </c>
      <c r="V469" s="205">
        <f t="shared" si="44"/>
        <v>19</v>
      </c>
      <c r="W469" s="62"/>
    </row>
    <row r="470" spans="1:23" x14ac:dyDescent="0.3">
      <c r="A470" s="183" t="e">
        <f ca="1"/>
        <v>#NAME?</v>
      </c>
      <c r="B470" s="194" t="s">
        <v>111</v>
      </c>
      <c r="C470" s="170"/>
      <c r="D470" s="194" t="str">
        <f ca="1">IFERROR(__xludf.DUMMYFUNCTION("IF(J470="""",""n/a"",IFERROR(SPLIT(J470,""/"")))"),"Del Monte")</f>
        <v>Del Monte</v>
      </c>
      <c r="E470" s="194" t="str">
        <f ca="1">IFERROR(__xludf.DUMMYFUNCTION("""COMPUTED_VALUE"""),"case (24x220ml)")</f>
        <v>case (24x220ml)</v>
      </c>
      <c r="F470" s="170"/>
      <c r="G470" s="170"/>
      <c r="H470" s="183" t="s">
        <v>1897</v>
      </c>
      <c r="I470" s="239"/>
      <c r="J470" s="46" t="s">
        <v>720</v>
      </c>
      <c r="K470" s="170"/>
      <c r="L470" s="254">
        <v>27.97</v>
      </c>
      <c r="M470" s="262">
        <v>34</v>
      </c>
      <c r="N470" s="247">
        <v>1</v>
      </c>
      <c r="O470" s="61" t="str">
        <f t="shared" ca="1" si="26"/>
        <v>case (24x220ml)</v>
      </c>
      <c r="P470" s="240" t="s">
        <v>92</v>
      </c>
      <c r="Q470" s="170"/>
      <c r="R470" s="192" t="str">
        <f t="shared" si="43"/>
        <v>1pieces</v>
      </c>
      <c r="S470" s="198">
        <f t="shared" si="27"/>
        <v>34</v>
      </c>
      <c r="T470" s="199" t="str">
        <f t="shared" si="28"/>
        <v>34pieces</v>
      </c>
      <c r="U470" s="200">
        <f t="shared" si="29"/>
        <v>950.98</v>
      </c>
      <c r="V470" s="205">
        <f t="shared" si="44"/>
        <v>27.97</v>
      </c>
      <c r="W470" s="62"/>
    </row>
    <row r="471" spans="1:23" x14ac:dyDescent="0.3">
      <c r="A471" s="183" t="e">
        <f ca="1"/>
        <v>#NAME?</v>
      </c>
      <c r="B471" s="214" t="s">
        <v>111</v>
      </c>
      <c r="C471" s="215"/>
      <c r="D471" s="194" t="str">
        <f ca="1">IFERROR(__xludf.DUMMYFUNCTION("IF(J471="""",""n/a"",IFERROR(SPLIT(J471,""/"")))"),"Del Monte")</f>
        <v>Del Monte</v>
      </c>
      <c r="E471" s="214" t="str">
        <f ca="1">IFERROR(__xludf.DUMMYFUNCTION("""COMPUTED_VALUE"""),"case (24pcsx220ml)")</f>
        <v>case (24pcsx220ml)</v>
      </c>
      <c r="F471" s="215"/>
      <c r="G471" s="215"/>
      <c r="H471" s="183" t="s">
        <v>1895</v>
      </c>
      <c r="I471" s="170"/>
      <c r="J471" s="46" t="s">
        <v>112</v>
      </c>
      <c r="K471" s="170"/>
      <c r="L471" s="254">
        <v>27.98</v>
      </c>
      <c r="M471" s="100">
        <v>72</v>
      </c>
      <c r="N471" s="100">
        <v>1</v>
      </c>
      <c r="O471" s="61" t="str">
        <f t="shared" ca="1" si="26"/>
        <v>case (24pcsx220ml)</v>
      </c>
      <c r="P471" s="240" t="s">
        <v>92</v>
      </c>
      <c r="Q471" s="170"/>
      <c r="R471" s="170"/>
      <c r="S471" s="198">
        <f t="shared" si="27"/>
        <v>72</v>
      </c>
      <c r="T471" s="199" t="str">
        <f t="shared" si="28"/>
        <v>72pieces</v>
      </c>
      <c r="U471" s="200">
        <f t="shared" si="29"/>
        <v>2014.56</v>
      </c>
      <c r="V471" s="12"/>
      <c r="W471" s="12"/>
    </row>
    <row r="472" spans="1:23" x14ac:dyDescent="0.3">
      <c r="A472" s="183" t="e">
        <f ca="1"/>
        <v>#NAME?</v>
      </c>
      <c r="B472" s="194" t="s">
        <v>721</v>
      </c>
      <c r="C472" s="170"/>
      <c r="D472" s="194" t="str">
        <f ca="1">IFERROR(__xludf.DUMMYFUNCTION("IF(J472="""",""n/a"",IFERROR(SPLIT(J472,""/"")))"),"Del Monte")</f>
        <v>Del Monte</v>
      </c>
      <c r="E472" s="194" t="str">
        <f ca="1">IFERROR(__xludf.DUMMYFUNCTION("""COMPUTED_VALUE"""),"can")</f>
        <v>can</v>
      </c>
      <c r="F472" s="194" t="str">
        <f ca="1">IFERROR(__xludf.DUMMYFUNCTION("""COMPUTED_VALUE"""),"137227grams")</f>
        <v>137227grams</v>
      </c>
      <c r="G472" s="170"/>
      <c r="H472" s="183" t="s">
        <v>1897</v>
      </c>
      <c r="I472" s="170"/>
      <c r="J472" s="46" t="s">
        <v>722</v>
      </c>
      <c r="K472" s="170"/>
      <c r="L472" s="254">
        <v>0.16387665198237886</v>
      </c>
      <c r="M472" s="263">
        <v>681</v>
      </c>
      <c r="N472" s="247">
        <v>227</v>
      </c>
      <c r="O472" s="61" t="str">
        <f t="shared" ca="1" si="26"/>
        <v>can</v>
      </c>
      <c r="P472" s="240" t="s">
        <v>39</v>
      </c>
      <c r="Q472" s="170"/>
      <c r="R472" s="192" t="str">
        <f>CONCATENATE(N472,P472)</f>
        <v>227grams</v>
      </c>
      <c r="S472" s="198">
        <f t="shared" si="27"/>
        <v>154587</v>
      </c>
      <c r="T472" s="199" t="str">
        <f t="shared" si="28"/>
        <v>154587grams</v>
      </c>
      <c r="U472" s="200">
        <f t="shared" si="29"/>
        <v>111.60000000000001</v>
      </c>
      <c r="V472" s="205">
        <f>U472/M472</f>
        <v>0.16387665198237886</v>
      </c>
      <c r="W472" s="62"/>
    </row>
    <row r="473" spans="1:23" x14ac:dyDescent="0.3">
      <c r="A473" s="183" t="e">
        <f ca="1"/>
        <v>#NAME?</v>
      </c>
      <c r="B473" s="194" t="s">
        <v>723</v>
      </c>
      <c r="C473" s="170"/>
      <c r="D473" s="194" t="str">
        <f ca="1">IFERROR(__xludf.DUMMYFUNCTION("IF(J473="""",""n/a"",IFERROR(SPLIT(J473,""/"")))"),"n/a")</f>
        <v>n/a</v>
      </c>
      <c r="E473" s="170"/>
      <c r="F473" s="170"/>
      <c r="G473" s="170"/>
      <c r="H473" s="206" t="s">
        <v>1898</v>
      </c>
      <c r="I473" s="170"/>
      <c r="J473" s="170"/>
      <c r="K473" s="170"/>
      <c r="L473" s="255">
        <v>0.13035019455252919</v>
      </c>
      <c r="M473" s="250">
        <v>514</v>
      </c>
      <c r="N473" s="250">
        <v>257</v>
      </c>
      <c r="O473" s="170">
        <f t="shared" si="26"/>
        <v>0</v>
      </c>
      <c r="P473" s="240" t="s">
        <v>39</v>
      </c>
      <c r="Q473" s="170"/>
      <c r="R473" s="170"/>
      <c r="S473" s="198">
        <f t="shared" si="27"/>
        <v>132098</v>
      </c>
      <c r="T473" s="199" t="str">
        <f t="shared" si="28"/>
        <v>132098grams</v>
      </c>
      <c r="U473" s="200">
        <f t="shared" si="29"/>
        <v>67</v>
      </c>
      <c r="V473" s="12"/>
      <c r="W473" s="12"/>
    </row>
    <row r="474" spans="1:23" x14ac:dyDescent="0.3">
      <c r="A474" s="183" t="e">
        <f ca="1"/>
        <v>#NAME?</v>
      </c>
      <c r="B474" s="194" t="s">
        <v>296</v>
      </c>
      <c r="C474" s="170"/>
      <c r="D474" s="194" t="str">
        <f ca="1">IFERROR(__xludf.DUMMYFUNCTION("IF(J474="""",""n/a"",IFERROR(SPLIT(J474,""/"")))"),"Indicate ave weight")</f>
        <v>Indicate ave weight</v>
      </c>
      <c r="E474" s="194" t="str">
        <f ca="1">IFERROR(__xludf.DUMMYFUNCTION("""COMPUTED_VALUE"""),"piece")</f>
        <v>piece</v>
      </c>
      <c r="F474" s="170"/>
      <c r="G474" s="170"/>
      <c r="H474" s="183" t="s">
        <v>1895</v>
      </c>
      <c r="I474" s="170"/>
      <c r="J474" s="46" t="s">
        <v>297</v>
      </c>
      <c r="K474" s="170"/>
      <c r="L474" s="254">
        <v>670</v>
      </c>
      <c r="M474" s="100">
        <v>9</v>
      </c>
      <c r="N474" s="100">
        <v>1</v>
      </c>
      <c r="O474" s="61" t="str">
        <f t="shared" ca="1" si="26"/>
        <v>piece</v>
      </c>
      <c r="P474" s="240" t="s">
        <v>39</v>
      </c>
      <c r="Q474" s="170"/>
      <c r="R474" s="170"/>
      <c r="S474" s="198">
        <f t="shared" si="27"/>
        <v>9</v>
      </c>
      <c r="T474" s="199" t="str">
        <f t="shared" si="28"/>
        <v>9grams</v>
      </c>
      <c r="U474" s="200">
        <f t="shared" si="29"/>
        <v>6030</v>
      </c>
      <c r="V474" s="12"/>
      <c r="W474" s="12"/>
    </row>
    <row r="475" spans="1:23" x14ac:dyDescent="0.3">
      <c r="A475" s="183" t="e">
        <f ca="1"/>
        <v>#NAME?</v>
      </c>
      <c r="B475" s="194" t="s">
        <v>296</v>
      </c>
      <c r="C475" s="170"/>
      <c r="D475" s="194" t="str">
        <f ca="1">IFERROR(__xludf.DUMMYFUNCTION("IF(J475="""",""n/a"",IFERROR(SPLIT(J475,""/"")))"),"n/a")</f>
        <v>n/a</v>
      </c>
      <c r="E475" s="170"/>
      <c r="F475" s="170"/>
      <c r="G475" s="170"/>
      <c r="H475" s="206" t="s">
        <v>1898</v>
      </c>
      <c r="I475" s="170"/>
      <c r="J475" s="170"/>
      <c r="K475" s="170"/>
      <c r="L475" s="255">
        <v>0.7</v>
      </c>
      <c r="M475" s="250">
        <v>3000</v>
      </c>
      <c r="N475" s="250">
        <v>1000</v>
      </c>
      <c r="O475" s="170">
        <f t="shared" si="26"/>
        <v>0</v>
      </c>
      <c r="P475" s="240" t="s">
        <v>39</v>
      </c>
      <c r="Q475" s="170"/>
      <c r="R475" s="170"/>
      <c r="S475" s="198">
        <f t="shared" si="27"/>
        <v>3000000</v>
      </c>
      <c r="T475" s="199" t="str">
        <f t="shared" si="28"/>
        <v>3000000grams</v>
      </c>
      <c r="U475" s="200">
        <f t="shared" si="29"/>
        <v>2100</v>
      </c>
      <c r="V475" s="12"/>
      <c r="W475" s="12"/>
    </row>
    <row r="476" spans="1:23" x14ac:dyDescent="0.3">
      <c r="A476" s="183" t="e">
        <f ca="1"/>
        <v>#NAME?</v>
      </c>
      <c r="B476" s="194" t="s">
        <v>298</v>
      </c>
      <c r="C476" s="170"/>
      <c r="D476" s="194" t="str">
        <f ca="1">IFERROR(__xludf.DUMMYFUNCTION("IF(J476="""",""n/a"",IFERROR(SPLIT(J476,""/"")))"),"Indicate ave weight")</f>
        <v>Indicate ave weight</v>
      </c>
      <c r="E476" s="194" t="str">
        <f ca="1">IFERROR(__xludf.DUMMYFUNCTION("""COMPUTED_VALUE"""),"piece")</f>
        <v>piece</v>
      </c>
      <c r="F476" s="170"/>
      <c r="G476" s="170"/>
      <c r="H476" s="183" t="s">
        <v>1895</v>
      </c>
      <c r="I476" s="170"/>
      <c r="J476" s="46" t="s">
        <v>297</v>
      </c>
      <c r="K476" s="170"/>
      <c r="L476" s="254">
        <v>205</v>
      </c>
      <c r="M476" s="100">
        <v>12</v>
      </c>
      <c r="N476" s="100">
        <v>1</v>
      </c>
      <c r="O476" s="61" t="str">
        <f t="shared" ca="1" si="26"/>
        <v>piece</v>
      </c>
      <c r="P476" s="240" t="s">
        <v>39</v>
      </c>
      <c r="Q476" s="170"/>
      <c r="R476" s="170"/>
      <c r="S476" s="198">
        <f t="shared" si="27"/>
        <v>12</v>
      </c>
      <c r="T476" s="199" t="str">
        <f t="shared" si="28"/>
        <v>12grams</v>
      </c>
      <c r="U476" s="200">
        <f t="shared" si="29"/>
        <v>2460</v>
      </c>
      <c r="V476" s="12"/>
      <c r="W476" s="12"/>
    </row>
    <row r="477" spans="1:23" x14ac:dyDescent="0.3">
      <c r="A477" s="183" t="e">
        <f ca="1"/>
        <v>#NAME?</v>
      </c>
      <c r="B477" s="194" t="s">
        <v>724</v>
      </c>
      <c r="C477" s="170"/>
      <c r="D477" s="194" t="str">
        <f ca="1">IFERROR(__xludf.DUMMYFUNCTION("IF(J477="""",""n/a"",IFERROR(SPLIT(J477,""/"")))"),"n/a")</f>
        <v>n/a</v>
      </c>
      <c r="E477" s="170"/>
      <c r="F477" s="170"/>
      <c r="G477" s="170"/>
      <c r="H477" s="206" t="s">
        <v>1898</v>
      </c>
      <c r="I477" s="170"/>
      <c r="J477" s="170"/>
      <c r="K477" s="170"/>
      <c r="L477" s="255">
        <v>25.52</v>
      </c>
      <c r="M477" s="250">
        <v>17</v>
      </c>
      <c r="N477" s="250">
        <v>1</v>
      </c>
      <c r="O477" s="170">
        <f t="shared" si="26"/>
        <v>0</v>
      </c>
      <c r="P477" s="240" t="s">
        <v>92</v>
      </c>
      <c r="Q477" s="170"/>
      <c r="R477" s="170"/>
      <c r="S477" s="198">
        <f t="shared" si="27"/>
        <v>17</v>
      </c>
      <c r="T477" s="199" t="str">
        <f t="shared" si="28"/>
        <v>17pieces</v>
      </c>
      <c r="U477" s="200">
        <f t="shared" si="29"/>
        <v>433.84</v>
      </c>
      <c r="V477" s="12"/>
      <c r="W477" s="12"/>
    </row>
    <row r="478" spans="1:23" x14ac:dyDescent="0.3">
      <c r="A478" s="183" t="e">
        <f ca="1"/>
        <v>#NAME?</v>
      </c>
      <c r="B478" s="194" t="s">
        <v>725</v>
      </c>
      <c r="C478" s="170"/>
      <c r="D478" s="194" t="str">
        <f ca="1">IFERROR(__xludf.DUMMYFUNCTION("IF(J478="""",""n/a"",IFERROR(SPLIT(J478,""/"")))"),"Oishi")</f>
        <v>Oishi</v>
      </c>
      <c r="E478" s="194" t="str">
        <f ca="1">IFERROR(__xludf.DUMMYFUNCTION("""COMPUTED_VALUE""")," box (50pcsx60grams)")</f>
        <v xml:space="preserve"> box (50pcsx60grams)</v>
      </c>
      <c r="F478" s="170"/>
      <c r="G478" s="170"/>
      <c r="H478" s="183" t="s">
        <v>1897</v>
      </c>
      <c r="I478" s="170"/>
      <c r="J478" s="96" t="s">
        <v>726</v>
      </c>
      <c r="K478" s="170"/>
      <c r="L478" s="257">
        <v>15.22</v>
      </c>
      <c r="M478" s="247">
        <v>49</v>
      </c>
      <c r="N478" s="247">
        <v>1</v>
      </c>
      <c r="O478" s="61" t="str">
        <f t="shared" ca="1" si="26"/>
        <v xml:space="preserve"> box (50pcsx60grams)</v>
      </c>
      <c r="P478" s="240" t="s">
        <v>92</v>
      </c>
      <c r="Q478" s="170"/>
      <c r="R478" s="192" t="str">
        <f t="shared" ref="R478:R479" si="45">CONCATENATE(N478,P478)</f>
        <v>1pieces</v>
      </c>
      <c r="S478" s="198">
        <f t="shared" si="27"/>
        <v>49</v>
      </c>
      <c r="T478" s="199" t="str">
        <f t="shared" si="28"/>
        <v>49pieces</v>
      </c>
      <c r="U478" s="200">
        <f t="shared" si="29"/>
        <v>745.78000000000009</v>
      </c>
      <c r="V478" s="12"/>
      <c r="W478" s="12"/>
    </row>
    <row r="479" spans="1:23" x14ac:dyDescent="0.3">
      <c r="A479" s="183" t="e">
        <f ca="1"/>
        <v>#NAME?</v>
      </c>
      <c r="B479" s="232" t="s">
        <v>727</v>
      </c>
      <c r="C479" s="191"/>
      <c r="D479" s="194" t="str">
        <f ca="1">IFERROR(__xludf.DUMMYFUNCTION("IF(J479="""",""n/a"",IFERROR(SPLIT(J479,""/"")))"),"oishi")</f>
        <v>oishi</v>
      </c>
      <c r="E479" s="232" t="str">
        <f ca="1">IFERROR(__xludf.DUMMYFUNCTION("""COMPUTED_VALUE"""),"box")</f>
        <v>box</v>
      </c>
      <c r="F479" s="232">
        <f ca="1">IFERROR(__xludf.DUMMYFUNCTION("""COMPUTED_VALUE"""),50)</f>
        <v>50</v>
      </c>
      <c r="G479" s="232" t="str">
        <f ca="1">IFERROR(__xludf.DUMMYFUNCTION("""COMPUTED_VALUE"""),"60g")</f>
        <v>60g</v>
      </c>
      <c r="H479" s="183" t="s">
        <v>1897</v>
      </c>
      <c r="I479" s="170"/>
      <c r="J479" s="264" t="s">
        <v>728</v>
      </c>
      <c r="K479" s="170"/>
      <c r="L479" s="257">
        <v>15.19</v>
      </c>
      <c r="M479" s="265">
        <v>28</v>
      </c>
      <c r="N479" s="247">
        <v>1</v>
      </c>
      <c r="O479" s="61" t="str">
        <f t="shared" ca="1" si="26"/>
        <v>box</v>
      </c>
      <c r="P479" s="100" t="s">
        <v>92</v>
      </c>
      <c r="Q479" s="170"/>
      <c r="R479" s="192" t="str">
        <f t="shared" si="45"/>
        <v>1pieces</v>
      </c>
      <c r="S479" s="198">
        <f t="shared" si="27"/>
        <v>28</v>
      </c>
      <c r="T479" s="199" t="str">
        <f t="shared" si="28"/>
        <v>28pieces</v>
      </c>
      <c r="U479" s="200">
        <f t="shared" si="29"/>
        <v>425.32</v>
      </c>
      <c r="V479" s="12"/>
      <c r="W479" s="12"/>
    </row>
    <row r="480" spans="1:23" x14ac:dyDescent="0.3">
      <c r="A480" s="183" t="e">
        <f ca="1"/>
        <v>#NAME?</v>
      </c>
      <c r="B480" s="214" t="s">
        <v>192</v>
      </c>
      <c r="C480" s="215"/>
      <c r="D480" s="194" t="str">
        <f ca="1">IFERROR(__xludf.DUMMYFUNCTION("IF(J480="""",""n/a"",IFERROR(SPLIT(J480,""/"")))"),"Hunts")</f>
        <v>Hunts</v>
      </c>
      <c r="E480" s="214" t="str">
        <f ca="1">IFERROR(__xludf.DUMMYFUNCTION("""COMPUTED_VALUE"""),"can")</f>
        <v>can</v>
      </c>
      <c r="F480" s="214" t="str">
        <f ca="1">IFERROR(__xludf.DUMMYFUNCTION("""COMPUTED_VALUE"""),"425grams")</f>
        <v>425grams</v>
      </c>
      <c r="G480" s="215"/>
      <c r="H480" s="183" t="s">
        <v>1895</v>
      </c>
      <c r="I480" s="215"/>
      <c r="J480" s="46" t="s">
        <v>193</v>
      </c>
      <c r="K480" s="170"/>
      <c r="L480" s="254">
        <v>59.8</v>
      </c>
      <c r="M480" s="100">
        <v>1</v>
      </c>
      <c r="N480" s="100">
        <v>1</v>
      </c>
      <c r="O480" s="61" t="str">
        <f t="shared" ca="1" si="26"/>
        <v>can</v>
      </c>
      <c r="P480" s="100" t="s">
        <v>39</v>
      </c>
      <c r="Q480" s="170"/>
      <c r="R480" s="170"/>
      <c r="S480" s="198">
        <f t="shared" si="27"/>
        <v>1</v>
      </c>
      <c r="T480" s="199" t="str">
        <f t="shared" si="28"/>
        <v>1grams</v>
      </c>
      <c r="U480" s="200">
        <f t="shared" si="29"/>
        <v>59.8</v>
      </c>
      <c r="V480" s="12"/>
      <c r="W480" s="12"/>
    </row>
    <row r="481" spans="1:23" x14ac:dyDescent="0.3">
      <c r="A481" s="183" t="e">
        <f ca="1"/>
        <v>#NAME?</v>
      </c>
      <c r="B481" s="194" t="s">
        <v>729</v>
      </c>
      <c r="C481" s="170"/>
      <c r="D481" s="194" t="str">
        <f ca="1">IFERROR(__xludf.DUMMYFUNCTION("IF(J481="""",""n/a"",IFERROR(SPLIT(J481,""/"")))"),"n/a")</f>
        <v>n/a</v>
      </c>
      <c r="E481" s="170"/>
      <c r="F481" s="170"/>
      <c r="G481" s="170"/>
      <c r="H481" s="206" t="s">
        <v>1898</v>
      </c>
      <c r="I481" s="170"/>
      <c r="J481" s="170"/>
      <c r="K481" s="170"/>
      <c r="L481" s="255">
        <v>145</v>
      </c>
      <c r="M481" s="266">
        <v>18</v>
      </c>
      <c r="N481" s="250">
        <v>1</v>
      </c>
      <c r="O481" s="170">
        <f t="shared" si="26"/>
        <v>0</v>
      </c>
      <c r="P481" s="100" t="s">
        <v>213</v>
      </c>
      <c r="Q481" s="170"/>
      <c r="R481" s="170"/>
      <c r="S481" s="198">
        <f t="shared" si="27"/>
        <v>18</v>
      </c>
      <c r="T481" s="199" t="str">
        <f t="shared" si="28"/>
        <v>18kilos</v>
      </c>
      <c r="U481" s="200">
        <f t="shared" si="29"/>
        <v>2610</v>
      </c>
      <c r="V481" s="12"/>
      <c r="W481" s="12"/>
    </row>
    <row r="482" spans="1:23" x14ac:dyDescent="0.3">
      <c r="A482" s="183" t="e">
        <f ca="1"/>
        <v>#NAME?</v>
      </c>
      <c r="B482" s="194" t="s">
        <v>357</v>
      </c>
      <c r="C482" s="170"/>
      <c r="D482" s="194" t="str">
        <f ca="1">IFERROR(__xludf.DUMMYFUNCTION("IF(J482="""",""n/a"",IFERROR(SPLIT(J482,""/"")))"),"Frozen")</f>
        <v>Frozen</v>
      </c>
      <c r="E482" s="194" t="str">
        <f ca="1">IFERROR(__xludf.DUMMYFUNCTION("""COMPUTED_VALUE"""),"box(kilos)")</f>
        <v>box(kilos)</v>
      </c>
      <c r="F482" s="170"/>
      <c r="G482" s="170"/>
      <c r="H482" s="183" t="s">
        <v>1897</v>
      </c>
      <c r="I482" s="170"/>
      <c r="J482" s="46" t="s">
        <v>212</v>
      </c>
      <c r="K482" s="170"/>
      <c r="L482" s="254">
        <v>178</v>
      </c>
      <c r="M482" s="247">
        <v>44</v>
      </c>
      <c r="N482" s="247">
        <v>1</v>
      </c>
      <c r="O482" s="61" t="str">
        <f t="shared" ca="1" si="26"/>
        <v>box(kilos)</v>
      </c>
      <c r="P482" s="100" t="s">
        <v>213</v>
      </c>
      <c r="Q482" s="170"/>
      <c r="R482" s="192" t="str">
        <f>CONCATENATE(N482,P482)</f>
        <v>1kilos</v>
      </c>
      <c r="S482" s="198">
        <f t="shared" si="27"/>
        <v>44</v>
      </c>
      <c r="T482" s="199" t="str">
        <f t="shared" si="28"/>
        <v>44kilos</v>
      </c>
      <c r="U482" s="200">
        <f t="shared" si="29"/>
        <v>7832</v>
      </c>
      <c r="V482" s="12"/>
      <c r="W482" s="12"/>
    </row>
    <row r="483" spans="1:23" x14ac:dyDescent="0.3">
      <c r="A483" s="183" t="e">
        <f ca="1"/>
        <v>#NAME?</v>
      </c>
      <c r="B483" s="194" t="s">
        <v>357</v>
      </c>
      <c r="C483" s="170"/>
      <c r="D483" s="194" t="str">
        <f ca="1">IFERROR(__xludf.DUMMYFUNCTION("IF(J483="""",""n/a"",IFERROR(SPLIT(J483,""/"")))"),"Frozen")</f>
        <v>Frozen</v>
      </c>
      <c r="E483" s="194" t="str">
        <f ca="1">IFERROR(__xludf.DUMMYFUNCTION("""COMPUTED_VALUE"""),"box(kilos)")</f>
        <v>box(kilos)</v>
      </c>
      <c r="F483" s="170"/>
      <c r="G483" s="170"/>
      <c r="H483" s="183" t="s">
        <v>1895</v>
      </c>
      <c r="I483" s="267"/>
      <c r="J483" s="46" t="s">
        <v>212</v>
      </c>
      <c r="K483" s="170"/>
      <c r="L483" s="254">
        <v>196</v>
      </c>
      <c r="M483" s="100">
        <v>67</v>
      </c>
      <c r="N483" s="100">
        <v>1</v>
      </c>
      <c r="O483" s="61" t="str">
        <f t="shared" ca="1" si="26"/>
        <v>box(kilos)</v>
      </c>
      <c r="P483" s="100" t="s">
        <v>213</v>
      </c>
      <c r="Q483" s="170"/>
      <c r="R483" s="170"/>
      <c r="S483" s="198">
        <f t="shared" si="27"/>
        <v>67</v>
      </c>
      <c r="T483" s="199" t="str">
        <f t="shared" si="28"/>
        <v>67kilos</v>
      </c>
      <c r="U483" s="200">
        <f t="shared" si="29"/>
        <v>13132</v>
      </c>
      <c r="V483" s="12"/>
      <c r="W483" s="12"/>
    </row>
    <row r="484" spans="1:23" x14ac:dyDescent="0.3">
      <c r="A484" s="183" t="e">
        <f ca="1"/>
        <v>#NAME?</v>
      </c>
      <c r="B484" s="194" t="s">
        <v>357</v>
      </c>
      <c r="C484" s="170"/>
      <c r="D484" s="194" t="str">
        <f ca="1">IFERROR(__xludf.DUMMYFUNCTION("IF(J484="""",""n/a"",IFERROR(SPLIT(J484,""/"")))"),"n/a")</f>
        <v>n/a</v>
      </c>
      <c r="E484" s="170"/>
      <c r="F484" s="170"/>
      <c r="G484" s="170"/>
      <c r="H484" s="206" t="s">
        <v>1898</v>
      </c>
      <c r="I484" s="267"/>
      <c r="J484" s="170"/>
      <c r="K484" s="170"/>
      <c r="L484" s="255">
        <v>192</v>
      </c>
      <c r="M484" s="250">
        <f>22.89*2</f>
        <v>45.78</v>
      </c>
      <c r="N484" s="250">
        <v>1</v>
      </c>
      <c r="O484" s="170">
        <f t="shared" si="26"/>
        <v>0</v>
      </c>
      <c r="P484" s="100" t="s">
        <v>213</v>
      </c>
      <c r="Q484" s="170"/>
      <c r="R484" s="170"/>
      <c r="S484" s="198">
        <f t="shared" si="27"/>
        <v>45.78</v>
      </c>
      <c r="T484" s="199" t="str">
        <f t="shared" si="28"/>
        <v>45.78kilos</v>
      </c>
      <c r="U484" s="200">
        <f t="shared" si="29"/>
        <v>8789.76</v>
      </c>
      <c r="V484" s="12"/>
      <c r="W484" s="12"/>
    </row>
    <row r="485" spans="1:23" x14ac:dyDescent="0.3">
      <c r="A485" s="183" t="e">
        <f ca="1"/>
        <v>#NAME?</v>
      </c>
      <c r="B485" s="194" t="s">
        <v>358</v>
      </c>
      <c r="C485" s="170"/>
      <c r="D485" s="194" t="str">
        <f ca="1">IFERROR(__xludf.DUMMYFUNCTION("IF(J485="""",""n/a"",IFERROR(SPLIT(J485,""/"")))"),"Frozen")</f>
        <v>Frozen</v>
      </c>
      <c r="E485" s="194" t="str">
        <f ca="1">IFERROR(__xludf.DUMMYFUNCTION("""COMPUTED_VALUE"""),"box(kilos)")</f>
        <v>box(kilos)</v>
      </c>
      <c r="F485" s="170"/>
      <c r="G485" s="170"/>
      <c r="H485" s="183" t="s">
        <v>1897</v>
      </c>
      <c r="I485" s="267"/>
      <c r="J485" s="46" t="s">
        <v>212</v>
      </c>
      <c r="K485" s="170"/>
      <c r="L485" s="254">
        <v>225</v>
      </c>
      <c r="M485" s="247">
        <v>68</v>
      </c>
      <c r="N485" s="247">
        <v>1</v>
      </c>
      <c r="O485" s="61" t="str">
        <f t="shared" ca="1" si="26"/>
        <v>box(kilos)</v>
      </c>
      <c r="P485" s="100" t="s">
        <v>213</v>
      </c>
      <c r="Q485" s="170"/>
      <c r="R485" s="192" t="str">
        <f>CONCATENATE(N485,P485)</f>
        <v>1kilos</v>
      </c>
      <c r="S485" s="198">
        <f t="shared" si="27"/>
        <v>68</v>
      </c>
      <c r="T485" s="199" t="str">
        <f t="shared" si="28"/>
        <v>68kilos</v>
      </c>
      <c r="U485" s="200">
        <f t="shared" si="29"/>
        <v>15300</v>
      </c>
      <c r="V485" s="12"/>
      <c r="W485" s="12"/>
    </row>
    <row r="486" spans="1:23" x14ac:dyDescent="0.3">
      <c r="A486" s="183" t="e">
        <f ca="1"/>
        <v>#NAME?</v>
      </c>
      <c r="B486" s="194" t="s">
        <v>358</v>
      </c>
      <c r="C486" s="170"/>
      <c r="D486" s="194" t="str">
        <f ca="1">IFERROR(__xludf.DUMMYFUNCTION("IF(J486="""",""n/a"",IFERROR(SPLIT(J486,""/"")))"),"Frozen")</f>
        <v>Frozen</v>
      </c>
      <c r="E486" s="194" t="str">
        <f ca="1">IFERROR(__xludf.DUMMYFUNCTION("""COMPUTED_VALUE"""),"box(kilos)")</f>
        <v>box(kilos)</v>
      </c>
      <c r="F486" s="170"/>
      <c r="G486" s="170"/>
      <c r="H486" s="183" t="s">
        <v>1895</v>
      </c>
      <c r="I486" s="267"/>
      <c r="J486" s="46" t="s">
        <v>212</v>
      </c>
      <c r="K486" s="170"/>
      <c r="L486" s="254">
        <v>220</v>
      </c>
      <c r="M486" s="100">
        <v>222</v>
      </c>
      <c r="N486" s="100">
        <v>1</v>
      </c>
      <c r="O486" s="61" t="str">
        <f t="shared" ca="1" si="26"/>
        <v>box(kilos)</v>
      </c>
      <c r="P486" s="100" t="s">
        <v>213</v>
      </c>
      <c r="Q486" s="170"/>
      <c r="R486" s="170"/>
      <c r="S486" s="198">
        <f t="shared" si="27"/>
        <v>222</v>
      </c>
      <c r="T486" s="199" t="str">
        <f t="shared" si="28"/>
        <v>222kilos</v>
      </c>
      <c r="U486" s="200">
        <f t="shared" si="29"/>
        <v>48840</v>
      </c>
      <c r="V486" s="12"/>
      <c r="W486" s="12"/>
    </row>
    <row r="487" spans="1:23" x14ac:dyDescent="0.3">
      <c r="A487" s="183" t="e">
        <f ca="1"/>
        <v>#NAME?</v>
      </c>
      <c r="B487" s="194" t="s">
        <v>358</v>
      </c>
      <c r="C487" s="170"/>
      <c r="D487" s="194" t="str">
        <f ca="1">IFERROR(__xludf.DUMMYFUNCTION("IF(J487="""",""n/a"",IFERROR(SPLIT(J487,""/"")))"),"n/a")</f>
        <v>n/a</v>
      </c>
      <c r="E487" s="170"/>
      <c r="F487" s="170"/>
      <c r="G487" s="170"/>
      <c r="H487" s="206" t="s">
        <v>1898</v>
      </c>
      <c r="I487" s="267"/>
      <c r="J487" s="170"/>
      <c r="K487" s="170"/>
      <c r="L487" s="255">
        <v>226</v>
      </c>
      <c r="M487" s="266">
        <v>25</v>
      </c>
      <c r="N487" s="250">
        <v>1</v>
      </c>
      <c r="O487" s="170">
        <f t="shared" si="26"/>
        <v>0</v>
      </c>
      <c r="P487" s="100" t="s">
        <v>213</v>
      </c>
      <c r="Q487" s="170"/>
      <c r="R487" s="170"/>
      <c r="S487" s="198">
        <f t="shared" si="27"/>
        <v>25</v>
      </c>
      <c r="T487" s="199" t="str">
        <f t="shared" si="28"/>
        <v>25kilos</v>
      </c>
      <c r="U487" s="200">
        <f t="shared" si="29"/>
        <v>5650</v>
      </c>
      <c r="V487" s="12"/>
      <c r="W487" s="12"/>
    </row>
    <row r="488" spans="1:23" x14ac:dyDescent="0.3">
      <c r="A488" s="183" t="e">
        <f ca="1"/>
        <v>#NAME?</v>
      </c>
      <c r="B488" s="194" t="s">
        <v>359</v>
      </c>
      <c r="C488" s="170"/>
      <c r="D488" s="194" t="str">
        <f ca="1">IFERROR(__xludf.DUMMYFUNCTION("IF(J488="""",""n/a"",IFERROR(SPLIT(J488,""/"")))"),"Frozen")</f>
        <v>Frozen</v>
      </c>
      <c r="E488" s="194" t="str">
        <f ca="1">IFERROR(__xludf.DUMMYFUNCTION("""COMPUTED_VALUE"""),"box(20kilo)")</f>
        <v>box(20kilo)</v>
      </c>
      <c r="F488" s="170"/>
      <c r="G488" s="170"/>
      <c r="H488" s="183" t="s">
        <v>1895</v>
      </c>
      <c r="I488" s="267"/>
      <c r="J488" s="46" t="s">
        <v>360</v>
      </c>
      <c r="K488" s="170"/>
      <c r="L488" s="254">
        <v>282</v>
      </c>
      <c r="M488" s="100">
        <v>47</v>
      </c>
      <c r="N488" s="100">
        <v>1</v>
      </c>
      <c r="O488" s="61" t="str">
        <f t="shared" ca="1" si="26"/>
        <v>box(20kilo)</v>
      </c>
      <c r="P488" s="100" t="s">
        <v>213</v>
      </c>
      <c r="Q488" s="170"/>
      <c r="R488" s="170"/>
      <c r="S488" s="198">
        <f t="shared" si="27"/>
        <v>47</v>
      </c>
      <c r="T488" s="199" t="str">
        <f t="shared" si="28"/>
        <v>47kilos</v>
      </c>
      <c r="U488" s="200">
        <f t="shared" si="29"/>
        <v>13254</v>
      </c>
      <c r="V488" s="12"/>
      <c r="W488" s="12"/>
    </row>
    <row r="489" spans="1:23" x14ac:dyDescent="0.3">
      <c r="A489" s="183" t="e">
        <f ca="1"/>
        <v>#NAME?</v>
      </c>
      <c r="B489" s="194" t="s">
        <v>730</v>
      </c>
      <c r="C489" s="170"/>
      <c r="D489" s="194" t="str">
        <f ca="1">IFERROR(__xludf.DUMMYFUNCTION("IF(J489="""",""n/a"",IFERROR(SPLIT(J489,""/"")))"),"n/a")</f>
        <v>n/a</v>
      </c>
      <c r="E489" s="170"/>
      <c r="F489" s="170"/>
      <c r="G489" s="170"/>
      <c r="H489" s="206" t="s">
        <v>1898</v>
      </c>
      <c r="I489" s="267"/>
      <c r="J489" s="12"/>
      <c r="K489" s="170"/>
      <c r="L489" s="255">
        <v>155</v>
      </c>
      <c r="M489" s="266">
        <v>6</v>
      </c>
      <c r="N489" s="250">
        <v>1</v>
      </c>
      <c r="O489" s="170">
        <f t="shared" si="26"/>
        <v>0</v>
      </c>
      <c r="P489" s="100" t="s">
        <v>213</v>
      </c>
      <c r="Q489" s="170"/>
      <c r="R489" s="170"/>
      <c r="S489" s="198">
        <f t="shared" si="27"/>
        <v>6</v>
      </c>
      <c r="T489" s="199" t="str">
        <f t="shared" si="28"/>
        <v>6kilos</v>
      </c>
      <c r="U489" s="200">
        <f t="shared" si="29"/>
        <v>930</v>
      </c>
      <c r="V489" s="12"/>
      <c r="W489" s="12"/>
    </row>
    <row r="490" spans="1:23" x14ac:dyDescent="0.3">
      <c r="A490" s="183" t="e">
        <f ca="1"/>
        <v>#NAME?</v>
      </c>
      <c r="B490" s="194" t="s">
        <v>361</v>
      </c>
      <c r="C490" s="170"/>
      <c r="D490" s="194" t="str">
        <f ca="1">IFERROR(__xludf.DUMMYFUNCTION("IF(J490="""",""n/a"",IFERROR(SPLIT(J490,""/"")))"),"Frozen")</f>
        <v>Frozen</v>
      </c>
      <c r="E490" s="194" t="str">
        <f ca="1">IFERROR(__xludf.DUMMYFUNCTION("""COMPUTED_VALUE"""),"box(kilos)")</f>
        <v>box(kilos)</v>
      </c>
      <c r="F490" s="170"/>
      <c r="G490" s="170"/>
      <c r="H490" s="183" t="s">
        <v>1895</v>
      </c>
      <c r="I490" s="267"/>
      <c r="J490" s="46" t="s">
        <v>212</v>
      </c>
      <c r="K490" s="170"/>
      <c r="L490" s="254">
        <v>139</v>
      </c>
      <c r="M490" s="100">
        <v>74</v>
      </c>
      <c r="N490" s="100">
        <v>1</v>
      </c>
      <c r="O490" s="61" t="str">
        <f t="shared" ca="1" si="26"/>
        <v>box(kilos)</v>
      </c>
      <c r="P490" s="100" t="s">
        <v>213</v>
      </c>
      <c r="Q490" s="170"/>
      <c r="R490" s="170"/>
      <c r="S490" s="198">
        <f t="shared" si="27"/>
        <v>74</v>
      </c>
      <c r="T490" s="199" t="str">
        <f t="shared" si="28"/>
        <v>74kilos</v>
      </c>
      <c r="U490" s="200">
        <f t="shared" si="29"/>
        <v>10286</v>
      </c>
      <c r="V490" s="12"/>
      <c r="W490" s="12"/>
    </row>
    <row r="491" spans="1:23" x14ac:dyDescent="0.3">
      <c r="A491" s="183" t="e">
        <f ca="1"/>
        <v>#NAME?</v>
      </c>
      <c r="B491" s="194" t="s">
        <v>731</v>
      </c>
      <c r="C491" s="170"/>
      <c r="D491" s="194" t="str">
        <f ca="1">IFERROR(__xludf.DUMMYFUNCTION("IF(J491="""",""n/a"",IFERROR(SPLIT(J491,""/"")))"),"CDO")</f>
        <v>CDO</v>
      </c>
      <c r="E491" s="194" t="str">
        <f ca="1">IFERROR(__xludf.DUMMYFUNCTION("""COMPUTED_VALUE"""),"pack")</f>
        <v>pack</v>
      </c>
      <c r="F491" s="194" t="str">
        <f ca="1">IFERROR(__xludf.DUMMYFUNCTION("""COMPUTED_VALUE"""),"200grams")</f>
        <v>200grams</v>
      </c>
      <c r="G491" s="170"/>
      <c r="H491" s="183" t="s">
        <v>1897</v>
      </c>
      <c r="I491" s="267"/>
      <c r="J491" s="46" t="s">
        <v>732</v>
      </c>
      <c r="K491" s="170"/>
      <c r="L491" s="254">
        <v>0.26750000000000002</v>
      </c>
      <c r="M491" s="263">
        <v>1000</v>
      </c>
      <c r="N491" s="247">
        <v>200</v>
      </c>
      <c r="O491" s="61" t="str">
        <f t="shared" ca="1" si="26"/>
        <v>pack</v>
      </c>
      <c r="P491" s="100" t="s">
        <v>39</v>
      </c>
      <c r="Q491" s="170"/>
      <c r="R491" s="192" t="str">
        <f t="shared" ref="R491:R492" si="46">CONCATENATE(N491,P491)</f>
        <v>200grams</v>
      </c>
      <c r="S491" s="198">
        <f t="shared" si="27"/>
        <v>200000</v>
      </c>
      <c r="T491" s="199" t="str">
        <f t="shared" si="28"/>
        <v>200000grams</v>
      </c>
      <c r="U491" s="200">
        <f t="shared" si="29"/>
        <v>267.5</v>
      </c>
      <c r="V491" s="205">
        <f>U491/M491</f>
        <v>0.26750000000000002</v>
      </c>
      <c r="W491" s="62"/>
    </row>
    <row r="492" spans="1:23" x14ac:dyDescent="0.3">
      <c r="A492" s="183" t="e">
        <f ca="1"/>
        <v>#NAME?</v>
      </c>
      <c r="B492" s="194" t="s">
        <v>362</v>
      </c>
      <c r="C492" s="170"/>
      <c r="D492" s="194" t="str">
        <f ca="1">IFERROR(__xludf.DUMMYFUNCTION("IF(J492="""",""n/a"",IFERROR(SPLIT(J492,""/"")))"),"Frozen")</f>
        <v>Frozen</v>
      </c>
      <c r="E492" s="170"/>
      <c r="F492" s="170"/>
      <c r="G492" s="170"/>
      <c r="H492" s="183" t="s">
        <v>1897</v>
      </c>
      <c r="I492" s="267"/>
      <c r="J492" s="96" t="s">
        <v>363</v>
      </c>
      <c r="K492" s="170"/>
      <c r="L492" s="255">
        <v>205</v>
      </c>
      <c r="M492" s="247">
        <v>9</v>
      </c>
      <c r="N492" s="247">
        <v>1</v>
      </c>
      <c r="O492" s="170">
        <f t="shared" si="26"/>
        <v>0</v>
      </c>
      <c r="P492" s="100" t="s">
        <v>213</v>
      </c>
      <c r="Q492" s="170"/>
      <c r="R492" s="192" t="str">
        <f t="shared" si="46"/>
        <v>1kilos</v>
      </c>
      <c r="S492" s="198">
        <f t="shared" si="27"/>
        <v>9</v>
      </c>
      <c r="T492" s="199" t="str">
        <f t="shared" si="28"/>
        <v>9kilos</v>
      </c>
      <c r="U492" s="200">
        <f t="shared" si="29"/>
        <v>1845</v>
      </c>
      <c r="V492" s="12"/>
      <c r="W492" s="12"/>
    </row>
    <row r="493" spans="1:23" x14ac:dyDescent="0.3">
      <c r="A493" s="183" t="e">
        <f ca="1"/>
        <v>#NAME?</v>
      </c>
      <c r="B493" s="194" t="s">
        <v>362</v>
      </c>
      <c r="C493" s="170"/>
      <c r="D493" s="194" t="str">
        <f ca="1">IFERROR(__xludf.DUMMYFUNCTION("IF(J493="""",""n/a"",IFERROR(SPLIT(J493,""/"")))"),"Frozen")</f>
        <v>Frozen</v>
      </c>
      <c r="E493" s="170"/>
      <c r="F493" s="170"/>
      <c r="G493" s="170"/>
      <c r="H493" s="183" t="s">
        <v>1895</v>
      </c>
      <c r="I493" s="267"/>
      <c r="J493" s="96" t="s">
        <v>363</v>
      </c>
      <c r="K493" s="170"/>
      <c r="L493" s="254">
        <v>205</v>
      </c>
      <c r="M493" s="100">
        <v>67</v>
      </c>
      <c r="N493" s="100">
        <v>1</v>
      </c>
      <c r="O493" s="170">
        <f t="shared" si="26"/>
        <v>0</v>
      </c>
      <c r="P493" s="100" t="s">
        <v>213</v>
      </c>
      <c r="Q493" s="170"/>
      <c r="R493" s="170"/>
      <c r="S493" s="198">
        <f t="shared" si="27"/>
        <v>67</v>
      </c>
      <c r="T493" s="199" t="str">
        <f t="shared" si="28"/>
        <v>67kilos</v>
      </c>
      <c r="U493" s="200">
        <f t="shared" si="29"/>
        <v>13735</v>
      </c>
      <c r="V493" s="12"/>
      <c r="W493" s="12"/>
    </row>
    <row r="494" spans="1:23" x14ac:dyDescent="0.3">
      <c r="A494" s="183" t="e">
        <f ca="1"/>
        <v>#NAME?</v>
      </c>
      <c r="B494" s="244" t="s">
        <v>362</v>
      </c>
      <c r="C494" s="239"/>
      <c r="D494" s="194" t="str">
        <f ca="1">IFERROR(__xludf.DUMMYFUNCTION("IF(J494="""",""n/a"",IFERROR(SPLIT(J494,""/"")))"),"n/a")</f>
        <v>n/a</v>
      </c>
      <c r="E494" s="239"/>
      <c r="F494" s="239"/>
      <c r="G494" s="239"/>
      <c r="H494" s="206" t="s">
        <v>1898</v>
      </c>
      <c r="I494" s="267"/>
      <c r="J494" s="239"/>
      <c r="K494" s="170"/>
      <c r="L494" s="255">
        <v>226</v>
      </c>
      <c r="M494" s="266">
        <v>31</v>
      </c>
      <c r="N494" s="250">
        <v>1</v>
      </c>
      <c r="O494" s="170">
        <f t="shared" si="26"/>
        <v>0</v>
      </c>
      <c r="P494" s="100" t="s">
        <v>213</v>
      </c>
      <c r="Q494" s="170"/>
      <c r="R494" s="170"/>
      <c r="S494" s="198">
        <f t="shared" si="27"/>
        <v>31</v>
      </c>
      <c r="T494" s="199" t="str">
        <f t="shared" si="28"/>
        <v>31kilos</v>
      </c>
      <c r="U494" s="200">
        <f t="shared" si="29"/>
        <v>7006</v>
      </c>
      <c r="V494" s="12"/>
      <c r="W494" s="12"/>
    </row>
    <row r="495" spans="1:23" x14ac:dyDescent="0.3">
      <c r="A495" s="183" t="e">
        <f ca="1"/>
        <v>#NAME?</v>
      </c>
      <c r="B495" s="268" t="s">
        <v>733</v>
      </c>
      <c r="C495" s="239"/>
      <c r="D495" s="194" t="str">
        <f ca="1">IFERROR(__xludf.DUMMYFUNCTION("IF(J495="""",""n/a"",IFERROR(SPLIT(J495,""/"")))"),"n/a")</f>
        <v>n/a</v>
      </c>
      <c r="E495" s="239"/>
      <c r="F495" s="239"/>
      <c r="G495" s="239"/>
      <c r="H495" s="206" t="s">
        <v>1898</v>
      </c>
      <c r="I495" s="267"/>
      <c r="J495" s="239"/>
      <c r="K495" s="170"/>
      <c r="L495" s="255">
        <v>24.75</v>
      </c>
      <c r="M495" s="250">
        <v>10</v>
      </c>
      <c r="N495" s="250">
        <v>1</v>
      </c>
      <c r="O495" s="170">
        <f t="shared" si="26"/>
        <v>0</v>
      </c>
      <c r="P495" s="100" t="s">
        <v>92</v>
      </c>
      <c r="Q495" s="170"/>
      <c r="R495" s="170"/>
      <c r="S495" s="198">
        <f t="shared" si="27"/>
        <v>10</v>
      </c>
      <c r="T495" s="199" t="str">
        <f t="shared" si="28"/>
        <v>10pieces</v>
      </c>
      <c r="U495" s="200">
        <f t="shared" si="29"/>
        <v>247.5</v>
      </c>
      <c r="V495" s="12"/>
      <c r="W495" s="12"/>
    </row>
    <row r="496" spans="1:23" x14ac:dyDescent="0.3">
      <c r="A496" s="183" t="e">
        <f ca="1"/>
        <v>#NAME?</v>
      </c>
      <c r="B496" s="244" t="s">
        <v>456</v>
      </c>
      <c r="C496" s="239"/>
      <c r="D496" s="194" t="str">
        <f ca="1">IFERROR(__xludf.DUMMYFUNCTION("IF(J496="""",""n/a"",IFERROR(SPLIT(J496,""/"")))"),"Fresh")</f>
        <v>Fresh</v>
      </c>
      <c r="E496" s="239"/>
      <c r="F496" s="239"/>
      <c r="G496" s="239"/>
      <c r="H496" s="183" t="s">
        <v>1895</v>
      </c>
      <c r="I496" s="267"/>
      <c r="J496" s="96" t="s">
        <v>216</v>
      </c>
      <c r="K496" s="170"/>
      <c r="L496" s="254">
        <v>143</v>
      </c>
      <c r="M496" s="100">
        <v>2</v>
      </c>
      <c r="N496" s="100">
        <v>1</v>
      </c>
      <c r="O496" s="170">
        <f t="shared" si="26"/>
        <v>0</v>
      </c>
      <c r="P496" s="100" t="s">
        <v>39</v>
      </c>
      <c r="Q496" s="170"/>
      <c r="R496" s="170"/>
      <c r="S496" s="198">
        <f t="shared" si="27"/>
        <v>2</v>
      </c>
      <c r="T496" s="199" t="str">
        <f t="shared" si="28"/>
        <v>2grams</v>
      </c>
      <c r="U496" s="200">
        <f t="shared" si="29"/>
        <v>286</v>
      </c>
      <c r="V496" s="12"/>
      <c r="W496" s="12"/>
    </row>
    <row r="497" spans="1:23" x14ac:dyDescent="0.3">
      <c r="A497" s="183" t="e">
        <f ca="1"/>
        <v>#NAME?</v>
      </c>
      <c r="B497" s="244" t="s">
        <v>456</v>
      </c>
      <c r="C497" s="239"/>
      <c r="D497" s="194" t="str">
        <f ca="1">IFERROR(__xludf.DUMMYFUNCTION("IF(J497="""",""n/a"",IFERROR(SPLIT(J497,""/"")))"),"Fresh")</f>
        <v>Fresh</v>
      </c>
      <c r="E497" s="239"/>
      <c r="F497" s="239"/>
      <c r="G497" s="239"/>
      <c r="H497" s="183" t="s">
        <v>1895</v>
      </c>
      <c r="I497" s="267"/>
      <c r="J497" s="96" t="s">
        <v>216</v>
      </c>
      <c r="K497" s="170"/>
      <c r="L497" s="254">
        <v>143</v>
      </c>
      <c r="M497" s="100">
        <v>2</v>
      </c>
      <c r="N497" s="100">
        <v>1</v>
      </c>
      <c r="O497" s="170">
        <f t="shared" si="26"/>
        <v>0</v>
      </c>
      <c r="P497" s="100" t="s">
        <v>39</v>
      </c>
      <c r="Q497" s="170"/>
      <c r="R497" s="170"/>
      <c r="S497" s="198">
        <f t="shared" si="27"/>
        <v>2</v>
      </c>
      <c r="T497" s="199" t="str">
        <f t="shared" si="28"/>
        <v>2grams</v>
      </c>
      <c r="U497" s="200">
        <f t="shared" si="29"/>
        <v>286</v>
      </c>
      <c r="V497" s="12"/>
      <c r="W497" s="12"/>
    </row>
    <row r="498" spans="1:23" x14ac:dyDescent="0.3">
      <c r="A498" s="183" t="e">
        <f ca="1"/>
        <v>#NAME?</v>
      </c>
      <c r="B498" s="268" t="s">
        <v>433</v>
      </c>
      <c r="C498" s="239"/>
      <c r="D498" s="194" t="str">
        <f ca="1">IFERROR(__xludf.DUMMYFUNCTION("IF(J498="""",""n/a"",IFERROR(SPLIT(J498,""/"")))"),"Oishi")</f>
        <v>Oishi</v>
      </c>
      <c r="E498" s="244" t="str">
        <f ca="1">IFERROR(__xludf.DUMMYFUNCTION("""COMPUTED_VALUE"""),"box (50pcsx50grams)")</f>
        <v>box (50pcsx50grams)</v>
      </c>
      <c r="F498" s="239"/>
      <c r="G498" s="239"/>
      <c r="H498" s="183" t="s">
        <v>1895</v>
      </c>
      <c r="I498" s="267"/>
      <c r="J498" s="96" t="s">
        <v>381</v>
      </c>
      <c r="K498" s="170"/>
      <c r="L498" s="254">
        <v>13.69</v>
      </c>
      <c r="M498" s="100">
        <v>30</v>
      </c>
      <c r="N498" s="100">
        <v>1</v>
      </c>
      <c r="O498" s="61" t="str">
        <f t="shared" ca="1" si="26"/>
        <v>box (50pcsx50grams)</v>
      </c>
      <c r="P498" s="100" t="s">
        <v>92</v>
      </c>
      <c r="Q498" s="170"/>
      <c r="R498" s="170"/>
      <c r="S498" s="198">
        <f t="shared" si="27"/>
        <v>30</v>
      </c>
      <c r="T498" s="199" t="str">
        <f t="shared" si="28"/>
        <v>30pieces</v>
      </c>
      <c r="U498" s="200">
        <f t="shared" si="29"/>
        <v>410.7</v>
      </c>
      <c r="V498" s="12"/>
      <c r="W498" s="12"/>
    </row>
    <row r="499" spans="1:23" x14ac:dyDescent="0.3">
      <c r="A499" s="183" t="e">
        <f ca="1"/>
        <v>#NAME?</v>
      </c>
      <c r="B499" s="244" t="s">
        <v>734</v>
      </c>
      <c r="C499" s="239"/>
      <c r="D499" s="194" t="str">
        <f ca="1">IFERROR(__xludf.DUMMYFUNCTION("IF(J499="""",""n/a"",IFERROR(SPLIT(J499,""/"")))"),"Oishi")</f>
        <v>Oishi</v>
      </c>
      <c r="E499" s="244" t="str">
        <f ca="1">IFERROR(__xludf.DUMMYFUNCTION("""COMPUTED_VALUE"""),"box (50pcsx50grams)")</f>
        <v>box (50pcsx50grams)</v>
      </c>
      <c r="F499" s="239"/>
      <c r="G499" s="239"/>
      <c r="H499" s="183" t="s">
        <v>1897</v>
      </c>
      <c r="I499" s="267"/>
      <c r="J499" s="96" t="s">
        <v>381</v>
      </c>
      <c r="K499" s="170"/>
      <c r="L499" s="257">
        <v>13.69</v>
      </c>
      <c r="M499" s="247">
        <v>15</v>
      </c>
      <c r="N499" s="247">
        <v>1</v>
      </c>
      <c r="O499" s="61" t="str">
        <f t="shared" ca="1" si="26"/>
        <v>box (50pcsx50grams)</v>
      </c>
      <c r="P499" s="100" t="s">
        <v>92</v>
      </c>
      <c r="Q499" s="170"/>
      <c r="R499" s="192" t="str">
        <f>CONCATENATE(N499,P499)</f>
        <v>1pieces</v>
      </c>
      <c r="S499" s="198">
        <f t="shared" si="27"/>
        <v>15</v>
      </c>
      <c r="T499" s="199" t="str">
        <f t="shared" si="28"/>
        <v>15pieces</v>
      </c>
      <c r="U499" s="200">
        <f t="shared" si="29"/>
        <v>205.35</v>
      </c>
      <c r="V499" s="12"/>
      <c r="W499" s="12"/>
    </row>
    <row r="500" spans="1:23" x14ac:dyDescent="0.3">
      <c r="A500" s="183" t="e">
        <f ca="1"/>
        <v>#NAME?</v>
      </c>
      <c r="B500" s="244" t="s">
        <v>735</v>
      </c>
      <c r="C500" s="239"/>
      <c r="D500" s="194" t="str">
        <f ca="1">IFERROR(__xludf.DUMMYFUNCTION("IF(J500="""",""n/a"",IFERROR(SPLIT(J500,""/"")))"),"n/a")</f>
        <v>n/a</v>
      </c>
      <c r="E500" s="239"/>
      <c r="F500" s="239"/>
      <c r="G500" s="239"/>
      <c r="H500" s="206" t="s">
        <v>1898</v>
      </c>
      <c r="I500" s="237"/>
      <c r="J500" s="239"/>
      <c r="K500" s="237"/>
      <c r="L500" s="255">
        <v>1.05</v>
      </c>
      <c r="M500" s="266">
        <v>720</v>
      </c>
      <c r="N500" s="250">
        <v>20</v>
      </c>
      <c r="O500" s="170">
        <f t="shared" si="26"/>
        <v>0</v>
      </c>
      <c r="P500" s="269" t="s">
        <v>39</v>
      </c>
      <c r="Q500" s="170"/>
      <c r="R500" s="170"/>
      <c r="S500" s="198">
        <f t="shared" si="27"/>
        <v>14400</v>
      </c>
      <c r="T500" s="199" t="str">
        <f t="shared" si="28"/>
        <v>14400grams</v>
      </c>
      <c r="U500" s="200">
        <f t="shared" si="29"/>
        <v>756</v>
      </c>
      <c r="V500" s="12"/>
      <c r="W500" s="12"/>
    </row>
    <row r="501" spans="1:23" x14ac:dyDescent="0.3">
      <c r="A501" s="183" t="e">
        <f ca="1"/>
        <v>#NAME?</v>
      </c>
      <c r="B501" s="268" t="s">
        <v>735</v>
      </c>
      <c r="C501" s="239"/>
      <c r="D501" s="194" t="str">
        <f ca="1">IFERROR(__xludf.DUMMYFUNCTION("IF(J501="""",""n/a"",IFERROR(SPLIT(J501,""/"")))"),"n/a")</f>
        <v>n/a</v>
      </c>
      <c r="E501" s="239"/>
      <c r="F501" s="239"/>
      <c r="G501" s="239"/>
      <c r="H501" s="206" t="s">
        <v>1898</v>
      </c>
      <c r="I501" s="237"/>
      <c r="J501" s="239"/>
      <c r="K501" s="237"/>
      <c r="L501" s="255">
        <v>1.05</v>
      </c>
      <c r="M501" s="266">
        <v>680</v>
      </c>
      <c r="N501" s="250">
        <v>20</v>
      </c>
      <c r="O501" s="170">
        <f t="shared" si="26"/>
        <v>0</v>
      </c>
      <c r="P501" s="269" t="s">
        <v>39</v>
      </c>
      <c r="Q501" s="170"/>
      <c r="R501" s="170"/>
      <c r="S501" s="198">
        <f t="shared" si="27"/>
        <v>13600</v>
      </c>
      <c r="T501" s="199" t="str">
        <f t="shared" si="28"/>
        <v>13600grams</v>
      </c>
      <c r="U501" s="200">
        <f t="shared" si="29"/>
        <v>714</v>
      </c>
      <c r="V501" s="12"/>
      <c r="W501" s="12"/>
    </row>
    <row r="502" spans="1:23" x14ac:dyDescent="0.3">
      <c r="A502" s="183" t="e">
        <f ca="1"/>
        <v>#NAME?</v>
      </c>
      <c r="B502" s="244" t="s">
        <v>735</v>
      </c>
      <c r="C502" s="239"/>
      <c r="D502" s="194" t="str">
        <f ca="1">IFERROR(__xludf.DUMMYFUNCTION("IF(J502="""",""n/a"",IFERROR(SPLIT(J502,""/"")))"),"n/a")</f>
        <v>n/a</v>
      </c>
      <c r="E502" s="239"/>
      <c r="F502" s="239"/>
      <c r="G502" s="239"/>
      <c r="H502" s="206" t="s">
        <v>1898</v>
      </c>
      <c r="I502" s="237"/>
      <c r="J502" s="239"/>
      <c r="K502" s="237"/>
      <c r="L502" s="255">
        <v>1.05</v>
      </c>
      <c r="M502" s="266">
        <v>480</v>
      </c>
      <c r="N502" s="250">
        <v>20</v>
      </c>
      <c r="O502" s="170">
        <f t="shared" si="26"/>
        <v>0</v>
      </c>
      <c r="P502" s="269" t="s">
        <v>39</v>
      </c>
      <c r="Q502" s="170"/>
      <c r="R502" s="170"/>
      <c r="S502" s="198">
        <f t="shared" si="27"/>
        <v>9600</v>
      </c>
      <c r="T502" s="199" t="str">
        <f t="shared" si="28"/>
        <v>9600grams</v>
      </c>
      <c r="U502" s="200">
        <f t="shared" si="29"/>
        <v>504</v>
      </c>
      <c r="V502" s="12"/>
      <c r="W502" s="12"/>
    </row>
    <row r="503" spans="1:23" x14ac:dyDescent="0.3">
      <c r="A503" s="183" t="e">
        <f ca="1"/>
        <v>#NAME?</v>
      </c>
      <c r="B503" s="268" t="s">
        <v>735</v>
      </c>
      <c r="C503" s="239"/>
      <c r="D503" s="194" t="str">
        <f ca="1">IFERROR(__xludf.DUMMYFUNCTION("IF(J503="""",""n/a"",IFERROR(SPLIT(J503,""/"")))"),"n/a")</f>
        <v>n/a</v>
      </c>
      <c r="E503" s="239"/>
      <c r="F503" s="239"/>
      <c r="G503" s="239"/>
      <c r="H503" s="206" t="s">
        <v>1898</v>
      </c>
      <c r="I503" s="237"/>
      <c r="J503" s="239"/>
      <c r="K503" s="237"/>
      <c r="L503" s="255">
        <v>0.94736842105263153</v>
      </c>
      <c r="M503" s="266">
        <v>570</v>
      </c>
      <c r="N503" s="250">
        <v>19</v>
      </c>
      <c r="O503" s="170">
        <f t="shared" si="26"/>
        <v>0</v>
      </c>
      <c r="P503" s="269" t="s">
        <v>39</v>
      </c>
      <c r="Q503" s="170"/>
      <c r="R503" s="170"/>
      <c r="S503" s="198">
        <f t="shared" si="27"/>
        <v>10830</v>
      </c>
      <c r="T503" s="199" t="str">
        <f t="shared" si="28"/>
        <v>10830grams</v>
      </c>
      <c r="U503" s="200">
        <f t="shared" si="29"/>
        <v>540</v>
      </c>
      <c r="V503" s="12"/>
      <c r="W503" s="12"/>
    </row>
    <row r="504" spans="1:23" x14ac:dyDescent="0.3">
      <c r="A504" s="183" t="e">
        <f ca="1"/>
        <v>#NAME?</v>
      </c>
      <c r="B504" s="268" t="s">
        <v>735</v>
      </c>
      <c r="C504" s="239"/>
      <c r="D504" s="194" t="str">
        <f ca="1">IFERROR(__xludf.DUMMYFUNCTION("IF(J504="""",""n/a"",IFERROR(SPLIT(J504,""/"")))"),"n/a")</f>
        <v>n/a</v>
      </c>
      <c r="E504" s="239"/>
      <c r="F504" s="239"/>
      <c r="G504" s="239"/>
      <c r="H504" s="206" t="s">
        <v>1898</v>
      </c>
      <c r="I504" s="237"/>
      <c r="J504" s="239"/>
      <c r="K504" s="237"/>
      <c r="L504" s="255">
        <v>0.94736842105263153</v>
      </c>
      <c r="M504" s="266">
        <v>893</v>
      </c>
      <c r="N504" s="250">
        <v>19</v>
      </c>
      <c r="O504" s="170">
        <f t="shared" si="26"/>
        <v>0</v>
      </c>
      <c r="P504" s="269" t="s">
        <v>39</v>
      </c>
      <c r="Q504" s="170"/>
      <c r="R504" s="170"/>
      <c r="S504" s="198">
        <f t="shared" si="27"/>
        <v>16967</v>
      </c>
      <c r="T504" s="199" t="str">
        <f t="shared" si="28"/>
        <v>16967grams</v>
      </c>
      <c r="U504" s="200">
        <f t="shared" si="29"/>
        <v>846</v>
      </c>
      <c r="V504" s="12"/>
      <c r="W504" s="12"/>
    </row>
    <row r="505" spans="1:23" x14ac:dyDescent="0.3">
      <c r="A505" s="183" t="e">
        <f ca="1"/>
        <v>#NAME?</v>
      </c>
      <c r="B505" s="244" t="s">
        <v>735</v>
      </c>
      <c r="C505" s="239"/>
      <c r="D505" s="194" t="str">
        <f ca="1">IFERROR(__xludf.DUMMYFUNCTION("IF(J505="""",""n/a"",IFERROR(SPLIT(J505,""/"")))"),"n/a")</f>
        <v>n/a</v>
      </c>
      <c r="E505" s="239"/>
      <c r="F505" s="239"/>
      <c r="G505" s="239"/>
      <c r="H505" s="206" t="s">
        <v>1898</v>
      </c>
      <c r="I505" s="239"/>
      <c r="J505" s="239"/>
      <c r="K505" s="237"/>
      <c r="L505" s="255">
        <v>0.94736842105263153</v>
      </c>
      <c r="M505" s="266">
        <v>38</v>
      </c>
      <c r="N505" s="250">
        <v>19</v>
      </c>
      <c r="O505" s="170">
        <f t="shared" si="26"/>
        <v>0</v>
      </c>
      <c r="P505" s="269" t="s">
        <v>39</v>
      </c>
      <c r="Q505" s="170"/>
      <c r="R505" s="170"/>
      <c r="S505" s="198">
        <f t="shared" si="27"/>
        <v>722</v>
      </c>
      <c r="T505" s="199" t="str">
        <f t="shared" si="28"/>
        <v>722grams</v>
      </c>
      <c r="U505" s="200">
        <f t="shared" si="29"/>
        <v>36</v>
      </c>
      <c r="V505" s="12"/>
      <c r="W505" s="12"/>
    </row>
    <row r="506" spans="1:23" x14ac:dyDescent="0.3">
      <c r="A506" s="183" t="e">
        <f ca="1"/>
        <v>#NAME?</v>
      </c>
      <c r="B506" s="194" t="s">
        <v>434</v>
      </c>
      <c r="C506" s="170"/>
      <c r="D506" s="194" t="str">
        <f ca="1">IFERROR(__xludf.DUMMYFUNCTION("IF(J506="""",""n/a"",IFERROR(SPLIT(J506,""/"")))"),"Jack n Jill")</f>
        <v>Jack n Jill</v>
      </c>
      <c r="E506" s="194" t="str">
        <f ca="1">IFERROR(__xludf.DUMMYFUNCTION("""COMPUTED_VALUE""")," pack (10pcsx30grams)")</f>
        <v xml:space="preserve"> pack (10pcsx30grams)</v>
      </c>
      <c r="F506" s="170"/>
      <c r="G506" s="170"/>
      <c r="H506" s="183" t="s">
        <v>1895</v>
      </c>
      <c r="I506" s="170"/>
      <c r="J506" s="46" t="s">
        <v>435</v>
      </c>
      <c r="K506" s="237"/>
      <c r="L506" s="270">
        <v>5.81</v>
      </c>
      <c r="M506" s="100">
        <v>150</v>
      </c>
      <c r="N506" s="100">
        <v>1</v>
      </c>
      <c r="O506" s="61" t="str">
        <f t="shared" ca="1" si="26"/>
        <v xml:space="preserve"> pack (10pcsx30grams)</v>
      </c>
      <c r="P506" s="61" t="s">
        <v>92</v>
      </c>
      <c r="Q506" s="170"/>
      <c r="R506" s="170"/>
      <c r="S506" s="198">
        <f t="shared" si="27"/>
        <v>150</v>
      </c>
      <c r="T506" s="199" t="str">
        <f t="shared" si="28"/>
        <v>150pieces</v>
      </c>
      <c r="U506" s="200">
        <f t="shared" si="29"/>
        <v>871.49999999999989</v>
      </c>
      <c r="V506" s="12"/>
      <c r="W506" s="12"/>
    </row>
    <row r="507" spans="1:23" x14ac:dyDescent="0.3">
      <c r="A507" s="183" t="e">
        <f ca="1"/>
        <v>#NAME?</v>
      </c>
      <c r="B507" s="194" t="s">
        <v>736</v>
      </c>
      <c r="C507" s="170"/>
      <c r="D507" s="194" t="str">
        <f ca="1">IFERROR(__xludf.DUMMYFUNCTION("IF(J507="""",""n/a"",IFERROR(SPLIT(J507,""/"")))"),"Jack n Jill")</f>
        <v>Jack n Jill</v>
      </c>
      <c r="E507" s="194" t="str">
        <f ca="1">IFERROR(__xludf.DUMMYFUNCTION("""COMPUTED_VALUE""")," pack (10pcsx30grams)")</f>
        <v xml:space="preserve"> pack (10pcsx30grams)</v>
      </c>
      <c r="F507" s="170"/>
      <c r="G507" s="170"/>
      <c r="H507" s="183" t="s">
        <v>1897</v>
      </c>
      <c r="I507" s="239"/>
      <c r="J507" s="46" t="s">
        <v>435</v>
      </c>
      <c r="K507" s="239"/>
      <c r="L507" s="257">
        <v>6.14</v>
      </c>
      <c r="M507" s="247">
        <v>110</v>
      </c>
      <c r="N507" s="247">
        <v>1</v>
      </c>
      <c r="O507" s="61" t="str">
        <f t="shared" ca="1" si="26"/>
        <v xml:space="preserve"> pack (10pcsx30grams)</v>
      </c>
      <c r="P507" s="61" t="s">
        <v>92</v>
      </c>
      <c r="Q507" s="170"/>
      <c r="R507" s="192" t="str">
        <f t="shared" ref="R507:R509" si="47">CONCATENATE(N507,P507)</f>
        <v>1pieces</v>
      </c>
      <c r="S507" s="198">
        <f t="shared" si="27"/>
        <v>110</v>
      </c>
      <c r="T507" s="199" t="str">
        <f t="shared" si="28"/>
        <v>110pieces</v>
      </c>
      <c r="U507" s="200">
        <f t="shared" si="29"/>
        <v>675.4</v>
      </c>
      <c r="V507" s="12"/>
      <c r="W507" s="12"/>
    </row>
    <row r="508" spans="1:23" x14ac:dyDescent="0.3">
      <c r="A508" s="183" t="e">
        <f ca="1"/>
        <v>#NAME?</v>
      </c>
      <c r="B508" s="194" t="s">
        <v>737</v>
      </c>
      <c r="C508" s="170"/>
      <c r="D508" s="194" t="str">
        <f ca="1">IFERROR(__xludf.DUMMYFUNCTION("IF(J508="""",""n/a"",IFERROR(SPLIT(J508,""/"")))"),"Jack n Jill")</f>
        <v>Jack n Jill</v>
      </c>
      <c r="E508" s="194" t="str">
        <f ca="1">IFERROR(__xludf.DUMMYFUNCTION("""COMPUTED_VALUE""")," pack (10pcsx30grams)")</f>
        <v xml:space="preserve"> pack (10pcsx30grams)</v>
      </c>
      <c r="F508" s="170"/>
      <c r="G508" s="170"/>
      <c r="H508" s="183" t="s">
        <v>1897</v>
      </c>
      <c r="I508" s="239"/>
      <c r="J508" s="46" t="s">
        <v>435</v>
      </c>
      <c r="K508" s="239"/>
      <c r="L508" s="257">
        <v>6.29</v>
      </c>
      <c r="M508" s="247">
        <v>21</v>
      </c>
      <c r="N508" s="247">
        <v>1</v>
      </c>
      <c r="O508" s="61" t="str">
        <f t="shared" ca="1" si="26"/>
        <v xml:space="preserve"> pack (10pcsx30grams)</v>
      </c>
      <c r="P508" s="61" t="s">
        <v>92</v>
      </c>
      <c r="Q508" s="170"/>
      <c r="R508" s="192" t="str">
        <f t="shared" si="47"/>
        <v>1pieces</v>
      </c>
      <c r="S508" s="198">
        <f t="shared" si="27"/>
        <v>21</v>
      </c>
      <c r="T508" s="199" t="str">
        <f t="shared" si="28"/>
        <v>21pieces</v>
      </c>
      <c r="U508" s="200">
        <f t="shared" si="29"/>
        <v>132.09</v>
      </c>
      <c r="V508" s="12"/>
      <c r="W508" s="12"/>
    </row>
    <row r="509" spans="1:23" x14ac:dyDescent="0.3">
      <c r="A509" s="183" t="e">
        <f ca="1"/>
        <v>#NAME?</v>
      </c>
      <c r="B509" s="194" t="s">
        <v>738</v>
      </c>
      <c r="C509" s="170"/>
      <c r="D509" s="194" t="str">
        <f ca="1">IFERROR(__xludf.DUMMYFUNCTION("IF(J509="""",""n/a"",IFERROR(SPLIT(J509,""/"")))"),"n/a")</f>
        <v>n/a</v>
      </c>
      <c r="E509" s="170"/>
      <c r="F509" s="170"/>
      <c r="G509" s="170"/>
      <c r="H509" s="183" t="s">
        <v>1897</v>
      </c>
      <c r="I509" s="239"/>
      <c r="J509" s="170"/>
      <c r="K509" s="239"/>
      <c r="L509" s="271">
        <v>0.27</v>
      </c>
      <c r="M509" s="247">
        <v>10000</v>
      </c>
      <c r="N509" s="247">
        <v>1000</v>
      </c>
      <c r="O509" s="170">
        <f t="shared" si="26"/>
        <v>0</v>
      </c>
      <c r="P509" s="61" t="s">
        <v>39</v>
      </c>
      <c r="Q509" s="170"/>
      <c r="R509" s="192" t="str">
        <f t="shared" si="47"/>
        <v>1000grams</v>
      </c>
      <c r="S509" s="198">
        <f t="shared" si="27"/>
        <v>10000000</v>
      </c>
      <c r="T509" s="199" t="str">
        <f t="shared" si="28"/>
        <v>10000000grams</v>
      </c>
      <c r="U509" s="200">
        <f t="shared" si="29"/>
        <v>2700</v>
      </c>
      <c r="V509" s="12"/>
      <c r="W509" s="12"/>
    </row>
    <row r="510" spans="1:23" x14ac:dyDescent="0.3">
      <c r="A510" s="183" t="e">
        <f ca="1"/>
        <v>#NAME?</v>
      </c>
      <c r="B510" s="194" t="s">
        <v>739</v>
      </c>
      <c r="C510" s="170"/>
      <c r="D510" s="194" t="str">
        <f ca="1">IFERROR(__xludf.DUMMYFUNCTION("IF(J510="""",""n/a"",IFERROR(SPLIT(J510,""/"")))"),"n/a")</f>
        <v>n/a</v>
      </c>
      <c r="E510" s="170"/>
      <c r="F510" s="170"/>
      <c r="G510" s="170"/>
      <c r="H510" s="206" t="s">
        <v>1898</v>
      </c>
      <c r="I510" s="239"/>
      <c r="J510" s="170"/>
      <c r="K510" s="239"/>
      <c r="L510" s="197">
        <v>7.4799999999999995</v>
      </c>
      <c r="M510" s="207">
        <v>2</v>
      </c>
      <c r="N510" s="207">
        <v>10</v>
      </c>
      <c r="O510" s="170">
        <f t="shared" si="26"/>
        <v>0</v>
      </c>
      <c r="P510" s="272" t="s">
        <v>92</v>
      </c>
      <c r="Q510" s="170"/>
      <c r="R510" s="170"/>
      <c r="S510" s="198">
        <f t="shared" si="27"/>
        <v>20</v>
      </c>
      <c r="T510" s="199" t="str">
        <f t="shared" si="28"/>
        <v>20pieces</v>
      </c>
      <c r="U510" s="200">
        <f t="shared" si="29"/>
        <v>14.959999999999999</v>
      </c>
      <c r="V510" s="12"/>
      <c r="W510" s="12"/>
    </row>
    <row r="511" spans="1:23" x14ac:dyDescent="0.3">
      <c r="A511" s="183" t="e">
        <f ca="1"/>
        <v>#NAME?</v>
      </c>
      <c r="B511" s="194" t="s">
        <v>436</v>
      </c>
      <c r="C511" s="170"/>
      <c r="D511" s="194" t="str">
        <f ca="1">IFERROR(__xludf.DUMMYFUNCTION("IF(J511="""",""n/a"",IFERROR(SPLIT(J511,""/"")))"),"Jack &amp; Jill")</f>
        <v>Jack &amp; Jill</v>
      </c>
      <c r="E511" s="194" t="str">
        <f ca="1">IFERROR(__xludf.DUMMYFUNCTION("""COMPUTED_VALUE"""),"pack(10pcsx38grams))")</f>
        <v>pack(10pcsx38grams))</v>
      </c>
      <c r="F511" s="170"/>
      <c r="G511" s="170"/>
      <c r="H511" s="183" t="s">
        <v>1897</v>
      </c>
      <c r="I511" s="239"/>
      <c r="J511" s="46" t="s">
        <v>740</v>
      </c>
      <c r="K511" s="239"/>
      <c r="L511" s="217">
        <v>7.17</v>
      </c>
      <c r="M511" s="203">
        <v>34</v>
      </c>
      <c r="N511" s="203">
        <v>1</v>
      </c>
      <c r="O511" s="61" t="str">
        <f t="shared" ca="1" si="26"/>
        <v>pack(10pcsx38grams))</v>
      </c>
      <c r="P511" s="273" t="s">
        <v>92</v>
      </c>
      <c r="Q511" s="170"/>
      <c r="R511" s="192" t="str">
        <f>CONCATENATE(N511,P511)</f>
        <v>1pieces</v>
      </c>
      <c r="S511" s="198">
        <f t="shared" si="27"/>
        <v>34</v>
      </c>
      <c r="T511" s="199" t="str">
        <f t="shared" si="28"/>
        <v>34pieces</v>
      </c>
      <c r="U511" s="200">
        <f t="shared" si="29"/>
        <v>243.78</v>
      </c>
      <c r="V511" s="12"/>
      <c r="W511" s="12"/>
    </row>
    <row r="512" spans="1:23" x14ac:dyDescent="0.3">
      <c r="A512" s="183" t="e">
        <f ca="1"/>
        <v>#NAME?</v>
      </c>
      <c r="B512" s="194" t="s">
        <v>436</v>
      </c>
      <c r="C512" s="170"/>
      <c r="D512" s="194" t="str">
        <f ca="1">IFERROR(__xludf.DUMMYFUNCTION("IF(J512="""",""n/a"",IFERROR(SPLIT(J512,""/"")))"),"Jack &amp; Jill")</f>
        <v>Jack &amp; Jill</v>
      </c>
      <c r="E512" s="194" t="str">
        <f ca="1">IFERROR(__xludf.DUMMYFUNCTION("""COMPUTED_VALUE"""),"pack(10pcsx33grams))")</f>
        <v>pack(10pcsx33grams))</v>
      </c>
      <c r="F512" s="170"/>
      <c r="G512" s="170"/>
      <c r="H512" s="183" t="s">
        <v>1895</v>
      </c>
      <c r="I512" s="239"/>
      <c r="J512" s="46" t="s">
        <v>437</v>
      </c>
      <c r="K512" s="239"/>
      <c r="L512" s="195">
        <v>7.99</v>
      </c>
      <c r="M512" s="61">
        <v>595</v>
      </c>
      <c r="N512" s="61">
        <v>1</v>
      </c>
      <c r="O512" s="61" t="str">
        <f t="shared" ca="1" si="26"/>
        <v>pack(10pcsx33grams))</v>
      </c>
      <c r="P512" s="273" t="s">
        <v>92</v>
      </c>
      <c r="Q512" s="170"/>
      <c r="R512" s="170"/>
      <c r="S512" s="198">
        <f t="shared" si="27"/>
        <v>595</v>
      </c>
      <c r="T512" s="199" t="str">
        <f t="shared" si="28"/>
        <v>595pieces</v>
      </c>
      <c r="U512" s="200">
        <f t="shared" si="29"/>
        <v>4754.05</v>
      </c>
      <c r="V512" s="12"/>
      <c r="W512" s="12"/>
    </row>
    <row r="513" spans="1:23" x14ac:dyDescent="0.3">
      <c r="A513" s="183" t="e">
        <f ca="1"/>
        <v>#NAME?</v>
      </c>
      <c r="B513" s="194" t="s">
        <v>741</v>
      </c>
      <c r="C513" s="170"/>
      <c r="D513" s="194" t="str">
        <f ca="1">IFERROR(__xludf.DUMMYFUNCTION("IF(J513="""",""n/a"",IFERROR(SPLIT(J513,""/"")))"),"n/a")</f>
        <v>n/a</v>
      </c>
      <c r="E513" s="170"/>
      <c r="F513" s="170"/>
      <c r="G513" s="170"/>
      <c r="H513" s="206" t="s">
        <v>1898</v>
      </c>
      <c r="I513" s="239"/>
      <c r="J513" s="170"/>
      <c r="K513" s="239"/>
      <c r="L513" s="197">
        <v>8.1</v>
      </c>
      <c r="M513" s="207">
        <v>1</v>
      </c>
      <c r="N513" s="207">
        <v>10</v>
      </c>
      <c r="O513" s="170">
        <f t="shared" si="26"/>
        <v>0</v>
      </c>
      <c r="P513" s="272" t="s">
        <v>92</v>
      </c>
      <c r="Q513" s="170"/>
      <c r="R513" s="170"/>
      <c r="S513" s="198">
        <f t="shared" si="27"/>
        <v>10</v>
      </c>
      <c r="T513" s="199" t="str">
        <f t="shared" si="28"/>
        <v>10pieces</v>
      </c>
      <c r="U513" s="200">
        <f t="shared" si="29"/>
        <v>8.1</v>
      </c>
      <c r="V513" s="12"/>
      <c r="W513" s="12"/>
    </row>
    <row r="514" spans="1:23" x14ac:dyDescent="0.3">
      <c r="A514" s="183" t="e">
        <f ca="1"/>
        <v>#NAME?</v>
      </c>
      <c r="B514" s="194" t="s">
        <v>742</v>
      </c>
      <c r="C514" s="170"/>
      <c r="D514" s="194" t="str">
        <f ca="1">IFERROR(__xludf.DUMMYFUNCTION("IF(J514="""",""n/a"",IFERROR(SPLIT(J514,""/"")))"),"n/a")</f>
        <v>n/a</v>
      </c>
      <c r="E514" s="170"/>
      <c r="F514" s="170"/>
      <c r="G514" s="170"/>
      <c r="H514" s="206" t="s">
        <v>1898</v>
      </c>
      <c r="I514" s="239"/>
      <c r="J514" s="170"/>
      <c r="K514" s="239"/>
      <c r="L514" s="274">
        <v>2.375</v>
      </c>
      <c r="M514" s="207">
        <v>11</v>
      </c>
      <c r="N514" s="250">
        <v>6</v>
      </c>
      <c r="O514" s="170">
        <f t="shared" si="26"/>
        <v>0</v>
      </c>
      <c r="P514" s="238" t="s">
        <v>92</v>
      </c>
      <c r="Q514" s="170"/>
      <c r="R514" s="170"/>
      <c r="S514" s="198">
        <f t="shared" si="27"/>
        <v>66</v>
      </c>
      <c r="T514" s="199" t="str">
        <f t="shared" si="28"/>
        <v>66pieces</v>
      </c>
      <c r="U514" s="200">
        <f t="shared" si="29"/>
        <v>26.125</v>
      </c>
      <c r="V514" s="12"/>
      <c r="W514" s="12"/>
    </row>
    <row r="515" spans="1:23" x14ac:dyDescent="0.3">
      <c r="A515" s="183" t="e">
        <f ca="1"/>
        <v>#NAME?</v>
      </c>
      <c r="B515" s="194" t="s">
        <v>743</v>
      </c>
      <c r="C515" s="170"/>
      <c r="D515" s="194" t="str">
        <f ca="1">IFERROR(__xludf.DUMMYFUNCTION("IF(J515="""",""n/a"",IFERROR(SPLIT(J515,""/"")))"),"Hermano")</f>
        <v>Hermano</v>
      </c>
      <c r="E515" s="194" t="str">
        <f ca="1">IFERROR(__xludf.DUMMYFUNCTION("""COMPUTED_VALUE"""),"pack")</f>
        <v>pack</v>
      </c>
      <c r="F515" s="194" t="str">
        <f ca="1">IFERROR(__xludf.DUMMYFUNCTION("""COMPUTED_VALUE"""),"1000grams")</f>
        <v>1000grams</v>
      </c>
      <c r="G515" s="170"/>
      <c r="H515" s="183" t="s">
        <v>1897</v>
      </c>
      <c r="I515" s="170"/>
      <c r="J515" s="46" t="s">
        <v>82</v>
      </c>
      <c r="K515" s="239"/>
      <c r="L515" s="275">
        <v>8.0599999999999991E-2</v>
      </c>
      <c r="M515" s="203">
        <v>38000</v>
      </c>
      <c r="N515" s="247">
        <v>1000</v>
      </c>
      <c r="O515" s="61" t="str">
        <f t="shared" ca="1" si="26"/>
        <v>pack</v>
      </c>
      <c r="P515" s="240" t="s">
        <v>39</v>
      </c>
      <c r="Q515" s="170"/>
      <c r="R515" s="192" t="str">
        <f t="shared" ref="R515:R516" si="48">CONCATENATE(N515,P515)</f>
        <v>1000grams</v>
      </c>
      <c r="S515" s="198">
        <f t="shared" si="27"/>
        <v>38000000</v>
      </c>
      <c r="T515" s="199" t="str">
        <f t="shared" si="28"/>
        <v>38000000grams</v>
      </c>
      <c r="U515" s="200">
        <f t="shared" si="29"/>
        <v>3062.7999999999997</v>
      </c>
      <c r="V515" s="205">
        <f>U515/M515</f>
        <v>8.0599999999999991E-2</v>
      </c>
      <c r="W515" s="62"/>
    </row>
    <row r="516" spans="1:23" x14ac:dyDescent="0.3">
      <c r="A516" s="183" t="e">
        <f ca="1"/>
        <v>#NAME?</v>
      </c>
      <c r="B516" s="194" t="s">
        <v>743</v>
      </c>
      <c r="C516" s="170"/>
      <c r="D516" s="194" t="str">
        <f ca="1">IFERROR(__xludf.DUMMYFUNCTION("IF(J516="""",""n/a"",IFERROR(SPLIT(J516,""/"")))"),"Ram")</f>
        <v>Ram</v>
      </c>
      <c r="E516" s="194" t="str">
        <f ca="1">IFERROR(__xludf.DUMMYFUNCTION("""COMPUTED_VALUE"""),"pack")</f>
        <v>pack</v>
      </c>
      <c r="F516" s="194" t="str">
        <f ca="1">IFERROR(__xludf.DUMMYFUNCTION("""COMPUTED_VALUE"""),"1000grams")</f>
        <v>1000grams</v>
      </c>
      <c r="G516" s="170"/>
      <c r="H516" s="183" t="s">
        <v>1897</v>
      </c>
      <c r="I516" s="170"/>
      <c r="J516" s="46" t="s">
        <v>744</v>
      </c>
      <c r="K516" s="239"/>
      <c r="L516" s="255">
        <v>0.15</v>
      </c>
      <c r="M516" s="247">
        <v>500</v>
      </c>
      <c r="N516" s="247">
        <v>1000</v>
      </c>
      <c r="O516" s="61" t="str">
        <f t="shared" ca="1" si="26"/>
        <v>pack</v>
      </c>
      <c r="P516" s="240" t="s">
        <v>39</v>
      </c>
      <c r="Q516" s="170"/>
      <c r="R516" s="192" t="str">
        <f t="shared" si="48"/>
        <v>1000grams</v>
      </c>
      <c r="S516" s="198">
        <f t="shared" si="27"/>
        <v>500000</v>
      </c>
      <c r="T516" s="199" t="str">
        <f t="shared" si="28"/>
        <v>500000grams</v>
      </c>
      <c r="U516" s="200">
        <f t="shared" si="29"/>
        <v>75</v>
      </c>
      <c r="V516" s="62"/>
      <c r="W516" s="12"/>
    </row>
    <row r="517" spans="1:23" x14ac:dyDescent="0.3">
      <c r="A517" s="183" t="e">
        <f ca="1"/>
        <v>#NAME?</v>
      </c>
      <c r="B517" s="244" t="s">
        <v>743</v>
      </c>
      <c r="C517" s="239"/>
      <c r="D517" s="194" t="str">
        <f ca="1">IFERROR(__xludf.DUMMYFUNCTION("IF(J517="""",""n/a"",IFERROR(SPLIT(J517,""/"")))"),"n/a")</f>
        <v>n/a</v>
      </c>
      <c r="E517" s="239"/>
      <c r="F517" s="239"/>
      <c r="G517" s="239"/>
      <c r="H517" s="206" t="s">
        <v>1898</v>
      </c>
      <c r="I517" s="170"/>
      <c r="J517" s="239"/>
      <c r="K517" s="239"/>
      <c r="L517" s="255">
        <v>0.26200000000000001</v>
      </c>
      <c r="M517" s="266">
        <v>800</v>
      </c>
      <c r="N517" s="250">
        <v>1000</v>
      </c>
      <c r="O517" s="170">
        <f t="shared" si="26"/>
        <v>0</v>
      </c>
      <c r="P517" s="240" t="s">
        <v>39</v>
      </c>
      <c r="Q517" s="170"/>
      <c r="R517" s="170"/>
      <c r="S517" s="198">
        <f t="shared" si="27"/>
        <v>800000</v>
      </c>
      <c r="T517" s="199" t="str">
        <f t="shared" si="28"/>
        <v>800000grams</v>
      </c>
      <c r="U517" s="200">
        <f t="shared" si="29"/>
        <v>209.60000000000002</v>
      </c>
      <c r="V517" s="12"/>
      <c r="W517" s="12"/>
    </row>
    <row r="518" spans="1:23" x14ac:dyDescent="0.3">
      <c r="A518" s="183" t="e">
        <f ca="1"/>
        <v>#NAME?</v>
      </c>
      <c r="B518" s="244" t="s">
        <v>745</v>
      </c>
      <c r="C518" s="239"/>
      <c r="D518" s="194" t="str">
        <f ca="1">IFERROR(__xludf.DUMMYFUNCTION("IF(J518="""",""n/a"",IFERROR(SPLIT(J518,""/"")))"),"No Brand")</f>
        <v>No Brand</v>
      </c>
      <c r="E518" s="244" t="str">
        <f ca="1">IFERROR(__xludf.DUMMYFUNCTION("""COMPUTED_VALUE"""),"1000grams")</f>
        <v>1000grams</v>
      </c>
      <c r="F518" s="239"/>
      <c r="G518" s="239"/>
      <c r="H518" s="206" t="s">
        <v>1898</v>
      </c>
      <c r="I518" s="170"/>
      <c r="J518" s="96" t="s">
        <v>746</v>
      </c>
      <c r="K518" s="239"/>
      <c r="L518" s="255">
        <v>0.125</v>
      </c>
      <c r="M518" s="250">
        <v>4000</v>
      </c>
      <c r="N518" s="250">
        <v>1000</v>
      </c>
      <c r="O518" s="61" t="str">
        <f t="shared" ca="1" si="26"/>
        <v>1000grams</v>
      </c>
      <c r="P518" s="240" t="s">
        <v>39</v>
      </c>
      <c r="Q518" s="170"/>
      <c r="R518" s="170"/>
      <c r="S518" s="198">
        <f t="shared" si="27"/>
        <v>4000000</v>
      </c>
      <c r="T518" s="199" t="str">
        <f t="shared" si="28"/>
        <v>4000000grams</v>
      </c>
      <c r="U518" s="200">
        <f t="shared" si="29"/>
        <v>500</v>
      </c>
      <c r="V518" s="12"/>
      <c r="W518" s="12"/>
    </row>
    <row r="519" spans="1:23" x14ac:dyDescent="0.3">
      <c r="A519" s="183" t="e">
        <f ca="1"/>
        <v>#NAME?</v>
      </c>
      <c r="B519" s="244" t="s">
        <v>113</v>
      </c>
      <c r="C519" s="239"/>
      <c r="D519" s="194" t="str">
        <f ca="1">IFERROR(__xludf.DUMMYFUNCTION("IF(J519="""",""n/a"",IFERROR(SPLIT(J519,""/"")))"),"Rc Cola (12 x 237 )")</f>
        <v>Rc Cola (12 x 237 )</v>
      </c>
      <c r="E519" s="239"/>
      <c r="F519" s="239"/>
      <c r="G519" s="239"/>
      <c r="H519" s="183" t="s">
        <v>1895</v>
      </c>
      <c r="I519" s="170"/>
      <c r="J519" s="96" t="s">
        <v>114</v>
      </c>
      <c r="K519" s="239"/>
      <c r="L519" s="254">
        <v>10.72</v>
      </c>
      <c r="M519" s="100">
        <v>167</v>
      </c>
      <c r="N519" s="100">
        <v>1</v>
      </c>
      <c r="O519" s="170">
        <f t="shared" ref="O519:O667" si="49">E519</f>
        <v>0</v>
      </c>
      <c r="P519" s="240" t="s">
        <v>92</v>
      </c>
      <c r="Q519" s="170"/>
      <c r="R519" s="170"/>
      <c r="S519" s="198">
        <f t="shared" ref="S519:S667" si="50">M519*N519</f>
        <v>167</v>
      </c>
      <c r="T519" s="199" t="str">
        <f t="shared" ref="T519:T667" si="51">CONCATENATE(S519,Q519,P519)</f>
        <v>167pieces</v>
      </c>
      <c r="U519" s="200">
        <f t="shared" ref="U519:U667" si="52">L519*M519</f>
        <v>1790.24</v>
      </c>
      <c r="V519" s="12"/>
      <c r="W519" s="12"/>
    </row>
    <row r="520" spans="1:23" x14ac:dyDescent="0.3">
      <c r="A520" s="183" t="e">
        <f ca="1"/>
        <v>#NAME?</v>
      </c>
      <c r="B520" s="268" t="s">
        <v>438</v>
      </c>
      <c r="C520" s="239"/>
      <c r="D520" s="194" t="str">
        <f ca="1">IFERROR(__xludf.DUMMYFUNCTION("IF(J520="""",""n/a"",IFERROR(SPLIT(J520,""/"")))"),"Rebisco (10pcsx33grams)")</f>
        <v>Rebisco (10pcsx33grams)</v>
      </c>
      <c r="E520" s="239"/>
      <c r="F520" s="239"/>
      <c r="G520" s="239"/>
      <c r="H520" s="183" t="s">
        <v>1895</v>
      </c>
      <c r="I520" s="170"/>
      <c r="J520" s="96" t="s">
        <v>439</v>
      </c>
      <c r="K520" s="239"/>
      <c r="L520" s="254">
        <v>5.8</v>
      </c>
      <c r="M520" s="100">
        <v>200</v>
      </c>
      <c r="N520" s="100">
        <v>1</v>
      </c>
      <c r="O520" s="170">
        <f t="shared" si="49"/>
        <v>0</v>
      </c>
      <c r="P520" s="240" t="s">
        <v>92</v>
      </c>
      <c r="Q520" s="170"/>
      <c r="R520" s="170"/>
      <c r="S520" s="198">
        <f t="shared" si="50"/>
        <v>200</v>
      </c>
      <c r="T520" s="199" t="str">
        <f t="shared" si="51"/>
        <v>200pieces</v>
      </c>
      <c r="U520" s="200">
        <f t="shared" si="52"/>
        <v>1160</v>
      </c>
      <c r="V520" s="12"/>
      <c r="W520" s="12"/>
    </row>
    <row r="521" spans="1:23" x14ac:dyDescent="0.3">
      <c r="A521" s="183" t="e">
        <f ca="1"/>
        <v>#NAME?</v>
      </c>
      <c r="B521" s="268" t="s">
        <v>747</v>
      </c>
      <c r="C521" s="239"/>
      <c r="D521" s="194" t="str">
        <f ca="1">IFERROR(__xludf.DUMMYFUNCTION("IF(J521="""",""n/a"",IFERROR(SPLIT(J521,""/"")))"),"n/a")</f>
        <v>n/a</v>
      </c>
      <c r="E521" s="239"/>
      <c r="F521" s="239"/>
      <c r="G521" s="239"/>
      <c r="H521" s="206" t="s">
        <v>1898</v>
      </c>
      <c r="I521" s="170"/>
      <c r="J521" s="239"/>
      <c r="K521" s="239"/>
      <c r="L521" s="197">
        <v>6.88</v>
      </c>
      <c r="M521" s="207">
        <v>1</v>
      </c>
      <c r="N521" s="250">
        <v>10</v>
      </c>
      <c r="O521" s="170">
        <f t="shared" si="49"/>
        <v>0</v>
      </c>
      <c r="P521" s="209" t="s">
        <v>92</v>
      </c>
      <c r="Q521" s="170"/>
      <c r="R521" s="170"/>
      <c r="S521" s="198">
        <f t="shared" si="50"/>
        <v>10</v>
      </c>
      <c r="T521" s="199" t="str">
        <f t="shared" si="51"/>
        <v>10pieces</v>
      </c>
      <c r="U521" s="200">
        <f t="shared" si="52"/>
        <v>6.88</v>
      </c>
      <c r="V521" s="12"/>
      <c r="W521" s="12"/>
    </row>
    <row r="522" spans="1:23" x14ac:dyDescent="0.3">
      <c r="A522" s="183" t="e">
        <f ca="1"/>
        <v>#NAME?</v>
      </c>
      <c r="B522" s="268" t="s">
        <v>315</v>
      </c>
      <c r="C522" s="239"/>
      <c r="D522" s="194" t="str">
        <f ca="1">IFERROR(__xludf.DUMMYFUNCTION("IF(J522="""",""n/a"",IFERROR(SPLIT(J522,""/"")))"),"bottle")</f>
        <v>bottle</v>
      </c>
      <c r="E522" s="244" t="str">
        <f ca="1">IFERROR(__xludf.DUMMYFUNCTION("""COMPUTED_VALUE"""),"490ml")</f>
        <v>490ml</v>
      </c>
      <c r="F522" s="239"/>
      <c r="G522" s="239"/>
      <c r="H522" s="183" t="s">
        <v>1895</v>
      </c>
      <c r="I522" s="237"/>
      <c r="J522" s="96" t="s">
        <v>316</v>
      </c>
      <c r="K522" s="239"/>
      <c r="L522" s="254">
        <v>57</v>
      </c>
      <c r="M522" s="100">
        <v>1</v>
      </c>
      <c r="N522" s="100">
        <v>1</v>
      </c>
      <c r="O522" s="61" t="str">
        <f t="shared" ca="1" si="49"/>
        <v>490ml</v>
      </c>
      <c r="P522" s="240" t="s">
        <v>32</v>
      </c>
      <c r="Q522" s="170"/>
      <c r="R522" s="170"/>
      <c r="S522" s="198">
        <f t="shared" si="50"/>
        <v>1</v>
      </c>
      <c r="T522" s="199" t="str">
        <f t="shared" si="51"/>
        <v>1ml</v>
      </c>
      <c r="U522" s="200">
        <f t="shared" si="52"/>
        <v>57</v>
      </c>
      <c r="V522" s="12"/>
      <c r="W522" s="12"/>
    </row>
    <row r="523" spans="1:23" x14ac:dyDescent="0.3">
      <c r="A523" s="183" t="e">
        <f ca="1"/>
        <v>#NAME?</v>
      </c>
      <c r="B523" s="268" t="s">
        <v>748</v>
      </c>
      <c r="C523" s="239"/>
      <c r="D523" s="194" t="str">
        <f ca="1">IFERROR(__xludf.DUMMYFUNCTION("IF(J523="""",""n/a"",IFERROR(SPLIT(J523,""/"")))"),"Mr Gulaman")</f>
        <v>Mr Gulaman</v>
      </c>
      <c r="E523" s="244" t="str">
        <f ca="1">IFERROR(__xludf.DUMMYFUNCTION("""COMPUTED_VALUE"""),"box")</f>
        <v>box</v>
      </c>
      <c r="F523" s="244" t="str">
        <f ca="1">IFERROR(__xludf.DUMMYFUNCTION("""COMPUTED_VALUE"""),"(10sachetx25grams)")</f>
        <v>(10sachetx25grams)</v>
      </c>
      <c r="G523" s="239"/>
      <c r="H523" s="183" t="s">
        <v>1897</v>
      </c>
      <c r="I523" s="170"/>
      <c r="J523" s="96" t="s">
        <v>69</v>
      </c>
      <c r="K523" s="239"/>
      <c r="L523" s="254">
        <v>0.44799999999999995</v>
      </c>
      <c r="M523" s="247">
        <v>450</v>
      </c>
      <c r="N523" s="247">
        <v>25</v>
      </c>
      <c r="O523" s="61" t="str">
        <f t="shared" ca="1" si="49"/>
        <v>box</v>
      </c>
      <c r="P523" s="240" t="s">
        <v>39</v>
      </c>
      <c r="Q523" s="170"/>
      <c r="R523" s="192" t="str">
        <f>CONCATENATE(N523,P523)</f>
        <v>25grams</v>
      </c>
      <c r="S523" s="198">
        <f t="shared" si="50"/>
        <v>11250</v>
      </c>
      <c r="T523" s="199" t="str">
        <f t="shared" si="51"/>
        <v>11250grams</v>
      </c>
      <c r="U523" s="200">
        <f t="shared" si="52"/>
        <v>201.59999999999997</v>
      </c>
      <c r="V523" s="205">
        <f>U523/M523</f>
        <v>0.4479999999999999</v>
      </c>
      <c r="W523" s="62"/>
    </row>
    <row r="524" spans="1:23" x14ac:dyDescent="0.3">
      <c r="A524" s="183" t="e">
        <f ca="1"/>
        <v>#NAME?</v>
      </c>
      <c r="B524" s="244" t="s">
        <v>749</v>
      </c>
      <c r="C524" s="239"/>
      <c r="D524" s="194" t="str">
        <f ca="1">IFERROR(__xludf.DUMMYFUNCTION("IF(J524="""",""n/a"",IFERROR(SPLIT(J524,""/"")))"),"n/a")</f>
        <v>n/a</v>
      </c>
      <c r="E524" s="239"/>
      <c r="F524" s="239"/>
      <c r="G524" s="239"/>
      <c r="H524" s="206" t="s">
        <v>1898</v>
      </c>
      <c r="I524" s="170"/>
      <c r="J524" s="239"/>
      <c r="K524" s="239"/>
      <c r="L524" s="255">
        <v>6.7700000000000005</v>
      </c>
      <c r="M524" s="266">
        <v>10</v>
      </c>
      <c r="N524" s="250">
        <v>10</v>
      </c>
      <c r="O524" s="170">
        <f t="shared" si="49"/>
        <v>0</v>
      </c>
      <c r="P524" s="238" t="s">
        <v>92</v>
      </c>
      <c r="Q524" s="170"/>
      <c r="R524" s="170"/>
      <c r="S524" s="198">
        <f t="shared" si="50"/>
        <v>100</v>
      </c>
      <c r="T524" s="199" t="str">
        <f t="shared" si="51"/>
        <v>100pieces</v>
      </c>
      <c r="U524" s="200">
        <f t="shared" si="52"/>
        <v>67.7</v>
      </c>
      <c r="V524" s="12"/>
      <c r="W524" s="12"/>
    </row>
    <row r="525" spans="1:23" x14ac:dyDescent="0.3">
      <c r="A525" s="183" t="e">
        <f ca="1"/>
        <v>#NAME?</v>
      </c>
      <c r="B525" s="244" t="s">
        <v>750</v>
      </c>
      <c r="C525" s="239"/>
      <c r="D525" s="194" t="str">
        <f ca="1">IFERROR(__xludf.DUMMYFUNCTION("IF(J525="""",""n/a"",IFERROR(SPLIT(J525,""/"")))"),"Super Alsa")</f>
        <v>Super Alsa</v>
      </c>
      <c r="E525" s="244" t="str">
        <f ca="1">IFERROR(__xludf.DUMMYFUNCTION("""COMPUTED_VALUE"""),"sack")</f>
        <v>sack</v>
      </c>
      <c r="F525" s="244" t="str">
        <f ca="1">IFERROR(__xludf.DUMMYFUNCTION("""COMPUTED_VALUE"""),"25kilos")</f>
        <v>25kilos</v>
      </c>
      <c r="G525" s="239"/>
      <c r="H525" s="183" t="s">
        <v>1897</v>
      </c>
      <c r="I525" s="170"/>
      <c r="J525" s="96" t="s">
        <v>751</v>
      </c>
      <c r="K525" s="239"/>
      <c r="L525" s="254">
        <v>1170</v>
      </c>
      <c r="M525" s="247">
        <v>18</v>
      </c>
      <c r="N525" s="247">
        <v>1</v>
      </c>
      <c r="O525" s="61" t="str">
        <f t="shared" ca="1" si="49"/>
        <v>sack</v>
      </c>
      <c r="P525" s="240" t="s">
        <v>213</v>
      </c>
      <c r="Q525" s="170"/>
      <c r="R525" s="192" t="str">
        <f t="shared" ref="R525:R526" si="53">CONCATENATE(N525,P525)</f>
        <v>1kilos</v>
      </c>
      <c r="S525" s="198">
        <f t="shared" si="50"/>
        <v>18</v>
      </c>
      <c r="T525" s="199" t="str">
        <f t="shared" si="51"/>
        <v>18kilos</v>
      </c>
      <c r="U525" s="200">
        <f t="shared" si="52"/>
        <v>21060</v>
      </c>
      <c r="V525" s="12"/>
      <c r="W525" s="12"/>
    </row>
    <row r="526" spans="1:23" x14ac:dyDescent="0.3">
      <c r="A526" s="183" t="e">
        <f ca="1"/>
        <v>#NAME?</v>
      </c>
      <c r="B526" s="244" t="s">
        <v>750</v>
      </c>
      <c r="C526" s="239"/>
      <c r="D526" s="194" t="str">
        <f ca="1">IFERROR(__xludf.DUMMYFUNCTION("IF(J526="""",""n/a"",IFERROR(SPLIT(J526,""/"")))"),"Sinandomeng")</f>
        <v>Sinandomeng</v>
      </c>
      <c r="E526" s="244" t="str">
        <f ca="1">IFERROR(__xludf.DUMMYFUNCTION("""COMPUTED_VALUE"""),"sack25kilos")</f>
        <v>sack25kilos</v>
      </c>
      <c r="F526" s="239"/>
      <c r="G526" s="239"/>
      <c r="H526" s="183" t="s">
        <v>1897</v>
      </c>
      <c r="I526" s="170"/>
      <c r="J526" s="96" t="s">
        <v>752</v>
      </c>
      <c r="K526" s="239"/>
      <c r="L526" s="254">
        <v>1180</v>
      </c>
      <c r="M526" s="247">
        <v>17</v>
      </c>
      <c r="N526" s="247">
        <v>1</v>
      </c>
      <c r="O526" s="61" t="str">
        <f t="shared" ca="1" si="49"/>
        <v>sack25kilos</v>
      </c>
      <c r="P526" s="240" t="s">
        <v>213</v>
      </c>
      <c r="Q526" s="170"/>
      <c r="R526" s="192" t="str">
        <f t="shared" si="53"/>
        <v>1kilos</v>
      </c>
      <c r="S526" s="198">
        <f t="shared" si="50"/>
        <v>17</v>
      </c>
      <c r="T526" s="199" t="str">
        <f t="shared" si="51"/>
        <v>17kilos</v>
      </c>
      <c r="U526" s="200">
        <f t="shared" si="52"/>
        <v>20060</v>
      </c>
      <c r="V526" s="12"/>
      <c r="W526" s="12"/>
    </row>
    <row r="527" spans="1:23" x14ac:dyDescent="0.3">
      <c r="A527" s="183" t="e">
        <f ca="1"/>
        <v>#NAME?</v>
      </c>
      <c r="B527" s="194" t="s">
        <v>750</v>
      </c>
      <c r="C527" s="170"/>
      <c r="D527" s="194" t="str">
        <f ca="1">IFERROR(__xludf.DUMMYFUNCTION("IF(J527="""",""n/a"",IFERROR(SPLIT(J527,""/"")))"),"n/a")</f>
        <v>n/a</v>
      </c>
      <c r="E527" s="170"/>
      <c r="F527" s="170"/>
      <c r="G527" s="170"/>
      <c r="H527" s="206" t="s">
        <v>1898</v>
      </c>
      <c r="I527" s="170"/>
      <c r="J527" s="170"/>
      <c r="K527" s="239"/>
      <c r="L527" s="276">
        <v>48</v>
      </c>
      <c r="M527" s="250">
        <v>975</v>
      </c>
      <c r="N527" s="250">
        <v>25</v>
      </c>
      <c r="O527" s="170">
        <f t="shared" si="49"/>
        <v>0</v>
      </c>
      <c r="P527" s="240" t="s">
        <v>213</v>
      </c>
      <c r="Q527" s="170"/>
      <c r="R527" s="170"/>
      <c r="S527" s="198">
        <f t="shared" si="50"/>
        <v>24375</v>
      </c>
      <c r="T527" s="199" t="str">
        <f t="shared" si="51"/>
        <v>24375kilos</v>
      </c>
      <c r="U527" s="200">
        <f t="shared" si="52"/>
        <v>46800</v>
      </c>
      <c r="V527" s="12"/>
      <c r="W527" s="12"/>
    </row>
    <row r="528" spans="1:23" x14ac:dyDescent="0.3">
      <c r="A528" s="183" t="e">
        <f ca="1"/>
        <v>#NAME?</v>
      </c>
      <c r="B528" s="194" t="s">
        <v>753</v>
      </c>
      <c r="C528" s="170"/>
      <c r="D528" s="194" t="str">
        <f ca="1">IFERROR(__xludf.DUMMYFUNCTION("IF(J528="""",""n/a"",IFERROR(SPLIT(J528,""/"")))"),"n/a")</f>
        <v>n/a</v>
      </c>
      <c r="E528" s="170"/>
      <c r="F528" s="170"/>
      <c r="G528" s="170"/>
      <c r="H528" s="206" t="s">
        <v>1898</v>
      </c>
      <c r="I528" s="239"/>
      <c r="J528" s="170"/>
      <c r="K528" s="239"/>
      <c r="L528" s="255">
        <v>22.378333333333334</v>
      </c>
      <c r="M528" s="266">
        <v>1</v>
      </c>
      <c r="N528" s="250">
        <v>30</v>
      </c>
      <c r="O528" s="170">
        <f t="shared" si="49"/>
        <v>0</v>
      </c>
      <c r="P528" s="269" t="s">
        <v>92</v>
      </c>
      <c r="Q528" s="170"/>
      <c r="R528" s="170"/>
      <c r="S528" s="198">
        <f t="shared" si="50"/>
        <v>30</v>
      </c>
      <c r="T528" s="199" t="str">
        <f t="shared" si="51"/>
        <v>30pieces</v>
      </c>
      <c r="U528" s="200">
        <f t="shared" si="52"/>
        <v>22.378333333333334</v>
      </c>
      <c r="V528" s="12"/>
      <c r="W528" s="12"/>
    </row>
    <row r="529" spans="1:23" x14ac:dyDescent="0.3">
      <c r="A529" s="183" t="e">
        <f ca="1"/>
        <v>#NAME?</v>
      </c>
      <c r="B529" s="194" t="s">
        <v>115</v>
      </c>
      <c r="C529" s="170"/>
      <c r="D529" s="194" t="str">
        <f ca="1">IFERROR(__xludf.DUMMYFUNCTION("IF(J529="""",""n/a"",IFERROR(SPLIT(J529,""/"")))"),"case (24pcsx250ml)")</f>
        <v>case (24pcsx250ml)</v>
      </c>
      <c r="E529" s="170"/>
      <c r="F529" s="170"/>
      <c r="G529" s="170"/>
      <c r="H529" s="183" t="s">
        <v>1895</v>
      </c>
      <c r="I529" s="239"/>
      <c r="J529" s="46" t="s">
        <v>116</v>
      </c>
      <c r="K529" s="239"/>
      <c r="L529" s="254">
        <v>30.07</v>
      </c>
      <c r="M529" s="100">
        <v>18</v>
      </c>
      <c r="N529" s="100">
        <v>1</v>
      </c>
      <c r="O529" s="170">
        <f t="shared" si="49"/>
        <v>0</v>
      </c>
      <c r="P529" s="240" t="s">
        <v>92</v>
      </c>
      <c r="Q529" s="170"/>
      <c r="R529" s="170"/>
      <c r="S529" s="198">
        <f t="shared" si="50"/>
        <v>18</v>
      </c>
      <c r="T529" s="199" t="str">
        <f t="shared" si="51"/>
        <v>18pieces</v>
      </c>
      <c r="U529" s="200">
        <f t="shared" si="52"/>
        <v>541.26</v>
      </c>
      <c r="V529" s="12"/>
      <c r="W529" s="12"/>
    </row>
    <row r="530" spans="1:23" x14ac:dyDescent="0.3">
      <c r="A530" s="183" t="e">
        <f ca="1"/>
        <v>#NAME?</v>
      </c>
      <c r="B530" s="194" t="s">
        <v>754</v>
      </c>
      <c r="C530" s="170"/>
      <c r="D530" s="194" t="str">
        <f ca="1">IFERROR(__xludf.DUMMYFUNCTION("IF(J530="""",""n/a"",IFERROR(SPLIT(J530,""/"")))"),"n/a")</f>
        <v>n/a</v>
      </c>
      <c r="E530" s="170"/>
      <c r="F530" s="170"/>
      <c r="G530" s="170"/>
      <c r="H530" s="206" t="s">
        <v>1898</v>
      </c>
      <c r="I530" s="239"/>
      <c r="J530" s="170"/>
      <c r="K530" s="239"/>
      <c r="L530" s="255">
        <v>32.84375</v>
      </c>
      <c r="M530" s="266">
        <v>8</v>
      </c>
      <c r="N530" s="250">
        <v>24</v>
      </c>
      <c r="O530" s="170">
        <f t="shared" si="49"/>
        <v>0</v>
      </c>
      <c r="P530" s="238" t="s">
        <v>92</v>
      </c>
      <c r="Q530" s="170"/>
      <c r="R530" s="170"/>
      <c r="S530" s="198">
        <f t="shared" si="50"/>
        <v>192</v>
      </c>
      <c r="T530" s="199" t="str">
        <f t="shared" si="51"/>
        <v>192pieces</v>
      </c>
      <c r="U530" s="200">
        <f t="shared" si="52"/>
        <v>262.75</v>
      </c>
      <c r="V530" s="12"/>
      <c r="W530" s="12"/>
    </row>
    <row r="531" spans="1:23" x14ac:dyDescent="0.3">
      <c r="A531" s="183" t="e">
        <f ca="1"/>
        <v>#NAME?</v>
      </c>
      <c r="B531" s="194" t="s">
        <v>117</v>
      </c>
      <c r="C531" s="170"/>
      <c r="D531" s="194" t="str">
        <f ca="1">IFERROR(__xludf.DUMMYFUNCTION("IF(J531="""",""n/a"",IFERROR(SPLIT(J531,""/"")))"),"Coca-Cola")</f>
        <v>Coca-Cola</v>
      </c>
      <c r="E531" s="194" t="str">
        <f ca="1">IFERROR(__xludf.DUMMYFUNCTION("""COMPUTED_VALUE"""),"case (24x250ml)")</f>
        <v>case (24x250ml)</v>
      </c>
      <c r="F531" s="170"/>
      <c r="G531" s="170"/>
      <c r="H531" s="183" t="s">
        <v>1897</v>
      </c>
      <c r="I531" s="239"/>
      <c r="J531" s="68" t="s">
        <v>118</v>
      </c>
      <c r="K531" s="239"/>
      <c r="L531" s="251">
        <v>12.57</v>
      </c>
      <c r="M531" s="262">
        <v>3</v>
      </c>
      <c r="N531" s="248">
        <v>1</v>
      </c>
      <c r="O531" s="61" t="str">
        <f t="shared" ca="1" si="49"/>
        <v>case (24x250ml)</v>
      </c>
      <c r="P531" s="100" t="s">
        <v>92</v>
      </c>
      <c r="Q531" s="170"/>
      <c r="R531" s="192" t="str">
        <f>CONCATENATE(N531,P531)</f>
        <v>1pieces</v>
      </c>
      <c r="S531" s="198">
        <f t="shared" si="50"/>
        <v>3</v>
      </c>
      <c r="T531" s="199" t="str">
        <f t="shared" si="51"/>
        <v>3pieces</v>
      </c>
      <c r="U531" s="200">
        <f t="shared" si="52"/>
        <v>37.71</v>
      </c>
      <c r="V531" s="205">
        <f>U531/M531</f>
        <v>12.57</v>
      </c>
      <c r="W531" s="62"/>
    </row>
    <row r="532" spans="1:23" x14ac:dyDescent="0.3">
      <c r="A532" s="183" t="e">
        <f ca="1"/>
        <v>#NAME?</v>
      </c>
      <c r="B532" s="277" t="s">
        <v>117</v>
      </c>
      <c r="C532" s="173"/>
      <c r="D532" s="194" t="str">
        <f ca="1">IFERROR(__xludf.DUMMYFUNCTION("IF(J532="""",""n/a"",IFERROR(SPLIT(J532,""/"")))"),"Coca-Cola")</f>
        <v>Coca-Cola</v>
      </c>
      <c r="E532" s="243" t="str">
        <f ca="1">IFERROR(__xludf.DUMMYFUNCTION("""COMPUTED_VALUE"""),"case (24x250ml)")</f>
        <v>case (24x250ml)</v>
      </c>
      <c r="F532" s="173"/>
      <c r="G532" s="173"/>
      <c r="H532" s="183" t="s">
        <v>1895</v>
      </c>
      <c r="I532" s="239"/>
      <c r="J532" s="46" t="s">
        <v>118</v>
      </c>
      <c r="K532" s="239"/>
      <c r="L532" s="254">
        <v>16.66</v>
      </c>
      <c r="M532" s="100">
        <v>120</v>
      </c>
      <c r="N532" s="100">
        <v>1</v>
      </c>
      <c r="O532" s="61" t="str">
        <f t="shared" ca="1" si="49"/>
        <v>case (24x250ml)</v>
      </c>
      <c r="P532" s="240" t="s">
        <v>92</v>
      </c>
      <c r="Q532" s="170"/>
      <c r="R532" s="170"/>
      <c r="S532" s="198">
        <f t="shared" si="50"/>
        <v>120</v>
      </c>
      <c r="T532" s="199" t="str">
        <f t="shared" si="51"/>
        <v>120pieces</v>
      </c>
      <c r="U532" s="200">
        <f t="shared" si="52"/>
        <v>1999.2</v>
      </c>
      <c r="V532" s="12"/>
      <c r="W532" s="12"/>
    </row>
    <row r="533" spans="1:23" x14ac:dyDescent="0.3">
      <c r="A533" s="183" t="e">
        <f ca="1"/>
        <v>#NAME?</v>
      </c>
      <c r="B533" s="277" t="s">
        <v>755</v>
      </c>
      <c r="C533" s="173"/>
      <c r="D533" s="194" t="str">
        <f ca="1">IFERROR(__xludf.DUMMYFUNCTION("IF(J533="""",""n/a"",IFERROR(SPLIT(J533,""/"")))"),"n/a")</f>
        <v>n/a</v>
      </c>
      <c r="E533" s="173"/>
      <c r="F533" s="173"/>
      <c r="G533" s="173"/>
      <c r="H533" s="206" t="s">
        <v>1898</v>
      </c>
      <c r="I533" s="239"/>
      <c r="J533" s="170"/>
      <c r="K533" s="239"/>
      <c r="L533" s="255">
        <v>0.17</v>
      </c>
      <c r="M533" s="250">
        <v>400</v>
      </c>
      <c r="N533" s="250">
        <v>1800</v>
      </c>
      <c r="O533" s="170">
        <f t="shared" si="49"/>
        <v>0</v>
      </c>
      <c r="P533" s="240" t="s">
        <v>32</v>
      </c>
      <c r="Q533" s="170"/>
      <c r="R533" s="170"/>
      <c r="S533" s="198">
        <f t="shared" si="50"/>
        <v>720000</v>
      </c>
      <c r="T533" s="199" t="str">
        <f t="shared" si="51"/>
        <v>720000ml</v>
      </c>
      <c r="U533" s="200">
        <f t="shared" si="52"/>
        <v>68</v>
      </c>
      <c r="V533" s="12"/>
      <c r="W533" s="12"/>
    </row>
    <row r="534" spans="1:23" x14ac:dyDescent="0.3">
      <c r="A534" s="183" t="e">
        <f ca="1"/>
        <v>#NAME?</v>
      </c>
      <c r="B534" s="277" t="s">
        <v>756</v>
      </c>
      <c r="C534" s="173"/>
      <c r="D534" s="194" t="str">
        <f ca="1">IFERROR(__xludf.DUMMYFUNCTION("IF(J534="""",""n/a"",IFERROR(SPLIT(J534,""/"")))"),"Ludys")</f>
        <v>Ludys</v>
      </c>
      <c r="E534" s="243" t="str">
        <f ca="1">IFERROR(__xludf.DUMMYFUNCTION("""COMPUTED_VALUE"""),"box (pcsx8 grams)")</f>
        <v>box (pcsx8 grams)</v>
      </c>
      <c r="F534" s="173"/>
      <c r="G534" s="173"/>
      <c r="H534" s="183" t="s">
        <v>1897</v>
      </c>
      <c r="I534" s="239"/>
      <c r="J534" s="46" t="s">
        <v>757</v>
      </c>
      <c r="K534" s="239"/>
      <c r="L534" s="251">
        <v>3.91</v>
      </c>
      <c r="M534" s="247">
        <v>166</v>
      </c>
      <c r="N534" s="247">
        <v>1</v>
      </c>
      <c r="O534" s="61" t="str">
        <f t="shared" ca="1" si="49"/>
        <v>box (pcsx8 grams)</v>
      </c>
      <c r="P534" s="240" t="s">
        <v>92</v>
      </c>
      <c r="Q534" s="170"/>
      <c r="R534" s="192" t="str">
        <f>CONCATENATE(N534,P534)</f>
        <v>1pieces</v>
      </c>
      <c r="S534" s="198">
        <f t="shared" si="50"/>
        <v>166</v>
      </c>
      <c r="T534" s="199" t="str">
        <f t="shared" si="51"/>
        <v>166pieces</v>
      </c>
      <c r="U534" s="200">
        <f t="shared" si="52"/>
        <v>649.06000000000006</v>
      </c>
      <c r="V534" s="205">
        <f>U534/M534</f>
        <v>3.91</v>
      </c>
      <c r="W534" s="62"/>
    </row>
    <row r="535" spans="1:23" x14ac:dyDescent="0.3">
      <c r="A535" s="183" t="e">
        <f ca="1"/>
        <v>#NAME?</v>
      </c>
      <c r="B535" s="194" t="s">
        <v>756</v>
      </c>
      <c r="C535" s="170"/>
      <c r="D535" s="194" t="str">
        <f ca="1">IFERROR(__xludf.DUMMYFUNCTION("IF(J535="""",""n/a"",IFERROR(SPLIT(J535,""/"")))"),"n/a")</f>
        <v>n/a</v>
      </c>
      <c r="E535" s="170"/>
      <c r="F535" s="170"/>
      <c r="G535" s="170"/>
      <c r="H535" s="206" t="s">
        <v>1898</v>
      </c>
      <c r="I535" s="239"/>
      <c r="J535" s="170"/>
      <c r="K535" s="239"/>
      <c r="L535" s="276">
        <v>3.9916666666666663</v>
      </c>
      <c r="M535" s="266">
        <v>133</v>
      </c>
      <c r="N535" s="250">
        <v>72</v>
      </c>
      <c r="O535" s="170">
        <f t="shared" si="49"/>
        <v>0</v>
      </c>
      <c r="P535" s="238" t="s">
        <v>92</v>
      </c>
      <c r="Q535" s="170"/>
      <c r="R535" s="170"/>
      <c r="S535" s="198">
        <f t="shared" si="50"/>
        <v>9576</v>
      </c>
      <c r="T535" s="199" t="str">
        <f t="shared" si="51"/>
        <v>9576pieces</v>
      </c>
      <c r="U535" s="200">
        <f t="shared" si="52"/>
        <v>530.89166666666665</v>
      </c>
      <c r="V535" s="12"/>
      <c r="W535" s="12"/>
    </row>
    <row r="536" spans="1:23" x14ac:dyDescent="0.3">
      <c r="A536" s="183" t="e">
        <f ca="1"/>
        <v>#NAME?</v>
      </c>
      <c r="B536" s="194" t="s">
        <v>758</v>
      </c>
      <c r="C536" s="170"/>
      <c r="D536" s="194" t="str">
        <f ca="1">IFERROR(__xludf.DUMMYFUNCTION("IF(J536="""",""n/a"",IFERROR(SPLIT(J536,""/"")))"),"Crystal")</f>
        <v>Crystal</v>
      </c>
      <c r="E536" s="194" t="str">
        <f ca="1">IFERROR(__xludf.DUMMYFUNCTION("""COMPUTED_VALUE"""),"pack")</f>
        <v>pack</v>
      </c>
      <c r="F536" s="194" t="str">
        <f ca="1">IFERROR(__xludf.DUMMYFUNCTION("""COMPUTED_VALUE"""),"1000grams")</f>
        <v>1000grams</v>
      </c>
      <c r="G536" s="170"/>
      <c r="H536" s="183" t="s">
        <v>1897</v>
      </c>
      <c r="I536" s="170"/>
      <c r="J536" s="46" t="s">
        <v>759</v>
      </c>
      <c r="K536" s="239"/>
      <c r="L536" s="271">
        <v>1.2E-2</v>
      </c>
      <c r="M536" s="247">
        <v>2000</v>
      </c>
      <c r="N536" s="247">
        <v>1000</v>
      </c>
      <c r="O536" s="61" t="str">
        <f t="shared" ca="1" si="49"/>
        <v>pack</v>
      </c>
      <c r="P536" s="240" t="s">
        <v>39</v>
      </c>
      <c r="Q536" s="170"/>
      <c r="R536" s="192" t="str">
        <f>CONCATENATE(N536,P536)</f>
        <v>1000grams</v>
      </c>
      <c r="S536" s="198">
        <f t="shared" si="50"/>
        <v>2000000</v>
      </c>
      <c r="T536" s="199" t="str">
        <f t="shared" si="51"/>
        <v>2000000grams</v>
      </c>
      <c r="U536" s="200">
        <f t="shared" si="52"/>
        <v>24</v>
      </c>
      <c r="V536" s="62"/>
      <c r="W536" s="12"/>
    </row>
    <row r="537" spans="1:23" x14ac:dyDescent="0.3">
      <c r="A537" s="183" t="e">
        <f ca="1"/>
        <v>#NAME?</v>
      </c>
      <c r="B537" s="194" t="s">
        <v>758</v>
      </c>
      <c r="C537" s="170"/>
      <c r="D537" s="194" t="str">
        <f ca="1">IFERROR(__xludf.DUMMYFUNCTION("IF(J537="""",""n/a"",IFERROR(SPLIT(J537,""/"")))"),"n/a")</f>
        <v>n/a</v>
      </c>
      <c r="E537" s="170"/>
      <c r="F537" s="170"/>
      <c r="G537" s="170"/>
      <c r="H537" s="206" t="s">
        <v>1898</v>
      </c>
      <c r="I537" s="170"/>
      <c r="J537" s="170"/>
      <c r="K537" s="239"/>
      <c r="L537" s="255">
        <v>2.5000000000000001E-2</v>
      </c>
      <c r="M537" s="250">
        <v>8000</v>
      </c>
      <c r="N537" s="250">
        <v>1000</v>
      </c>
      <c r="O537" s="170">
        <f t="shared" si="49"/>
        <v>0</v>
      </c>
      <c r="P537" s="240" t="s">
        <v>39</v>
      </c>
      <c r="Q537" s="170"/>
      <c r="R537" s="170"/>
      <c r="S537" s="198">
        <f t="shared" si="50"/>
        <v>8000000</v>
      </c>
      <c r="T537" s="199" t="str">
        <f t="shared" si="51"/>
        <v>8000000grams</v>
      </c>
      <c r="U537" s="200">
        <f t="shared" si="52"/>
        <v>200</v>
      </c>
      <c r="V537" s="12"/>
      <c r="W537" s="12"/>
    </row>
    <row r="538" spans="1:23" x14ac:dyDescent="0.3">
      <c r="A538" s="183" t="e">
        <f ca="1"/>
        <v>#NAME?</v>
      </c>
      <c r="B538" s="194" t="s">
        <v>282</v>
      </c>
      <c r="C538" s="170"/>
      <c r="D538" s="194" t="str">
        <f ca="1">IFERROR(__xludf.DUMMYFUNCTION("IF(J538="""",""n/a"",IFERROR(SPLIT(J538,""/"")))"),"pack")</f>
        <v>pack</v>
      </c>
      <c r="E538" s="194" t="str">
        <f ca="1">IFERROR(__xludf.DUMMYFUNCTION("""COMPUTED_VALUE"""),"1000grams")</f>
        <v>1000grams</v>
      </c>
      <c r="F538" s="170"/>
      <c r="G538" s="170"/>
      <c r="H538" s="183" t="s">
        <v>1895</v>
      </c>
      <c r="I538" s="170"/>
      <c r="J538" s="46" t="s">
        <v>283</v>
      </c>
      <c r="K538" s="239"/>
      <c r="L538" s="254">
        <v>15</v>
      </c>
      <c r="M538" s="100">
        <v>3</v>
      </c>
      <c r="N538" s="240">
        <v>1</v>
      </c>
      <c r="O538" s="61" t="str">
        <f t="shared" ca="1" si="49"/>
        <v>1000grams</v>
      </c>
      <c r="P538" s="240" t="s">
        <v>39</v>
      </c>
      <c r="Q538" s="170"/>
      <c r="R538" s="170"/>
      <c r="S538" s="198">
        <f t="shared" si="50"/>
        <v>3</v>
      </c>
      <c r="T538" s="199" t="str">
        <f t="shared" si="51"/>
        <v>3grams</v>
      </c>
      <c r="U538" s="200">
        <f t="shared" si="52"/>
        <v>45</v>
      </c>
      <c r="V538" s="12"/>
      <c r="W538" s="12"/>
    </row>
    <row r="539" spans="1:23" x14ac:dyDescent="0.3">
      <c r="A539" s="183" t="e">
        <f ca="1"/>
        <v>#NAME?</v>
      </c>
      <c r="B539" s="244" t="s">
        <v>760</v>
      </c>
      <c r="C539" s="239"/>
      <c r="D539" s="194" t="str">
        <f ca="1">IFERROR(__xludf.DUMMYFUNCTION("IF(J539="""",""n/a"",IFERROR(SPLIT(J539,""/"")))"),"Ram")</f>
        <v>Ram</v>
      </c>
      <c r="E539" s="244" t="str">
        <f ca="1">IFERROR(__xludf.DUMMYFUNCTION("""COMPUTED_VALUE"""),"pack")</f>
        <v>pack</v>
      </c>
      <c r="F539" s="244" t="str">
        <f ca="1">IFERROR(__xludf.DUMMYFUNCTION("""COMPUTED_VALUE"""),"100grams")</f>
        <v>100grams</v>
      </c>
      <c r="G539" s="239"/>
      <c r="H539" s="183" t="s">
        <v>1897</v>
      </c>
      <c r="I539" s="170"/>
      <c r="J539" s="96" t="s">
        <v>761</v>
      </c>
      <c r="K539" s="239"/>
      <c r="L539" s="254">
        <v>0.15720000000000001</v>
      </c>
      <c r="M539" s="263">
        <v>3500</v>
      </c>
      <c r="N539" s="278">
        <v>100</v>
      </c>
      <c r="O539" s="61" t="str">
        <f t="shared" ca="1" si="49"/>
        <v>pack</v>
      </c>
      <c r="P539" s="240" t="s">
        <v>39</v>
      </c>
      <c r="Q539" s="170"/>
      <c r="R539" s="192" t="str">
        <f>CONCATENATE(N539,P539)</f>
        <v>100grams</v>
      </c>
      <c r="S539" s="198">
        <f t="shared" si="50"/>
        <v>350000</v>
      </c>
      <c r="T539" s="199" t="str">
        <f t="shared" si="51"/>
        <v>350000grams</v>
      </c>
      <c r="U539" s="200">
        <f t="shared" si="52"/>
        <v>550.20000000000005</v>
      </c>
      <c r="V539" s="205">
        <f>U539/M539</f>
        <v>0.15720000000000001</v>
      </c>
      <c r="W539" s="62"/>
    </row>
    <row r="540" spans="1:23" x14ac:dyDescent="0.3">
      <c r="A540" s="183" t="e">
        <f ca="1"/>
        <v>#NAME?</v>
      </c>
      <c r="B540" s="214" t="s">
        <v>158</v>
      </c>
      <c r="C540" s="215"/>
      <c r="D540" s="194" t="str">
        <f ca="1">IFERROR(__xludf.DUMMYFUNCTION("IF(J540="""",""n/a"",IFERROR(SPLIT(J540,""/"")))"),"San Mig")</f>
        <v>San Mig</v>
      </c>
      <c r="E540" s="214" t="str">
        <f ca="1">IFERROR(__xludf.DUMMYFUNCTION("""COMPUTED_VALUE"""),"pack")</f>
        <v>pack</v>
      </c>
      <c r="F540" s="214" t="str">
        <f ca="1">IFERROR(__xludf.DUMMYFUNCTION("""COMPUTED_VALUE"""),"7grams")</f>
        <v>7grams</v>
      </c>
      <c r="G540" s="215"/>
      <c r="H540" s="183" t="s">
        <v>1895</v>
      </c>
      <c r="I540" s="170"/>
      <c r="J540" s="46" t="s">
        <v>159</v>
      </c>
      <c r="K540" s="239"/>
      <c r="L540" s="270">
        <v>6.69</v>
      </c>
      <c r="M540" s="100">
        <v>354</v>
      </c>
      <c r="N540" s="100">
        <v>1</v>
      </c>
      <c r="O540" s="61" t="str">
        <f t="shared" ca="1" si="49"/>
        <v>pack</v>
      </c>
      <c r="P540" s="240" t="s">
        <v>92</v>
      </c>
      <c r="Q540" s="170"/>
      <c r="R540" s="170"/>
      <c r="S540" s="198">
        <f t="shared" si="50"/>
        <v>354</v>
      </c>
      <c r="T540" s="199" t="str">
        <f t="shared" si="51"/>
        <v>354pieces</v>
      </c>
      <c r="U540" s="200">
        <f t="shared" si="52"/>
        <v>2368.2600000000002</v>
      </c>
      <c r="V540" s="12"/>
      <c r="W540" s="12"/>
    </row>
    <row r="541" spans="1:23" x14ac:dyDescent="0.3">
      <c r="A541" s="183" t="e">
        <f ca="1"/>
        <v>#NAME?</v>
      </c>
      <c r="B541" s="194" t="s">
        <v>160</v>
      </c>
      <c r="C541" s="170"/>
      <c r="D541" s="194" t="str">
        <f ca="1">IFERROR(__xludf.DUMMYFUNCTION("IF(J541="""",""n/a"",IFERROR(SPLIT(J541,""/"")))"),"San Mig")</f>
        <v>San Mig</v>
      </c>
      <c r="E541" s="194" t="str">
        <f ca="1">IFERROR(__xludf.DUMMYFUNCTION("""COMPUTED_VALUE"""),"pack (10pcsx20grams)")</f>
        <v>pack (10pcsx20grams)</v>
      </c>
      <c r="F541" s="170"/>
      <c r="G541" s="170"/>
      <c r="H541" s="183" t="s">
        <v>1897</v>
      </c>
      <c r="I541" s="170"/>
      <c r="J541" s="46" t="s">
        <v>161</v>
      </c>
      <c r="K541" s="239"/>
      <c r="L541" s="251">
        <v>8.6</v>
      </c>
      <c r="M541" s="247">
        <v>270</v>
      </c>
      <c r="N541" s="247">
        <v>1</v>
      </c>
      <c r="O541" s="61" t="str">
        <f t="shared" ca="1" si="49"/>
        <v>pack (10pcsx20grams)</v>
      </c>
      <c r="P541" s="240" t="s">
        <v>92</v>
      </c>
      <c r="Q541" s="61" t="s">
        <v>33</v>
      </c>
      <c r="R541" s="192" t="str">
        <f>CONCATENATE(N541,P541)</f>
        <v>1pieces</v>
      </c>
      <c r="S541" s="198">
        <f t="shared" si="50"/>
        <v>270</v>
      </c>
      <c r="T541" s="199" t="str">
        <f t="shared" si="51"/>
        <v>270 pieces</v>
      </c>
      <c r="U541" s="200">
        <f t="shared" si="52"/>
        <v>2322</v>
      </c>
      <c r="V541" s="205">
        <f>U541/M541</f>
        <v>8.6</v>
      </c>
      <c r="W541" s="62"/>
    </row>
    <row r="542" spans="1:23" x14ac:dyDescent="0.3">
      <c r="A542" s="183" t="e">
        <f ca="1"/>
        <v>#NAME?</v>
      </c>
      <c r="B542" s="194" t="s">
        <v>160</v>
      </c>
      <c r="C542" s="170"/>
      <c r="D542" s="194" t="str">
        <f ca="1">IFERROR(__xludf.DUMMYFUNCTION("IF(J542="""",""n/a"",IFERROR(SPLIT(J542,""/"")))"),"San Mig")</f>
        <v>San Mig</v>
      </c>
      <c r="E542" s="194" t="str">
        <f ca="1">IFERROR(__xludf.DUMMYFUNCTION("""COMPUTED_VALUE"""),"pack (10pcsx20grams)")</f>
        <v>pack (10pcsx20grams)</v>
      </c>
      <c r="F542" s="170"/>
      <c r="G542" s="170"/>
      <c r="H542" s="183" t="s">
        <v>1895</v>
      </c>
      <c r="I542" s="170"/>
      <c r="J542" s="46" t="s">
        <v>161</v>
      </c>
      <c r="K542" s="237"/>
      <c r="L542" s="254">
        <v>8.73</v>
      </c>
      <c r="M542" s="100">
        <v>580</v>
      </c>
      <c r="N542" s="100">
        <v>1</v>
      </c>
      <c r="O542" s="61" t="str">
        <f t="shared" ca="1" si="49"/>
        <v>pack (10pcsx20grams)</v>
      </c>
      <c r="P542" s="240" t="s">
        <v>92</v>
      </c>
      <c r="Q542" s="170"/>
      <c r="R542" s="170"/>
      <c r="S542" s="198">
        <f t="shared" si="50"/>
        <v>580</v>
      </c>
      <c r="T542" s="199" t="str">
        <f t="shared" si="51"/>
        <v>580pieces</v>
      </c>
      <c r="U542" s="200">
        <f t="shared" si="52"/>
        <v>5063.4000000000005</v>
      </c>
      <c r="V542" s="12"/>
      <c r="W542" s="12"/>
    </row>
    <row r="543" spans="1:23" x14ac:dyDescent="0.3">
      <c r="A543" s="183" t="e">
        <f ca="1"/>
        <v>#NAME?</v>
      </c>
      <c r="B543" s="244" t="s">
        <v>762</v>
      </c>
      <c r="C543" s="239"/>
      <c r="D543" s="194" t="str">
        <f ca="1">IFERROR(__xludf.DUMMYFUNCTION("IF(J543="""",""n/a"",IFERROR(SPLIT(J543,""/"")))"),"n/a")</f>
        <v>n/a</v>
      </c>
      <c r="E543" s="239"/>
      <c r="F543" s="239"/>
      <c r="G543" s="239"/>
      <c r="H543" s="206" t="s">
        <v>1898</v>
      </c>
      <c r="I543" s="170"/>
      <c r="J543" s="239"/>
      <c r="K543" s="237"/>
      <c r="L543" s="255">
        <v>20</v>
      </c>
      <c r="M543" s="250">
        <v>116</v>
      </c>
      <c r="N543" s="250">
        <v>1</v>
      </c>
      <c r="O543" s="170">
        <f t="shared" si="49"/>
        <v>0</v>
      </c>
      <c r="P543" s="100" t="s">
        <v>92</v>
      </c>
      <c r="Q543" s="170"/>
      <c r="R543" s="170"/>
      <c r="S543" s="198">
        <f t="shared" si="50"/>
        <v>116</v>
      </c>
      <c r="T543" s="199" t="str">
        <f t="shared" si="51"/>
        <v>116pieces</v>
      </c>
      <c r="U543" s="200">
        <f t="shared" si="52"/>
        <v>2320</v>
      </c>
      <c r="V543" s="12"/>
      <c r="W543" s="12"/>
    </row>
    <row r="544" spans="1:23" x14ac:dyDescent="0.3">
      <c r="A544" s="183" t="e">
        <f ca="1"/>
        <v>#NAME?</v>
      </c>
      <c r="B544" s="244" t="s">
        <v>763</v>
      </c>
      <c r="C544" s="239"/>
      <c r="D544" s="194" t="str">
        <f ca="1">IFERROR(__xludf.DUMMYFUNCTION("IF(J544="""",""n/a"",IFERROR(SPLIT(J544,""/"")))"),"n/a")</f>
        <v>n/a</v>
      </c>
      <c r="E544" s="239"/>
      <c r="F544" s="239"/>
      <c r="G544" s="239"/>
      <c r="H544" s="206" t="s">
        <v>1898</v>
      </c>
      <c r="I544" s="170"/>
      <c r="J544" s="239"/>
      <c r="K544" s="237"/>
      <c r="L544" s="255">
        <v>23.84</v>
      </c>
      <c r="M544" s="250">
        <v>72</v>
      </c>
      <c r="N544" s="250">
        <v>1</v>
      </c>
      <c r="O544" s="170">
        <f t="shared" si="49"/>
        <v>0</v>
      </c>
      <c r="P544" s="100" t="s">
        <v>92</v>
      </c>
      <c r="Q544" s="170"/>
      <c r="R544" s="170"/>
      <c r="S544" s="198">
        <f t="shared" si="50"/>
        <v>72</v>
      </c>
      <c r="T544" s="199" t="str">
        <f t="shared" si="51"/>
        <v>72pieces</v>
      </c>
      <c r="U544" s="200">
        <f t="shared" si="52"/>
        <v>1716.48</v>
      </c>
      <c r="V544" s="12"/>
      <c r="W544" s="12"/>
    </row>
    <row r="545" spans="1:23" x14ac:dyDescent="0.3">
      <c r="A545" s="183" t="e">
        <f ca="1"/>
        <v>#NAME?</v>
      </c>
      <c r="B545" s="279" t="s">
        <v>764</v>
      </c>
      <c r="C545" s="237"/>
      <c r="D545" s="194" t="str">
        <f ca="1">IFERROR(__xludf.DUMMYFUNCTION("IF(J545="""",""n/a"",IFERROR(SPLIT(J545,""/"")))"),"Silkday")</f>
        <v>Silkday</v>
      </c>
      <c r="E545" s="279" t="str">
        <f ca="1">IFERROR(__xludf.DUMMYFUNCTION("""COMPUTED_VALUE"""),"packx20's")</f>
        <v>packx20's</v>
      </c>
      <c r="F545" s="237"/>
      <c r="G545" s="237"/>
      <c r="H545" s="183" t="s">
        <v>1897</v>
      </c>
      <c r="I545" s="170"/>
      <c r="J545" s="47" t="s">
        <v>765</v>
      </c>
      <c r="K545" s="237"/>
      <c r="L545" s="270">
        <v>2.78</v>
      </c>
      <c r="M545" s="247">
        <v>304</v>
      </c>
      <c r="N545" s="280">
        <v>1</v>
      </c>
      <c r="O545" s="61" t="str">
        <f t="shared" ca="1" si="49"/>
        <v>packx20's</v>
      </c>
      <c r="P545" s="240" t="s">
        <v>92</v>
      </c>
      <c r="Q545" s="170"/>
      <c r="R545" s="192" t="str">
        <f t="shared" ref="R545:R546" si="54">CONCATENATE(N545,P545)</f>
        <v>1pieces</v>
      </c>
      <c r="S545" s="198">
        <f t="shared" si="50"/>
        <v>304</v>
      </c>
      <c r="T545" s="199" t="str">
        <f t="shared" si="51"/>
        <v>304pieces</v>
      </c>
      <c r="U545" s="200">
        <f t="shared" si="52"/>
        <v>845.11999999999989</v>
      </c>
      <c r="V545" s="12"/>
      <c r="W545" s="12"/>
    </row>
    <row r="546" spans="1:23" x14ac:dyDescent="0.3">
      <c r="A546" s="183" t="e">
        <f ca="1"/>
        <v>#NAME?</v>
      </c>
      <c r="B546" s="194" t="s">
        <v>766</v>
      </c>
      <c r="C546" s="170"/>
      <c r="D546" s="194" t="str">
        <f ca="1">IFERROR(__xludf.DUMMYFUNCTION("IF(J546="""",""n/a"",IFERROR(SPLIT(J546,""/"")))"),"Mega")</f>
        <v>Mega</v>
      </c>
      <c r="E546" s="194" t="str">
        <f ca="1">IFERROR(__xludf.DUMMYFUNCTION("""COMPUTED_VALUE"""),"can")</f>
        <v>can</v>
      </c>
      <c r="F546" s="194" t="str">
        <f ca="1">IFERROR(__xludf.DUMMYFUNCTION("""COMPUTED_VALUE"""),"425grams")</f>
        <v>425grams</v>
      </c>
      <c r="G546" s="170"/>
      <c r="H546" s="183" t="s">
        <v>1897</v>
      </c>
      <c r="I546" s="170"/>
      <c r="J546" s="46" t="s">
        <v>767</v>
      </c>
      <c r="K546" s="237"/>
      <c r="L546" s="195">
        <v>0.13607058823529411</v>
      </c>
      <c r="M546" s="263">
        <v>4250</v>
      </c>
      <c r="N546" s="247">
        <v>425</v>
      </c>
      <c r="O546" s="61" t="str">
        <f t="shared" ca="1" si="49"/>
        <v>can</v>
      </c>
      <c r="P546" s="61" t="s">
        <v>39</v>
      </c>
      <c r="Q546" s="61" t="s">
        <v>33</v>
      </c>
      <c r="R546" s="192" t="str">
        <f t="shared" si="54"/>
        <v>425grams</v>
      </c>
      <c r="S546" s="198">
        <f t="shared" si="50"/>
        <v>1806250</v>
      </c>
      <c r="T546" s="199" t="str">
        <f t="shared" si="51"/>
        <v>1806250 grams</v>
      </c>
      <c r="U546" s="200">
        <f t="shared" si="52"/>
        <v>578.29999999999995</v>
      </c>
      <c r="V546" s="205">
        <f>U546/M546</f>
        <v>0.13607058823529411</v>
      </c>
      <c r="W546" s="62"/>
    </row>
    <row r="547" spans="1:23" x14ac:dyDescent="0.3">
      <c r="A547" s="183" t="e">
        <f ca="1"/>
        <v>#NAME?</v>
      </c>
      <c r="B547" s="214" t="s">
        <v>766</v>
      </c>
      <c r="C547" s="215"/>
      <c r="D547" s="194">
        <f ca="1">IFERROR(__xludf.DUMMYFUNCTION("IF(J547="""",""n/a"",IFERROR(SPLIT(J547,""/"")))"),555)</f>
        <v>555</v>
      </c>
      <c r="E547" s="214" t="str">
        <f ca="1">IFERROR(__xludf.DUMMYFUNCTION("""COMPUTED_VALUE"""),"can")</f>
        <v>can</v>
      </c>
      <c r="F547" s="214" t="str">
        <f ca="1">IFERROR(__xludf.DUMMYFUNCTION("""COMPUTED_VALUE"""),"425grams")</f>
        <v>425grams</v>
      </c>
      <c r="G547" s="215"/>
      <c r="H547" s="183" t="s">
        <v>1895</v>
      </c>
      <c r="I547" s="215"/>
      <c r="J547" s="46" t="s">
        <v>195</v>
      </c>
      <c r="K547" s="237"/>
      <c r="L547" s="195">
        <v>58.25</v>
      </c>
      <c r="M547" s="100">
        <v>72</v>
      </c>
      <c r="N547" s="240">
        <v>1</v>
      </c>
      <c r="O547" s="61" t="str">
        <f t="shared" ca="1" si="49"/>
        <v>can</v>
      </c>
      <c r="P547" s="240" t="s">
        <v>39</v>
      </c>
      <c r="Q547" s="170"/>
      <c r="R547" s="170"/>
      <c r="S547" s="198">
        <f t="shared" si="50"/>
        <v>72</v>
      </c>
      <c r="T547" s="199" t="str">
        <f t="shared" si="51"/>
        <v>72grams</v>
      </c>
      <c r="U547" s="200">
        <f t="shared" si="52"/>
        <v>4194</v>
      </c>
      <c r="V547" s="12"/>
      <c r="W547" s="12"/>
    </row>
    <row r="548" spans="1:23" x14ac:dyDescent="0.3">
      <c r="A548" s="183" t="e">
        <f ca="1"/>
        <v>#NAME?</v>
      </c>
      <c r="B548" s="194" t="s">
        <v>766</v>
      </c>
      <c r="C548" s="170"/>
      <c r="D548" s="194" t="str">
        <f ca="1">IFERROR(__xludf.DUMMYFUNCTION("IF(J548="""",""n/a"",IFERROR(SPLIT(J548,""/"")))"),"n/a")</f>
        <v>n/a</v>
      </c>
      <c r="E548" s="170"/>
      <c r="F548" s="170"/>
      <c r="G548" s="170"/>
      <c r="H548" s="206" t="s">
        <v>1898</v>
      </c>
      <c r="I548" s="170"/>
      <c r="J548" s="170"/>
      <c r="K548" s="237"/>
      <c r="L548" s="197">
        <v>0.13672941176470588</v>
      </c>
      <c r="M548" s="266">
        <v>18700</v>
      </c>
      <c r="N548" s="250">
        <v>425</v>
      </c>
      <c r="O548" s="170">
        <f t="shared" si="49"/>
        <v>0</v>
      </c>
      <c r="P548" s="61" t="s">
        <v>39</v>
      </c>
      <c r="Q548" s="170"/>
      <c r="R548" s="170"/>
      <c r="S548" s="198">
        <f t="shared" si="50"/>
        <v>7947500</v>
      </c>
      <c r="T548" s="199" t="str">
        <f t="shared" si="51"/>
        <v>7947500grams</v>
      </c>
      <c r="U548" s="200">
        <f t="shared" si="52"/>
        <v>2556.8399999999997</v>
      </c>
      <c r="V548" s="12"/>
      <c r="W548" s="12"/>
    </row>
    <row r="549" spans="1:23" x14ac:dyDescent="0.3">
      <c r="A549" s="183" t="e">
        <f ca="1"/>
        <v>#NAME?</v>
      </c>
      <c r="B549" s="194" t="s">
        <v>768</v>
      </c>
      <c r="C549" s="170"/>
      <c r="D549" s="194" t="str">
        <f ca="1">IFERROR(__xludf.DUMMYFUNCTION("IF(J549="""",""n/a"",IFERROR(SPLIT(J549,""/"")))"),"Fresh")</f>
        <v>Fresh</v>
      </c>
      <c r="E549" s="170"/>
      <c r="F549" s="170"/>
      <c r="G549" s="170"/>
      <c r="H549" s="183" t="s">
        <v>1897</v>
      </c>
      <c r="I549" s="237"/>
      <c r="J549" s="46" t="s">
        <v>216</v>
      </c>
      <c r="K549" s="237"/>
      <c r="L549" s="217">
        <v>9.5000000000000001E-2</v>
      </c>
      <c r="M549" s="247">
        <v>5000</v>
      </c>
      <c r="N549" s="247">
        <v>1000</v>
      </c>
      <c r="O549" s="170">
        <f t="shared" si="49"/>
        <v>0</v>
      </c>
      <c r="P549" s="61" t="s">
        <v>39</v>
      </c>
      <c r="Q549" s="170"/>
      <c r="R549" s="192" t="str">
        <f>CONCATENATE(N549,P549)</f>
        <v>1000grams</v>
      </c>
      <c r="S549" s="198">
        <f t="shared" si="50"/>
        <v>5000000</v>
      </c>
      <c r="T549" s="199" t="str">
        <f t="shared" si="51"/>
        <v>5000000grams</v>
      </c>
      <c r="U549" s="200">
        <f t="shared" si="52"/>
        <v>475</v>
      </c>
      <c r="V549" s="12"/>
      <c r="W549" s="12"/>
    </row>
    <row r="550" spans="1:23" x14ac:dyDescent="0.3">
      <c r="A550" s="183" t="e">
        <f ca="1"/>
        <v>#NAME?</v>
      </c>
      <c r="B550" s="194" t="s">
        <v>206</v>
      </c>
      <c r="C550" s="170"/>
      <c r="D550" s="194" t="str">
        <f ca="1">IFERROR(__xludf.DUMMYFUNCTION("IF(J550="""",""n/a"",IFERROR(SPLIT(J550,""/"")))"),"n/a")</f>
        <v>n/a</v>
      </c>
      <c r="E550" s="170"/>
      <c r="F550" s="170"/>
      <c r="G550" s="170"/>
      <c r="H550" s="206" t="s">
        <v>1898</v>
      </c>
      <c r="I550" s="237"/>
      <c r="J550" s="170"/>
      <c r="K550" s="237"/>
      <c r="L550" s="197">
        <v>33.1</v>
      </c>
      <c r="M550" s="266">
        <v>3</v>
      </c>
      <c r="N550" s="250">
        <v>1</v>
      </c>
      <c r="O550" s="170">
        <f t="shared" si="49"/>
        <v>0</v>
      </c>
      <c r="P550" s="61" t="s">
        <v>92</v>
      </c>
      <c r="Q550" s="170"/>
      <c r="R550" s="170"/>
      <c r="S550" s="198">
        <f t="shared" si="50"/>
        <v>3</v>
      </c>
      <c r="T550" s="199" t="str">
        <f t="shared" si="51"/>
        <v>3pieces</v>
      </c>
      <c r="U550" s="200">
        <f t="shared" si="52"/>
        <v>99.300000000000011</v>
      </c>
      <c r="V550" s="12"/>
      <c r="W550" s="12"/>
    </row>
    <row r="551" spans="1:23" x14ac:dyDescent="0.3">
      <c r="A551" s="183" t="e">
        <f ca="1"/>
        <v>#NAME?</v>
      </c>
      <c r="B551" s="194" t="s">
        <v>769</v>
      </c>
      <c r="C551" s="170"/>
      <c r="D551" s="194" t="str">
        <f ca="1">IFERROR(__xludf.DUMMYFUNCTION("IF(J551="""",""n/a"",IFERROR(SPLIT(J551,""/"")))"),"n/a")</f>
        <v>n/a</v>
      </c>
      <c r="E551" s="170"/>
      <c r="F551" s="170"/>
      <c r="G551" s="170"/>
      <c r="H551" s="206" t="s">
        <v>1898</v>
      </c>
      <c r="I551" s="170"/>
      <c r="J551" s="170"/>
      <c r="K551" s="237"/>
      <c r="L551" s="197">
        <v>101</v>
      </c>
      <c r="M551" s="250">
        <v>7</v>
      </c>
      <c r="N551" s="250">
        <v>1</v>
      </c>
      <c r="O551" s="170">
        <f t="shared" si="49"/>
        <v>0</v>
      </c>
      <c r="P551" s="61" t="s">
        <v>92</v>
      </c>
      <c r="Q551" s="170"/>
      <c r="R551" s="170"/>
      <c r="S551" s="198">
        <f t="shared" si="50"/>
        <v>7</v>
      </c>
      <c r="T551" s="199" t="str">
        <f t="shared" si="51"/>
        <v>7pieces</v>
      </c>
      <c r="U551" s="200">
        <f t="shared" si="52"/>
        <v>707</v>
      </c>
      <c r="V551" s="12"/>
      <c r="W551" s="12"/>
    </row>
    <row r="552" spans="1:23" x14ac:dyDescent="0.3">
      <c r="A552" s="183" t="e">
        <f ca="1"/>
        <v>#NAME?</v>
      </c>
      <c r="B552" s="194" t="s">
        <v>205</v>
      </c>
      <c r="C552" s="170"/>
      <c r="D552" s="194" t="str">
        <f ca="1">IFERROR(__xludf.DUMMYFUNCTION("IF(J552="""",""n/a"",IFERROR(SPLIT(J552,""/"")))"),"Scotchbrite")</f>
        <v>Scotchbrite</v>
      </c>
      <c r="E552" s="170"/>
      <c r="F552" s="170"/>
      <c r="G552" s="170"/>
      <c r="H552" s="183" t="s">
        <v>1895</v>
      </c>
      <c r="I552" s="170"/>
      <c r="J552" s="46" t="s">
        <v>206</v>
      </c>
      <c r="K552" s="237"/>
      <c r="L552" s="195">
        <v>34</v>
      </c>
      <c r="M552" s="100">
        <v>3</v>
      </c>
      <c r="N552" s="100">
        <v>1</v>
      </c>
      <c r="O552" s="170">
        <f t="shared" si="49"/>
        <v>0</v>
      </c>
      <c r="P552" s="61" t="s">
        <v>92</v>
      </c>
      <c r="Q552" s="170"/>
      <c r="R552" s="170"/>
      <c r="S552" s="198">
        <f t="shared" si="50"/>
        <v>3</v>
      </c>
      <c r="T552" s="199" t="str">
        <f t="shared" si="51"/>
        <v>3pieces</v>
      </c>
      <c r="U552" s="200">
        <f t="shared" si="52"/>
        <v>102</v>
      </c>
      <c r="V552" s="12"/>
      <c r="W552" s="12"/>
    </row>
    <row r="553" spans="1:23" x14ac:dyDescent="0.3">
      <c r="A553" s="183" t="e">
        <f ca="1"/>
        <v>#NAME?</v>
      </c>
      <c r="B553" s="244" t="s">
        <v>205</v>
      </c>
      <c r="C553" s="239"/>
      <c r="D553" s="194" t="str">
        <f ca="1">IFERROR(__xludf.DUMMYFUNCTION("IF(J553="""",""n/a"",IFERROR(SPLIT(J553,""/"")))"),"n/a")</f>
        <v>n/a</v>
      </c>
      <c r="E553" s="239"/>
      <c r="F553" s="239"/>
      <c r="G553" s="239"/>
      <c r="H553" s="206" t="s">
        <v>1898</v>
      </c>
      <c r="I553" s="170"/>
      <c r="J553" s="239"/>
      <c r="K553" s="237"/>
      <c r="L553" s="255">
        <v>34</v>
      </c>
      <c r="M553" s="250">
        <v>2</v>
      </c>
      <c r="N553" s="250">
        <v>1</v>
      </c>
      <c r="O553" s="170">
        <f t="shared" si="49"/>
        <v>0</v>
      </c>
      <c r="P553" s="100" t="s">
        <v>92</v>
      </c>
      <c r="Q553" s="170"/>
      <c r="R553" s="170"/>
      <c r="S553" s="198">
        <f t="shared" si="50"/>
        <v>2</v>
      </c>
      <c r="T553" s="199" t="str">
        <f t="shared" si="51"/>
        <v>2pieces</v>
      </c>
      <c r="U553" s="200">
        <f t="shared" si="52"/>
        <v>68</v>
      </c>
      <c r="V553" s="12"/>
      <c r="W553" s="12"/>
    </row>
    <row r="554" spans="1:23" x14ac:dyDescent="0.3">
      <c r="A554" s="183" t="e">
        <f ca="1"/>
        <v>#NAME?</v>
      </c>
      <c r="B554" s="214" t="s">
        <v>207</v>
      </c>
      <c r="C554" s="215"/>
      <c r="D554" s="194" t="str">
        <f ca="1">IFERROR(__xludf.DUMMYFUNCTION("IF(J554="""",""n/a"",IFERROR(SPLIT(J554,""/"")))"),"Scotchbrite")</f>
        <v>Scotchbrite</v>
      </c>
      <c r="E554" s="215"/>
      <c r="F554" s="215"/>
      <c r="G554" s="215"/>
      <c r="H554" s="183" t="s">
        <v>1895</v>
      </c>
      <c r="I554" s="170"/>
      <c r="J554" s="46" t="s">
        <v>206</v>
      </c>
      <c r="K554" s="237"/>
      <c r="L554" s="195">
        <v>34</v>
      </c>
      <c r="M554" s="61">
        <v>4</v>
      </c>
      <c r="N554" s="61">
        <v>1</v>
      </c>
      <c r="O554" s="170">
        <f t="shared" si="49"/>
        <v>0</v>
      </c>
      <c r="P554" s="61" t="s">
        <v>92</v>
      </c>
      <c r="Q554" s="170"/>
      <c r="R554" s="170"/>
      <c r="S554" s="198">
        <f t="shared" si="50"/>
        <v>4</v>
      </c>
      <c r="T554" s="199" t="str">
        <f t="shared" si="51"/>
        <v>4pieces</v>
      </c>
      <c r="U554" s="200">
        <f t="shared" si="52"/>
        <v>136</v>
      </c>
      <c r="V554" s="12"/>
      <c r="W554" s="12"/>
    </row>
    <row r="555" spans="1:23" x14ac:dyDescent="0.3">
      <c r="A555" s="183" t="e">
        <f ca="1"/>
        <v>#NAME?</v>
      </c>
      <c r="B555" s="194" t="s">
        <v>770</v>
      </c>
      <c r="C555" s="170"/>
      <c r="D555" s="194" t="str">
        <f ca="1">IFERROR(__xludf.DUMMYFUNCTION("IF(J555="""",""n/a"",IFERROR(SPLIT(J555,""/"")))"),"n/a")</f>
        <v>n/a</v>
      </c>
      <c r="E555" s="170"/>
      <c r="F555" s="170"/>
      <c r="G555" s="170"/>
      <c r="H555" s="206" t="s">
        <v>1898</v>
      </c>
      <c r="I555" s="170"/>
      <c r="J555" s="170"/>
      <c r="K555" s="237"/>
      <c r="L555" s="197">
        <v>0.379</v>
      </c>
      <c r="M555" s="208">
        <v>5000</v>
      </c>
      <c r="N555" s="208">
        <v>1000</v>
      </c>
      <c r="O555" s="170">
        <f t="shared" si="49"/>
        <v>0</v>
      </c>
      <c r="P555" s="61" t="s">
        <v>39</v>
      </c>
      <c r="Q555" s="170"/>
      <c r="R555" s="170"/>
      <c r="S555" s="198">
        <f t="shared" si="50"/>
        <v>5000000</v>
      </c>
      <c r="T555" s="199" t="str">
        <f t="shared" si="51"/>
        <v>5000000grams</v>
      </c>
      <c r="U555" s="200">
        <f t="shared" si="52"/>
        <v>1895</v>
      </c>
      <c r="V555" s="12"/>
      <c r="W555" s="12"/>
    </row>
    <row r="556" spans="1:23" x14ac:dyDescent="0.3">
      <c r="A556" s="183" t="e">
        <f ca="1"/>
        <v>#NAME?</v>
      </c>
      <c r="B556" s="194" t="s">
        <v>771</v>
      </c>
      <c r="C556" s="170"/>
      <c r="D556" s="194" t="str">
        <f ca="1">IFERROR(__xludf.DUMMYFUNCTION("IF(J556="""",""n/a"",IFERROR(SPLIT(J556,""/"")))"),"Lee Kum Kee")</f>
        <v>Lee Kum Kee</v>
      </c>
      <c r="E556" s="194" t="str">
        <f ca="1">IFERROR(__xludf.DUMMYFUNCTION("""COMPUTED_VALUE"""),"bottle")</f>
        <v>bottle</v>
      </c>
      <c r="F556" s="194" t="str">
        <f ca="1">IFERROR(__xludf.DUMMYFUNCTION("""COMPUTED_VALUE"""),"410grams")</f>
        <v>410grams</v>
      </c>
      <c r="G556" s="170"/>
      <c r="H556" s="183" t="s">
        <v>1897</v>
      </c>
      <c r="I556" s="239"/>
      <c r="J556" s="46" t="s">
        <v>772</v>
      </c>
      <c r="K556" s="237"/>
      <c r="L556" s="202">
        <v>0.72048780487804875</v>
      </c>
      <c r="M556" s="203">
        <v>410</v>
      </c>
      <c r="N556" s="203">
        <v>410</v>
      </c>
      <c r="O556" s="61" t="str">
        <f t="shared" ca="1" si="49"/>
        <v>bottle</v>
      </c>
      <c r="P556" s="61" t="s">
        <v>39</v>
      </c>
      <c r="Q556" s="170"/>
      <c r="R556" s="192" t="str">
        <f>CONCATENATE(N556,P556)</f>
        <v>410grams</v>
      </c>
      <c r="S556" s="198">
        <f t="shared" si="50"/>
        <v>168100</v>
      </c>
      <c r="T556" s="199" t="str">
        <f t="shared" si="51"/>
        <v>168100grams</v>
      </c>
      <c r="U556" s="200">
        <f t="shared" si="52"/>
        <v>295.39999999999998</v>
      </c>
      <c r="V556" s="62"/>
      <c r="W556" s="12"/>
    </row>
    <row r="557" spans="1:23" x14ac:dyDescent="0.3">
      <c r="A557" s="183" t="e">
        <f ca="1"/>
        <v>#NAME?</v>
      </c>
      <c r="B557" s="194" t="s">
        <v>771</v>
      </c>
      <c r="C557" s="170"/>
      <c r="D557" s="194" t="str">
        <f ca="1">IFERROR(__xludf.DUMMYFUNCTION("IF(J557="""",""n/a"",IFERROR(SPLIT(J557,""/"")))"),"n/a")</f>
        <v>n/a</v>
      </c>
      <c r="E557" s="170"/>
      <c r="F557" s="170"/>
      <c r="G557" s="170"/>
      <c r="H557" s="206" t="s">
        <v>1898</v>
      </c>
      <c r="I557" s="239"/>
      <c r="J557" s="170"/>
      <c r="K557" s="237"/>
      <c r="L557" s="197">
        <v>0.7</v>
      </c>
      <c r="M557" s="208">
        <v>1000</v>
      </c>
      <c r="N557" s="208">
        <v>1000</v>
      </c>
      <c r="O557" s="170">
        <f t="shared" si="49"/>
        <v>0</v>
      </c>
      <c r="P557" s="61" t="s">
        <v>773</v>
      </c>
      <c r="Q557" s="170"/>
      <c r="R557" s="170"/>
      <c r="S557" s="198">
        <f t="shared" si="50"/>
        <v>1000000</v>
      </c>
      <c r="T557" s="199" t="str">
        <f t="shared" si="51"/>
        <v>1000000liters</v>
      </c>
      <c r="U557" s="200">
        <f t="shared" si="52"/>
        <v>700</v>
      </c>
      <c r="V557" s="12"/>
      <c r="W557" s="12"/>
    </row>
    <row r="558" spans="1:23" x14ac:dyDescent="0.3">
      <c r="A558" s="183" t="e">
        <f ca="1"/>
        <v>#NAME?</v>
      </c>
      <c r="B558" s="194" t="s">
        <v>284</v>
      </c>
      <c r="C558" s="170"/>
      <c r="D558" s="194" t="str">
        <f ca="1">IFERROR(__xludf.DUMMYFUNCTION("IF(J558="""",""n/a"",IFERROR(SPLIT(J558,""/"")))"),"Hermano")</f>
        <v>Hermano</v>
      </c>
      <c r="E558" s="194" t="str">
        <f ca="1">IFERROR(__xludf.DUMMYFUNCTION("""COMPUTED_VALUE"""),"pack")</f>
        <v>pack</v>
      </c>
      <c r="F558" s="194" t="str">
        <f ca="1">IFERROR(__xludf.DUMMYFUNCTION("""COMPUTED_VALUE"""),"1000grams")</f>
        <v>1000grams</v>
      </c>
      <c r="G558" s="170"/>
      <c r="H558" s="183" t="s">
        <v>1897</v>
      </c>
      <c r="I558" s="170"/>
      <c r="J558" s="46" t="s">
        <v>82</v>
      </c>
      <c r="K558" s="237"/>
      <c r="L558" s="195">
        <v>8.2000000000000003E-2</v>
      </c>
      <c r="M558" s="203">
        <v>15000</v>
      </c>
      <c r="N558" s="203">
        <v>1000</v>
      </c>
      <c r="O558" s="61" t="str">
        <f t="shared" ca="1" si="49"/>
        <v>pack</v>
      </c>
      <c r="P558" s="61" t="s">
        <v>39</v>
      </c>
      <c r="Q558" s="170"/>
      <c r="R558" s="192" t="str">
        <f t="shared" ref="R558:R559" si="55">CONCATENATE(N558,P558)</f>
        <v>1000grams</v>
      </c>
      <c r="S558" s="198">
        <f t="shared" si="50"/>
        <v>15000000</v>
      </c>
      <c r="T558" s="199" t="str">
        <f t="shared" si="51"/>
        <v>15000000grams</v>
      </c>
      <c r="U558" s="200">
        <f t="shared" si="52"/>
        <v>1230</v>
      </c>
      <c r="V558" s="205">
        <f>U558/M558</f>
        <v>8.2000000000000003E-2</v>
      </c>
      <c r="W558" s="62"/>
    </row>
    <row r="559" spans="1:23" x14ac:dyDescent="0.3">
      <c r="A559" s="183" t="e">
        <f ca="1"/>
        <v>#NAME?</v>
      </c>
      <c r="B559" s="244" t="s">
        <v>284</v>
      </c>
      <c r="C559" s="239"/>
      <c r="D559" s="194" t="str">
        <f ca="1">IFERROR(__xludf.DUMMYFUNCTION("IF(J559="""",""n/a"",IFERROR(SPLIT(J559,""/"")))"),"Knorr")</f>
        <v>Knorr</v>
      </c>
      <c r="E559" s="244" t="str">
        <f ca="1">IFERROR(__xludf.DUMMYFUNCTION("""COMPUTED_VALUE"""),"sachet")</f>
        <v>sachet</v>
      </c>
      <c r="F559" s="244" t="str">
        <f ca="1">IFERROR(__xludf.DUMMYFUNCTION("""COMPUTED_VALUE"""),"44grams")</f>
        <v>44grams</v>
      </c>
      <c r="G559" s="239"/>
      <c r="H559" s="183" t="s">
        <v>1897</v>
      </c>
      <c r="I559" s="170"/>
      <c r="J559" s="96" t="s">
        <v>285</v>
      </c>
      <c r="K559" s="237"/>
      <c r="L559" s="271">
        <v>0.62954545454545452</v>
      </c>
      <c r="M559" s="247">
        <v>1320</v>
      </c>
      <c r="N559" s="203">
        <v>44</v>
      </c>
      <c r="O559" s="61" t="str">
        <f t="shared" ca="1" si="49"/>
        <v>sachet</v>
      </c>
      <c r="P559" s="61" t="s">
        <v>39</v>
      </c>
      <c r="Q559" s="170"/>
      <c r="R559" s="192" t="str">
        <f t="shared" si="55"/>
        <v>44grams</v>
      </c>
      <c r="S559" s="198">
        <f t="shared" si="50"/>
        <v>58080</v>
      </c>
      <c r="T559" s="199" t="str">
        <f t="shared" si="51"/>
        <v>58080grams</v>
      </c>
      <c r="U559" s="200">
        <f t="shared" si="52"/>
        <v>831</v>
      </c>
      <c r="V559" s="62"/>
      <c r="W559" s="12"/>
    </row>
    <row r="560" spans="1:23" x14ac:dyDescent="0.3">
      <c r="A560" s="183" t="e">
        <f ca="1"/>
        <v>#NAME?</v>
      </c>
      <c r="B560" s="244" t="s">
        <v>284</v>
      </c>
      <c r="C560" s="239"/>
      <c r="D560" s="194" t="str">
        <f ca="1">IFERROR(__xludf.DUMMYFUNCTION("IF(J560="""",""n/a"",IFERROR(SPLIT(J560,""/"")))"),"Knorr")</f>
        <v>Knorr</v>
      </c>
      <c r="E560" s="244" t="str">
        <f ca="1">IFERROR(__xludf.DUMMYFUNCTION("""COMPUTED_VALUE"""),"sachet")</f>
        <v>sachet</v>
      </c>
      <c r="F560" s="244" t="str">
        <f ca="1">IFERROR(__xludf.DUMMYFUNCTION("""COMPUTED_VALUE"""),"44grams")</f>
        <v>44grams</v>
      </c>
      <c r="G560" s="239"/>
      <c r="H560" s="183" t="s">
        <v>1895</v>
      </c>
      <c r="I560" s="170"/>
      <c r="J560" s="96" t="s">
        <v>285</v>
      </c>
      <c r="K560" s="237"/>
      <c r="L560" s="254">
        <v>27.7</v>
      </c>
      <c r="M560" s="100">
        <v>40.045000000000002</v>
      </c>
      <c r="N560" s="61">
        <v>1</v>
      </c>
      <c r="O560" s="61" t="str">
        <f t="shared" ca="1" si="49"/>
        <v>sachet</v>
      </c>
      <c r="P560" s="61" t="s">
        <v>39</v>
      </c>
      <c r="Q560" s="170"/>
      <c r="R560" s="170"/>
      <c r="S560" s="198">
        <f t="shared" si="50"/>
        <v>40.045000000000002</v>
      </c>
      <c r="T560" s="199" t="str">
        <f t="shared" si="51"/>
        <v>40.045grams</v>
      </c>
      <c r="U560" s="200">
        <f t="shared" si="52"/>
        <v>1109.2465</v>
      </c>
      <c r="V560" s="12"/>
      <c r="W560" s="12"/>
    </row>
    <row r="561" spans="1:23" x14ac:dyDescent="0.3">
      <c r="A561" s="183" t="e">
        <f ca="1"/>
        <v>#NAME?</v>
      </c>
      <c r="B561" s="244" t="s">
        <v>774</v>
      </c>
      <c r="C561" s="239"/>
      <c r="D561" s="194" t="str">
        <f ca="1">IFERROR(__xludf.DUMMYFUNCTION("IF(J561="""",""n/a"",IFERROR(SPLIT(J561,""/"")))"),"n/a")</f>
        <v>n/a</v>
      </c>
      <c r="E561" s="239"/>
      <c r="F561" s="239"/>
      <c r="G561" s="239"/>
      <c r="H561" s="206" t="s">
        <v>1898</v>
      </c>
      <c r="I561" s="170"/>
      <c r="J561" s="239"/>
      <c r="K561" s="237"/>
      <c r="L561" s="255">
        <v>0.87874999999999992</v>
      </c>
      <c r="M561" s="250">
        <v>120</v>
      </c>
      <c r="N561" s="208">
        <v>40</v>
      </c>
      <c r="O561" s="170">
        <f t="shared" si="49"/>
        <v>0</v>
      </c>
      <c r="P561" s="61" t="s">
        <v>39</v>
      </c>
      <c r="Q561" s="170"/>
      <c r="R561" s="170"/>
      <c r="S561" s="198">
        <f t="shared" si="50"/>
        <v>4800</v>
      </c>
      <c r="T561" s="199" t="str">
        <f t="shared" si="51"/>
        <v>4800grams</v>
      </c>
      <c r="U561" s="200">
        <f t="shared" si="52"/>
        <v>105.44999999999999</v>
      </c>
      <c r="V561" s="12"/>
      <c r="W561" s="12"/>
    </row>
    <row r="562" spans="1:23" x14ac:dyDescent="0.3">
      <c r="A562" s="183" t="e">
        <f ca="1"/>
        <v>#NAME?</v>
      </c>
      <c r="B562" s="244" t="s">
        <v>775</v>
      </c>
      <c r="C562" s="239"/>
      <c r="D562" s="194" t="str">
        <f ca="1">IFERROR(__xludf.DUMMYFUNCTION("IF(J562="""",""n/a"",IFERROR(SPLIT(J562,""/"")))"),"n/a")</f>
        <v>n/a</v>
      </c>
      <c r="E562" s="239"/>
      <c r="F562" s="239"/>
      <c r="G562" s="239"/>
      <c r="H562" s="206" t="s">
        <v>1898</v>
      </c>
      <c r="I562" s="170"/>
      <c r="J562" s="239"/>
      <c r="K562" s="237"/>
      <c r="L562" s="255">
        <v>0.62954545454545452</v>
      </c>
      <c r="M562" s="266">
        <v>792</v>
      </c>
      <c r="N562" s="208">
        <v>44</v>
      </c>
      <c r="O562" s="170">
        <f t="shared" si="49"/>
        <v>0</v>
      </c>
      <c r="P562" s="61" t="s">
        <v>39</v>
      </c>
      <c r="Q562" s="170"/>
      <c r="R562" s="170"/>
      <c r="S562" s="198">
        <f t="shared" si="50"/>
        <v>34848</v>
      </c>
      <c r="T562" s="199" t="str">
        <f t="shared" si="51"/>
        <v>34848grams</v>
      </c>
      <c r="U562" s="200">
        <f t="shared" si="52"/>
        <v>498.59999999999997</v>
      </c>
      <c r="V562" s="12"/>
      <c r="W562" s="12"/>
    </row>
    <row r="563" spans="1:23" x14ac:dyDescent="0.3">
      <c r="A563" s="183" t="e">
        <f ca="1"/>
        <v>#NAME?</v>
      </c>
      <c r="B563" s="194" t="s">
        <v>440</v>
      </c>
      <c r="C563" s="170"/>
      <c r="D563" s="194" t="str">
        <f ca="1">IFERROR(__xludf.DUMMYFUNCTION("IF(J563="""",""n/a"",IFERROR(SPLIT(J563,""/"")))"),"M.Y San")</f>
        <v>M.Y San</v>
      </c>
      <c r="E563" s="194" t="str">
        <f ca="1">IFERROR(__xludf.DUMMYFUNCTION("""COMPUTED_VALUE""")," pack (10pcsx25grams)")</f>
        <v xml:space="preserve"> pack (10pcsx25grams)</v>
      </c>
      <c r="F563" s="170"/>
      <c r="G563" s="170"/>
      <c r="H563" s="183" t="s">
        <v>1895</v>
      </c>
      <c r="I563" s="239"/>
      <c r="J563" s="46" t="s">
        <v>441</v>
      </c>
      <c r="K563" s="237"/>
      <c r="L563" s="195">
        <v>5.73</v>
      </c>
      <c r="M563" s="61">
        <v>600</v>
      </c>
      <c r="N563" s="61">
        <v>1</v>
      </c>
      <c r="O563" s="61" t="str">
        <f t="shared" ca="1" si="49"/>
        <v xml:space="preserve"> pack (10pcsx25grams)</v>
      </c>
      <c r="P563" s="61" t="s">
        <v>92</v>
      </c>
      <c r="Q563" s="170"/>
      <c r="R563" s="170"/>
      <c r="S563" s="198">
        <f t="shared" si="50"/>
        <v>600</v>
      </c>
      <c r="T563" s="199" t="str">
        <f t="shared" si="51"/>
        <v>600pieces</v>
      </c>
      <c r="U563" s="200">
        <f t="shared" si="52"/>
        <v>3438.0000000000005</v>
      </c>
      <c r="V563" s="12"/>
      <c r="W563" s="12"/>
    </row>
    <row r="564" spans="1:23" x14ac:dyDescent="0.3">
      <c r="A564" s="183" t="e">
        <f ca="1"/>
        <v>#NAME?</v>
      </c>
      <c r="B564" s="194" t="s">
        <v>329</v>
      </c>
      <c r="C564" s="170"/>
      <c r="D564" s="194" t="str">
        <f ca="1">IFERROR(__xludf.DUMMYFUNCTION("IF(J564="""",""n/a"",IFERROR(SPLIT(J564,""/"")))"),"Goodlife")</f>
        <v>Goodlife</v>
      </c>
      <c r="E564" s="194" t="str">
        <f ca="1">IFERROR(__xludf.DUMMYFUNCTION("""COMPUTED_VALUE"""),"pack")</f>
        <v>pack</v>
      </c>
      <c r="F564" s="194" t="str">
        <f ca="1">IFERROR(__xludf.DUMMYFUNCTION("""COMPUTED_VALUE"""),"1000grams")</f>
        <v>1000grams</v>
      </c>
      <c r="G564" s="170"/>
      <c r="H564" s="183" t="s">
        <v>1895</v>
      </c>
      <c r="I564" s="239"/>
      <c r="J564" s="46" t="s">
        <v>49</v>
      </c>
      <c r="K564" s="237"/>
      <c r="L564" s="195">
        <v>291.60000000000002</v>
      </c>
      <c r="M564" s="61">
        <v>4</v>
      </c>
      <c r="N564" s="61">
        <v>1</v>
      </c>
      <c r="O564" s="61" t="str">
        <f t="shared" ca="1" si="49"/>
        <v>pack</v>
      </c>
      <c r="P564" s="61" t="s">
        <v>39</v>
      </c>
      <c r="Q564" s="170"/>
      <c r="R564" s="170"/>
      <c r="S564" s="198">
        <f t="shared" si="50"/>
        <v>4</v>
      </c>
      <c r="T564" s="199" t="str">
        <f t="shared" si="51"/>
        <v>4grams</v>
      </c>
      <c r="U564" s="200">
        <f t="shared" si="52"/>
        <v>1166.4000000000001</v>
      </c>
      <c r="V564" s="12"/>
      <c r="W564" s="12"/>
    </row>
    <row r="565" spans="1:23" x14ac:dyDescent="0.3">
      <c r="A565" s="183" t="e">
        <f ca="1"/>
        <v>#NAME?</v>
      </c>
      <c r="B565" s="194" t="s">
        <v>329</v>
      </c>
      <c r="C565" s="170"/>
      <c r="D565" s="194" t="str">
        <f ca="1">IFERROR(__xludf.DUMMYFUNCTION("IF(J565="""",""n/a"",IFERROR(SPLIT(J565,""/"")))"),"n/a")</f>
        <v>n/a</v>
      </c>
      <c r="E565" s="170"/>
      <c r="F565" s="170"/>
      <c r="G565" s="170"/>
      <c r="H565" s="206" t="s">
        <v>1898</v>
      </c>
      <c r="I565" s="239"/>
      <c r="J565" s="170"/>
      <c r="K565" s="237"/>
      <c r="L565" s="197">
        <v>0.29199999999999998</v>
      </c>
      <c r="M565" s="208">
        <v>1000</v>
      </c>
      <c r="N565" s="208">
        <v>1000</v>
      </c>
      <c r="O565" s="170">
        <f t="shared" si="49"/>
        <v>0</v>
      </c>
      <c r="P565" s="61" t="s">
        <v>39</v>
      </c>
      <c r="Q565" s="170"/>
      <c r="R565" s="170"/>
      <c r="S565" s="198">
        <f t="shared" si="50"/>
        <v>1000000</v>
      </c>
      <c r="T565" s="199" t="str">
        <f t="shared" si="51"/>
        <v>1000000grams</v>
      </c>
      <c r="U565" s="200">
        <f t="shared" si="52"/>
        <v>292</v>
      </c>
      <c r="V565" s="12"/>
      <c r="W565" s="12"/>
    </row>
    <row r="566" spans="1:23" x14ac:dyDescent="0.3">
      <c r="A566" s="193" t="e">
        <f ca="1"/>
        <v>#NAME?</v>
      </c>
      <c r="B566" s="194" t="s">
        <v>776</v>
      </c>
      <c r="C566" s="170"/>
      <c r="D566" s="194" t="str">
        <f ca="1">IFERROR(__xludf.DUMMYFUNCTION("IF(J566="""",""n/a"",IFERROR(SPLIT(J566,""/"")))"),"n/a")</f>
        <v>n/a</v>
      </c>
      <c r="E566" s="170"/>
      <c r="F566" s="170"/>
      <c r="G566" s="170"/>
      <c r="H566" s="206" t="s">
        <v>1898</v>
      </c>
      <c r="I566" s="239"/>
      <c r="J566" s="170"/>
      <c r="K566" s="237"/>
      <c r="L566" s="197">
        <v>0.87666666666666671</v>
      </c>
      <c r="M566" s="207">
        <v>60</v>
      </c>
      <c r="N566" s="208">
        <v>60</v>
      </c>
      <c r="O566" s="170">
        <f t="shared" si="49"/>
        <v>0</v>
      </c>
      <c r="P566" s="61" t="s">
        <v>39</v>
      </c>
      <c r="Q566" s="12"/>
      <c r="R566" s="12"/>
      <c r="S566" s="198">
        <f t="shared" si="50"/>
        <v>3600</v>
      </c>
      <c r="T566" s="199" t="str">
        <f t="shared" si="51"/>
        <v>3600grams</v>
      </c>
      <c r="U566" s="200">
        <f t="shared" si="52"/>
        <v>52.6</v>
      </c>
      <c r="V566" s="12"/>
      <c r="W566" s="12"/>
    </row>
    <row r="567" spans="1:23" x14ac:dyDescent="0.3">
      <c r="A567" s="193" t="e">
        <f ca="1"/>
        <v>#NAME?</v>
      </c>
      <c r="B567" s="194" t="s">
        <v>777</v>
      </c>
      <c r="C567" s="170"/>
      <c r="D567" s="194" t="str">
        <f ca="1">IFERROR(__xludf.DUMMYFUNCTION("IF(J567="""",""n/a"",IFERROR(SPLIT(J567,""/"")))"),"n/a")</f>
        <v>n/a</v>
      </c>
      <c r="E567" s="170"/>
      <c r="F567" s="170"/>
      <c r="G567" s="170"/>
      <c r="H567" s="206" t="s">
        <v>1898</v>
      </c>
      <c r="I567" s="239"/>
      <c r="J567" s="239"/>
      <c r="K567" s="237"/>
      <c r="L567" s="255">
        <v>1.009090909090909</v>
      </c>
      <c r="M567" s="250">
        <v>440</v>
      </c>
      <c r="N567" s="208">
        <v>55</v>
      </c>
      <c r="O567" s="170">
        <f t="shared" si="49"/>
        <v>0</v>
      </c>
      <c r="P567" s="100" t="s">
        <v>39</v>
      </c>
      <c r="Q567" s="12"/>
      <c r="R567" s="12"/>
      <c r="S567" s="198">
        <f t="shared" si="50"/>
        <v>24200</v>
      </c>
      <c r="T567" s="199" t="str">
        <f t="shared" si="51"/>
        <v>24200grams</v>
      </c>
      <c r="U567" s="200">
        <f t="shared" si="52"/>
        <v>444</v>
      </c>
      <c r="V567" s="12"/>
      <c r="W567" s="12"/>
    </row>
    <row r="568" spans="1:23" x14ac:dyDescent="0.3">
      <c r="A568" s="193" t="e">
        <f ca="1"/>
        <v>#NAME?</v>
      </c>
      <c r="B568" s="194" t="s">
        <v>778</v>
      </c>
      <c r="C568" s="170"/>
      <c r="D568" s="194" t="str">
        <f ca="1">IFERROR(__xludf.DUMMYFUNCTION("IF(J568="""",""n/a"",IFERROR(SPLIT(J568,""/"")))"),"n/a")</f>
        <v>n/a</v>
      </c>
      <c r="E568" s="170"/>
      <c r="F568" s="170"/>
      <c r="G568" s="170"/>
      <c r="H568" s="206" t="s">
        <v>1898</v>
      </c>
      <c r="I568" s="239"/>
      <c r="J568" s="239"/>
      <c r="K568" s="237"/>
      <c r="L568" s="255">
        <v>0.88709677419354838</v>
      </c>
      <c r="M568" s="250">
        <v>124</v>
      </c>
      <c r="N568" s="208">
        <v>62</v>
      </c>
      <c r="O568" s="170">
        <f t="shared" si="49"/>
        <v>0</v>
      </c>
      <c r="P568" s="100" t="s">
        <v>39</v>
      </c>
      <c r="Q568" s="12"/>
      <c r="R568" s="12"/>
      <c r="S568" s="198">
        <f t="shared" si="50"/>
        <v>7688</v>
      </c>
      <c r="T568" s="199" t="str">
        <f t="shared" si="51"/>
        <v>7688grams</v>
      </c>
      <c r="U568" s="200">
        <f t="shared" si="52"/>
        <v>110</v>
      </c>
      <c r="V568" s="12"/>
      <c r="W568" s="12"/>
    </row>
    <row r="569" spans="1:23" x14ac:dyDescent="0.3">
      <c r="A569" s="193" t="e">
        <f ca="1"/>
        <v>#NAME?</v>
      </c>
      <c r="B569" s="194" t="s">
        <v>779</v>
      </c>
      <c r="C569" s="170"/>
      <c r="D569" s="194" t="str">
        <f ca="1">IFERROR(__xludf.DUMMYFUNCTION("IF(J569="""",""n/a"",IFERROR(SPLIT(J569,""/"")))"),"n/a")</f>
        <v>n/a</v>
      </c>
      <c r="E569" s="170"/>
      <c r="F569" s="170"/>
      <c r="G569" s="170"/>
      <c r="H569" s="206" t="s">
        <v>1898</v>
      </c>
      <c r="I569" s="239"/>
      <c r="J569" s="239"/>
      <c r="K569" s="237"/>
      <c r="L569" s="255">
        <v>0.99245283018867925</v>
      </c>
      <c r="M569" s="250">
        <v>901</v>
      </c>
      <c r="N569" s="208">
        <v>53</v>
      </c>
      <c r="O569" s="170">
        <f t="shared" si="49"/>
        <v>0</v>
      </c>
      <c r="P569" s="100" t="s">
        <v>39</v>
      </c>
      <c r="Q569" s="12"/>
      <c r="R569" s="12"/>
      <c r="S569" s="198">
        <f t="shared" si="50"/>
        <v>47753</v>
      </c>
      <c r="T569" s="199" t="str">
        <f t="shared" si="51"/>
        <v>47753grams</v>
      </c>
      <c r="U569" s="200">
        <f t="shared" si="52"/>
        <v>894.2</v>
      </c>
      <c r="V569" s="12"/>
      <c r="W569" s="12"/>
    </row>
    <row r="570" spans="1:23" x14ac:dyDescent="0.3">
      <c r="A570" s="193" t="e">
        <f ca="1"/>
        <v>#NAME?</v>
      </c>
      <c r="B570" s="214" t="s">
        <v>780</v>
      </c>
      <c r="C570" s="215"/>
      <c r="D570" s="194" t="str">
        <f ca="1">IFERROR(__xludf.DUMMYFUNCTION("IF(J570="""",""n/a"",IFERROR(SPLIT(J570,""/"")))"),"pck")</f>
        <v>pck</v>
      </c>
      <c r="E570" s="215"/>
      <c r="F570" s="215"/>
      <c r="G570" s="215"/>
      <c r="H570" s="183" t="s">
        <v>1897</v>
      </c>
      <c r="I570" s="239"/>
      <c r="J570" s="219" t="s">
        <v>781</v>
      </c>
      <c r="K570" s="237"/>
      <c r="L570" s="257">
        <v>68</v>
      </c>
      <c r="M570" s="220">
        <v>1</v>
      </c>
      <c r="N570" s="220">
        <v>1</v>
      </c>
      <c r="O570" s="170">
        <f t="shared" si="49"/>
        <v>0</v>
      </c>
      <c r="P570" s="209" t="s">
        <v>92</v>
      </c>
      <c r="Q570" s="12"/>
      <c r="R570" s="281" t="str">
        <f t="shared" ref="R570:R573" si="56">CONCATENATE(N570,P570)</f>
        <v>1pieces</v>
      </c>
      <c r="S570" s="198">
        <f t="shared" si="50"/>
        <v>1</v>
      </c>
      <c r="T570" s="199" t="str">
        <f t="shared" si="51"/>
        <v>1pieces</v>
      </c>
      <c r="U570" s="200">
        <f t="shared" si="52"/>
        <v>68</v>
      </c>
      <c r="V570" s="12"/>
      <c r="W570" s="12"/>
    </row>
    <row r="571" spans="1:23" x14ac:dyDescent="0.3">
      <c r="A571" s="193" t="e">
        <f ca="1"/>
        <v>#NAME?</v>
      </c>
      <c r="B571" s="194" t="s">
        <v>286</v>
      </c>
      <c r="C571" s="170"/>
      <c r="D571" s="194" t="str">
        <f ca="1">IFERROR(__xludf.DUMMYFUNCTION("IF(J571="""",""n/a"",IFERROR(SPLIT(J571,""/"")))"),"Ticman")</f>
        <v>Ticman</v>
      </c>
      <c r="E571" s="194" t="str">
        <f ca="1">IFERROR(__xludf.DUMMYFUNCTION("""COMPUTED_VALUE"""),"gallon")</f>
        <v>gallon</v>
      </c>
      <c r="F571" s="194" t="str">
        <f ca="1">IFERROR(__xludf.DUMMYFUNCTION("""COMPUTED_VALUE"""),"3500ml")</f>
        <v>3500ml</v>
      </c>
      <c r="G571" s="170"/>
      <c r="H571" s="183" t="s">
        <v>1897</v>
      </c>
      <c r="I571" s="239"/>
      <c r="J571" s="46" t="s">
        <v>239</v>
      </c>
      <c r="K571" s="237"/>
      <c r="L571" s="271">
        <v>73</v>
      </c>
      <c r="M571" s="203">
        <v>18</v>
      </c>
      <c r="N571" s="203">
        <v>1</v>
      </c>
      <c r="O571" s="61" t="str">
        <f t="shared" ca="1" si="49"/>
        <v>gallon</v>
      </c>
      <c r="P571" s="61" t="s">
        <v>200</v>
      </c>
      <c r="Q571" s="12"/>
      <c r="R571" s="281" t="str">
        <f t="shared" si="56"/>
        <v>1gal</v>
      </c>
      <c r="S571" s="198">
        <f t="shared" si="50"/>
        <v>18</v>
      </c>
      <c r="T571" s="199" t="str">
        <f t="shared" si="51"/>
        <v>18gal</v>
      </c>
      <c r="U571" s="200">
        <f t="shared" si="52"/>
        <v>1314</v>
      </c>
      <c r="V571" s="62"/>
      <c r="W571" s="12"/>
    </row>
    <row r="572" spans="1:23" x14ac:dyDescent="0.3">
      <c r="A572" s="193" t="e">
        <f ca="1"/>
        <v>#NAME?</v>
      </c>
      <c r="B572" s="194" t="s">
        <v>286</v>
      </c>
      <c r="C572" s="170"/>
      <c r="D572" s="194" t="str">
        <f ca="1">IFERROR(__xludf.DUMMYFUNCTION("IF(J572="""",""n/a"",IFERROR(SPLIT(J572,""/"")))"),"Hermano")</f>
        <v>Hermano</v>
      </c>
      <c r="E572" s="194" t="str">
        <f ca="1">IFERROR(__xludf.DUMMYFUNCTION("""COMPUTED_VALUE"""),"pack")</f>
        <v>pack</v>
      </c>
      <c r="F572" s="194" t="str">
        <f ca="1">IFERROR(__xludf.DUMMYFUNCTION("""COMPUTED_VALUE"""),"1000grams")</f>
        <v>1000grams</v>
      </c>
      <c r="G572" s="170"/>
      <c r="H572" s="183" t="s">
        <v>1897</v>
      </c>
      <c r="I572" s="239"/>
      <c r="J572" s="46" t="s">
        <v>82</v>
      </c>
      <c r="K572" s="237"/>
      <c r="L572" s="195">
        <v>8.6199999999999999E-2</v>
      </c>
      <c r="M572" s="228">
        <v>10000</v>
      </c>
      <c r="N572" s="280">
        <v>1000</v>
      </c>
      <c r="O572" s="61" t="str">
        <f t="shared" ca="1" si="49"/>
        <v>pack</v>
      </c>
      <c r="P572" s="61" t="s">
        <v>39</v>
      </c>
      <c r="Q572" s="12"/>
      <c r="R572" s="281" t="str">
        <f t="shared" si="56"/>
        <v>1000grams</v>
      </c>
      <c r="S572" s="198">
        <f t="shared" si="50"/>
        <v>10000000</v>
      </c>
      <c r="T572" s="199" t="str">
        <f t="shared" si="51"/>
        <v>10000000grams</v>
      </c>
      <c r="U572" s="200">
        <f t="shared" si="52"/>
        <v>862</v>
      </c>
      <c r="V572" s="205">
        <f>U572/M572</f>
        <v>8.6199999999999999E-2</v>
      </c>
      <c r="W572" s="62"/>
    </row>
    <row r="573" spans="1:23" x14ac:dyDescent="0.3">
      <c r="A573" s="193" t="e">
        <f ca="1"/>
        <v>#NAME?</v>
      </c>
      <c r="B573" s="194" t="s">
        <v>286</v>
      </c>
      <c r="C573" s="170"/>
      <c r="D573" s="194" t="str">
        <f ca="1">IFERROR(__xludf.DUMMYFUNCTION("IF(J573="""",""n/a"",IFERROR(SPLIT(J573,""/"")))"),"Kikkoman")</f>
        <v>Kikkoman</v>
      </c>
      <c r="E573" s="194" t="str">
        <f ca="1">IFERROR(__xludf.DUMMYFUNCTION("""COMPUTED_VALUE"""),"bottle")</f>
        <v>bottle</v>
      </c>
      <c r="F573" s="194" t="str">
        <f ca="1">IFERROR(__xludf.DUMMYFUNCTION("""COMPUTED_VALUE"""),"1000ml")</f>
        <v>1000ml</v>
      </c>
      <c r="G573" s="170"/>
      <c r="H573" s="183" t="s">
        <v>1897</v>
      </c>
      <c r="I573" s="239"/>
      <c r="J573" s="46" t="s">
        <v>782</v>
      </c>
      <c r="K573" s="237"/>
      <c r="L573" s="202">
        <v>0.24955000000000002</v>
      </c>
      <c r="M573" s="203">
        <v>1000</v>
      </c>
      <c r="N573" s="280">
        <v>1000</v>
      </c>
      <c r="O573" s="61" t="str">
        <f t="shared" ca="1" si="49"/>
        <v>bottle</v>
      </c>
      <c r="P573" s="61" t="s">
        <v>32</v>
      </c>
      <c r="Q573" s="12"/>
      <c r="R573" s="281" t="str">
        <f t="shared" si="56"/>
        <v>1000ml</v>
      </c>
      <c r="S573" s="198">
        <f t="shared" si="50"/>
        <v>1000000</v>
      </c>
      <c r="T573" s="199" t="str">
        <f t="shared" si="51"/>
        <v>1000000ml</v>
      </c>
      <c r="U573" s="200">
        <f t="shared" si="52"/>
        <v>249.55</v>
      </c>
      <c r="V573" s="62"/>
      <c r="W573" s="12"/>
    </row>
    <row r="574" spans="1:23" x14ac:dyDescent="0.3">
      <c r="A574" s="193" t="e">
        <f ca="1"/>
        <v>#NAME?</v>
      </c>
      <c r="B574" s="194" t="s">
        <v>286</v>
      </c>
      <c r="C574" s="170"/>
      <c r="D574" s="194" t="str">
        <f ca="1">IFERROR(__xludf.DUMMYFUNCTION("IF(J574="""",""n/a"",IFERROR(SPLIT(J574,""/"")))"),"Ticman")</f>
        <v>Ticman</v>
      </c>
      <c r="E574" s="194" t="str">
        <f ca="1">IFERROR(__xludf.DUMMYFUNCTION("""COMPUTED_VALUE"""),"gallon")</f>
        <v>gallon</v>
      </c>
      <c r="F574" s="194" t="str">
        <f ca="1">IFERROR(__xludf.DUMMYFUNCTION("""COMPUTED_VALUE"""),"3500ml")</f>
        <v>3500ml</v>
      </c>
      <c r="G574" s="170"/>
      <c r="H574" s="183" t="s">
        <v>1895</v>
      </c>
      <c r="I574" s="239"/>
      <c r="J574" s="46" t="s">
        <v>239</v>
      </c>
      <c r="K574" s="237"/>
      <c r="L574" s="195">
        <v>73</v>
      </c>
      <c r="M574" s="61">
        <v>17</v>
      </c>
      <c r="N574" s="240">
        <v>1</v>
      </c>
      <c r="O574" s="61" t="str">
        <f t="shared" ca="1" si="49"/>
        <v>gallon</v>
      </c>
      <c r="P574" s="61" t="s">
        <v>200</v>
      </c>
      <c r="Q574" s="12"/>
      <c r="R574" s="12"/>
      <c r="S574" s="198">
        <f t="shared" si="50"/>
        <v>17</v>
      </c>
      <c r="T574" s="199" t="str">
        <f t="shared" si="51"/>
        <v>17gal</v>
      </c>
      <c r="U574" s="200">
        <f t="shared" si="52"/>
        <v>1241</v>
      </c>
      <c r="V574" s="12"/>
      <c r="W574" s="12"/>
    </row>
    <row r="575" spans="1:23" x14ac:dyDescent="0.3">
      <c r="A575" s="193" t="e">
        <f ca="1"/>
        <v>#NAME?</v>
      </c>
      <c r="B575" s="194" t="s">
        <v>286</v>
      </c>
      <c r="C575" s="170"/>
      <c r="D575" s="194" t="str">
        <f ca="1">IFERROR(__xludf.DUMMYFUNCTION("IF(J575="""",""n/a"",IFERROR(SPLIT(J575,""/"")))"),"n/a")</f>
        <v>n/a</v>
      </c>
      <c r="E575" s="170"/>
      <c r="F575" s="170"/>
      <c r="G575" s="170"/>
      <c r="H575" s="206" t="s">
        <v>1898</v>
      </c>
      <c r="I575" s="170"/>
      <c r="J575" s="170"/>
      <c r="K575" s="237"/>
      <c r="L575" s="197">
        <v>65</v>
      </c>
      <c r="M575" s="208">
        <v>3</v>
      </c>
      <c r="N575" s="282">
        <v>1</v>
      </c>
      <c r="O575" s="170">
        <f t="shared" si="49"/>
        <v>0</v>
      </c>
      <c r="P575" s="61" t="s">
        <v>200</v>
      </c>
      <c r="Q575" s="12"/>
      <c r="R575" s="12"/>
      <c r="S575" s="198">
        <f t="shared" si="50"/>
        <v>3</v>
      </c>
      <c r="T575" s="199" t="str">
        <f t="shared" si="51"/>
        <v>3gal</v>
      </c>
      <c r="U575" s="200">
        <f t="shared" si="52"/>
        <v>195</v>
      </c>
      <c r="V575" s="12"/>
      <c r="W575" s="12"/>
    </row>
    <row r="576" spans="1:23" x14ac:dyDescent="0.3">
      <c r="A576" s="193" t="e">
        <f ca="1"/>
        <v>#NAME?</v>
      </c>
      <c r="B576" s="194" t="s">
        <v>286</v>
      </c>
      <c r="C576" s="170"/>
      <c r="D576" s="194" t="str">
        <f ca="1">IFERROR(__xludf.DUMMYFUNCTION("IF(J576="""",""n/a"",IFERROR(SPLIT(J576,""/"")))"),"n/a")</f>
        <v>n/a</v>
      </c>
      <c r="E576" s="170"/>
      <c r="F576" s="170"/>
      <c r="G576" s="170"/>
      <c r="H576" s="206" t="s">
        <v>1898</v>
      </c>
      <c r="I576" s="170"/>
      <c r="J576" s="170"/>
      <c r="K576" s="237"/>
      <c r="L576" s="197">
        <v>0.26</v>
      </c>
      <c r="M576" s="207">
        <v>2000</v>
      </c>
      <c r="N576" s="283">
        <v>1000</v>
      </c>
      <c r="O576" s="170">
        <f t="shared" si="49"/>
        <v>0</v>
      </c>
      <c r="P576" s="209" t="s">
        <v>32</v>
      </c>
      <c r="Q576" s="12"/>
      <c r="R576" s="12"/>
      <c r="S576" s="198">
        <f t="shared" si="50"/>
        <v>2000000</v>
      </c>
      <c r="T576" s="199" t="str">
        <f t="shared" si="51"/>
        <v>2000000ml</v>
      </c>
      <c r="U576" s="200">
        <f t="shared" si="52"/>
        <v>520</v>
      </c>
      <c r="V576" s="12"/>
      <c r="W576" s="12"/>
    </row>
    <row r="577" spans="1:23" x14ac:dyDescent="0.3">
      <c r="A577" s="193" t="e">
        <f ca="1"/>
        <v>#NAME?</v>
      </c>
      <c r="B577" s="194" t="s">
        <v>330</v>
      </c>
      <c r="C577" s="170"/>
      <c r="D577" s="194" t="str">
        <f ca="1">IFERROR(__xludf.DUMMYFUNCTION("IF(J577="""",""n/a"",IFERROR(SPLIT(J577,""/"")))"),"Sunshine")</f>
        <v>Sunshine</v>
      </c>
      <c r="E577" s="194" t="str">
        <f ca="1">IFERROR(__xludf.DUMMYFUNCTION("""COMPUTED_VALUE"""),"pack")</f>
        <v>pack</v>
      </c>
      <c r="F577" s="194" t="str">
        <f ca="1">IFERROR(__xludf.DUMMYFUNCTION("""COMPUTED_VALUE"""),"900grams")</f>
        <v>900grams</v>
      </c>
      <c r="G577" s="170"/>
      <c r="H577" s="183" t="s">
        <v>1897</v>
      </c>
      <c r="I577" s="170"/>
      <c r="J577" s="46" t="s">
        <v>784</v>
      </c>
      <c r="K577" s="237"/>
      <c r="L577" s="195">
        <v>8.9577777777777784E-2</v>
      </c>
      <c r="M577" s="203">
        <v>3600</v>
      </c>
      <c r="N577" s="280">
        <v>900</v>
      </c>
      <c r="O577" s="61" t="str">
        <f t="shared" ca="1" si="49"/>
        <v>pack</v>
      </c>
      <c r="P577" s="61" t="s">
        <v>39</v>
      </c>
      <c r="Q577" s="12"/>
      <c r="R577" s="281" t="str">
        <f>CONCATENATE(N577,P577)</f>
        <v>900grams</v>
      </c>
      <c r="S577" s="198">
        <f t="shared" si="50"/>
        <v>3240000</v>
      </c>
      <c r="T577" s="199" t="str">
        <f t="shared" si="51"/>
        <v>3240000grams</v>
      </c>
      <c r="U577" s="200">
        <f t="shared" si="52"/>
        <v>322.48</v>
      </c>
      <c r="V577" s="12"/>
      <c r="W577" s="12"/>
    </row>
    <row r="578" spans="1:23" x14ac:dyDescent="0.3">
      <c r="A578" s="193" t="e">
        <f ca="1"/>
        <v>#NAME?</v>
      </c>
      <c r="B578" s="194" t="s">
        <v>330</v>
      </c>
      <c r="C578" s="170"/>
      <c r="D578" s="194" t="str">
        <f ca="1">IFERROR(__xludf.DUMMYFUNCTION("IF(J578="""",""n/a"",IFERROR(SPLIT(J578,""/"")))"),"Ideal")</f>
        <v>Ideal</v>
      </c>
      <c r="E578" s="194" t="str">
        <f ca="1">IFERROR(__xludf.DUMMYFUNCTION("""COMPUTED_VALUE"""),"pack")</f>
        <v>pack</v>
      </c>
      <c r="F578" s="194" t="str">
        <f ca="1">IFERROR(__xludf.DUMMYFUNCTION("""COMPUTED_VALUE"""),"1000grams")</f>
        <v>1000grams</v>
      </c>
      <c r="G578" s="170"/>
      <c r="H578" s="183" t="s">
        <v>1895</v>
      </c>
      <c r="I578" s="170"/>
      <c r="J578" s="47" t="s">
        <v>326</v>
      </c>
      <c r="K578" s="237"/>
      <c r="L578" s="270">
        <v>65</v>
      </c>
      <c r="M578" s="100">
        <v>3</v>
      </c>
      <c r="N578" s="240">
        <v>1</v>
      </c>
      <c r="O578" s="61" t="str">
        <f t="shared" ca="1" si="49"/>
        <v>pack</v>
      </c>
      <c r="P578" s="240" t="s">
        <v>39</v>
      </c>
      <c r="Q578" s="12"/>
      <c r="R578" s="12"/>
      <c r="S578" s="198">
        <f t="shared" si="50"/>
        <v>3</v>
      </c>
      <c r="T578" s="199" t="str">
        <f t="shared" si="51"/>
        <v>3grams</v>
      </c>
      <c r="U578" s="200">
        <f t="shared" si="52"/>
        <v>195</v>
      </c>
      <c r="V578" s="12"/>
      <c r="W578" s="12"/>
    </row>
    <row r="579" spans="1:23" x14ac:dyDescent="0.3">
      <c r="A579" s="193" t="e">
        <f ca="1"/>
        <v>#NAME?</v>
      </c>
      <c r="B579" s="194" t="s">
        <v>330</v>
      </c>
      <c r="C579" s="170"/>
      <c r="D579" s="194" t="str">
        <f ca="1">IFERROR(__xludf.DUMMYFUNCTION("IF(J579="""",""n/a"",IFERROR(SPLIT(J579,""/"")))"),"n/a")</f>
        <v>n/a</v>
      </c>
      <c r="E579" s="170"/>
      <c r="F579" s="170"/>
      <c r="G579" s="170"/>
      <c r="H579" s="206" t="s">
        <v>1898</v>
      </c>
      <c r="I579" s="170"/>
      <c r="J579" s="239"/>
      <c r="K579" s="237"/>
      <c r="L579" s="255">
        <v>7.9111111111111118E-2</v>
      </c>
      <c r="M579" s="250">
        <v>2700</v>
      </c>
      <c r="N579" s="282">
        <v>900</v>
      </c>
      <c r="O579" s="170">
        <f t="shared" si="49"/>
        <v>0</v>
      </c>
      <c r="P579" s="240" t="s">
        <v>39</v>
      </c>
      <c r="Q579" s="12"/>
      <c r="R579" s="12"/>
      <c r="S579" s="198">
        <f t="shared" si="50"/>
        <v>2430000</v>
      </c>
      <c r="T579" s="199" t="str">
        <f t="shared" si="51"/>
        <v>2430000grams</v>
      </c>
      <c r="U579" s="200">
        <f t="shared" si="52"/>
        <v>213.60000000000002</v>
      </c>
      <c r="V579" s="12"/>
      <c r="W579" s="12"/>
    </row>
    <row r="580" spans="1:23" x14ac:dyDescent="0.3">
      <c r="A580" s="193" t="e">
        <f ca="1"/>
        <v>#NAME?</v>
      </c>
      <c r="B580" s="194" t="s">
        <v>785</v>
      </c>
      <c r="C580" s="170"/>
      <c r="D580" s="194" t="str">
        <f ca="1">IFERROR(__xludf.DUMMYFUNCTION("IF(J580="""",""n/a"",IFERROR(SPLIT(J580,""/"")))"),"n/a")</f>
        <v>n/a</v>
      </c>
      <c r="E580" s="170"/>
      <c r="F580" s="170"/>
      <c r="G580" s="170"/>
      <c r="H580" s="206" t="s">
        <v>1898</v>
      </c>
      <c r="I580" s="170"/>
      <c r="J580" s="239"/>
      <c r="K580" s="237"/>
      <c r="L580" s="255">
        <v>0.62352941176470589</v>
      </c>
      <c r="M580" s="266">
        <v>5100</v>
      </c>
      <c r="N580" s="282">
        <v>340</v>
      </c>
      <c r="O580" s="170">
        <f t="shared" si="49"/>
        <v>0</v>
      </c>
      <c r="P580" s="240" t="s">
        <v>39</v>
      </c>
      <c r="Q580" s="12"/>
      <c r="R580" s="12"/>
      <c r="S580" s="198">
        <f t="shared" si="50"/>
        <v>1734000</v>
      </c>
      <c r="T580" s="199" t="str">
        <f t="shared" si="51"/>
        <v>1734000grams</v>
      </c>
      <c r="U580" s="200">
        <f t="shared" si="52"/>
        <v>3180</v>
      </c>
      <c r="V580" s="12"/>
      <c r="W580" s="12"/>
    </row>
    <row r="581" spans="1:23" x14ac:dyDescent="0.3">
      <c r="A581" s="193" t="e">
        <f ca="1"/>
        <v>#NAME?</v>
      </c>
      <c r="B581" s="194" t="s">
        <v>786</v>
      </c>
      <c r="C581" s="170"/>
      <c r="D581" s="194" t="str">
        <f ca="1">IFERROR(__xludf.DUMMYFUNCTION("IF(J581="""",""n/a"",IFERROR(SPLIT(J581,""/"")))"),"Scotchbrite")</f>
        <v>Scotchbrite</v>
      </c>
      <c r="E581" s="170"/>
      <c r="F581" s="170"/>
      <c r="G581" s="170"/>
      <c r="H581" s="183" t="s">
        <v>1897</v>
      </c>
      <c r="I581" s="170"/>
      <c r="J581" s="96" t="s">
        <v>206</v>
      </c>
      <c r="K581" s="237"/>
      <c r="L581" s="254">
        <v>19.399999999999999</v>
      </c>
      <c r="M581" s="263">
        <v>3</v>
      </c>
      <c r="N581" s="280">
        <v>1</v>
      </c>
      <c r="O581" s="170">
        <f t="shared" si="49"/>
        <v>0</v>
      </c>
      <c r="P581" s="240" t="s">
        <v>92</v>
      </c>
      <c r="Q581" s="12"/>
      <c r="R581" s="281" t="str">
        <f t="shared" ref="R581:R582" si="57">CONCATENATE(N581,P581)</f>
        <v>1pieces</v>
      </c>
      <c r="S581" s="198">
        <f t="shared" si="50"/>
        <v>3</v>
      </c>
      <c r="T581" s="199" t="str">
        <f t="shared" si="51"/>
        <v>3pieces</v>
      </c>
      <c r="U581" s="200">
        <f t="shared" si="52"/>
        <v>58.199999999999996</v>
      </c>
      <c r="V581" s="205">
        <f t="shared" ref="V581:V582" si="58">U581/M581</f>
        <v>19.399999999999999</v>
      </c>
      <c r="W581" s="62"/>
    </row>
    <row r="582" spans="1:23" x14ac:dyDescent="0.3">
      <c r="A582" s="193" t="e">
        <f ca="1"/>
        <v>#NAME?</v>
      </c>
      <c r="B582" s="194" t="s">
        <v>787</v>
      </c>
      <c r="C582" s="170"/>
      <c r="D582" s="194" t="str">
        <f ca="1">IFERROR(__xludf.DUMMYFUNCTION("IF(J582="""",""n/a"",IFERROR(SPLIT(J582,""/"")))"),"Scotchbrite")</f>
        <v>Scotchbrite</v>
      </c>
      <c r="E582" s="170"/>
      <c r="F582" s="170"/>
      <c r="G582" s="170"/>
      <c r="H582" s="183" t="s">
        <v>1897</v>
      </c>
      <c r="I582" s="170"/>
      <c r="J582" s="96" t="s">
        <v>206</v>
      </c>
      <c r="K582" s="237"/>
      <c r="L582" s="254">
        <v>33.700000000000003</v>
      </c>
      <c r="M582" s="263">
        <v>12</v>
      </c>
      <c r="N582" s="280">
        <v>1</v>
      </c>
      <c r="O582" s="170">
        <f t="shared" si="49"/>
        <v>0</v>
      </c>
      <c r="P582" s="240" t="s">
        <v>92</v>
      </c>
      <c r="Q582" s="12"/>
      <c r="R582" s="281" t="str">
        <f t="shared" si="57"/>
        <v>1pieces</v>
      </c>
      <c r="S582" s="198">
        <f t="shared" si="50"/>
        <v>12</v>
      </c>
      <c r="T582" s="199" t="str">
        <f t="shared" si="51"/>
        <v>12pieces</v>
      </c>
      <c r="U582" s="200">
        <f t="shared" si="52"/>
        <v>404.40000000000003</v>
      </c>
      <c r="V582" s="205">
        <f t="shared" si="58"/>
        <v>33.700000000000003</v>
      </c>
      <c r="W582" s="62"/>
    </row>
    <row r="583" spans="1:23" x14ac:dyDescent="0.3">
      <c r="A583" s="193" t="e">
        <f ca="1"/>
        <v>#NAME?</v>
      </c>
      <c r="B583" s="194" t="s">
        <v>788</v>
      </c>
      <c r="C583" s="170"/>
      <c r="D583" s="194" t="str">
        <f ca="1">IFERROR(__xludf.DUMMYFUNCTION("IF(J583="""",""n/a"",IFERROR(SPLIT(J583,""/"")))"),"n/a")</f>
        <v>n/a</v>
      </c>
      <c r="E583" s="170"/>
      <c r="F583" s="170"/>
      <c r="G583" s="170"/>
      <c r="H583" s="206" t="s">
        <v>1898</v>
      </c>
      <c r="I583" s="170"/>
      <c r="J583" s="239"/>
      <c r="K583" s="237"/>
      <c r="L583" s="255">
        <v>96.9</v>
      </c>
      <c r="M583" s="250">
        <v>2</v>
      </c>
      <c r="N583" s="282">
        <v>1</v>
      </c>
      <c r="O583" s="170">
        <f t="shared" si="49"/>
        <v>0</v>
      </c>
      <c r="P583" s="240" t="s">
        <v>92</v>
      </c>
      <c r="Q583" s="12"/>
      <c r="R583" s="12"/>
      <c r="S583" s="198">
        <f t="shared" si="50"/>
        <v>2</v>
      </c>
      <c r="T583" s="199" t="str">
        <f t="shared" si="51"/>
        <v>2pieces</v>
      </c>
      <c r="U583" s="200">
        <f t="shared" si="52"/>
        <v>193.8</v>
      </c>
      <c r="V583" s="12"/>
      <c r="W583" s="12"/>
    </row>
    <row r="584" spans="1:23" x14ac:dyDescent="0.3">
      <c r="A584" s="193" t="e">
        <f ca="1"/>
        <v>#NAME?</v>
      </c>
      <c r="B584" s="194" t="s">
        <v>789</v>
      </c>
      <c r="C584" s="170"/>
      <c r="D584" s="194" t="str">
        <f ca="1">IFERROR(__xludf.DUMMYFUNCTION("IF(J584="""",""n/a"",IFERROR(SPLIT(J584,""/"")))"),"Lipa Spices")</f>
        <v>Lipa Spices</v>
      </c>
      <c r="E584" s="194" t="str">
        <f ca="1">IFERROR(__xludf.DUMMYFUNCTION("""COMPUTED_VALUE"""),"pack")</f>
        <v>pack</v>
      </c>
      <c r="F584" s="194" t="str">
        <f ca="1">IFERROR(__xludf.DUMMYFUNCTION("""COMPUTED_VALUE"""),"1000grams")</f>
        <v>1000grams</v>
      </c>
      <c r="G584" s="170"/>
      <c r="H584" s="183" t="s">
        <v>1897</v>
      </c>
      <c r="I584" s="170"/>
      <c r="J584" s="96" t="s">
        <v>790</v>
      </c>
      <c r="K584" s="237"/>
      <c r="L584" s="271">
        <v>0.84499999999999997</v>
      </c>
      <c r="M584" s="247">
        <v>500</v>
      </c>
      <c r="N584" s="280">
        <v>1000</v>
      </c>
      <c r="O584" s="61" t="str">
        <f t="shared" ca="1" si="49"/>
        <v>pack</v>
      </c>
      <c r="P584" s="240" t="s">
        <v>39</v>
      </c>
      <c r="Q584" s="12"/>
      <c r="R584" s="281" t="str">
        <f>CONCATENATE(N584,P584)</f>
        <v>1000grams</v>
      </c>
      <c r="S584" s="198">
        <f t="shared" si="50"/>
        <v>500000</v>
      </c>
      <c r="T584" s="199" t="str">
        <f t="shared" si="51"/>
        <v>500000grams</v>
      </c>
      <c r="U584" s="200">
        <f t="shared" si="52"/>
        <v>422.5</v>
      </c>
      <c r="V584" s="62"/>
      <c r="W584" s="12"/>
    </row>
    <row r="585" spans="1:23" x14ac:dyDescent="0.3">
      <c r="A585" s="193" t="e">
        <f ca="1"/>
        <v>#NAME?</v>
      </c>
      <c r="B585" s="194" t="s">
        <v>789</v>
      </c>
      <c r="C585" s="170"/>
      <c r="D585" s="194" t="str">
        <f ca="1">IFERROR(__xludf.DUMMYFUNCTION("IF(J585="""",""n/a"",IFERROR(SPLIT(J585,""/"")))"),"n/a")</f>
        <v>n/a</v>
      </c>
      <c r="E585" s="170"/>
      <c r="F585" s="170"/>
      <c r="G585" s="170"/>
      <c r="H585" s="206" t="s">
        <v>1898</v>
      </c>
      <c r="I585" s="170"/>
      <c r="J585" s="239"/>
      <c r="K585" s="237"/>
      <c r="L585" s="255">
        <v>0.35</v>
      </c>
      <c r="M585" s="266">
        <v>800</v>
      </c>
      <c r="N585" s="282">
        <v>1000</v>
      </c>
      <c r="O585" s="170">
        <f t="shared" si="49"/>
        <v>0</v>
      </c>
      <c r="P585" s="240" t="s">
        <v>39</v>
      </c>
      <c r="Q585" s="12"/>
      <c r="R585" s="12"/>
      <c r="S585" s="198">
        <f t="shared" si="50"/>
        <v>800000</v>
      </c>
      <c r="T585" s="199" t="str">
        <f t="shared" si="51"/>
        <v>800000grams</v>
      </c>
      <c r="U585" s="200">
        <f t="shared" si="52"/>
        <v>280</v>
      </c>
      <c r="V585" s="12"/>
      <c r="W585" s="12"/>
    </row>
    <row r="586" spans="1:23" x14ac:dyDescent="0.3">
      <c r="A586" s="193" t="e">
        <f ca="1"/>
        <v>#NAME?</v>
      </c>
      <c r="B586" s="194" t="s">
        <v>792</v>
      </c>
      <c r="C586" s="170"/>
      <c r="D586" s="194" t="str">
        <f ca="1">IFERROR(__xludf.DUMMYFUNCTION("IF(J586="""",""n/a"",IFERROR(SPLIT(J586,""/"")))"),"n/a")</f>
        <v>n/a</v>
      </c>
      <c r="E586" s="170"/>
      <c r="F586" s="170"/>
      <c r="G586" s="170"/>
      <c r="H586" s="206" t="s">
        <v>1898</v>
      </c>
      <c r="I586" s="170"/>
      <c r="J586" s="239"/>
      <c r="K586" s="237"/>
      <c r="L586" s="255">
        <v>11.3</v>
      </c>
      <c r="M586" s="250">
        <v>33</v>
      </c>
      <c r="N586" s="282">
        <v>1</v>
      </c>
      <c r="O586" s="170">
        <f t="shared" si="49"/>
        <v>0</v>
      </c>
      <c r="P586" s="240" t="s">
        <v>92</v>
      </c>
      <c r="Q586" s="12"/>
      <c r="R586" s="12"/>
      <c r="S586" s="198">
        <f t="shared" si="50"/>
        <v>33</v>
      </c>
      <c r="T586" s="199" t="str">
        <f t="shared" si="51"/>
        <v>33pieces</v>
      </c>
      <c r="U586" s="200">
        <f t="shared" si="52"/>
        <v>372.90000000000003</v>
      </c>
      <c r="V586" s="12"/>
      <c r="W586" s="12"/>
    </row>
    <row r="587" spans="1:23" x14ac:dyDescent="0.3">
      <c r="A587" s="193" t="e">
        <f ca="1"/>
        <v>#NAME?</v>
      </c>
      <c r="B587" s="194" t="s">
        <v>119</v>
      </c>
      <c r="C587" s="170"/>
      <c r="D587" s="194" t="str">
        <f ca="1">IFERROR(__xludf.DUMMYFUNCTION("IF(J587="""",""n/a"",IFERROR(SPLIT(J587,""/"")))"),"Pepsi")</f>
        <v>Pepsi</v>
      </c>
      <c r="E587" s="194" t="str">
        <f ca="1">IFERROR(__xludf.DUMMYFUNCTION("""COMPUTED_VALUE"""),"case (24pcsx320ml)")</f>
        <v>case (24pcsx320ml)</v>
      </c>
      <c r="F587" s="170"/>
      <c r="G587" s="170"/>
      <c r="H587" s="183" t="s">
        <v>1895</v>
      </c>
      <c r="I587" s="170"/>
      <c r="J587" s="96" t="s">
        <v>120</v>
      </c>
      <c r="K587" s="237"/>
      <c r="L587" s="254">
        <v>18.440000000000001</v>
      </c>
      <c r="M587" s="100">
        <v>373</v>
      </c>
      <c r="N587" s="240">
        <v>1</v>
      </c>
      <c r="O587" s="61" t="str">
        <f t="shared" ca="1" si="49"/>
        <v>case (24pcsx320ml)</v>
      </c>
      <c r="P587" s="240" t="s">
        <v>92</v>
      </c>
      <c r="Q587" s="12"/>
      <c r="R587" s="12"/>
      <c r="S587" s="198">
        <f t="shared" si="50"/>
        <v>373</v>
      </c>
      <c r="T587" s="199" t="str">
        <f t="shared" si="51"/>
        <v>373pieces</v>
      </c>
      <c r="U587" s="200">
        <f t="shared" si="52"/>
        <v>6878.1200000000008</v>
      </c>
      <c r="V587" s="12"/>
      <c r="W587" s="12"/>
    </row>
    <row r="588" spans="1:23" x14ac:dyDescent="0.3">
      <c r="A588" s="193" t="e">
        <f ca="1"/>
        <v>#NAME?</v>
      </c>
      <c r="B588" s="194" t="s">
        <v>793</v>
      </c>
      <c r="C588" s="170"/>
      <c r="D588" s="194" t="str">
        <f ca="1">IFERROR(__xludf.DUMMYFUNCTION("IF(J588="""",""n/a"",IFERROR(SPLIT(J588,""/"")))"),"Hermano")</f>
        <v>Hermano</v>
      </c>
      <c r="E588" s="194" t="str">
        <f ca="1">IFERROR(__xludf.DUMMYFUNCTION("""COMPUTED_VALUE"""),"pack")</f>
        <v>pack</v>
      </c>
      <c r="F588" s="194" t="str">
        <f ca="1">IFERROR(__xludf.DUMMYFUNCTION("""COMPUTED_VALUE"""),"1000grams")</f>
        <v>1000grams</v>
      </c>
      <c r="G588" s="170"/>
      <c r="H588" s="206" t="s">
        <v>1898</v>
      </c>
      <c r="I588" s="170"/>
      <c r="J588" s="96" t="s">
        <v>82</v>
      </c>
      <c r="K588" s="237"/>
      <c r="L588" s="255">
        <v>8.6199999999999999E-2</v>
      </c>
      <c r="M588" s="266">
        <v>37000</v>
      </c>
      <c r="N588" s="282">
        <v>1000</v>
      </c>
      <c r="O588" s="61" t="str">
        <f t="shared" ca="1" si="49"/>
        <v>pack</v>
      </c>
      <c r="P588" s="240" t="s">
        <v>39</v>
      </c>
      <c r="Q588" s="12"/>
      <c r="R588" s="12"/>
      <c r="S588" s="198">
        <f t="shared" si="50"/>
        <v>37000000</v>
      </c>
      <c r="T588" s="199" t="str">
        <f t="shared" si="51"/>
        <v>37000000grams</v>
      </c>
      <c r="U588" s="200">
        <f t="shared" si="52"/>
        <v>3189.4</v>
      </c>
      <c r="V588" s="12"/>
      <c r="W588" s="12"/>
    </row>
    <row r="589" spans="1:23" x14ac:dyDescent="0.3">
      <c r="A589" s="193" t="e">
        <f ca="1"/>
        <v>#NAME?</v>
      </c>
      <c r="B589" s="194" t="s">
        <v>794</v>
      </c>
      <c r="C589" s="170"/>
      <c r="D589" s="194" t="str">
        <f ca="1">IFERROR(__xludf.DUMMYFUNCTION("IF(J589="""",""n/a"",IFERROR(SPLIT(J589,""/"")))"),"Cilgar")</f>
        <v>Cilgar</v>
      </c>
      <c r="E589" s="194" t="str">
        <f ca="1">IFERROR(__xludf.DUMMYFUNCTION("""COMPUTED_VALUE"""),"pack (pcsx1gram)")</f>
        <v>pack (pcsx1gram)</v>
      </c>
      <c r="F589" s="170"/>
      <c r="G589" s="170"/>
      <c r="H589" s="183" t="s">
        <v>1897</v>
      </c>
      <c r="I589" s="170"/>
      <c r="J589" s="96" t="s">
        <v>795</v>
      </c>
      <c r="K589" s="237"/>
      <c r="L589" s="254">
        <v>1.3</v>
      </c>
      <c r="M589" s="247">
        <v>305</v>
      </c>
      <c r="N589" s="280">
        <v>1</v>
      </c>
      <c r="O589" s="61" t="str">
        <f t="shared" ca="1" si="49"/>
        <v>pack (pcsx1gram)</v>
      </c>
      <c r="P589" s="240" t="s">
        <v>92</v>
      </c>
      <c r="Q589" s="12"/>
      <c r="R589" s="281" t="str">
        <f>CONCATENATE(N589,P589)</f>
        <v>1pieces</v>
      </c>
      <c r="S589" s="198">
        <f t="shared" si="50"/>
        <v>305</v>
      </c>
      <c r="T589" s="199" t="str">
        <f t="shared" si="51"/>
        <v>305pieces</v>
      </c>
      <c r="U589" s="200">
        <f t="shared" si="52"/>
        <v>396.5</v>
      </c>
      <c r="V589" s="205">
        <f>U589/M589</f>
        <v>1.3</v>
      </c>
      <c r="W589" s="62"/>
    </row>
    <row r="590" spans="1:23" x14ac:dyDescent="0.3">
      <c r="A590" s="193" t="e">
        <f ca="1"/>
        <v>#NAME?</v>
      </c>
      <c r="B590" s="194" t="s">
        <v>81</v>
      </c>
      <c r="C590" s="170"/>
      <c r="D590" s="194" t="str">
        <f ca="1">IFERROR(__xludf.DUMMYFUNCTION("IF(J590="""",""n/a"",IFERROR(SPLIT(J590,""/"")))"),"Hermano")</f>
        <v>Hermano</v>
      </c>
      <c r="E590" s="194" t="str">
        <f ca="1">IFERROR(__xludf.DUMMYFUNCTION("""COMPUTED_VALUE"""),"pack")</f>
        <v>pack</v>
      </c>
      <c r="F590" s="194" t="str">
        <f ca="1">IFERROR(__xludf.DUMMYFUNCTION("""COMPUTED_VALUE"""),"1000grams")</f>
        <v>1000grams</v>
      </c>
      <c r="G590" s="170"/>
      <c r="H590" s="183" t="s">
        <v>1895</v>
      </c>
      <c r="I590" s="170"/>
      <c r="J590" s="96" t="s">
        <v>82</v>
      </c>
      <c r="K590" s="237"/>
      <c r="L590" s="254">
        <v>79.09</v>
      </c>
      <c r="M590" s="100">
        <v>8</v>
      </c>
      <c r="N590" s="240">
        <v>1000</v>
      </c>
      <c r="O590" s="61" t="str">
        <f t="shared" ca="1" si="49"/>
        <v>pack</v>
      </c>
      <c r="P590" s="240" t="s">
        <v>39</v>
      </c>
      <c r="Q590" s="12"/>
      <c r="R590" s="12"/>
      <c r="S590" s="198">
        <f t="shared" si="50"/>
        <v>8000</v>
      </c>
      <c r="T590" s="199" t="str">
        <f t="shared" si="51"/>
        <v>8000grams</v>
      </c>
      <c r="U590" s="200">
        <f t="shared" si="52"/>
        <v>632.72</v>
      </c>
      <c r="V590" s="12"/>
      <c r="W590" s="12"/>
    </row>
    <row r="591" spans="1:23" x14ac:dyDescent="0.3">
      <c r="A591" s="193" t="e">
        <f ca="1"/>
        <v>#NAME?</v>
      </c>
      <c r="B591" s="194" t="s">
        <v>81</v>
      </c>
      <c r="C591" s="170"/>
      <c r="D591" s="194" t="str">
        <f ca="1">IFERROR(__xludf.DUMMYFUNCTION("IF(J591="""",""n/a"",IFERROR(SPLIT(J591,""/"")))"),"Hermano")</f>
        <v>Hermano</v>
      </c>
      <c r="E591" s="194" t="str">
        <f ca="1">IFERROR(__xludf.DUMMYFUNCTION("""COMPUTED_VALUE"""),"pack")</f>
        <v>pack</v>
      </c>
      <c r="F591" s="194" t="str">
        <f ca="1">IFERROR(__xludf.DUMMYFUNCTION("""COMPUTED_VALUE"""),"1000grams")</f>
        <v>1000grams</v>
      </c>
      <c r="G591" s="170"/>
      <c r="H591" s="206" t="s">
        <v>1898</v>
      </c>
      <c r="I591" s="170"/>
      <c r="J591" s="96" t="s">
        <v>82</v>
      </c>
      <c r="K591" s="237"/>
      <c r="L591" s="255">
        <v>8.1700000000000009E-2</v>
      </c>
      <c r="M591" s="250">
        <v>38000</v>
      </c>
      <c r="N591" s="282">
        <v>1000</v>
      </c>
      <c r="O591" s="61" t="str">
        <f t="shared" ca="1" si="49"/>
        <v>pack</v>
      </c>
      <c r="P591" s="240" t="s">
        <v>39</v>
      </c>
      <c r="Q591" s="12"/>
      <c r="R591" s="12"/>
      <c r="S591" s="198">
        <f t="shared" si="50"/>
        <v>38000000</v>
      </c>
      <c r="T591" s="199" t="str">
        <f t="shared" si="51"/>
        <v>38000000grams</v>
      </c>
      <c r="U591" s="200">
        <f t="shared" si="52"/>
        <v>3104.6000000000004</v>
      </c>
      <c r="V591" s="12"/>
      <c r="W591" s="12"/>
    </row>
    <row r="592" spans="1:23" x14ac:dyDescent="0.3">
      <c r="A592" s="193" t="e">
        <f ca="1"/>
        <v>#NAME?</v>
      </c>
      <c r="B592" s="194" t="s">
        <v>796</v>
      </c>
      <c r="C592" s="170"/>
      <c r="D592" s="194" t="str">
        <f ca="1">IFERROR(__xludf.DUMMYFUNCTION("IF(J592="""",""n/a"",IFERROR(SPLIT(J592,""/"")))"),"My Everyday")</f>
        <v>My Everyday</v>
      </c>
      <c r="E592" s="194" t="str">
        <f ca="1">IFERROR(__xludf.DUMMYFUNCTION("""COMPUTED_VALUE"""),"sachet")</f>
        <v>sachet</v>
      </c>
      <c r="F592" s="194" t="str">
        <f ca="1">IFERROR(__xludf.DUMMYFUNCTION("""COMPUTED_VALUE"""),"5grams")</f>
        <v>5grams</v>
      </c>
      <c r="G592" s="170"/>
      <c r="H592" s="206" t="s">
        <v>1898</v>
      </c>
      <c r="I592" s="170"/>
      <c r="J592" s="96" t="s">
        <v>797</v>
      </c>
      <c r="K592" s="237"/>
      <c r="L592" s="255">
        <v>0.24</v>
      </c>
      <c r="M592" s="250">
        <v>2250</v>
      </c>
      <c r="N592" s="282">
        <v>5</v>
      </c>
      <c r="O592" s="61" t="str">
        <f t="shared" ca="1" si="49"/>
        <v>sachet</v>
      </c>
      <c r="P592" s="240" t="s">
        <v>39</v>
      </c>
      <c r="Q592" s="12"/>
      <c r="R592" s="12"/>
      <c r="S592" s="198">
        <f t="shared" si="50"/>
        <v>11250</v>
      </c>
      <c r="T592" s="199" t="str">
        <f t="shared" si="51"/>
        <v>11250grams</v>
      </c>
      <c r="U592" s="200">
        <f t="shared" si="52"/>
        <v>540</v>
      </c>
      <c r="V592" s="12"/>
      <c r="W592" s="12"/>
    </row>
    <row r="593" spans="1:23" x14ac:dyDescent="0.3">
      <c r="A593" s="193" t="e">
        <f ca="1"/>
        <v>#NAME?</v>
      </c>
      <c r="B593" s="194" t="s">
        <v>798</v>
      </c>
      <c r="C593" s="170"/>
      <c r="D593" s="194" t="str">
        <f ca="1">IFERROR(__xludf.DUMMYFUNCTION("IF(J593="""",""n/a"",IFERROR(SPLIT(J593,""/"")))"),"Injoy")</f>
        <v>Injoy</v>
      </c>
      <c r="E593" s="194" t="str">
        <f ca="1">IFERROR(__xludf.DUMMYFUNCTION("""COMPUTED_VALUE"""),"pack")</f>
        <v>pack</v>
      </c>
      <c r="F593" s="194" t="str">
        <f ca="1">IFERROR(__xludf.DUMMYFUNCTION("""COMPUTED_VALUE"""),"200grams")</f>
        <v>200grams</v>
      </c>
      <c r="G593" s="170"/>
      <c r="H593" s="206" t="s">
        <v>1898</v>
      </c>
      <c r="I593" s="170"/>
      <c r="J593" s="96" t="s">
        <v>799</v>
      </c>
      <c r="K593" s="237"/>
      <c r="L593" s="255">
        <v>0.185</v>
      </c>
      <c r="M593" s="250">
        <v>200</v>
      </c>
      <c r="N593" s="282">
        <v>200</v>
      </c>
      <c r="O593" s="61" t="str">
        <f t="shared" ca="1" si="49"/>
        <v>pack</v>
      </c>
      <c r="P593" s="240" t="s">
        <v>39</v>
      </c>
      <c r="Q593" s="12"/>
      <c r="R593" s="12"/>
      <c r="S593" s="198">
        <f t="shared" si="50"/>
        <v>40000</v>
      </c>
      <c r="T593" s="199" t="str">
        <f t="shared" si="51"/>
        <v>40000grams</v>
      </c>
      <c r="U593" s="200">
        <f t="shared" si="52"/>
        <v>37</v>
      </c>
      <c r="V593" s="12"/>
      <c r="W593" s="12"/>
    </row>
    <row r="594" spans="1:23" x14ac:dyDescent="0.3">
      <c r="A594" s="193" t="e">
        <f ca="1"/>
        <v>#NAME?</v>
      </c>
      <c r="B594" s="194" t="s">
        <v>83</v>
      </c>
      <c r="C594" s="170"/>
      <c r="D594" s="194" t="str">
        <f ca="1">IFERROR(__xludf.DUMMYFUNCTION("IF(J594="""",""n/a"",IFERROR(SPLIT(J594,""/"")))"),"Hermano")</f>
        <v>Hermano</v>
      </c>
      <c r="E594" s="194" t="str">
        <f ca="1">IFERROR(__xludf.DUMMYFUNCTION("""COMPUTED_VALUE"""),"pack")</f>
        <v>pack</v>
      </c>
      <c r="F594" s="194" t="str">
        <f ca="1">IFERROR(__xludf.DUMMYFUNCTION("""COMPUTED_VALUE"""),"1000grams")</f>
        <v>1000grams</v>
      </c>
      <c r="G594" s="170"/>
      <c r="H594" s="183" t="s">
        <v>1895</v>
      </c>
      <c r="I594" s="170"/>
      <c r="J594" s="96" t="s">
        <v>82</v>
      </c>
      <c r="K594" s="237"/>
      <c r="L594" s="254">
        <v>80.319999999999993</v>
      </c>
      <c r="M594" s="100">
        <v>71</v>
      </c>
      <c r="N594" s="240">
        <v>1000</v>
      </c>
      <c r="O594" s="61" t="str">
        <f t="shared" ca="1" si="49"/>
        <v>pack</v>
      </c>
      <c r="P594" s="240" t="s">
        <v>39</v>
      </c>
      <c r="Q594" s="12"/>
      <c r="R594" s="12"/>
      <c r="S594" s="198">
        <f t="shared" si="50"/>
        <v>71000</v>
      </c>
      <c r="T594" s="199" t="str">
        <f t="shared" si="51"/>
        <v>71000grams</v>
      </c>
      <c r="U594" s="200">
        <f t="shared" si="52"/>
        <v>5702.7199999999993</v>
      </c>
      <c r="V594" s="12"/>
      <c r="W594" s="12"/>
    </row>
    <row r="595" spans="1:23" x14ac:dyDescent="0.3">
      <c r="A595" s="193" t="e">
        <f ca="1"/>
        <v>#NAME?</v>
      </c>
      <c r="B595" s="194" t="s">
        <v>84</v>
      </c>
      <c r="C595" s="170"/>
      <c r="D595" s="194" t="str">
        <f ca="1">IFERROR(__xludf.DUMMYFUNCTION("IF(J595="""",""n/a"",IFERROR(SPLIT(J595,""/"")))"),"Hermano")</f>
        <v>Hermano</v>
      </c>
      <c r="E595" s="194" t="str">
        <f ca="1">IFERROR(__xludf.DUMMYFUNCTION("""COMPUTED_VALUE"""),"pack")</f>
        <v>pack</v>
      </c>
      <c r="F595" s="194" t="str">
        <f ca="1">IFERROR(__xludf.DUMMYFUNCTION("""COMPUTED_VALUE"""),"1000grams")</f>
        <v>1000grams</v>
      </c>
      <c r="G595" s="170"/>
      <c r="H595" s="183" t="s">
        <v>1895</v>
      </c>
      <c r="I595" s="170"/>
      <c r="J595" s="96" t="s">
        <v>82</v>
      </c>
      <c r="K595" s="237"/>
      <c r="L595" s="254">
        <v>84.44</v>
      </c>
      <c r="M595" s="100">
        <v>22</v>
      </c>
      <c r="N595" s="240">
        <v>1000</v>
      </c>
      <c r="O595" s="61" t="str">
        <f t="shared" ca="1" si="49"/>
        <v>pack</v>
      </c>
      <c r="P595" s="240" t="s">
        <v>39</v>
      </c>
      <c r="Q595" s="12"/>
      <c r="R595" s="12"/>
      <c r="S595" s="198">
        <f t="shared" si="50"/>
        <v>22000</v>
      </c>
      <c r="T595" s="199" t="str">
        <f t="shared" si="51"/>
        <v>22000grams</v>
      </c>
      <c r="U595" s="200">
        <f t="shared" si="52"/>
        <v>1857.6799999999998</v>
      </c>
      <c r="V595" s="12"/>
      <c r="W595" s="12"/>
    </row>
    <row r="596" spans="1:23" x14ac:dyDescent="0.3">
      <c r="A596" s="193" t="e">
        <f ca="1"/>
        <v>#NAME?</v>
      </c>
      <c r="B596" s="194" t="s">
        <v>800</v>
      </c>
      <c r="C596" s="170"/>
      <c r="D596" s="194" t="str">
        <f ca="1">IFERROR(__xludf.DUMMYFUNCTION("IF(J596="""",""n/a"",IFERROR(SPLIT(J596,""/"")))"),"Hermano")</f>
        <v>Hermano</v>
      </c>
      <c r="E596" s="194" t="str">
        <f ca="1">IFERROR(__xludf.DUMMYFUNCTION("""COMPUTED_VALUE"""),"pack")</f>
        <v>pack</v>
      </c>
      <c r="F596" s="194" t="str">
        <f ca="1">IFERROR(__xludf.DUMMYFUNCTION("""COMPUTED_VALUE"""),"1000grams")</f>
        <v>1000grams</v>
      </c>
      <c r="G596" s="170"/>
      <c r="H596" s="206" t="s">
        <v>1898</v>
      </c>
      <c r="I596" s="170"/>
      <c r="J596" s="96" t="s">
        <v>82</v>
      </c>
      <c r="K596" s="237"/>
      <c r="L596" s="255">
        <v>9.8000000000000004E-2</v>
      </c>
      <c r="M596" s="266">
        <v>12000</v>
      </c>
      <c r="N596" s="282">
        <v>1000</v>
      </c>
      <c r="O596" s="61" t="str">
        <f t="shared" ca="1" si="49"/>
        <v>pack</v>
      </c>
      <c r="P596" s="238" t="s">
        <v>39</v>
      </c>
      <c r="Q596" s="12"/>
      <c r="R596" s="12"/>
      <c r="S596" s="198">
        <f t="shared" si="50"/>
        <v>12000000</v>
      </c>
      <c r="T596" s="199" t="str">
        <f t="shared" si="51"/>
        <v>12000000grams</v>
      </c>
      <c r="U596" s="200">
        <f t="shared" si="52"/>
        <v>1176</v>
      </c>
      <c r="V596" s="12"/>
      <c r="W596" s="12"/>
    </row>
    <row r="597" spans="1:23" x14ac:dyDescent="0.3">
      <c r="A597" s="193" t="e">
        <f ca="1"/>
        <v>#NAME?</v>
      </c>
      <c r="B597" s="194" t="s">
        <v>801</v>
      </c>
      <c r="C597" s="170"/>
      <c r="D597" s="194" t="str">
        <f ca="1">IFERROR(__xludf.DUMMYFUNCTION("IF(J597="""",""n/a"",IFERROR(SPLIT(J597,""/"")))"),"Everyday")</f>
        <v>Everyday</v>
      </c>
      <c r="E597" s="194" t="str">
        <f ca="1">IFERROR(__xludf.DUMMYFUNCTION("""COMPUTED_VALUE"""),"pack by 1000s'")</f>
        <v>pack by 1000s'</v>
      </c>
      <c r="F597" s="170"/>
      <c r="G597" s="170"/>
      <c r="H597" s="183" t="s">
        <v>1897</v>
      </c>
      <c r="I597" s="170"/>
      <c r="J597" s="96" t="s">
        <v>352</v>
      </c>
      <c r="K597" s="237"/>
      <c r="L597" s="271">
        <v>52.52</v>
      </c>
      <c r="M597" s="247">
        <v>8</v>
      </c>
      <c r="N597" s="280">
        <v>1</v>
      </c>
      <c r="O597" s="61" t="str">
        <f t="shared" ca="1" si="49"/>
        <v>pack by 1000s'</v>
      </c>
      <c r="P597" s="240" t="s">
        <v>304</v>
      </c>
      <c r="Q597" s="12"/>
      <c r="R597" s="281" t="str">
        <f>CONCATENATE(N597,P597)</f>
        <v>1packs</v>
      </c>
      <c r="S597" s="198">
        <f t="shared" si="50"/>
        <v>8</v>
      </c>
      <c r="T597" s="199" t="str">
        <f t="shared" si="51"/>
        <v>8packs</v>
      </c>
      <c r="U597" s="200">
        <f t="shared" si="52"/>
        <v>420.16</v>
      </c>
      <c r="V597" s="12"/>
      <c r="W597" s="12"/>
    </row>
    <row r="598" spans="1:23" x14ac:dyDescent="0.3">
      <c r="A598" s="193" t="e">
        <f ca="1"/>
        <v>#NAME?</v>
      </c>
      <c r="B598" s="194" t="s">
        <v>351</v>
      </c>
      <c r="C598" s="170"/>
      <c r="D598" s="194" t="str">
        <f ca="1">IFERROR(__xludf.DUMMYFUNCTION("IF(J598="""",""n/a"",IFERROR(SPLIT(J598,""/"")))"),"Everyday")</f>
        <v>Everyday</v>
      </c>
      <c r="E598" s="194" t="str">
        <f ca="1">IFERROR(__xludf.DUMMYFUNCTION("""COMPUTED_VALUE"""),"pack by 1000s'")</f>
        <v>pack by 1000s'</v>
      </c>
      <c r="F598" s="170"/>
      <c r="G598" s="170"/>
      <c r="H598" s="183" t="s">
        <v>1895</v>
      </c>
      <c r="I598" s="170"/>
      <c r="J598" s="96" t="s">
        <v>352</v>
      </c>
      <c r="K598" s="237"/>
      <c r="L598" s="254">
        <v>74</v>
      </c>
      <c r="M598" s="100">
        <v>3</v>
      </c>
      <c r="N598" s="240">
        <v>1</v>
      </c>
      <c r="O598" s="61" t="str">
        <f t="shared" ca="1" si="49"/>
        <v>pack by 1000s'</v>
      </c>
      <c r="P598" s="240" t="s">
        <v>304</v>
      </c>
      <c r="Q598" s="12"/>
      <c r="R598" s="12"/>
      <c r="S598" s="198">
        <f t="shared" si="50"/>
        <v>3</v>
      </c>
      <c r="T598" s="199" t="str">
        <f t="shared" si="51"/>
        <v>3packs</v>
      </c>
      <c r="U598" s="200">
        <f t="shared" si="52"/>
        <v>222</v>
      </c>
      <c r="V598" s="12"/>
      <c r="W598" s="12"/>
    </row>
    <row r="599" spans="1:23" x14ac:dyDescent="0.3">
      <c r="A599" s="193" t="e">
        <f ca="1"/>
        <v>#NAME?</v>
      </c>
      <c r="B599" s="194" t="s">
        <v>802</v>
      </c>
      <c r="C599" s="170"/>
      <c r="D599" s="194" t="str">
        <f ca="1">IFERROR(__xludf.DUMMYFUNCTION("IF(J599="""",""n/a"",IFERROR(SPLIT(J599,""/"")))"),"n/a")</f>
        <v>n/a</v>
      </c>
      <c r="E599" s="170"/>
      <c r="F599" s="170"/>
      <c r="G599" s="170"/>
      <c r="H599" s="206" t="s">
        <v>1898</v>
      </c>
      <c r="I599" s="170"/>
      <c r="J599" s="239"/>
      <c r="K599" s="237"/>
      <c r="L599" s="255">
        <v>0.44</v>
      </c>
      <c r="M599" s="250">
        <v>3000</v>
      </c>
      <c r="N599" s="282">
        <v>1000</v>
      </c>
      <c r="O599" s="170">
        <f t="shared" si="49"/>
        <v>0</v>
      </c>
      <c r="P599" s="240" t="s">
        <v>39</v>
      </c>
      <c r="Q599" s="12"/>
      <c r="R599" s="12"/>
      <c r="S599" s="198">
        <f t="shared" si="50"/>
        <v>3000000</v>
      </c>
      <c r="T599" s="199" t="str">
        <f t="shared" si="51"/>
        <v>3000000grams</v>
      </c>
      <c r="U599" s="200">
        <f t="shared" si="52"/>
        <v>1320</v>
      </c>
      <c r="V599" s="12"/>
      <c r="W599" s="12"/>
    </row>
    <row r="600" spans="1:23" x14ac:dyDescent="0.3">
      <c r="A600" s="193" t="e">
        <f ca="1"/>
        <v>#NAME?</v>
      </c>
      <c r="B600" s="194" t="s">
        <v>803</v>
      </c>
      <c r="C600" s="170"/>
      <c r="D600" s="194" t="str">
        <f ca="1">IFERROR(__xludf.DUMMYFUNCTION("IF(J600="""",""n/a"",IFERROR(SPLIT(J600,""/"")))"),"Oishi")</f>
        <v>Oishi</v>
      </c>
      <c r="E600" s="194" t="str">
        <f ca="1">IFERROR(__xludf.DUMMYFUNCTION("""COMPUTED_VALUE"""),"packs")</f>
        <v>packs</v>
      </c>
      <c r="F600" s="194" t="str">
        <f ca="1">IFERROR(__xludf.DUMMYFUNCTION("""COMPUTED_VALUE"""),"75grams")</f>
        <v>75grams</v>
      </c>
      <c r="G600" s="170"/>
      <c r="H600" s="183" t="s">
        <v>1897</v>
      </c>
      <c r="I600" s="170"/>
      <c r="J600" s="96" t="s">
        <v>804</v>
      </c>
      <c r="K600" s="237"/>
      <c r="L600" s="257">
        <v>22.38</v>
      </c>
      <c r="M600" s="265">
        <v>6</v>
      </c>
      <c r="N600" s="280">
        <v>1</v>
      </c>
      <c r="O600" s="61" t="str">
        <f t="shared" ca="1" si="49"/>
        <v>packs</v>
      </c>
      <c r="P600" s="240" t="s">
        <v>92</v>
      </c>
      <c r="Q600" s="12"/>
      <c r="R600" s="281" t="str">
        <f>CONCATENATE(N600,P600)</f>
        <v>1pieces</v>
      </c>
      <c r="S600" s="198">
        <f t="shared" si="50"/>
        <v>6</v>
      </c>
      <c r="T600" s="199" t="str">
        <f t="shared" si="51"/>
        <v>6pieces</v>
      </c>
      <c r="U600" s="200">
        <f t="shared" si="52"/>
        <v>134.28</v>
      </c>
      <c r="V600" s="12"/>
      <c r="W600" s="12"/>
    </row>
    <row r="601" spans="1:23" x14ac:dyDescent="0.3">
      <c r="A601" s="193" t="e">
        <f ca="1"/>
        <v>#NAME?</v>
      </c>
      <c r="B601" s="194" t="s">
        <v>805</v>
      </c>
      <c r="C601" s="170"/>
      <c r="D601" s="194" t="str">
        <f ca="1">IFERROR(__xludf.DUMMYFUNCTION("IF(J601="""",""n/a"",IFERROR(SPLIT(J601,""/"")))"),"n/a")</f>
        <v>n/a</v>
      </c>
      <c r="E601" s="170"/>
      <c r="F601" s="170"/>
      <c r="G601" s="170"/>
      <c r="H601" s="206" t="s">
        <v>1898</v>
      </c>
      <c r="I601" s="170"/>
      <c r="J601" s="239"/>
      <c r="K601" s="237"/>
      <c r="L601" s="255">
        <v>22.378333333333334</v>
      </c>
      <c r="M601" s="250">
        <v>30</v>
      </c>
      <c r="N601" s="282">
        <v>30</v>
      </c>
      <c r="O601" s="170">
        <f t="shared" si="49"/>
        <v>0</v>
      </c>
      <c r="P601" s="240" t="s">
        <v>92</v>
      </c>
      <c r="Q601" s="12"/>
      <c r="R601" s="12"/>
      <c r="S601" s="198">
        <f t="shared" si="50"/>
        <v>900</v>
      </c>
      <c r="T601" s="199" t="str">
        <f t="shared" si="51"/>
        <v>900pieces</v>
      </c>
      <c r="U601" s="200">
        <f t="shared" si="52"/>
        <v>671.35</v>
      </c>
      <c r="V601" s="12"/>
      <c r="W601" s="12"/>
    </row>
    <row r="602" spans="1:23" x14ac:dyDescent="0.3">
      <c r="A602" s="193" t="e">
        <f ca="1"/>
        <v>#NAME?</v>
      </c>
      <c r="B602" s="194" t="s">
        <v>806</v>
      </c>
      <c r="C602" s="170"/>
      <c r="D602" s="194" t="str">
        <f ca="1">IFERROR(__xludf.DUMMYFUNCTION("IF(J602="""",""n/a"",IFERROR(SPLIT(J602,""/"")))"),"Below Zero")</f>
        <v>Below Zero</v>
      </c>
      <c r="E602" s="194" t="str">
        <f ca="1">IFERROR(__xludf.DUMMYFUNCTION("""COMPUTED_VALUE"""),"box (24pcsx500ml)")</f>
        <v>box (24pcsx500ml)</v>
      </c>
      <c r="F602" s="170"/>
      <c r="G602" s="170"/>
      <c r="H602" s="183" t="s">
        <v>1897</v>
      </c>
      <c r="I602" s="170"/>
      <c r="J602" s="96" t="s">
        <v>104</v>
      </c>
      <c r="K602" s="237"/>
      <c r="L602" s="254">
        <v>7.5</v>
      </c>
      <c r="M602" s="247">
        <v>1001</v>
      </c>
      <c r="N602" s="280">
        <v>1</v>
      </c>
      <c r="O602" s="61" t="str">
        <f t="shared" ca="1" si="49"/>
        <v>box (24pcsx500ml)</v>
      </c>
      <c r="P602" s="240" t="s">
        <v>92</v>
      </c>
      <c r="Q602" s="12"/>
      <c r="R602" s="281" t="str">
        <f t="shared" ref="R602:R603" si="59">CONCATENATE(N602,P602)</f>
        <v>1pieces</v>
      </c>
      <c r="S602" s="198">
        <f t="shared" si="50"/>
        <v>1001</v>
      </c>
      <c r="T602" s="199" t="str">
        <f t="shared" si="51"/>
        <v>1001pieces</v>
      </c>
      <c r="U602" s="200">
        <f t="shared" si="52"/>
        <v>7507.5</v>
      </c>
      <c r="V602" s="205">
        <f>U602/M602</f>
        <v>7.5</v>
      </c>
      <c r="W602" s="62"/>
    </row>
    <row r="603" spans="1:23" x14ac:dyDescent="0.3">
      <c r="A603" s="193" t="e">
        <f ca="1"/>
        <v>#NAME?</v>
      </c>
      <c r="B603" s="194" t="s">
        <v>807</v>
      </c>
      <c r="C603" s="170"/>
      <c r="D603" s="194" t="str">
        <f ca="1">IFERROR(__xludf.DUMMYFUNCTION("IF(J603="""",""n/a"",IFERROR(SPLIT(J603,""/"")))"),"pack")</f>
        <v>pack</v>
      </c>
      <c r="E603" s="194" t="str">
        <f ca="1">IFERROR(__xludf.DUMMYFUNCTION("""COMPUTED_VALUE"""),"1000grams")</f>
        <v>1000grams</v>
      </c>
      <c r="F603" s="170"/>
      <c r="G603" s="170"/>
      <c r="H603" s="183" t="s">
        <v>1897</v>
      </c>
      <c r="I603" s="170"/>
      <c r="J603" s="96" t="s">
        <v>51</v>
      </c>
      <c r="K603" s="237"/>
      <c r="L603" s="271">
        <v>0.34</v>
      </c>
      <c r="M603" s="247">
        <v>250</v>
      </c>
      <c r="N603" s="280">
        <v>1000</v>
      </c>
      <c r="O603" s="61" t="str">
        <f t="shared" ca="1" si="49"/>
        <v>1000grams</v>
      </c>
      <c r="P603" s="240" t="s">
        <v>39</v>
      </c>
      <c r="Q603" s="12"/>
      <c r="R603" s="281" t="str">
        <f t="shared" si="59"/>
        <v>1000grams</v>
      </c>
      <c r="S603" s="198">
        <f t="shared" si="50"/>
        <v>250000</v>
      </c>
      <c r="T603" s="199" t="str">
        <f t="shared" si="51"/>
        <v>250000grams</v>
      </c>
      <c r="U603" s="200">
        <f t="shared" si="52"/>
        <v>85</v>
      </c>
      <c r="V603" s="12"/>
      <c r="W603" s="12"/>
    </row>
    <row r="604" spans="1:23" x14ac:dyDescent="0.3">
      <c r="A604" s="193" t="e">
        <f ca="1"/>
        <v>#NAME?</v>
      </c>
      <c r="B604" s="194" t="s">
        <v>807</v>
      </c>
      <c r="C604" s="170"/>
      <c r="D604" s="194" t="str">
        <f ca="1">IFERROR(__xludf.DUMMYFUNCTION("IF(J604="""",""n/a"",IFERROR(SPLIT(J604,""/"")))"),"n/a")</f>
        <v>n/a</v>
      </c>
      <c r="E604" s="170"/>
      <c r="F604" s="170"/>
      <c r="G604" s="170"/>
      <c r="H604" s="206" t="s">
        <v>1898</v>
      </c>
      <c r="I604" s="170"/>
      <c r="J604" s="239"/>
      <c r="K604" s="237"/>
      <c r="L604" s="255">
        <v>0.65</v>
      </c>
      <c r="M604" s="250">
        <v>200</v>
      </c>
      <c r="N604" s="282">
        <v>1000</v>
      </c>
      <c r="O604" s="170">
        <f t="shared" si="49"/>
        <v>0</v>
      </c>
      <c r="P604" s="240" t="s">
        <v>39</v>
      </c>
      <c r="Q604" s="12"/>
      <c r="R604" s="12"/>
      <c r="S604" s="198">
        <f t="shared" si="50"/>
        <v>200000</v>
      </c>
      <c r="T604" s="199" t="str">
        <f t="shared" si="51"/>
        <v>200000grams</v>
      </c>
      <c r="U604" s="200">
        <f t="shared" si="52"/>
        <v>130</v>
      </c>
      <c r="V604" s="12"/>
      <c r="W604" s="12"/>
    </row>
    <row r="605" spans="1:23" x14ac:dyDescent="0.3">
      <c r="A605" s="193" t="e">
        <f ca="1"/>
        <v>#NAME?</v>
      </c>
      <c r="B605" s="194" t="s">
        <v>808</v>
      </c>
      <c r="C605" s="170"/>
      <c r="D605" s="194" t="str">
        <f ca="1">IFERROR(__xludf.DUMMYFUNCTION("IF(J605="""",""n/a"",IFERROR(SPLIT(J605,""/"")))"),"Indicate ave weight")</f>
        <v>Indicate ave weight</v>
      </c>
      <c r="E605" s="194" t="str">
        <f ca="1">IFERROR(__xludf.DUMMYFUNCTION("""COMPUTED_VALUE"""),"piece")</f>
        <v>piece</v>
      </c>
      <c r="F605" s="170"/>
      <c r="G605" s="170"/>
      <c r="H605" s="183" t="s">
        <v>1897</v>
      </c>
      <c r="I605" s="170"/>
      <c r="J605" s="284" t="s">
        <v>297</v>
      </c>
      <c r="K605" s="237"/>
      <c r="L605" s="271">
        <v>0.14799999999999999</v>
      </c>
      <c r="M605" s="247">
        <v>4000</v>
      </c>
      <c r="N605" s="280">
        <v>1000</v>
      </c>
      <c r="O605" s="61" t="str">
        <f t="shared" ca="1" si="49"/>
        <v>piece</v>
      </c>
      <c r="P605" s="240" t="s">
        <v>39</v>
      </c>
      <c r="Q605" s="12"/>
      <c r="R605" s="281" t="str">
        <f>CONCATENATE(N605,P605)</f>
        <v>1000grams</v>
      </c>
      <c r="S605" s="198">
        <f t="shared" si="50"/>
        <v>4000000</v>
      </c>
      <c r="T605" s="199" t="str">
        <f t="shared" si="51"/>
        <v>4000000grams</v>
      </c>
      <c r="U605" s="200">
        <f t="shared" si="52"/>
        <v>592</v>
      </c>
      <c r="V605" s="12"/>
      <c r="W605" s="12"/>
    </row>
    <row r="606" spans="1:23" x14ac:dyDescent="0.3">
      <c r="A606" s="193" t="e">
        <f ca="1"/>
        <v>#NAME?</v>
      </c>
      <c r="B606" s="194" t="s">
        <v>292</v>
      </c>
      <c r="C606" s="170"/>
      <c r="D606" s="194" t="str">
        <f ca="1">IFERROR(__xludf.DUMMYFUNCTION("IF(J606="""",""n/a"",IFERROR(SPLIT(J606,""/"")))"),"n/a")</f>
        <v>n/a</v>
      </c>
      <c r="E606" s="170"/>
      <c r="F606" s="170"/>
      <c r="G606" s="170"/>
      <c r="H606" s="183" t="s">
        <v>1895</v>
      </c>
      <c r="I606" s="170"/>
      <c r="J606" s="239"/>
      <c r="K606" s="237"/>
      <c r="L606" s="254">
        <v>320</v>
      </c>
      <c r="M606" s="100">
        <v>4</v>
      </c>
      <c r="N606" s="240">
        <v>1</v>
      </c>
      <c r="O606" s="170">
        <f t="shared" si="49"/>
        <v>0</v>
      </c>
      <c r="P606" s="240" t="s">
        <v>39</v>
      </c>
      <c r="Q606" s="12"/>
      <c r="R606" s="12"/>
      <c r="S606" s="198">
        <f t="shared" si="50"/>
        <v>4</v>
      </c>
      <c r="T606" s="199" t="str">
        <f t="shared" si="51"/>
        <v>4grams</v>
      </c>
      <c r="U606" s="200">
        <f t="shared" si="52"/>
        <v>1280</v>
      </c>
      <c r="V606" s="12"/>
      <c r="W606" s="12"/>
    </row>
    <row r="607" spans="1:23" x14ac:dyDescent="0.3">
      <c r="A607" s="193" t="e">
        <f ca="1"/>
        <v>#NAME?</v>
      </c>
      <c r="B607" s="194" t="s">
        <v>809</v>
      </c>
      <c r="C607" s="170"/>
      <c r="D607" s="194" t="str">
        <f ca="1">IFERROR(__xludf.DUMMYFUNCTION("IF(J607="""",""n/a"",IFERROR(SPLIT(J607,""/"")))"),"n/a")</f>
        <v>n/a</v>
      </c>
      <c r="E607" s="170"/>
      <c r="F607" s="170"/>
      <c r="G607" s="170"/>
      <c r="H607" s="206" t="s">
        <v>1898</v>
      </c>
      <c r="I607" s="170"/>
      <c r="J607" s="239"/>
      <c r="K607" s="237"/>
      <c r="L607" s="255">
        <v>0.24</v>
      </c>
      <c r="M607" s="250">
        <v>1000</v>
      </c>
      <c r="N607" s="282">
        <v>500</v>
      </c>
      <c r="O607" s="170">
        <f t="shared" si="49"/>
        <v>0</v>
      </c>
      <c r="P607" s="240" t="s">
        <v>39</v>
      </c>
      <c r="Q607" s="12"/>
      <c r="R607" s="12"/>
      <c r="S607" s="198">
        <f t="shared" si="50"/>
        <v>500000</v>
      </c>
      <c r="T607" s="199" t="str">
        <f t="shared" si="51"/>
        <v>500000grams</v>
      </c>
      <c r="U607" s="200">
        <f t="shared" si="52"/>
        <v>240</v>
      </c>
      <c r="V607" s="12"/>
      <c r="W607" s="12"/>
    </row>
    <row r="608" spans="1:23" x14ac:dyDescent="0.3">
      <c r="A608" s="193" t="e">
        <f ca="1"/>
        <v>#NAME?</v>
      </c>
      <c r="B608" s="194" t="s">
        <v>810</v>
      </c>
      <c r="C608" s="170"/>
      <c r="D608" s="194" t="str">
        <f ca="1">IFERROR(__xludf.DUMMYFUNCTION("IF(J608="""",""n/a"",IFERROR(SPLIT(J608,""/"")))"),"Femme")</f>
        <v>Femme</v>
      </c>
      <c r="E608" s="170"/>
      <c r="F608" s="170"/>
      <c r="G608" s="170"/>
      <c r="H608" s="183" t="s">
        <v>1895</v>
      </c>
      <c r="I608" s="170"/>
      <c r="J608" s="96" t="s">
        <v>336</v>
      </c>
      <c r="K608" s="237"/>
      <c r="L608" s="254">
        <v>15.2</v>
      </c>
      <c r="M608" s="100">
        <v>30</v>
      </c>
      <c r="N608" s="240" t="s">
        <v>337</v>
      </c>
      <c r="O608" s="170">
        <f t="shared" si="49"/>
        <v>0</v>
      </c>
      <c r="P608" s="240" t="s">
        <v>92</v>
      </c>
      <c r="Q608" s="12"/>
      <c r="R608" s="12"/>
      <c r="S608" s="198" t="e">
        <f t="shared" si="50"/>
        <v>#VALUE!</v>
      </c>
      <c r="T608" s="199" t="e">
        <f t="shared" si="51"/>
        <v>#VALUE!</v>
      </c>
      <c r="U608" s="200">
        <f t="shared" si="52"/>
        <v>456</v>
      </c>
      <c r="V608" s="12"/>
      <c r="W608" s="12"/>
    </row>
    <row r="609" spans="1:23" x14ac:dyDescent="0.3">
      <c r="A609" s="193" t="e">
        <f ca="1"/>
        <v>#NAME?</v>
      </c>
      <c r="B609" s="194" t="s">
        <v>810</v>
      </c>
      <c r="C609" s="170"/>
      <c r="D609" s="194" t="str">
        <f ca="1">IFERROR(__xludf.DUMMYFUNCTION("IF(J609="""",""n/a"",IFERROR(SPLIT(J609,""/"")))"),"n/a")</f>
        <v>n/a</v>
      </c>
      <c r="E609" s="170"/>
      <c r="F609" s="170"/>
      <c r="G609" s="170"/>
      <c r="H609" s="206" t="s">
        <v>1898</v>
      </c>
      <c r="I609" s="170"/>
      <c r="J609" s="239"/>
      <c r="K609" s="237"/>
      <c r="L609" s="255">
        <v>63.5</v>
      </c>
      <c r="M609" s="250">
        <v>10</v>
      </c>
      <c r="N609" s="282">
        <v>1</v>
      </c>
      <c r="O609" s="170">
        <f t="shared" si="49"/>
        <v>0</v>
      </c>
      <c r="P609" s="240" t="s">
        <v>92</v>
      </c>
      <c r="Q609" s="12"/>
      <c r="R609" s="12"/>
      <c r="S609" s="198">
        <f t="shared" si="50"/>
        <v>10</v>
      </c>
      <c r="T609" s="199" t="str">
        <f t="shared" si="51"/>
        <v>10pieces</v>
      </c>
      <c r="U609" s="200">
        <f t="shared" si="52"/>
        <v>635</v>
      </c>
      <c r="V609" s="12"/>
      <c r="W609" s="12"/>
    </row>
    <row r="610" spans="1:23" x14ac:dyDescent="0.3">
      <c r="A610" s="193" t="e">
        <f ca="1"/>
        <v>#NAME?</v>
      </c>
      <c r="B610" s="194" t="s">
        <v>353</v>
      </c>
      <c r="C610" s="170"/>
      <c r="D610" s="194" t="str">
        <f ca="1">IFERROR(__xludf.DUMMYFUNCTION("IF(J610="""",""n/a"",IFERROR(SPLIT(J610,""/"")))"),"Jade ")</f>
        <v xml:space="preserve">Jade </v>
      </c>
      <c r="E610" s="194" t="str">
        <f ca="1">IFERROR(__xludf.DUMMYFUNCTION("""COMPUTED_VALUE"""),"pack")</f>
        <v>pack</v>
      </c>
      <c r="F610" s="194" t="str">
        <f ca="1">IFERROR(__xludf.DUMMYFUNCTION("""COMPUTED_VALUE"""),"1000s'")</f>
        <v>1000s'</v>
      </c>
      <c r="G610" s="170"/>
      <c r="H610" s="183" t="s">
        <v>1895</v>
      </c>
      <c r="I610" s="170"/>
      <c r="J610" s="96" t="s">
        <v>354</v>
      </c>
      <c r="K610" s="237"/>
      <c r="L610" s="254">
        <v>52.64</v>
      </c>
      <c r="M610" s="100">
        <v>70</v>
      </c>
      <c r="N610" s="240">
        <v>1</v>
      </c>
      <c r="O610" s="61" t="str">
        <f t="shared" ca="1" si="49"/>
        <v>pack</v>
      </c>
      <c r="P610" s="240" t="s">
        <v>92</v>
      </c>
      <c r="Q610" s="12"/>
      <c r="R610" s="12"/>
      <c r="S610" s="198">
        <f t="shared" si="50"/>
        <v>70</v>
      </c>
      <c r="T610" s="199" t="str">
        <f t="shared" si="51"/>
        <v>70pieces</v>
      </c>
      <c r="U610" s="200">
        <f t="shared" si="52"/>
        <v>3684.8</v>
      </c>
      <c r="V610" s="12"/>
      <c r="W610" s="12"/>
    </row>
    <row r="611" spans="1:23" x14ac:dyDescent="0.3">
      <c r="A611" s="193" t="e">
        <f ca="1"/>
        <v>#NAME?</v>
      </c>
      <c r="B611" s="194" t="s">
        <v>811</v>
      </c>
      <c r="C611" s="170"/>
      <c r="D611" s="194" t="str">
        <f ca="1">IFERROR(__xludf.DUMMYFUNCTION("IF(J611="""",""n/a"",IFERROR(SPLIT(J611,""/"")))"),"n/a")</f>
        <v>n/a</v>
      </c>
      <c r="E611" s="170"/>
      <c r="F611" s="170"/>
      <c r="G611" s="170"/>
      <c r="H611" s="206" t="s">
        <v>1898</v>
      </c>
      <c r="I611" s="170"/>
      <c r="J611" s="239"/>
      <c r="K611" s="237"/>
      <c r="L611" s="255">
        <v>52</v>
      </c>
      <c r="M611" s="250">
        <v>40</v>
      </c>
      <c r="N611" s="282">
        <v>1</v>
      </c>
      <c r="O611" s="170">
        <f t="shared" si="49"/>
        <v>0</v>
      </c>
      <c r="P611" s="240" t="s">
        <v>304</v>
      </c>
      <c r="Q611" s="12"/>
      <c r="R611" s="12"/>
      <c r="S611" s="198">
        <f t="shared" si="50"/>
        <v>40</v>
      </c>
      <c r="T611" s="199" t="str">
        <f t="shared" si="51"/>
        <v>40packs</v>
      </c>
      <c r="U611" s="200">
        <f t="shared" si="52"/>
        <v>2080</v>
      </c>
      <c r="V611" s="12"/>
      <c r="W611" s="12"/>
    </row>
    <row r="612" spans="1:23" x14ac:dyDescent="0.3">
      <c r="A612" s="193" t="e">
        <f ca="1"/>
        <v>#NAME?</v>
      </c>
      <c r="B612" s="194" t="s">
        <v>811</v>
      </c>
      <c r="C612" s="170"/>
      <c r="D612" s="194" t="str">
        <f ca="1">IFERROR(__xludf.DUMMYFUNCTION("IF(J612="""",""n/a"",IFERROR(SPLIT(J612,""/"")))"),"n/a")</f>
        <v>n/a</v>
      </c>
      <c r="E612" s="170"/>
      <c r="F612" s="170"/>
      <c r="G612" s="170"/>
      <c r="H612" s="206" t="s">
        <v>1898</v>
      </c>
      <c r="I612" s="170"/>
      <c r="J612" s="239"/>
      <c r="K612" s="237"/>
      <c r="L612" s="255">
        <v>52</v>
      </c>
      <c r="M612" s="250">
        <v>15</v>
      </c>
      <c r="N612" s="282">
        <v>1</v>
      </c>
      <c r="O612" s="170">
        <f t="shared" si="49"/>
        <v>0</v>
      </c>
      <c r="P612" s="240" t="s">
        <v>304</v>
      </c>
      <c r="Q612" s="12"/>
      <c r="R612" s="12"/>
      <c r="S612" s="198">
        <f t="shared" si="50"/>
        <v>15</v>
      </c>
      <c r="T612" s="199" t="str">
        <f t="shared" si="51"/>
        <v>15packs</v>
      </c>
      <c r="U612" s="200">
        <f t="shared" si="52"/>
        <v>780</v>
      </c>
      <c r="V612" s="12"/>
      <c r="W612" s="12"/>
    </row>
    <row r="613" spans="1:23" x14ac:dyDescent="0.3">
      <c r="A613" s="193" t="e">
        <f ca="1"/>
        <v>#NAME?</v>
      </c>
      <c r="B613" s="194" t="s">
        <v>812</v>
      </c>
      <c r="C613" s="170"/>
      <c r="D613" s="194" t="str">
        <f ca="1">IFERROR(__xludf.DUMMYFUNCTION("IF(J613="""",""n/a"",IFERROR(SPLIT(J613,""/"")))"),"S")</f>
        <v>S</v>
      </c>
      <c r="E613" s="194" t="str">
        <f ca="1">IFERROR(__xludf.DUMMYFUNCTION("""COMPUTED_VALUE"""),"B")</f>
        <v>B</v>
      </c>
      <c r="F613" s="170"/>
      <c r="G613" s="170"/>
      <c r="H613" s="183" t="s">
        <v>1897</v>
      </c>
      <c r="I613" s="170"/>
      <c r="J613" s="96" t="s">
        <v>813</v>
      </c>
      <c r="K613" s="237"/>
      <c r="L613" s="271">
        <v>0.85</v>
      </c>
      <c r="M613" s="247">
        <v>300</v>
      </c>
      <c r="N613" s="280">
        <v>300</v>
      </c>
      <c r="O613" s="61" t="str">
        <f t="shared" ca="1" si="49"/>
        <v>B</v>
      </c>
      <c r="P613" s="240" t="s">
        <v>39</v>
      </c>
      <c r="Q613" s="12"/>
      <c r="R613" s="281" t="str">
        <f>CONCATENATE(N613,P613)</f>
        <v>300grams</v>
      </c>
      <c r="S613" s="198">
        <f t="shared" si="50"/>
        <v>90000</v>
      </c>
      <c r="T613" s="199" t="str">
        <f t="shared" si="51"/>
        <v>90000grams</v>
      </c>
      <c r="U613" s="200">
        <f t="shared" si="52"/>
        <v>255</v>
      </c>
      <c r="V613" s="12"/>
      <c r="W613" s="12"/>
    </row>
    <row r="614" spans="1:23" x14ac:dyDescent="0.3">
      <c r="A614" s="193" t="e">
        <f ca="1"/>
        <v>#NAME?</v>
      </c>
      <c r="B614" s="194" t="s">
        <v>288</v>
      </c>
      <c r="C614" s="170"/>
      <c r="D614" s="194" t="str">
        <f ca="1">IFERROR(__xludf.DUMMYFUNCTION("IF(J614="""",""n/a"",IFERROR(SPLIT(J614,""/"")))"),"Del Monte")</f>
        <v>Del Monte</v>
      </c>
      <c r="E614" s="194" t="str">
        <f ca="1">IFERROR(__xludf.DUMMYFUNCTION("""COMPUTED_VALUE"""),"sachet")</f>
        <v>sachet</v>
      </c>
      <c r="F614" s="194" t="str">
        <f ca="1">IFERROR(__xludf.DUMMYFUNCTION("""COMPUTED_VALUE"""),"150grams")</f>
        <v>150grams</v>
      </c>
      <c r="G614" s="170"/>
      <c r="H614" s="183" t="s">
        <v>1895</v>
      </c>
      <c r="I614" s="170"/>
      <c r="J614" s="96" t="s">
        <v>289</v>
      </c>
      <c r="K614" s="237"/>
      <c r="L614" s="254">
        <v>30.57</v>
      </c>
      <c r="M614" s="100">
        <v>48</v>
      </c>
      <c r="N614" s="240">
        <v>1</v>
      </c>
      <c r="O614" s="61" t="str">
        <f t="shared" ca="1" si="49"/>
        <v>sachet</v>
      </c>
      <c r="P614" s="240" t="s">
        <v>39</v>
      </c>
      <c r="Q614" s="12"/>
      <c r="R614" s="12"/>
      <c r="S614" s="198">
        <f t="shared" si="50"/>
        <v>48</v>
      </c>
      <c r="T614" s="199" t="str">
        <f t="shared" si="51"/>
        <v>48grams</v>
      </c>
      <c r="U614" s="200">
        <f t="shared" si="52"/>
        <v>1467.3600000000001</v>
      </c>
      <c r="V614" s="12"/>
      <c r="W614" s="12"/>
    </row>
    <row r="615" spans="1:23" x14ac:dyDescent="0.3">
      <c r="A615" s="193" t="e">
        <f ca="1"/>
        <v>#NAME?</v>
      </c>
      <c r="B615" s="194" t="s">
        <v>288</v>
      </c>
      <c r="C615" s="170"/>
      <c r="D615" s="194" t="str">
        <f ca="1">IFERROR(__xludf.DUMMYFUNCTION("IF(J615="""",""n/a"",IFERROR(SPLIT(J615,""/"")))"),"n/a")</f>
        <v>n/a</v>
      </c>
      <c r="E615" s="170"/>
      <c r="F615" s="170"/>
      <c r="G615" s="170"/>
      <c r="H615" s="206" t="s">
        <v>1898</v>
      </c>
      <c r="I615" s="170"/>
      <c r="J615" s="239"/>
      <c r="K615" s="237"/>
      <c r="L615" s="255">
        <v>0.20380000000000001</v>
      </c>
      <c r="M615" s="250">
        <v>3450</v>
      </c>
      <c r="N615" s="282">
        <v>150</v>
      </c>
      <c r="O615" s="170">
        <f t="shared" si="49"/>
        <v>0</v>
      </c>
      <c r="P615" s="240" t="s">
        <v>39</v>
      </c>
      <c r="Q615" s="12"/>
      <c r="R615" s="12"/>
      <c r="S615" s="198">
        <f t="shared" si="50"/>
        <v>517500</v>
      </c>
      <c r="T615" s="199" t="str">
        <f t="shared" si="51"/>
        <v>517500grams</v>
      </c>
      <c r="U615" s="200">
        <f t="shared" si="52"/>
        <v>703.11</v>
      </c>
      <c r="V615" s="12"/>
      <c r="W615" s="12"/>
    </row>
    <row r="616" spans="1:23" x14ac:dyDescent="0.3">
      <c r="A616" s="193" t="e">
        <f ca="1"/>
        <v>#NAME?</v>
      </c>
      <c r="B616" s="194" t="s">
        <v>290</v>
      </c>
      <c r="C616" s="170"/>
      <c r="D616" s="194" t="str">
        <f ca="1">IFERROR(__xludf.DUMMYFUNCTION("IF(J616="""",""n/a"",IFERROR(SPLIT(J616,""/"")))"),"Ticman")</f>
        <v>Ticman</v>
      </c>
      <c r="E616" s="194" t="str">
        <f ca="1">IFERROR(__xludf.DUMMYFUNCTION("""COMPUTED_VALUE"""),"gallon")</f>
        <v>gallon</v>
      </c>
      <c r="F616" s="194" t="str">
        <f ca="1">IFERROR(__xludf.DUMMYFUNCTION("""COMPUTED_VALUE"""),"3500ml")</f>
        <v>3500ml</v>
      </c>
      <c r="G616" s="170"/>
      <c r="H616" s="183" t="s">
        <v>1897</v>
      </c>
      <c r="I616" s="170"/>
      <c r="J616" s="96" t="s">
        <v>239</v>
      </c>
      <c r="K616" s="237"/>
      <c r="L616" s="271">
        <v>135</v>
      </c>
      <c r="M616" s="247">
        <v>2</v>
      </c>
      <c r="N616" s="280">
        <v>1</v>
      </c>
      <c r="O616" s="61" t="str">
        <f t="shared" ca="1" si="49"/>
        <v>gallon</v>
      </c>
      <c r="P616" s="240" t="s">
        <v>200</v>
      </c>
      <c r="Q616" s="12"/>
      <c r="R616" s="281" t="str">
        <f>CONCATENATE(N616,P616)</f>
        <v>1gal</v>
      </c>
      <c r="S616" s="198">
        <f t="shared" si="50"/>
        <v>2</v>
      </c>
      <c r="T616" s="199" t="str">
        <f t="shared" si="51"/>
        <v>2gal</v>
      </c>
      <c r="U616" s="200">
        <f t="shared" si="52"/>
        <v>270</v>
      </c>
      <c r="V616" s="62"/>
      <c r="W616" s="12"/>
    </row>
    <row r="617" spans="1:23" x14ac:dyDescent="0.3">
      <c r="A617" s="193" t="e">
        <f ca="1"/>
        <v>#NAME?</v>
      </c>
      <c r="B617" s="194" t="s">
        <v>290</v>
      </c>
      <c r="C617" s="170"/>
      <c r="D617" s="194" t="str">
        <f ca="1">IFERROR(__xludf.DUMMYFUNCTION("IF(J617="""",""n/a"",IFERROR(SPLIT(J617,""/"")))"),"Ticman")</f>
        <v>Ticman</v>
      </c>
      <c r="E617" s="194" t="str">
        <f ca="1">IFERROR(__xludf.DUMMYFUNCTION("""COMPUTED_VALUE"""),"gallon")</f>
        <v>gallon</v>
      </c>
      <c r="F617" s="194" t="str">
        <f ca="1">IFERROR(__xludf.DUMMYFUNCTION("""COMPUTED_VALUE"""),"3500ml")</f>
        <v>3500ml</v>
      </c>
      <c r="G617" s="170"/>
      <c r="H617" s="183" t="s">
        <v>1895</v>
      </c>
      <c r="I617" s="170"/>
      <c r="J617" s="96" t="s">
        <v>239</v>
      </c>
      <c r="K617" s="237"/>
      <c r="L617" s="254">
        <v>135</v>
      </c>
      <c r="M617" s="100">
        <v>7</v>
      </c>
      <c r="N617" s="240">
        <v>1</v>
      </c>
      <c r="O617" s="61" t="str">
        <f t="shared" ca="1" si="49"/>
        <v>gallon</v>
      </c>
      <c r="P617" s="240" t="s">
        <v>200</v>
      </c>
      <c r="Q617" s="12"/>
      <c r="R617" s="12"/>
      <c r="S617" s="198">
        <f t="shared" si="50"/>
        <v>7</v>
      </c>
      <c r="T617" s="199" t="str">
        <f t="shared" si="51"/>
        <v>7gal</v>
      </c>
      <c r="U617" s="200">
        <f t="shared" si="52"/>
        <v>945</v>
      </c>
      <c r="V617" s="12"/>
      <c r="W617" s="12"/>
    </row>
    <row r="618" spans="1:23" x14ac:dyDescent="0.3">
      <c r="A618" s="193" t="e">
        <f ca="1"/>
        <v>#NAME?</v>
      </c>
      <c r="B618" s="194" t="s">
        <v>290</v>
      </c>
      <c r="C618" s="170"/>
      <c r="D618" s="194" t="str">
        <f ca="1">IFERROR(__xludf.DUMMYFUNCTION("IF(J618="""",""n/a"",IFERROR(SPLIT(J618,""/"")))"),"n/a")</f>
        <v>n/a</v>
      </c>
      <c r="E618" s="170"/>
      <c r="F618" s="170"/>
      <c r="G618" s="170"/>
      <c r="H618" s="206" t="s">
        <v>1898</v>
      </c>
      <c r="I618" s="170"/>
      <c r="J618" s="239"/>
      <c r="K618" s="237"/>
      <c r="L618" s="255">
        <v>3.8571428571428569E-2</v>
      </c>
      <c r="M618" s="250">
        <v>14000</v>
      </c>
      <c r="N618" s="282">
        <v>3500</v>
      </c>
      <c r="O618" s="170">
        <f t="shared" si="49"/>
        <v>0</v>
      </c>
      <c r="P618" s="240" t="s">
        <v>200</v>
      </c>
      <c r="Q618" s="12"/>
      <c r="R618" s="12"/>
      <c r="S618" s="198">
        <f t="shared" si="50"/>
        <v>49000000</v>
      </c>
      <c r="T618" s="199" t="str">
        <f t="shared" si="51"/>
        <v>49000000gal</v>
      </c>
      <c r="U618" s="200">
        <f t="shared" si="52"/>
        <v>540</v>
      </c>
      <c r="V618" s="12"/>
      <c r="W618" s="12"/>
    </row>
    <row r="619" spans="1:23" x14ac:dyDescent="0.3">
      <c r="A619" s="193" t="e">
        <f ca="1"/>
        <v>#NAME?</v>
      </c>
      <c r="B619" s="194" t="s">
        <v>814</v>
      </c>
      <c r="C619" s="170"/>
      <c r="D619" s="194" t="str">
        <f ca="1">IFERROR(__xludf.DUMMYFUNCTION("IF(J619="""",""n/a"",IFERROR(SPLIT(J619,""/"")))"),"Bulldog")</f>
        <v>Bulldog</v>
      </c>
      <c r="E619" s="194" t="str">
        <f ca="1">IFERROR(__xludf.DUMMYFUNCTION("""COMPUTED_VALUE"""),"bottle")</f>
        <v>bottle</v>
      </c>
      <c r="F619" s="170"/>
      <c r="G619" s="170"/>
      <c r="H619" s="183" t="s">
        <v>1897</v>
      </c>
      <c r="I619" s="170"/>
      <c r="J619" s="96" t="s">
        <v>815</v>
      </c>
      <c r="K619" s="237"/>
      <c r="L619" s="271">
        <v>0.18333333333333332</v>
      </c>
      <c r="M619" s="247">
        <v>1800</v>
      </c>
      <c r="N619" s="280">
        <v>1800</v>
      </c>
      <c r="O619" s="61" t="str">
        <f t="shared" ca="1" si="49"/>
        <v>bottle</v>
      </c>
      <c r="P619" s="240" t="s">
        <v>39</v>
      </c>
      <c r="Q619" s="12"/>
      <c r="R619" s="281" t="str">
        <f>CONCATENATE(N619,P619)</f>
        <v>1800grams</v>
      </c>
      <c r="S619" s="198">
        <f t="shared" si="50"/>
        <v>3240000</v>
      </c>
      <c r="T619" s="199" t="str">
        <f t="shared" si="51"/>
        <v>3240000grams</v>
      </c>
      <c r="U619" s="200">
        <f t="shared" si="52"/>
        <v>330</v>
      </c>
      <c r="V619" s="12"/>
      <c r="W619" s="12"/>
    </row>
    <row r="620" spans="1:23" x14ac:dyDescent="0.3">
      <c r="A620" s="193" t="e">
        <f ca="1"/>
        <v>#NAME?</v>
      </c>
      <c r="B620" s="194" t="s">
        <v>814</v>
      </c>
      <c r="C620" s="170"/>
      <c r="D620" s="194" t="str">
        <f ca="1">IFERROR(__xludf.DUMMYFUNCTION("IF(J620="""",""n/a"",IFERROR(SPLIT(J620,""/"")))"),"n/a")</f>
        <v>n/a</v>
      </c>
      <c r="E620" s="170"/>
      <c r="F620" s="170"/>
      <c r="G620" s="170"/>
      <c r="H620" s="206" t="s">
        <v>1898</v>
      </c>
      <c r="I620" s="170"/>
      <c r="J620" s="239"/>
      <c r="K620" s="237"/>
      <c r="L620" s="255">
        <v>0.21055555555555555</v>
      </c>
      <c r="M620" s="250">
        <v>500</v>
      </c>
      <c r="N620" s="282">
        <v>1800</v>
      </c>
      <c r="O620" s="170">
        <f t="shared" si="49"/>
        <v>0</v>
      </c>
      <c r="P620" s="240" t="s">
        <v>39</v>
      </c>
      <c r="Q620" s="12"/>
      <c r="R620" s="12"/>
      <c r="S620" s="198">
        <f t="shared" si="50"/>
        <v>900000</v>
      </c>
      <c r="T620" s="199" t="str">
        <f t="shared" si="51"/>
        <v>900000grams</v>
      </c>
      <c r="U620" s="200">
        <f t="shared" si="52"/>
        <v>105.27777777777777</v>
      </c>
      <c r="V620" s="12"/>
      <c r="W620" s="12"/>
    </row>
    <row r="621" spans="1:23" x14ac:dyDescent="0.3">
      <c r="A621" s="193" t="e">
        <f ca="1"/>
        <v>#NAME?</v>
      </c>
      <c r="B621" s="194" t="s">
        <v>338</v>
      </c>
      <c r="C621" s="170"/>
      <c r="D621" s="194" t="str">
        <f ca="1">IFERROR(__xludf.DUMMYFUNCTION("IF(J621="""",""n/a"",IFERROR(SPLIT(J621,""/"")))"),"Colgate")</f>
        <v>Colgate</v>
      </c>
      <c r="E621" s="194" t="str">
        <f ca="1">IFERROR(__xludf.DUMMYFUNCTION("""COMPUTED_VALUE"""),"66g")</f>
        <v>66g</v>
      </c>
      <c r="F621" s="170"/>
      <c r="G621" s="170"/>
      <c r="H621" s="183" t="s">
        <v>1897</v>
      </c>
      <c r="I621" s="170"/>
      <c r="J621" s="96" t="s">
        <v>816</v>
      </c>
      <c r="K621" s="237"/>
      <c r="L621" s="254">
        <v>68.099999999999994</v>
      </c>
      <c r="M621" s="247">
        <v>4</v>
      </c>
      <c r="N621" s="280">
        <v>1</v>
      </c>
      <c r="O621" s="61" t="str">
        <f t="shared" ca="1" si="49"/>
        <v>66g</v>
      </c>
      <c r="P621" s="240" t="s">
        <v>92</v>
      </c>
      <c r="Q621" s="12"/>
      <c r="R621" s="281" t="str">
        <f>CONCATENATE(N621,P621)</f>
        <v>1pieces</v>
      </c>
      <c r="S621" s="198">
        <f t="shared" si="50"/>
        <v>4</v>
      </c>
      <c r="T621" s="199" t="str">
        <f t="shared" si="51"/>
        <v>4pieces</v>
      </c>
      <c r="U621" s="200">
        <f t="shared" si="52"/>
        <v>272.39999999999998</v>
      </c>
      <c r="V621" s="12"/>
      <c r="W621" s="12"/>
    </row>
    <row r="622" spans="1:23" x14ac:dyDescent="0.3">
      <c r="A622" s="193" t="e">
        <f ca="1"/>
        <v>#NAME?</v>
      </c>
      <c r="B622" s="194" t="s">
        <v>338</v>
      </c>
      <c r="C622" s="170"/>
      <c r="D622" s="194" t="str">
        <f ca="1">IFERROR(__xludf.DUMMYFUNCTION("IF(J622="""",""n/a"",IFERROR(SPLIT(J622,""/"")))"),"Colgate")</f>
        <v>Colgate</v>
      </c>
      <c r="E622" s="194" t="str">
        <f ca="1">IFERROR(__xludf.DUMMYFUNCTION("""COMPUTED_VALUE"""),"classic")</f>
        <v>classic</v>
      </c>
      <c r="F622" s="194" t="str">
        <f ca="1">IFERROR(__xludf.DUMMYFUNCTION("""COMPUTED_VALUE"""),"adult")</f>
        <v>adult</v>
      </c>
      <c r="G622" s="170"/>
      <c r="H622" s="183" t="s">
        <v>1895</v>
      </c>
      <c r="I622" s="170"/>
      <c r="J622" s="96" t="s">
        <v>339</v>
      </c>
      <c r="K622" s="237"/>
      <c r="L622" s="254">
        <v>18.5</v>
      </c>
      <c r="M622" s="100">
        <v>198</v>
      </c>
      <c r="N622" s="240">
        <v>1</v>
      </c>
      <c r="O622" s="61" t="str">
        <f t="shared" ca="1" si="49"/>
        <v>classic</v>
      </c>
      <c r="P622" s="240" t="s">
        <v>92</v>
      </c>
      <c r="Q622" s="12"/>
      <c r="R622" s="12"/>
      <c r="S622" s="198">
        <f t="shared" si="50"/>
        <v>198</v>
      </c>
      <c r="T622" s="199" t="str">
        <f t="shared" si="51"/>
        <v>198pieces</v>
      </c>
      <c r="U622" s="200">
        <f t="shared" si="52"/>
        <v>3663</v>
      </c>
      <c r="V622" s="12"/>
      <c r="W622" s="12"/>
    </row>
    <row r="623" spans="1:23" x14ac:dyDescent="0.3">
      <c r="A623" s="193" t="e">
        <f ca="1"/>
        <v>#NAME?</v>
      </c>
      <c r="B623" s="194" t="s">
        <v>338</v>
      </c>
      <c r="C623" s="170"/>
      <c r="D623" s="194" t="str">
        <f ca="1">IFERROR(__xludf.DUMMYFUNCTION("IF(J623="""",""n/a"",IFERROR(SPLIT(J623,""/"")))"),"n/a")</f>
        <v>n/a</v>
      </c>
      <c r="E623" s="170"/>
      <c r="F623" s="170"/>
      <c r="G623" s="170"/>
      <c r="H623" s="206" t="s">
        <v>1898</v>
      </c>
      <c r="I623" s="170"/>
      <c r="J623" s="239"/>
      <c r="K623" s="237"/>
      <c r="L623" s="255">
        <v>34.200000000000003</v>
      </c>
      <c r="M623" s="250">
        <v>5</v>
      </c>
      <c r="N623" s="282">
        <v>1</v>
      </c>
      <c r="O623" s="170">
        <f t="shared" si="49"/>
        <v>0</v>
      </c>
      <c r="P623" s="240" t="s">
        <v>92</v>
      </c>
      <c r="Q623" s="12"/>
      <c r="R623" s="12"/>
      <c r="S623" s="198">
        <f t="shared" si="50"/>
        <v>5</v>
      </c>
      <c r="T623" s="199" t="str">
        <f t="shared" si="51"/>
        <v>5pieces</v>
      </c>
      <c r="U623" s="200">
        <f t="shared" si="52"/>
        <v>171</v>
      </c>
      <c r="V623" s="12"/>
      <c r="W623" s="12"/>
    </row>
    <row r="624" spans="1:23" x14ac:dyDescent="0.3">
      <c r="A624" s="193" t="e">
        <f ca="1"/>
        <v>#NAME?</v>
      </c>
      <c r="B624" s="194" t="s">
        <v>340</v>
      </c>
      <c r="C624" s="170"/>
      <c r="D624" s="194" t="str">
        <f ca="1">IFERROR(__xludf.DUMMYFUNCTION("IF(J624="""",""n/a"",IFERROR(SPLIT(J624,""/"")))"),"Coca-Cola")</f>
        <v>Coca-Cola</v>
      </c>
      <c r="E624" s="194" t="str">
        <f ca="1">IFERROR(__xludf.DUMMYFUNCTION("""COMPUTED_VALUE"""),"case (12x290ml)")</f>
        <v>case (12x290ml)</v>
      </c>
      <c r="F624" s="170"/>
      <c r="G624" s="170"/>
      <c r="H624" s="183" t="s">
        <v>1897</v>
      </c>
      <c r="I624" s="170"/>
      <c r="J624" s="96" t="s">
        <v>96</v>
      </c>
      <c r="K624" s="237"/>
      <c r="L624" s="254">
        <v>16.14</v>
      </c>
      <c r="M624" s="247">
        <v>48</v>
      </c>
      <c r="N624" s="280">
        <v>1</v>
      </c>
      <c r="O624" s="61" t="str">
        <f t="shared" ca="1" si="49"/>
        <v>case (12x290ml)</v>
      </c>
      <c r="P624" s="240" t="s">
        <v>92</v>
      </c>
      <c r="Q624" s="12"/>
      <c r="R624" s="281" t="str">
        <f t="shared" ref="R624:R625" si="60">CONCATENATE(N624,P624)</f>
        <v>1pieces</v>
      </c>
      <c r="S624" s="198">
        <f t="shared" si="50"/>
        <v>48</v>
      </c>
      <c r="T624" s="199" t="str">
        <f t="shared" si="51"/>
        <v>48pieces</v>
      </c>
      <c r="U624" s="200">
        <f t="shared" si="52"/>
        <v>774.72</v>
      </c>
      <c r="V624" s="205">
        <f>U624/M624</f>
        <v>16.14</v>
      </c>
      <c r="W624" s="62"/>
    </row>
    <row r="625" spans="1:23" x14ac:dyDescent="0.3">
      <c r="A625" s="193" t="e">
        <f ca="1"/>
        <v>#NAME?</v>
      </c>
      <c r="B625" s="194" t="s">
        <v>340</v>
      </c>
      <c r="C625" s="170"/>
      <c r="D625" s="194" t="str">
        <f ca="1">IFERROR(__xludf.DUMMYFUNCTION("IF(J625="""",""n/a"",IFERROR(SPLIT(J625,""/"")))"),"Unique")</f>
        <v>Unique</v>
      </c>
      <c r="E625" s="194" t="str">
        <f ca="1">IFERROR(__xludf.DUMMYFUNCTION("""COMPUTED_VALUE"""),"tube")</f>
        <v>tube</v>
      </c>
      <c r="F625" s="194" t="str">
        <f ca="1">IFERROR(__xludf.DUMMYFUNCTION("""COMPUTED_VALUE"""),"50ml")</f>
        <v>50ml</v>
      </c>
      <c r="G625" s="170"/>
      <c r="H625" s="183" t="s">
        <v>1897</v>
      </c>
      <c r="I625" s="170"/>
      <c r="J625" s="96" t="s">
        <v>817</v>
      </c>
      <c r="K625" s="237"/>
      <c r="L625" s="254">
        <v>25.03</v>
      </c>
      <c r="M625" s="247">
        <v>21</v>
      </c>
      <c r="N625" s="280">
        <v>1</v>
      </c>
      <c r="O625" s="61" t="str">
        <f t="shared" ca="1" si="49"/>
        <v>tube</v>
      </c>
      <c r="P625" s="240" t="s">
        <v>92</v>
      </c>
      <c r="Q625" s="12"/>
      <c r="R625" s="281" t="str">
        <f t="shared" si="60"/>
        <v>1pieces</v>
      </c>
      <c r="S625" s="198">
        <f t="shared" si="50"/>
        <v>21</v>
      </c>
      <c r="T625" s="199" t="str">
        <f t="shared" si="51"/>
        <v>21pieces</v>
      </c>
      <c r="U625" s="200">
        <f t="shared" si="52"/>
        <v>525.63</v>
      </c>
      <c r="V625" s="12"/>
      <c r="W625" s="12"/>
    </row>
    <row r="626" spans="1:23" x14ac:dyDescent="0.3">
      <c r="A626" s="193" t="e">
        <f ca="1"/>
        <v>#NAME?</v>
      </c>
      <c r="B626" s="194" t="s">
        <v>340</v>
      </c>
      <c r="C626" s="170"/>
      <c r="D626" s="194" t="str">
        <f ca="1">IFERROR(__xludf.DUMMYFUNCTION("IF(J626="""",""n/a"",IFERROR(SPLIT(J626,""/"")))"),"Unique")</f>
        <v>Unique</v>
      </c>
      <c r="E626" s="194" t="str">
        <f ca="1">IFERROR(__xludf.DUMMYFUNCTION("""COMPUTED_VALUE"""),"tube")</f>
        <v>tube</v>
      </c>
      <c r="F626" s="194" t="str">
        <f ca="1">IFERROR(__xludf.DUMMYFUNCTION("""COMPUTED_VALUE"""),"150ml")</f>
        <v>150ml</v>
      </c>
      <c r="G626" s="170"/>
      <c r="H626" s="183" t="s">
        <v>1895</v>
      </c>
      <c r="I626" s="170"/>
      <c r="J626" s="96" t="s">
        <v>341</v>
      </c>
      <c r="K626" s="237"/>
      <c r="L626" s="254">
        <v>57.41</v>
      </c>
      <c r="M626" s="100">
        <v>2</v>
      </c>
      <c r="N626" s="240">
        <v>1</v>
      </c>
      <c r="O626" s="61" t="str">
        <f t="shared" ca="1" si="49"/>
        <v>tube</v>
      </c>
      <c r="P626" s="240" t="s">
        <v>92</v>
      </c>
      <c r="Q626" s="12"/>
      <c r="R626" s="12"/>
      <c r="S626" s="198">
        <f t="shared" si="50"/>
        <v>2</v>
      </c>
      <c r="T626" s="199" t="str">
        <f t="shared" si="51"/>
        <v>2pieces</v>
      </c>
      <c r="U626" s="200">
        <f t="shared" si="52"/>
        <v>114.82</v>
      </c>
      <c r="V626" s="12"/>
      <c r="W626" s="12"/>
    </row>
    <row r="627" spans="1:23" x14ac:dyDescent="0.3">
      <c r="A627" s="193" t="e">
        <f ca="1"/>
        <v>#NAME?</v>
      </c>
      <c r="B627" s="194" t="s">
        <v>340</v>
      </c>
      <c r="C627" s="170"/>
      <c r="D627" s="194" t="str">
        <f ca="1">IFERROR(__xludf.DUMMYFUNCTION("IF(J627="""",""n/a"",IFERROR(SPLIT(J627,""/"")))"),"Close-Up")</f>
        <v>Close-Up</v>
      </c>
      <c r="E627" s="194" t="str">
        <f ca="1">IFERROR(__xludf.DUMMYFUNCTION("""COMPUTED_VALUE"""),"twinpack")</f>
        <v>twinpack</v>
      </c>
      <c r="F627" s="194" t="str">
        <f ca="1">IFERROR(__xludf.DUMMYFUNCTION("""COMPUTED_VALUE"""),"20g")</f>
        <v>20g</v>
      </c>
      <c r="G627" s="170"/>
      <c r="H627" s="183" t="s">
        <v>1895</v>
      </c>
      <c r="I627" s="170"/>
      <c r="J627" s="96" t="s">
        <v>342</v>
      </c>
      <c r="K627" s="237"/>
      <c r="L627" s="254">
        <v>7.5</v>
      </c>
      <c r="M627" s="100">
        <v>343</v>
      </c>
      <c r="N627" s="240">
        <v>1</v>
      </c>
      <c r="O627" s="61" t="str">
        <f t="shared" ca="1" si="49"/>
        <v>twinpack</v>
      </c>
      <c r="P627" s="240" t="s">
        <v>92</v>
      </c>
      <c r="Q627" s="12"/>
      <c r="R627" s="12"/>
      <c r="S627" s="198">
        <f t="shared" si="50"/>
        <v>343</v>
      </c>
      <c r="T627" s="199" t="str">
        <f t="shared" si="51"/>
        <v>343pieces</v>
      </c>
      <c r="U627" s="200">
        <f t="shared" si="52"/>
        <v>2572.5</v>
      </c>
      <c r="V627" s="12"/>
      <c r="W627" s="12"/>
    </row>
    <row r="628" spans="1:23" x14ac:dyDescent="0.3">
      <c r="A628" s="193" t="e">
        <f ca="1"/>
        <v>#NAME?</v>
      </c>
      <c r="B628" s="194" t="s">
        <v>340</v>
      </c>
      <c r="C628" s="170"/>
      <c r="D628" s="194" t="str">
        <f ca="1">IFERROR(__xludf.DUMMYFUNCTION("IF(J628="""",""n/a"",IFERROR(SPLIT(J628,""/"")))"),"n/a")</f>
        <v>n/a</v>
      </c>
      <c r="E628" s="170"/>
      <c r="F628" s="170"/>
      <c r="G628" s="170"/>
      <c r="H628" s="206" t="s">
        <v>1898</v>
      </c>
      <c r="I628" s="170"/>
      <c r="J628" s="239"/>
      <c r="K628" s="237"/>
      <c r="L628" s="255">
        <v>59.5</v>
      </c>
      <c r="M628" s="250">
        <v>14</v>
      </c>
      <c r="N628" s="282">
        <v>1</v>
      </c>
      <c r="O628" s="170">
        <f t="shared" si="49"/>
        <v>0</v>
      </c>
      <c r="P628" s="240" t="s">
        <v>92</v>
      </c>
      <c r="Q628" s="12"/>
      <c r="R628" s="12"/>
      <c r="S628" s="198">
        <f t="shared" si="50"/>
        <v>14</v>
      </c>
      <c r="T628" s="199" t="str">
        <f t="shared" si="51"/>
        <v>14pieces</v>
      </c>
      <c r="U628" s="200">
        <f t="shared" si="52"/>
        <v>833</v>
      </c>
      <c r="V628" s="12"/>
      <c r="W628" s="12"/>
    </row>
    <row r="629" spans="1:23" x14ac:dyDescent="0.3">
      <c r="A629" s="193" t="e">
        <f ca="1"/>
        <v>#NAME?</v>
      </c>
      <c r="B629" s="194" t="s">
        <v>355</v>
      </c>
      <c r="C629" s="170"/>
      <c r="D629" s="194" t="str">
        <f ca="1">IFERROR(__xludf.DUMMYFUNCTION("IF(J629="""",""n/a"",IFERROR(SPLIT(J629,""/"")))"),"pack by 100's")</f>
        <v>pack by 100's</v>
      </c>
      <c r="E629" s="170"/>
      <c r="F629" s="170"/>
      <c r="G629" s="170"/>
      <c r="H629" s="183" t="s">
        <v>1895</v>
      </c>
      <c r="I629" s="170"/>
      <c r="J629" s="96" t="s">
        <v>356</v>
      </c>
      <c r="K629" s="237"/>
      <c r="L629" s="254">
        <v>15</v>
      </c>
      <c r="M629" s="100">
        <v>6</v>
      </c>
      <c r="N629" s="240">
        <v>1</v>
      </c>
      <c r="O629" s="170">
        <f t="shared" si="49"/>
        <v>0</v>
      </c>
      <c r="P629" s="240" t="s">
        <v>304</v>
      </c>
      <c r="Q629" s="12"/>
      <c r="R629" s="12"/>
      <c r="S629" s="198">
        <f t="shared" si="50"/>
        <v>6</v>
      </c>
      <c r="T629" s="199" t="str">
        <f t="shared" si="51"/>
        <v>6packs</v>
      </c>
      <c r="U629" s="200">
        <f t="shared" si="52"/>
        <v>90</v>
      </c>
      <c r="V629" s="12"/>
      <c r="W629" s="12"/>
    </row>
    <row r="630" spans="1:23" x14ac:dyDescent="0.3">
      <c r="A630" s="193" t="e">
        <f ca="1"/>
        <v>#NAME?</v>
      </c>
      <c r="B630" s="194" t="s">
        <v>442</v>
      </c>
      <c r="C630" s="170"/>
      <c r="D630" s="194" t="str">
        <f ca="1">IFERROR(__xludf.DUMMYFUNCTION("IF(J630="""",""n/a"",IFERROR(SPLIT(J630,""/"")))"),"Suncrest Food")</f>
        <v>Suncrest Food</v>
      </c>
      <c r="E630" s="194" t="str">
        <f ca="1">IFERROR(__xludf.DUMMYFUNCTION("""COMPUTED_VALUE"""),"pack (10pcsx34grams)")</f>
        <v>pack (10pcsx34grams)</v>
      </c>
      <c r="F630" s="170"/>
      <c r="G630" s="170"/>
      <c r="H630" s="183" t="s">
        <v>1895</v>
      </c>
      <c r="I630" s="170"/>
      <c r="J630" s="96" t="s">
        <v>443</v>
      </c>
      <c r="K630" s="237"/>
      <c r="L630" s="254">
        <v>7.39</v>
      </c>
      <c r="M630" s="100">
        <v>100</v>
      </c>
      <c r="N630" s="240">
        <v>1</v>
      </c>
      <c r="O630" s="61" t="str">
        <f t="shared" ca="1" si="49"/>
        <v>pack (10pcsx34grams)</v>
      </c>
      <c r="P630" s="240" t="s">
        <v>92</v>
      </c>
      <c r="Q630" s="12"/>
      <c r="R630" s="12"/>
      <c r="S630" s="198">
        <f t="shared" si="50"/>
        <v>100</v>
      </c>
      <c r="T630" s="199" t="str">
        <f t="shared" si="51"/>
        <v>100pieces</v>
      </c>
      <c r="U630" s="200">
        <f t="shared" si="52"/>
        <v>739</v>
      </c>
      <c r="V630" s="12"/>
      <c r="W630" s="12"/>
    </row>
    <row r="631" spans="1:23" x14ac:dyDescent="0.3">
      <c r="A631" s="193" t="e">
        <f ca="1"/>
        <v>#NAME?</v>
      </c>
      <c r="B631" s="194" t="s">
        <v>444</v>
      </c>
      <c r="C631" s="170"/>
      <c r="D631" s="194" t="str">
        <f ca="1">IFERROR(__xludf.DUMMYFUNCTION("IF(J631="""",""n/a"",IFERROR(SPLIT(J631,""/"")))"),"Granny Goose")</f>
        <v>Granny Goose</v>
      </c>
      <c r="E631" s="194" t="str">
        <f ca="1">IFERROR(__xludf.DUMMYFUNCTION("""COMPUTED_VALUE"""),"box(50pcsx100grams)")</f>
        <v>box(50pcsx100grams)</v>
      </c>
      <c r="F631" s="170"/>
      <c r="G631" s="170"/>
      <c r="H631" s="183" t="s">
        <v>1895</v>
      </c>
      <c r="I631" s="170"/>
      <c r="J631" s="96" t="s">
        <v>445</v>
      </c>
      <c r="K631" s="237"/>
      <c r="L631" s="254">
        <v>24.37</v>
      </c>
      <c r="M631" s="100">
        <v>50</v>
      </c>
      <c r="N631" s="240">
        <v>1</v>
      </c>
      <c r="O631" s="61" t="str">
        <f t="shared" ca="1" si="49"/>
        <v>box(50pcsx100grams)</v>
      </c>
      <c r="P631" s="240" t="s">
        <v>92</v>
      </c>
      <c r="Q631" s="12"/>
      <c r="R631" s="12"/>
      <c r="S631" s="198">
        <f t="shared" si="50"/>
        <v>50</v>
      </c>
      <c r="T631" s="199" t="str">
        <f t="shared" si="51"/>
        <v>50pieces</v>
      </c>
      <c r="U631" s="200">
        <f t="shared" si="52"/>
        <v>1218.5</v>
      </c>
      <c r="V631" s="12"/>
      <c r="W631" s="12"/>
    </row>
    <row r="632" spans="1:23" x14ac:dyDescent="0.3">
      <c r="A632" s="193" t="e">
        <f ca="1"/>
        <v>#NAME?</v>
      </c>
      <c r="B632" s="194" t="s">
        <v>818</v>
      </c>
      <c r="C632" s="170"/>
      <c r="D632" s="194" t="str">
        <f ca="1">IFERROR(__xludf.DUMMYFUNCTION("IF(J632="""",""n/a"",IFERROR(SPLIT(J632,""/"")))"),"Granny Goose")</f>
        <v>Granny Goose</v>
      </c>
      <c r="E632" s="194" t="str">
        <f ca="1">IFERROR(__xludf.DUMMYFUNCTION("""COMPUTED_VALUE"""),"box(50pcsx72grams)")</f>
        <v>box(50pcsx72grams)</v>
      </c>
      <c r="F632" s="170"/>
      <c r="G632" s="170"/>
      <c r="H632" s="183" t="s">
        <v>1897</v>
      </c>
      <c r="I632" s="170"/>
      <c r="J632" s="96" t="s">
        <v>819</v>
      </c>
      <c r="K632" s="237"/>
      <c r="L632" s="285">
        <v>32.770000000000003</v>
      </c>
      <c r="M632" s="247">
        <v>11</v>
      </c>
      <c r="N632" s="280">
        <v>1</v>
      </c>
      <c r="O632" s="61" t="str">
        <f t="shared" ca="1" si="49"/>
        <v>box(50pcsx72grams)</v>
      </c>
      <c r="P632" s="240" t="s">
        <v>92</v>
      </c>
      <c r="Q632" s="12"/>
      <c r="R632" s="281" t="str">
        <f t="shared" ref="R632:R634" si="61">CONCATENATE(N632,P632)</f>
        <v>1pieces</v>
      </c>
      <c r="S632" s="198">
        <f t="shared" si="50"/>
        <v>11</v>
      </c>
      <c r="T632" s="199" t="str">
        <f t="shared" si="51"/>
        <v>11pieces</v>
      </c>
      <c r="U632" s="200">
        <f t="shared" si="52"/>
        <v>360.47</v>
      </c>
      <c r="V632" s="12"/>
      <c r="W632" s="12"/>
    </row>
    <row r="633" spans="1:23" x14ac:dyDescent="0.3">
      <c r="A633" s="193" t="e">
        <f ca="1"/>
        <v>#NAME?</v>
      </c>
      <c r="B633" s="194" t="s">
        <v>208</v>
      </c>
      <c r="C633" s="170"/>
      <c r="D633" s="194" t="str">
        <f ca="1">IFERROR(__xludf.DUMMYFUNCTION("IF(J633="""",""n/a"",IFERROR(SPLIT(J633,""/"")))"),"n/a")</f>
        <v>n/a</v>
      </c>
      <c r="E633" s="170"/>
      <c r="F633" s="170"/>
      <c r="G633" s="170"/>
      <c r="H633" s="183" t="s">
        <v>1897</v>
      </c>
      <c r="I633" s="170"/>
      <c r="J633" s="239"/>
      <c r="K633" s="237"/>
      <c r="L633" s="254">
        <v>5.8</v>
      </c>
      <c r="M633" s="263">
        <v>100</v>
      </c>
      <c r="N633" s="280">
        <v>1</v>
      </c>
      <c r="O633" s="170">
        <f t="shared" si="49"/>
        <v>0</v>
      </c>
      <c r="P633" s="240" t="s">
        <v>92</v>
      </c>
      <c r="Q633" s="12"/>
      <c r="R633" s="281" t="str">
        <f t="shared" si="61"/>
        <v>1pieces</v>
      </c>
      <c r="S633" s="198">
        <f t="shared" si="50"/>
        <v>100</v>
      </c>
      <c r="T633" s="199" t="str">
        <f t="shared" si="51"/>
        <v>100pieces</v>
      </c>
      <c r="U633" s="200">
        <f t="shared" si="52"/>
        <v>580</v>
      </c>
      <c r="V633" s="205">
        <f t="shared" ref="V633:V634" si="62">U633/M633</f>
        <v>5.8</v>
      </c>
      <c r="W633" s="62"/>
    </row>
    <row r="634" spans="1:23" x14ac:dyDescent="0.3">
      <c r="A634" s="193" t="e">
        <f ca="1"/>
        <v>#NAME?</v>
      </c>
      <c r="B634" s="194" t="s">
        <v>208</v>
      </c>
      <c r="C634" s="170"/>
      <c r="D634" s="194" t="str">
        <f ca="1">IFERROR(__xludf.DUMMYFUNCTION("IF(J634="""",""n/a"",IFERROR(SPLIT(J634,""/"")))"),"Superb")</f>
        <v>Superb</v>
      </c>
      <c r="E634" s="194" t="str">
        <f ca="1">IFERROR(__xludf.DUMMYFUNCTION("""COMPUTED_VALUE"""),"rollx10pcs")</f>
        <v>rollx10pcs</v>
      </c>
      <c r="F634" s="194" t="str">
        <f ca="1">IFERROR(__xludf.DUMMYFUNCTION("""COMPUTED_VALUE"""),"XXL")</f>
        <v>XXL</v>
      </c>
      <c r="G634" s="170"/>
      <c r="H634" s="183" t="s">
        <v>1897</v>
      </c>
      <c r="I634" s="170"/>
      <c r="J634" s="96" t="s">
        <v>209</v>
      </c>
      <c r="K634" s="237"/>
      <c r="L634" s="254">
        <v>62.97</v>
      </c>
      <c r="M634" s="263">
        <v>28</v>
      </c>
      <c r="N634" s="280">
        <v>1</v>
      </c>
      <c r="O634" s="61" t="str">
        <f t="shared" ca="1" si="49"/>
        <v>rollx10pcs</v>
      </c>
      <c r="P634" s="240" t="s">
        <v>210</v>
      </c>
      <c r="Q634" s="12"/>
      <c r="R634" s="281" t="str">
        <f t="shared" si="61"/>
        <v>1roll</v>
      </c>
      <c r="S634" s="198">
        <f t="shared" si="50"/>
        <v>28</v>
      </c>
      <c r="T634" s="199" t="str">
        <f t="shared" si="51"/>
        <v>28roll</v>
      </c>
      <c r="U634" s="200">
        <f t="shared" si="52"/>
        <v>1763.1599999999999</v>
      </c>
      <c r="V634" s="205">
        <f t="shared" si="62"/>
        <v>62.969999999999992</v>
      </c>
      <c r="W634" s="62"/>
    </row>
    <row r="635" spans="1:23" x14ac:dyDescent="0.3">
      <c r="A635" s="193" t="e">
        <f ca="1"/>
        <v>#NAME?</v>
      </c>
      <c r="B635" s="214" t="s">
        <v>208</v>
      </c>
      <c r="C635" s="215"/>
      <c r="D635" s="194" t="str">
        <f ca="1">IFERROR(__xludf.DUMMYFUNCTION("IF(J635="""",""n/a"",IFERROR(SPLIT(J635,""/"")))"),"Superb")</f>
        <v>Superb</v>
      </c>
      <c r="E635" s="214" t="str">
        <f ca="1">IFERROR(__xludf.DUMMYFUNCTION("""COMPUTED_VALUE"""),"rollx10pcs")</f>
        <v>rollx10pcs</v>
      </c>
      <c r="F635" s="214" t="str">
        <f ca="1">IFERROR(__xludf.DUMMYFUNCTION("""COMPUTED_VALUE"""),"XXL")</f>
        <v>XXL</v>
      </c>
      <c r="G635" s="215"/>
      <c r="H635" s="183" t="s">
        <v>1895</v>
      </c>
      <c r="I635" s="170"/>
      <c r="J635" s="96" t="s">
        <v>209</v>
      </c>
      <c r="K635" s="237"/>
      <c r="L635" s="254">
        <v>65</v>
      </c>
      <c r="M635" s="100">
        <v>30</v>
      </c>
      <c r="N635" s="240">
        <v>1</v>
      </c>
      <c r="O635" s="61" t="str">
        <f t="shared" ca="1" si="49"/>
        <v>rollx10pcs</v>
      </c>
      <c r="P635" s="240" t="s">
        <v>210</v>
      </c>
      <c r="Q635" s="12"/>
      <c r="R635" s="12"/>
      <c r="S635" s="198">
        <f t="shared" si="50"/>
        <v>30</v>
      </c>
      <c r="T635" s="199" t="str">
        <f t="shared" si="51"/>
        <v>30roll</v>
      </c>
      <c r="U635" s="200">
        <f t="shared" si="52"/>
        <v>1950</v>
      </c>
      <c r="V635" s="12"/>
      <c r="W635" s="12"/>
    </row>
    <row r="636" spans="1:23" x14ac:dyDescent="0.3">
      <c r="A636" s="193" t="e">
        <f ca="1"/>
        <v>#NAME?</v>
      </c>
      <c r="B636" s="194" t="s">
        <v>820</v>
      </c>
      <c r="C636" s="170"/>
      <c r="D636" s="194" t="str">
        <f ca="1">IFERROR(__xludf.DUMMYFUNCTION("IF(J636="""",""n/a"",IFERROR(SPLIT(J636,""/"")))"),"n/a")</f>
        <v>n/a</v>
      </c>
      <c r="E636" s="170"/>
      <c r="F636" s="170"/>
      <c r="G636" s="170"/>
      <c r="H636" s="206" t="s">
        <v>1898</v>
      </c>
      <c r="I636" s="170"/>
      <c r="J636" s="239"/>
      <c r="K636" s="237"/>
      <c r="L636" s="255">
        <v>508.05</v>
      </c>
      <c r="M636" s="266">
        <v>1</v>
      </c>
      <c r="N636" s="282">
        <v>1</v>
      </c>
      <c r="O636" s="170">
        <f t="shared" si="49"/>
        <v>0</v>
      </c>
      <c r="P636" s="240" t="s">
        <v>210</v>
      </c>
      <c r="Q636" s="12"/>
      <c r="R636" s="12"/>
      <c r="S636" s="198">
        <f t="shared" si="50"/>
        <v>1</v>
      </c>
      <c r="T636" s="199" t="str">
        <f t="shared" si="51"/>
        <v>1roll</v>
      </c>
      <c r="U636" s="200">
        <f t="shared" si="52"/>
        <v>508.05</v>
      </c>
      <c r="V636" s="12"/>
      <c r="W636" s="12"/>
    </row>
    <row r="637" spans="1:23" x14ac:dyDescent="0.3">
      <c r="A637" s="193" t="e">
        <f ca="1"/>
        <v>#NAME?</v>
      </c>
      <c r="B637" s="194" t="s">
        <v>821</v>
      </c>
      <c r="C637" s="170"/>
      <c r="D637" s="194" t="str">
        <f ca="1">IFERROR(__xludf.DUMMYFUNCTION("IF(J637="""",""n/a"",IFERROR(SPLIT(J637,""/"")))"),"n/a")</f>
        <v>n/a</v>
      </c>
      <c r="E637" s="170"/>
      <c r="F637" s="170"/>
      <c r="G637" s="170"/>
      <c r="H637" s="206" t="s">
        <v>1898</v>
      </c>
      <c r="I637" s="170"/>
      <c r="J637" s="239"/>
      <c r="K637" s="237"/>
      <c r="L637" s="255">
        <v>629.70000000000005</v>
      </c>
      <c r="M637" s="266">
        <v>1</v>
      </c>
      <c r="N637" s="282">
        <v>1</v>
      </c>
      <c r="O637" s="170">
        <f t="shared" si="49"/>
        <v>0</v>
      </c>
      <c r="P637" s="240" t="s">
        <v>92</v>
      </c>
      <c r="Q637" s="12"/>
      <c r="R637" s="12"/>
      <c r="S637" s="198">
        <f t="shared" si="50"/>
        <v>1</v>
      </c>
      <c r="T637" s="199" t="str">
        <f t="shared" si="51"/>
        <v>1pieces</v>
      </c>
      <c r="U637" s="200">
        <f t="shared" si="52"/>
        <v>629.70000000000005</v>
      </c>
      <c r="V637" s="12"/>
      <c r="W637" s="12"/>
    </row>
    <row r="638" spans="1:23" x14ac:dyDescent="0.3">
      <c r="A638" s="193" t="e">
        <f ca="1"/>
        <v>#NAME?</v>
      </c>
      <c r="B638" s="194" t="s">
        <v>822</v>
      </c>
      <c r="C638" s="170"/>
      <c r="D638" s="194" t="str">
        <f ca="1">IFERROR(__xludf.DUMMYFUNCTION("IF(J638="""",""n/a"",IFERROR(SPLIT(J638,""/"")))"),"n/a")</f>
        <v>n/a</v>
      </c>
      <c r="E638" s="170"/>
      <c r="F638" s="170"/>
      <c r="G638" s="170"/>
      <c r="H638" s="206" t="s">
        <v>1898</v>
      </c>
      <c r="I638" s="170"/>
      <c r="J638" s="239"/>
      <c r="K638" s="237"/>
      <c r="L638" s="255">
        <v>668</v>
      </c>
      <c r="M638" s="266">
        <v>1</v>
      </c>
      <c r="N638" s="282">
        <v>1</v>
      </c>
      <c r="O638" s="170">
        <f t="shared" si="49"/>
        <v>0</v>
      </c>
      <c r="P638" s="240" t="s">
        <v>210</v>
      </c>
      <c r="Q638" s="12"/>
      <c r="R638" s="12"/>
      <c r="S638" s="198">
        <f t="shared" si="50"/>
        <v>1</v>
      </c>
      <c r="T638" s="199" t="str">
        <f t="shared" si="51"/>
        <v>1roll</v>
      </c>
      <c r="U638" s="200">
        <f t="shared" si="52"/>
        <v>668</v>
      </c>
      <c r="V638" s="12"/>
      <c r="W638" s="12"/>
    </row>
    <row r="639" spans="1:23" x14ac:dyDescent="0.3">
      <c r="A639" s="193" t="e">
        <f ca="1"/>
        <v>#NAME?</v>
      </c>
      <c r="B639" s="194" t="s">
        <v>823</v>
      </c>
      <c r="C639" s="170"/>
      <c r="D639" s="194" t="str">
        <f ca="1">IFERROR(__xludf.DUMMYFUNCTION("IF(J639="""",""n/a"",IFERROR(SPLIT(J639,""/"")))"),"n/a")</f>
        <v>n/a</v>
      </c>
      <c r="E639" s="170"/>
      <c r="F639" s="170"/>
      <c r="G639" s="170"/>
      <c r="H639" s="206" t="s">
        <v>1898</v>
      </c>
      <c r="I639" s="170"/>
      <c r="J639" s="239"/>
      <c r="K639" s="237"/>
      <c r="L639" s="255">
        <v>26.82</v>
      </c>
      <c r="M639" s="250">
        <v>50</v>
      </c>
      <c r="N639" s="282">
        <v>1</v>
      </c>
      <c r="O639" s="170">
        <f t="shared" si="49"/>
        <v>0</v>
      </c>
      <c r="P639" s="240" t="s">
        <v>92</v>
      </c>
      <c r="Q639" s="12"/>
      <c r="R639" s="12"/>
      <c r="S639" s="198">
        <f t="shared" si="50"/>
        <v>50</v>
      </c>
      <c r="T639" s="199" t="str">
        <f t="shared" si="51"/>
        <v>50pieces</v>
      </c>
      <c r="U639" s="200">
        <f t="shared" si="52"/>
        <v>1341</v>
      </c>
      <c r="V639" s="12"/>
      <c r="W639" s="12"/>
    </row>
    <row r="640" spans="1:23" x14ac:dyDescent="0.3">
      <c r="A640" s="193" t="e">
        <f ca="1"/>
        <v>#NAME?</v>
      </c>
      <c r="B640" s="194" t="s">
        <v>824</v>
      </c>
      <c r="C640" s="170"/>
      <c r="D640" s="194" t="str">
        <f ca="1">IFERROR(__xludf.DUMMYFUNCTION("IF(J640="""",""n/a"",IFERROR(SPLIT(J640,""/"")))"),"Maya")</f>
        <v>Maya</v>
      </c>
      <c r="E640" s="194" t="str">
        <f ca="1">IFERROR(__xludf.DUMMYFUNCTION("""COMPUTED_VALUE"""),"box")</f>
        <v>box</v>
      </c>
      <c r="F640" s="194" t="str">
        <f ca="1">IFERROR(__xludf.DUMMYFUNCTION("""COMPUTED_VALUE"""),"500grams")</f>
        <v>500grams</v>
      </c>
      <c r="G640" s="170"/>
      <c r="H640" s="183" t="s">
        <v>1897</v>
      </c>
      <c r="I640" s="170"/>
      <c r="J640" s="96" t="s">
        <v>74</v>
      </c>
      <c r="K640" s="237"/>
      <c r="L640" s="254">
        <v>0.1148</v>
      </c>
      <c r="M640" s="247">
        <v>7000</v>
      </c>
      <c r="N640" s="280">
        <v>500</v>
      </c>
      <c r="O640" s="61" t="str">
        <f t="shared" ca="1" si="49"/>
        <v>box</v>
      </c>
      <c r="P640" s="240" t="s">
        <v>39</v>
      </c>
      <c r="Q640" s="12"/>
      <c r="R640" s="281" t="str">
        <f t="shared" ref="R640:R641" si="63">CONCATENATE(N640,P640)</f>
        <v>500grams</v>
      </c>
      <c r="S640" s="198">
        <f t="shared" si="50"/>
        <v>3500000</v>
      </c>
      <c r="T640" s="199" t="str">
        <f t="shared" si="51"/>
        <v>3500000grams</v>
      </c>
      <c r="U640" s="200">
        <f t="shared" si="52"/>
        <v>803.6</v>
      </c>
      <c r="V640" s="205">
        <f t="shared" ref="V640:V641" si="64">U640/M640</f>
        <v>0.1148</v>
      </c>
      <c r="W640" s="62"/>
    </row>
    <row r="641" spans="1:23" x14ac:dyDescent="0.3">
      <c r="A641" s="193" t="e">
        <f ca="1"/>
        <v>#NAME?</v>
      </c>
      <c r="B641" s="194" t="s">
        <v>824</v>
      </c>
      <c r="C641" s="170"/>
      <c r="D641" s="194" t="str">
        <f ca="1">IFERROR(__xludf.DUMMYFUNCTION("IF(J641="""",""n/a"",IFERROR(SPLIT(J641,""/"")))"),"Century")</f>
        <v>Century</v>
      </c>
      <c r="E641" s="194" t="str">
        <f ca="1">IFERROR(__xludf.DUMMYFUNCTION("""COMPUTED_VALUE"""),"can420grams")</f>
        <v>can420grams</v>
      </c>
      <c r="F641" s="170"/>
      <c r="G641" s="170"/>
      <c r="H641" s="183" t="s">
        <v>1897</v>
      </c>
      <c r="I641" s="170"/>
      <c r="J641" s="96" t="s">
        <v>825</v>
      </c>
      <c r="K641" s="237"/>
      <c r="L641" s="254">
        <v>0.23023809523809524</v>
      </c>
      <c r="M641" s="263">
        <v>2520</v>
      </c>
      <c r="N641" s="280">
        <v>420</v>
      </c>
      <c r="O641" s="61" t="str">
        <f t="shared" ca="1" si="49"/>
        <v>can420grams</v>
      </c>
      <c r="P641" s="286" t="s">
        <v>39</v>
      </c>
      <c r="Q641" s="12"/>
      <c r="R641" s="281" t="str">
        <f t="shared" si="63"/>
        <v>420grams</v>
      </c>
      <c r="S641" s="198">
        <f t="shared" si="50"/>
        <v>1058400</v>
      </c>
      <c r="T641" s="199" t="str">
        <f t="shared" si="51"/>
        <v>1058400grams</v>
      </c>
      <c r="U641" s="200">
        <f t="shared" si="52"/>
        <v>580.20000000000005</v>
      </c>
      <c r="V641" s="205">
        <f t="shared" si="64"/>
        <v>0.23023809523809527</v>
      </c>
      <c r="W641" s="62"/>
    </row>
    <row r="642" spans="1:23" x14ac:dyDescent="0.3">
      <c r="A642" s="193" t="e">
        <f ca="1"/>
        <v>#NAME?</v>
      </c>
      <c r="B642" s="194" t="s">
        <v>826</v>
      </c>
      <c r="C642" s="170"/>
      <c r="D642" s="194" t="str">
        <f ca="1">IFERROR(__xludf.DUMMYFUNCTION("IF(J642="""",""n/a"",IFERROR(SPLIT(J642,""/"")))"),"n/a")</f>
        <v>n/a</v>
      </c>
      <c r="E642" s="170"/>
      <c r="F642" s="170"/>
      <c r="G642" s="170"/>
      <c r="H642" s="206" t="s">
        <v>1898</v>
      </c>
      <c r="I642" s="170"/>
      <c r="J642" s="239"/>
      <c r="K642" s="237"/>
      <c r="L642" s="255">
        <v>0.44</v>
      </c>
      <c r="M642" s="250">
        <v>2000</v>
      </c>
      <c r="N642" s="282">
        <v>1000</v>
      </c>
      <c r="O642" s="170">
        <f t="shared" si="49"/>
        <v>0</v>
      </c>
      <c r="P642" s="240" t="s">
        <v>39</v>
      </c>
      <c r="Q642" s="12"/>
      <c r="R642" s="12"/>
      <c r="S642" s="198">
        <f t="shared" si="50"/>
        <v>2000000</v>
      </c>
      <c r="T642" s="199" t="str">
        <f t="shared" si="51"/>
        <v>2000000grams</v>
      </c>
      <c r="U642" s="200">
        <f t="shared" si="52"/>
        <v>880</v>
      </c>
      <c r="V642" s="12"/>
      <c r="W642" s="12"/>
    </row>
    <row r="643" spans="1:23" x14ac:dyDescent="0.3">
      <c r="A643" s="193" t="e">
        <f ca="1"/>
        <v>#NAME?</v>
      </c>
      <c r="B643" s="194" t="s">
        <v>457</v>
      </c>
      <c r="C643" s="170"/>
      <c r="D643" s="194" t="str">
        <f ca="1">IFERROR(__xludf.DUMMYFUNCTION("IF(J643="""",""n/a"",IFERROR(SPLIT(J643,""/"")))"),"Fresh")</f>
        <v>Fresh</v>
      </c>
      <c r="E643" s="170"/>
      <c r="F643" s="170"/>
      <c r="G643" s="170"/>
      <c r="H643" s="183" t="s">
        <v>1897</v>
      </c>
      <c r="I643" s="170"/>
      <c r="J643" s="96" t="s">
        <v>216</v>
      </c>
      <c r="K643" s="237"/>
      <c r="L643" s="257">
        <v>55</v>
      </c>
      <c r="M643" s="247">
        <v>5</v>
      </c>
      <c r="N643" s="280">
        <v>1</v>
      </c>
      <c r="O643" s="170">
        <f t="shared" si="49"/>
        <v>0</v>
      </c>
      <c r="P643" s="240" t="s">
        <v>39</v>
      </c>
      <c r="Q643" s="12"/>
      <c r="R643" s="281" t="str">
        <f>CONCATENATE(N643,P643)</f>
        <v>1grams</v>
      </c>
      <c r="S643" s="198">
        <f t="shared" si="50"/>
        <v>5</v>
      </c>
      <c r="T643" s="199" t="str">
        <f t="shared" si="51"/>
        <v>5grams</v>
      </c>
      <c r="U643" s="200">
        <f t="shared" si="52"/>
        <v>275</v>
      </c>
      <c r="V643" s="12"/>
      <c r="W643" s="12"/>
    </row>
    <row r="644" spans="1:23" x14ac:dyDescent="0.3">
      <c r="A644" s="193" t="e">
        <f ca="1"/>
        <v>#NAME?</v>
      </c>
      <c r="B644" s="194" t="s">
        <v>457</v>
      </c>
      <c r="C644" s="170"/>
      <c r="D644" s="194" t="str">
        <f ca="1">IFERROR(__xludf.DUMMYFUNCTION("IF(J644="""",""n/a"",IFERROR(SPLIT(J644,""/"")))"),"Fresh")</f>
        <v>Fresh</v>
      </c>
      <c r="E644" s="170"/>
      <c r="F644" s="170"/>
      <c r="G644" s="170"/>
      <c r="H644" s="183" t="s">
        <v>1895</v>
      </c>
      <c r="I644" s="170"/>
      <c r="J644" s="96" t="s">
        <v>216</v>
      </c>
      <c r="K644" s="237"/>
      <c r="L644" s="254">
        <v>35</v>
      </c>
      <c r="M644" s="100">
        <v>2</v>
      </c>
      <c r="N644" s="240">
        <v>1</v>
      </c>
      <c r="O644" s="170">
        <f t="shared" si="49"/>
        <v>0</v>
      </c>
      <c r="P644" s="240" t="s">
        <v>39</v>
      </c>
      <c r="Q644" s="12"/>
      <c r="R644" s="12"/>
      <c r="S644" s="198">
        <f t="shared" si="50"/>
        <v>2</v>
      </c>
      <c r="T644" s="199" t="str">
        <f t="shared" si="51"/>
        <v>2grams</v>
      </c>
      <c r="U644" s="200">
        <f t="shared" si="52"/>
        <v>70</v>
      </c>
      <c r="V644" s="12"/>
      <c r="W644" s="12"/>
    </row>
    <row r="645" spans="1:23" x14ac:dyDescent="0.3">
      <c r="A645" s="193" t="e">
        <f ca="1"/>
        <v>#NAME?</v>
      </c>
      <c r="B645" s="194" t="s">
        <v>85</v>
      </c>
      <c r="C645" s="170"/>
      <c r="D645" s="194" t="str">
        <f ca="1">IFERROR(__xludf.DUMMYFUNCTION("IF(J645="""",""n/a"",IFERROR(SPLIT(J645,""/"")))"),"Orion")</f>
        <v>Orion</v>
      </c>
      <c r="E645" s="194" t="str">
        <f ca="1">IFERROR(__xludf.DUMMYFUNCTION("""COMPUTED_VALUE"""),"bottle")</f>
        <v>bottle</v>
      </c>
      <c r="F645" s="194" t="str">
        <f ca="1">IFERROR(__xludf.DUMMYFUNCTION("""COMPUTED_VALUE"""),"375ml")</f>
        <v>375ml</v>
      </c>
      <c r="G645" s="170"/>
      <c r="H645" s="183" t="s">
        <v>1895</v>
      </c>
      <c r="I645" s="170"/>
      <c r="J645" s="96" t="s">
        <v>86</v>
      </c>
      <c r="K645" s="237"/>
      <c r="L645" s="254">
        <v>50</v>
      </c>
      <c r="M645" s="100">
        <v>4</v>
      </c>
      <c r="N645" s="240">
        <v>375</v>
      </c>
      <c r="O645" s="61" t="str">
        <f t="shared" ca="1" si="49"/>
        <v>bottle</v>
      </c>
      <c r="P645" s="240" t="s">
        <v>32</v>
      </c>
      <c r="Q645" s="12"/>
      <c r="R645" s="12"/>
      <c r="S645" s="198">
        <f t="shared" si="50"/>
        <v>1500</v>
      </c>
      <c r="T645" s="199" t="str">
        <f t="shared" si="51"/>
        <v>1500ml</v>
      </c>
      <c r="U645" s="200">
        <f t="shared" si="52"/>
        <v>200</v>
      </c>
      <c r="V645" s="12"/>
      <c r="W645" s="12"/>
    </row>
    <row r="646" spans="1:23" x14ac:dyDescent="0.3">
      <c r="A646" s="193" t="e">
        <f ca="1"/>
        <v>#NAME?</v>
      </c>
      <c r="B646" s="194" t="s">
        <v>196</v>
      </c>
      <c r="C646" s="170"/>
      <c r="D646" s="194" t="str">
        <f ca="1">IFERROR(__xludf.DUMMYFUNCTION("IF(J646="""",""n/a"",IFERROR(SPLIT(J646,""/"")))"),"Argentina")</f>
        <v>Argentina</v>
      </c>
      <c r="E646" s="194" t="str">
        <f ca="1">IFERROR(__xludf.DUMMYFUNCTION("""COMPUTED_VALUE"""),"can")</f>
        <v>can</v>
      </c>
      <c r="F646" s="194" t="str">
        <f ca="1">IFERROR(__xludf.DUMMYFUNCTION("""COMPUTED_VALUE"""),"260grams")</f>
        <v>260grams</v>
      </c>
      <c r="G646" s="170"/>
      <c r="H646" s="183" t="s">
        <v>1897</v>
      </c>
      <c r="I646" s="170"/>
      <c r="J646" s="96" t="s">
        <v>172</v>
      </c>
      <c r="K646" s="237"/>
      <c r="L646" s="254">
        <v>0.19153846153846152</v>
      </c>
      <c r="M646" s="263">
        <v>2860</v>
      </c>
      <c r="N646" s="280">
        <v>260</v>
      </c>
      <c r="O646" s="61" t="str">
        <f t="shared" ca="1" si="49"/>
        <v>can</v>
      </c>
      <c r="P646" s="286" t="s">
        <v>519</v>
      </c>
      <c r="Q646" s="12"/>
      <c r="R646" s="281" t="str">
        <f>CONCATENATE(N646,P646)</f>
        <v>260drained weight grams</v>
      </c>
      <c r="S646" s="198">
        <f t="shared" si="50"/>
        <v>743600</v>
      </c>
      <c r="T646" s="199" t="str">
        <f t="shared" si="51"/>
        <v>743600drained weight grams</v>
      </c>
      <c r="U646" s="200">
        <f t="shared" si="52"/>
        <v>547.79999999999995</v>
      </c>
      <c r="V646" s="205">
        <f>U646/M646</f>
        <v>0.19153846153846152</v>
      </c>
      <c r="W646" s="62"/>
    </row>
    <row r="647" spans="1:23" x14ac:dyDescent="0.3">
      <c r="A647" s="193" t="e">
        <f ca="1"/>
        <v>#NAME?</v>
      </c>
      <c r="B647" s="214" t="s">
        <v>196</v>
      </c>
      <c r="C647" s="215"/>
      <c r="D647" s="194" t="str">
        <f ca="1">IFERROR(__xludf.DUMMYFUNCTION("IF(J647="""",""n/a"",IFERROR(SPLIT(J647,""/"")))"),"Argentina")</f>
        <v>Argentina</v>
      </c>
      <c r="E647" s="214" t="str">
        <f ca="1">IFERROR(__xludf.DUMMYFUNCTION("""COMPUTED_VALUE"""),"can")</f>
        <v>can</v>
      </c>
      <c r="F647" s="214" t="str">
        <f ca="1">IFERROR(__xludf.DUMMYFUNCTION("""COMPUTED_VALUE"""),"260grams")</f>
        <v>260grams</v>
      </c>
      <c r="G647" s="214" t="str">
        <f ca="1">IFERROR(__xludf.DUMMYFUNCTION("""COMPUTED_VALUE"""),"155drained weight")</f>
        <v>155drained weight</v>
      </c>
      <c r="H647" s="183" t="s">
        <v>1895</v>
      </c>
      <c r="I647" s="170"/>
      <c r="J647" s="96" t="s">
        <v>197</v>
      </c>
      <c r="K647" s="237"/>
      <c r="L647" s="254">
        <v>49.92</v>
      </c>
      <c r="M647" s="100">
        <v>19</v>
      </c>
      <c r="N647" s="240">
        <v>1</v>
      </c>
      <c r="O647" s="61" t="str">
        <f t="shared" ca="1" si="49"/>
        <v>can</v>
      </c>
      <c r="P647" s="240" t="s">
        <v>519</v>
      </c>
      <c r="Q647" s="12"/>
      <c r="R647" s="12"/>
      <c r="S647" s="198">
        <f t="shared" si="50"/>
        <v>19</v>
      </c>
      <c r="T647" s="199" t="str">
        <f t="shared" si="51"/>
        <v>19drained weight grams</v>
      </c>
      <c r="U647" s="200">
        <f t="shared" si="52"/>
        <v>948.48</v>
      </c>
      <c r="V647" s="12"/>
      <c r="W647" s="12"/>
    </row>
    <row r="648" spans="1:23" x14ac:dyDescent="0.3">
      <c r="A648" s="193" t="e">
        <f ca="1"/>
        <v>#NAME?</v>
      </c>
      <c r="B648" s="194" t="s">
        <v>291</v>
      </c>
      <c r="C648" s="170"/>
      <c r="D648" s="194" t="str">
        <f ca="1">IFERROR(__xludf.DUMMYFUNCTION("IF(J648="""",""n/a"",IFERROR(SPLIT(J648,""/"")))"),"Ticman")</f>
        <v>Ticman</v>
      </c>
      <c r="E648" s="194" t="str">
        <f ca="1">IFERROR(__xludf.DUMMYFUNCTION("""COMPUTED_VALUE"""),"gallon")</f>
        <v>gallon</v>
      </c>
      <c r="F648" s="194" t="str">
        <f ca="1">IFERROR(__xludf.DUMMYFUNCTION("""COMPUTED_VALUE"""),"3500ml")</f>
        <v>3500ml</v>
      </c>
      <c r="G648" s="170"/>
      <c r="H648" s="183" t="s">
        <v>1897</v>
      </c>
      <c r="I648" s="170"/>
      <c r="J648" s="96" t="s">
        <v>239</v>
      </c>
      <c r="K648" s="237"/>
      <c r="L648" s="271">
        <v>70</v>
      </c>
      <c r="M648" s="247">
        <v>15</v>
      </c>
      <c r="N648" s="280">
        <v>1</v>
      </c>
      <c r="O648" s="61" t="str">
        <f t="shared" ca="1" si="49"/>
        <v>gallon</v>
      </c>
      <c r="P648" s="240" t="s">
        <v>32</v>
      </c>
      <c r="Q648" s="12"/>
      <c r="R648" s="281" t="str">
        <f>CONCATENATE(N648,P648)</f>
        <v>1ml</v>
      </c>
      <c r="S648" s="198">
        <f t="shared" si="50"/>
        <v>15</v>
      </c>
      <c r="T648" s="199" t="str">
        <f t="shared" si="51"/>
        <v>15ml</v>
      </c>
      <c r="U648" s="200">
        <f t="shared" si="52"/>
        <v>1050</v>
      </c>
      <c r="V648" s="62"/>
      <c r="W648" s="12"/>
    </row>
    <row r="649" spans="1:23" x14ac:dyDescent="0.3">
      <c r="A649" s="193" t="e">
        <f ca="1"/>
        <v>#NAME?</v>
      </c>
      <c r="B649" s="194" t="s">
        <v>291</v>
      </c>
      <c r="C649" s="170"/>
      <c r="D649" s="194" t="str">
        <f ca="1">IFERROR(__xludf.DUMMYFUNCTION("IF(J649="""",""n/a"",IFERROR(SPLIT(J649,""/"")))"),"Ticman")</f>
        <v>Ticman</v>
      </c>
      <c r="E649" s="194" t="str">
        <f ca="1">IFERROR(__xludf.DUMMYFUNCTION("""COMPUTED_VALUE"""),"gallon")</f>
        <v>gallon</v>
      </c>
      <c r="F649" s="194" t="str">
        <f ca="1">IFERROR(__xludf.DUMMYFUNCTION("""COMPUTED_VALUE"""),"3500ml")</f>
        <v>3500ml</v>
      </c>
      <c r="G649" s="170"/>
      <c r="H649" s="183" t="s">
        <v>1895</v>
      </c>
      <c r="I649" s="170"/>
      <c r="J649" s="96" t="s">
        <v>239</v>
      </c>
      <c r="K649" s="237"/>
      <c r="L649" s="254">
        <v>70</v>
      </c>
      <c r="M649" s="100">
        <v>30</v>
      </c>
      <c r="N649" s="240">
        <v>1</v>
      </c>
      <c r="O649" s="61" t="str">
        <f t="shared" ca="1" si="49"/>
        <v>gallon</v>
      </c>
      <c r="P649" s="240" t="s">
        <v>200</v>
      </c>
      <c r="Q649" s="12"/>
      <c r="R649" s="12"/>
      <c r="S649" s="198">
        <f t="shared" si="50"/>
        <v>30</v>
      </c>
      <c r="T649" s="199" t="str">
        <f t="shared" si="51"/>
        <v>30gal</v>
      </c>
      <c r="U649" s="200">
        <f t="shared" si="52"/>
        <v>2100</v>
      </c>
      <c r="V649" s="12"/>
      <c r="W649" s="12"/>
    </row>
    <row r="650" spans="1:23" x14ac:dyDescent="0.3">
      <c r="A650" s="193" t="e">
        <f ca="1"/>
        <v>#NAME?</v>
      </c>
      <c r="B650" s="194" t="s">
        <v>291</v>
      </c>
      <c r="C650" s="170"/>
      <c r="D650" s="194" t="str">
        <f ca="1">IFERROR(__xludf.DUMMYFUNCTION("IF(J650="""",""n/a"",IFERROR(SPLIT(J650,""/"")))"),"n/a")</f>
        <v>n/a</v>
      </c>
      <c r="E650" s="170"/>
      <c r="F650" s="170"/>
      <c r="G650" s="170"/>
      <c r="H650" s="206" t="s">
        <v>1898</v>
      </c>
      <c r="I650" s="170"/>
      <c r="J650" s="239"/>
      <c r="K650" s="237"/>
      <c r="L650" s="255">
        <v>70</v>
      </c>
      <c r="M650" s="250">
        <v>5</v>
      </c>
      <c r="N650" s="282">
        <v>1</v>
      </c>
      <c r="O650" s="170">
        <f t="shared" si="49"/>
        <v>0</v>
      </c>
      <c r="P650" s="240" t="s">
        <v>200</v>
      </c>
      <c r="Q650" s="12"/>
      <c r="R650" s="12"/>
      <c r="S650" s="198">
        <f t="shared" si="50"/>
        <v>5</v>
      </c>
      <c r="T650" s="199" t="str">
        <f t="shared" si="51"/>
        <v>5gal</v>
      </c>
      <c r="U650" s="200">
        <f t="shared" si="52"/>
        <v>350</v>
      </c>
      <c r="V650" s="12"/>
      <c r="W650" s="12"/>
    </row>
    <row r="651" spans="1:23" x14ac:dyDescent="0.3">
      <c r="A651" s="193" t="e">
        <f ca="1"/>
        <v>#NAME?</v>
      </c>
      <c r="B651" s="194" t="s">
        <v>291</v>
      </c>
      <c r="C651" s="170"/>
      <c r="D651" s="194" t="str">
        <f ca="1">IFERROR(__xludf.DUMMYFUNCTION("IF(J651="""",""n/a"",IFERROR(SPLIT(J651,""/"")))"),"n/a")</f>
        <v>n/a</v>
      </c>
      <c r="E651" s="170"/>
      <c r="F651" s="170"/>
      <c r="G651" s="170"/>
      <c r="H651" s="206" t="s">
        <v>1898</v>
      </c>
      <c r="I651" s="170"/>
      <c r="J651" s="239"/>
      <c r="K651" s="237"/>
      <c r="L651" s="255">
        <v>0.19111111111111112</v>
      </c>
      <c r="M651" s="250">
        <v>1000</v>
      </c>
      <c r="N651" s="282">
        <v>1800</v>
      </c>
      <c r="O651" s="170">
        <f t="shared" si="49"/>
        <v>0</v>
      </c>
      <c r="P651" s="240" t="s">
        <v>39</v>
      </c>
      <c r="Q651" s="12"/>
      <c r="R651" s="12"/>
      <c r="S651" s="198">
        <f t="shared" si="50"/>
        <v>1800000</v>
      </c>
      <c r="T651" s="199" t="str">
        <f t="shared" si="51"/>
        <v>1800000grams</v>
      </c>
      <c r="U651" s="200">
        <f t="shared" si="52"/>
        <v>191.11111111111111</v>
      </c>
      <c r="V651" s="12"/>
      <c r="W651" s="12"/>
    </row>
    <row r="652" spans="1:23" x14ac:dyDescent="0.3">
      <c r="A652" s="193" t="e">
        <f ca="1"/>
        <v>#NAME?</v>
      </c>
      <c r="B652" s="194" t="s">
        <v>446</v>
      </c>
      <c r="C652" s="170"/>
      <c r="D652" s="194" t="str">
        <f ca="1">IFERROR(__xludf.DUMMYFUNCTION("IF(J652="""",""n/a"",IFERROR(SPLIT(J652,""/"")))"),"Rebisco (10pcsxgrams)")</f>
        <v>Rebisco (10pcsxgrams)</v>
      </c>
      <c r="E652" s="170"/>
      <c r="F652" s="170"/>
      <c r="G652" s="170"/>
      <c r="H652" s="183" t="s">
        <v>1895</v>
      </c>
      <c r="I652" s="170"/>
      <c r="J652" s="96" t="s">
        <v>447</v>
      </c>
      <c r="K652" s="237"/>
      <c r="L652" s="254">
        <v>7.03</v>
      </c>
      <c r="M652" s="100">
        <v>240</v>
      </c>
      <c r="N652" s="240">
        <v>1</v>
      </c>
      <c r="O652" s="170">
        <f t="shared" si="49"/>
        <v>0</v>
      </c>
      <c r="P652" s="240" t="s">
        <v>92</v>
      </c>
      <c r="Q652" s="12"/>
      <c r="R652" s="12"/>
      <c r="S652" s="198">
        <f t="shared" si="50"/>
        <v>240</v>
      </c>
      <c r="T652" s="199" t="str">
        <f t="shared" si="51"/>
        <v>240pieces</v>
      </c>
      <c r="U652" s="200">
        <f t="shared" si="52"/>
        <v>1687.2</v>
      </c>
      <c r="V652" s="12"/>
      <c r="W652" s="12"/>
    </row>
    <row r="653" spans="1:23" x14ac:dyDescent="0.3">
      <c r="A653" s="193" t="e">
        <f ca="1"/>
        <v>#NAME?</v>
      </c>
      <c r="B653" s="194" t="s">
        <v>317</v>
      </c>
      <c r="C653" s="170"/>
      <c r="D653" s="194" t="str">
        <f ca="1">IFERROR(__xludf.DUMMYFUNCTION("IF(J653="""",""n/a"",IFERROR(SPLIT(J653,""/"")))"),"n/a")</f>
        <v>n/a</v>
      </c>
      <c r="E653" s="170"/>
      <c r="F653" s="170"/>
      <c r="G653" s="170"/>
      <c r="H653" s="183" t="s">
        <v>1897</v>
      </c>
      <c r="I653" s="170"/>
      <c r="J653" s="239"/>
      <c r="K653" s="237"/>
      <c r="L653" s="271">
        <v>0.72</v>
      </c>
      <c r="M653" s="247">
        <v>1000</v>
      </c>
      <c r="N653" s="280">
        <v>1000</v>
      </c>
      <c r="O653" s="170">
        <f t="shared" si="49"/>
        <v>0</v>
      </c>
      <c r="P653" s="240" t="s">
        <v>39</v>
      </c>
      <c r="Q653" s="12"/>
      <c r="R653" s="281" t="str">
        <f t="shared" ref="R653:R654" si="65">CONCATENATE(N653,P653)</f>
        <v>1000grams</v>
      </c>
      <c r="S653" s="198">
        <f t="shared" si="50"/>
        <v>1000000</v>
      </c>
      <c r="T653" s="199" t="str">
        <f t="shared" si="51"/>
        <v>1000000grams</v>
      </c>
      <c r="U653" s="200">
        <f t="shared" si="52"/>
        <v>720</v>
      </c>
      <c r="V653" s="12"/>
      <c r="W653" s="12"/>
    </row>
    <row r="654" spans="1:23" x14ac:dyDescent="0.3">
      <c r="A654" s="193" t="e">
        <f ca="1"/>
        <v>#NAME?</v>
      </c>
      <c r="B654" s="194" t="s">
        <v>317</v>
      </c>
      <c r="C654" s="170"/>
      <c r="D654" s="194" t="str">
        <f ca="1">IFERROR(__xludf.DUMMYFUNCTION("IF(J654="""",""n/a"",IFERROR(SPLIT(J654,""/"")))"),"n/a")</f>
        <v>n/a</v>
      </c>
      <c r="E654" s="170"/>
      <c r="F654" s="170"/>
      <c r="G654" s="170"/>
      <c r="H654" s="183" t="s">
        <v>1897</v>
      </c>
      <c r="I654" s="170"/>
      <c r="J654" s="239"/>
      <c r="K654" s="237"/>
      <c r="L654" s="271">
        <v>1.88</v>
      </c>
      <c r="M654" s="265">
        <v>200</v>
      </c>
      <c r="N654" s="280">
        <v>100</v>
      </c>
      <c r="O654" s="170">
        <f t="shared" si="49"/>
        <v>0</v>
      </c>
      <c r="P654" s="240" t="s">
        <v>39</v>
      </c>
      <c r="Q654" s="12"/>
      <c r="R654" s="281" t="str">
        <f t="shared" si="65"/>
        <v>100grams</v>
      </c>
      <c r="S654" s="198">
        <f t="shared" si="50"/>
        <v>20000</v>
      </c>
      <c r="T654" s="199" t="str">
        <f t="shared" si="51"/>
        <v>20000grams</v>
      </c>
      <c r="U654" s="200">
        <f t="shared" si="52"/>
        <v>376</v>
      </c>
      <c r="V654" s="12"/>
      <c r="W654" s="12"/>
    </row>
    <row r="655" spans="1:23" x14ac:dyDescent="0.3">
      <c r="A655" s="193" t="e">
        <f ca="1"/>
        <v>#NAME?</v>
      </c>
      <c r="B655" s="194" t="s">
        <v>317</v>
      </c>
      <c r="C655" s="170"/>
      <c r="D655" s="194" t="str">
        <f ca="1">IFERROR(__xludf.DUMMYFUNCTION("IF(J655="""",""n/a"",IFERROR(SPLIT(J655,""/"")))"),"grams")</f>
        <v>grams</v>
      </c>
      <c r="E655" s="170"/>
      <c r="F655" s="170"/>
      <c r="G655" s="170"/>
      <c r="H655" s="183" t="s">
        <v>1895</v>
      </c>
      <c r="I655" s="170"/>
      <c r="J655" s="96" t="s">
        <v>39</v>
      </c>
      <c r="K655" s="237"/>
      <c r="L655" s="254">
        <v>188</v>
      </c>
      <c r="M655" s="100">
        <v>2</v>
      </c>
      <c r="N655" s="240">
        <v>1</v>
      </c>
      <c r="O655" s="170">
        <f t="shared" si="49"/>
        <v>0</v>
      </c>
      <c r="P655" s="240" t="s">
        <v>39</v>
      </c>
      <c r="Q655" s="12"/>
      <c r="R655" s="12"/>
      <c r="S655" s="198">
        <f t="shared" si="50"/>
        <v>2</v>
      </c>
      <c r="T655" s="199" t="str">
        <f t="shared" si="51"/>
        <v>2grams</v>
      </c>
      <c r="U655" s="200">
        <f t="shared" si="52"/>
        <v>376</v>
      </c>
      <c r="V655" s="12"/>
      <c r="W655" s="12"/>
    </row>
    <row r="656" spans="1:23" x14ac:dyDescent="0.3">
      <c r="A656" s="193" t="e">
        <f ca="1"/>
        <v>#NAME?</v>
      </c>
      <c r="B656" s="194" t="s">
        <v>317</v>
      </c>
      <c r="C656" s="170"/>
      <c r="D656" s="194" t="str">
        <f ca="1">IFERROR(__xludf.DUMMYFUNCTION("IF(J656="""",""n/a"",IFERROR(SPLIT(J656,""/"")))"),"n/a")</f>
        <v>n/a</v>
      </c>
      <c r="E656" s="170"/>
      <c r="F656" s="170"/>
      <c r="G656" s="170"/>
      <c r="H656" s="206" t="s">
        <v>1898</v>
      </c>
      <c r="I656" s="170"/>
      <c r="J656" s="239"/>
      <c r="K656" s="237"/>
      <c r="L656" s="255">
        <v>1</v>
      </c>
      <c r="M656" s="250">
        <v>300</v>
      </c>
      <c r="N656" s="282">
        <v>100</v>
      </c>
      <c r="O656" s="170">
        <f t="shared" si="49"/>
        <v>0</v>
      </c>
      <c r="P656" s="240" t="s">
        <v>39</v>
      </c>
      <c r="Q656" s="12"/>
      <c r="R656" s="12"/>
      <c r="S656" s="198">
        <f t="shared" si="50"/>
        <v>30000</v>
      </c>
      <c r="T656" s="199" t="str">
        <f t="shared" si="51"/>
        <v>30000grams</v>
      </c>
      <c r="U656" s="200">
        <f t="shared" si="52"/>
        <v>300</v>
      </c>
      <c r="V656" s="12"/>
      <c r="W656" s="12"/>
    </row>
    <row r="657" spans="1:23" x14ac:dyDescent="0.3">
      <c r="A657" s="193" t="e">
        <f ca="1"/>
        <v>#NAME?</v>
      </c>
      <c r="B657" s="194" t="s">
        <v>827</v>
      </c>
      <c r="C657" s="170"/>
      <c r="D657" s="194" t="str">
        <f ca="1">IFERROR(__xludf.DUMMYFUNCTION("IF(J657="""",""n/a"",IFERROR(SPLIT(J657,""/"")))"),"Amparos")</f>
        <v>Amparos</v>
      </c>
      <c r="E657" s="194" t="str">
        <f ca="1">IFERROR(__xludf.DUMMYFUNCTION("""COMPUTED_VALUE"""),"pack")</f>
        <v>pack</v>
      </c>
      <c r="F657" s="194" t="str">
        <f ca="1">IFERROR(__xludf.DUMMYFUNCTION("""COMPUTED_VALUE"""),"500grams")</f>
        <v>500grams</v>
      </c>
      <c r="G657" s="170"/>
      <c r="H657" s="183" t="s">
        <v>1897</v>
      </c>
      <c r="I657" s="170"/>
      <c r="J657" s="96" t="s">
        <v>828</v>
      </c>
      <c r="K657" s="237"/>
      <c r="L657" s="271">
        <v>0.22500000000000001</v>
      </c>
      <c r="M657" s="247">
        <v>400</v>
      </c>
      <c r="N657" s="280">
        <v>200</v>
      </c>
      <c r="O657" s="61" t="str">
        <f t="shared" ca="1" si="49"/>
        <v>pack</v>
      </c>
      <c r="P657" s="240" t="s">
        <v>39</v>
      </c>
      <c r="Q657" s="12"/>
      <c r="R657" s="281" t="str">
        <f>CONCATENATE(N657,P657)</f>
        <v>200grams</v>
      </c>
      <c r="S657" s="198">
        <f t="shared" si="50"/>
        <v>80000</v>
      </c>
      <c r="T657" s="199" t="str">
        <f t="shared" si="51"/>
        <v>80000grams</v>
      </c>
      <c r="U657" s="200">
        <f t="shared" si="52"/>
        <v>90</v>
      </c>
      <c r="V657" s="62"/>
      <c r="W657" s="12"/>
    </row>
    <row r="658" spans="1:23" x14ac:dyDescent="0.3">
      <c r="A658" s="193" t="e">
        <f ca="1"/>
        <v>#NAME?</v>
      </c>
      <c r="B658" s="194" t="s">
        <v>829</v>
      </c>
      <c r="C658" s="170"/>
      <c r="D658" s="194" t="str">
        <f ca="1">IFERROR(__xludf.DUMMYFUNCTION("IF(J658="""",""n/a"",IFERROR(SPLIT(J658,""/"")))"),"n/a")</f>
        <v>n/a</v>
      </c>
      <c r="E658" s="170"/>
      <c r="F658" s="170"/>
      <c r="G658" s="170"/>
      <c r="H658" s="206" t="s">
        <v>1898</v>
      </c>
      <c r="I658" s="170"/>
      <c r="J658" s="239"/>
      <c r="K658" s="237"/>
      <c r="L658" s="255">
        <v>0.1608</v>
      </c>
      <c r="M658" s="266">
        <v>4000</v>
      </c>
      <c r="N658" s="282">
        <v>250</v>
      </c>
      <c r="O658" s="170">
        <f t="shared" si="49"/>
        <v>0</v>
      </c>
      <c r="P658" s="287" t="s">
        <v>39</v>
      </c>
      <c r="Q658" s="12"/>
      <c r="R658" s="12"/>
      <c r="S658" s="198">
        <f t="shared" si="50"/>
        <v>1000000</v>
      </c>
      <c r="T658" s="199" t="str">
        <f t="shared" si="51"/>
        <v>1000000grams</v>
      </c>
      <c r="U658" s="200">
        <f t="shared" si="52"/>
        <v>643.20000000000005</v>
      </c>
      <c r="V658" s="12"/>
      <c r="W658" s="12"/>
    </row>
    <row r="659" spans="1:23" x14ac:dyDescent="0.3">
      <c r="A659" s="193" t="e">
        <f ca="1"/>
        <v>#NAME?</v>
      </c>
      <c r="B659" s="194" t="s">
        <v>448</v>
      </c>
      <c r="C659" s="170"/>
      <c r="D659" s="194" t="str">
        <f ca="1">IFERROR(__xludf.DUMMYFUNCTION("IF(J659="""",""n/a"",IFERROR(SPLIT(J659,""/"")))"),"Suncrest Food")</f>
        <v>Suncrest Food</v>
      </c>
      <c r="E659" s="194" t="str">
        <f ca="1">IFERROR(__xludf.DUMMYFUNCTION("""COMPUTED_VALUE"""),"pack(10pcsx32grams)")</f>
        <v>pack(10pcsx32grams)</v>
      </c>
      <c r="F659" s="170"/>
      <c r="G659" s="170"/>
      <c r="H659" s="183" t="s">
        <v>1895</v>
      </c>
      <c r="I659" s="170"/>
      <c r="J659" s="96" t="s">
        <v>449</v>
      </c>
      <c r="K659" s="237"/>
      <c r="L659" s="254">
        <v>8.89</v>
      </c>
      <c r="M659" s="100">
        <v>150</v>
      </c>
      <c r="N659" s="240">
        <v>1</v>
      </c>
      <c r="O659" s="61" t="str">
        <f t="shared" ca="1" si="49"/>
        <v>pack(10pcsx32grams)</v>
      </c>
      <c r="P659" s="240" t="s">
        <v>92</v>
      </c>
      <c r="Q659" s="12"/>
      <c r="R659" s="12"/>
      <c r="S659" s="198">
        <f t="shared" si="50"/>
        <v>150</v>
      </c>
      <c r="T659" s="199" t="str">
        <f t="shared" si="51"/>
        <v>150pieces</v>
      </c>
      <c r="U659" s="200">
        <f t="shared" si="52"/>
        <v>1333.5</v>
      </c>
      <c r="V659" s="12"/>
      <c r="W659" s="12"/>
    </row>
    <row r="660" spans="1:23" x14ac:dyDescent="0.3">
      <c r="A660" s="193" t="e">
        <f ca="1"/>
        <v>#NAME?</v>
      </c>
      <c r="B660" s="194" t="s">
        <v>830</v>
      </c>
      <c r="C660" s="170"/>
      <c r="D660" s="194" t="str">
        <f ca="1">IFERROR(__xludf.DUMMYFUNCTION("IF(J660="""",""n/a"",IFERROR(SPLIT(J660,""/"")))"),"Versa")</f>
        <v>Versa</v>
      </c>
      <c r="E660" s="194" t="str">
        <f ca="1">IFERROR(__xludf.DUMMYFUNCTION("""COMPUTED_VALUE"""),"pack by 25s'")</f>
        <v>pack by 25s'</v>
      </c>
      <c r="F660" s="170"/>
      <c r="G660" s="170"/>
      <c r="H660" s="183" t="s">
        <v>1897</v>
      </c>
      <c r="I660" s="170"/>
      <c r="J660" s="96" t="s">
        <v>831</v>
      </c>
      <c r="K660" s="237"/>
      <c r="L660" s="271">
        <v>22</v>
      </c>
      <c r="M660" s="247">
        <v>1</v>
      </c>
      <c r="N660" s="280">
        <v>1</v>
      </c>
      <c r="O660" s="61" t="str">
        <f t="shared" ca="1" si="49"/>
        <v>pack by 25s'</v>
      </c>
      <c r="P660" s="240" t="s">
        <v>304</v>
      </c>
      <c r="Q660" s="12"/>
      <c r="R660" s="281" t="str">
        <f t="shared" ref="R660:R662" si="66">CONCATENATE(N660,P660)</f>
        <v>1packs</v>
      </c>
      <c r="S660" s="198">
        <f t="shared" si="50"/>
        <v>1</v>
      </c>
      <c r="T660" s="199" t="str">
        <f t="shared" si="51"/>
        <v>1packs</v>
      </c>
      <c r="U660" s="200">
        <f t="shared" si="52"/>
        <v>22</v>
      </c>
      <c r="V660" s="12"/>
      <c r="W660" s="12"/>
    </row>
    <row r="661" spans="1:23" x14ac:dyDescent="0.3">
      <c r="A661" s="193" t="e">
        <f ca="1"/>
        <v>#NAME?</v>
      </c>
      <c r="B661" s="194" t="s">
        <v>832</v>
      </c>
      <c r="C661" s="170"/>
      <c r="D661" s="194" t="str">
        <f ca="1">IFERROR(__xludf.DUMMYFUNCTION("IF(J661="""",""n/a"",IFERROR(SPLIT(J661,""/"")))"),"Versa")</f>
        <v>Versa</v>
      </c>
      <c r="E661" s="194" t="str">
        <f ca="1">IFERROR(__xludf.DUMMYFUNCTION("""COMPUTED_VALUE"""),"pack by 25s'")</f>
        <v>pack by 25s'</v>
      </c>
      <c r="F661" s="170"/>
      <c r="G661" s="170"/>
      <c r="H661" s="183" t="s">
        <v>1897</v>
      </c>
      <c r="I661" s="170"/>
      <c r="J661" s="96" t="s">
        <v>831</v>
      </c>
      <c r="K661" s="237"/>
      <c r="L661" s="254">
        <v>22</v>
      </c>
      <c r="M661" s="247">
        <v>1</v>
      </c>
      <c r="N661" s="280">
        <v>1</v>
      </c>
      <c r="O661" s="61" t="str">
        <f t="shared" ca="1" si="49"/>
        <v>pack by 25s'</v>
      </c>
      <c r="P661" s="240" t="s">
        <v>304</v>
      </c>
      <c r="Q661" s="12"/>
      <c r="R661" s="281" t="str">
        <f t="shared" si="66"/>
        <v>1packs</v>
      </c>
      <c r="S661" s="198">
        <f t="shared" si="50"/>
        <v>1</v>
      </c>
      <c r="T661" s="199" t="str">
        <f t="shared" si="51"/>
        <v>1packs</v>
      </c>
      <c r="U661" s="200">
        <f t="shared" si="52"/>
        <v>22</v>
      </c>
      <c r="V661" s="12"/>
      <c r="W661" s="12"/>
    </row>
    <row r="662" spans="1:23" x14ac:dyDescent="0.3">
      <c r="A662" s="193" t="e">
        <f ca="1"/>
        <v>#NAME?</v>
      </c>
      <c r="B662" s="194" t="s">
        <v>833</v>
      </c>
      <c r="C662" s="170"/>
      <c r="D662" s="194" t="str">
        <f ca="1">IFERROR(__xludf.DUMMYFUNCTION("IF(J662="""",""n/a"",IFERROR(SPLIT(J662,""/"")))"),"Lea &amp; Perrins")</f>
        <v>Lea &amp; Perrins</v>
      </c>
      <c r="E662" s="194" t="str">
        <f ca="1">IFERROR(__xludf.DUMMYFUNCTION("""COMPUTED_VALUE"""),"bottle")</f>
        <v>bottle</v>
      </c>
      <c r="F662" s="194">
        <f ca="1">IFERROR(__xludf.DUMMYFUNCTION("""COMPUTED_VALUE"""),270)</f>
        <v>270</v>
      </c>
      <c r="G662" s="170"/>
      <c r="H662" s="183" t="s">
        <v>1897</v>
      </c>
      <c r="I662" s="170"/>
      <c r="J662" s="96" t="s">
        <v>834</v>
      </c>
      <c r="K662" s="237"/>
      <c r="L662" s="271">
        <v>0.91814814814814816</v>
      </c>
      <c r="M662" s="247">
        <v>270</v>
      </c>
      <c r="N662" s="280">
        <v>270</v>
      </c>
      <c r="O662" s="61" t="str">
        <f t="shared" ca="1" si="49"/>
        <v>bottle</v>
      </c>
      <c r="P662" s="240" t="s">
        <v>39</v>
      </c>
      <c r="Q662" s="12"/>
      <c r="R662" s="281" t="str">
        <f t="shared" si="66"/>
        <v>270grams</v>
      </c>
      <c r="S662" s="198">
        <f t="shared" si="50"/>
        <v>72900</v>
      </c>
      <c r="T662" s="199" t="str">
        <f t="shared" si="51"/>
        <v>72900grams</v>
      </c>
      <c r="U662" s="200">
        <f t="shared" si="52"/>
        <v>247.9</v>
      </c>
      <c r="V662" s="62"/>
      <c r="W662" s="12"/>
    </row>
    <row r="663" spans="1:23" x14ac:dyDescent="0.3">
      <c r="A663" s="193" t="e">
        <f ca="1"/>
        <v>#NAME?</v>
      </c>
      <c r="B663" s="194" t="s">
        <v>835</v>
      </c>
      <c r="C663" s="170"/>
      <c r="D663" s="194" t="str">
        <f ca="1">IFERROR(__xludf.DUMMYFUNCTION("IF(J663="""",""n/a"",IFERROR(SPLIT(J663,""/"")))"),"n/a")</f>
        <v>n/a</v>
      </c>
      <c r="E663" s="170"/>
      <c r="F663" s="170"/>
      <c r="G663" s="170"/>
      <c r="H663" s="206" t="s">
        <v>1898</v>
      </c>
      <c r="I663" s="170"/>
      <c r="J663" s="239"/>
      <c r="K663" s="237"/>
      <c r="L663" s="255">
        <v>3.82</v>
      </c>
      <c r="M663" s="266">
        <v>108</v>
      </c>
      <c r="N663" s="282">
        <v>100</v>
      </c>
      <c r="O663" s="170">
        <f t="shared" si="49"/>
        <v>0</v>
      </c>
      <c r="P663" s="238" t="s">
        <v>92</v>
      </c>
      <c r="Q663" s="12"/>
      <c r="R663" s="12"/>
      <c r="S663" s="198">
        <f t="shared" si="50"/>
        <v>10800</v>
      </c>
      <c r="T663" s="199" t="str">
        <f t="shared" si="51"/>
        <v>10800pieces</v>
      </c>
      <c r="U663" s="200">
        <f t="shared" si="52"/>
        <v>412.56</v>
      </c>
      <c r="V663" s="12"/>
      <c r="W663" s="12"/>
    </row>
    <row r="664" spans="1:23" x14ac:dyDescent="0.3">
      <c r="A664" s="193" t="e">
        <f ca="1"/>
        <v>#NAME?</v>
      </c>
      <c r="B664" s="194" t="s">
        <v>836</v>
      </c>
      <c r="C664" s="170"/>
      <c r="D664" s="194" t="str">
        <f ca="1">IFERROR(__xludf.DUMMYFUNCTION("IF(J664="""",""n/a"",IFERROR(SPLIT(J664,""/"")))"),"n/a")</f>
        <v>n/a</v>
      </c>
      <c r="E664" s="170"/>
      <c r="F664" s="170"/>
      <c r="G664" s="170"/>
      <c r="H664" s="206" t="s">
        <v>1898</v>
      </c>
      <c r="I664" s="170"/>
      <c r="J664" s="239"/>
      <c r="K664" s="237"/>
      <c r="L664" s="255">
        <v>0.26899999999999996</v>
      </c>
      <c r="M664" s="266">
        <v>200</v>
      </c>
      <c r="N664" s="282">
        <v>200</v>
      </c>
      <c r="O664" s="170">
        <f t="shared" si="49"/>
        <v>0</v>
      </c>
      <c r="P664" s="287" t="s">
        <v>39</v>
      </c>
      <c r="Q664" s="12"/>
      <c r="R664" s="12"/>
      <c r="S664" s="198">
        <f t="shared" si="50"/>
        <v>40000</v>
      </c>
      <c r="T664" s="199" t="str">
        <f t="shared" si="51"/>
        <v>40000grams</v>
      </c>
      <c r="U664" s="200">
        <f t="shared" si="52"/>
        <v>53.79999999999999</v>
      </c>
      <c r="V664" s="12"/>
      <c r="W664" s="12"/>
    </row>
    <row r="665" spans="1:23" x14ac:dyDescent="0.3">
      <c r="A665" s="193" t="e">
        <f ca="1"/>
        <v>#NAME?</v>
      </c>
      <c r="B665" s="214" t="s">
        <v>837</v>
      </c>
      <c r="C665" s="215"/>
      <c r="D665" s="194" t="str">
        <f ca="1">IFERROR(__xludf.DUMMYFUNCTION("IF(J665="""",""n/a"",IFERROR(SPLIT(J665,""/"")))"),"n/a")</f>
        <v>n/a</v>
      </c>
      <c r="E665" s="215"/>
      <c r="F665" s="215"/>
      <c r="G665" s="215"/>
      <c r="H665" s="206" t="s">
        <v>1898</v>
      </c>
      <c r="I665" s="170"/>
      <c r="J665" s="239"/>
      <c r="K665" s="237"/>
      <c r="L665" s="255">
        <v>8.86</v>
      </c>
      <c r="M665" s="266">
        <v>10</v>
      </c>
      <c r="N665" s="283">
        <v>10</v>
      </c>
      <c r="O665" s="170">
        <f t="shared" si="49"/>
        <v>0</v>
      </c>
      <c r="P665" s="238" t="s">
        <v>92</v>
      </c>
      <c r="Q665" s="12"/>
      <c r="R665" s="12"/>
      <c r="S665" s="198">
        <f t="shared" si="50"/>
        <v>100</v>
      </c>
      <c r="T665" s="199" t="str">
        <f t="shared" si="51"/>
        <v>100pieces</v>
      </c>
      <c r="U665" s="200">
        <f t="shared" si="52"/>
        <v>88.6</v>
      </c>
      <c r="V665" s="12"/>
      <c r="W665" s="12"/>
    </row>
    <row r="666" spans="1:23" x14ac:dyDescent="0.3">
      <c r="A666" s="193" t="e">
        <f ca="1"/>
        <v>#NAME?</v>
      </c>
      <c r="B666" s="214" t="s">
        <v>838</v>
      </c>
      <c r="C666" s="215"/>
      <c r="D666" s="194" t="str">
        <f ca="1">IFERROR(__xludf.DUMMYFUNCTION("IF(J666="""",""n/a"",IFERROR(SPLIT(J666,""/"")))"),"n/a")</f>
        <v>n/a</v>
      </c>
      <c r="E666" s="215"/>
      <c r="F666" s="215"/>
      <c r="G666" s="215"/>
      <c r="H666" s="206" t="s">
        <v>1898</v>
      </c>
      <c r="I666" s="170"/>
      <c r="J666" s="239"/>
      <c r="K666" s="237"/>
      <c r="L666" s="255">
        <v>8.86</v>
      </c>
      <c r="M666" s="266">
        <v>29</v>
      </c>
      <c r="N666" s="283">
        <v>10</v>
      </c>
      <c r="O666" s="170">
        <f t="shared" si="49"/>
        <v>0</v>
      </c>
      <c r="P666" s="238" t="s">
        <v>92</v>
      </c>
      <c r="Q666" s="12"/>
      <c r="R666" s="12"/>
      <c r="S666" s="198">
        <f t="shared" si="50"/>
        <v>290</v>
      </c>
      <c r="T666" s="199" t="str">
        <f t="shared" si="51"/>
        <v>290pieces</v>
      </c>
      <c r="U666" s="200">
        <f t="shared" si="52"/>
        <v>256.94</v>
      </c>
      <c r="V666" s="12"/>
      <c r="W666" s="12"/>
    </row>
    <row r="667" spans="1:23" x14ac:dyDescent="0.3">
      <c r="A667" s="193" t="e">
        <f ca="1"/>
        <v>#NAME?</v>
      </c>
      <c r="B667" s="214" t="s">
        <v>839</v>
      </c>
      <c r="C667" s="215"/>
      <c r="D667" s="194" t="str">
        <f ca="1">IFERROR(__xludf.DUMMYFUNCTION("IF(J667="""",""n/a"",IFERROR(SPLIT(J667,""/"")))"),"n/a")</f>
        <v>n/a</v>
      </c>
      <c r="E667" s="215"/>
      <c r="F667" s="215"/>
      <c r="G667" s="215"/>
      <c r="H667" s="206" t="s">
        <v>1898</v>
      </c>
      <c r="I667" s="170"/>
      <c r="J667" s="239"/>
      <c r="K667" s="237"/>
      <c r="L667" s="255">
        <v>8.86</v>
      </c>
      <c r="M667" s="266">
        <v>20</v>
      </c>
      <c r="N667" s="283">
        <v>10</v>
      </c>
      <c r="O667" s="170">
        <f t="shared" si="49"/>
        <v>0</v>
      </c>
      <c r="P667" s="238" t="s">
        <v>92</v>
      </c>
      <c r="Q667" s="12"/>
      <c r="R667" s="12"/>
      <c r="S667" s="198">
        <f t="shared" si="50"/>
        <v>200</v>
      </c>
      <c r="T667" s="199" t="str">
        <f t="shared" si="51"/>
        <v>200pieces</v>
      </c>
      <c r="U667" s="200">
        <f t="shared" si="52"/>
        <v>177.2</v>
      </c>
      <c r="V667" s="12"/>
      <c r="W667"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3167"/>
  <sheetViews>
    <sheetView workbookViewId="0"/>
  </sheetViews>
  <sheetFormatPr defaultColWidth="14.44140625" defaultRowHeight="15" customHeight="1" x14ac:dyDescent="0.3"/>
  <cols>
    <col min="10" max="10" width="37.109375" customWidth="1"/>
  </cols>
  <sheetData>
    <row r="1" spans="1:23" x14ac:dyDescent="0.3">
      <c r="A1" s="163" t="s">
        <v>0</v>
      </c>
      <c r="B1" s="12"/>
      <c r="C1" s="12"/>
      <c r="D1" s="12"/>
      <c r="E1" s="12"/>
      <c r="F1" s="12"/>
      <c r="G1" s="12"/>
      <c r="H1" s="12"/>
      <c r="I1" s="12"/>
      <c r="J1" s="12"/>
      <c r="K1" s="12"/>
      <c r="L1" s="62"/>
      <c r="M1" s="12"/>
      <c r="N1" s="12"/>
      <c r="O1" s="12"/>
      <c r="P1" s="12"/>
      <c r="Q1" s="12"/>
      <c r="R1" s="12"/>
      <c r="S1" s="164"/>
      <c r="T1" s="62"/>
      <c r="U1" s="62"/>
      <c r="V1" s="12"/>
      <c r="W1" s="12"/>
    </row>
    <row r="2" spans="1:23" x14ac:dyDescent="0.3">
      <c r="A2" s="12"/>
      <c r="B2" s="12"/>
      <c r="C2" s="12"/>
      <c r="D2" s="12"/>
      <c r="E2" s="12"/>
      <c r="F2" s="12"/>
      <c r="G2" s="12"/>
      <c r="H2" s="12"/>
      <c r="I2" s="12"/>
      <c r="J2" s="12"/>
      <c r="K2" s="12"/>
      <c r="L2" s="62"/>
      <c r="M2" s="12"/>
      <c r="N2" s="12"/>
      <c r="O2" s="12"/>
      <c r="P2" s="12"/>
      <c r="Q2" s="12"/>
      <c r="R2" s="12"/>
      <c r="S2" s="165" t="s">
        <v>1</v>
      </c>
      <c r="T2" s="62"/>
      <c r="U2" s="62"/>
      <c r="V2" s="12"/>
      <c r="W2" s="12"/>
    </row>
    <row r="3" spans="1:23" x14ac:dyDescent="0.3">
      <c r="A3" s="166" t="s">
        <v>2</v>
      </c>
      <c r="B3" s="12"/>
      <c r="C3" s="12"/>
      <c r="D3" s="12"/>
      <c r="E3" s="12"/>
      <c r="F3" s="12"/>
      <c r="G3" s="12"/>
      <c r="H3" s="12"/>
      <c r="I3" s="12"/>
      <c r="J3" s="12"/>
      <c r="K3" s="12"/>
      <c r="L3" s="12"/>
      <c r="M3" s="12"/>
      <c r="N3" s="12"/>
      <c r="O3" s="12"/>
      <c r="P3" s="12"/>
      <c r="Q3" s="12"/>
      <c r="R3" s="12"/>
      <c r="S3" s="12"/>
      <c r="T3" s="62"/>
      <c r="U3" s="12"/>
      <c r="V3" s="167" t="s">
        <v>3</v>
      </c>
      <c r="W3" s="12"/>
    </row>
    <row r="4" spans="1:23" x14ac:dyDescent="0.3">
      <c r="A4" s="166" t="s">
        <v>4</v>
      </c>
      <c r="B4" s="12"/>
      <c r="C4" s="12"/>
      <c r="D4" s="12"/>
      <c r="E4" s="12"/>
      <c r="F4" s="12"/>
      <c r="G4" s="12"/>
      <c r="H4" s="12"/>
      <c r="I4" s="12"/>
      <c r="J4" s="12"/>
      <c r="K4" s="12"/>
      <c r="L4" s="12"/>
      <c r="M4" s="12"/>
      <c r="N4" s="12"/>
      <c r="O4" s="12"/>
      <c r="P4" s="12"/>
      <c r="Q4" s="12"/>
      <c r="R4" s="12"/>
      <c r="S4" s="12"/>
      <c r="T4" s="62"/>
      <c r="U4" s="12"/>
      <c r="V4" s="12"/>
      <c r="W4" s="12"/>
    </row>
    <row r="5" spans="1:23" x14ac:dyDescent="0.3">
      <c r="A5" s="168" t="s">
        <v>5</v>
      </c>
      <c r="B5" s="12"/>
      <c r="C5" s="12"/>
      <c r="D5" s="12"/>
      <c r="E5" s="12"/>
      <c r="F5" s="12"/>
      <c r="G5" s="12"/>
      <c r="H5" s="12"/>
      <c r="I5" s="12"/>
      <c r="J5" s="12"/>
      <c r="K5" s="12"/>
      <c r="L5" s="12"/>
      <c r="M5" s="12"/>
      <c r="N5" s="12"/>
      <c r="O5" s="12"/>
      <c r="P5" s="12"/>
      <c r="Q5" s="12"/>
      <c r="R5" s="12"/>
      <c r="S5" s="12"/>
      <c r="T5" s="62"/>
      <c r="U5" s="12"/>
      <c r="V5" s="12"/>
      <c r="W5" s="12"/>
    </row>
    <row r="6" spans="1:23" x14ac:dyDescent="0.3">
      <c r="A6" s="169" t="s">
        <v>6</v>
      </c>
      <c r="B6" s="169" t="s">
        <v>7</v>
      </c>
      <c r="C6" s="170"/>
      <c r="D6" s="170"/>
      <c r="E6" s="170"/>
      <c r="F6" s="170"/>
      <c r="G6" s="170"/>
      <c r="H6" s="169" t="s">
        <v>8</v>
      </c>
      <c r="I6" s="170"/>
      <c r="J6" s="170"/>
      <c r="K6" s="169" t="s">
        <v>9</v>
      </c>
      <c r="L6" s="171" t="s">
        <v>10</v>
      </c>
      <c r="M6" s="169" t="s">
        <v>11</v>
      </c>
      <c r="N6" s="172" t="s">
        <v>12</v>
      </c>
      <c r="O6" s="173"/>
      <c r="P6" s="172" t="s">
        <v>13</v>
      </c>
      <c r="Q6" s="173"/>
      <c r="R6" s="174" t="s">
        <v>14</v>
      </c>
      <c r="S6" s="175" t="s">
        <v>15</v>
      </c>
      <c r="T6" s="176" t="s">
        <v>15</v>
      </c>
      <c r="U6" s="177" t="s">
        <v>16</v>
      </c>
      <c r="V6" s="12"/>
      <c r="W6" s="12"/>
    </row>
    <row r="7" spans="1:23" x14ac:dyDescent="0.3">
      <c r="A7" s="170"/>
      <c r="B7" s="170"/>
      <c r="C7" s="170"/>
      <c r="D7" s="170"/>
      <c r="E7" s="170"/>
      <c r="F7" s="170"/>
      <c r="G7" s="170"/>
      <c r="H7" s="169" t="s">
        <v>17</v>
      </c>
      <c r="I7" s="169" t="s">
        <v>18</v>
      </c>
      <c r="J7" s="178" t="s">
        <v>19</v>
      </c>
      <c r="K7" s="170"/>
      <c r="L7" s="179"/>
      <c r="M7" s="170"/>
      <c r="N7" s="180"/>
      <c r="O7" s="180"/>
      <c r="P7" s="180"/>
      <c r="Q7" s="180"/>
      <c r="R7" s="170"/>
      <c r="S7" s="181"/>
      <c r="T7" s="179"/>
      <c r="U7" s="182">
        <f>SUM(U9:U3167)</f>
        <v>1527203.7100000011</v>
      </c>
      <c r="V7" s="12"/>
      <c r="W7" s="12"/>
    </row>
    <row r="8" spans="1:23" x14ac:dyDescent="0.3">
      <c r="A8" s="183"/>
      <c r="B8" s="184" t="s">
        <v>1885</v>
      </c>
      <c r="C8" s="184" t="s">
        <v>1886</v>
      </c>
      <c r="D8" s="184" t="s">
        <v>1887</v>
      </c>
      <c r="E8" s="184" t="s">
        <v>1888</v>
      </c>
      <c r="F8" s="184" t="s">
        <v>1889</v>
      </c>
      <c r="G8" s="170"/>
      <c r="H8" s="184" t="s">
        <v>1890</v>
      </c>
      <c r="I8" s="170"/>
      <c r="J8" s="185" t="s">
        <v>1891</v>
      </c>
      <c r="K8" s="186" t="s">
        <v>24</v>
      </c>
      <c r="L8" s="187" t="s">
        <v>10</v>
      </c>
      <c r="M8" s="184" t="s">
        <v>1892</v>
      </c>
      <c r="N8" s="188" t="s">
        <v>1893</v>
      </c>
      <c r="O8" s="189" t="s">
        <v>1894</v>
      </c>
      <c r="P8" s="190" t="s">
        <v>13</v>
      </c>
      <c r="Q8" s="191"/>
      <c r="R8" s="192" t="s">
        <v>25</v>
      </c>
      <c r="S8" s="181"/>
      <c r="T8" s="179"/>
      <c r="U8" s="179" t="s">
        <v>20</v>
      </c>
      <c r="V8" s="193" t="s">
        <v>26</v>
      </c>
      <c r="W8" s="12"/>
    </row>
    <row r="9" spans="1:23" x14ac:dyDescent="0.3">
      <c r="A9" s="183" t="e">
        <f t="array" aca="1" ref="A9:A3167" ca="1">(IF(B9:B3167&lt;&gt;"", MATCH(B9:B3167, _xludf.UNIQUE(B9:B3167), 0), ""))</f>
        <v>#NAME?</v>
      </c>
      <c r="B9" s="46" t="s">
        <v>840</v>
      </c>
      <c r="C9" s="170"/>
      <c r="D9" s="194"/>
      <c r="E9" s="194"/>
      <c r="F9" s="194"/>
      <c r="G9" s="170"/>
      <c r="H9" s="183"/>
      <c r="I9" s="170"/>
      <c r="J9" s="46" t="s">
        <v>841</v>
      </c>
      <c r="K9" s="170"/>
      <c r="L9" s="288">
        <v>8.5</v>
      </c>
      <c r="M9" s="289">
        <v>113</v>
      </c>
      <c r="N9" s="290">
        <v>20</v>
      </c>
      <c r="O9" s="46"/>
      <c r="P9" s="46" t="s">
        <v>39</v>
      </c>
      <c r="Q9" s="170"/>
      <c r="R9" s="192" t="str">
        <f t="shared" ref="R9:R263" si="0">CONCATENATE(N9,P9)</f>
        <v>20grams</v>
      </c>
      <c r="S9" s="198">
        <f t="shared" ref="S9:S263" si="1">M9*N9</f>
        <v>2260</v>
      </c>
      <c r="T9" s="199" t="str">
        <f t="shared" ref="T9:T263" si="2">CONCATENATE(S9,Q9,P9)</f>
        <v>2260grams</v>
      </c>
      <c r="U9" s="200">
        <f t="shared" ref="U9:U263" si="3">L9*M9</f>
        <v>960.5</v>
      </c>
      <c r="V9" s="12"/>
      <c r="W9" s="201" t="e">
        <f t="array" aca="1" ref="W9:W23" ca="1">_xludf.UNIQUE(P9:P667)</f>
        <v>#NAME?</v>
      </c>
    </row>
    <row r="10" spans="1:23" x14ac:dyDescent="0.3">
      <c r="A10" s="183" t="e">
        <f ca="1"/>
        <v>#NAME?</v>
      </c>
      <c r="B10" s="46" t="s">
        <v>840</v>
      </c>
      <c r="C10" s="170"/>
      <c r="D10" s="194"/>
      <c r="E10" s="194"/>
      <c r="F10" s="194"/>
      <c r="G10" s="170"/>
      <c r="H10" s="183"/>
      <c r="I10" s="170"/>
      <c r="J10" s="46" t="s">
        <v>841</v>
      </c>
      <c r="K10" s="170"/>
      <c r="L10" s="291">
        <v>8.5299999999999994</v>
      </c>
      <c r="M10" s="292">
        <v>16</v>
      </c>
      <c r="N10" s="293">
        <v>30</v>
      </c>
      <c r="O10" s="219"/>
      <c r="P10" s="219" t="s">
        <v>39</v>
      </c>
      <c r="Q10" s="170"/>
      <c r="R10" s="192" t="str">
        <f t="shared" si="0"/>
        <v>30grams</v>
      </c>
      <c r="S10" s="198">
        <f t="shared" si="1"/>
        <v>480</v>
      </c>
      <c r="T10" s="199" t="str">
        <f t="shared" si="2"/>
        <v>480grams</v>
      </c>
      <c r="U10" s="200">
        <f t="shared" si="3"/>
        <v>136.47999999999999</v>
      </c>
      <c r="V10" s="12"/>
      <c r="W10" s="12" t="e">
        <f ca="1"/>
        <v>#NAME?</v>
      </c>
    </row>
    <row r="11" spans="1:23" x14ac:dyDescent="0.3">
      <c r="A11" s="183" t="e">
        <f ca="1"/>
        <v>#NAME?</v>
      </c>
      <c r="B11" s="46" t="s">
        <v>840</v>
      </c>
      <c r="C11" s="170"/>
      <c r="D11" s="194"/>
      <c r="E11" s="170"/>
      <c r="F11" s="170"/>
      <c r="G11" s="170"/>
      <c r="H11" s="183"/>
      <c r="I11" s="170"/>
      <c r="J11" s="46" t="s">
        <v>841</v>
      </c>
      <c r="K11" s="170"/>
      <c r="L11" s="288">
        <v>8.5</v>
      </c>
      <c r="M11" s="289">
        <v>92</v>
      </c>
      <c r="N11" s="290">
        <v>20</v>
      </c>
      <c r="O11" s="46"/>
      <c r="P11" s="46" t="s">
        <v>39</v>
      </c>
      <c r="Q11" s="170"/>
      <c r="R11" s="192" t="str">
        <f t="shared" si="0"/>
        <v>20grams</v>
      </c>
      <c r="S11" s="198">
        <f t="shared" si="1"/>
        <v>1840</v>
      </c>
      <c r="T11" s="199" t="str">
        <f t="shared" si="2"/>
        <v>1840grams</v>
      </c>
      <c r="U11" s="200">
        <f t="shared" si="3"/>
        <v>782</v>
      </c>
      <c r="V11" s="12"/>
      <c r="W11" s="12" t="e">
        <f ca="1"/>
        <v>#NAME?</v>
      </c>
    </row>
    <row r="12" spans="1:23" x14ac:dyDescent="0.3">
      <c r="A12" s="183" t="e">
        <f ca="1"/>
        <v>#NAME?</v>
      </c>
      <c r="B12" s="46" t="s">
        <v>840</v>
      </c>
      <c r="C12" s="170"/>
      <c r="D12" s="194"/>
      <c r="E12" s="170"/>
      <c r="F12" s="170"/>
      <c r="G12" s="170"/>
      <c r="H12" s="183"/>
      <c r="I12" s="170"/>
      <c r="J12" s="46" t="s">
        <v>842</v>
      </c>
      <c r="K12" s="170"/>
      <c r="L12" s="288">
        <v>8.5</v>
      </c>
      <c r="M12" s="289">
        <v>21</v>
      </c>
      <c r="N12" s="290">
        <v>20</v>
      </c>
      <c r="O12" s="46"/>
      <c r="P12" s="46" t="s">
        <v>39</v>
      </c>
      <c r="Q12" s="170"/>
      <c r="R12" s="192" t="str">
        <f t="shared" si="0"/>
        <v>20grams</v>
      </c>
      <c r="S12" s="198">
        <f t="shared" si="1"/>
        <v>420</v>
      </c>
      <c r="T12" s="199" t="str">
        <f t="shared" si="2"/>
        <v>420grams</v>
      </c>
      <c r="U12" s="200">
        <f t="shared" si="3"/>
        <v>178.5</v>
      </c>
      <c r="V12" s="12"/>
      <c r="W12" s="12" t="e">
        <f ca="1"/>
        <v>#NAME?</v>
      </c>
    </row>
    <row r="13" spans="1:23" x14ac:dyDescent="0.3">
      <c r="A13" s="183" t="e">
        <f ca="1"/>
        <v>#NAME?</v>
      </c>
      <c r="B13" s="46" t="s">
        <v>840</v>
      </c>
      <c r="C13" s="170"/>
      <c r="D13" s="194"/>
      <c r="E13" s="194"/>
      <c r="F13" s="194"/>
      <c r="G13" s="170"/>
      <c r="H13" s="183"/>
      <c r="I13" s="170"/>
      <c r="J13" s="46" t="s">
        <v>842</v>
      </c>
      <c r="K13" s="170"/>
      <c r="L13" s="288">
        <v>7.7</v>
      </c>
      <c r="M13" s="289">
        <v>15</v>
      </c>
      <c r="N13" s="290">
        <v>26</v>
      </c>
      <c r="O13" s="46"/>
      <c r="P13" s="46" t="s">
        <v>39</v>
      </c>
      <c r="Q13" s="170"/>
      <c r="R13" s="192" t="str">
        <f t="shared" si="0"/>
        <v>26grams</v>
      </c>
      <c r="S13" s="198">
        <f t="shared" si="1"/>
        <v>390</v>
      </c>
      <c r="T13" s="199" t="str">
        <f t="shared" si="2"/>
        <v>390grams</v>
      </c>
      <c r="U13" s="200">
        <f t="shared" si="3"/>
        <v>115.5</v>
      </c>
      <c r="V13" s="205">
        <f>U13/M13</f>
        <v>7.7</v>
      </c>
      <c r="W13" s="62" t="e">
        <f ca="1"/>
        <v>#NAME?</v>
      </c>
    </row>
    <row r="14" spans="1:23" x14ac:dyDescent="0.3">
      <c r="A14" s="183" t="e">
        <f ca="1"/>
        <v>#NAME?</v>
      </c>
      <c r="B14" s="46" t="s">
        <v>840</v>
      </c>
      <c r="C14" s="170"/>
      <c r="D14" s="194"/>
      <c r="E14" s="194"/>
      <c r="F14" s="194"/>
      <c r="G14" s="170"/>
      <c r="H14" s="183"/>
      <c r="I14" s="170"/>
      <c r="J14" s="46" t="s">
        <v>841</v>
      </c>
      <c r="K14" s="170"/>
      <c r="L14" s="288">
        <v>7.7</v>
      </c>
      <c r="M14" s="289">
        <v>18</v>
      </c>
      <c r="N14" s="290">
        <v>30</v>
      </c>
      <c r="O14" s="46"/>
      <c r="P14" s="46" t="s">
        <v>39</v>
      </c>
      <c r="Q14" s="170"/>
      <c r="R14" s="192" t="str">
        <f t="shared" si="0"/>
        <v>30grams</v>
      </c>
      <c r="S14" s="198">
        <f t="shared" si="1"/>
        <v>540</v>
      </c>
      <c r="T14" s="199" t="str">
        <f t="shared" si="2"/>
        <v>540grams</v>
      </c>
      <c r="U14" s="200">
        <f t="shared" si="3"/>
        <v>138.6</v>
      </c>
      <c r="V14" s="12"/>
      <c r="W14" s="12" t="e">
        <f ca="1"/>
        <v>#NAME?</v>
      </c>
    </row>
    <row r="15" spans="1:23" x14ac:dyDescent="0.3">
      <c r="A15" s="183" t="e">
        <f ca="1"/>
        <v>#NAME?</v>
      </c>
      <c r="B15" s="46" t="s">
        <v>840</v>
      </c>
      <c r="C15" s="170"/>
      <c r="D15" s="194"/>
      <c r="E15" s="170"/>
      <c r="F15" s="170"/>
      <c r="G15" s="170"/>
      <c r="H15" s="206"/>
      <c r="I15" s="170"/>
      <c r="J15" s="46" t="s">
        <v>841</v>
      </c>
      <c r="K15" s="170"/>
      <c r="L15" s="288">
        <v>7.7</v>
      </c>
      <c r="M15" s="289">
        <v>10</v>
      </c>
      <c r="N15" s="290">
        <v>30</v>
      </c>
      <c r="O15" s="46"/>
      <c r="P15" s="46" t="s">
        <v>39</v>
      </c>
      <c r="Q15" s="170"/>
      <c r="R15" s="192" t="str">
        <f t="shared" si="0"/>
        <v>30grams</v>
      </c>
      <c r="S15" s="198">
        <f t="shared" si="1"/>
        <v>300</v>
      </c>
      <c r="T15" s="199" t="str">
        <f t="shared" si="2"/>
        <v>300grams</v>
      </c>
      <c r="U15" s="200">
        <f t="shared" si="3"/>
        <v>77</v>
      </c>
      <c r="V15" s="12"/>
      <c r="W15" s="12" t="e">
        <f ca="1"/>
        <v>#NAME?</v>
      </c>
    </row>
    <row r="16" spans="1:23" x14ac:dyDescent="0.3">
      <c r="A16" s="183" t="e">
        <f ca="1"/>
        <v>#NAME?</v>
      </c>
      <c r="B16" s="46" t="s">
        <v>840</v>
      </c>
      <c r="C16" s="194"/>
      <c r="D16" s="194"/>
      <c r="E16" s="194"/>
      <c r="F16" s="194"/>
      <c r="G16" s="170"/>
      <c r="H16" s="183"/>
      <c r="I16" s="170"/>
      <c r="J16" s="46" t="s">
        <v>842</v>
      </c>
      <c r="K16" s="170"/>
      <c r="L16" s="291">
        <v>7.74</v>
      </c>
      <c r="M16" s="292">
        <v>8</v>
      </c>
      <c r="N16" s="293">
        <v>28</v>
      </c>
      <c r="O16" s="219"/>
      <c r="P16" s="219" t="s">
        <v>39</v>
      </c>
      <c r="Q16" s="61" t="s">
        <v>33</v>
      </c>
      <c r="R16" s="192" t="str">
        <f t="shared" si="0"/>
        <v>28grams</v>
      </c>
      <c r="S16" s="198">
        <f t="shared" si="1"/>
        <v>224</v>
      </c>
      <c r="T16" s="199" t="str">
        <f t="shared" si="2"/>
        <v>224 grams</v>
      </c>
      <c r="U16" s="200">
        <f t="shared" si="3"/>
        <v>61.92</v>
      </c>
      <c r="V16" s="205">
        <f>U16/M16</f>
        <v>7.74</v>
      </c>
      <c r="W16" s="62" t="e">
        <f ca="1"/>
        <v>#NAME?</v>
      </c>
    </row>
    <row r="17" spans="1:23" x14ac:dyDescent="0.3">
      <c r="A17" s="183" t="e">
        <f ca="1"/>
        <v>#NAME?</v>
      </c>
      <c r="B17" s="46" t="s">
        <v>840</v>
      </c>
      <c r="C17" s="170"/>
      <c r="D17" s="194"/>
      <c r="E17" s="194"/>
      <c r="F17" s="194"/>
      <c r="G17" s="170"/>
      <c r="H17" s="183"/>
      <c r="I17" s="170"/>
      <c r="J17" s="219" t="s">
        <v>843</v>
      </c>
      <c r="K17" s="170"/>
      <c r="L17" s="291">
        <v>8.6999999999999993</v>
      </c>
      <c r="M17" s="292">
        <v>5</v>
      </c>
      <c r="N17" s="293">
        <v>25</v>
      </c>
      <c r="O17" s="219"/>
      <c r="P17" s="219" t="s">
        <v>39</v>
      </c>
      <c r="Q17" s="170"/>
      <c r="R17" s="192" t="str">
        <f t="shared" si="0"/>
        <v>25grams</v>
      </c>
      <c r="S17" s="198">
        <f t="shared" si="1"/>
        <v>125</v>
      </c>
      <c r="T17" s="199" t="str">
        <f t="shared" si="2"/>
        <v>125grams</v>
      </c>
      <c r="U17" s="200">
        <f t="shared" si="3"/>
        <v>43.5</v>
      </c>
      <c r="V17" s="12"/>
      <c r="W17" s="12" t="e">
        <f ca="1"/>
        <v>#NAME?</v>
      </c>
    </row>
    <row r="18" spans="1:23" x14ac:dyDescent="0.3">
      <c r="A18" s="183" t="e">
        <f ca="1"/>
        <v>#NAME?</v>
      </c>
      <c r="B18" s="46" t="s">
        <v>840</v>
      </c>
      <c r="C18" s="170"/>
      <c r="D18" s="194"/>
      <c r="E18" s="194"/>
      <c r="F18" s="194"/>
      <c r="G18" s="170"/>
      <c r="H18" s="183"/>
      <c r="I18" s="170"/>
      <c r="J18" s="46" t="s">
        <v>843</v>
      </c>
      <c r="K18" s="170"/>
      <c r="L18" s="288">
        <v>7.7</v>
      </c>
      <c r="M18" s="289">
        <v>2</v>
      </c>
      <c r="N18" s="290">
        <v>30</v>
      </c>
      <c r="O18" s="46"/>
      <c r="P18" s="46" t="s">
        <v>39</v>
      </c>
      <c r="Q18" s="170"/>
      <c r="R18" s="192" t="str">
        <f t="shared" si="0"/>
        <v>30grams</v>
      </c>
      <c r="S18" s="198">
        <f t="shared" si="1"/>
        <v>60</v>
      </c>
      <c r="T18" s="199" t="str">
        <f t="shared" si="2"/>
        <v>60grams</v>
      </c>
      <c r="U18" s="200">
        <f t="shared" si="3"/>
        <v>15.4</v>
      </c>
      <c r="V18" s="12"/>
      <c r="W18" s="12" t="e">
        <f ca="1"/>
        <v>#NAME?</v>
      </c>
    </row>
    <row r="19" spans="1:23" x14ac:dyDescent="0.3">
      <c r="A19" s="183" t="e">
        <f ca="1"/>
        <v>#NAME?</v>
      </c>
      <c r="B19" s="46" t="s">
        <v>840</v>
      </c>
      <c r="C19" s="194"/>
      <c r="D19" s="194"/>
      <c r="E19" s="194"/>
      <c r="F19" s="194"/>
      <c r="G19" s="170"/>
      <c r="H19" s="206"/>
      <c r="I19" s="170"/>
      <c r="J19" s="46" t="s">
        <v>844</v>
      </c>
      <c r="K19" s="170"/>
      <c r="L19" s="288">
        <v>7.65</v>
      </c>
      <c r="M19" s="289">
        <v>763</v>
      </c>
      <c r="N19" s="290">
        <v>26</v>
      </c>
      <c r="O19" s="46"/>
      <c r="P19" s="46" t="s">
        <v>39</v>
      </c>
      <c r="Q19" s="170"/>
      <c r="R19" s="192" t="str">
        <f t="shared" si="0"/>
        <v>26grams</v>
      </c>
      <c r="S19" s="198">
        <f t="shared" si="1"/>
        <v>19838</v>
      </c>
      <c r="T19" s="199" t="str">
        <f t="shared" si="2"/>
        <v>19838grams</v>
      </c>
      <c r="U19" s="200">
        <f t="shared" si="3"/>
        <v>5836.95</v>
      </c>
      <c r="V19" s="12"/>
      <c r="W19" s="12" t="e">
        <f ca="1"/>
        <v>#NAME?</v>
      </c>
    </row>
    <row r="20" spans="1:23" x14ac:dyDescent="0.3">
      <c r="A20" s="183" t="e">
        <f ca="1"/>
        <v>#NAME?</v>
      </c>
      <c r="B20" s="46" t="s">
        <v>840</v>
      </c>
      <c r="C20" s="170"/>
      <c r="D20" s="194"/>
      <c r="E20" s="194"/>
      <c r="F20" s="194"/>
      <c r="G20" s="170"/>
      <c r="H20" s="183"/>
      <c r="I20" s="170"/>
      <c r="J20" s="46" t="s">
        <v>845</v>
      </c>
      <c r="K20" s="170"/>
      <c r="L20" s="288">
        <v>13.9</v>
      </c>
      <c r="M20" s="289">
        <v>34</v>
      </c>
      <c r="N20" s="290">
        <v>52</v>
      </c>
      <c r="O20" s="46"/>
      <c r="P20" s="46" t="s">
        <v>39</v>
      </c>
      <c r="Q20" s="170"/>
      <c r="R20" s="192" t="str">
        <f t="shared" si="0"/>
        <v>52grams</v>
      </c>
      <c r="S20" s="198">
        <f t="shared" si="1"/>
        <v>1768</v>
      </c>
      <c r="T20" s="199" t="str">
        <f t="shared" si="2"/>
        <v>1768grams</v>
      </c>
      <c r="U20" s="200">
        <f t="shared" si="3"/>
        <v>472.6</v>
      </c>
      <c r="V20" s="12"/>
      <c r="W20" s="12" t="e">
        <f ca="1"/>
        <v>#NAME?</v>
      </c>
    </row>
    <row r="21" spans="1:23" x14ac:dyDescent="0.3">
      <c r="A21" s="183" t="e">
        <f ca="1"/>
        <v>#NAME?</v>
      </c>
      <c r="B21" s="46" t="s">
        <v>840</v>
      </c>
      <c r="C21" s="170"/>
      <c r="D21" s="194"/>
      <c r="E21" s="170"/>
      <c r="F21" s="170"/>
      <c r="G21" s="170"/>
      <c r="H21" s="206"/>
      <c r="I21" s="170"/>
      <c r="J21" s="46" t="s">
        <v>845</v>
      </c>
      <c r="K21" s="170"/>
      <c r="L21" s="288">
        <v>8.6</v>
      </c>
      <c r="M21" s="289">
        <v>493</v>
      </c>
      <c r="N21" s="290">
        <v>26</v>
      </c>
      <c r="O21" s="46"/>
      <c r="P21" s="46" t="s">
        <v>39</v>
      </c>
      <c r="Q21" s="170"/>
      <c r="R21" s="192" t="str">
        <f t="shared" si="0"/>
        <v>26grams</v>
      </c>
      <c r="S21" s="198">
        <f t="shared" si="1"/>
        <v>12818</v>
      </c>
      <c r="T21" s="199" t="str">
        <f t="shared" si="2"/>
        <v>12818grams</v>
      </c>
      <c r="U21" s="200">
        <f t="shared" si="3"/>
        <v>4239.8</v>
      </c>
      <c r="V21" s="12"/>
      <c r="W21" s="294" t="e">
        <f ca="1"/>
        <v>#NAME?</v>
      </c>
    </row>
    <row r="22" spans="1:23" x14ac:dyDescent="0.3">
      <c r="A22" s="183" t="e">
        <f ca="1"/>
        <v>#NAME?</v>
      </c>
      <c r="B22" s="46" t="s">
        <v>840</v>
      </c>
      <c r="C22" s="170"/>
      <c r="D22" s="194"/>
      <c r="E22" s="194"/>
      <c r="F22" s="194"/>
      <c r="G22" s="170"/>
      <c r="H22" s="183"/>
      <c r="I22" s="170"/>
      <c r="J22" s="219" t="s">
        <v>845</v>
      </c>
      <c r="K22" s="170"/>
      <c r="L22" s="291">
        <v>8.51</v>
      </c>
      <c r="M22" s="292">
        <v>7</v>
      </c>
      <c r="N22" s="293">
        <v>20</v>
      </c>
      <c r="O22" s="219"/>
      <c r="P22" s="219" t="s">
        <v>39</v>
      </c>
      <c r="Q22" s="61" t="s">
        <v>33</v>
      </c>
      <c r="R22" s="192" t="str">
        <f t="shared" si="0"/>
        <v>20grams</v>
      </c>
      <c r="S22" s="198">
        <f t="shared" si="1"/>
        <v>140</v>
      </c>
      <c r="T22" s="199" t="str">
        <f t="shared" si="2"/>
        <v>140 grams</v>
      </c>
      <c r="U22" s="200">
        <f t="shared" si="3"/>
        <v>59.57</v>
      </c>
      <c r="V22" s="205">
        <f>U22/M22</f>
        <v>8.51</v>
      </c>
      <c r="W22" s="62" t="e">
        <f ca="1"/>
        <v>#NAME?</v>
      </c>
    </row>
    <row r="23" spans="1:23" x14ac:dyDescent="0.3">
      <c r="A23" s="183" t="e">
        <f ca="1"/>
        <v>#NAME?</v>
      </c>
      <c r="B23" s="46" t="s">
        <v>840</v>
      </c>
      <c r="C23" s="170"/>
      <c r="D23" s="194"/>
      <c r="E23" s="194"/>
      <c r="F23" s="194"/>
      <c r="G23" s="170"/>
      <c r="H23" s="183"/>
      <c r="I23" s="170"/>
      <c r="J23" s="219" t="s">
        <v>845</v>
      </c>
      <c r="K23" s="170"/>
      <c r="L23" s="288">
        <v>8.6</v>
      </c>
      <c r="M23" s="289">
        <v>27</v>
      </c>
      <c r="N23" s="290">
        <v>20</v>
      </c>
      <c r="O23" s="46"/>
      <c r="P23" s="46" t="s">
        <v>39</v>
      </c>
      <c r="Q23" s="170"/>
      <c r="R23" s="192" t="str">
        <f t="shared" si="0"/>
        <v>20grams</v>
      </c>
      <c r="S23" s="198">
        <f t="shared" si="1"/>
        <v>540</v>
      </c>
      <c r="T23" s="199" t="str">
        <f t="shared" si="2"/>
        <v>540grams</v>
      </c>
      <c r="U23" s="200">
        <f t="shared" si="3"/>
        <v>232.2</v>
      </c>
      <c r="V23" s="12"/>
      <c r="W23" s="12" t="e">
        <f ca="1"/>
        <v>#NAME?</v>
      </c>
    </row>
    <row r="24" spans="1:23" x14ac:dyDescent="0.3">
      <c r="A24" s="183" t="e">
        <f ca="1"/>
        <v>#NAME?</v>
      </c>
      <c r="B24" s="46" t="s">
        <v>840</v>
      </c>
      <c r="C24" s="170"/>
      <c r="D24" s="194"/>
      <c r="E24" s="194"/>
      <c r="F24" s="194"/>
      <c r="G24" s="170"/>
      <c r="H24" s="183"/>
      <c r="I24" s="170"/>
      <c r="J24" s="219" t="s">
        <v>846</v>
      </c>
      <c r="K24" s="170"/>
      <c r="L24" s="288">
        <v>13.9</v>
      </c>
      <c r="M24" s="289">
        <v>62</v>
      </c>
      <c r="N24" s="290">
        <v>40</v>
      </c>
      <c r="O24" s="60"/>
      <c r="P24" s="60" t="s">
        <v>39</v>
      </c>
      <c r="Q24" s="170"/>
      <c r="R24" s="192" t="str">
        <f t="shared" si="0"/>
        <v>40grams</v>
      </c>
      <c r="S24" s="198">
        <f t="shared" si="1"/>
        <v>2480</v>
      </c>
      <c r="T24" s="199" t="str">
        <f t="shared" si="2"/>
        <v>2480grams</v>
      </c>
      <c r="U24" s="200">
        <f t="shared" si="3"/>
        <v>861.80000000000007</v>
      </c>
      <c r="V24" s="12"/>
      <c r="W24" s="12"/>
    </row>
    <row r="25" spans="1:23" x14ac:dyDescent="0.3">
      <c r="A25" s="183" t="e">
        <f ca="1"/>
        <v>#NAME?</v>
      </c>
      <c r="B25" s="46" t="s">
        <v>840</v>
      </c>
      <c r="C25" s="170"/>
      <c r="D25" s="194"/>
      <c r="E25" s="194"/>
      <c r="F25" s="194"/>
      <c r="G25" s="170"/>
      <c r="H25" s="206"/>
      <c r="I25" s="170"/>
      <c r="J25" s="46" t="s">
        <v>847</v>
      </c>
      <c r="K25" s="170"/>
      <c r="L25" s="288">
        <v>12.26</v>
      </c>
      <c r="M25" s="289">
        <v>255</v>
      </c>
      <c r="N25" s="290">
        <v>51</v>
      </c>
      <c r="O25" s="46"/>
      <c r="P25" s="46" t="s">
        <v>39</v>
      </c>
      <c r="Q25" s="170"/>
      <c r="R25" s="192" t="str">
        <f t="shared" si="0"/>
        <v>51grams</v>
      </c>
      <c r="S25" s="198">
        <f t="shared" si="1"/>
        <v>13005</v>
      </c>
      <c r="T25" s="199" t="str">
        <f t="shared" si="2"/>
        <v>13005grams</v>
      </c>
      <c r="U25" s="200">
        <f t="shared" si="3"/>
        <v>3126.2999999999997</v>
      </c>
      <c r="V25" s="12"/>
      <c r="W25" s="12"/>
    </row>
    <row r="26" spans="1:23" x14ac:dyDescent="0.3">
      <c r="A26" s="183" t="e">
        <f ca="1"/>
        <v>#NAME?</v>
      </c>
      <c r="B26" s="46" t="s">
        <v>840</v>
      </c>
      <c r="C26" s="170"/>
      <c r="D26" s="194"/>
      <c r="E26" s="194"/>
      <c r="F26" s="194"/>
      <c r="G26" s="170"/>
      <c r="H26" s="206"/>
      <c r="I26" s="170"/>
      <c r="J26" s="219" t="s">
        <v>847</v>
      </c>
      <c r="K26" s="170"/>
      <c r="L26" s="291">
        <v>8.51</v>
      </c>
      <c r="M26" s="292">
        <v>15</v>
      </c>
      <c r="N26" s="293">
        <v>51</v>
      </c>
      <c r="O26" s="219"/>
      <c r="P26" s="219" t="s">
        <v>39</v>
      </c>
      <c r="Q26" s="170"/>
      <c r="R26" s="192" t="str">
        <f t="shared" si="0"/>
        <v>51grams</v>
      </c>
      <c r="S26" s="198">
        <f t="shared" si="1"/>
        <v>765</v>
      </c>
      <c r="T26" s="199" t="str">
        <f t="shared" si="2"/>
        <v>765grams</v>
      </c>
      <c r="U26" s="200">
        <f t="shared" si="3"/>
        <v>127.64999999999999</v>
      </c>
      <c r="V26" s="12"/>
      <c r="W26" s="12"/>
    </row>
    <row r="27" spans="1:23" x14ac:dyDescent="0.3">
      <c r="A27" s="183" t="e">
        <f ca="1"/>
        <v>#NAME?</v>
      </c>
      <c r="B27" s="46" t="s">
        <v>840</v>
      </c>
      <c r="C27" s="170"/>
      <c r="D27" s="194"/>
      <c r="E27" s="170"/>
      <c r="F27" s="170"/>
      <c r="G27" s="170"/>
      <c r="H27" s="183"/>
      <c r="I27" s="170"/>
      <c r="J27" s="46" t="s">
        <v>844</v>
      </c>
      <c r="K27" s="170"/>
      <c r="L27" s="288">
        <v>7.7</v>
      </c>
      <c r="M27" s="289">
        <v>30</v>
      </c>
      <c r="N27" s="290">
        <v>26</v>
      </c>
      <c r="O27" s="46"/>
      <c r="P27" s="46" t="s">
        <v>39</v>
      </c>
      <c r="Q27" s="170"/>
      <c r="R27" s="192" t="str">
        <f t="shared" si="0"/>
        <v>26grams</v>
      </c>
      <c r="S27" s="198">
        <f t="shared" si="1"/>
        <v>780</v>
      </c>
      <c r="T27" s="199" t="str">
        <f t="shared" si="2"/>
        <v>780grams</v>
      </c>
      <c r="U27" s="200">
        <f t="shared" si="3"/>
        <v>231</v>
      </c>
      <c r="V27" s="12"/>
      <c r="W27" s="12"/>
    </row>
    <row r="28" spans="1:23" x14ac:dyDescent="0.3">
      <c r="A28" s="183" t="e">
        <f ca="1"/>
        <v>#NAME?</v>
      </c>
      <c r="B28" s="46" t="s">
        <v>840</v>
      </c>
      <c r="C28" s="170"/>
      <c r="D28" s="194"/>
      <c r="E28" s="194"/>
      <c r="F28" s="194"/>
      <c r="G28" s="170"/>
      <c r="H28" s="183"/>
      <c r="I28" s="170"/>
      <c r="J28" s="219" t="s">
        <v>844</v>
      </c>
      <c r="K28" s="170"/>
      <c r="L28" s="288">
        <v>7.7</v>
      </c>
      <c r="M28" s="289">
        <v>126</v>
      </c>
      <c r="N28" s="290">
        <v>20</v>
      </c>
      <c r="O28" s="46"/>
      <c r="P28" s="46" t="s">
        <v>39</v>
      </c>
      <c r="Q28" s="170"/>
      <c r="R28" s="192" t="str">
        <f t="shared" si="0"/>
        <v>20grams</v>
      </c>
      <c r="S28" s="198">
        <f t="shared" si="1"/>
        <v>2520</v>
      </c>
      <c r="T28" s="199" t="str">
        <f t="shared" si="2"/>
        <v>2520grams</v>
      </c>
      <c r="U28" s="200">
        <f t="shared" si="3"/>
        <v>970.2</v>
      </c>
      <c r="V28" s="12"/>
      <c r="W28" s="12"/>
    </row>
    <row r="29" spans="1:23" x14ac:dyDescent="0.3">
      <c r="A29" s="183" t="e">
        <f ca="1"/>
        <v>#NAME?</v>
      </c>
      <c r="B29" s="219" t="s">
        <v>840</v>
      </c>
      <c r="C29" s="170"/>
      <c r="D29" s="194"/>
      <c r="E29" s="194"/>
      <c r="F29" s="194"/>
      <c r="G29" s="170"/>
      <c r="H29" s="183"/>
      <c r="I29" s="170"/>
      <c r="J29" s="219" t="s">
        <v>158</v>
      </c>
      <c r="K29" s="170"/>
      <c r="L29" s="295">
        <v>7.37</v>
      </c>
      <c r="M29" s="292">
        <v>2</v>
      </c>
      <c r="N29" s="293">
        <v>1</v>
      </c>
      <c r="O29" s="219"/>
      <c r="P29" s="219" t="s">
        <v>39</v>
      </c>
      <c r="Q29" s="170"/>
      <c r="R29" s="192" t="str">
        <f t="shared" si="0"/>
        <v>1grams</v>
      </c>
      <c r="S29" s="198">
        <f t="shared" si="1"/>
        <v>2</v>
      </c>
      <c r="T29" s="199" t="str">
        <f t="shared" si="2"/>
        <v>2grams</v>
      </c>
      <c r="U29" s="200">
        <f t="shared" si="3"/>
        <v>14.74</v>
      </c>
      <c r="V29" s="205">
        <f>U29/M29</f>
        <v>7.37</v>
      </c>
      <c r="W29" s="62"/>
    </row>
    <row r="30" spans="1:23" x14ac:dyDescent="0.3">
      <c r="A30" s="183" t="e">
        <f ca="1"/>
        <v>#NAME?</v>
      </c>
      <c r="B30" s="46" t="s">
        <v>295</v>
      </c>
      <c r="C30" s="170"/>
      <c r="D30" s="194"/>
      <c r="E30" s="170"/>
      <c r="F30" s="170"/>
      <c r="G30" s="170"/>
      <c r="H30" s="206"/>
      <c r="I30" s="170"/>
      <c r="J30" s="296"/>
      <c r="K30" s="170"/>
      <c r="L30" s="288">
        <v>60</v>
      </c>
      <c r="M30" s="289">
        <v>2</v>
      </c>
      <c r="N30" s="290">
        <v>1</v>
      </c>
      <c r="O30" s="46"/>
      <c r="P30" s="46" t="s">
        <v>213</v>
      </c>
      <c r="Q30" s="170"/>
      <c r="R30" s="192" t="str">
        <f t="shared" si="0"/>
        <v>1kilos</v>
      </c>
      <c r="S30" s="198">
        <f t="shared" si="1"/>
        <v>2</v>
      </c>
      <c r="T30" s="199" t="str">
        <f t="shared" si="2"/>
        <v>2kilos</v>
      </c>
      <c r="U30" s="200">
        <f t="shared" si="3"/>
        <v>120</v>
      </c>
      <c r="V30" s="12"/>
      <c r="W30" s="12"/>
    </row>
    <row r="31" spans="1:23" x14ac:dyDescent="0.3">
      <c r="A31" s="183" t="e">
        <f ca="1"/>
        <v>#NAME?</v>
      </c>
      <c r="B31" s="46" t="s">
        <v>295</v>
      </c>
      <c r="C31" s="170"/>
      <c r="D31" s="194"/>
      <c r="E31" s="194"/>
      <c r="F31" s="194"/>
      <c r="G31" s="170"/>
      <c r="H31" s="183"/>
      <c r="I31" s="170"/>
      <c r="J31" s="170"/>
      <c r="K31" s="170"/>
      <c r="L31" s="288">
        <v>60</v>
      </c>
      <c r="M31" s="289">
        <v>5</v>
      </c>
      <c r="N31" s="290">
        <v>1</v>
      </c>
      <c r="O31" s="46"/>
      <c r="P31" s="46" t="s">
        <v>213</v>
      </c>
      <c r="Q31" s="170"/>
      <c r="R31" s="192" t="str">
        <f t="shared" si="0"/>
        <v>1kilos</v>
      </c>
      <c r="S31" s="198">
        <f t="shared" si="1"/>
        <v>5</v>
      </c>
      <c r="T31" s="199" t="str">
        <f t="shared" si="2"/>
        <v>5kilos</v>
      </c>
      <c r="U31" s="200">
        <f t="shared" si="3"/>
        <v>300</v>
      </c>
      <c r="V31" s="12"/>
      <c r="W31" s="12"/>
    </row>
    <row r="32" spans="1:23" x14ac:dyDescent="0.3">
      <c r="A32" s="183" t="e">
        <f ca="1"/>
        <v>#NAME?</v>
      </c>
      <c r="B32" s="46" t="s">
        <v>295</v>
      </c>
      <c r="C32" s="170"/>
      <c r="D32" s="194"/>
      <c r="E32" s="194"/>
      <c r="F32" s="194"/>
      <c r="G32" s="170"/>
      <c r="H32" s="183"/>
      <c r="I32" s="170"/>
      <c r="J32" s="170"/>
      <c r="K32" s="170"/>
      <c r="L32" s="288">
        <v>90</v>
      </c>
      <c r="M32" s="289">
        <v>1</v>
      </c>
      <c r="N32" s="290">
        <v>1</v>
      </c>
      <c r="O32" s="46"/>
      <c r="P32" s="46" t="s">
        <v>213</v>
      </c>
      <c r="Q32" s="170"/>
      <c r="R32" s="192" t="str">
        <f t="shared" si="0"/>
        <v>1kilos</v>
      </c>
      <c r="S32" s="198">
        <f t="shared" si="1"/>
        <v>1</v>
      </c>
      <c r="T32" s="199" t="str">
        <f t="shared" si="2"/>
        <v>1kilos</v>
      </c>
      <c r="U32" s="200">
        <f t="shared" si="3"/>
        <v>90</v>
      </c>
      <c r="V32" s="12"/>
      <c r="W32" s="12"/>
    </row>
    <row r="33" spans="1:23" x14ac:dyDescent="0.3">
      <c r="A33" s="183" t="e">
        <f ca="1"/>
        <v>#NAME?</v>
      </c>
      <c r="B33" s="46" t="s">
        <v>34</v>
      </c>
      <c r="C33" s="170"/>
      <c r="D33" s="194"/>
      <c r="E33" s="194"/>
      <c r="F33" s="194"/>
      <c r="G33" s="170"/>
      <c r="H33" s="183"/>
      <c r="I33" s="170"/>
      <c r="J33" s="46" t="s">
        <v>30</v>
      </c>
      <c r="K33" s="170"/>
      <c r="L33" s="288">
        <v>69.8</v>
      </c>
      <c r="M33" s="289">
        <v>7</v>
      </c>
      <c r="N33" s="290">
        <v>250</v>
      </c>
      <c r="O33" s="46"/>
      <c r="P33" s="46" t="s">
        <v>32</v>
      </c>
      <c r="Q33" s="170"/>
      <c r="R33" s="192" t="str">
        <f t="shared" si="0"/>
        <v>250ml</v>
      </c>
      <c r="S33" s="198">
        <f t="shared" si="1"/>
        <v>1750</v>
      </c>
      <c r="T33" s="199" t="str">
        <f t="shared" si="2"/>
        <v>1750ml</v>
      </c>
      <c r="U33" s="200">
        <f t="shared" si="3"/>
        <v>488.59999999999997</v>
      </c>
      <c r="V33" s="12"/>
      <c r="W33" s="12"/>
    </row>
    <row r="34" spans="1:23" x14ac:dyDescent="0.3">
      <c r="A34" s="183" t="e">
        <f ca="1"/>
        <v>#NAME?</v>
      </c>
      <c r="B34" s="46" t="s">
        <v>34</v>
      </c>
      <c r="C34" s="170"/>
      <c r="D34" s="194"/>
      <c r="E34" s="194"/>
      <c r="F34" s="170"/>
      <c r="G34" s="170"/>
      <c r="H34" s="183"/>
      <c r="I34" s="170"/>
      <c r="J34" s="46" t="s">
        <v>35</v>
      </c>
      <c r="K34" s="170"/>
      <c r="L34" s="288">
        <v>42.7</v>
      </c>
      <c r="M34" s="289">
        <v>13</v>
      </c>
      <c r="N34" s="290">
        <v>250</v>
      </c>
      <c r="O34" s="46"/>
      <c r="P34" s="46" t="s">
        <v>32</v>
      </c>
      <c r="Q34" s="170"/>
      <c r="R34" s="192" t="str">
        <f t="shared" si="0"/>
        <v>250ml</v>
      </c>
      <c r="S34" s="198">
        <f t="shared" si="1"/>
        <v>3250</v>
      </c>
      <c r="T34" s="199" t="str">
        <f t="shared" si="2"/>
        <v>3250ml</v>
      </c>
      <c r="U34" s="200">
        <f t="shared" si="3"/>
        <v>555.1</v>
      </c>
      <c r="V34" s="62"/>
      <c r="W34" s="12"/>
    </row>
    <row r="35" spans="1:23" x14ac:dyDescent="0.3">
      <c r="A35" s="183" t="e">
        <f ca="1"/>
        <v>#NAME?</v>
      </c>
      <c r="B35" s="46" t="s">
        <v>34</v>
      </c>
      <c r="C35" s="170"/>
      <c r="D35" s="194"/>
      <c r="E35" s="194"/>
      <c r="F35" s="170"/>
      <c r="G35" s="170"/>
      <c r="H35" s="183"/>
      <c r="I35" s="170"/>
      <c r="J35" s="46" t="s">
        <v>30</v>
      </c>
      <c r="K35" s="170"/>
      <c r="L35" s="288">
        <v>61.88</v>
      </c>
      <c r="M35" s="289">
        <v>2</v>
      </c>
      <c r="N35" s="290">
        <v>250</v>
      </c>
      <c r="O35" s="46"/>
      <c r="P35" s="46" t="s">
        <v>32</v>
      </c>
      <c r="Q35" s="170"/>
      <c r="R35" s="192" t="str">
        <f t="shared" si="0"/>
        <v>250ml</v>
      </c>
      <c r="S35" s="198">
        <f t="shared" si="1"/>
        <v>500</v>
      </c>
      <c r="T35" s="199" t="str">
        <f t="shared" si="2"/>
        <v>500ml</v>
      </c>
      <c r="U35" s="200">
        <f t="shared" si="3"/>
        <v>123.76</v>
      </c>
      <c r="V35" s="12"/>
      <c r="W35" s="12"/>
    </row>
    <row r="36" spans="1:23" x14ac:dyDescent="0.3">
      <c r="A36" s="183" t="e">
        <f ca="1"/>
        <v>#NAME?</v>
      </c>
      <c r="B36" s="46" t="s">
        <v>34</v>
      </c>
      <c r="C36" s="170"/>
      <c r="D36" s="194"/>
      <c r="E36" s="194"/>
      <c r="F36" s="170"/>
      <c r="G36" s="170"/>
      <c r="H36" s="183"/>
      <c r="I36" s="170"/>
      <c r="J36" s="46" t="s">
        <v>30</v>
      </c>
      <c r="K36" s="170"/>
      <c r="L36" s="288">
        <v>68.900000000000006</v>
      </c>
      <c r="M36" s="289">
        <v>49</v>
      </c>
      <c r="N36" s="290">
        <v>250</v>
      </c>
      <c r="O36" s="46"/>
      <c r="P36" s="46" t="s">
        <v>32</v>
      </c>
      <c r="Q36" s="170"/>
      <c r="R36" s="192" t="str">
        <f t="shared" si="0"/>
        <v>250ml</v>
      </c>
      <c r="S36" s="198">
        <f t="shared" si="1"/>
        <v>12250</v>
      </c>
      <c r="T36" s="199" t="str">
        <f t="shared" si="2"/>
        <v>12250ml</v>
      </c>
      <c r="U36" s="200">
        <f t="shared" si="3"/>
        <v>3376.1000000000004</v>
      </c>
      <c r="V36" s="12"/>
      <c r="W36" s="12"/>
    </row>
    <row r="37" spans="1:23" x14ac:dyDescent="0.3">
      <c r="A37" s="183" t="e">
        <f ca="1"/>
        <v>#NAME?</v>
      </c>
      <c r="B37" s="46" t="s">
        <v>34</v>
      </c>
      <c r="C37" s="170"/>
      <c r="D37" s="194"/>
      <c r="E37" s="194"/>
      <c r="F37" s="170"/>
      <c r="G37" s="170"/>
      <c r="H37" s="183"/>
      <c r="I37" s="170"/>
      <c r="J37" s="46" t="s">
        <v>30</v>
      </c>
      <c r="K37" s="170"/>
      <c r="L37" s="288">
        <v>69.8</v>
      </c>
      <c r="M37" s="289">
        <v>36</v>
      </c>
      <c r="N37" s="290">
        <v>250</v>
      </c>
      <c r="O37" s="46"/>
      <c r="P37" s="46" t="s">
        <v>32</v>
      </c>
      <c r="Q37" s="170"/>
      <c r="R37" s="192" t="str">
        <f t="shared" si="0"/>
        <v>250ml</v>
      </c>
      <c r="S37" s="198">
        <f t="shared" si="1"/>
        <v>9000</v>
      </c>
      <c r="T37" s="199" t="str">
        <f t="shared" si="2"/>
        <v>9000ml</v>
      </c>
      <c r="U37" s="200">
        <f t="shared" si="3"/>
        <v>2512.7999999999997</v>
      </c>
      <c r="V37" s="205">
        <f>U37/M37</f>
        <v>69.8</v>
      </c>
      <c r="W37" s="62"/>
    </row>
    <row r="38" spans="1:23" x14ac:dyDescent="0.3">
      <c r="A38" s="183" t="e">
        <f ca="1"/>
        <v>#NAME?</v>
      </c>
      <c r="B38" s="219" t="s">
        <v>34</v>
      </c>
      <c r="C38" s="170"/>
      <c r="D38" s="194"/>
      <c r="E38" s="170"/>
      <c r="F38" s="170"/>
      <c r="G38" s="170"/>
      <c r="H38" s="206"/>
      <c r="I38" s="170"/>
      <c r="J38" s="219" t="s">
        <v>30</v>
      </c>
      <c r="K38" s="170"/>
      <c r="L38" s="291">
        <v>63.5</v>
      </c>
      <c r="M38" s="292">
        <v>3</v>
      </c>
      <c r="N38" s="293">
        <v>250</v>
      </c>
      <c r="O38" s="219"/>
      <c r="P38" s="219" t="s">
        <v>32</v>
      </c>
      <c r="Q38" s="170"/>
      <c r="R38" s="192" t="str">
        <f t="shared" si="0"/>
        <v>250ml</v>
      </c>
      <c r="S38" s="198">
        <f t="shared" si="1"/>
        <v>750</v>
      </c>
      <c r="T38" s="199" t="str">
        <f t="shared" si="2"/>
        <v>750ml</v>
      </c>
      <c r="U38" s="200">
        <f t="shared" si="3"/>
        <v>190.5</v>
      </c>
      <c r="V38" s="12"/>
      <c r="W38" s="12"/>
    </row>
    <row r="39" spans="1:23" x14ac:dyDescent="0.3">
      <c r="A39" s="183" t="e">
        <f ca="1"/>
        <v>#NAME?</v>
      </c>
      <c r="B39" s="46" t="s">
        <v>34</v>
      </c>
      <c r="C39" s="170"/>
      <c r="D39" s="194"/>
      <c r="E39" s="194"/>
      <c r="F39" s="194"/>
      <c r="G39" s="170"/>
      <c r="H39" s="183"/>
      <c r="I39" s="170"/>
      <c r="J39" s="46" t="s">
        <v>36</v>
      </c>
      <c r="K39" s="170"/>
      <c r="L39" s="288">
        <v>47.6</v>
      </c>
      <c r="M39" s="289">
        <v>7</v>
      </c>
      <c r="N39" s="290">
        <v>250</v>
      </c>
      <c r="O39" s="46"/>
      <c r="P39" s="46" t="s">
        <v>32</v>
      </c>
      <c r="Q39" s="170"/>
      <c r="R39" s="192" t="str">
        <f t="shared" si="0"/>
        <v>250ml</v>
      </c>
      <c r="S39" s="198">
        <f t="shared" si="1"/>
        <v>1750</v>
      </c>
      <c r="T39" s="199" t="str">
        <f t="shared" si="2"/>
        <v>1750ml</v>
      </c>
      <c r="U39" s="200">
        <f t="shared" si="3"/>
        <v>333.2</v>
      </c>
      <c r="V39" s="12"/>
      <c r="W39" s="12"/>
    </row>
    <row r="40" spans="1:23" x14ac:dyDescent="0.3">
      <c r="A40" s="183" t="e">
        <f ca="1"/>
        <v>#NAME?</v>
      </c>
      <c r="B40" s="46" t="s">
        <v>227</v>
      </c>
      <c r="C40" s="170"/>
      <c r="D40" s="194"/>
      <c r="E40" s="194"/>
      <c r="F40" s="170"/>
      <c r="G40" s="170"/>
      <c r="H40" s="183"/>
      <c r="I40" s="170"/>
      <c r="J40" s="46" t="s">
        <v>848</v>
      </c>
      <c r="K40" s="170"/>
      <c r="L40" s="288">
        <v>420.6</v>
      </c>
      <c r="M40" s="289">
        <v>2</v>
      </c>
      <c r="N40" s="290">
        <v>3500</v>
      </c>
      <c r="O40" s="297"/>
      <c r="P40" s="297" t="s">
        <v>32</v>
      </c>
      <c r="Q40" s="170"/>
      <c r="R40" s="192" t="str">
        <f t="shared" si="0"/>
        <v>3500ml</v>
      </c>
      <c r="S40" s="198">
        <f t="shared" si="1"/>
        <v>7000</v>
      </c>
      <c r="T40" s="199" t="str">
        <f t="shared" si="2"/>
        <v>7000ml</v>
      </c>
      <c r="U40" s="200">
        <f t="shared" si="3"/>
        <v>841.2</v>
      </c>
      <c r="V40" s="205">
        <f>U40/M40</f>
        <v>420.6</v>
      </c>
      <c r="W40" s="62"/>
    </row>
    <row r="41" spans="1:23" x14ac:dyDescent="0.3">
      <c r="A41" s="183" t="e">
        <f ca="1"/>
        <v>#NAME?</v>
      </c>
      <c r="B41" s="46" t="s">
        <v>227</v>
      </c>
      <c r="C41" s="170"/>
      <c r="D41" s="194"/>
      <c r="E41" s="170"/>
      <c r="F41" s="170"/>
      <c r="G41" s="170"/>
      <c r="H41" s="206"/>
      <c r="I41" s="170"/>
      <c r="J41" s="46" t="s">
        <v>848</v>
      </c>
      <c r="K41" s="170"/>
      <c r="L41" s="288">
        <v>420.6</v>
      </c>
      <c r="M41" s="289">
        <v>1</v>
      </c>
      <c r="N41" s="290">
        <v>3500</v>
      </c>
      <c r="O41" s="297"/>
      <c r="P41" s="297" t="s">
        <v>32</v>
      </c>
      <c r="Q41" s="170"/>
      <c r="R41" s="192" t="str">
        <f t="shared" si="0"/>
        <v>3500ml</v>
      </c>
      <c r="S41" s="198">
        <f t="shared" si="1"/>
        <v>3500</v>
      </c>
      <c r="T41" s="199" t="str">
        <f t="shared" si="2"/>
        <v>3500ml</v>
      </c>
      <c r="U41" s="200">
        <f t="shared" si="3"/>
        <v>420.6</v>
      </c>
      <c r="V41" s="12"/>
      <c r="W41" s="12"/>
    </row>
    <row r="42" spans="1:23" x14ac:dyDescent="0.3">
      <c r="A42" s="183" t="e">
        <f ca="1"/>
        <v>#NAME?</v>
      </c>
      <c r="B42" s="46" t="s">
        <v>227</v>
      </c>
      <c r="C42" s="170"/>
      <c r="D42" s="194"/>
      <c r="E42" s="170"/>
      <c r="F42" s="170"/>
      <c r="G42" s="170"/>
      <c r="H42" s="183"/>
      <c r="I42" s="170"/>
      <c r="J42" s="46" t="s">
        <v>848</v>
      </c>
      <c r="K42" s="170"/>
      <c r="L42" s="288">
        <v>420.6</v>
      </c>
      <c r="M42" s="289">
        <v>1</v>
      </c>
      <c r="N42" s="290">
        <v>3500</v>
      </c>
      <c r="O42" s="297"/>
      <c r="P42" s="297" t="s">
        <v>32</v>
      </c>
      <c r="Q42" s="170"/>
      <c r="R42" s="192" t="str">
        <f t="shared" si="0"/>
        <v>3500ml</v>
      </c>
      <c r="S42" s="198">
        <f t="shared" si="1"/>
        <v>3500</v>
      </c>
      <c r="T42" s="199" t="str">
        <f t="shared" si="2"/>
        <v>3500ml</v>
      </c>
      <c r="U42" s="200">
        <f t="shared" si="3"/>
        <v>420.6</v>
      </c>
      <c r="V42" s="12"/>
      <c r="W42" s="12"/>
    </row>
    <row r="43" spans="1:23" x14ac:dyDescent="0.3">
      <c r="A43" s="183" t="e">
        <f ca="1"/>
        <v>#NAME?</v>
      </c>
      <c r="B43" s="46" t="s">
        <v>37</v>
      </c>
      <c r="C43" s="170"/>
      <c r="D43" s="194"/>
      <c r="E43" s="170"/>
      <c r="F43" s="170"/>
      <c r="G43" s="170"/>
      <c r="H43" s="206"/>
      <c r="I43" s="170"/>
      <c r="J43" s="46" t="s">
        <v>849</v>
      </c>
      <c r="K43" s="170"/>
      <c r="L43" s="288">
        <v>48</v>
      </c>
      <c r="M43" s="289">
        <v>1</v>
      </c>
      <c r="N43" s="290">
        <v>1</v>
      </c>
      <c r="O43" s="46"/>
      <c r="P43" s="46" t="s">
        <v>213</v>
      </c>
      <c r="Q43" s="170"/>
      <c r="R43" s="192" t="str">
        <f t="shared" si="0"/>
        <v>1kilos</v>
      </c>
      <c r="S43" s="198">
        <f t="shared" si="1"/>
        <v>1</v>
      </c>
      <c r="T43" s="199" t="str">
        <f t="shared" si="2"/>
        <v>1kilos</v>
      </c>
      <c r="U43" s="200">
        <f t="shared" si="3"/>
        <v>48</v>
      </c>
      <c r="V43" s="12"/>
      <c r="W43" s="12"/>
    </row>
    <row r="44" spans="1:23" x14ac:dyDescent="0.3">
      <c r="A44" s="183" t="e">
        <f ca="1"/>
        <v>#NAME?</v>
      </c>
      <c r="B44" s="46" t="s">
        <v>37</v>
      </c>
      <c r="C44" s="170"/>
      <c r="D44" s="194"/>
      <c r="E44" s="194"/>
      <c r="F44" s="194"/>
      <c r="G44" s="170"/>
      <c r="H44" s="183"/>
      <c r="I44" s="170"/>
      <c r="J44" s="46" t="s">
        <v>38</v>
      </c>
      <c r="K44" s="170"/>
      <c r="L44" s="288">
        <v>42.53</v>
      </c>
      <c r="M44" s="289">
        <v>21</v>
      </c>
      <c r="N44" s="290">
        <v>400</v>
      </c>
      <c r="O44" s="46"/>
      <c r="P44" s="46" t="s">
        <v>39</v>
      </c>
      <c r="Q44" s="170"/>
      <c r="R44" s="192" t="str">
        <f t="shared" si="0"/>
        <v>400grams</v>
      </c>
      <c r="S44" s="198">
        <f t="shared" si="1"/>
        <v>8400</v>
      </c>
      <c r="T44" s="199" t="str">
        <f t="shared" si="2"/>
        <v>8400grams</v>
      </c>
      <c r="U44" s="200">
        <f t="shared" si="3"/>
        <v>893.13</v>
      </c>
      <c r="V44" s="12"/>
      <c r="W44" s="12"/>
    </row>
    <row r="45" spans="1:23" x14ac:dyDescent="0.3">
      <c r="A45" s="183" t="e">
        <f ca="1"/>
        <v>#NAME?</v>
      </c>
      <c r="B45" s="46" t="s">
        <v>37</v>
      </c>
      <c r="C45" s="170"/>
      <c r="D45" s="194"/>
      <c r="E45" s="170"/>
      <c r="F45" s="170"/>
      <c r="G45" s="170"/>
      <c r="H45" s="206"/>
      <c r="I45" s="170"/>
      <c r="J45" s="46" t="s">
        <v>850</v>
      </c>
      <c r="K45" s="170"/>
      <c r="L45" s="288">
        <v>455</v>
      </c>
      <c r="M45" s="289">
        <v>1</v>
      </c>
      <c r="N45" s="290">
        <v>4000</v>
      </c>
      <c r="O45" s="46"/>
      <c r="P45" s="46" t="s">
        <v>39</v>
      </c>
      <c r="Q45" s="170"/>
      <c r="R45" s="192" t="str">
        <f t="shared" si="0"/>
        <v>4000grams</v>
      </c>
      <c r="S45" s="198">
        <f t="shared" si="1"/>
        <v>4000</v>
      </c>
      <c r="T45" s="199" t="str">
        <f t="shared" si="2"/>
        <v>4000grams</v>
      </c>
      <c r="U45" s="200">
        <f t="shared" si="3"/>
        <v>455</v>
      </c>
      <c r="V45" s="12"/>
      <c r="W45" s="12"/>
    </row>
    <row r="46" spans="1:23" x14ac:dyDescent="0.3">
      <c r="A46" s="183" t="e">
        <f ca="1"/>
        <v>#NAME?</v>
      </c>
      <c r="B46" s="46" t="s">
        <v>37</v>
      </c>
      <c r="C46" s="170"/>
      <c r="D46" s="194"/>
      <c r="E46" s="170"/>
      <c r="F46" s="170"/>
      <c r="G46" s="170"/>
      <c r="H46" s="206"/>
      <c r="I46" s="170"/>
      <c r="J46" s="46" t="s">
        <v>851</v>
      </c>
      <c r="K46" s="170"/>
      <c r="L46" s="288">
        <v>65</v>
      </c>
      <c r="M46" s="289">
        <v>15</v>
      </c>
      <c r="N46" s="290">
        <v>1000</v>
      </c>
      <c r="O46" s="297"/>
      <c r="P46" s="297" t="s">
        <v>39</v>
      </c>
      <c r="Q46" s="170"/>
      <c r="R46" s="192" t="str">
        <f t="shared" si="0"/>
        <v>1000grams</v>
      </c>
      <c r="S46" s="198">
        <f t="shared" si="1"/>
        <v>15000</v>
      </c>
      <c r="T46" s="199" t="str">
        <f t="shared" si="2"/>
        <v>15000grams</v>
      </c>
      <c r="U46" s="200">
        <f t="shared" si="3"/>
        <v>975</v>
      </c>
      <c r="V46" s="12"/>
      <c r="W46" s="12"/>
    </row>
    <row r="47" spans="1:23" x14ac:dyDescent="0.3">
      <c r="A47" s="183" t="e">
        <f ca="1"/>
        <v>#NAME?</v>
      </c>
      <c r="B47" s="46" t="s">
        <v>37</v>
      </c>
      <c r="C47" s="170"/>
      <c r="D47" s="194"/>
      <c r="E47" s="194"/>
      <c r="F47" s="194"/>
      <c r="G47" s="170"/>
      <c r="H47" s="183"/>
      <c r="I47" s="170"/>
      <c r="J47" s="46" t="s">
        <v>43</v>
      </c>
      <c r="K47" s="170"/>
      <c r="L47" s="288">
        <v>52</v>
      </c>
      <c r="M47" s="289">
        <v>9</v>
      </c>
      <c r="N47" s="290">
        <v>1000</v>
      </c>
      <c r="O47" s="46"/>
      <c r="P47" s="46" t="s">
        <v>213</v>
      </c>
      <c r="Q47" s="170"/>
      <c r="R47" s="192" t="str">
        <f t="shared" si="0"/>
        <v>1000kilos</v>
      </c>
      <c r="S47" s="198">
        <f t="shared" si="1"/>
        <v>9000</v>
      </c>
      <c r="T47" s="199" t="str">
        <f t="shared" si="2"/>
        <v>9000kilos</v>
      </c>
      <c r="U47" s="200">
        <f t="shared" si="3"/>
        <v>468</v>
      </c>
      <c r="V47" s="12"/>
      <c r="W47" s="12"/>
    </row>
    <row r="48" spans="1:23" x14ac:dyDescent="0.3">
      <c r="A48" s="183" t="e">
        <f ca="1"/>
        <v>#NAME?</v>
      </c>
      <c r="B48" s="46" t="s">
        <v>37</v>
      </c>
      <c r="C48" s="170"/>
      <c r="D48" s="194"/>
      <c r="E48" s="194"/>
      <c r="F48" s="194"/>
      <c r="G48" s="170"/>
      <c r="H48" s="183"/>
      <c r="I48" s="170"/>
      <c r="J48" s="219" t="s">
        <v>38</v>
      </c>
      <c r="K48" s="170"/>
      <c r="L48" s="291">
        <v>66.5</v>
      </c>
      <c r="M48" s="292">
        <v>2</v>
      </c>
      <c r="N48" s="293">
        <v>500</v>
      </c>
      <c r="O48" s="219"/>
      <c r="P48" s="219" t="s">
        <v>39</v>
      </c>
      <c r="Q48" s="170"/>
      <c r="R48" s="192" t="str">
        <f t="shared" si="0"/>
        <v>500grams</v>
      </c>
      <c r="S48" s="198">
        <f t="shared" si="1"/>
        <v>1000</v>
      </c>
      <c r="T48" s="199" t="str">
        <f t="shared" si="2"/>
        <v>1000grams</v>
      </c>
      <c r="U48" s="200">
        <f t="shared" si="3"/>
        <v>133</v>
      </c>
      <c r="V48" s="12"/>
      <c r="W48" s="12"/>
    </row>
    <row r="49" spans="1:23" x14ac:dyDescent="0.3">
      <c r="A49" s="183" t="e">
        <f ca="1"/>
        <v>#NAME?</v>
      </c>
      <c r="B49" s="46" t="s">
        <v>37</v>
      </c>
      <c r="C49" s="170"/>
      <c r="D49" s="194"/>
      <c r="E49" s="170"/>
      <c r="F49" s="170"/>
      <c r="G49" s="170"/>
      <c r="H49" s="206"/>
      <c r="I49" s="170"/>
      <c r="J49" s="219" t="s">
        <v>849</v>
      </c>
      <c r="K49" s="170"/>
      <c r="L49" s="291">
        <v>48</v>
      </c>
      <c r="M49" s="292">
        <v>27</v>
      </c>
      <c r="N49" s="293">
        <v>1000</v>
      </c>
      <c r="O49" s="219"/>
      <c r="P49" s="219" t="s">
        <v>39</v>
      </c>
      <c r="Q49" s="170"/>
      <c r="R49" s="192" t="str">
        <f t="shared" si="0"/>
        <v>1000grams</v>
      </c>
      <c r="S49" s="198">
        <f t="shared" si="1"/>
        <v>27000</v>
      </c>
      <c r="T49" s="199" t="str">
        <f t="shared" si="2"/>
        <v>27000grams</v>
      </c>
      <c r="U49" s="200">
        <f t="shared" si="3"/>
        <v>1296</v>
      </c>
      <c r="V49" s="12"/>
      <c r="W49" s="12"/>
    </row>
    <row r="50" spans="1:23" x14ac:dyDescent="0.3">
      <c r="A50" s="183" t="e">
        <f ca="1"/>
        <v>#NAME?</v>
      </c>
      <c r="B50" s="46" t="s">
        <v>37</v>
      </c>
      <c r="C50" s="170"/>
      <c r="D50" s="194"/>
      <c r="E50" s="170"/>
      <c r="F50" s="170"/>
      <c r="G50" s="170"/>
      <c r="H50" s="183"/>
      <c r="I50" s="170"/>
      <c r="J50" s="170"/>
      <c r="K50" s="170"/>
      <c r="L50" s="288">
        <v>42</v>
      </c>
      <c r="M50" s="289">
        <v>3</v>
      </c>
      <c r="N50" s="290">
        <v>1</v>
      </c>
      <c r="O50" s="46"/>
      <c r="P50" s="46" t="s">
        <v>213</v>
      </c>
      <c r="Q50" s="170"/>
      <c r="R50" s="192" t="str">
        <f t="shared" si="0"/>
        <v>1kilos</v>
      </c>
      <c r="S50" s="198">
        <f t="shared" si="1"/>
        <v>3</v>
      </c>
      <c r="T50" s="199" t="str">
        <f t="shared" si="2"/>
        <v>3kilos</v>
      </c>
      <c r="U50" s="200">
        <f t="shared" si="3"/>
        <v>126</v>
      </c>
      <c r="V50" s="12"/>
      <c r="W50" s="12"/>
    </row>
    <row r="51" spans="1:23" x14ac:dyDescent="0.3">
      <c r="A51" s="183" t="e">
        <f ca="1"/>
        <v>#NAME?</v>
      </c>
      <c r="B51" s="46" t="s">
        <v>37</v>
      </c>
      <c r="C51" s="170"/>
      <c r="D51" s="194"/>
      <c r="E51" s="170"/>
      <c r="F51" s="170"/>
      <c r="G51" s="170"/>
      <c r="H51" s="183"/>
      <c r="I51" s="170"/>
      <c r="J51" s="46" t="s">
        <v>47</v>
      </c>
      <c r="K51" s="170"/>
      <c r="L51" s="288">
        <v>55</v>
      </c>
      <c r="M51" s="289">
        <v>3</v>
      </c>
      <c r="N51" s="290">
        <v>1000</v>
      </c>
      <c r="O51" s="46"/>
      <c r="P51" s="46" t="s">
        <v>213</v>
      </c>
      <c r="Q51" s="170"/>
      <c r="R51" s="192" t="str">
        <f t="shared" si="0"/>
        <v>1000kilos</v>
      </c>
      <c r="S51" s="198">
        <f t="shared" si="1"/>
        <v>3000</v>
      </c>
      <c r="T51" s="199" t="str">
        <f t="shared" si="2"/>
        <v>3000kilos</v>
      </c>
      <c r="U51" s="200">
        <f t="shared" si="3"/>
        <v>165</v>
      </c>
      <c r="V51" s="12"/>
      <c r="W51" s="12"/>
    </row>
    <row r="52" spans="1:23" x14ac:dyDescent="0.3">
      <c r="A52" s="183" t="e">
        <f ca="1"/>
        <v>#NAME?</v>
      </c>
      <c r="B52" s="219" t="s">
        <v>852</v>
      </c>
      <c r="C52" s="170"/>
      <c r="D52" s="194"/>
      <c r="E52" s="170"/>
      <c r="F52" s="170"/>
      <c r="G52" s="170"/>
      <c r="H52" s="183"/>
      <c r="I52" s="170"/>
      <c r="J52" s="215"/>
      <c r="K52" s="170"/>
      <c r="L52" s="291">
        <v>37.6</v>
      </c>
      <c r="M52" s="292">
        <v>10</v>
      </c>
      <c r="N52" s="293">
        <v>1000</v>
      </c>
      <c r="O52" s="219"/>
      <c r="P52" s="219" t="s">
        <v>39</v>
      </c>
      <c r="Q52" s="170"/>
      <c r="R52" s="192" t="str">
        <f t="shared" si="0"/>
        <v>1000grams</v>
      </c>
      <c r="S52" s="198">
        <f t="shared" si="1"/>
        <v>10000</v>
      </c>
      <c r="T52" s="199" t="str">
        <f t="shared" si="2"/>
        <v>10000grams</v>
      </c>
      <c r="U52" s="200">
        <f t="shared" si="3"/>
        <v>376</v>
      </c>
      <c r="V52" s="12"/>
      <c r="W52" s="12"/>
    </row>
    <row r="53" spans="1:23" x14ac:dyDescent="0.3">
      <c r="A53" s="183" t="e">
        <f ca="1"/>
        <v>#NAME?</v>
      </c>
      <c r="B53" s="46" t="s">
        <v>42</v>
      </c>
      <c r="C53" s="170"/>
      <c r="D53" s="194"/>
      <c r="E53" s="170"/>
      <c r="F53" s="170"/>
      <c r="G53" s="170"/>
      <c r="H53" s="206"/>
      <c r="I53" s="170"/>
      <c r="J53" s="46" t="s">
        <v>43</v>
      </c>
      <c r="K53" s="170"/>
      <c r="L53" s="288">
        <v>48</v>
      </c>
      <c r="M53" s="289">
        <v>1</v>
      </c>
      <c r="N53" s="290">
        <v>1</v>
      </c>
      <c r="O53" s="46"/>
      <c r="P53" s="46" t="s">
        <v>213</v>
      </c>
      <c r="Q53" s="170"/>
      <c r="R53" s="192" t="str">
        <f t="shared" si="0"/>
        <v>1kilos</v>
      </c>
      <c r="S53" s="198">
        <f t="shared" si="1"/>
        <v>1</v>
      </c>
      <c r="T53" s="199" t="str">
        <f t="shared" si="2"/>
        <v>1kilos</v>
      </c>
      <c r="U53" s="200">
        <f t="shared" si="3"/>
        <v>48</v>
      </c>
      <c r="V53" s="12"/>
      <c r="W53" s="12"/>
    </row>
    <row r="54" spans="1:23" x14ac:dyDescent="0.3">
      <c r="A54" s="183" t="e">
        <f ca="1"/>
        <v>#NAME?</v>
      </c>
      <c r="B54" s="219" t="s">
        <v>42</v>
      </c>
      <c r="C54" s="170"/>
      <c r="D54" s="194"/>
      <c r="E54" s="170"/>
      <c r="F54" s="170"/>
      <c r="G54" s="170"/>
      <c r="H54" s="183"/>
      <c r="I54" s="170"/>
      <c r="J54" s="215"/>
      <c r="K54" s="170"/>
      <c r="L54" s="291">
        <v>50</v>
      </c>
      <c r="M54" s="292">
        <v>18</v>
      </c>
      <c r="N54" s="293">
        <v>1000</v>
      </c>
      <c r="O54" s="219"/>
      <c r="P54" s="219" t="s">
        <v>39</v>
      </c>
      <c r="Q54" s="170"/>
      <c r="R54" s="192" t="str">
        <f t="shared" si="0"/>
        <v>1000grams</v>
      </c>
      <c r="S54" s="198">
        <f t="shared" si="1"/>
        <v>18000</v>
      </c>
      <c r="T54" s="199" t="str">
        <f t="shared" si="2"/>
        <v>18000grams</v>
      </c>
      <c r="U54" s="200">
        <f t="shared" si="3"/>
        <v>900</v>
      </c>
      <c r="V54" s="12"/>
      <c r="W54" s="12"/>
    </row>
    <row r="55" spans="1:23" x14ac:dyDescent="0.3">
      <c r="A55" s="183" t="e">
        <f ca="1"/>
        <v>#NAME?</v>
      </c>
      <c r="B55" s="219" t="s">
        <v>853</v>
      </c>
      <c r="C55" s="170"/>
      <c r="D55" s="194"/>
      <c r="E55" s="170"/>
      <c r="F55" s="170"/>
      <c r="G55" s="170"/>
      <c r="H55" s="183"/>
      <c r="I55" s="170"/>
      <c r="J55" s="219" t="s">
        <v>854</v>
      </c>
      <c r="K55" s="170"/>
      <c r="L55" s="291">
        <v>88</v>
      </c>
      <c r="M55" s="292">
        <v>2</v>
      </c>
      <c r="N55" s="293">
        <v>32</v>
      </c>
      <c r="O55" s="219"/>
      <c r="P55" s="219" t="s">
        <v>39</v>
      </c>
      <c r="Q55" s="170"/>
      <c r="R55" s="192" t="str">
        <f t="shared" si="0"/>
        <v>32grams</v>
      </c>
      <c r="S55" s="198">
        <f t="shared" si="1"/>
        <v>64</v>
      </c>
      <c r="T55" s="199" t="str">
        <f t="shared" si="2"/>
        <v>64grams</v>
      </c>
      <c r="U55" s="200">
        <f t="shared" si="3"/>
        <v>176</v>
      </c>
      <c r="V55" s="12"/>
      <c r="W55" s="12"/>
    </row>
    <row r="56" spans="1:23" x14ac:dyDescent="0.3">
      <c r="A56" s="183" t="e">
        <f ca="1"/>
        <v>#NAME?</v>
      </c>
      <c r="B56" s="46" t="s">
        <v>855</v>
      </c>
      <c r="C56" s="170"/>
      <c r="D56" s="194"/>
      <c r="E56" s="194"/>
      <c r="F56" s="170"/>
      <c r="G56" s="170"/>
      <c r="H56" s="183"/>
      <c r="I56" s="170"/>
      <c r="J56" s="170"/>
      <c r="K56" s="170"/>
      <c r="L56" s="288">
        <v>80</v>
      </c>
      <c r="M56" s="289">
        <v>1</v>
      </c>
      <c r="N56" s="290">
        <v>1</v>
      </c>
      <c r="O56" s="46"/>
      <c r="P56" s="46" t="s">
        <v>213</v>
      </c>
      <c r="Q56" s="170"/>
      <c r="R56" s="192" t="str">
        <f t="shared" si="0"/>
        <v>1kilos</v>
      </c>
      <c r="S56" s="198">
        <f t="shared" si="1"/>
        <v>1</v>
      </c>
      <c r="T56" s="199" t="str">
        <f t="shared" si="2"/>
        <v>1kilos</v>
      </c>
      <c r="U56" s="200">
        <f t="shared" si="3"/>
        <v>80</v>
      </c>
      <c r="V56" s="205">
        <f>U56/M56</f>
        <v>80</v>
      </c>
      <c r="W56" s="62"/>
    </row>
    <row r="57" spans="1:23" x14ac:dyDescent="0.3">
      <c r="A57" s="183" t="e">
        <f ca="1"/>
        <v>#NAME?</v>
      </c>
      <c r="B57" s="46" t="s">
        <v>855</v>
      </c>
      <c r="C57" s="170"/>
      <c r="D57" s="194"/>
      <c r="E57" s="194"/>
      <c r="F57" s="170"/>
      <c r="G57" s="170"/>
      <c r="H57" s="183"/>
      <c r="I57" s="170"/>
      <c r="J57" s="170"/>
      <c r="K57" s="170"/>
      <c r="L57" s="288">
        <v>60</v>
      </c>
      <c r="M57" s="289">
        <v>1</v>
      </c>
      <c r="N57" s="290">
        <v>1</v>
      </c>
      <c r="O57" s="46"/>
      <c r="P57" s="46" t="s">
        <v>213</v>
      </c>
      <c r="Q57" s="170"/>
      <c r="R57" s="192" t="str">
        <f t="shared" si="0"/>
        <v>1kilos</v>
      </c>
      <c r="S57" s="198">
        <f t="shared" si="1"/>
        <v>1</v>
      </c>
      <c r="T57" s="199" t="str">
        <f t="shared" si="2"/>
        <v>1kilos</v>
      </c>
      <c r="U57" s="200">
        <f t="shared" si="3"/>
        <v>60</v>
      </c>
      <c r="V57" s="12"/>
      <c r="W57" s="12"/>
    </row>
    <row r="58" spans="1:23" x14ac:dyDescent="0.3">
      <c r="A58" s="183" t="e">
        <f ca="1"/>
        <v>#NAME?</v>
      </c>
      <c r="B58" s="46" t="s">
        <v>856</v>
      </c>
      <c r="C58" s="170"/>
      <c r="D58" s="194"/>
      <c r="E58" s="170"/>
      <c r="F58" s="170"/>
      <c r="G58" s="170"/>
      <c r="H58" s="206"/>
      <c r="I58" s="170"/>
      <c r="J58" s="296"/>
      <c r="K58" s="170"/>
      <c r="L58" s="288">
        <v>310</v>
      </c>
      <c r="M58" s="289">
        <v>8</v>
      </c>
      <c r="N58" s="290">
        <v>1</v>
      </c>
      <c r="O58" s="46"/>
      <c r="P58" s="46" t="s">
        <v>213</v>
      </c>
      <c r="Q58" s="170"/>
      <c r="R58" s="192" t="str">
        <f t="shared" si="0"/>
        <v>1kilos</v>
      </c>
      <c r="S58" s="198">
        <f t="shared" si="1"/>
        <v>8</v>
      </c>
      <c r="T58" s="199" t="str">
        <f t="shared" si="2"/>
        <v>8kilos</v>
      </c>
      <c r="U58" s="200">
        <f t="shared" si="3"/>
        <v>2480</v>
      </c>
      <c r="V58" s="12"/>
      <c r="W58" s="12"/>
    </row>
    <row r="59" spans="1:23" x14ac:dyDescent="0.3">
      <c r="A59" s="183" t="e">
        <f ca="1"/>
        <v>#NAME?</v>
      </c>
      <c r="B59" s="46" t="s">
        <v>856</v>
      </c>
      <c r="C59" s="170"/>
      <c r="D59" s="194"/>
      <c r="E59" s="194"/>
      <c r="F59" s="194"/>
      <c r="G59" s="170"/>
      <c r="H59" s="183"/>
      <c r="I59" s="170"/>
      <c r="J59" s="170"/>
      <c r="K59" s="170"/>
      <c r="L59" s="288">
        <v>220</v>
      </c>
      <c r="M59" s="289">
        <v>3</v>
      </c>
      <c r="N59" s="290">
        <v>1</v>
      </c>
      <c r="O59" s="46"/>
      <c r="P59" s="46" t="s">
        <v>213</v>
      </c>
      <c r="Q59" s="170"/>
      <c r="R59" s="192" t="str">
        <f t="shared" si="0"/>
        <v>1kilos</v>
      </c>
      <c r="S59" s="198">
        <f t="shared" si="1"/>
        <v>3</v>
      </c>
      <c r="T59" s="199" t="str">
        <f t="shared" si="2"/>
        <v>3kilos</v>
      </c>
      <c r="U59" s="200">
        <f t="shared" si="3"/>
        <v>660</v>
      </c>
      <c r="V59" s="12"/>
      <c r="W59" s="12"/>
    </row>
    <row r="60" spans="1:23" x14ac:dyDescent="0.3">
      <c r="A60" s="183" t="e">
        <f ca="1"/>
        <v>#NAME?</v>
      </c>
      <c r="B60" s="46" t="s">
        <v>857</v>
      </c>
      <c r="C60" s="170"/>
      <c r="D60" s="194"/>
      <c r="E60" s="170"/>
      <c r="F60" s="170"/>
      <c r="G60" s="170"/>
      <c r="H60" s="206"/>
      <c r="I60" s="170"/>
      <c r="J60" s="46" t="s">
        <v>858</v>
      </c>
      <c r="K60" s="170"/>
      <c r="L60" s="288">
        <v>21.8</v>
      </c>
      <c r="M60" s="289">
        <v>6</v>
      </c>
      <c r="N60" s="290">
        <v>1</v>
      </c>
      <c r="O60" s="46"/>
      <c r="P60" s="46" t="s">
        <v>92</v>
      </c>
      <c r="Q60" s="170"/>
      <c r="R60" s="192" t="str">
        <f t="shared" si="0"/>
        <v>1pieces</v>
      </c>
      <c r="S60" s="198">
        <f t="shared" si="1"/>
        <v>6</v>
      </c>
      <c r="T60" s="199" t="str">
        <f t="shared" si="2"/>
        <v>6pieces</v>
      </c>
      <c r="U60" s="200">
        <f t="shared" si="3"/>
        <v>130.80000000000001</v>
      </c>
      <c r="V60" s="12"/>
      <c r="W60" s="12"/>
    </row>
    <row r="61" spans="1:23" x14ac:dyDescent="0.3">
      <c r="A61" s="183" t="e">
        <f ca="1"/>
        <v>#NAME?</v>
      </c>
      <c r="B61" s="219" t="s">
        <v>857</v>
      </c>
      <c r="C61" s="170"/>
      <c r="D61" s="194"/>
      <c r="E61" s="194"/>
      <c r="F61" s="170"/>
      <c r="G61" s="170"/>
      <c r="H61" s="183"/>
      <c r="I61" s="170"/>
      <c r="J61" s="219" t="s">
        <v>859</v>
      </c>
      <c r="K61" s="170"/>
      <c r="L61" s="291">
        <v>700</v>
      </c>
      <c r="M61" s="292">
        <v>1</v>
      </c>
      <c r="N61" s="293">
        <v>1</v>
      </c>
      <c r="O61" s="219"/>
      <c r="P61" s="219" t="s">
        <v>210</v>
      </c>
      <c r="Q61" s="61" t="s">
        <v>33</v>
      </c>
      <c r="R61" s="192" t="str">
        <f t="shared" si="0"/>
        <v>1roll</v>
      </c>
      <c r="S61" s="198">
        <f t="shared" si="1"/>
        <v>1</v>
      </c>
      <c r="T61" s="199" t="str">
        <f t="shared" si="2"/>
        <v>1 roll</v>
      </c>
      <c r="U61" s="200">
        <f t="shared" si="3"/>
        <v>700</v>
      </c>
      <c r="V61" s="205">
        <f t="shared" ref="V61:V62" si="4">U61/M61</f>
        <v>700</v>
      </c>
      <c r="W61" s="62"/>
    </row>
    <row r="62" spans="1:23" x14ac:dyDescent="0.3">
      <c r="A62" s="183" t="e">
        <f ca="1"/>
        <v>#NAME?</v>
      </c>
      <c r="B62" s="46" t="s">
        <v>860</v>
      </c>
      <c r="C62" s="170"/>
      <c r="D62" s="194"/>
      <c r="E62" s="194"/>
      <c r="F62" s="194"/>
      <c r="G62" s="170"/>
      <c r="H62" s="183"/>
      <c r="I62" s="170"/>
      <c r="J62" s="170"/>
      <c r="K62" s="170"/>
      <c r="L62" s="288">
        <v>150</v>
      </c>
      <c r="M62" s="289">
        <v>1</v>
      </c>
      <c r="N62" s="290">
        <v>1</v>
      </c>
      <c r="O62" s="46"/>
      <c r="P62" s="46" t="s">
        <v>213</v>
      </c>
      <c r="Q62" s="170"/>
      <c r="R62" s="192" t="str">
        <f t="shared" si="0"/>
        <v>1kilos</v>
      </c>
      <c r="S62" s="198">
        <f t="shared" si="1"/>
        <v>1</v>
      </c>
      <c r="T62" s="199" t="str">
        <f t="shared" si="2"/>
        <v>1kilos</v>
      </c>
      <c r="U62" s="200">
        <f t="shared" si="3"/>
        <v>150</v>
      </c>
      <c r="V62" s="205">
        <f t="shared" si="4"/>
        <v>150</v>
      </c>
      <c r="W62" s="62"/>
    </row>
    <row r="63" spans="1:23" x14ac:dyDescent="0.3">
      <c r="A63" s="183" t="e">
        <f ca="1"/>
        <v>#NAME?</v>
      </c>
      <c r="B63" s="46" t="s">
        <v>860</v>
      </c>
      <c r="C63" s="170"/>
      <c r="D63" s="194"/>
      <c r="E63" s="194"/>
      <c r="F63" s="194"/>
      <c r="G63" s="170"/>
      <c r="H63" s="183"/>
      <c r="I63" s="170"/>
      <c r="J63" s="170"/>
      <c r="K63" s="170"/>
      <c r="L63" s="288">
        <v>160</v>
      </c>
      <c r="M63" s="289">
        <v>3</v>
      </c>
      <c r="N63" s="290">
        <v>1</v>
      </c>
      <c r="O63" s="46"/>
      <c r="P63" s="46" t="s">
        <v>213</v>
      </c>
      <c r="Q63" s="170"/>
      <c r="R63" s="192" t="str">
        <f t="shared" si="0"/>
        <v>1kilos</v>
      </c>
      <c r="S63" s="198">
        <f t="shared" si="1"/>
        <v>3</v>
      </c>
      <c r="T63" s="199" t="str">
        <f t="shared" si="2"/>
        <v>3kilos</v>
      </c>
      <c r="U63" s="200">
        <f t="shared" si="3"/>
        <v>480</v>
      </c>
      <c r="V63" s="12"/>
      <c r="W63" s="12"/>
    </row>
    <row r="64" spans="1:23" x14ac:dyDescent="0.3">
      <c r="A64" s="183" t="e">
        <f ca="1"/>
        <v>#NAME?</v>
      </c>
      <c r="B64" s="46" t="s">
        <v>861</v>
      </c>
      <c r="C64" s="170"/>
      <c r="D64" s="194"/>
      <c r="E64" s="194"/>
      <c r="F64" s="170"/>
      <c r="G64" s="170"/>
      <c r="H64" s="183"/>
      <c r="I64" s="170"/>
      <c r="J64" s="170"/>
      <c r="K64" s="170"/>
      <c r="L64" s="288">
        <v>30</v>
      </c>
      <c r="M64" s="289">
        <v>4</v>
      </c>
      <c r="N64" s="290">
        <v>1</v>
      </c>
      <c r="O64" s="46"/>
      <c r="P64" s="46" t="s">
        <v>92</v>
      </c>
      <c r="Q64" s="170"/>
      <c r="R64" s="192" t="str">
        <f t="shared" si="0"/>
        <v>1pieces</v>
      </c>
      <c r="S64" s="198">
        <f t="shared" si="1"/>
        <v>4</v>
      </c>
      <c r="T64" s="199" t="str">
        <f t="shared" si="2"/>
        <v>4pieces</v>
      </c>
      <c r="U64" s="200">
        <f t="shared" si="3"/>
        <v>120</v>
      </c>
      <c r="V64" s="205">
        <f t="shared" ref="V64:V66" si="5">U64/M64</f>
        <v>30</v>
      </c>
      <c r="W64" s="62"/>
    </row>
    <row r="65" spans="1:23" x14ac:dyDescent="0.3">
      <c r="A65" s="183" t="e">
        <f ca="1"/>
        <v>#NAME?</v>
      </c>
      <c r="B65" s="46" t="s">
        <v>861</v>
      </c>
      <c r="C65" s="170"/>
      <c r="D65" s="194"/>
      <c r="E65" s="170"/>
      <c r="F65" s="170"/>
      <c r="G65" s="170"/>
      <c r="H65" s="183"/>
      <c r="I65" s="170"/>
      <c r="J65" s="170"/>
      <c r="K65" s="170"/>
      <c r="L65" s="288">
        <v>40</v>
      </c>
      <c r="M65" s="289">
        <v>2</v>
      </c>
      <c r="N65" s="290">
        <v>1</v>
      </c>
      <c r="O65" s="46"/>
      <c r="P65" s="46" t="s">
        <v>92</v>
      </c>
      <c r="Q65" s="170"/>
      <c r="R65" s="192" t="str">
        <f t="shared" si="0"/>
        <v>1pieces</v>
      </c>
      <c r="S65" s="198">
        <f t="shared" si="1"/>
        <v>2</v>
      </c>
      <c r="T65" s="199" t="str">
        <f t="shared" si="2"/>
        <v>2pieces</v>
      </c>
      <c r="U65" s="200">
        <f t="shared" si="3"/>
        <v>80</v>
      </c>
      <c r="V65" s="205">
        <f t="shared" si="5"/>
        <v>40</v>
      </c>
      <c r="W65" s="62"/>
    </row>
    <row r="66" spans="1:23" x14ac:dyDescent="0.3">
      <c r="A66" s="183" t="e">
        <f ca="1"/>
        <v>#NAME?</v>
      </c>
      <c r="B66" s="46" t="s">
        <v>862</v>
      </c>
      <c r="C66" s="170"/>
      <c r="D66" s="194"/>
      <c r="E66" s="194"/>
      <c r="F66" s="170"/>
      <c r="G66" s="170"/>
      <c r="H66" s="183"/>
      <c r="I66" s="170"/>
      <c r="J66" s="46" t="s">
        <v>863</v>
      </c>
      <c r="K66" s="170"/>
      <c r="L66" s="288">
        <v>159.5</v>
      </c>
      <c r="M66" s="289">
        <v>1</v>
      </c>
      <c r="N66" s="290">
        <v>473</v>
      </c>
      <c r="O66" s="46"/>
      <c r="P66" s="46" t="s">
        <v>32</v>
      </c>
      <c r="Q66" s="170"/>
      <c r="R66" s="192" t="str">
        <f t="shared" si="0"/>
        <v>473ml</v>
      </c>
      <c r="S66" s="198">
        <f t="shared" si="1"/>
        <v>473</v>
      </c>
      <c r="T66" s="199" t="str">
        <f t="shared" si="2"/>
        <v>473ml</v>
      </c>
      <c r="U66" s="200">
        <f t="shared" si="3"/>
        <v>159.5</v>
      </c>
      <c r="V66" s="205">
        <f t="shared" si="5"/>
        <v>159.5</v>
      </c>
      <c r="W66" s="62"/>
    </row>
    <row r="67" spans="1:23" x14ac:dyDescent="0.3">
      <c r="A67" s="183" t="e">
        <f ca="1"/>
        <v>#NAME?</v>
      </c>
      <c r="B67" s="219" t="s">
        <v>864</v>
      </c>
      <c r="C67" s="170"/>
      <c r="D67" s="194"/>
      <c r="E67" s="170"/>
      <c r="F67" s="170"/>
      <c r="G67" s="170"/>
      <c r="H67" s="206"/>
      <c r="I67" s="170"/>
      <c r="J67" s="219" t="s">
        <v>865</v>
      </c>
      <c r="K67" s="170"/>
      <c r="L67" s="291">
        <v>92</v>
      </c>
      <c r="M67" s="289">
        <v>2</v>
      </c>
      <c r="N67" s="290">
        <v>270</v>
      </c>
      <c r="O67" s="46"/>
      <c r="P67" s="46" t="s">
        <v>39</v>
      </c>
      <c r="Q67" s="170"/>
      <c r="R67" s="192" t="str">
        <f t="shared" si="0"/>
        <v>270grams</v>
      </c>
      <c r="S67" s="198">
        <f t="shared" si="1"/>
        <v>540</v>
      </c>
      <c r="T67" s="199" t="str">
        <f t="shared" si="2"/>
        <v>540grams</v>
      </c>
      <c r="U67" s="200">
        <f t="shared" si="3"/>
        <v>184</v>
      </c>
      <c r="V67" s="12"/>
      <c r="W67" s="12"/>
    </row>
    <row r="68" spans="1:23" x14ac:dyDescent="0.3">
      <c r="A68" s="183" t="e">
        <f ca="1"/>
        <v>#NAME?</v>
      </c>
      <c r="B68" s="46" t="s">
        <v>866</v>
      </c>
      <c r="C68" s="170"/>
      <c r="D68" s="194"/>
      <c r="E68" s="194"/>
      <c r="F68" s="194"/>
      <c r="G68" s="170"/>
      <c r="H68" s="183"/>
      <c r="I68" s="170"/>
      <c r="J68" s="170"/>
      <c r="K68" s="170"/>
      <c r="L68" s="288">
        <v>87.5</v>
      </c>
      <c r="M68" s="289">
        <v>1</v>
      </c>
      <c r="N68" s="290">
        <v>250</v>
      </c>
      <c r="O68" s="46"/>
      <c r="P68" s="46" t="s">
        <v>39</v>
      </c>
      <c r="Q68" s="170"/>
      <c r="R68" s="192" t="str">
        <f t="shared" si="0"/>
        <v>250grams</v>
      </c>
      <c r="S68" s="198">
        <f t="shared" si="1"/>
        <v>250</v>
      </c>
      <c r="T68" s="199" t="str">
        <f t="shared" si="2"/>
        <v>250grams</v>
      </c>
      <c r="U68" s="200">
        <f t="shared" si="3"/>
        <v>87.5</v>
      </c>
      <c r="V68" s="12"/>
      <c r="W68" s="12"/>
    </row>
    <row r="69" spans="1:23" x14ac:dyDescent="0.3">
      <c r="A69" s="183" t="e">
        <f ca="1"/>
        <v>#NAME?</v>
      </c>
      <c r="B69" s="46" t="s">
        <v>866</v>
      </c>
      <c r="C69" s="170"/>
      <c r="D69" s="194"/>
      <c r="E69" s="194"/>
      <c r="F69" s="194"/>
      <c r="G69" s="170"/>
      <c r="H69" s="206"/>
      <c r="I69" s="170"/>
      <c r="J69" s="46" t="s">
        <v>867</v>
      </c>
      <c r="K69" s="170"/>
      <c r="L69" s="288">
        <v>550</v>
      </c>
      <c r="M69" s="289">
        <v>0</v>
      </c>
      <c r="N69" s="290">
        <v>1</v>
      </c>
      <c r="O69" s="46"/>
      <c r="P69" s="46" t="s">
        <v>213</v>
      </c>
      <c r="Q69" s="170"/>
      <c r="R69" s="192" t="str">
        <f t="shared" si="0"/>
        <v>1kilos</v>
      </c>
      <c r="S69" s="198">
        <f t="shared" si="1"/>
        <v>0</v>
      </c>
      <c r="T69" s="199" t="str">
        <f t="shared" si="2"/>
        <v>0kilos</v>
      </c>
      <c r="U69" s="200">
        <f t="shared" si="3"/>
        <v>0</v>
      </c>
      <c r="V69" s="12"/>
      <c r="W69" s="12"/>
    </row>
    <row r="70" spans="1:23" x14ac:dyDescent="0.3">
      <c r="A70" s="183" t="e">
        <f ca="1"/>
        <v>#NAME?</v>
      </c>
      <c r="B70" s="46" t="s">
        <v>866</v>
      </c>
      <c r="C70" s="170"/>
      <c r="D70" s="194"/>
      <c r="E70" s="170"/>
      <c r="F70" s="170"/>
      <c r="G70" s="170"/>
      <c r="H70" s="206"/>
      <c r="I70" s="170"/>
      <c r="J70" s="215"/>
      <c r="K70" s="170"/>
      <c r="L70" s="291">
        <v>650</v>
      </c>
      <c r="M70" s="292">
        <v>4</v>
      </c>
      <c r="N70" s="290">
        <v>1</v>
      </c>
      <c r="O70" s="46"/>
      <c r="P70" s="46" t="s">
        <v>213</v>
      </c>
      <c r="Q70" s="170"/>
      <c r="R70" s="192" t="str">
        <f t="shared" si="0"/>
        <v>1kilos</v>
      </c>
      <c r="S70" s="198">
        <f t="shared" si="1"/>
        <v>4</v>
      </c>
      <c r="T70" s="199" t="str">
        <f t="shared" si="2"/>
        <v>4kilos</v>
      </c>
      <c r="U70" s="200">
        <f t="shared" si="3"/>
        <v>2600</v>
      </c>
      <c r="V70" s="12"/>
      <c r="W70" s="12"/>
    </row>
    <row r="71" spans="1:23" x14ac:dyDescent="0.3">
      <c r="A71" s="183" t="e">
        <f ca="1"/>
        <v>#NAME?</v>
      </c>
      <c r="B71" s="46" t="s">
        <v>866</v>
      </c>
      <c r="C71" s="170"/>
      <c r="D71" s="194"/>
      <c r="E71" s="194"/>
      <c r="F71" s="194"/>
      <c r="G71" s="170"/>
      <c r="H71" s="183"/>
      <c r="I71" s="170"/>
      <c r="J71" s="46" t="s">
        <v>867</v>
      </c>
      <c r="K71" s="170"/>
      <c r="L71" s="288">
        <v>450</v>
      </c>
      <c r="M71" s="289">
        <v>3</v>
      </c>
      <c r="N71" s="290">
        <v>1</v>
      </c>
      <c r="O71" s="46"/>
      <c r="P71" s="46" t="s">
        <v>213</v>
      </c>
      <c r="Q71" s="170"/>
      <c r="R71" s="192" t="str">
        <f t="shared" si="0"/>
        <v>1kilos</v>
      </c>
      <c r="S71" s="198">
        <f t="shared" si="1"/>
        <v>3</v>
      </c>
      <c r="T71" s="199" t="str">
        <f t="shared" si="2"/>
        <v>3kilos</v>
      </c>
      <c r="U71" s="200">
        <f t="shared" si="3"/>
        <v>1350</v>
      </c>
      <c r="V71" s="205">
        <f>U71/M71</f>
        <v>450</v>
      </c>
      <c r="W71" s="62"/>
    </row>
    <row r="72" spans="1:23" x14ac:dyDescent="0.3">
      <c r="A72" s="183" t="e">
        <f ca="1"/>
        <v>#NAME?</v>
      </c>
      <c r="B72" s="46" t="s">
        <v>866</v>
      </c>
      <c r="C72" s="170"/>
      <c r="D72" s="194"/>
      <c r="E72" s="194"/>
      <c r="F72" s="194"/>
      <c r="G72" s="170"/>
      <c r="H72" s="183"/>
      <c r="I72" s="170"/>
      <c r="J72" s="170"/>
      <c r="K72" s="170"/>
      <c r="L72" s="288">
        <v>220</v>
      </c>
      <c r="M72" s="289">
        <v>1</v>
      </c>
      <c r="N72" s="290">
        <v>100</v>
      </c>
      <c r="O72" s="46"/>
      <c r="P72" s="46" t="s">
        <v>39</v>
      </c>
      <c r="Q72" s="170"/>
      <c r="R72" s="192" t="str">
        <f t="shared" si="0"/>
        <v>100grams</v>
      </c>
      <c r="S72" s="198">
        <f t="shared" si="1"/>
        <v>100</v>
      </c>
      <c r="T72" s="199" t="str">
        <f t="shared" si="2"/>
        <v>100grams</v>
      </c>
      <c r="U72" s="200">
        <f t="shared" si="3"/>
        <v>220</v>
      </c>
      <c r="V72" s="12"/>
      <c r="W72" s="12"/>
    </row>
    <row r="73" spans="1:23" x14ac:dyDescent="0.3">
      <c r="A73" s="183" t="e">
        <f ca="1"/>
        <v>#NAME?</v>
      </c>
      <c r="B73" s="46" t="s">
        <v>868</v>
      </c>
      <c r="C73" s="170"/>
      <c r="D73" s="194"/>
      <c r="E73" s="170"/>
      <c r="F73" s="170"/>
      <c r="G73" s="170"/>
      <c r="H73" s="206"/>
      <c r="I73" s="170"/>
      <c r="J73" s="170"/>
      <c r="K73" s="170"/>
      <c r="L73" s="288">
        <v>180.25</v>
      </c>
      <c r="M73" s="289">
        <v>2</v>
      </c>
      <c r="N73" s="290">
        <v>250</v>
      </c>
      <c r="O73" s="46"/>
      <c r="P73" s="46" t="s">
        <v>39</v>
      </c>
      <c r="Q73" s="170"/>
      <c r="R73" s="192" t="str">
        <f t="shared" si="0"/>
        <v>250grams</v>
      </c>
      <c r="S73" s="198">
        <f t="shared" si="1"/>
        <v>500</v>
      </c>
      <c r="T73" s="199" t="str">
        <f t="shared" si="2"/>
        <v>500grams</v>
      </c>
      <c r="U73" s="200">
        <f t="shared" si="3"/>
        <v>360.5</v>
      </c>
      <c r="V73" s="12"/>
      <c r="W73" s="12"/>
    </row>
    <row r="74" spans="1:23" x14ac:dyDescent="0.3">
      <c r="A74" s="183" t="e">
        <f ca="1"/>
        <v>#NAME?</v>
      </c>
      <c r="B74" s="46" t="s">
        <v>868</v>
      </c>
      <c r="C74" s="170"/>
      <c r="D74" s="194"/>
      <c r="E74" s="194"/>
      <c r="F74" s="194"/>
      <c r="G74" s="194"/>
      <c r="H74" s="183"/>
      <c r="I74" s="170"/>
      <c r="J74" s="46" t="s">
        <v>870</v>
      </c>
      <c r="K74" s="170"/>
      <c r="L74" s="288">
        <v>185</v>
      </c>
      <c r="M74" s="289">
        <v>1</v>
      </c>
      <c r="N74" s="290">
        <v>200</v>
      </c>
      <c r="O74" s="46"/>
      <c r="P74" s="46" t="s">
        <v>39</v>
      </c>
      <c r="Q74" s="170"/>
      <c r="R74" s="192" t="str">
        <f t="shared" si="0"/>
        <v>200grams</v>
      </c>
      <c r="S74" s="198">
        <f t="shared" si="1"/>
        <v>200</v>
      </c>
      <c r="T74" s="199" t="str">
        <f t="shared" si="2"/>
        <v>200grams</v>
      </c>
      <c r="U74" s="200">
        <f t="shared" si="3"/>
        <v>185</v>
      </c>
      <c r="V74" s="205">
        <f t="shared" ref="V74:V75" si="6">U74/M74</f>
        <v>185</v>
      </c>
      <c r="W74" s="62"/>
    </row>
    <row r="75" spans="1:23" x14ac:dyDescent="0.3">
      <c r="A75" s="183" t="e">
        <f ca="1"/>
        <v>#NAME?</v>
      </c>
      <c r="B75" s="46" t="s">
        <v>868</v>
      </c>
      <c r="C75" s="170"/>
      <c r="D75" s="194"/>
      <c r="E75" s="194"/>
      <c r="F75" s="194"/>
      <c r="G75" s="170"/>
      <c r="H75" s="183"/>
      <c r="I75" s="170"/>
      <c r="J75" s="46" t="s">
        <v>871</v>
      </c>
      <c r="K75" s="170"/>
      <c r="L75" s="288">
        <v>75</v>
      </c>
      <c r="M75" s="289">
        <v>2</v>
      </c>
      <c r="N75" s="290">
        <v>230</v>
      </c>
      <c r="O75" s="46"/>
      <c r="P75" s="46" t="s">
        <v>39</v>
      </c>
      <c r="Q75" s="61" t="s">
        <v>33</v>
      </c>
      <c r="R75" s="192" t="str">
        <f t="shared" si="0"/>
        <v>230grams</v>
      </c>
      <c r="S75" s="198">
        <f t="shared" si="1"/>
        <v>460</v>
      </c>
      <c r="T75" s="199" t="str">
        <f t="shared" si="2"/>
        <v>460 grams</v>
      </c>
      <c r="U75" s="200">
        <f t="shared" si="3"/>
        <v>150</v>
      </c>
      <c r="V75" s="205">
        <f t="shared" si="6"/>
        <v>75</v>
      </c>
      <c r="W75" s="62"/>
    </row>
    <row r="76" spans="1:23" x14ac:dyDescent="0.3">
      <c r="A76" s="183" t="e">
        <f ca="1"/>
        <v>#NAME?</v>
      </c>
      <c r="B76" s="219" t="s">
        <v>872</v>
      </c>
      <c r="C76" s="170"/>
      <c r="D76" s="194"/>
      <c r="E76" s="194"/>
      <c r="F76" s="194"/>
      <c r="G76" s="170"/>
      <c r="H76" s="183"/>
      <c r="I76" s="170"/>
      <c r="J76" s="219" t="s">
        <v>873</v>
      </c>
      <c r="K76" s="170"/>
      <c r="L76" s="291">
        <v>32</v>
      </c>
      <c r="M76" s="292">
        <v>2</v>
      </c>
      <c r="N76" s="293">
        <v>290</v>
      </c>
      <c r="O76" s="219"/>
      <c r="P76" s="219" t="s">
        <v>39</v>
      </c>
      <c r="Q76" s="170"/>
      <c r="R76" s="192" t="str">
        <f t="shared" si="0"/>
        <v>290grams</v>
      </c>
      <c r="S76" s="198">
        <f t="shared" si="1"/>
        <v>580</v>
      </c>
      <c r="T76" s="199" t="str">
        <f t="shared" si="2"/>
        <v>580grams</v>
      </c>
      <c r="U76" s="200">
        <f t="shared" si="3"/>
        <v>64</v>
      </c>
      <c r="V76" s="12"/>
      <c r="W76" s="12"/>
    </row>
    <row r="77" spans="1:23" x14ac:dyDescent="0.3">
      <c r="A77" s="183" t="e">
        <f ca="1"/>
        <v>#NAME?</v>
      </c>
      <c r="B77" s="219" t="s">
        <v>874</v>
      </c>
      <c r="C77" s="170"/>
      <c r="D77" s="194"/>
      <c r="E77" s="194"/>
      <c r="F77" s="194"/>
      <c r="G77" s="170"/>
      <c r="H77" s="183"/>
      <c r="I77" s="170"/>
      <c r="J77" s="219" t="s">
        <v>875</v>
      </c>
      <c r="K77" s="170"/>
      <c r="L77" s="291">
        <v>110</v>
      </c>
      <c r="M77" s="292">
        <v>1</v>
      </c>
      <c r="N77" s="293">
        <v>250</v>
      </c>
      <c r="O77" s="219"/>
      <c r="P77" s="219" t="s">
        <v>39</v>
      </c>
      <c r="Q77" s="170"/>
      <c r="R77" s="192" t="str">
        <f t="shared" si="0"/>
        <v>250grams</v>
      </c>
      <c r="S77" s="198">
        <f t="shared" si="1"/>
        <v>250</v>
      </c>
      <c r="T77" s="199" t="str">
        <f t="shared" si="2"/>
        <v>250grams</v>
      </c>
      <c r="U77" s="200">
        <f t="shared" si="3"/>
        <v>110</v>
      </c>
      <c r="V77" s="205">
        <f>U77/M77</f>
        <v>110</v>
      </c>
      <c r="W77" s="62"/>
    </row>
    <row r="78" spans="1:23" x14ac:dyDescent="0.3">
      <c r="A78" s="183" t="e">
        <f ca="1"/>
        <v>#NAME?</v>
      </c>
      <c r="B78" s="219" t="s">
        <v>876</v>
      </c>
      <c r="C78" s="170"/>
      <c r="D78" s="194"/>
      <c r="E78" s="194"/>
      <c r="F78" s="194"/>
      <c r="G78" s="170"/>
      <c r="H78" s="183"/>
      <c r="I78" s="170"/>
      <c r="J78" s="219" t="s">
        <v>875</v>
      </c>
      <c r="K78" s="170"/>
      <c r="L78" s="291">
        <v>107.5</v>
      </c>
      <c r="M78" s="292">
        <v>1</v>
      </c>
      <c r="N78" s="293">
        <v>250</v>
      </c>
      <c r="O78" s="219"/>
      <c r="P78" s="219" t="s">
        <v>39</v>
      </c>
      <c r="Q78" s="170"/>
      <c r="R78" s="192" t="str">
        <f t="shared" si="0"/>
        <v>250grams</v>
      </c>
      <c r="S78" s="198">
        <f t="shared" si="1"/>
        <v>250</v>
      </c>
      <c r="T78" s="199" t="str">
        <f t="shared" si="2"/>
        <v>250grams</v>
      </c>
      <c r="U78" s="200">
        <f t="shared" si="3"/>
        <v>107.5</v>
      </c>
      <c r="V78" s="12"/>
      <c r="W78" s="12"/>
    </row>
    <row r="79" spans="1:23" x14ac:dyDescent="0.3">
      <c r="A79" s="183" t="e">
        <f ca="1"/>
        <v>#NAME?</v>
      </c>
      <c r="B79" s="46" t="s">
        <v>489</v>
      </c>
      <c r="C79" s="170"/>
      <c r="D79" s="194"/>
      <c r="E79" s="194"/>
      <c r="F79" s="194"/>
      <c r="G79" s="170"/>
      <c r="H79" s="183"/>
      <c r="I79" s="170"/>
      <c r="J79" s="46" t="s">
        <v>877</v>
      </c>
      <c r="K79" s="170"/>
      <c r="L79" s="288">
        <v>35</v>
      </c>
      <c r="M79" s="289">
        <v>2</v>
      </c>
      <c r="N79" s="290">
        <v>340</v>
      </c>
      <c r="O79" s="46"/>
      <c r="P79" s="46" t="s">
        <v>39</v>
      </c>
      <c r="Q79" s="61" t="s">
        <v>33</v>
      </c>
      <c r="R79" s="192" t="str">
        <f t="shared" si="0"/>
        <v>340grams</v>
      </c>
      <c r="S79" s="198">
        <f t="shared" si="1"/>
        <v>680</v>
      </c>
      <c r="T79" s="199" t="str">
        <f t="shared" si="2"/>
        <v>680 grams</v>
      </c>
      <c r="U79" s="200">
        <f t="shared" si="3"/>
        <v>70</v>
      </c>
      <c r="V79" s="205">
        <f>U79/M79</f>
        <v>35</v>
      </c>
      <c r="W79" s="62"/>
    </row>
    <row r="80" spans="1:23" x14ac:dyDescent="0.3">
      <c r="A80" s="183" t="e">
        <f ca="1"/>
        <v>#NAME?</v>
      </c>
      <c r="B80" s="46" t="s">
        <v>878</v>
      </c>
      <c r="C80" s="170"/>
      <c r="D80" s="194"/>
      <c r="E80" s="170"/>
      <c r="F80" s="170"/>
      <c r="G80" s="170"/>
      <c r="H80" s="183"/>
      <c r="I80" s="170"/>
      <c r="J80" s="170"/>
      <c r="K80" s="170"/>
      <c r="L80" s="288">
        <v>60</v>
      </c>
      <c r="M80" s="289">
        <v>5</v>
      </c>
      <c r="N80" s="290">
        <v>1</v>
      </c>
      <c r="O80" s="46"/>
      <c r="P80" s="46" t="s">
        <v>213</v>
      </c>
      <c r="Q80" s="170"/>
      <c r="R80" s="192" t="str">
        <f t="shared" si="0"/>
        <v>1kilos</v>
      </c>
      <c r="S80" s="198">
        <f t="shared" si="1"/>
        <v>5</v>
      </c>
      <c r="T80" s="199" t="str">
        <f t="shared" si="2"/>
        <v>5kilos</v>
      </c>
      <c r="U80" s="200">
        <f t="shared" si="3"/>
        <v>300</v>
      </c>
      <c r="V80" s="12"/>
      <c r="W80" s="12"/>
    </row>
    <row r="81" spans="1:23" x14ac:dyDescent="0.3">
      <c r="A81" s="183" t="e">
        <f ca="1"/>
        <v>#NAME?</v>
      </c>
      <c r="B81" s="46" t="s">
        <v>878</v>
      </c>
      <c r="C81" s="170"/>
      <c r="D81" s="194"/>
      <c r="E81" s="170"/>
      <c r="F81" s="170"/>
      <c r="G81" s="170"/>
      <c r="H81" s="183"/>
      <c r="I81" s="170"/>
      <c r="J81" s="170"/>
      <c r="K81" s="170"/>
      <c r="L81" s="288">
        <v>160</v>
      </c>
      <c r="M81" s="289">
        <v>0</v>
      </c>
      <c r="N81" s="290">
        <v>1</v>
      </c>
      <c r="O81" s="46"/>
      <c r="P81" s="46" t="s">
        <v>213</v>
      </c>
      <c r="Q81" s="170"/>
      <c r="R81" s="192" t="str">
        <f t="shared" si="0"/>
        <v>1kilos</v>
      </c>
      <c r="S81" s="198">
        <f t="shared" si="1"/>
        <v>0</v>
      </c>
      <c r="T81" s="199" t="str">
        <f t="shared" si="2"/>
        <v>0kilos</v>
      </c>
      <c r="U81" s="200">
        <f t="shared" si="3"/>
        <v>0</v>
      </c>
      <c r="V81" s="12"/>
      <c r="W81" s="12"/>
    </row>
    <row r="82" spans="1:23" x14ac:dyDescent="0.3">
      <c r="A82" s="183" t="e">
        <f ca="1"/>
        <v>#NAME?</v>
      </c>
      <c r="B82" s="46" t="s">
        <v>878</v>
      </c>
      <c r="C82" s="170"/>
      <c r="D82" s="194"/>
      <c r="E82" s="194"/>
      <c r="F82" s="170"/>
      <c r="G82" s="170"/>
      <c r="H82" s="183"/>
      <c r="I82" s="170"/>
      <c r="J82" s="170"/>
      <c r="K82" s="170"/>
      <c r="L82" s="288">
        <v>200</v>
      </c>
      <c r="M82" s="289">
        <v>1</v>
      </c>
      <c r="N82" s="290">
        <v>1</v>
      </c>
      <c r="O82" s="46"/>
      <c r="P82" s="46" t="s">
        <v>213</v>
      </c>
      <c r="Q82" s="170"/>
      <c r="R82" s="192" t="str">
        <f t="shared" si="0"/>
        <v>1kilos</v>
      </c>
      <c r="S82" s="198">
        <f t="shared" si="1"/>
        <v>1</v>
      </c>
      <c r="T82" s="199" t="str">
        <f t="shared" si="2"/>
        <v>1kilos</v>
      </c>
      <c r="U82" s="200">
        <f t="shared" si="3"/>
        <v>200</v>
      </c>
      <c r="V82" s="12"/>
      <c r="W82" s="12"/>
    </row>
    <row r="83" spans="1:23" x14ac:dyDescent="0.3">
      <c r="A83" s="183" t="e">
        <f ca="1"/>
        <v>#NAME?</v>
      </c>
      <c r="B83" s="46" t="s">
        <v>878</v>
      </c>
      <c r="C83" s="215"/>
      <c r="D83" s="194"/>
      <c r="E83" s="214"/>
      <c r="F83" s="214"/>
      <c r="G83" s="215"/>
      <c r="H83" s="183"/>
      <c r="I83" s="170"/>
      <c r="J83" s="170"/>
      <c r="K83" s="170"/>
      <c r="L83" s="288">
        <v>170</v>
      </c>
      <c r="M83" s="289">
        <v>0</v>
      </c>
      <c r="N83" s="290">
        <v>1</v>
      </c>
      <c r="O83" s="46"/>
      <c r="P83" s="46" t="s">
        <v>213</v>
      </c>
      <c r="Q83" s="170"/>
      <c r="R83" s="192" t="str">
        <f t="shared" si="0"/>
        <v>1kilos</v>
      </c>
      <c r="S83" s="198">
        <f t="shared" si="1"/>
        <v>0</v>
      </c>
      <c r="T83" s="199" t="str">
        <f t="shared" si="2"/>
        <v>0kilos</v>
      </c>
      <c r="U83" s="200">
        <f t="shared" si="3"/>
        <v>0</v>
      </c>
      <c r="V83" s="12"/>
      <c r="W83" s="12"/>
    </row>
    <row r="84" spans="1:23" x14ac:dyDescent="0.3">
      <c r="A84" s="183" t="e">
        <f ca="1"/>
        <v>#NAME?</v>
      </c>
      <c r="B84" s="46" t="s">
        <v>44</v>
      </c>
      <c r="C84" s="170"/>
      <c r="D84" s="194"/>
      <c r="E84" s="194"/>
      <c r="F84" s="170"/>
      <c r="G84" s="170"/>
      <c r="H84" s="183"/>
      <c r="I84" s="170"/>
      <c r="J84" s="46" t="s">
        <v>45</v>
      </c>
      <c r="K84" s="170"/>
      <c r="L84" s="288">
        <v>16.5</v>
      </c>
      <c r="M84" s="289">
        <v>1</v>
      </c>
      <c r="N84" s="290">
        <v>50</v>
      </c>
      <c r="O84" s="297"/>
      <c r="P84" s="297" t="s">
        <v>39</v>
      </c>
      <c r="Q84" s="170"/>
      <c r="R84" s="192" t="str">
        <f t="shared" si="0"/>
        <v>50grams</v>
      </c>
      <c r="S84" s="198">
        <f t="shared" si="1"/>
        <v>50</v>
      </c>
      <c r="T84" s="199" t="str">
        <f t="shared" si="2"/>
        <v>50grams</v>
      </c>
      <c r="U84" s="200">
        <f t="shared" si="3"/>
        <v>16.5</v>
      </c>
      <c r="V84" s="12"/>
      <c r="W84" s="12"/>
    </row>
    <row r="85" spans="1:23" x14ac:dyDescent="0.3">
      <c r="A85" s="183" t="e">
        <f ca="1"/>
        <v>#NAME?</v>
      </c>
      <c r="B85" s="46" t="s">
        <v>44</v>
      </c>
      <c r="C85" s="170"/>
      <c r="D85" s="194"/>
      <c r="E85" s="170"/>
      <c r="F85" s="170"/>
      <c r="G85" s="170"/>
      <c r="H85" s="183"/>
      <c r="I85" s="170"/>
      <c r="J85" s="46" t="s">
        <v>45</v>
      </c>
      <c r="K85" s="170"/>
      <c r="L85" s="288">
        <v>21</v>
      </c>
      <c r="M85" s="289">
        <v>1</v>
      </c>
      <c r="N85" s="290">
        <v>50</v>
      </c>
      <c r="O85" s="297"/>
      <c r="P85" s="297" t="s">
        <v>39</v>
      </c>
      <c r="Q85" s="170"/>
      <c r="R85" s="192" t="str">
        <f t="shared" si="0"/>
        <v>50grams</v>
      </c>
      <c r="S85" s="198">
        <f t="shared" si="1"/>
        <v>50</v>
      </c>
      <c r="T85" s="199" t="str">
        <f t="shared" si="2"/>
        <v>50grams</v>
      </c>
      <c r="U85" s="200">
        <f t="shared" si="3"/>
        <v>21</v>
      </c>
      <c r="V85" s="12"/>
      <c r="W85" s="12"/>
    </row>
    <row r="86" spans="1:23" x14ac:dyDescent="0.3">
      <c r="A86" s="183" t="e">
        <f ca="1"/>
        <v>#NAME?</v>
      </c>
      <c r="B86" s="46" t="s">
        <v>44</v>
      </c>
      <c r="C86" s="170"/>
      <c r="D86" s="194"/>
      <c r="E86" s="170"/>
      <c r="F86" s="170"/>
      <c r="G86" s="170"/>
      <c r="H86" s="183"/>
      <c r="I86" s="170"/>
      <c r="J86" s="46" t="s">
        <v>45</v>
      </c>
      <c r="K86" s="170"/>
      <c r="L86" s="288">
        <v>15.3</v>
      </c>
      <c r="M86" s="289">
        <v>3</v>
      </c>
      <c r="N86" s="290">
        <v>50</v>
      </c>
      <c r="O86" s="297"/>
      <c r="P86" s="297" t="s">
        <v>39</v>
      </c>
      <c r="Q86" s="170"/>
      <c r="R86" s="192" t="str">
        <f t="shared" si="0"/>
        <v>50grams</v>
      </c>
      <c r="S86" s="198">
        <f t="shared" si="1"/>
        <v>150</v>
      </c>
      <c r="T86" s="199" t="str">
        <f t="shared" si="2"/>
        <v>150grams</v>
      </c>
      <c r="U86" s="200">
        <f t="shared" si="3"/>
        <v>45.900000000000006</v>
      </c>
      <c r="V86" s="12"/>
      <c r="W86" s="12"/>
    </row>
    <row r="87" spans="1:23" x14ac:dyDescent="0.3">
      <c r="A87" s="183" t="e">
        <f ca="1"/>
        <v>#NAME?</v>
      </c>
      <c r="B87" s="46" t="s">
        <v>44</v>
      </c>
      <c r="C87" s="170"/>
      <c r="D87" s="194"/>
      <c r="E87" s="194"/>
      <c r="F87" s="170"/>
      <c r="G87" s="170"/>
      <c r="H87" s="183"/>
      <c r="I87" s="170"/>
      <c r="J87" s="46" t="s">
        <v>45</v>
      </c>
      <c r="K87" s="170"/>
      <c r="L87" s="288">
        <v>16.5</v>
      </c>
      <c r="M87" s="289">
        <v>3</v>
      </c>
      <c r="N87" s="290">
        <v>50</v>
      </c>
      <c r="O87" s="297"/>
      <c r="P87" s="297" t="s">
        <v>39</v>
      </c>
      <c r="Q87" s="170"/>
      <c r="R87" s="192" t="str">
        <f t="shared" si="0"/>
        <v>50grams</v>
      </c>
      <c r="S87" s="198">
        <f t="shared" si="1"/>
        <v>150</v>
      </c>
      <c r="T87" s="199" t="str">
        <f t="shared" si="2"/>
        <v>150grams</v>
      </c>
      <c r="U87" s="200">
        <f t="shared" si="3"/>
        <v>49.5</v>
      </c>
      <c r="V87" s="205">
        <f>U87/M87</f>
        <v>16.5</v>
      </c>
      <c r="W87" s="62"/>
    </row>
    <row r="88" spans="1:23" x14ac:dyDescent="0.3">
      <c r="A88" s="183" t="e">
        <f ca="1"/>
        <v>#NAME?</v>
      </c>
      <c r="B88" s="46" t="s">
        <v>44</v>
      </c>
      <c r="C88" s="170"/>
      <c r="D88" s="194"/>
      <c r="E88" s="194"/>
      <c r="F88" s="170"/>
      <c r="G88" s="170"/>
      <c r="H88" s="183"/>
      <c r="I88" s="170"/>
      <c r="J88" s="46" t="s">
        <v>45</v>
      </c>
      <c r="K88" s="170"/>
      <c r="L88" s="288">
        <v>20</v>
      </c>
      <c r="M88" s="289">
        <v>1</v>
      </c>
      <c r="N88" s="290">
        <v>50</v>
      </c>
      <c r="O88" s="297"/>
      <c r="P88" s="297" t="s">
        <v>39</v>
      </c>
      <c r="Q88" s="170"/>
      <c r="R88" s="192" t="str">
        <f t="shared" si="0"/>
        <v>50grams</v>
      </c>
      <c r="S88" s="198">
        <f t="shared" si="1"/>
        <v>50</v>
      </c>
      <c r="T88" s="199" t="str">
        <f t="shared" si="2"/>
        <v>50grams</v>
      </c>
      <c r="U88" s="200">
        <f t="shared" si="3"/>
        <v>20</v>
      </c>
      <c r="V88" s="12"/>
      <c r="W88" s="12"/>
    </row>
    <row r="89" spans="1:23" x14ac:dyDescent="0.3">
      <c r="A89" s="183" t="e">
        <f ca="1"/>
        <v>#NAME?</v>
      </c>
      <c r="B89" s="46" t="s">
        <v>44</v>
      </c>
      <c r="C89" s="170"/>
      <c r="D89" s="194"/>
      <c r="E89" s="194"/>
      <c r="F89" s="170"/>
      <c r="G89" s="170"/>
      <c r="H89" s="183"/>
      <c r="I89" s="170"/>
      <c r="J89" s="46" t="s">
        <v>45</v>
      </c>
      <c r="K89" s="170"/>
      <c r="L89" s="288">
        <v>208</v>
      </c>
      <c r="M89" s="289">
        <v>1</v>
      </c>
      <c r="N89" s="290">
        <v>1000</v>
      </c>
      <c r="O89" s="297"/>
      <c r="P89" s="297" t="s">
        <v>39</v>
      </c>
      <c r="Q89" s="170"/>
      <c r="R89" s="192" t="str">
        <f t="shared" si="0"/>
        <v>1000grams</v>
      </c>
      <c r="S89" s="198">
        <f t="shared" si="1"/>
        <v>1000</v>
      </c>
      <c r="T89" s="199" t="str">
        <f t="shared" si="2"/>
        <v>1000grams</v>
      </c>
      <c r="U89" s="200">
        <f t="shared" si="3"/>
        <v>208</v>
      </c>
      <c r="V89" s="12"/>
      <c r="W89" s="12"/>
    </row>
    <row r="90" spans="1:23" x14ac:dyDescent="0.3">
      <c r="A90" s="183" t="e">
        <f ca="1"/>
        <v>#NAME?</v>
      </c>
      <c r="B90" s="46" t="s">
        <v>44</v>
      </c>
      <c r="C90" s="170"/>
      <c r="D90" s="194"/>
      <c r="E90" s="170"/>
      <c r="F90" s="170"/>
      <c r="G90" s="170"/>
      <c r="H90" s="183"/>
      <c r="I90" s="170"/>
      <c r="J90" s="46" t="s">
        <v>45</v>
      </c>
      <c r="K90" s="170"/>
      <c r="L90" s="288">
        <v>15</v>
      </c>
      <c r="M90" s="289">
        <v>44</v>
      </c>
      <c r="N90" s="290">
        <v>50</v>
      </c>
      <c r="O90" s="297"/>
      <c r="P90" s="297" t="s">
        <v>39</v>
      </c>
      <c r="Q90" s="170"/>
      <c r="R90" s="192" t="str">
        <f t="shared" si="0"/>
        <v>50grams</v>
      </c>
      <c r="S90" s="198">
        <f t="shared" si="1"/>
        <v>2200</v>
      </c>
      <c r="T90" s="199" t="str">
        <f t="shared" si="2"/>
        <v>2200grams</v>
      </c>
      <c r="U90" s="200">
        <f t="shared" si="3"/>
        <v>660</v>
      </c>
      <c r="V90" s="12"/>
      <c r="W90" s="12"/>
    </row>
    <row r="91" spans="1:23" x14ac:dyDescent="0.3">
      <c r="A91" s="183" t="e">
        <f ca="1"/>
        <v>#NAME?</v>
      </c>
      <c r="B91" s="46" t="s">
        <v>44</v>
      </c>
      <c r="C91" s="170"/>
      <c r="D91" s="194"/>
      <c r="E91" s="170"/>
      <c r="F91" s="170"/>
      <c r="G91" s="170"/>
      <c r="H91" s="206"/>
      <c r="I91" s="170"/>
      <c r="J91" s="46" t="s">
        <v>45</v>
      </c>
      <c r="K91" s="170"/>
      <c r="L91" s="291">
        <v>20</v>
      </c>
      <c r="M91" s="292">
        <v>5</v>
      </c>
      <c r="N91" s="293">
        <v>50</v>
      </c>
      <c r="O91" s="297"/>
      <c r="P91" s="297" t="s">
        <v>39</v>
      </c>
      <c r="Q91" s="170"/>
      <c r="R91" s="192" t="str">
        <f t="shared" si="0"/>
        <v>50grams</v>
      </c>
      <c r="S91" s="198">
        <f t="shared" si="1"/>
        <v>250</v>
      </c>
      <c r="T91" s="199" t="str">
        <f t="shared" si="2"/>
        <v>250grams</v>
      </c>
      <c r="U91" s="200">
        <f t="shared" si="3"/>
        <v>100</v>
      </c>
      <c r="V91" s="12"/>
      <c r="W91" s="12"/>
    </row>
    <row r="92" spans="1:23" x14ac:dyDescent="0.3">
      <c r="A92" s="183" t="e">
        <f ca="1"/>
        <v>#NAME?</v>
      </c>
      <c r="B92" s="46" t="s">
        <v>46</v>
      </c>
      <c r="C92" s="170"/>
      <c r="D92" s="194"/>
      <c r="E92" s="170"/>
      <c r="F92" s="170"/>
      <c r="G92" s="170"/>
      <c r="H92" s="206"/>
      <c r="I92" s="170"/>
      <c r="J92" s="46" t="s">
        <v>47</v>
      </c>
      <c r="K92" s="170"/>
      <c r="L92" s="288">
        <v>32.1</v>
      </c>
      <c r="M92" s="289">
        <v>3</v>
      </c>
      <c r="N92" s="290">
        <v>250</v>
      </c>
      <c r="O92" s="46"/>
      <c r="P92" s="46" t="s">
        <v>39</v>
      </c>
      <c r="Q92" s="170"/>
      <c r="R92" s="192" t="str">
        <f t="shared" si="0"/>
        <v>250grams</v>
      </c>
      <c r="S92" s="198">
        <f t="shared" si="1"/>
        <v>750</v>
      </c>
      <c r="T92" s="199" t="str">
        <f t="shared" si="2"/>
        <v>750grams</v>
      </c>
      <c r="U92" s="200">
        <f t="shared" si="3"/>
        <v>96.300000000000011</v>
      </c>
      <c r="V92" s="12"/>
      <c r="W92" s="12"/>
    </row>
    <row r="93" spans="1:23" x14ac:dyDescent="0.3">
      <c r="A93" s="183" t="e">
        <f ca="1"/>
        <v>#NAME?</v>
      </c>
      <c r="B93" s="46" t="s">
        <v>46</v>
      </c>
      <c r="C93" s="170"/>
      <c r="D93" s="194"/>
      <c r="E93" s="194"/>
      <c r="F93" s="194"/>
      <c r="G93" s="170"/>
      <c r="H93" s="183"/>
      <c r="I93" s="170"/>
      <c r="J93" s="46" t="s">
        <v>47</v>
      </c>
      <c r="K93" s="170"/>
      <c r="L93" s="288">
        <v>32.1</v>
      </c>
      <c r="M93" s="289">
        <v>1</v>
      </c>
      <c r="N93" s="290">
        <v>250</v>
      </c>
      <c r="O93" s="46"/>
      <c r="P93" s="46" t="s">
        <v>39</v>
      </c>
      <c r="Q93" s="170"/>
      <c r="R93" s="192" t="str">
        <f t="shared" si="0"/>
        <v>250grams</v>
      </c>
      <c r="S93" s="198">
        <f t="shared" si="1"/>
        <v>250</v>
      </c>
      <c r="T93" s="199" t="str">
        <f t="shared" si="2"/>
        <v>250grams</v>
      </c>
      <c r="U93" s="200">
        <f t="shared" si="3"/>
        <v>32.1</v>
      </c>
      <c r="V93" s="12"/>
      <c r="W93" s="12"/>
    </row>
    <row r="94" spans="1:23" x14ac:dyDescent="0.3">
      <c r="A94" s="183" t="e">
        <f ca="1"/>
        <v>#NAME?</v>
      </c>
      <c r="B94" s="46" t="s">
        <v>46</v>
      </c>
      <c r="C94" s="170"/>
      <c r="D94" s="194"/>
      <c r="E94" s="194"/>
      <c r="F94" s="194"/>
      <c r="G94" s="170"/>
      <c r="H94" s="183"/>
      <c r="I94" s="170"/>
      <c r="J94" s="46" t="s">
        <v>879</v>
      </c>
      <c r="K94" s="170"/>
      <c r="L94" s="288">
        <v>64.5</v>
      </c>
      <c r="M94" s="289">
        <v>1</v>
      </c>
      <c r="N94" s="298">
        <v>454</v>
      </c>
      <c r="O94" s="46"/>
      <c r="P94" s="46" t="s">
        <v>39</v>
      </c>
      <c r="Q94" s="170"/>
      <c r="R94" s="192" t="str">
        <f t="shared" si="0"/>
        <v>454grams</v>
      </c>
      <c r="S94" s="198">
        <f t="shared" si="1"/>
        <v>454</v>
      </c>
      <c r="T94" s="199" t="str">
        <f t="shared" si="2"/>
        <v>454grams</v>
      </c>
      <c r="U94" s="200">
        <f t="shared" si="3"/>
        <v>64.5</v>
      </c>
      <c r="V94" s="12"/>
      <c r="W94" s="12"/>
    </row>
    <row r="95" spans="1:23" x14ac:dyDescent="0.3">
      <c r="A95" s="183" t="e">
        <f ca="1"/>
        <v>#NAME?</v>
      </c>
      <c r="B95" s="46" t="s">
        <v>46</v>
      </c>
      <c r="C95" s="170"/>
      <c r="D95" s="194"/>
      <c r="E95" s="170"/>
      <c r="F95" s="170"/>
      <c r="G95" s="170"/>
      <c r="H95" s="206"/>
      <c r="I95" s="170"/>
      <c r="J95" s="46" t="s">
        <v>47</v>
      </c>
      <c r="K95" s="170"/>
      <c r="L95" s="288">
        <v>118</v>
      </c>
      <c r="M95" s="289">
        <v>3</v>
      </c>
      <c r="N95" s="290">
        <v>250</v>
      </c>
      <c r="O95" s="46"/>
      <c r="P95" s="46" t="s">
        <v>39</v>
      </c>
      <c r="Q95" s="170"/>
      <c r="R95" s="192" t="str">
        <f t="shared" si="0"/>
        <v>250grams</v>
      </c>
      <c r="S95" s="198">
        <f t="shared" si="1"/>
        <v>750</v>
      </c>
      <c r="T95" s="199" t="str">
        <f t="shared" si="2"/>
        <v>750grams</v>
      </c>
      <c r="U95" s="200">
        <f t="shared" si="3"/>
        <v>354</v>
      </c>
      <c r="V95" s="12"/>
      <c r="W95" s="12"/>
    </row>
    <row r="96" spans="1:23" x14ac:dyDescent="0.3">
      <c r="A96" s="183" t="e">
        <f ca="1"/>
        <v>#NAME?</v>
      </c>
      <c r="B96" s="46" t="s">
        <v>46</v>
      </c>
      <c r="C96" s="170"/>
      <c r="D96" s="194"/>
      <c r="E96" s="194"/>
      <c r="F96" s="170"/>
      <c r="G96" s="170"/>
      <c r="H96" s="183"/>
      <c r="I96" s="170"/>
      <c r="J96" s="46" t="s">
        <v>47</v>
      </c>
      <c r="K96" s="170"/>
      <c r="L96" s="288">
        <v>26</v>
      </c>
      <c r="M96" s="289">
        <v>1</v>
      </c>
      <c r="N96" s="290">
        <v>250</v>
      </c>
      <c r="O96" s="46"/>
      <c r="P96" s="46" t="s">
        <v>39</v>
      </c>
      <c r="Q96" s="170"/>
      <c r="R96" s="192" t="str">
        <f t="shared" si="0"/>
        <v>250grams</v>
      </c>
      <c r="S96" s="198">
        <f t="shared" si="1"/>
        <v>250</v>
      </c>
      <c r="T96" s="199" t="str">
        <f t="shared" si="2"/>
        <v>250grams</v>
      </c>
      <c r="U96" s="200">
        <f t="shared" si="3"/>
        <v>26</v>
      </c>
      <c r="V96" s="12"/>
      <c r="W96" s="12"/>
    </row>
    <row r="97" spans="1:23" x14ac:dyDescent="0.3">
      <c r="A97" s="183" t="e">
        <f ca="1"/>
        <v>#NAME?</v>
      </c>
      <c r="B97" s="46" t="s">
        <v>46</v>
      </c>
      <c r="C97" s="170"/>
      <c r="D97" s="194"/>
      <c r="E97" s="170"/>
      <c r="F97" s="170"/>
      <c r="G97" s="170"/>
      <c r="H97" s="206"/>
      <c r="I97" s="170"/>
      <c r="J97" s="46" t="s">
        <v>47</v>
      </c>
      <c r="K97" s="170"/>
      <c r="L97" s="288">
        <v>13.8</v>
      </c>
      <c r="M97" s="289">
        <v>1</v>
      </c>
      <c r="N97" s="290">
        <v>125</v>
      </c>
      <c r="O97" s="46"/>
      <c r="P97" s="46" t="s">
        <v>39</v>
      </c>
      <c r="Q97" s="170"/>
      <c r="R97" s="192" t="str">
        <f t="shared" si="0"/>
        <v>125grams</v>
      </c>
      <c r="S97" s="198">
        <f t="shared" si="1"/>
        <v>125</v>
      </c>
      <c r="T97" s="199" t="str">
        <f t="shared" si="2"/>
        <v>125grams</v>
      </c>
      <c r="U97" s="200">
        <f t="shared" si="3"/>
        <v>13.8</v>
      </c>
      <c r="V97" s="12"/>
      <c r="W97" s="12"/>
    </row>
    <row r="98" spans="1:23" x14ac:dyDescent="0.3">
      <c r="A98" s="183" t="e">
        <f ca="1"/>
        <v>#NAME?</v>
      </c>
      <c r="B98" s="46" t="s">
        <v>231</v>
      </c>
      <c r="C98" s="170"/>
      <c r="D98" s="194"/>
      <c r="E98" s="170"/>
      <c r="F98" s="170"/>
      <c r="G98" s="170"/>
      <c r="H98" s="183"/>
      <c r="I98" s="170"/>
      <c r="J98" s="46" t="s">
        <v>880</v>
      </c>
      <c r="K98" s="170"/>
      <c r="L98" s="288">
        <v>169.8</v>
      </c>
      <c r="M98" s="289">
        <v>1</v>
      </c>
      <c r="N98" s="290">
        <v>250</v>
      </c>
      <c r="O98" s="46"/>
      <c r="P98" s="46" t="s">
        <v>32</v>
      </c>
      <c r="Q98" s="170"/>
      <c r="R98" s="192" t="str">
        <f t="shared" si="0"/>
        <v>250ml</v>
      </c>
      <c r="S98" s="198">
        <f t="shared" si="1"/>
        <v>250</v>
      </c>
      <c r="T98" s="199" t="str">
        <f t="shared" si="2"/>
        <v>250ml</v>
      </c>
      <c r="U98" s="200">
        <f t="shared" si="3"/>
        <v>169.8</v>
      </c>
      <c r="V98" s="12"/>
      <c r="W98" s="12"/>
    </row>
    <row r="99" spans="1:23" x14ac:dyDescent="0.3">
      <c r="A99" s="183" t="e">
        <f ca="1"/>
        <v>#NAME?</v>
      </c>
      <c r="B99" s="46" t="s">
        <v>231</v>
      </c>
      <c r="C99" s="170"/>
      <c r="D99" s="194"/>
      <c r="E99" s="194"/>
      <c r="F99" s="170"/>
      <c r="G99" s="170"/>
      <c r="H99" s="183"/>
      <c r="I99" s="170"/>
      <c r="J99" s="46" t="s">
        <v>880</v>
      </c>
      <c r="K99" s="170"/>
      <c r="L99" s="288">
        <v>198</v>
      </c>
      <c r="M99" s="289">
        <v>1</v>
      </c>
      <c r="N99" s="290">
        <v>330</v>
      </c>
      <c r="O99" s="46"/>
      <c r="P99" s="46" t="s">
        <v>32</v>
      </c>
      <c r="Q99" s="61" t="s">
        <v>33</v>
      </c>
      <c r="R99" s="192" t="str">
        <f t="shared" si="0"/>
        <v>330ml</v>
      </c>
      <c r="S99" s="198">
        <f t="shared" si="1"/>
        <v>330</v>
      </c>
      <c r="T99" s="199" t="str">
        <f t="shared" si="2"/>
        <v>330 ml</v>
      </c>
      <c r="U99" s="200">
        <f t="shared" si="3"/>
        <v>198</v>
      </c>
      <c r="V99" s="205">
        <f>U99/M99</f>
        <v>198</v>
      </c>
      <c r="W99" s="62"/>
    </row>
    <row r="100" spans="1:23" x14ac:dyDescent="0.3">
      <c r="A100" s="183" t="e">
        <f ca="1"/>
        <v>#NAME?</v>
      </c>
      <c r="B100" s="46" t="s">
        <v>231</v>
      </c>
      <c r="C100" s="170"/>
      <c r="D100" s="194"/>
      <c r="E100" s="194"/>
      <c r="F100" s="170"/>
      <c r="G100" s="170"/>
      <c r="H100" s="183"/>
      <c r="I100" s="170"/>
      <c r="J100" s="46" t="s">
        <v>881</v>
      </c>
      <c r="K100" s="170"/>
      <c r="L100" s="288">
        <v>256</v>
      </c>
      <c r="M100" s="289">
        <v>1</v>
      </c>
      <c r="N100" s="290">
        <v>500</v>
      </c>
      <c r="O100" s="46"/>
      <c r="P100" s="46" t="s">
        <v>32</v>
      </c>
      <c r="Q100" s="170"/>
      <c r="R100" s="192" t="str">
        <f t="shared" si="0"/>
        <v>500ml</v>
      </c>
      <c r="S100" s="198">
        <f t="shared" si="1"/>
        <v>500</v>
      </c>
      <c r="T100" s="199" t="str">
        <f t="shared" si="2"/>
        <v>500ml</v>
      </c>
      <c r="U100" s="200">
        <f t="shared" si="3"/>
        <v>256</v>
      </c>
      <c r="V100" s="12"/>
      <c r="W100" s="12"/>
    </row>
    <row r="101" spans="1:23" x14ac:dyDescent="0.3">
      <c r="A101" s="183" t="e">
        <f ca="1"/>
        <v>#NAME?</v>
      </c>
      <c r="B101" s="219" t="s">
        <v>882</v>
      </c>
      <c r="C101" s="170"/>
      <c r="D101" s="194"/>
      <c r="E101" s="194"/>
      <c r="F101" s="194"/>
      <c r="G101" s="170"/>
      <c r="H101" s="183"/>
      <c r="I101" s="170"/>
      <c r="J101" s="219" t="s">
        <v>883</v>
      </c>
      <c r="K101" s="170"/>
      <c r="L101" s="291">
        <v>145</v>
      </c>
      <c r="M101" s="292">
        <v>2</v>
      </c>
      <c r="N101" s="293">
        <v>1</v>
      </c>
      <c r="O101" s="219"/>
      <c r="P101" s="219" t="s">
        <v>304</v>
      </c>
      <c r="Q101" s="170"/>
      <c r="R101" s="192" t="str">
        <f t="shared" si="0"/>
        <v>1packs</v>
      </c>
      <c r="S101" s="198">
        <f t="shared" si="1"/>
        <v>2</v>
      </c>
      <c r="T101" s="199" t="str">
        <f t="shared" si="2"/>
        <v>2packs</v>
      </c>
      <c r="U101" s="200">
        <f t="shared" si="3"/>
        <v>290</v>
      </c>
      <c r="V101" s="205">
        <f>U101/M101</f>
        <v>145</v>
      </c>
      <c r="W101" s="62"/>
    </row>
    <row r="102" spans="1:23" x14ac:dyDescent="0.3">
      <c r="A102" s="183" t="e">
        <f ca="1"/>
        <v>#NAME?</v>
      </c>
      <c r="B102" s="46" t="s">
        <v>884</v>
      </c>
      <c r="C102" s="170"/>
      <c r="D102" s="194"/>
      <c r="E102" s="194"/>
      <c r="F102" s="194"/>
      <c r="G102" s="170"/>
      <c r="H102" s="183"/>
      <c r="I102" s="170"/>
      <c r="J102" s="170"/>
      <c r="K102" s="170"/>
      <c r="L102" s="288">
        <v>40</v>
      </c>
      <c r="M102" s="289">
        <v>1</v>
      </c>
      <c r="N102" s="290">
        <v>1</v>
      </c>
      <c r="O102" s="46"/>
      <c r="P102" s="46" t="s">
        <v>213</v>
      </c>
      <c r="Q102" s="170"/>
      <c r="R102" s="192" t="str">
        <f t="shared" si="0"/>
        <v>1kilos</v>
      </c>
      <c r="S102" s="198">
        <f t="shared" si="1"/>
        <v>1</v>
      </c>
      <c r="T102" s="199" t="str">
        <f t="shared" si="2"/>
        <v>1kilos</v>
      </c>
      <c r="U102" s="200">
        <f t="shared" si="3"/>
        <v>40</v>
      </c>
      <c r="V102" s="12"/>
      <c r="W102" s="12"/>
    </row>
    <row r="103" spans="1:23" x14ac:dyDescent="0.3">
      <c r="A103" s="183" t="e">
        <f ca="1"/>
        <v>#NAME?</v>
      </c>
      <c r="B103" s="46" t="s">
        <v>885</v>
      </c>
      <c r="C103" s="170"/>
      <c r="D103" s="194"/>
      <c r="E103" s="170"/>
      <c r="F103" s="170"/>
      <c r="G103" s="170"/>
      <c r="H103" s="206"/>
      <c r="I103" s="170"/>
      <c r="J103" s="170"/>
      <c r="K103" s="170"/>
      <c r="L103" s="288">
        <v>110</v>
      </c>
      <c r="M103" s="289">
        <v>2</v>
      </c>
      <c r="N103" s="290">
        <v>1</v>
      </c>
      <c r="O103" s="46"/>
      <c r="P103" s="46" t="s">
        <v>213</v>
      </c>
      <c r="Q103" s="170"/>
      <c r="R103" s="192" t="str">
        <f t="shared" si="0"/>
        <v>1kilos</v>
      </c>
      <c r="S103" s="198">
        <f t="shared" si="1"/>
        <v>2</v>
      </c>
      <c r="T103" s="199" t="str">
        <f t="shared" si="2"/>
        <v>2kilos</v>
      </c>
      <c r="U103" s="200">
        <f t="shared" si="3"/>
        <v>220</v>
      </c>
      <c r="V103" s="12"/>
      <c r="W103" s="12"/>
    </row>
    <row r="104" spans="1:23" x14ac:dyDescent="0.3">
      <c r="A104" s="183" t="e">
        <f ca="1"/>
        <v>#NAME?</v>
      </c>
      <c r="B104" s="46" t="s">
        <v>886</v>
      </c>
      <c r="C104" s="170"/>
      <c r="D104" s="194"/>
      <c r="E104" s="170"/>
      <c r="F104" s="170"/>
      <c r="G104" s="170"/>
      <c r="H104" s="206"/>
      <c r="I104" s="170"/>
      <c r="J104" s="46" t="s">
        <v>887</v>
      </c>
      <c r="K104" s="170"/>
      <c r="L104" s="288">
        <v>36</v>
      </c>
      <c r="M104" s="289">
        <v>2</v>
      </c>
      <c r="N104" s="290">
        <v>30</v>
      </c>
      <c r="O104" s="46"/>
      <c r="P104" s="46" t="s">
        <v>39</v>
      </c>
      <c r="Q104" s="170"/>
      <c r="R104" s="192" t="str">
        <f t="shared" si="0"/>
        <v>30grams</v>
      </c>
      <c r="S104" s="198">
        <f t="shared" si="1"/>
        <v>60</v>
      </c>
      <c r="T104" s="199" t="str">
        <f t="shared" si="2"/>
        <v>60grams</v>
      </c>
      <c r="U104" s="200">
        <f t="shared" si="3"/>
        <v>72</v>
      </c>
      <c r="V104" s="12"/>
      <c r="W104" s="12"/>
    </row>
    <row r="105" spans="1:23" x14ac:dyDescent="0.3">
      <c r="A105" s="183" t="e">
        <f ca="1"/>
        <v>#NAME?</v>
      </c>
      <c r="B105" s="219" t="s">
        <v>888</v>
      </c>
      <c r="C105" s="170"/>
      <c r="D105" s="194"/>
      <c r="E105" s="194"/>
      <c r="F105" s="170"/>
      <c r="G105" s="170"/>
      <c r="H105" s="183"/>
      <c r="I105" s="170"/>
      <c r="J105" s="219" t="s">
        <v>889</v>
      </c>
      <c r="K105" s="170"/>
      <c r="L105" s="291">
        <v>55</v>
      </c>
      <c r="M105" s="292">
        <v>1</v>
      </c>
      <c r="N105" s="293">
        <v>25</v>
      </c>
      <c r="O105" s="219"/>
      <c r="P105" s="219" t="s">
        <v>32</v>
      </c>
      <c r="Q105" s="170"/>
      <c r="R105" s="192" t="str">
        <f t="shared" si="0"/>
        <v>25ml</v>
      </c>
      <c r="S105" s="198">
        <f t="shared" si="1"/>
        <v>25</v>
      </c>
      <c r="T105" s="199" t="str">
        <f t="shared" si="2"/>
        <v>25ml</v>
      </c>
      <c r="U105" s="200">
        <f t="shared" si="3"/>
        <v>55</v>
      </c>
      <c r="V105" s="205">
        <f>U105/M105</f>
        <v>55</v>
      </c>
      <c r="W105" s="62"/>
    </row>
    <row r="106" spans="1:23" x14ac:dyDescent="0.3">
      <c r="A106" s="183" t="e">
        <f ca="1"/>
        <v>#NAME?</v>
      </c>
      <c r="B106" s="219" t="s">
        <v>888</v>
      </c>
      <c r="C106" s="170"/>
      <c r="D106" s="194"/>
      <c r="E106" s="194"/>
      <c r="F106" s="170"/>
      <c r="G106" s="170"/>
      <c r="H106" s="183"/>
      <c r="I106" s="170"/>
      <c r="J106" s="219" t="s">
        <v>890</v>
      </c>
      <c r="K106" s="170"/>
      <c r="L106" s="291">
        <v>41</v>
      </c>
      <c r="M106" s="292">
        <v>2</v>
      </c>
      <c r="N106" s="293">
        <v>25</v>
      </c>
      <c r="O106" s="219"/>
      <c r="P106" s="219" t="s">
        <v>32</v>
      </c>
      <c r="Q106" s="170"/>
      <c r="R106" s="192" t="str">
        <f t="shared" si="0"/>
        <v>25ml</v>
      </c>
      <c r="S106" s="198">
        <f t="shared" si="1"/>
        <v>50</v>
      </c>
      <c r="T106" s="199" t="str">
        <f t="shared" si="2"/>
        <v>50ml</v>
      </c>
      <c r="U106" s="200">
        <f t="shared" si="3"/>
        <v>82</v>
      </c>
      <c r="V106" s="12"/>
      <c r="W106" s="12"/>
    </row>
    <row r="107" spans="1:23" x14ac:dyDescent="0.3">
      <c r="A107" s="183" t="e">
        <f ca="1"/>
        <v>#NAME?</v>
      </c>
      <c r="B107" s="46" t="s">
        <v>492</v>
      </c>
      <c r="C107" s="215"/>
      <c r="D107" s="194"/>
      <c r="E107" s="215"/>
      <c r="F107" s="215"/>
      <c r="G107" s="215"/>
      <c r="H107" s="206"/>
      <c r="I107" s="170"/>
      <c r="J107" s="296"/>
      <c r="K107" s="170"/>
      <c r="L107" s="288">
        <v>260</v>
      </c>
      <c r="M107" s="289">
        <v>20</v>
      </c>
      <c r="N107" s="290">
        <v>1</v>
      </c>
      <c r="O107" s="46"/>
      <c r="P107" s="46" t="s">
        <v>213</v>
      </c>
      <c r="Q107" s="170"/>
      <c r="R107" s="192" t="str">
        <f t="shared" si="0"/>
        <v>1kilos</v>
      </c>
      <c r="S107" s="198">
        <f t="shared" si="1"/>
        <v>20</v>
      </c>
      <c r="T107" s="199" t="str">
        <f t="shared" si="2"/>
        <v>20kilos</v>
      </c>
      <c r="U107" s="200">
        <f t="shared" si="3"/>
        <v>5200</v>
      </c>
      <c r="V107" s="12"/>
      <c r="W107" s="12"/>
    </row>
    <row r="108" spans="1:23" x14ac:dyDescent="0.3">
      <c r="A108" s="183" t="e">
        <f ca="1"/>
        <v>#NAME?</v>
      </c>
      <c r="B108" s="46" t="s">
        <v>492</v>
      </c>
      <c r="C108" s="170"/>
      <c r="D108" s="194"/>
      <c r="E108" s="194"/>
      <c r="F108" s="194"/>
      <c r="G108" s="170"/>
      <c r="H108" s="183"/>
      <c r="I108" s="170"/>
      <c r="J108" s="170"/>
      <c r="K108" s="170"/>
      <c r="L108" s="288">
        <v>200</v>
      </c>
      <c r="M108" s="289">
        <v>4</v>
      </c>
      <c r="N108" s="290">
        <v>1</v>
      </c>
      <c r="O108" s="46"/>
      <c r="P108" s="46" t="s">
        <v>213</v>
      </c>
      <c r="Q108" s="61" t="s">
        <v>33</v>
      </c>
      <c r="R108" s="192" t="str">
        <f t="shared" si="0"/>
        <v>1kilos</v>
      </c>
      <c r="S108" s="198">
        <f t="shared" si="1"/>
        <v>4</v>
      </c>
      <c r="T108" s="199" t="str">
        <f t="shared" si="2"/>
        <v>4 kilos</v>
      </c>
      <c r="U108" s="200">
        <f t="shared" si="3"/>
        <v>800</v>
      </c>
      <c r="V108" s="205">
        <f>U108/M108</f>
        <v>200</v>
      </c>
      <c r="W108" s="62"/>
    </row>
    <row r="109" spans="1:23" x14ac:dyDescent="0.3">
      <c r="A109" s="183" t="e">
        <f ca="1"/>
        <v>#NAME?</v>
      </c>
      <c r="B109" s="46" t="s">
        <v>492</v>
      </c>
      <c r="C109" s="170"/>
      <c r="D109" s="194"/>
      <c r="E109" s="194"/>
      <c r="F109" s="194"/>
      <c r="G109" s="170"/>
      <c r="H109" s="183"/>
      <c r="I109" s="170"/>
      <c r="J109" s="170"/>
      <c r="K109" s="170"/>
      <c r="L109" s="288">
        <v>280</v>
      </c>
      <c r="M109" s="289">
        <v>3</v>
      </c>
      <c r="N109" s="290">
        <v>1</v>
      </c>
      <c r="O109" s="46"/>
      <c r="P109" s="46" t="s">
        <v>213</v>
      </c>
      <c r="Q109" s="170"/>
      <c r="R109" s="192" t="str">
        <f t="shared" si="0"/>
        <v>1kilos</v>
      </c>
      <c r="S109" s="198">
        <f t="shared" si="1"/>
        <v>3</v>
      </c>
      <c r="T109" s="199" t="str">
        <f t="shared" si="2"/>
        <v>3kilos</v>
      </c>
      <c r="U109" s="200">
        <f t="shared" si="3"/>
        <v>840</v>
      </c>
      <c r="V109" s="12"/>
      <c r="W109" s="12"/>
    </row>
    <row r="110" spans="1:23" x14ac:dyDescent="0.3">
      <c r="A110" s="183" t="e">
        <f ca="1"/>
        <v>#NAME?</v>
      </c>
      <c r="B110" s="46" t="s">
        <v>492</v>
      </c>
      <c r="C110" s="170"/>
      <c r="D110" s="194"/>
      <c r="E110" s="194"/>
      <c r="F110" s="194"/>
      <c r="G110" s="170"/>
      <c r="H110" s="183"/>
      <c r="I110" s="170"/>
      <c r="J110" s="170"/>
      <c r="K110" s="170"/>
      <c r="L110" s="288">
        <v>200</v>
      </c>
      <c r="M110" s="289">
        <v>7</v>
      </c>
      <c r="N110" s="290">
        <v>1</v>
      </c>
      <c r="O110" s="46"/>
      <c r="P110" s="46" t="s">
        <v>213</v>
      </c>
      <c r="Q110" s="170"/>
      <c r="R110" s="192" t="str">
        <f t="shared" si="0"/>
        <v>1kilos</v>
      </c>
      <c r="S110" s="198">
        <f t="shared" si="1"/>
        <v>7</v>
      </c>
      <c r="T110" s="199" t="str">
        <f t="shared" si="2"/>
        <v>7kilos</v>
      </c>
      <c r="U110" s="200">
        <f t="shared" si="3"/>
        <v>1400</v>
      </c>
      <c r="V110" s="12"/>
      <c r="W110" s="12"/>
    </row>
    <row r="111" spans="1:23" x14ac:dyDescent="0.3">
      <c r="A111" s="183" t="e">
        <f ca="1"/>
        <v>#NAME?</v>
      </c>
      <c r="B111" s="46" t="s">
        <v>492</v>
      </c>
      <c r="C111" s="170"/>
      <c r="D111" s="194"/>
      <c r="E111" s="194"/>
      <c r="F111" s="194"/>
      <c r="G111" s="170"/>
      <c r="H111" s="206"/>
      <c r="I111" s="170"/>
      <c r="J111" s="296"/>
      <c r="K111" s="170"/>
      <c r="L111" s="288">
        <v>300</v>
      </c>
      <c r="M111" s="289">
        <v>3</v>
      </c>
      <c r="N111" s="290">
        <v>1</v>
      </c>
      <c r="O111" s="46"/>
      <c r="P111" s="46" t="s">
        <v>213</v>
      </c>
      <c r="Q111" s="170"/>
      <c r="R111" s="192" t="str">
        <f t="shared" si="0"/>
        <v>1kilos</v>
      </c>
      <c r="S111" s="198">
        <f t="shared" si="1"/>
        <v>3</v>
      </c>
      <c r="T111" s="199" t="str">
        <f t="shared" si="2"/>
        <v>3kilos</v>
      </c>
      <c r="U111" s="200">
        <f t="shared" si="3"/>
        <v>900</v>
      </c>
      <c r="V111" s="12"/>
      <c r="W111" s="12"/>
    </row>
    <row r="112" spans="1:23" x14ac:dyDescent="0.3">
      <c r="A112" s="183" t="e">
        <f ca="1"/>
        <v>#NAME?</v>
      </c>
      <c r="B112" s="46" t="s">
        <v>492</v>
      </c>
      <c r="C112" s="170"/>
      <c r="D112" s="194"/>
      <c r="E112" s="170"/>
      <c r="F112" s="170"/>
      <c r="G112" s="170"/>
      <c r="H112" s="206"/>
      <c r="I112" s="170"/>
      <c r="J112" s="170"/>
      <c r="K112" s="170"/>
      <c r="L112" s="288">
        <v>220</v>
      </c>
      <c r="M112" s="289">
        <v>1</v>
      </c>
      <c r="N112" s="290">
        <v>1</v>
      </c>
      <c r="O112" s="46"/>
      <c r="P112" s="46" t="s">
        <v>213</v>
      </c>
      <c r="Q112" s="170"/>
      <c r="R112" s="192" t="str">
        <f t="shared" si="0"/>
        <v>1kilos</v>
      </c>
      <c r="S112" s="198">
        <f t="shared" si="1"/>
        <v>1</v>
      </c>
      <c r="T112" s="199" t="str">
        <f t="shared" si="2"/>
        <v>1kilos</v>
      </c>
      <c r="U112" s="200">
        <f t="shared" si="3"/>
        <v>220</v>
      </c>
      <c r="V112" s="12"/>
      <c r="W112" s="12"/>
    </row>
    <row r="113" spans="1:23" x14ac:dyDescent="0.3">
      <c r="A113" s="183" t="e">
        <f ca="1"/>
        <v>#NAME?</v>
      </c>
      <c r="B113" s="46" t="s">
        <v>492</v>
      </c>
      <c r="C113" s="170"/>
      <c r="D113" s="194"/>
      <c r="E113" s="170"/>
      <c r="F113" s="170"/>
      <c r="G113" s="170"/>
      <c r="H113" s="206"/>
      <c r="I113" s="170"/>
      <c r="J113" s="170"/>
      <c r="K113" s="170"/>
      <c r="L113" s="288">
        <v>150</v>
      </c>
      <c r="M113" s="289">
        <v>5</v>
      </c>
      <c r="N113" s="290">
        <v>1</v>
      </c>
      <c r="O113" s="46"/>
      <c r="P113" s="46" t="s">
        <v>213</v>
      </c>
      <c r="Q113" s="170"/>
      <c r="R113" s="192" t="str">
        <f t="shared" si="0"/>
        <v>1kilos</v>
      </c>
      <c r="S113" s="198">
        <f t="shared" si="1"/>
        <v>5</v>
      </c>
      <c r="T113" s="199" t="str">
        <f t="shared" si="2"/>
        <v>5kilos</v>
      </c>
      <c r="U113" s="200">
        <f t="shared" si="3"/>
        <v>750</v>
      </c>
      <c r="V113" s="12"/>
      <c r="W113" s="12"/>
    </row>
    <row r="114" spans="1:23" x14ac:dyDescent="0.3">
      <c r="A114" s="183" t="e">
        <f ca="1"/>
        <v>#NAME?</v>
      </c>
      <c r="B114" s="46" t="s">
        <v>891</v>
      </c>
      <c r="C114" s="170"/>
      <c r="D114" s="194"/>
      <c r="E114" s="194"/>
      <c r="F114" s="194"/>
      <c r="G114" s="170"/>
      <c r="H114" s="183"/>
      <c r="I114" s="170"/>
      <c r="J114" s="46" t="s">
        <v>892</v>
      </c>
      <c r="K114" s="170"/>
      <c r="L114" s="288">
        <v>265</v>
      </c>
      <c r="M114" s="289">
        <v>1</v>
      </c>
      <c r="N114" s="290">
        <v>1</v>
      </c>
      <c r="O114" s="46"/>
      <c r="P114" s="46" t="s">
        <v>213</v>
      </c>
      <c r="Q114" s="170"/>
      <c r="R114" s="192" t="str">
        <f t="shared" si="0"/>
        <v>1kilos</v>
      </c>
      <c r="S114" s="198">
        <f t="shared" si="1"/>
        <v>1</v>
      </c>
      <c r="T114" s="199" t="str">
        <f t="shared" si="2"/>
        <v>1kilos</v>
      </c>
      <c r="U114" s="200">
        <f t="shared" si="3"/>
        <v>265</v>
      </c>
      <c r="V114" s="12"/>
      <c r="W114" s="12"/>
    </row>
    <row r="115" spans="1:23" x14ac:dyDescent="0.3">
      <c r="A115" s="183" t="e">
        <f ca="1"/>
        <v>#NAME?</v>
      </c>
      <c r="B115" s="219" t="s">
        <v>893</v>
      </c>
      <c r="C115" s="170"/>
      <c r="D115" s="194"/>
      <c r="E115" s="170"/>
      <c r="F115" s="170"/>
      <c r="G115" s="170"/>
      <c r="H115" s="206"/>
      <c r="I115" s="170"/>
      <c r="J115" s="219" t="s">
        <v>894</v>
      </c>
      <c r="K115" s="170"/>
      <c r="L115" s="291">
        <v>559</v>
      </c>
      <c r="M115" s="292">
        <v>1</v>
      </c>
      <c r="N115" s="293">
        <v>1000</v>
      </c>
      <c r="O115" s="219"/>
      <c r="P115" s="219" t="s">
        <v>39</v>
      </c>
      <c r="Q115" s="170"/>
      <c r="R115" s="192" t="str">
        <f t="shared" si="0"/>
        <v>1000grams</v>
      </c>
      <c r="S115" s="198">
        <f t="shared" si="1"/>
        <v>1000</v>
      </c>
      <c r="T115" s="199" t="str">
        <f t="shared" si="2"/>
        <v>1000grams</v>
      </c>
      <c r="U115" s="200">
        <f t="shared" si="3"/>
        <v>559</v>
      </c>
      <c r="V115" s="12"/>
      <c r="W115" s="12"/>
    </row>
    <row r="116" spans="1:23" x14ac:dyDescent="0.3">
      <c r="A116" s="183" t="e">
        <f ca="1"/>
        <v>#NAME?</v>
      </c>
      <c r="B116" s="46" t="s">
        <v>895</v>
      </c>
      <c r="C116" s="170"/>
      <c r="D116" s="194"/>
      <c r="E116" s="194"/>
      <c r="F116" s="170"/>
      <c r="G116" s="170"/>
      <c r="H116" s="183"/>
      <c r="I116" s="170"/>
      <c r="J116" s="46" t="s">
        <v>896</v>
      </c>
      <c r="K116" s="170"/>
      <c r="L116" s="288">
        <v>34.75</v>
      </c>
      <c r="M116" s="289">
        <v>2</v>
      </c>
      <c r="N116" s="290">
        <v>1</v>
      </c>
      <c r="O116" s="46"/>
      <c r="P116" s="46" t="s">
        <v>304</v>
      </c>
      <c r="Q116" s="170"/>
      <c r="R116" s="192" t="str">
        <f t="shared" si="0"/>
        <v>1packs</v>
      </c>
      <c r="S116" s="198">
        <f t="shared" si="1"/>
        <v>2</v>
      </c>
      <c r="T116" s="199" t="str">
        <f t="shared" si="2"/>
        <v>2packs</v>
      </c>
      <c r="U116" s="200">
        <f t="shared" si="3"/>
        <v>69.5</v>
      </c>
      <c r="V116" s="12"/>
      <c r="W116" s="12"/>
    </row>
    <row r="117" spans="1:23" x14ac:dyDescent="0.3">
      <c r="A117" s="183" t="e">
        <f ca="1"/>
        <v>#NAME?</v>
      </c>
      <c r="B117" s="46" t="s">
        <v>895</v>
      </c>
      <c r="C117" s="170"/>
      <c r="D117" s="194"/>
      <c r="E117" s="194"/>
      <c r="F117" s="170"/>
      <c r="G117" s="170"/>
      <c r="H117" s="183"/>
      <c r="I117" s="170"/>
      <c r="J117" s="46" t="s">
        <v>897</v>
      </c>
      <c r="K117" s="170"/>
      <c r="L117" s="288">
        <v>32</v>
      </c>
      <c r="M117" s="289">
        <v>1</v>
      </c>
      <c r="N117" s="290">
        <v>110</v>
      </c>
      <c r="O117" s="46"/>
      <c r="P117" s="46" t="s">
        <v>39</v>
      </c>
      <c r="Q117" s="170"/>
      <c r="R117" s="192" t="str">
        <f t="shared" si="0"/>
        <v>110grams</v>
      </c>
      <c r="S117" s="198">
        <f t="shared" si="1"/>
        <v>110</v>
      </c>
      <c r="T117" s="199" t="str">
        <f t="shared" si="2"/>
        <v>110grams</v>
      </c>
      <c r="U117" s="200">
        <f t="shared" si="3"/>
        <v>32</v>
      </c>
      <c r="V117" s="12"/>
      <c r="W117" s="12"/>
    </row>
    <row r="118" spans="1:23" x14ac:dyDescent="0.3">
      <c r="A118" s="183" t="e">
        <f ca="1"/>
        <v>#NAME?</v>
      </c>
      <c r="B118" s="219" t="s">
        <v>898</v>
      </c>
      <c r="C118" s="170"/>
      <c r="D118" s="194"/>
      <c r="E118" s="194"/>
      <c r="F118" s="170"/>
      <c r="G118" s="170"/>
      <c r="H118" s="183"/>
      <c r="I118" s="170"/>
      <c r="J118" s="219" t="s">
        <v>897</v>
      </c>
      <c r="K118" s="170"/>
      <c r="L118" s="291">
        <v>77</v>
      </c>
      <c r="M118" s="292">
        <v>1</v>
      </c>
      <c r="N118" s="293">
        <v>350</v>
      </c>
      <c r="O118" s="219"/>
      <c r="P118" s="219" t="s">
        <v>32</v>
      </c>
      <c r="Q118" s="170"/>
      <c r="R118" s="192" t="str">
        <f t="shared" si="0"/>
        <v>350ml</v>
      </c>
      <c r="S118" s="198">
        <f t="shared" si="1"/>
        <v>350</v>
      </c>
      <c r="T118" s="199" t="str">
        <f t="shared" si="2"/>
        <v>350ml</v>
      </c>
      <c r="U118" s="200">
        <f t="shared" si="3"/>
        <v>77</v>
      </c>
      <c r="V118" s="205">
        <f>U118/M118</f>
        <v>77</v>
      </c>
      <c r="W118" s="62"/>
    </row>
    <row r="119" spans="1:23" x14ac:dyDescent="0.3">
      <c r="A119" s="183" t="e">
        <f ca="1"/>
        <v>#NAME?</v>
      </c>
      <c r="B119" s="46" t="s">
        <v>899</v>
      </c>
      <c r="C119" s="170"/>
      <c r="D119" s="194"/>
      <c r="E119" s="170"/>
      <c r="F119" s="170"/>
      <c r="G119" s="170"/>
      <c r="H119" s="183"/>
      <c r="I119" s="170"/>
      <c r="J119" s="46" t="s">
        <v>900</v>
      </c>
      <c r="K119" s="170"/>
      <c r="L119" s="288">
        <v>17</v>
      </c>
      <c r="M119" s="289">
        <v>3</v>
      </c>
      <c r="N119" s="290">
        <v>1</v>
      </c>
      <c r="O119" s="46"/>
      <c r="P119" s="46" t="s">
        <v>304</v>
      </c>
      <c r="Q119" s="170"/>
      <c r="R119" s="192" t="str">
        <f t="shared" si="0"/>
        <v>1packs</v>
      </c>
      <c r="S119" s="198">
        <f t="shared" si="1"/>
        <v>3</v>
      </c>
      <c r="T119" s="199" t="str">
        <f t="shared" si="2"/>
        <v>3packs</v>
      </c>
      <c r="U119" s="200">
        <f t="shared" si="3"/>
        <v>51</v>
      </c>
      <c r="V119" s="12"/>
      <c r="W119" s="12"/>
    </row>
    <row r="120" spans="1:23" x14ac:dyDescent="0.3">
      <c r="A120" s="183" t="e">
        <f ca="1"/>
        <v>#NAME?</v>
      </c>
      <c r="B120" s="46" t="s">
        <v>899</v>
      </c>
      <c r="C120" s="170"/>
      <c r="D120" s="194"/>
      <c r="E120" s="170"/>
      <c r="F120" s="170"/>
      <c r="G120" s="170"/>
      <c r="H120" s="183"/>
      <c r="I120" s="170"/>
      <c r="J120" s="46" t="s">
        <v>858</v>
      </c>
      <c r="K120" s="170"/>
      <c r="L120" s="288">
        <v>25.56</v>
      </c>
      <c r="M120" s="289">
        <v>9</v>
      </c>
      <c r="N120" s="290">
        <v>100</v>
      </c>
      <c r="O120" s="46"/>
      <c r="P120" s="46" t="s">
        <v>92</v>
      </c>
      <c r="Q120" s="170"/>
      <c r="R120" s="192" t="str">
        <f t="shared" si="0"/>
        <v>100pieces</v>
      </c>
      <c r="S120" s="198">
        <f t="shared" si="1"/>
        <v>900</v>
      </c>
      <c r="T120" s="199" t="str">
        <f t="shared" si="2"/>
        <v>900pieces</v>
      </c>
      <c r="U120" s="200">
        <f t="shared" si="3"/>
        <v>230.04</v>
      </c>
      <c r="V120" s="12"/>
      <c r="W120" s="12"/>
    </row>
    <row r="121" spans="1:23" x14ac:dyDescent="0.3">
      <c r="A121" s="183" t="e">
        <f ca="1"/>
        <v>#NAME?</v>
      </c>
      <c r="B121" s="46" t="s">
        <v>899</v>
      </c>
      <c r="C121" s="170"/>
      <c r="D121" s="194"/>
      <c r="E121" s="170"/>
      <c r="F121" s="170"/>
      <c r="G121" s="170"/>
      <c r="H121" s="206"/>
      <c r="I121" s="170"/>
      <c r="J121" s="46" t="s">
        <v>900</v>
      </c>
      <c r="K121" s="170"/>
      <c r="L121" s="288">
        <v>25</v>
      </c>
      <c r="M121" s="289">
        <v>1</v>
      </c>
      <c r="N121" s="290">
        <v>1</v>
      </c>
      <c r="O121" s="46"/>
      <c r="P121" s="46" t="s">
        <v>304</v>
      </c>
      <c r="Q121" s="170"/>
      <c r="R121" s="192" t="str">
        <f t="shared" si="0"/>
        <v>1packs</v>
      </c>
      <c r="S121" s="198">
        <f t="shared" si="1"/>
        <v>1</v>
      </c>
      <c r="T121" s="199" t="str">
        <f t="shared" si="2"/>
        <v>1packs</v>
      </c>
      <c r="U121" s="200">
        <f t="shared" si="3"/>
        <v>25</v>
      </c>
      <c r="V121" s="12"/>
      <c r="W121" s="12"/>
    </row>
    <row r="122" spans="1:23" x14ac:dyDescent="0.3">
      <c r="A122" s="183" t="e">
        <f ca="1"/>
        <v>#NAME?</v>
      </c>
      <c r="B122" s="46" t="s">
        <v>899</v>
      </c>
      <c r="C122" s="170"/>
      <c r="D122" s="194"/>
      <c r="E122" s="170"/>
      <c r="F122" s="170"/>
      <c r="G122" s="170"/>
      <c r="H122" s="206"/>
      <c r="I122" s="170"/>
      <c r="J122" s="46" t="s">
        <v>901</v>
      </c>
      <c r="K122" s="170"/>
      <c r="L122" s="288">
        <v>18</v>
      </c>
      <c r="M122" s="289">
        <v>4</v>
      </c>
      <c r="N122" s="290">
        <v>1</v>
      </c>
      <c r="O122" s="46"/>
      <c r="P122" s="46" t="s">
        <v>304</v>
      </c>
      <c r="Q122" s="170"/>
      <c r="R122" s="192" t="str">
        <f t="shared" si="0"/>
        <v>1packs</v>
      </c>
      <c r="S122" s="198">
        <f t="shared" si="1"/>
        <v>4</v>
      </c>
      <c r="T122" s="199" t="str">
        <f t="shared" si="2"/>
        <v>4packs</v>
      </c>
      <c r="U122" s="200">
        <f t="shared" si="3"/>
        <v>72</v>
      </c>
      <c r="V122" s="12"/>
      <c r="W122" s="12"/>
    </row>
    <row r="123" spans="1:23" x14ac:dyDescent="0.3">
      <c r="A123" s="183" t="e">
        <f ca="1"/>
        <v>#NAME?</v>
      </c>
      <c r="B123" s="46" t="s">
        <v>899</v>
      </c>
      <c r="C123" s="170"/>
      <c r="D123" s="194"/>
      <c r="E123" s="194"/>
      <c r="F123" s="194"/>
      <c r="G123" s="170"/>
      <c r="H123" s="183"/>
      <c r="I123" s="170"/>
      <c r="J123" s="170"/>
      <c r="K123" s="170"/>
      <c r="L123" s="288">
        <v>22.27</v>
      </c>
      <c r="M123" s="289">
        <v>1</v>
      </c>
      <c r="N123" s="290">
        <v>100</v>
      </c>
      <c r="O123" s="46"/>
      <c r="P123" s="46" t="s">
        <v>92</v>
      </c>
      <c r="Q123" s="170"/>
      <c r="R123" s="192" t="str">
        <f t="shared" si="0"/>
        <v>100pieces</v>
      </c>
      <c r="S123" s="198">
        <f t="shared" si="1"/>
        <v>100</v>
      </c>
      <c r="T123" s="199" t="str">
        <f t="shared" si="2"/>
        <v>100pieces</v>
      </c>
      <c r="U123" s="200">
        <f t="shared" si="3"/>
        <v>22.27</v>
      </c>
      <c r="V123" s="12"/>
      <c r="W123" s="12"/>
    </row>
    <row r="124" spans="1:23" x14ac:dyDescent="0.3">
      <c r="A124" s="183" t="e">
        <f ca="1"/>
        <v>#NAME?</v>
      </c>
      <c r="B124" s="219" t="s">
        <v>902</v>
      </c>
      <c r="C124" s="170"/>
      <c r="D124" s="194"/>
      <c r="E124" s="194"/>
      <c r="F124" s="194"/>
      <c r="G124" s="170"/>
      <c r="H124" s="183"/>
      <c r="I124" s="170"/>
      <c r="J124" s="219" t="s">
        <v>854</v>
      </c>
      <c r="K124" s="170"/>
      <c r="L124" s="288">
        <v>68</v>
      </c>
      <c r="M124" s="289">
        <v>1</v>
      </c>
      <c r="N124" s="290">
        <v>9</v>
      </c>
      <c r="O124" s="46"/>
      <c r="P124" s="46" t="s">
        <v>39</v>
      </c>
      <c r="Q124" s="170"/>
      <c r="R124" s="192" t="str">
        <f t="shared" si="0"/>
        <v>9grams</v>
      </c>
      <c r="S124" s="198">
        <f t="shared" si="1"/>
        <v>9</v>
      </c>
      <c r="T124" s="199" t="str">
        <f t="shared" si="2"/>
        <v>9grams</v>
      </c>
      <c r="U124" s="200">
        <f t="shared" si="3"/>
        <v>68</v>
      </c>
      <c r="V124" s="205">
        <f t="shared" ref="V124:V126" si="7">U124/M124</f>
        <v>68</v>
      </c>
      <c r="W124" s="62"/>
    </row>
    <row r="125" spans="1:23" x14ac:dyDescent="0.3">
      <c r="A125" s="183" t="e">
        <f ca="1"/>
        <v>#NAME?</v>
      </c>
      <c r="B125" s="219" t="s">
        <v>902</v>
      </c>
      <c r="C125" s="170"/>
      <c r="D125" s="194"/>
      <c r="E125" s="170"/>
      <c r="F125" s="170"/>
      <c r="G125" s="170"/>
      <c r="H125" s="183"/>
      <c r="I125" s="170"/>
      <c r="J125" s="219" t="s">
        <v>854</v>
      </c>
      <c r="K125" s="170"/>
      <c r="L125" s="291">
        <v>59.5</v>
      </c>
      <c r="M125" s="292">
        <v>4</v>
      </c>
      <c r="N125" s="293">
        <v>9</v>
      </c>
      <c r="O125" s="219"/>
      <c r="P125" s="219" t="s">
        <v>39</v>
      </c>
      <c r="Q125" s="170"/>
      <c r="R125" s="192" t="str">
        <f t="shared" si="0"/>
        <v>9grams</v>
      </c>
      <c r="S125" s="198">
        <f t="shared" si="1"/>
        <v>36</v>
      </c>
      <c r="T125" s="199" t="str">
        <f t="shared" si="2"/>
        <v>36grams</v>
      </c>
      <c r="U125" s="200">
        <f t="shared" si="3"/>
        <v>238</v>
      </c>
      <c r="V125" s="205">
        <f t="shared" si="7"/>
        <v>59.5</v>
      </c>
      <c r="W125" s="62"/>
    </row>
    <row r="126" spans="1:23" x14ac:dyDescent="0.3">
      <c r="A126" s="183" t="e">
        <f ca="1"/>
        <v>#NAME?</v>
      </c>
      <c r="B126" s="219" t="s">
        <v>903</v>
      </c>
      <c r="C126" s="170"/>
      <c r="D126" s="194"/>
      <c r="E126" s="194"/>
      <c r="F126" s="170"/>
      <c r="G126" s="170"/>
      <c r="H126" s="183"/>
      <c r="I126" s="170"/>
      <c r="J126" s="219" t="s">
        <v>904</v>
      </c>
      <c r="K126" s="170"/>
      <c r="L126" s="291">
        <v>252</v>
      </c>
      <c r="M126" s="292">
        <v>1</v>
      </c>
      <c r="N126" s="293">
        <v>2</v>
      </c>
      <c r="O126" s="219"/>
      <c r="P126" s="219" t="s">
        <v>213</v>
      </c>
      <c r="Q126" s="170"/>
      <c r="R126" s="192" t="str">
        <f t="shared" si="0"/>
        <v>2kilos</v>
      </c>
      <c r="S126" s="198">
        <f t="shared" si="1"/>
        <v>2</v>
      </c>
      <c r="T126" s="199" t="str">
        <f t="shared" si="2"/>
        <v>2kilos</v>
      </c>
      <c r="U126" s="200">
        <f t="shared" si="3"/>
        <v>252</v>
      </c>
      <c r="V126" s="205">
        <f t="shared" si="7"/>
        <v>252</v>
      </c>
      <c r="W126" s="62"/>
    </row>
    <row r="127" spans="1:23" x14ac:dyDescent="0.3">
      <c r="A127" s="183" t="e">
        <f ca="1"/>
        <v>#NAME?</v>
      </c>
      <c r="B127" s="46" t="s">
        <v>905</v>
      </c>
      <c r="C127" s="215"/>
      <c r="D127" s="194"/>
      <c r="E127" s="214"/>
      <c r="F127" s="215"/>
      <c r="G127" s="215"/>
      <c r="H127" s="183"/>
      <c r="I127" s="170"/>
      <c r="J127" s="170"/>
      <c r="K127" s="170"/>
      <c r="L127" s="288">
        <v>130</v>
      </c>
      <c r="M127" s="289">
        <v>2</v>
      </c>
      <c r="N127" s="293">
        <v>2</v>
      </c>
      <c r="O127" s="219"/>
      <c r="P127" s="219" t="s">
        <v>213</v>
      </c>
      <c r="Q127" s="170"/>
      <c r="R127" s="192" t="str">
        <f t="shared" si="0"/>
        <v>2kilos</v>
      </c>
      <c r="S127" s="198">
        <f t="shared" si="1"/>
        <v>4</v>
      </c>
      <c r="T127" s="199" t="str">
        <f t="shared" si="2"/>
        <v>4kilos</v>
      </c>
      <c r="U127" s="200">
        <f t="shared" si="3"/>
        <v>260</v>
      </c>
      <c r="V127" s="12"/>
      <c r="W127" s="12"/>
    </row>
    <row r="128" spans="1:23" x14ac:dyDescent="0.3">
      <c r="A128" s="183" t="e">
        <f ca="1"/>
        <v>#NAME?</v>
      </c>
      <c r="B128" s="46" t="s">
        <v>906</v>
      </c>
      <c r="C128" s="170"/>
      <c r="D128" s="194"/>
      <c r="E128" s="170"/>
      <c r="F128" s="170"/>
      <c r="G128" s="170"/>
      <c r="H128" s="206"/>
      <c r="I128" s="170"/>
      <c r="J128" s="46" t="s">
        <v>907</v>
      </c>
      <c r="K128" s="170"/>
      <c r="L128" s="288">
        <v>380</v>
      </c>
      <c r="M128" s="289">
        <v>7</v>
      </c>
      <c r="N128" s="293">
        <v>2</v>
      </c>
      <c r="O128" s="219"/>
      <c r="P128" s="219" t="s">
        <v>213</v>
      </c>
      <c r="Q128" s="170"/>
      <c r="R128" s="192" t="str">
        <f t="shared" si="0"/>
        <v>2kilos</v>
      </c>
      <c r="S128" s="198">
        <f t="shared" si="1"/>
        <v>14</v>
      </c>
      <c r="T128" s="199" t="str">
        <f t="shared" si="2"/>
        <v>14kilos</v>
      </c>
      <c r="U128" s="200">
        <f t="shared" si="3"/>
        <v>2660</v>
      </c>
      <c r="V128" s="12"/>
      <c r="W128" s="12"/>
    </row>
    <row r="129" spans="1:23" x14ac:dyDescent="0.3">
      <c r="A129" s="183" t="e">
        <f ca="1"/>
        <v>#NAME?</v>
      </c>
      <c r="B129" s="46" t="s">
        <v>906</v>
      </c>
      <c r="C129" s="215"/>
      <c r="D129" s="194"/>
      <c r="E129" s="214"/>
      <c r="F129" s="215"/>
      <c r="G129" s="215"/>
      <c r="H129" s="183"/>
      <c r="I129" s="170"/>
      <c r="J129" s="46" t="s">
        <v>907</v>
      </c>
      <c r="K129" s="170"/>
      <c r="L129" s="291">
        <v>385</v>
      </c>
      <c r="M129" s="292">
        <v>3</v>
      </c>
      <c r="N129" s="293">
        <v>1</v>
      </c>
      <c r="O129" s="219"/>
      <c r="P129" s="219" t="s">
        <v>213</v>
      </c>
      <c r="Q129" s="170"/>
      <c r="R129" s="192" t="str">
        <f t="shared" si="0"/>
        <v>1kilos</v>
      </c>
      <c r="S129" s="198">
        <f t="shared" si="1"/>
        <v>3</v>
      </c>
      <c r="T129" s="199" t="str">
        <f t="shared" si="2"/>
        <v>3kilos</v>
      </c>
      <c r="U129" s="200">
        <f t="shared" si="3"/>
        <v>1155</v>
      </c>
      <c r="V129" s="12"/>
      <c r="W129" s="12"/>
    </row>
    <row r="130" spans="1:23" x14ac:dyDescent="0.3">
      <c r="A130" s="183" t="e">
        <f ca="1"/>
        <v>#NAME?</v>
      </c>
      <c r="B130" s="46" t="s">
        <v>908</v>
      </c>
      <c r="C130" s="170"/>
      <c r="D130" s="194"/>
      <c r="E130" s="170"/>
      <c r="F130" s="170"/>
      <c r="G130" s="170"/>
      <c r="H130" s="206"/>
      <c r="I130" s="170"/>
      <c r="J130" s="170"/>
      <c r="K130" s="170"/>
      <c r="L130" s="288">
        <v>312</v>
      </c>
      <c r="M130" s="289">
        <v>20</v>
      </c>
      <c r="N130" s="290">
        <v>1</v>
      </c>
      <c r="O130" s="46"/>
      <c r="P130" s="46" t="s">
        <v>213</v>
      </c>
      <c r="Q130" s="170"/>
      <c r="R130" s="192" t="str">
        <f t="shared" si="0"/>
        <v>1kilos</v>
      </c>
      <c r="S130" s="198">
        <f t="shared" si="1"/>
        <v>20</v>
      </c>
      <c r="T130" s="199" t="str">
        <f t="shared" si="2"/>
        <v>20kilos</v>
      </c>
      <c r="U130" s="200">
        <f t="shared" si="3"/>
        <v>6240</v>
      </c>
      <c r="V130" s="12"/>
      <c r="W130" s="12"/>
    </row>
    <row r="131" spans="1:23" x14ac:dyDescent="0.3">
      <c r="A131" s="183" t="e">
        <f ca="1"/>
        <v>#NAME?</v>
      </c>
      <c r="B131" s="46" t="s">
        <v>908</v>
      </c>
      <c r="C131" s="215"/>
      <c r="D131" s="194"/>
      <c r="E131" s="215"/>
      <c r="F131" s="215"/>
      <c r="G131" s="215"/>
      <c r="H131" s="183"/>
      <c r="I131" s="170"/>
      <c r="J131" s="170"/>
      <c r="K131" s="170"/>
      <c r="L131" s="288">
        <v>385</v>
      </c>
      <c r="M131" s="289">
        <v>13</v>
      </c>
      <c r="N131" s="290">
        <v>1</v>
      </c>
      <c r="O131" s="46"/>
      <c r="P131" s="46" t="s">
        <v>213</v>
      </c>
      <c r="Q131" s="170"/>
      <c r="R131" s="192" t="str">
        <f t="shared" si="0"/>
        <v>1kilos</v>
      </c>
      <c r="S131" s="198">
        <f t="shared" si="1"/>
        <v>13</v>
      </c>
      <c r="T131" s="199" t="str">
        <f t="shared" si="2"/>
        <v>13kilos</v>
      </c>
      <c r="U131" s="200">
        <f t="shared" si="3"/>
        <v>5005</v>
      </c>
      <c r="V131" s="12"/>
      <c r="W131" s="12"/>
    </row>
    <row r="132" spans="1:23" x14ac:dyDescent="0.3">
      <c r="A132" s="183" t="e">
        <f ca="1"/>
        <v>#NAME?</v>
      </c>
      <c r="B132" s="46" t="s">
        <v>908</v>
      </c>
      <c r="C132" s="170"/>
      <c r="D132" s="194"/>
      <c r="E132" s="194"/>
      <c r="F132" s="194"/>
      <c r="G132" s="170"/>
      <c r="H132" s="183"/>
      <c r="I132" s="170"/>
      <c r="J132" s="46" t="s">
        <v>907</v>
      </c>
      <c r="K132" s="170"/>
      <c r="L132" s="288">
        <v>380</v>
      </c>
      <c r="M132" s="289">
        <v>20</v>
      </c>
      <c r="N132" s="290">
        <v>1</v>
      </c>
      <c r="O132" s="46"/>
      <c r="P132" s="46" t="s">
        <v>213</v>
      </c>
      <c r="Q132" s="170"/>
      <c r="R132" s="192" t="str">
        <f t="shared" si="0"/>
        <v>1kilos</v>
      </c>
      <c r="S132" s="198">
        <f t="shared" si="1"/>
        <v>20</v>
      </c>
      <c r="T132" s="199" t="str">
        <f t="shared" si="2"/>
        <v>20kilos</v>
      </c>
      <c r="U132" s="200">
        <f t="shared" si="3"/>
        <v>7600</v>
      </c>
      <c r="V132" s="12"/>
      <c r="W132" s="12"/>
    </row>
    <row r="133" spans="1:23" x14ac:dyDescent="0.3">
      <c r="A133" s="183" t="e">
        <f ca="1"/>
        <v>#NAME?</v>
      </c>
      <c r="B133" s="46" t="s">
        <v>908</v>
      </c>
      <c r="C133" s="170"/>
      <c r="D133" s="194"/>
      <c r="E133" s="194"/>
      <c r="F133" s="194"/>
      <c r="G133" s="170"/>
      <c r="H133" s="183"/>
      <c r="I133" s="170"/>
      <c r="J133" s="46" t="s">
        <v>907</v>
      </c>
      <c r="K133" s="170"/>
      <c r="L133" s="291">
        <v>385</v>
      </c>
      <c r="M133" s="292">
        <v>17</v>
      </c>
      <c r="N133" s="293">
        <v>1</v>
      </c>
      <c r="O133" s="219"/>
      <c r="P133" s="219" t="s">
        <v>213</v>
      </c>
      <c r="Q133" s="170"/>
      <c r="R133" s="192" t="str">
        <f t="shared" si="0"/>
        <v>1kilos</v>
      </c>
      <c r="S133" s="198">
        <f t="shared" si="1"/>
        <v>17</v>
      </c>
      <c r="T133" s="199" t="str">
        <f t="shared" si="2"/>
        <v>17kilos</v>
      </c>
      <c r="U133" s="200">
        <f t="shared" si="3"/>
        <v>6545</v>
      </c>
      <c r="V133" s="205">
        <f>U133/M133</f>
        <v>385</v>
      </c>
      <c r="W133" s="62"/>
    </row>
    <row r="134" spans="1:23" x14ac:dyDescent="0.3">
      <c r="A134" s="183" t="e">
        <f ca="1"/>
        <v>#NAME?</v>
      </c>
      <c r="B134" s="46" t="s">
        <v>908</v>
      </c>
      <c r="C134" s="170"/>
      <c r="D134" s="194"/>
      <c r="E134" s="194"/>
      <c r="F134" s="194"/>
      <c r="G134" s="170"/>
      <c r="H134" s="183"/>
      <c r="I134" s="170"/>
      <c r="J134" s="46" t="s">
        <v>909</v>
      </c>
      <c r="K134" s="170"/>
      <c r="L134" s="288">
        <v>320</v>
      </c>
      <c r="M134" s="289">
        <v>62</v>
      </c>
      <c r="N134" s="290">
        <v>1</v>
      </c>
      <c r="O134" s="46"/>
      <c r="P134" s="46" t="s">
        <v>213</v>
      </c>
      <c r="Q134" s="170"/>
      <c r="R134" s="192" t="str">
        <f t="shared" si="0"/>
        <v>1kilos</v>
      </c>
      <c r="S134" s="198">
        <f t="shared" si="1"/>
        <v>62</v>
      </c>
      <c r="T134" s="199" t="str">
        <f t="shared" si="2"/>
        <v>62kilos</v>
      </c>
      <c r="U134" s="200">
        <f t="shared" si="3"/>
        <v>19840</v>
      </c>
      <c r="V134" s="12"/>
      <c r="W134" s="12"/>
    </row>
    <row r="135" spans="1:23" x14ac:dyDescent="0.3">
      <c r="A135" s="183" t="e">
        <f ca="1"/>
        <v>#NAME?</v>
      </c>
      <c r="B135" s="46" t="s">
        <v>164</v>
      </c>
      <c r="C135" s="170"/>
      <c r="D135" s="194"/>
      <c r="E135" s="170"/>
      <c r="F135" s="170"/>
      <c r="G135" s="170"/>
      <c r="H135" s="206"/>
      <c r="I135" s="170"/>
      <c r="J135" s="46" t="s">
        <v>910</v>
      </c>
      <c r="K135" s="170"/>
      <c r="L135" s="288">
        <v>31</v>
      </c>
      <c r="M135" s="289">
        <v>4</v>
      </c>
      <c r="N135" s="290">
        <v>250</v>
      </c>
      <c r="O135" s="46"/>
      <c r="P135" s="46" t="s">
        <v>39</v>
      </c>
      <c r="Q135" s="170"/>
      <c r="R135" s="192" t="str">
        <f t="shared" si="0"/>
        <v>250grams</v>
      </c>
      <c r="S135" s="198">
        <f t="shared" si="1"/>
        <v>1000</v>
      </c>
      <c r="T135" s="199" t="str">
        <f t="shared" si="2"/>
        <v>1000grams</v>
      </c>
      <c r="U135" s="200">
        <f t="shared" si="3"/>
        <v>124</v>
      </c>
      <c r="V135" s="12"/>
      <c r="W135" s="12"/>
    </row>
    <row r="136" spans="1:23" x14ac:dyDescent="0.3">
      <c r="A136" s="183" t="e">
        <f ca="1"/>
        <v>#NAME?</v>
      </c>
      <c r="B136" s="46" t="s">
        <v>164</v>
      </c>
      <c r="C136" s="170"/>
      <c r="D136" s="194"/>
      <c r="E136" s="194"/>
      <c r="F136" s="170"/>
      <c r="G136" s="170"/>
      <c r="H136" s="183"/>
      <c r="I136" s="170"/>
      <c r="J136" s="46" t="s">
        <v>910</v>
      </c>
      <c r="K136" s="170"/>
      <c r="L136" s="288">
        <v>35</v>
      </c>
      <c r="M136" s="289">
        <v>10</v>
      </c>
      <c r="N136" s="290">
        <v>250</v>
      </c>
      <c r="O136" s="46"/>
      <c r="P136" s="46" t="s">
        <v>39</v>
      </c>
      <c r="Q136" s="170"/>
      <c r="R136" s="192" t="str">
        <f t="shared" si="0"/>
        <v>250grams</v>
      </c>
      <c r="S136" s="198">
        <f t="shared" si="1"/>
        <v>2500</v>
      </c>
      <c r="T136" s="199" t="str">
        <f t="shared" si="2"/>
        <v>2500grams</v>
      </c>
      <c r="U136" s="200">
        <f t="shared" si="3"/>
        <v>350</v>
      </c>
      <c r="V136" s="12"/>
      <c r="W136" s="12"/>
    </row>
    <row r="137" spans="1:23" x14ac:dyDescent="0.3">
      <c r="A137" s="183" t="e">
        <f ca="1"/>
        <v>#NAME?</v>
      </c>
      <c r="B137" s="46" t="s">
        <v>164</v>
      </c>
      <c r="C137" s="170"/>
      <c r="D137" s="194"/>
      <c r="E137" s="194"/>
      <c r="F137" s="170"/>
      <c r="G137" s="170"/>
      <c r="H137" s="183"/>
      <c r="I137" s="170"/>
      <c r="J137" s="46" t="s">
        <v>910</v>
      </c>
      <c r="K137" s="170"/>
      <c r="L137" s="288">
        <v>31</v>
      </c>
      <c r="M137" s="289">
        <v>3</v>
      </c>
      <c r="N137" s="290">
        <v>250</v>
      </c>
      <c r="O137" s="60"/>
      <c r="P137" s="60" t="s">
        <v>39</v>
      </c>
      <c r="Q137" s="170"/>
      <c r="R137" s="192" t="str">
        <f t="shared" si="0"/>
        <v>250grams</v>
      </c>
      <c r="S137" s="198">
        <f t="shared" si="1"/>
        <v>750</v>
      </c>
      <c r="T137" s="199" t="str">
        <f t="shared" si="2"/>
        <v>750grams</v>
      </c>
      <c r="U137" s="200">
        <f t="shared" si="3"/>
        <v>93</v>
      </c>
      <c r="V137" s="12"/>
      <c r="W137" s="12"/>
    </row>
    <row r="138" spans="1:23" x14ac:dyDescent="0.3">
      <c r="A138" s="183" t="e">
        <f ca="1"/>
        <v>#NAME?</v>
      </c>
      <c r="B138" s="46" t="s">
        <v>164</v>
      </c>
      <c r="C138" s="170"/>
      <c r="D138" s="194"/>
      <c r="E138" s="170"/>
      <c r="F138" s="170"/>
      <c r="G138" s="170"/>
      <c r="H138" s="206"/>
      <c r="I138" s="170"/>
      <c r="J138" s="46" t="s">
        <v>910</v>
      </c>
      <c r="K138" s="170"/>
      <c r="L138" s="288">
        <v>31</v>
      </c>
      <c r="M138" s="289">
        <v>6</v>
      </c>
      <c r="N138" s="290">
        <v>250</v>
      </c>
      <c r="O138" s="46"/>
      <c r="P138" s="46" t="s">
        <v>39</v>
      </c>
      <c r="Q138" s="170"/>
      <c r="R138" s="192" t="str">
        <f t="shared" si="0"/>
        <v>250grams</v>
      </c>
      <c r="S138" s="198">
        <f t="shared" si="1"/>
        <v>1500</v>
      </c>
      <c r="T138" s="199" t="str">
        <f t="shared" si="2"/>
        <v>1500grams</v>
      </c>
      <c r="U138" s="200">
        <f t="shared" si="3"/>
        <v>186</v>
      </c>
      <c r="V138" s="12"/>
      <c r="W138" s="12"/>
    </row>
    <row r="139" spans="1:23" x14ac:dyDescent="0.3">
      <c r="A139" s="183" t="e">
        <f ca="1"/>
        <v>#NAME?</v>
      </c>
      <c r="B139" s="46" t="s">
        <v>911</v>
      </c>
      <c r="C139" s="170"/>
      <c r="D139" s="194"/>
      <c r="E139" s="170"/>
      <c r="F139" s="170"/>
      <c r="G139" s="170"/>
      <c r="H139" s="206"/>
      <c r="I139" s="170"/>
      <c r="J139" s="170"/>
      <c r="K139" s="170"/>
      <c r="L139" s="288">
        <v>700</v>
      </c>
      <c r="M139" s="289">
        <v>0</v>
      </c>
      <c r="N139" s="290">
        <v>1000</v>
      </c>
      <c r="O139" s="46"/>
      <c r="P139" s="46" t="s">
        <v>39</v>
      </c>
      <c r="Q139" s="170"/>
      <c r="R139" s="192" t="str">
        <f t="shared" si="0"/>
        <v>1000grams</v>
      </c>
      <c r="S139" s="198">
        <f t="shared" si="1"/>
        <v>0</v>
      </c>
      <c r="T139" s="199" t="str">
        <f t="shared" si="2"/>
        <v>0grams</v>
      </c>
      <c r="U139" s="200">
        <f t="shared" si="3"/>
        <v>0</v>
      </c>
      <c r="V139" s="12"/>
      <c r="W139" s="12"/>
    </row>
    <row r="140" spans="1:23" x14ac:dyDescent="0.3">
      <c r="A140" s="183" t="e">
        <f ca="1"/>
        <v>#NAME?</v>
      </c>
      <c r="B140" s="46" t="s">
        <v>911</v>
      </c>
      <c r="C140" s="170"/>
      <c r="D140" s="194"/>
      <c r="E140" s="194"/>
      <c r="F140" s="170"/>
      <c r="G140" s="170"/>
      <c r="H140" s="183"/>
      <c r="I140" s="170"/>
      <c r="J140" s="170"/>
      <c r="K140" s="170"/>
      <c r="L140" s="288">
        <v>195</v>
      </c>
      <c r="M140" s="289">
        <v>0</v>
      </c>
      <c r="N140" s="290">
        <v>1000</v>
      </c>
      <c r="O140" s="46"/>
      <c r="P140" s="46" t="s">
        <v>39</v>
      </c>
      <c r="Q140" s="61" t="s">
        <v>33</v>
      </c>
      <c r="R140" s="192" t="str">
        <f t="shared" si="0"/>
        <v>1000grams</v>
      </c>
      <c r="S140" s="198">
        <f t="shared" si="1"/>
        <v>0</v>
      </c>
      <c r="T140" s="199" t="str">
        <f t="shared" si="2"/>
        <v>0 grams</v>
      </c>
      <c r="U140" s="200">
        <f t="shared" si="3"/>
        <v>0</v>
      </c>
      <c r="V140" s="205" t="e">
        <f>U140/M140</f>
        <v>#DIV/0!</v>
      </c>
      <c r="W140" s="62"/>
    </row>
    <row r="141" spans="1:23" x14ac:dyDescent="0.3">
      <c r="A141" s="183" t="e">
        <f ca="1"/>
        <v>#NAME?</v>
      </c>
      <c r="B141" s="46" t="s">
        <v>911</v>
      </c>
      <c r="C141" s="170"/>
      <c r="D141" s="194"/>
      <c r="E141" s="170"/>
      <c r="F141" s="170"/>
      <c r="G141" s="170"/>
      <c r="H141" s="206"/>
      <c r="I141" s="170"/>
      <c r="J141" s="46" t="s">
        <v>912</v>
      </c>
      <c r="K141" s="170"/>
      <c r="L141" s="288">
        <v>195</v>
      </c>
      <c r="M141" s="289">
        <v>0</v>
      </c>
      <c r="N141" s="290">
        <v>1000</v>
      </c>
      <c r="O141" s="46"/>
      <c r="P141" s="46" t="s">
        <v>39</v>
      </c>
      <c r="Q141" s="170"/>
      <c r="R141" s="192" t="str">
        <f t="shared" si="0"/>
        <v>1000grams</v>
      </c>
      <c r="S141" s="198">
        <f t="shared" si="1"/>
        <v>0</v>
      </c>
      <c r="T141" s="199" t="str">
        <f t="shared" si="2"/>
        <v>0grams</v>
      </c>
      <c r="U141" s="200">
        <f t="shared" si="3"/>
        <v>0</v>
      </c>
      <c r="V141" s="12"/>
      <c r="W141" s="12"/>
    </row>
    <row r="142" spans="1:23" x14ac:dyDescent="0.3">
      <c r="A142" s="183" t="e">
        <f ca="1"/>
        <v>#NAME?</v>
      </c>
      <c r="B142" s="46" t="s">
        <v>913</v>
      </c>
      <c r="C142" s="170"/>
      <c r="D142" s="194"/>
      <c r="E142" s="170"/>
      <c r="F142" s="170"/>
      <c r="G142" s="170"/>
      <c r="H142" s="206"/>
      <c r="I142" s="170"/>
      <c r="J142" s="170"/>
      <c r="K142" s="170"/>
      <c r="L142" s="288">
        <v>7</v>
      </c>
      <c r="M142" s="289">
        <v>8</v>
      </c>
      <c r="N142" s="290">
        <v>1</v>
      </c>
      <c r="O142" s="46"/>
      <c r="P142" s="46" t="s">
        <v>92</v>
      </c>
      <c r="Q142" s="170"/>
      <c r="R142" s="192" t="str">
        <f t="shared" si="0"/>
        <v>1pieces</v>
      </c>
      <c r="S142" s="198">
        <f t="shared" si="1"/>
        <v>8</v>
      </c>
      <c r="T142" s="199" t="str">
        <f t="shared" si="2"/>
        <v>8pieces</v>
      </c>
      <c r="U142" s="200">
        <f t="shared" si="3"/>
        <v>56</v>
      </c>
      <c r="V142" s="12"/>
      <c r="W142" s="12"/>
    </row>
    <row r="143" spans="1:23" x14ac:dyDescent="0.3">
      <c r="A143" s="183" t="e">
        <f ca="1"/>
        <v>#NAME?</v>
      </c>
      <c r="B143" s="46" t="s">
        <v>914</v>
      </c>
      <c r="C143" s="170"/>
      <c r="D143" s="194"/>
      <c r="E143" s="194"/>
      <c r="F143" s="170"/>
      <c r="G143" s="170"/>
      <c r="H143" s="183"/>
      <c r="I143" s="170"/>
      <c r="J143" s="46" t="s">
        <v>915</v>
      </c>
      <c r="K143" s="170"/>
      <c r="L143" s="288">
        <v>10</v>
      </c>
      <c r="M143" s="289">
        <v>33</v>
      </c>
      <c r="N143" s="290">
        <v>1</v>
      </c>
      <c r="O143" s="46"/>
      <c r="P143" s="46" t="s">
        <v>92</v>
      </c>
      <c r="Q143" s="170"/>
      <c r="R143" s="192" t="str">
        <f t="shared" si="0"/>
        <v>1pieces</v>
      </c>
      <c r="S143" s="198">
        <f t="shared" si="1"/>
        <v>33</v>
      </c>
      <c r="T143" s="199" t="str">
        <f t="shared" si="2"/>
        <v>33pieces</v>
      </c>
      <c r="U143" s="200">
        <f t="shared" si="3"/>
        <v>330</v>
      </c>
      <c r="V143" s="12"/>
      <c r="W143" s="12"/>
    </row>
    <row r="144" spans="1:23" x14ac:dyDescent="0.3">
      <c r="A144" s="183" t="e">
        <f ca="1"/>
        <v>#NAME?</v>
      </c>
      <c r="B144" s="219" t="s">
        <v>916</v>
      </c>
      <c r="C144" s="170"/>
      <c r="D144" s="194"/>
      <c r="E144" s="194"/>
      <c r="F144" s="194"/>
      <c r="G144" s="170"/>
      <c r="H144" s="183"/>
      <c r="I144" s="170"/>
      <c r="J144" s="219" t="s">
        <v>917</v>
      </c>
      <c r="K144" s="170"/>
      <c r="L144" s="291">
        <v>102</v>
      </c>
      <c r="M144" s="292">
        <v>3</v>
      </c>
      <c r="N144" s="293">
        <v>500</v>
      </c>
      <c r="O144" s="219"/>
      <c r="P144" s="219" t="s">
        <v>39</v>
      </c>
      <c r="Q144" s="170"/>
      <c r="R144" s="192" t="str">
        <f t="shared" si="0"/>
        <v>500grams</v>
      </c>
      <c r="S144" s="198">
        <f t="shared" si="1"/>
        <v>1500</v>
      </c>
      <c r="T144" s="199" t="str">
        <f t="shared" si="2"/>
        <v>1500grams</v>
      </c>
      <c r="U144" s="200">
        <f t="shared" si="3"/>
        <v>306</v>
      </c>
      <c r="V144" s="12"/>
      <c r="W144" s="12"/>
    </row>
    <row r="145" spans="1:23" x14ac:dyDescent="0.3">
      <c r="A145" s="183" t="e">
        <f ca="1"/>
        <v>#NAME?</v>
      </c>
      <c r="B145" s="219" t="s">
        <v>916</v>
      </c>
      <c r="C145" s="170"/>
      <c r="D145" s="194"/>
      <c r="E145" s="170"/>
      <c r="F145" s="170"/>
      <c r="G145" s="170"/>
      <c r="H145" s="206"/>
      <c r="I145" s="170"/>
      <c r="J145" s="219" t="s">
        <v>918</v>
      </c>
      <c r="K145" s="170"/>
      <c r="L145" s="291">
        <v>89</v>
      </c>
      <c r="M145" s="292">
        <v>2</v>
      </c>
      <c r="N145" s="293">
        <v>320</v>
      </c>
      <c r="O145" s="219"/>
      <c r="P145" s="219" t="s">
        <v>39</v>
      </c>
      <c r="Q145" s="170"/>
      <c r="R145" s="192" t="str">
        <f t="shared" si="0"/>
        <v>320grams</v>
      </c>
      <c r="S145" s="198">
        <f t="shared" si="1"/>
        <v>640</v>
      </c>
      <c r="T145" s="199" t="str">
        <f t="shared" si="2"/>
        <v>640grams</v>
      </c>
      <c r="U145" s="200">
        <f t="shared" si="3"/>
        <v>178</v>
      </c>
      <c r="V145" s="12"/>
      <c r="W145" s="12"/>
    </row>
    <row r="146" spans="1:23" x14ac:dyDescent="0.3">
      <c r="A146" s="183" t="e">
        <f ca="1"/>
        <v>#NAME?</v>
      </c>
      <c r="B146" s="46" t="s">
        <v>318</v>
      </c>
      <c r="C146" s="170"/>
      <c r="D146" s="194"/>
      <c r="E146" s="170"/>
      <c r="F146" s="170"/>
      <c r="G146" s="170"/>
      <c r="H146" s="206"/>
      <c r="I146" s="170"/>
      <c r="J146" s="46" t="s">
        <v>919</v>
      </c>
      <c r="K146" s="170"/>
      <c r="L146" s="288">
        <v>41.9</v>
      </c>
      <c r="M146" s="289">
        <v>6</v>
      </c>
      <c r="N146" s="290">
        <v>500</v>
      </c>
      <c r="O146" s="46"/>
      <c r="P146" s="46" t="s">
        <v>39</v>
      </c>
      <c r="Q146" s="170"/>
      <c r="R146" s="192" t="str">
        <f t="shared" si="0"/>
        <v>500grams</v>
      </c>
      <c r="S146" s="198">
        <f t="shared" si="1"/>
        <v>3000</v>
      </c>
      <c r="T146" s="199" t="str">
        <f t="shared" si="2"/>
        <v>3000grams</v>
      </c>
      <c r="U146" s="200">
        <f t="shared" si="3"/>
        <v>251.39999999999998</v>
      </c>
      <c r="V146" s="12"/>
      <c r="W146" s="12"/>
    </row>
    <row r="147" spans="1:23" x14ac:dyDescent="0.3">
      <c r="A147" s="183" t="e">
        <f ca="1"/>
        <v>#NAME?</v>
      </c>
      <c r="B147" s="46" t="s">
        <v>318</v>
      </c>
      <c r="C147" s="170"/>
      <c r="D147" s="194"/>
      <c r="E147" s="170"/>
      <c r="F147" s="170"/>
      <c r="G147" s="170"/>
      <c r="H147" s="206"/>
      <c r="I147" s="170"/>
      <c r="J147" s="46" t="s">
        <v>919</v>
      </c>
      <c r="K147" s="170"/>
      <c r="L147" s="288">
        <v>41.9</v>
      </c>
      <c r="M147" s="289">
        <v>28</v>
      </c>
      <c r="N147" s="290">
        <v>500</v>
      </c>
      <c r="O147" s="46"/>
      <c r="P147" s="46" t="s">
        <v>39</v>
      </c>
      <c r="Q147" s="170"/>
      <c r="R147" s="192" t="str">
        <f t="shared" si="0"/>
        <v>500grams</v>
      </c>
      <c r="S147" s="198">
        <f t="shared" si="1"/>
        <v>14000</v>
      </c>
      <c r="T147" s="199" t="str">
        <f t="shared" si="2"/>
        <v>14000grams</v>
      </c>
      <c r="U147" s="200">
        <f t="shared" si="3"/>
        <v>1173.2</v>
      </c>
      <c r="V147" s="12"/>
      <c r="W147" s="12"/>
    </row>
    <row r="148" spans="1:23" x14ac:dyDescent="0.3">
      <c r="A148" s="183" t="e">
        <f ca="1"/>
        <v>#NAME?</v>
      </c>
      <c r="B148" s="46" t="s">
        <v>318</v>
      </c>
      <c r="C148" s="170"/>
      <c r="D148" s="194"/>
      <c r="E148" s="170"/>
      <c r="F148" s="170"/>
      <c r="G148" s="170"/>
      <c r="H148" s="206"/>
      <c r="I148" s="170"/>
      <c r="J148" s="46" t="s">
        <v>919</v>
      </c>
      <c r="K148" s="170"/>
      <c r="L148" s="288">
        <v>41.9</v>
      </c>
      <c r="M148" s="289">
        <v>4</v>
      </c>
      <c r="N148" s="290">
        <v>500</v>
      </c>
      <c r="O148" s="46"/>
      <c r="P148" s="46" t="s">
        <v>39</v>
      </c>
      <c r="Q148" s="170"/>
      <c r="R148" s="192" t="str">
        <f t="shared" si="0"/>
        <v>500grams</v>
      </c>
      <c r="S148" s="198">
        <f t="shared" si="1"/>
        <v>2000</v>
      </c>
      <c r="T148" s="199" t="str">
        <f t="shared" si="2"/>
        <v>2000grams</v>
      </c>
      <c r="U148" s="200">
        <f t="shared" si="3"/>
        <v>167.6</v>
      </c>
      <c r="V148" s="12"/>
      <c r="W148" s="12"/>
    </row>
    <row r="149" spans="1:23" x14ac:dyDescent="0.3">
      <c r="A149" s="183" t="e">
        <f ca="1"/>
        <v>#NAME?</v>
      </c>
      <c r="B149" s="46" t="s">
        <v>318</v>
      </c>
      <c r="C149" s="170"/>
      <c r="D149" s="194"/>
      <c r="E149" s="194"/>
      <c r="F149" s="170"/>
      <c r="G149" s="170"/>
      <c r="H149" s="183"/>
      <c r="I149" s="170"/>
      <c r="J149" s="46" t="s">
        <v>919</v>
      </c>
      <c r="K149" s="170"/>
      <c r="L149" s="288">
        <v>41.9</v>
      </c>
      <c r="M149" s="289">
        <v>2</v>
      </c>
      <c r="N149" s="290">
        <v>500</v>
      </c>
      <c r="O149" s="46"/>
      <c r="P149" s="46" t="s">
        <v>39</v>
      </c>
      <c r="Q149" s="170"/>
      <c r="R149" s="192" t="str">
        <f t="shared" si="0"/>
        <v>500grams</v>
      </c>
      <c r="S149" s="198">
        <f t="shared" si="1"/>
        <v>1000</v>
      </c>
      <c r="T149" s="199" t="str">
        <f t="shared" si="2"/>
        <v>1000grams</v>
      </c>
      <c r="U149" s="200">
        <f t="shared" si="3"/>
        <v>83.8</v>
      </c>
      <c r="V149" s="205">
        <f>U149/M149</f>
        <v>41.9</v>
      </c>
      <c r="W149" s="62"/>
    </row>
    <row r="150" spans="1:23" x14ac:dyDescent="0.3">
      <c r="A150" s="183" t="e">
        <f ca="1"/>
        <v>#NAME?</v>
      </c>
      <c r="B150" s="46" t="s">
        <v>318</v>
      </c>
      <c r="C150" s="170"/>
      <c r="D150" s="194"/>
      <c r="E150" s="170"/>
      <c r="F150" s="170"/>
      <c r="G150" s="170"/>
      <c r="H150" s="206"/>
      <c r="I150" s="170"/>
      <c r="J150" s="46" t="s">
        <v>920</v>
      </c>
      <c r="K150" s="170"/>
      <c r="L150" s="288">
        <v>78.5</v>
      </c>
      <c r="M150" s="289">
        <v>1</v>
      </c>
      <c r="N150" s="290">
        <v>907</v>
      </c>
      <c r="O150" s="46"/>
      <c r="P150" s="46" t="s">
        <v>39</v>
      </c>
      <c r="Q150" s="170"/>
      <c r="R150" s="192" t="str">
        <f t="shared" si="0"/>
        <v>907grams</v>
      </c>
      <c r="S150" s="198">
        <f t="shared" si="1"/>
        <v>907</v>
      </c>
      <c r="T150" s="199" t="str">
        <f t="shared" si="2"/>
        <v>907grams</v>
      </c>
      <c r="U150" s="200">
        <f t="shared" si="3"/>
        <v>78.5</v>
      </c>
      <c r="V150" s="12"/>
      <c r="W150" s="12"/>
    </row>
    <row r="151" spans="1:23" x14ac:dyDescent="0.3">
      <c r="A151" s="183" t="e">
        <f ca="1"/>
        <v>#NAME?</v>
      </c>
      <c r="B151" s="46" t="s">
        <v>318</v>
      </c>
      <c r="C151" s="170"/>
      <c r="D151" s="194"/>
      <c r="E151" s="194"/>
      <c r="F151" s="194"/>
      <c r="G151" s="170"/>
      <c r="H151" s="183"/>
      <c r="I151" s="170"/>
      <c r="J151" s="46" t="s">
        <v>919</v>
      </c>
      <c r="K151" s="170"/>
      <c r="L151" s="288">
        <v>41.9</v>
      </c>
      <c r="M151" s="289">
        <v>7</v>
      </c>
      <c r="N151" s="290">
        <v>500</v>
      </c>
      <c r="O151" s="46"/>
      <c r="P151" s="46" t="s">
        <v>39</v>
      </c>
      <c r="Q151" s="170"/>
      <c r="R151" s="192" t="str">
        <f t="shared" si="0"/>
        <v>500grams</v>
      </c>
      <c r="S151" s="198">
        <f t="shared" si="1"/>
        <v>3500</v>
      </c>
      <c r="T151" s="199" t="str">
        <f t="shared" si="2"/>
        <v>3500grams</v>
      </c>
      <c r="U151" s="200">
        <f t="shared" si="3"/>
        <v>293.3</v>
      </c>
      <c r="V151" s="12"/>
      <c r="W151" s="12"/>
    </row>
    <row r="152" spans="1:23" x14ac:dyDescent="0.3">
      <c r="A152" s="183" t="e">
        <f ca="1"/>
        <v>#NAME?</v>
      </c>
      <c r="B152" s="46" t="s">
        <v>318</v>
      </c>
      <c r="C152" s="170"/>
      <c r="D152" s="194"/>
      <c r="E152" s="170"/>
      <c r="F152" s="170"/>
      <c r="G152" s="170"/>
      <c r="H152" s="206"/>
      <c r="I152" s="170"/>
      <c r="J152" s="46" t="s">
        <v>912</v>
      </c>
      <c r="K152" s="170"/>
      <c r="L152" s="288">
        <v>45</v>
      </c>
      <c r="M152" s="289">
        <v>7</v>
      </c>
      <c r="N152" s="290">
        <v>500</v>
      </c>
      <c r="O152" s="46"/>
      <c r="P152" s="46" t="s">
        <v>39</v>
      </c>
      <c r="Q152" s="170"/>
      <c r="R152" s="192" t="str">
        <f t="shared" si="0"/>
        <v>500grams</v>
      </c>
      <c r="S152" s="198">
        <f t="shared" si="1"/>
        <v>3500</v>
      </c>
      <c r="T152" s="199" t="str">
        <f t="shared" si="2"/>
        <v>3500grams</v>
      </c>
      <c r="U152" s="200">
        <f t="shared" si="3"/>
        <v>315</v>
      </c>
      <c r="V152" s="12"/>
      <c r="W152" s="12"/>
    </row>
    <row r="153" spans="1:23" x14ac:dyDescent="0.3">
      <c r="A153" s="183" t="e">
        <f ca="1"/>
        <v>#NAME?</v>
      </c>
      <c r="B153" s="46" t="s">
        <v>318</v>
      </c>
      <c r="C153" s="170"/>
      <c r="D153" s="194"/>
      <c r="E153" s="170"/>
      <c r="F153" s="170"/>
      <c r="G153" s="170"/>
      <c r="H153" s="206"/>
      <c r="I153" s="170"/>
      <c r="J153" s="219" t="s">
        <v>919</v>
      </c>
      <c r="K153" s="170"/>
      <c r="L153" s="291">
        <v>42</v>
      </c>
      <c r="M153" s="292">
        <v>3</v>
      </c>
      <c r="N153" s="293">
        <v>500</v>
      </c>
      <c r="O153" s="219"/>
      <c r="P153" s="219" t="s">
        <v>39</v>
      </c>
      <c r="Q153" s="170"/>
      <c r="R153" s="192" t="str">
        <f t="shared" si="0"/>
        <v>500grams</v>
      </c>
      <c r="S153" s="198">
        <f t="shared" si="1"/>
        <v>1500</v>
      </c>
      <c r="T153" s="199" t="str">
        <f t="shared" si="2"/>
        <v>1500grams</v>
      </c>
      <c r="U153" s="200">
        <f t="shared" si="3"/>
        <v>126</v>
      </c>
      <c r="V153" s="12"/>
      <c r="W153" s="12"/>
    </row>
    <row r="154" spans="1:23" x14ac:dyDescent="0.3">
      <c r="A154" s="183" t="e">
        <f ca="1"/>
        <v>#NAME?</v>
      </c>
      <c r="B154" s="46" t="s">
        <v>318</v>
      </c>
      <c r="C154" s="170"/>
      <c r="D154" s="194"/>
      <c r="E154" s="170"/>
      <c r="F154" s="170"/>
      <c r="G154" s="170"/>
      <c r="H154" s="206"/>
      <c r="I154" s="170"/>
      <c r="J154" s="46" t="s">
        <v>919</v>
      </c>
      <c r="K154" s="170"/>
      <c r="L154" s="288">
        <v>41.9</v>
      </c>
      <c r="M154" s="289">
        <v>3</v>
      </c>
      <c r="N154" s="290">
        <v>500</v>
      </c>
      <c r="O154" s="46"/>
      <c r="P154" s="46" t="s">
        <v>39</v>
      </c>
      <c r="Q154" s="170"/>
      <c r="R154" s="192" t="str">
        <f t="shared" si="0"/>
        <v>500grams</v>
      </c>
      <c r="S154" s="198">
        <f t="shared" si="1"/>
        <v>1500</v>
      </c>
      <c r="T154" s="199" t="str">
        <f t="shared" si="2"/>
        <v>1500grams</v>
      </c>
      <c r="U154" s="200">
        <f t="shared" si="3"/>
        <v>125.69999999999999</v>
      </c>
      <c r="V154" s="12"/>
      <c r="W154" s="12"/>
    </row>
    <row r="155" spans="1:23" x14ac:dyDescent="0.3">
      <c r="A155" s="183" t="e">
        <f ca="1"/>
        <v>#NAME?</v>
      </c>
      <c r="B155" s="219" t="s">
        <v>921</v>
      </c>
      <c r="C155" s="170"/>
      <c r="D155" s="194"/>
      <c r="E155" s="170"/>
      <c r="F155" s="170"/>
      <c r="G155" s="170"/>
      <c r="H155" s="183"/>
      <c r="I155" s="170"/>
      <c r="J155" s="219" t="s">
        <v>922</v>
      </c>
      <c r="K155" s="170"/>
      <c r="L155" s="291">
        <v>12.1</v>
      </c>
      <c r="M155" s="292">
        <v>1</v>
      </c>
      <c r="N155" s="293">
        <v>1</v>
      </c>
      <c r="O155" s="219"/>
      <c r="P155" s="219" t="s">
        <v>92</v>
      </c>
      <c r="Q155" s="170"/>
      <c r="R155" s="192" t="str">
        <f t="shared" si="0"/>
        <v>1pieces</v>
      </c>
      <c r="S155" s="198">
        <f t="shared" si="1"/>
        <v>1</v>
      </c>
      <c r="T155" s="199" t="str">
        <f t="shared" si="2"/>
        <v>1pieces</v>
      </c>
      <c r="U155" s="200">
        <f t="shared" si="3"/>
        <v>12.1</v>
      </c>
      <c r="V155" s="205">
        <f>U155/M155</f>
        <v>12.1</v>
      </c>
      <c r="W155" s="62"/>
    </row>
    <row r="156" spans="1:23" x14ac:dyDescent="0.3">
      <c r="A156" s="183" t="e">
        <f ca="1"/>
        <v>#NAME?</v>
      </c>
      <c r="B156" s="219" t="s">
        <v>921</v>
      </c>
      <c r="C156" s="170"/>
      <c r="D156" s="194"/>
      <c r="E156" s="170"/>
      <c r="F156" s="170"/>
      <c r="G156" s="170"/>
      <c r="H156" s="183"/>
      <c r="I156" s="170"/>
      <c r="J156" s="219" t="s">
        <v>724</v>
      </c>
      <c r="K156" s="170"/>
      <c r="L156" s="291">
        <v>25.52</v>
      </c>
      <c r="M156" s="292">
        <v>2</v>
      </c>
      <c r="N156" s="293">
        <v>20</v>
      </c>
      <c r="O156" s="219"/>
      <c r="P156" s="219" t="s">
        <v>39</v>
      </c>
      <c r="Q156" s="170"/>
      <c r="R156" s="192" t="str">
        <f t="shared" si="0"/>
        <v>20grams</v>
      </c>
      <c r="S156" s="198">
        <f t="shared" si="1"/>
        <v>40</v>
      </c>
      <c r="T156" s="199" t="str">
        <f t="shared" si="2"/>
        <v>40grams</v>
      </c>
      <c r="U156" s="200">
        <f t="shared" si="3"/>
        <v>51.04</v>
      </c>
      <c r="V156" s="12"/>
      <c r="W156" s="12"/>
    </row>
    <row r="157" spans="1:23" x14ac:dyDescent="0.3">
      <c r="A157" s="183" t="e">
        <f ca="1"/>
        <v>#NAME?</v>
      </c>
      <c r="B157" s="219" t="s">
        <v>923</v>
      </c>
      <c r="C157" s="170"/>
      <c r="D157" s="194"/>
      <c r="E157" s="194"/>
      <c r="F157" s="170"/>
      <c r="G157" s="170"/>
      <c r="H157" s="183"/>
      <c r="I157" s="170"/>
      <c r="J157" s="219" t="s">
        <v>724</v>
      </c>
      <c r="K157" s="170"/>
      <c r="L157" s="291">
        <v>25.52</v>
      </c>
      <c r="M157" s="292">
        <v>3</v>
      </c>
      <c r="N157" s="293">
        <v>19</v>
      </c>
      <c r="O157" s="219"/>
      <c r="P157" s="219" t="s">
        <v>39</v>
      </c>
      <c r="Q157" s="170"/>
      <c r="R157" s="192" t="str">
        <f t="shared" si="0"/>
        <v>19grams</v>
      </c>
      <c r="S157" s="198">
        <f t="shared" si="1"/>
        <v>57</v>
      </c>
      <c r="T157" s="199" t="str">
        <f t="shared" si="2"/>
        <v>57grams</v>
      </c>
      <c r="U157" s="200">
        <f t="shared" si="3"/>
        <v>76.56</v>
      </c>
      <c r="V157" s="12"/>
      <c r="W157" s="12"/>
    </row>
    <row r="158" spans="1:23" x14ac:dyDescent="0.3">
      <c r="A158" s="183" t="e">
        <f ca="1"/>
        <v>#NAME?</v>
      </c>
      <c r="B158" s="46" t="s">
        <v>924</v>
      </c>
      <c r="C158" s="170"/>
      <c r="D158" s="194"/>
      <c r="E158" s="194"/>
      <c r="F158" s="194"/>
      <c r="G158" s="170"/>
      <c r="H158" s="183"/>
      <c r="I158" s="170"/>
      <c r="J158" s="46" t="s">
        <v>925</v>
      </c>
      <c r="K158" s="170"/>
      <c r="L158" s="288">
        <v>6</v>
      </c>
      <c r="M158" s="289">
        <v>154</v>
      </c>
      <c r="N158" s="290">
        <v>10</v>
      </c>
      <c r="O158" s="46"/>
      <c r="P158" s="46" t="s">
        <v>92</v>
      </c>
      <c r="Q158" s="170"/>
      <c r="R158" s="192" t="str">
        <f t="shared" si="0"/>
        <v>10pieces</v>
      </c>
      <c r="S158" s="198">
        <f t="shared" si="1"/>
        <v>1540</v>
      </c>
      <c r="T158" s="199" t="str">
        <f t="shared" si="2"/>
        <v>1540pieces</v>
      </c>
      <c r="U158" s="200">
        <f t="shared" si="3"/>
        <v>924</v>
      </c>
      <c r="V158" s="205">
        <f t="shared" ref="V158:V159" si="8">U158/M158</f>
        <v>6</v>
      </c>
      <c r="W158" s="62"/>
    </row>
    <row r="159" spans="1:23" x14ac:dyDescent="0.3">
      <c r="A159" s="183" t="e">
        <f ca="1"/>
        <v>#NAME?</v>
      </c>
      <c r="B159" s="46" t="s">
        <v>924</v>
      </c>
      <c r="C159" s="170"/>
      <c r="D159" s="194"/>
      <c r="E159" s="194"/>
      <c r="F159" s="170"/>
      <c r="G159" s="170"/>
      <c r="H159" s="183"/>
      <c r="I159" s="170"/>
      <c r="J159" s="46" t="s">
        <v>926</v>
      </c>
      <c r="K159" s="170"/>
      <c r="L159" s="288">
        <v>6</v>
      </c>
      <c r="M159" s="289">
        <v>100</v>
      </c>
      <c r="N159" s="290">
        <v>10</v>
      </c>
      <c r="O159" s="46"/>
      <c r="P159" s="46" t="s">
        <v>92</v>
      </c>
      <c r="Q159" s="170"/>
      <c r="R159" s="192" t="str">
        <f t="shared" si="0"/>
        <v>10pieces</v>
      </c>
      <c r="S159" s="198">
        <f t="shared" si="1"/>
        <v>1000</v>
      </c>
      <c r="T159" s="199" t="str">
        <f t="shared" si="2"/>
        <v>1000pieces</v>
      </c>
      <c r="U159" s="200">
        <f t="shared" si="3"/>
        <v>600</v>
      </c>
      <c r="V159" s="205">
        <f t="shared" si="8"/>
        <v>6</v>
      </c>
      <c r="W159" s="62"/>
    </row>
    <row r="160" spans="1:23" x14ac:dyDescent="0.3">
      <c r="A160" s="183" t="e">
        <f ca="1"/>
        <v>#NAME?</v>
      </c>
      <c r="B160" s="219" t="s">
        <v>924</v>
      </c>
      <c r="C160" s="170"/>
      <c r="D160" s="194"/>
      <c r="E160" s="194"/>
      <c r="F160" s="170"/>
      <c r="G160" s="170"/>
      <c r="H160" s="183"/>
      <c r="I160" s="170"/>
      <c r="J160" s="46" t="s">
        <v>927</v>
      </c>
      <c r="K160" s="170"/>
      <c r="L160" s="288">
        <v>6.8</v>
      </c>
      <c r="M160" s="289">
        <v>3</v>
      </c>
      <c r="N160" s="290">
        <v>28</v>
      </c>
      <c r="O160" s="46"/>
      <c r="P160" s="46" t="s">
        <v>39</v>
      </c>
      <c r="Q160" s="170"/>
      <c r="R160" s="192" t="str">
        <f t="shared" si="0"/>
        <v>28grams</v>
      </c>
      <c r="S160" s="198">
        <f t="shared" si="1"/>
        <v>84</v>
      </c>
      <c r="T160" s="199" t="str">
        <f t="shared" si="2"/>
        <v>84grams</v>
      </c>
      <c r="U160" s="200">
        <f t="shared" si="3"/>
        <v>20.399999999999999</v>
      </c>
      <c r="V160" s="12"/>
      <c r="W160" s="12"/>
    </row>
    <row r="161" spans="1:23" x14ac:dyDescent="0.3">
      <c r="A161" s="183" t="e">
        <f ca="1"/>
        <v>#NAME?</v>
      </c>
      <c r="B161" s="46" t="s">
        <v>924</v>
      </c>
      <c r="C161" s="170"/>
      <c r="D161" s="194"/>
      <c r="E161" s="194"/>
      <c r="F161" s="170"/>
      <c r="G161" s="170"/>
      <c r="H161" s="183"/>
      <c r="I161" s="170"/>
      <c r="J161" s="46" t="s">
        <v>928</v>
      </c>
      <c r="K161" s="170"/>
      <c r="L161" s="288">
        <v>6.05</v>
      </c>
      <c r="M161" s="289">
        <v>30</v>
      </c>
      <c r="N161" s="290">
        <v>28</v>
      </c>
      <c r="O161" s="46"/>
      <c r="P161" s="46" t="s">
        <v>39</v>
      </c>
      <c r="Q161" s="170"/>
      <c r="R161" s="192" t="str">
        <f t="shared" si="0"/>
        <v>28grams</v>
      </c>
      <c r="S161" s="198">
        <f t="shared" si="1"/>
        <v>840</v>
      </c>
      <c r="T161" s="199" t="str">
        <f t="shared" si="2"/>
        <v>840grams</v>
      </c>
      <c r="U161" s="200">
        <f t="shared" si="3"/>
        <v>181.5</v>
      </c>
      <c r="V161" s="12"/>
      <c r="W161" s="12"/>
    </row>
    <row r="162" spans="1:23" x14ac:dyDescent="0.3">
      <c r="A162" s="183" t="e">
        <f ca="1"/>
        <v>#NAME?</v>
      </c>
      <c r="B162" s="46" t="s">
        <v>924</v>
      </c>
      <c r="C162" s="170"/>
      <c r="D162" s="194"/>
      <c r="E162" s="170"/>
      <c r="F162" s="170"/>
      <c r="G162" s="170"/>
      <c r="H162" s="206"/>
      <c r="I162" s="170"/>
      <c r="J162" s="46" t="s">
        <v>925</v>
      </c>
      <c r="K162" s="170"/>
      <c r="L162" s="288">
        <v>6.05</v>
      </c>
      <c r="M162" s="289">
        <v>60</v>
      </c>
      <c r="N162" s="290">
        <v>28</v>
      </c>
      <c r="O162" s="46"/>
      <c r="P162" s="46" t="s">
        <v>39</v>
      </c>
      <c r="Q162" s="170"/>
      <c r="R162" s="192" t="str">
        <f t="shared" si="0"/>
        <v>28grams</v>
      </c>
      <c r="S162" s="198">
        <f t="shared" si="1"/>
        <v>1680</v>
      </c>
      <c r="T162" s="199" t="str">
        <f t="shared" si="2"/>
        <v>1680grams</v>
      </c>
      <c r="U162" s="200">
        <f t="shared" si="3"/>
        <v>363</v>
      </c>
      <c r="V162" s="12"/>
      <c r="W162" s="12"/>
    </row>
    <row r="163" spans="1:23" x14ac:dyDescent="0.3">
      <c r="A163" s="183" t="e">
        <f ca="1"/>
        <v>#NAME?</v>
      </c>
      <c r="B163" s="46" t="s">
        <v>924</v>
      </c>
      <c r="C163" s="170"/>
      <c r="D163" s="194"/>
      <c r="E163" s="170"/>
      <c r="F163" s="170"/>
      <c r="G163" s="170"/>
      <c r="H163" s="206"/>
      <c r="I163" s="170"/>
      <c r="J163" s="46" t="s">
        <v>929</v>
      </c>
      <c r="K163" s="170"/>
      <c r="L163" s="288">
        <v>24.6</v>
      </c>
      <c r="M163" s="289">
        <v>24</v>
      </c>
      <c r="N163" s="290">
        <v>60</v>
      </c>
      <c r="O163" s="46"/>
      <c r="P163" s="46" t="s">
        <v>39</v>
      </c>
      <c r="Q163" s="170"/>
      <c r="R163" s="192" t="str">
        <f t="shared" si="0"/>
        <v>60grams</v>
      </c>
      <c r="S163" s="198">
        <f t="shared" si="1"/>
        <v>1440</v>
      </c>
      <c r="T163" s="199" t="str">
        <f t="shared" si="2"/>
        <v>1440grams</v>
      </c>
      <c r="U163" s="200">
        <f t="shared" si="3"/>
        <v>590.40000000000009</v>
      </c>
      <c r="V163" s="12"/>
      <c r="W163" s="12"/>
    </row>
    <row r="164" spans="1:23" x14ac:dyDescent="0.3">
      <c r="A164" s="183" t="e">
        <f ca="1"/>
        <v>#NAME?</v>
      </c>
      <c r="B164" s="46" t="s">
        <v>924</v>
      </c>
      <c r="C164" s="170"/>
      <c r="D164" s="194"/>
      <c r="E164" s="194"/>
      <c r="F164" s="194"/>
      <c r="G164" s="170"/>
      <c r="H164" s="183"/>
      <c r="I164" s="170"/>
      <c r="J164" s="46" t="s">
        <v>930</v>
      </c>
      <c r="K164" s="170"/>
      <c r="L164" s="288">
        <v>36.9</v>
      </c>
      <c r="M164" s="289">
        <v>3</v>
      </c>
      <c r="N164" s="290">
        <v>100</v>
      </c>
      <c r="O164" s="46"/>
      <c r="P164" s="46" t="s">
        <v>39</v>
      </c>
      <c r="Q164" s="61" t="s">
        <v>33</v>
      </c>
      <c r="R164" s="192" t="str">
        <f t="shared" si="0"/>
        <v>100grams</v>
      </c>
      <c r="S164" s="198">
        <f t="shared" si="1"/>
        <v>300</v>
      </c>
      <c r="T164" s="199" t="str">
        <f t="shared" si="2"/>
        <v>300 grams</v>
      </c>
      <c r="U164" s="200">
        <f t="shared" si="3"/>
        <v>110.69999999999999</v>
      </c>
      <c r="V164" s="205">
        <f>U164/M164</f>
        <v>36.9</v>
      </c>
      <c r="W164" s="62"/>
    </row>
    <row r="165" spans="1:23" x14ac:dyDescent="0.3">
      <c r="A165" s="183" t="e">
        <f ca="1"/>
        <v>#NAME?</v>
      </c>
      <c r="B165" s="46" t="s">
        <v>924</v>
      </c>
      <c r="C165" s="170"/>
      <c r="D165" s="194"/>
      <c r="E165" s="194"/>
      <c r="F165" s="194"/>
      <c r="G165" s="170"/>
      <c r="H165" s="183"/>
      <c r="I165" s="170"/>
      <c r="J165" s="46" t="s">
        <v>931</v>
      </c>
      <c r="K165" s="170"/>
      <c r="L165" s="288">
        <v>7.07</v>
      </c>
      <c r="M165" s="289">
        <v>80</v>
      </c>
      <c r="N165" s="290">
        <v>30</v>
      </c>
      <c r="O165" s="46"/>
      <c r="P165" s="46" t="s">
        <v>39</v>
      </c>
      <c r="Q165" s="170"/>
      <c r="R165" s="192" t="str">
        <f t="shared" si="0"/>
        <v>30grams</v>
      </c>
      <c r="S165" s="198">
        <f t="shared" si="1"/>
        <v>2400</v>
      </c>
      <c r="T165" s="199" t="str">
        <f t="shared" si="2"/>
        <v>2400grams</v>
      </c>
      <c r="U165" s="200">
        <f t="shared" si="3"/>
        <v>565.6</v>
      </c>
      <c r="V165" s="12"/>
      <c r="W165" s="12"/>
    </row>
    <row r="166" spans="1:23" x14ac:dyDescent="0.3">
      <c r="A166" s="183" t="e">
        <f ca="1"/>
        <v>#NAME?</v>
      </c>
      <c r="B166" s="46" t="s">
        <v>924</v>
      </c>
      <c r="C166" s="170"/>
      <c r="D166" s="194"/>
      <c r="E166" s="194"/>
      <c r="F166" s="194"/>
      <c r="G166" s="170"/>
      <c r="H166" s="206"/>
      <c r="I166" s="170"/>
      <c r="J166" s="46" t="s">
        <v>932</v>
      </c>
      <c r="K166" s="170"/>
      <c r="L166" s="288">
        <v>6.71</v>
      </c>
      <c r="M166" s="289">
        <v>80</v>
      </c>
      <c r="N166" s="290">
        <v>10</v>
      </c>
      <c r="O166" s="297"/>
      <c r="P166" s="297" t="s">
        <v>92</v>
      </c>
      <c r="Q166" s="170"/>
      <c r="R166" s="192" t="str">
        <f t="shared" si="0"/>
        <v>10pieces</v>
      </c>
      <c r="S166" s="198">
        <f t="shared" si="1"/>
        <v>800</v>
      </c>
      <c r="T166" s="199" t="str">
        <f t="shared" si="2"/>
        <v>800pieces</v>
      </c>
      <c r="U166" s="200">
        <f t="shared" si="3"/>
        <v>536.79999999999995</v>
      </c>
      <c r="V166" s="12"/>
      <c r="W166" s="12"/>
    </row>
    <row r="167" spans="1:23" x14ac:dyDescent="0.3">
      <c r="A167" s="183" t="e">
        <f ca="1"/>
        <v>#NAME?</v>
      </c>
      <c r="B167" s="46" t="s">
        <v>924</v>
      </c>
      <c r="C167" s="170"/>
      <c r="D167" s="194"/>
      <c r="E167" s="194"/>
      <c r="F167" s="194"/>
      <c r="G167" s="170"/>
      <c r="H167" s="183"/>
      <c r="I167" s="170"/>
      <c r="J167" s="46" t="s">
        <v>933</v>
      </c>
      <c r="K167" s="170"/>
      <c r="L167" s="288">
        <v>17.850000000000001</v>
      </c>
      <c r="M167" s="289">
        <v>56</v>
      </c>
      <c r="N167" s="290">
        <v>40</v>
      </c>
      <c r="O167" s="297"/>
      <c r="P167" s="297" t="s">
        <v>92</v>
      </c>
      <c r="Q167" s="170"/>
      <c r="R167" s="192" t="str">
        <f t="shared" si="0"/>
        <v>40pieces</v>
      </c>
      <c r="S167" s="198">
        <f t="shared" si="1"/>
        <v>2240</v>
      </c>
      <c r="T167" s="199" t="str">
        <f t="shared" si="2"/>
        <v>2240pieces</v>
      </c>
      <c r="U167" s="200">
        <f t="shared" si="3"/>
        <v>999.60000000000014</v>
      </c>
      <c r="V167" s="12"/>
      <c r="W167" s="12"/>
    </row>
    <row r="168" spans="1:23" x14ac:dyDescent="0.3">
      <c r="A168" s="183" t="e">
        <f ca="1"/>
        <v>#NAME?</v>
      </c>
      <c r="B168" s="46" t="s">
        <v>924</v>
      </c>
      <c r="C168" s="170"/>
      <c r="D168" s="194"/>
      <c r="E168" s="194"/>
      <c r="F168" s="194"/>
      <c r="G168" s="170"/>
      <c r="H168" s="183"/>
      <c r="I168" s="170"/>
      <c r="J168" s="46" t="s">
        <v>934</v>
      </c>
      <c r="K168" s="170"/>
      <c r="L168" s="288">
        <v>6.13</v>
      </c>
      <c r="M168" s="289">
        <v>30</v>
      </c>
      <c r="N168" s="290">
        <v>33</v>
      </c>
      <c r="O168" s="46"/>
      <c r="P168" s="46" t="s">
        <v>39</v>
      </c>
      <c r="Q168" s="61" t="s">
        <v>33</v>
      </c>
      <c r="R168" s="192" t="str">
        <f t="shared" si="0"/>
        <v>33grams</v>
      </c>
      <c r="S168" s="198">
        <f t="shared" si="1"/>
        <v>990</v>
      </c>
      <c r="T168" s="199" t="str">
        <f t="shared" si="2"/>
        <v>990 grams</v>
      </c>
      <c r="U168" s="200">
        <f t="shared" si="3"/>
        <v>183.9</v>
      </c>
      <c r="V168" s="205">
        <f>U168/M168</f>
        <v>6.13</v>
      </c>
      <c r="W168" s="62"/>
    </row>
    <row r="169" spans="1:23" x14ac:dyDescent="0.3">
      <c r="A169" s="183" t="e">
        <f ca="1"/>
        <v>#NAME?</v>
      </c>
      <c r="B169" s="46" t="s">
        <v>924</v>
      </c>
      <c r="C169" s="170"/>
      <c r="D169" s="194"/>
      <c r="E169" s="194"/>
      <c r="F169" s="194"/>
      <c r="G169" s="170"/>
      <c r="H169" s="183"/>
      <c r="I169" s="170"/>
      <c r="J169" s="46" t="s">
        <v>935</v>
      </c>
      <c r="K169" s="170"/>
      <c r="L169" s="288">
        <v>6.29</v>
      </c>
      <c r="M169" s="289">
        <v>60</v>
      </c>
      <c r="N169" s="290">
        <v>30</v>
      </c>
      <c r="O169" s="46"/>
      <c r="P169" s="46" t="s">
        <v>39</v>
      </c>
      <c r="Q169" s="170"/>
      <c r="R169" s="192" t="str">
        <f t="shared" si="0"/>
        <v>30grams</v>
      </c>
      <c r="S169" s="198">
        <f t="shared" si="1"/>
        <v>1800</v>
      </c>
      <c r="T169" s="199" t="str">
        <f t="shared" si="2"/>
        <v>1800grams</v>
      </c>
      <c r="U169" s="200">
        <f t="shared" si="3"/>
        <v>377.4</v>
      </c>
      <c r="V169" s="12"/>
      <c r="W169" s="12"/>
    </row>
    <row r="170" spans="1:23" x14ac:dyDescent="0.3">
      <c r="A170" s="183" t="e">
        <f ca="1"/>
        <v>#NAME?</v>
      </c>
      <c r="B170" s="46" t="s">
        <v>924</v>
      </c>
      <c r="C170" s="215"/>
      <c r="D170" s="194"/>
      <c r="E170" s="214"/>
      <c r="F170" s="214"/>
      <c r="G170" s="215"/>
      <c r="H170" s="183"/>
      <c r="I170" s="170"/>
      <c r="J170" s="46" t="s">
        <v>936</v>
      </c>
      <c r="K170" s="170"/>
      <c r="L170" s="288">
        <v>6.17</v>
      </c>
      <c r="M170" s="289">
        <v>30</v>
      </c>
      <c r="N170" s="290">
        <v>30</v>
      </c>
      <c r="O170" s="46"/>
      <c r="P170" s="46" t="s">
        <v>39</v>
      </c>
      <c r="Q170" s="170"/>
      <c r="R170" s="192" t="str">
        <f t="shared" si="0"/>
        <v>30grams</v>
      </c>
      <c r="S170" s="198">
        <f t="shared" si="1"/>
        <v>900</v>
      </c>
      <c r="T170" s="199" t="str">
        <f t="shared" si="2"/>
        <v>900grams</v>
      </c>
      <c r="U170" s="200">
        <f t="shared" si="3"/>
        <v>185.1</v>
      </c>
      <c r="V170" s="12"/>
      <c r="W170" s="12"/>
    </row>
    <row r="171" spans="1:23" x14ac:dyDescent="0.3">
      <c r="A171" s="183" t="e">
        <f ca="1"/>
        <v>#NAME?</v>
      </c>
      <c r="B171" s="46" t="s">
        <v>924</v>
      </c>
      <c r="C171" s="170"/>
      <c r="D171" s="194"/>
      <c r="E171" s="194"/>
      <c r="F171" s="194"/>
      <c r="G171" s="170"/>
      <c r="H171" s="183"/>
      <c r="I171" s="170"/>
      <c r="J171" s="46" t="s">
        <v>937</v>
      </c>
      <c r="K171" s="170"/>
      <c r="L171" s="288">
        <v>17.899999999999999</v>
      </c>
      <c r="M171" s="289">
        <v>3</v>
      </c>
      <c r="N171" s="290">
        <v>80</v>
      </c>
      <c r="O171" s="46"/>
      <c r="P171" s="46" t="s">
        <v>39</v>
      </c>
      <c r="Q171" s="170"/>
      <c r="R171" s="192" t="str">
        <f t="shared" si="0"/>
        <v>80grams</v>
      </c>
      <c r="S171" s="198">
        <f t="shared" si="1"/>
        <v>240</v>
      </c>
      <c r="T171" s="199" t="str">
        <f t="shared" si="2"/>
        <v>240grams</v>
      </c>
      <c r="U171" s="200">
        <f t="shared" si="3"/>
        <v>53.699999999999996</v>
      </c>
      <c r="V171" s="205">
        <f>U171/M171</f>
        <v>17.899999999999999</v>
      </c>
      <c r="W171" s="62"/>
    </row>
    <row r="172" spans="1:23" x14ac:dyDescent="0.3">
      <c r="A172" s="183" t="e">
        <f ca="1"/>
        <v>#NAME?</v>
      </c>
      <c r="B172" s="46" t="s">
        <v>924</v>
      </c>
      <c r="C172" s="170"/>
      <c r="D172" s="194"/>
      <c r="E172" s="170"/>
      <c r="F172" s="170"/>
      <c r="G172" s="170"/>
      <c r="H172" s="206"/>
      <c r="I172" s="170"/>
      <c r="J172" s="46" t="s">
        <v>933</v>
      </c>
      <c r="K172" s="170"/>
      <c r="L172" s="288">
        <v>6</v>
      </c>
      <c r="M172" s="289">
        <v>44</v>
      </c>
      <c r="N172" s="290">
        <v>10</v>
      </c>
      <c r="O172" s="297"/>
      <c r="P172" s="297" t="s">
        <v>92</v>
      </c>
      <c r="Q172" s="170"/>
      <c r="R172" s="192" t="str">
        <f t="shared" si="0"/>
        <v>10pieces</v>
      </c>
      <c r="S172" s="198">
        <f t="shared" si="1"/>
        <v>440</v>
      </c>
      <c r="T172" s="199" t="str">
        <f t="shared" si="2"/>
        <v>440pieces</v>
      </c>
      <c r="U172" s="200">
        <f t="shared" si="3"/>
        <v>264</v>
      </c>
      <c r="V172" s="12"/>
      <c r="W172" s="12"/>
    </row>
    <row r="173" spans="1:23" x14ac:dyDescent="0.3">
      <c r="A173" s="183" t="e">
        <f ca="1"/>
        <v>#NAME?</v>
      </c>
      <c r="B173" s="46" t="s">
        <v>924</v>
      </c>
      <c r="C173" s="170"/>
      <c r="D173" s="194"/>
      <c r="E173" s="194"/>
      <c r="F173" s="194"/>
      <c r="G173" s="170"/>
      <c r="H173" s="183"/>
      <c r="I173" s="170"/>
      <c r="J173" s="46" t="s">
        <v>933</v>
      </c>
      <c r="K173" s="170"/>
      <c r="L173" s="288">
        <v>5.8</v>
      </c>
      <c r="M173" s="289">
        <v>140</v>
      </c>
      <c r="N173" s="290">
        <v>30</v>
      </c>
      <c r="O173" s="297"/>
      <c r="P173" s="297" t="s">
        <v>39</v>
      </c>
      <c r="Q173" s="170"/>
      <c r="R173" s="192" t="str">
        <f t="shared" si="0"/>
        <v>30grams</v>
      </c>
      <c r="S173" s="198">
        <f t="shared" si="1"/>
        <v>4200</v>
      </c>
      <c r="T173" s="199" t="str">
        <f t="shared" si="2"/>
        <v>4200grams</v>
      </c>
      <c r="U173" s="200">
        <f t="shared" si="3"/>
        <v>812</v>
      </c>
      <c r="V173" s="12"/>
      <c r="W173" s="12"/>
    </row>
    <row r="174" spans="1:23" x14ac:dyDescent="0.3">
      <c r="A174" s="183" t="e">
        <f ca="1"/>
        <v>#NAME?</v>
      </c>
      <c r="B174" s="46" t="s">
        <v>924</v>
      </c>
      <c r="C174" s="170"/>
      <c r="D174" s="194"/>
      <c r="E174" s="194"/>
      <c r="F174" s="170"/>
      <c r="G174" s="170"/>
      <c r="H174" s="183"/>
      <c r="I174" s="170"/>
      <c r="J174" s="46" t="s">
        <v>938</v>
      </c>
      <c r="K174" s="170"/>
      <c r="L174" s="288">
        <v>5.92</v>
      </c>
      <c r="M174" s="289">
        <v>30</v>
      </c>
      <c r="N174" s="290">
        <v>10</v>
      </c>
      <c r="O174" s="46"/>
      <c r="P174" s="46" t="s">
        <v>92</v>
      </c>
      <c r="Q174" s="170"/>
      <c r="R174" s="192" t="str">
        <f t="shared" si="0"/>
        <v>10pieces</v>
      </c>
      <c r="S174" s="198">
        <f t="shared" si="1"/>
        <v>300</v>
      </c>
      <c r="T174" s="199" t="str">
        <f t="shared" si="2"/>
        <v>300pieces</v>
      </c>
      <c r="U174" s="200">
        <f t="shared" si="3"/>
        <v>177.6</v>
      </c>
      <c r="V174" s="12"/>
      <c r="W174" s="12"/>
    </row>
    <row r="175" spans="1:23" x14ac:dyDescent="0.3">
      <c r="A175" s="183" t="e">
        <f ca="1"/>
        <v>#NAME?</v>
      </c>
      <c r="B175" s="46" t="s">
        <v>924</v>
      </c>
      <c r="C175" s="170"/>
      <c r="D175" s="194"/>
      <c r="E175" s="194"/>
      <c r="F175" s="194"/>
      <c r="G175" s="170"/>
      <c r="H175" s="183"/>
      <c r="I175" s="170"/>
      <c r="J175" s="46" t="s">
        <v>938</v>
      </c>
      <c r="K175" s="170"/>
      <c r="L175" s="288">
        <v>6</v>
      </c>
      <c r="M175" s="289">
        <v>84</v>
      </c>
      <c r="N175" s="290">
        <v>10</v>
      </c>
      <c r="O175" s="46"/>
      <c r="P175" s="46" t="s">
        <v>92</v>
      </c>
      <c r="Q175" s="170"/>
      <c r="R175" s="192" t="str">
        <f t="shared" si="0"/>
        <v>10pieces</v>
      </c>
      <c r="S175" s="198">
        <f t="shared" si="1"/>
        <v>840</v>
      </c>
      <c r="T175" s="199" t="str">
        <f t="shared" si="2"/>
        <v>840pieces</v>
      </c>
      <c r="U175" s="200">
        <f t="shared" si="3"/>
        <v>504</v>
      </c>
      <c r="V175" s="12"/>
      <c r="W175" s="12"/>
    </row>
    <row r="176" spans="1:23" x14ac:dyDescent="0.3">
      <c r="A176" s="183" t="e">
        <f ca="1"/>
        <v>#NAME?</v>
      </c>
      <c r="B176" s="46" t="s">
        <v>924</v>
      </c>
      <c r="C176" s="170"/>
      <c r="D176" s="194"/>
      <c r="E176" s="170"/>
      <c r="F176" s="170"/>
      <c r="G176" s="170"/>
      <c r="H176" s="206"/>
      <c r="I176" s="170"/>
      <c r="J176" s="46" t="s">
        <v>939</v>
      </c>
      <c r="K176" s="170"/>
      <c r="L176" s="288">
        <v>5.72</v>
      </c>
      <c r="M176" s="289">
        <v>47</v>
      </c>
      <c r="N176" s="290">
        <v>28</v>
      </c>
      <c r="O176" s="46"/>
      <c r="P176" s="46" t="s">
        <v>39</v>
      </c>
      <c r="Q176" s="170"/>
      <c r="R176" s="192" t="str">
        <f t="shared" si="0"/>
        <v>28grams</v>
      </c>
      <c r="S176" s="198">
        <f t="shared" si="1"/>
        <v>1316</v>
      </c>
      <c r="T176" s="199" t="str">
        <f t="shared" si="2"/>
        <v>1316grams</v>
      </c>
      <c r="U176" s="200">
        <f t="shared" si="3"/>
        <v>268.83999999999997</v>
      </c>
      <c r="V176" s="12"/>
      <c r="W176" s="12"/>
    </row>
    <row r="177" spans="1:23" x14ac:dyDescent="0.3">
      <c r="A177" s="183" t="e">
        <f ca="1"/>
        <v>#NAME?</v>
      </c>
      <c r="B177" s="46" t="s">
        <v>924</v>
      </c>
      <c r="C177" s="170"/>
      <c r="D177" s="194"/>
      <c r="E177" s="170"/>
      <c r="F177" s="170"/>
      <c r="G177" s="170"/>
      <c r="H177" s="206"/>
      <c r="I177" s="170"/>
      <c r="J177" s="46" t="s">
        <v>939</v>
      </c>
      <c r="K177" s="170"/>
      <c r="L177" s="288">
        <v>22</v>
      </c>
      <c r="M177" s="289">
        <v>8</v>
      </c>
      <c r="N177" s="290">
        <v>90</v>
      </c>
      <c r="O177" s="46"/>
      <c r="P177" s="46" t="s">
        <v>39</v>
      </c>
      <c r="Q177" s="170"/>
      <c r="R177" s="192" t="str">
        <f t="shared" si="0"/>
        <v>90grams</v>
      </c>
      <c r="S177" s="198">
        <f t="shared" si="1"/>
        <v>720</v>
      </c>
      <c r="T177" s="199" t="str">
        <f t="shared" si="2"/>
        <v>720grams</v>
      </c>
      <c r="U177" s="200">
        <f t="shared" si="3"/>
        <v>176</v>
      </c>
      <c r="V177" s="12"/>
      <c r="W177" s="12"/>
    </row>
    <row r="178" spans="1:23" x14ac:dyDescent="0.3">
      <c r="A178" s="183" t="e">
        <f ca="1"/>
        <v>#NAME?</v>
      </c>
      <c r="B178" s="46" t="s">
        <v>924</v>
      </c>
      <c r="C178" s="170"/>
      <c r="D178" s="194"/>
      <c r="E178" s="194"/>
      <c r="F178" s="194"/>
      <c r="G178" s="170"/>
      <c r="H178" s="183"/>
      <c r="I178" s="170"/>
      <c r="J178" s="46" t="s">
        <v>940</v>
      </c>
      <c r="K178" s="170"/>
      <c r="L178" s="288">
        <v>7.39</v>
      </c>
      <c r="M178" s="289">
        <v>43</v>
      </c>
      <c r="N178" s="290">
        <v>33</v>
      </c>
      <c r="O178" s="46"/>
      <c r="P178" s="46" t="s">
        <v>39</v>
      </c>
      <c r="Q178" s="61" t="s">
        <v>33</v>
      </c>
      <c r="R178" s="192" t="str">
        <f t="shared" si="0"/>
        <v>33grams</v>
      </c>
      <c r="S178" s="198">
        <f t="shared" si="1"/>
        <v>1419</v>
      </c>
      <c r="T178" s="199" t="str">
        <f t="shared" si="2"/>
        <v>1419 grams</v>
      </c>
      <c r="U178" s="200">
        <f t="shared" si="3"/>
        <v>317.77</v>
      </c>
      <c r="V178" s="205">
        <f>U178/M178</f>
        <v>7.39</v>
      </c>
      <c r="W178" s="62"/>
    </row>
    <row r="179" spans="1:23" x14ac:dyDescent="0.3">
      <c r="A179" s="183" t="e">
        <f ca="1"/>
        <v>#NAME?</v>
      </c>
      <c r="B179" s="46" t="s">
        <v>924</v>
      </c>
      <c r="C179" s="170"/>
      <c r="D179" s="194"/>
      <c r="E179" s="194"/>
      <c r="F179" s="194"/>
      <c r="G179" s="170"/>
      <c r="H179" s="183"/>
      <c r="I179" s="170"/>
      <c r="J179" s="46" t="s">
        <v>940</v>
      </c>
      <c r="K179" s="170"/>
      <c r="L179" s="288">
        <v>73.900000000000006</v>
      </c>
      <c r="M179" s="289">
        <v>10</v>
      </c>
      <c r="N179" s="290">
        <v>33</v>
      </c>
      <c r="O179" s="46"/>
      <c r="P179" s="46" t="s">
        <v>39</v>
      </c>
      <c r="Q179" s="170"/>
      <c r="R179" s="192" t="str">
        <f t="shared" si="0"/>
        <v>33grams</v>
      </c>
      <c r="S179" s="198">
        <f t="shared" si="1"/>
        <v>330</v>
      </c>
      <c r="T179" s="199" t="str">
        <f t="shared" si="2"/>
        <v>330grams</v>
      </c>
      <c r="U179" s="200">
        <f t="shared" si="3"/>
        <v>739</v>
      </c>
      <c r="V179" s="12"/>
      <c r="W179" s="12"/>
    </row>
    <row r="180" spans="1:23" x14ac:dyDescent="0.3">
      <c r="A180" s="183" t="e">
        <f ca="1"/>
        <v>#NAME?</v>
      </c>
      <c r="B180" s="219" t="s">
        <v>924</v>
      </c>
      <c r="C180" s="170"/>
      <c r="D180" s="194"/>
      <c r="E180" s="194"/>
      <c r="F180" s="194"/>
      <c r="G180" s="170"/>
      <c r="H180" s="206"/>
      <c r="I180" s="170"/>
      <c r="J180" s="219" t="s">
        <v>929</v>
      </c>
      <c r="K180" s="170"/>
      <c r="L180" s="291">
        <v>24.5</v>
      </c>
      <c r="M180" s="292">
        <v>3</v>
      </c>
      <c r="N180" s="293">
        <v>60</v>
      </c>
      <c r="O180" s="219"/>
      <c r="P180" s="219" t="s">
        <v>39</v>
      </c>
      <c r="Q180" s="170"/>
      <c r="R180" s="192" t="str">
        <f t="shared" si="0"/>
        <v>60grams</v>
      </c>
      <c r="S180" s="198">
        <f t="shared" si="1"/>
        <v>180</v>
      </c>
      <c r="T180" s="199" t="str">
        <f t="shared" si="2"/>
        <v>180grams</v>
      </c>
      <c r="U180" s="200">
        <f t="shared" si="3"/>
        <v>73.5</v>
      </c>
      <c r="V180" s="12"/>
      <c r="W180" s="12"/>
    </row>
    <row r="181" spans="1:23" x14ac:dyDescent="0.3">
      <c r="A181" s="183" t="e">
        <f ca="1"/>
        <v>#NAME?</v>
      </c>
      <c r="B181" s="219" t="s">
        <v>924</v>
      </c>
      <c r="C181" s="170"/>
      <c r="D181" s="194"/>
      <c r="E181" s="194"/>
      <c r="F181" s="194"/>
      <c r="G181" s="170"/>
      <c r="H181" s="183"/>
      <c r="I181" s="170"/>
      <c r="J181" s="46" t="s">
        <v>941</v>
      </c>
      <c r="K181" s="170"/>
      <c r="L181" s="291">
        <v>7.3</v>
      </c>
      <c r="M181" s="292">
        <v>8</v>
      </c>
      <c r="N181" s="293">
        <v>1</v>
      </c>
      <c r="O181" s="219"/>
      <c r="P181" s="219" t="s">
        <v>92</v>
      </c>
      <c r="Q181" s="170"/>
      <c r="R181" s="192" t="str">
        <f t="shared" si="0"/>
        <v>1pieces</v>
      </c>
      <c r="S181" s="198">
        <f t="shared" si="1"/>
        <v>8</v>
      </c>
      <c r="T181" s="199" t="str">
        <f t="shared" si="2"/>
        <v>8pieces</v>
      </c>
      <c r="U181" s="200">
        <f t="shared" si="3"/>
        <v>58.4</v>
      </c>
      <c r="V181" s="12"/>
      <c r="W181" s="12"/>
    </row>
    <row r="182" spans="1:23" x14ac:dyDescent="0.3">
      <c r="A182" s="183" t="e">
        <f ca="1"/>
        <v>#NAME?</v>
      </c>
      <c r="B182" s="219" t="s">
        <v>924</v>
      </c>
      <c r="C182" s="170"/>
      <c r="D182" s="194"/>
      <c r="E182" s="194"/>
      <c r="F182" s="170"/>
      <c r="G182" s="170"/>
      <c r="H182" s="183"/>
      <c r="I182" s="170"/>
      <c r="J182" s="219" t="s">
        <v>942</v>
      </c>
      <c r="K182" s="170"/>
      <c r="L182" s="291">
        <v>7.77</v>
      </c>
      <c r="M182" s="292">
        <v>5</v>
      </c>
      <c r="N182" s="293">
        <v>1</v>
      </c>
      <c r="O182" s="219"/>
      <c r="P182" s="219" t="s">
        <v>92</v>
      </c>
      <c r="Q182" s="170"/>
      <c r="R182" s="192" t="str">
        <f t="shared" si="0"/>
        <v>1pieces</v>
      </c>
      <c r="S182" s="198">
        <f t="shared" si="1"/>
        <v>5</v>
      </c>
      <c r="T182" s="199" t="str">
        <f t="shared" si="2"/>
        <v>5pieces</v>
      </c>
      <c r="U182" s="200">
        <f t="shared" si="3"/>
        <v>38.849999999999994</v>
      </c>
      <c r="V182" s="12"/>
      <c r="W182" s="12"/>
    </row>
    <row r="183" spans="1:23" x14ac:dyDescent="0.3">
      <c r="A183" s="183" t="e">
        <f ca="1"/>
        <v>#NAME?</v>
      </c>
      <c r="B183" s="219" t="s">
        <v>924</v>
      </c>
      <c r="C183" s="170"/>
      <c r="D183" s="194"/>
      <c r="E183" s="170"/>
      <c r="F183" s="170"/>
      <c r="G183" s="170"/>
      <c r="H183" s="206"/>
      <c r="I183" s="170"/>
      <c r="J183" s="219" t="s">
        <v>943</v>
      </c>
      <c r="K183" s="170"/>
      <c r="L183" s="291">
        <v>7.77</v>
      </c>
      <c r="M183" s="292">
        <v>1</v>
      </c>
      <c r="N183" s="293">
        <v>1</v>
      </c>
      <c r="O183" s="219"/>
      <c r="P183" s="219" t="s">
        <v>92</v>
      </c>
      <c r="Q183" s="170"/>
      <c r="R183" s="192" t="str">
        <f t="shared" si="0"/>
        <v>1pieces</v>
      </c>
      <c r="S183" s="198">
        <f t="shared" si="1"/>
        <v>1</v>
      </c>
      <c r="T183" s="199" t="str">
        <f t="shared" si="2"/>
        <v>1pieces</v>
      </c>
      <c r="U183" s="200">
        <f t="shared" si="3"/>
        <v>7.77</v>
      </c>
      <c r="V183" s="12"/>
      <c r="W183" s="12"/>
    </row>
    <row r="184" spans="1:23" x14ac:dyDescent="0.3">
      <c r="A184" s="183" t="e">
        <f ca="1"/>
        <v>#NAME?</v>
      </c>
      <c r="B184" s="219" t="s">
        <v>924</v>
      </c>
      <c r="C184" s="215"/>
      <c r="D184" s="194"/>
      <c r="E184" s="215"/>
      <c r="F184" s="215"/>
      <c r="G184" s="215"/>
      <c r="H184" s="183"/>
      <c r="I184" s="170"/>
      <c r="J184" s="46" t="s">
        <v>944</v>
      </c>
      <c r="K184" s="170"/>
      <c r="L184" s="288">
        <v>8.42</v>
      </c>
      <c r="M184" s="289">
        <v>7</v>
      </c>
      <c r="N184" s="290">
        <v>57</v>
      </c>
      <c r="O184" s="46"/>
      <c r="P184" s="46" t="s">
        <v>39</v>
      </c>
      <c r="Q184" s="170"/>
      <c r="R184" s="192" t="str">
        <f t="shared" si="0"/>
        <v>57grams</v>
      </c>
      <c r="S184" s="198">
        <f t="shared" si="1"/>
        <v>399</v>
      </c>
      <c r="T184" s="199" t="str">
        <f t="shared" si="2"/>
        <v>399grams</v>
      </c>
      <c r="U184" s="200">
        <f t="shared" si="3"/>
        <v>58.94</v>
      </c>
      <c r="V184" s="12"/>
      <c r="W184" s="12"/>
    </row>
    <row r="185" spans="1:23" x14ac:dyDescent="0.3">
      <c r="A185" s="183" t="e">
        <f ca="1"/>
        <v>#NAME?</v>
      </c>
      <c r="B185" s="219" t="s">
        <v>924</v>
      </c>
      <c r="C185" s="215"/>
      <c r="D185" s="194"/>
      <c r="E185" s="215"/>
      <c r="F185" s="215"/>
      <c r="G185" s="215"/>
      <c r="H185" s="183"/>
      <c r="I185" s="170"/>
      <c r="J185" s="46" t="s">
        <v>945</v>
      </c>
      <c r="K185" s="170"/>
      <c r="L185" s="288">
        <v>7.19</v>
      </c>
      <c r="M185" s="289">
        <v>30</v>
      </c>
      <c r="N185" s="290">
        <v>30</v>
      </c>
      <c r="O185" s="46"/>
      <c r="P185" s="46" t="s">
        <v>39</v>
      </c>
      <c r="Q185" s="170"/>
      <c r="R185" s="192" t="str">
        <f t="shared" si="0"/>
        <v>30grams</v>
      </c>
      <c r="S185" s="198">
        <f t="shared" si="1"/>
        <v>900</v>
      </c>
      <c r="T185" s="199" t="str">
        <f t="shared" si="2"/>
        <v>900grams</v>
      </c>
      <c r="U185" s="200">
        <f t="shared" si="3"/>
        <v>215.70000000000002</v>
      </c>
      <c r="V185" s="12"/>
      <c r="W185" s="12"/>
    </row>
    <row r="186" spans="1:23" x14ac:dyDescent="0.3">
      <c r="A186" s="183" t="e">
        <f ca="1"/>
        <v>#NAME?</v>
      </c>
      <c r="B186" s="219" t="s">
        <v>924</v>
      </c>
      <c r="C186" s="170"/>
      <c r="D186" s="194"/>
      <c r="E186" s="194"/>
      <c r="F186" s="194"/>
      <c r="G186" s="170"/>
      <c r="H186" s="183"/>
      <c r="I186" s="170"/>
      <c r="J186" s="46" t="s">
        <v>946</v>
      </c>
      <c r="K186" s="170"/>
      <c r="L186" s="288">
        <v>16.12</v>
      </c>
      <c r="M186" s="289">
        <v>36</v>
      </c>
      <c r="N186" s="290">
        <v>40</v>
      </c>
      <c r="O186" s="46"/>
      <c r="P186" s="46" t="s">
        <v>39</v>
      </c>
      <c r="Q186" s="170"/>
      <c r="R186" s="192" t="str">
        <f t="shared" si="0"/>
        <v>40grams</v>
      </c>
      <c r="S186" s="198">
        <f t="shared" si="1"/>
        <v>1440</v>
      </c>
      <c r="T186" s="199" t="str">
        <f t="shared" si="2"/>
        <v>1440grams</v>
      </c>
      <c r="U186" s="200">
        <f t="shared" si="3"/>
        <v>580.32000000000005</v>
      </c>
      <c r="V186" s="205">
        <f>U186/M186</f>
        <v>16.12</v>
      </c>
      <c r="W186" s="62"/>
    </row>
    <row r="187" spans="1:23" x14ac:dyDescent="0.3">
      <c r="A187" s="183" t="e">
        <f ca="1"/>
        <v>#NAME?</v>
      </c>
      <c r="B187" s="219" t="s">
        <v>924</v>
      </c>
      <c r="C187" s="170"/>
      <c r="D187" s="194"/>
      <c r="E187" s="194"/>
      <c r="F187" s="194"/>
      <c r="G187" s="170"/>
      <c r="H187" s="183"/>
      <c r="I187" s="170"/>
      <c r="J187" s="46" t="s">
        <v>947</v>
      </c>
      <c r="K187" s="170"/>
      <c r="L187" s="288">
        <v>7.07</v>
      </c>
      <c r="M187" s="289">
        <v>30</v>
      </c>
      <c r="N187" s="290">
        <v>30</v>
      </c>
      <c r="O187" s="46"/>
      <c r="P187" s="46" t="s">
        <v>39</v>
      </c>
      <c r="Q187" s="170"/>
      <c r="R187" s="192" t="str">
        <f t="shared" si="0"/>
        <v>30grams</v>
      </c>
      <c r="S187" s="198">
        <f t="shared" si="1"/>
        <v>900</v>
      </c>
      <c r="T187" s="199" t="str">
        <f t="shared" si="2"/>
        <v>900grams</v>
      </c>
      <c r="U187" s="200">
        <f t="shared" si="3"/>
        <v>212.10000000000002</v>
      </c>
      <c r="V187" s="12"/>
      <c r="W187" s="12"/>
    </row>
    <row r="188" spans="1:23" x14ac:dyDescent="0.3">
      <c r="A188" s="183" t="e">
        <f ca="1"/>
        <v>#NAME?</v>
      </c>
      <c r="B188" s="46" t="s">
        <v>924</v>
      </c>
      <c r="C188" s="170"/>
      <c r="D188" s="194"/>
      <c r="E188" s="170"/>
      <c r="F188" s="170"/>
      <c r="G188" s="170"/>
      <c r="H188" s="206"/>
      <c r="I188" s="170"/>
      <c r="J188" s="46" t="s">
        <v>948</v>
      </c>
      <c r="K188" s="170"/>
      <c r="L188" s="288">
        <v>8.17</v>
      </c>
      <c r="M188" s="289">
        <v>30</v>
      </c>
      <c r="N188" s="290">
        <v>25</v>
      </c>
      <c r="O188" s="46"/>
      <c r="P188" s="46" t="s">
        <v>39</v>
      </c>
      <c r="Q188" s="170"/>
      <c r="R188" s="192" t="str">
        <f t="shared" si="0"/>
        <v>25grams</v>
      </c>
      <c r="S188" s="198">
        <f t="shared" si="1"/>
        <v>750</v>
      </c>
      <c r="T188" s="199" t="str">
        <f t="shared" si="2"/>
        <v>750grams</v>
      </c>
      <c r="U188" s="200">
        <f t="shared" si="3"/>
        <v>245.1</v>
      </c>
      <c r="V188" s="12"/>
      <c r="W188" s="12"/>
    </row>
    <row r="189" spans="1:23" x14ac:dyDescent="0.3">
      <c r="A189" s="183" t="e">
        <f ca="1"/>
        <v>#NAME?</v>
      </c>
      <c r="B189" s="46" t="s">
        <v>924</v>
      </c>
      <c r="C189" s="170"/>
      <c r="D189" s="194"/>
      <c r="E189" s="194"/>
      <c r="F189" s="194"/>
      <c r="G189" s="170"/>
      <c r="H189" s="183"/>
      <c r="I189" s="170"/>
      <c r="J189" s="46" t="s">
        <v>949</v>
      </c>
      <c r="K189" s="170"/>
      <c r="L189" s="288">
        <v>8.0500000000000007</v>
      </c>
      <c r="M189" s="289">
        <v>30</v>
      </c>
      <c r="N189" s="290">
        <v>25</v>
      </c>
      <c r="O189" s="46"/>
      <c r="P189" s="46" t="s">
        <v>39</v>
      </c>
      <c r="Q189" s="61" t="s">
        <v>33</v>
      </c>
      <c r="R189" s="192" t="str">
        <f t="shared" si="0"/>
        <v>25grams</v>
      </c>
      <c r="S189" s="198">
        <f t="shared" si="1"/>
        <v>750</v>
      </c>
      <c r="T189" s="199" t="str">
        <f t="shared" si="2"/>
        <v>750 grams</v>
      </c>
      <c r="U189" s="200">
        <f t="shared" si="3"/>
        <v>241.50000000000003</v>
      </c>
      <c r="V189" s="205">
        <f>U189/M189</f>
        <v>8.0500000000000007</v>
      </c>
      <c r="W189" s="62"/>
    </row>
    <row r="190" spans="1:23" x14ac:dyDescent="0.3">
      <c r="A190" s="183" t="e">
        <f ca="1"/>
        <v>#NAME?</v>
      </c>
      <c r="B190" s="219" t="s">
        <v>924</v>
      </c>
      <c r="C190" s="170"/>
      <c r="D190" s="194"/>
      <c r="E190" s="194"/>
      <c r="F190" s="194"/>
      <c r="G190" s="170"/>
      <c r="H190" s="183"/>
      <c r="I190" s="170"/>
      <c r="J190" s="46" t="s">
        <v>933</v>
      </c>
      <c r="K190" s="170"/>
      <c r="L190" s="288">
        <v>5.0999999999999996</v>
      </c>
      <c r="M190" s="289">
        <v>3</v>
      </c>
      <c r="N190" s="290">
        <v>30</v>
      </c>
      <c r="O190" s="46"/>
      <c r="P190" s="46" t="s">
        <v>39</v>
      </c>
      <c r="Q190" s="170"/>
      <c r="R190" s="192" t="str">
        <f t="shared" si="0"/>
        <v>30grams</v>
      </c>
      <c r="S190" s="198">
        <f t="shared" si="1"/>
        <v>90</v>
      </c>
      <c r="T190" s="199" t="str">
        <f t="shared" si="2"/>
        <v>90grams</v>
      </c>
      <c r="U190" s="200">
        <f t="shared" si="3"/>
        <v>15.299999999999999</v>
      </c>
      <c r="V190" s="12"/>
      <c r="W190" s="12"/>
    </row>
    <row r="191" spans="1:23" x14ac:dyDescent="0.3">
      <c r="A191" s="183" t="e">
        <f ca="1"/>
        <v>#NAME?</v>
      </c>
      <c r="B191" s="170" t="s">
        <v>924</v>
      </c>
      <c r="C191" s="170"/>
      <c r="D191" s="194"/>
      <c r="E191" s="194"/>
      <c r="F191" s="170"/>
      <c r="G191" s="170"/>
      <c r="H191" s="183"/>
      <c r="I191" s="170"/>
      <c r="J191" s="46" t="s">
        <v>950</v>
      </c>
      <c r="K191" s="170"/>
      <c r="L191" s="288">
        <v>6.03</v>
      </c>
      <c r="M191" s="289">
        <v>50</v>
      </c>
      <c r="N191" s="290">
        <v>31</v>
      </c>
      <c r="O191" s="46"/>
      <c r="P191" s="46" t="s">
        <v>39</v>
      </c>
      <c r="Q191" s="170"/>
      <c r="R191" s="192" t="str">
        <f t="shared" si="0"/>
        <v>31grams</v>
      </c>
      <c r="S191" s="198">
        <f t="shared" si="1"/>
        <v>1550</v>
      </c>
      <c r="T191" s="199" t="str">
        <f t="shared" si="2"/>
        <v>1550grams</v>
      </c>
      <c r="U191" s="200">
        <f t="shared" si="3"/>
        <v>301.5</v>
      </c>
      <c r="V191" s="12"/>
      <c r="W191" s="12"/>
    </row>
    <row r="192" spans="1:23" x14ac:dyDescent="0.3">
      <c r="A192" s="183" t="e">
        <f ca="1"/>
        <v>#NAME?</v>
      </c>
      <c r="B192" s="170" t="s">
        <v>924</v>
      </c>
      <c r="C192" s="170"/>
      <c r="D192" s="194"/>
      <c r="E192" s="194"/>
      <c r="F192" s="170"/>
      <c r="G192" s="170"/>
      <c r="H192" s="183"/>
      <c r="I192" s="170"/>
      <c r="J192" s="46" t="s">
        <v>951</v>
      </c>
      <c r="K192" s="170"/>
      <c r="L192" s="288">
        <v>5.92</v>
      </c>
      <c r="M192" s="289">
        <v>30</v>
      </c>
      <c r="N192" s="290">
        <v>32</v>
      </c>
      <c r="O192" s="46"/>
      <c r="P192" s="46" t="s">
        <v>39</v>
      </c>
      <c r="Q192" s="61" t="s">
        <v>33</v>
      </c>
      <c r="R192" s="192" t="str">
        <f t="shared" si="0"/>
        <v>32grams</v>
      </c>
      <c r="S192" s="198">
        <f t="shared" si="1"/>
        <v>960</v>
      </c>
      <c r="T192" s="199" t="str">
        <f t="shared" si="2"/>
        <v>960 grams</v>
      </c>
      <c r="U192" s="200">
        <f t="shared" si="3"/>
        <v>177.6</v>
      </c>
      <c r="V192" s="205">
        <f>U192/M192</f>
        <v>5.92</v>
      </c>
      <c r="W192" s="62"/>
    </row>
    <row r="193" spans="1:23" x14ac:dyDescent="0.3">
      <c r="A193" s="183" t="e">
        <f ca="1"/>
        <v>#NAME?</v>
      </c>
      <c r="B193" s="170" t="s">
        <v>924</v>
      </c>
      <c r="C193" s="170"/>
      <c r="D193" s="194"/>
      <c r="E193" s="194"/>
      <c r="F193" s="170"/>
      <c r="G193" s="170"/>
      <c r="H193" s="183"/>
      <c r="I193" s="170"/>
      <c r="J193" s="46" t="s">
        <v>951</v>
      </c>
      <c r="K193" s="170"/>
      <c r="L193" s="288">
        <v>6.5</v>
      </c>
      <c r="M193" s="289">
        <v>180</v>
      </c>
      <c r="N193" s="290">
        <v>32</v>
      </c>
      <c r="O193" s="46"/>
      <c r="P193" s="46" t="s">
        <v>39</v>
      </c>
      <c r="Q193" s="170"/>
      <c r="R193" s="192" t="str">
        <f t="shared" si="0"/>
        <v>32grams</v>
      </c>
      <c r="S193" s="198">
        <f t="shared" si="1"/>
        <v>5760</v>
      </c>
      <c r="T193" s="199" t="str">
        <f t="shared" si="2"/>
        <v>5760grams</v>
      </c>
      <c r="U193" s="200">
        <f t="shared" si="3"/>
        <v>1170</v>
      </c>
      <c r="V193" s="12"/>
      <c r="W193" s="12"/>
    </row>
    <row r="194" spans="1:23" x14ac:dyDescent="0.3">
      <c r="A194" s="183" t="e">
        <f ca="1"/>
        <v>#NAME?</v>
      </c>
      <c r="B194" s="219" t="s">
        <v>924</v>
      </c>
      <c r="C194" s="170"/>
      <c r="D194" s="194"/>
      <c r="E194" s="194"/>
      <c r="F194" s="170"/>
      <c r="G194" s="170"/>
      <c r="H194" s="183"/>
      <c r="I194" s="170"/>
      <c r="J194" s="46" t="s">
        <v>952</v>
      </c>
      <c r="K194" s="170"/>
      <c r="L194" s="288">
        <v>6.13</v>
      </c>
      <c r="M194" s="289">
        <v>10</v>
      </c>
      <c r="N194" s="290">
        <v>33</v>
      </c>
      <c r="O194" s="46"/>
      <c r="P194" s="46" t="s">
        <v>39</v>
      </c>
      <c r="Q194" s="170"/>
      <c r="R194" s="192" t="str">
        <f t="shared" si="0"/>
        <v>33grams</v>
      </c>
      <c r="S194" s="198">
        <f t="shared" si="1"/>
        <v>330</v>
      </c>
      <c r="T194" s="199" t="str">
        <f t="shared" si="2"/>
        <v>330grams</v>
      </c>
      <c r="U194" s="200">
        <f t="shared" si="3"/>
        <v>61.3</v>
      </c>
      <c r="V194" s="12"/>
      <c r="W194" s="12"/>
    </row>
    <row r="195" spans="1:23" x14ac:dyDescent="0.3">
      <c r="A195" s="183" t="e">
        <f ca="1"/>
        <v>#NAME?</v>
      </c>
      <c r="B195" s="170" t="s">
        <v>924</v>
      </c>
      <c r="C195" s="170"/>
      <c r="D195" s="194"/>
      <c r="E195" s="170"/>
      <c r="F195" s="170"/>
      <c r="G195" s="170"/>
      <c r="H195" s="206"/>
      <c r="I195" s="170"/>
      <c r="J195" s="46" t="s">
        <v>953</v>
      </c>
      <c r="K195" s="170"/>
      <c r="L195" s="288">
        <v>6</v>
      </c>
      <c r="M195" s="289">
        <v>60</v>
      </c>
      <c r="N195" s="290">
        <v>36</v>
      </c>
      <c r="O195" s="46"/>
      <c r="P195" s="46" t="s">
        <v>39</v>
      </c>
      <c r="Q195" s="170"/>
      <c r="R195" s="192" t="str">
        <f t="shared" si="0"/>
        <v>36grams</v>
      </c>
      <c r="S195" s="198">
        <f t="shared" si="1"/>
        <v>2160</v>
      </c>
      <c r="T195" s="199" t="str">
        <f t="shared" si="2"/>
        <v>2160grams</v>
      </c>
      <c r="U195" s="200">
        <f t="shared" si="3"/>
        <v>360</v>
      </c>
      <c r="V195" s="12"/>
      <c r="W195" s="12"/>
    </row>
    <row r="196" spans="1:23" x14ac:dyDescent="0.3">
      <c r="A196" s="183" t="e">
        <f ca="1"/>
        <v>#NAME?</v>
      </c>
      <c r="B196" s="46" t="s">
        <v>924</v>
      </c>
      <c r="C196" s="170"/>
      <c r="D196" s="194"/>
      <c r="E196" s="170"/>
      <c r="F196" s="170"/>
      <c r="G196" s="170"/>
      <c r="H196" s="206"/>
      <c r="I196" s="170"/>
      <c r="J196" s="46" t="s">
        <v>954</v>
      </c>
      <c r="K196" s="170"/>
      <c r="L196" s="288">
        <v>63.75</v>
      </c>
      <c r="M196" s="289">
        <v>2</v>
      </c>
      <c r="N196" s="290">
        <v>1</v>
      </c>
      <c r="O196" s="46"/>
      <c r="P196" s="46" t="s">
        <v>304</v>
      </c>
      <c r="Q196" s="170"/>
      <c r="R196" s="192" t="str">
        <f t="shared" si="0"/>
        <v>1packs</v>
      </c>
      <c r="S196" s="198">
        <f t="shared" si="1"/>
        <v>2</v>
      </c>
      <c r="T196" s="199" t="str">
        <f t="shared" si="2"/>
        <v>2packs</v>
      </c>
      <c r="U196" s="200">
        <f t="shared" si="3"/>
        <v>127.5</v>
      </c>
      <c r="V196" s="12"/>
      <c r="W196" s="12"/>
    </row>
    <row r="197" spans="1:23" x14ac:dyDescent="0.3">
      <c r="A197" s="183" t="e">
        <f ca="1"/>
        <v>#NAME?</v>
      </c>
      <c r="B197" s="46" t="s">
        <v>924</v>
      </c>
      <c r="C197" s="170"/>
      <c r="D197" s="194"/>
      <c r="E197" s="194"/>
      <c r="F197" s="170"/>
      <c r="G197" s="170"/>
      <c r="H197" s="183"/>
      <c r="I197" s="170"/>
      <c r="J197" s="46" t="s">
        <v>955</v>
      </c>
      <c r="K197" s="170"/>
      <c r="L197" s="288">
        <v>6.88</v>
      </c>
      <c r="M197" s="289">
        <v>100</v>
      </c>
      <c r="N197" s="290">
        <v>30</v>
      </c>
      <c r="O197" s="46"/>
      <c r="P197" s="46" t="s">
        <v>39</v>
      </c>
      <c r="Q197" s="170"/>
      <c r="R197" s="192" t="str">
        <f t="shared" si="0"/>
        <v>30grams</v>
      </c>
      <c r="S197" s="198">
        <f t="shared" si="1"/>
        <v>3000</v>
      </c>
      <c r="T197" s="199" t="str">
        <f t="shared" si="2"/>
        <v>3000grams</v>
      </c>
      <c r="U197" s="200">
        <f t="shared" si="3"/>
        <v>688</v>
      </c>
      <c r="V197" s="12"/>
      <c r="W197" s="12"/>
    </row>
    <row r="198" spans="1:23" x14ac:dyDescent="0.3">
      <c r="A198" s="183" t="e">
        <f ca="1"/>
        <v>#NAME?</v>
      </c>
      <c r="B198" s="46" t="s">
        <v>924</v>
      </c>
      <c r="C198" s="170"/>
      <c r="D198" s="194"/>
      <c r="E198" s="194"/>
      <c r="F198" s="170"/>
      <c r="G198" s="170"/>
      <c r="H198" s="183"/>
      <c r="I198" s="170"/>
      <c r="J198" s="46" t="s">
        <v>935</v>
      </c>
      <c r="K198" s="170"/>
      <c r="L198" s="288">
        <v>6.9</v>
      </c>
      <c r="M198" s="289">
        <v>48</v>
      </c>
      <c r="N198" s="290">
        <v>30</v>
      </c>
      <c r="O198" s="46"/>
      <c r="P198" s="46" t="s">
        <v>39</v>
      </c>
      <c r="Q198" s="170"/>
      <c r="R198" s="192" t="str">
        <f t="shared" si="0"/>
        <v>30grams</v>
      </c>
      <c r="S198" s="198">
        <f t="shared" si="1"/>
        <v>1440</v>
      </c>
      <c r="T198" s="199" t="str">
        <f t="shared" si="2"/>
        <v>1440grams</v>
      </c>
      <c r="U198" s="200">
        <f t="shared" si="3"/>
        <v>331.20000000000005</v>
      </c>
      <c r="V198" s="12"/>
      <c r="W198" s="12"/>
    </row>
    <row r="199" spans="1:23" x14ac:dyDescent="0.3">
      <c r="A199" s="183" t="e">
        <f ca="1"/>
        <v>#NAME?</v>
      </c>
      <c r="B199" s="46" t="s">
        <v>924</v>
      </c>
      <c r="C199" s="170"/>
      <c r="D199" s="194"/>
      <c r="E199" s="170"/>
      <c r="F199" s="170"/>
      <c r="G199" s="170"/>
      <c r="H199" s="206"/>
      <c r="I199" s="170"/>
      <c r="J199" s="46" t="s">
        <v>956</v>
      </c>
      <c r="K199" s="170"/>
      <c r="L199" s="288">
        <v>6.14</v>
      </c>
      <c r="M199" s="289">
        <v>30</v>
      </c>
      <c r="N199" s="290">
        <v>30</v>
      </c>
      <c r="O199" s="46"/>
      <c r="P199" s="46" t="s">
        <v>39</v>
      </c>
      <c r="Q199" s="170"/>
      <c r="R199" s="192" t="str">
        <f t="shared" si="0"/>
        <v>30grams</v>
      </c>
      <c r="S199" s="198">
        <f t="shared" si="1"/>
        <v>900</v>
      </c>
      <c r="T199" s="199" t="str">
        <f t="shared" si="2"/>
        <v>900grams</v>
      </c>
      <c r="U199" s="200">
        <f t="shared" si="3"/>
        <v>184.2</v>
      </c>
      <c r="V199" s="12"/>
      <c r="W199" s="12"/>
    </row>
    <row r="200" spans="1:23" x14ac:dyDescent="0.3">
      <c r="A200" s="183" t="e">
        <f ca="1"/>
        <v>#NAME?</v>
      </c>
      <c r="B200" s="299" t="s">
        <v>924</v>
      </c>
      <c r="C200" s="170"/>
      <c r="D200" s="194"/>
      <c r="E200" s="194"/>
      <c r="F200" s="170"/>
      <c r="G200" s="170"/>
      <c r="H200" s="183"/>
      <c r="I200" s="170"/>
      <c r="J200" s="299" t="s">
        <v>387</v>
      </c>
      <c r="K200" s="170"/>
      <c r="L200" s="300">
        <v>7.87</v>
      </c>
      <c r="M200" s="301">
        <v>5</v>
      </c>
      <c r="N200" s="302">
        <v>30</v>
      </c>
      <c r="O200" s="299"/>
      <c r="P200" s="299" t="s">
        <v>39</v>
      </c>
      <c r="Q200" s="170"/>
      <c r="R200" s="192" t="str">
        <f t="shared" si="0"/>
        <v>30grams</v>
      </c>
      <c r="S200" s="198">
        <f t="shared" si="1"/>
        <v>150</v>
      </c>
      <c r="T200" s="199" t="str">
        <f t="shared" si="2"/>
        <v>150grams</v>
      </c>
      <c r="U200" s="200">
        <f t="shared" si="3"/>
        <v>39.35</v>
      </c>
      <c r="V200" s="12"/>
      <c r="W200" s="12"/>
    </row>
    <row r="201" spans="1:23" x14ac:dyDescent="0.3">
      <c r="A201" s="183" t="e">
        <f ca="1"/>
        <v>#NAME?</v>
      </c>
      <c r="B201" s="46" t="s">
        <v>503</v>
      </c>
      <c r="C201" s="170"/>
      <c r="D201" s="194"/>
      <c r="E201" s="170"/>
      <c r="F201" s="170"/>
      <c r="G201" s="170"/>
      <c r="H201" s="206"/>
      <c r="I201" s="170"/>
      <c r="J201" s="46" t="s">
        <v>865</v>
      </c>
      <c r="K201" s="170"/>
      <c r="L201" s="288">
        <v>17</v>
      </c>
      <c r="M201" s="289">
        <v>5</v>
      </c>
      <c r="N201" s="290">
        <v>100</v>
      </c>
      <c r="O201" s="46"/>
      <c r="P201" s="46" t="s">
        <v>39</v>
      </c>
      <c r="Q201" s="170"/>
      <c r="R201" s="192" t="str">
        <f t="shared" si="0"/>
        <v>100grams</v>
      </c>
      <c r="S201" s="198">
        <f t="shared" si="1"/>
        <v>500</v>
      </c>
      <c r="T201" s="199" t="str">
        <f t="shared" si="2"/>
        <v>500grams</v>
      </c>
      <c r="U201" s="200">
        <f t="shared" si="3"/>
        <v>85</v>
      </c>
      <c r="V201" s="12"/>
      <c r="W201" s="12"/>
    </row>
    <row r="202" spans="1:23" x14ac:dyDescent="0.3">
      <c r="A202" s="183" t="e">
        <f ca="1"/>
        <v>#NAME?</v>
      </c>
      <c r="B202" s="46" t="s">
        <v>503</v>
      </c>
      <c r="C202" s="170"/>
      <c r="D202" s="194"/>
      <c r="E202" s="194"/>
      <c r="F202" s="194"/>
      <c r="G202" s="170"/>
      <c r="H202" s="183"/>
      <c r="I202" s="170"/>
      <c r="J202" s="219" t="s">
        <v>957</v>
      </c>
      <c r="K202" s="170"/>
      <c r="L202" s="291">
        <v>28</v>
      </c>
      <c r="M202" s="303">
        <v>1</v>
      </c>
      <c r="N202" s="293">
        <v>180</v>
      </c>
      <c r="O202" s="219"/>
      <c r="P202" s="219" t="s">
        <v>39</v>
      </c>
      <c r="Q202" s="170"/>
      <c r="R202" s="192" t="str">
        <f t="shared" si="0"/>
        <v>180grams</v>
      </c>
      <c r="S202" s="198">
        <f t="shared" si="1"/>
        <v>180</v>
      </c>
      <c r="T202" s="199" t="str">
        <f t="shared" si="2"/>
        <v>180grams</v>
      </c>
      <c r="U202" s="200">
        <f t="shared" si="3"/>
        <v>28</v>
      </c>
      <c r="V202" s="205">
        <f t="shared" ref="V202:V203" si="9">U202/M202</f>
        <v>28</v>
      </c>
      <c r="W202" s="62"/>
    </row>
    <row r="203" spans="1:23" x14ac:dyDescent="0.3">
      <c r="A203" s="183" t="e">
        <f ca="1"/>
        <v>#NAME?</v>
      </c>
      <c r="B203" s="46" t="s">
        <v>503</v>
      </c>
      <c r="C203" s="170"/>
      <c r="D203" s="194"/>
      <c r="E203" s="194"/>
      <c r="F203" s="194"/>
      <c r="G203" s="170"/>
      <c r="H203" s="183"/>
      <c r="I203" s="170"/>
      <c r="J203" s="46" t="s">
        <v>958</v>
      </c>
      <c r="K203" s="170"/>
      <c r="L203" s="288">
        <v>28</v>
      </c>
      <c r="M203" s="289">
        <v>14</v>
      </c>
      <c r="N203" s="290">
        <v>180</v>
      </c>
      <c r="O203" s="46"/>
      <c r="P203" s="46" t="s">
        <v>39</v>
      </c>
      <c r="Q203" s="61" t="s">
        <v>33</v>
      </c>
      <c r="R203" s="192" t="str">
        <f t="shared" si="0"/>
        <v>180grams</v>
      </c>
      <c r="S203" s="198">
        <f t="shared" si="1"/>
        <v>2520</v>
      </c>
      <c r="T203" s="199" t="str">
        <f t="shared" si="2"/>
        <v>2520 grams</v>
      </c>
      <c r="U203" s="200">
        <f t="shared" si="3"/>
        <v>392</v>
      </c>
      <c r="V203" s="205">
        <f t="shared" si="9"/>
        <v>28</v>
      </c>
      <c r="W203" s="62"/>
    </row>
    <row r="204" spans="1:23" x14ac:dyDescent="0.3">
      <c r="A204" s="183" t="e">
        <f ca="1"/>
        <v>#NAME?</v>
      </c>
      <c r="B204" s="46" t="s">
        <v>503</v>
      </c>
      <c r="C204" s="170"/>
      <c r="D204" s="194"/>
      <c r="E204" s="194"/>
      <c r="F204" s="194"/>
      <c r="G204" s="170"/>
      <c r="H204" s="183"/>
      <c r="I204" s="170"/>
      <c r="J204" s="46" t="s">
        <v>958</v>
      </c>
      <c r="K204" s="170"/>
      <c r="L204" s="288">
        <v>31.8</v>
      </c>
      <c r="M204" s="289">
        <v>4</v>
      </c>
      <c r="N204" s="290">
        <v>180</v>
      </c>
      <c r="O204" s="46"/>
      <c r="P204" s="46" t="s">
        <v>39</v>
      </c>
      <c r="Q204" s="170"/>
      <c r="R204" s="192" t="str">
        <f t="shared" si="0"/>
        <v>180grams</v>
      </c>
      <c r="S204" s="198">
        <f t="shared" si="1"/>
        <v>720</v>
      </c>
      <c r="T204" s="199" t="str">
        <f t="shared" si="2"/>
        <v>720grams</v>
      </c>
      <c r="U204" s="200">
        <f t="shared" si="3"/>
        <v>127.2</v>
      </c>
      <c r="V204" s="12"/>
      <c r="W204" s="12"/>
    </row>
    <row r="205" spans="1:23" x14ac:dyDescent="0.3">
      <c r="A205" s="183" t="e">
        <f ca="1"/>
        <v>#NAME?</v>
      </c>
      <c r="B205" s="46" t="s">
        <v>503</v>
      </c>
      <c r="C205" s="170"/>
      <c r="D205" s="194"/>
      <c r="E205" s="170"/>
      <c r="F205" s="170"/>
      <c r="G205" s="170"/>
      <c r="H205" s="206"/>
      <c r="I205" s="170"/>
      <c r="J205" s="46" t="s">
        <v>959</v>
      </c>
      <c r="K205" s="170"/>
      <c r="L205" s="288">
        <v>15.8</v>
      </c>
      <c r="M205" s="289">
        <v>2</v>
      </c>
      <c r="N205" s="290">
        <v>100</v>
      </c>
      <c r="O205" s="46"/>
      <c r="P205" s="46" t="s">
        <v>39</v>
      </c>
      <c r="Q205" s="170"/>
      <c r="R205" s="192" t="str">
        <f t="shared" si="0"/>
        <v>100grams</v>
      </c>
      <c r="S205" s="198">
        <f t="shared" si="1"/>
        <v>200</v>
      </c>
      <c r="T205" s="199" t="str">
        <f t="shared" si="2"/>
        <v>200grams</v>
      </c>
      <c r="U205" s="200">
        <f t="shared" si="3"/>
        <v>31.6</v>
      </c>
      <c r="V205" s="12"/>
      <c r="W205" s="12"/>
    </row>
    <row r="206" spans="1:23" x14ac:dyDescent="0.3">
      <c r="A206" s="183" t="e">
        <f ca="1"/>
        <v>#NAME?</v>
      </c>
      <c r="B206" s="46" t="s">
        <v>503</v>
      </c>
      <c r="C206" s="170"/>
      <c r="D206" s="194"/>
      <c r="E206" s="170"/>
      <c r="F206" s="170"/>
      <c r="G206" s="170"/>
      <c r="H206" s="183"/>
      <c r="I206" s="170"/>
      <c r="J206" s="219" t="s">
        <v>865</v>
      </c>
      <c r="K206" s="170"/>
      <c r="L206" s="291">
        <v>28</v>
      </c>
      <c r="M206" s="292">
        <v>3</v>
      </c>
      <c r="N206" s="293">
        <v>180</v>
      </c>
      <c r="O206" s="219"/>
      <c r="P206" s="219" t="s">
        <v>39</v>
      </c>
      <c r="Q206" s="170"/>
      <c r="R206" s="192" t="str">
        <f t="shared" si="0"/>
        <v>180grams</v>
      </c>
      <c r="S206" s="198">
        <f t="shared" si="1"/>
        <v>540</v>
      </c>
      <c r="T206" s="199" t="str">
        <f t="shared" si="2"/>
        <v>540grams</v>
      </c>
      <c r="U206" s="200">
        <f t="shared" si="3"/>
        <v>84</v>
      </c>
      <c r="V206" s="12"/>
      <c r="W206" s="12"/>
    </row>
    <row r="207" spans="1:23" x14ac:dyDescent="0.3">
      <c r="A207" s="183" t="e">
        <f ca="1"/>
        <v>#NAME?</v>
      </c>
      <c r="B207" s="46" t="s">
        <v>503</v>
      </c>
      <c r="C207" s="170"/>
      <c r="D207" s="194"/>
      <c r="E207" s="194"/>
      <c r="F207" s="170"/>
      <c r="G207" s="170"/>
      <c r="H207" s="183"/>
      <c r="I207" s="170"/>
      <c r="J207" s="46" t="s">
        <v>960</v>
      </c>
      <c r="K207" s="170"/>
      <c r="L207" s="288">
        <v>31.1</v>
      </c>
      <c r="M207" s="289">
        <v>10</v>
      </c>
      <c r="N207" s="290">
        <v>110</v>
      </c>
      <c r="O207" s="46"/>
      <c r="P207" s="46" t="s">
        <v>39</v>
      </c>
      <c r="Q207" s="170"/>
      <c r="R207" s="192" t="str">
        <f t="shared" si="0"/>
        <v>110grams</v>
      </c>
      <c r="S207" s="198">
        <f t="shared" si="1"/>
        <v>1100</v>
      </c>
      <c r="T207" s="199" t="str">
        <f t="shared" si="2"/>
        <v>1100grams</v>
      </c>
      <c r="U207" s="200">
        <f t="shared" si="3"/>
        <v>311</v>
      </c>
      <c r="V207" s="12"/>
      <c r="W207" s="12"/>
    </row>
    <row r="208" spans="1:23" x14ac:dyDescent="0.3">
      <c r="A208" s="183" t="e">
        <f ca="1"/>
        <v>#NAME?</v>
      </c>
      <c r="B208" s="46" t="s">
        <v>961</v>
      </c>
      <c r="C208" s="170"/>
      <c r="D208" s="194"/>
      <c r="E208" s="194"/>
      <c r="F208" s="170"/>
      <c r="G208" s="170"/>
      <c r="H208" s="183"/>
      <c r="I208" s="170"/>
      <c r="J208" s="46" t="s">
        <v>962</v>
      </c>
      <c r="K208" s="170"/>
      <c r="L208" s="288">
        <v>118</v>
      </c>
      <c r="M208" s="289">
        <v>1</v>
      </c>
      <c r="N208" s="290">
        <v>250</v>
      </c>
      <c r="O208" s="46"/>
      <c r="P208" s="46" t="s">
        <v>39</v>
      </c>
      <c r="Q208" s="170"/>
      <c r="R208" s="192" t="str">
        <f t="shared" si="0"/>
        <v>250grams</v>
      </c>
      <c r="S208" s="198">
        <f t="shared" si="1"/>
        <v>250</v>
      </c>
      <c r="T208" s="199" t="str">
        <f t="shared" si="2"/>
        <v>250grams</v>
      </c>
      <c r="U208" s="200">
        <f t="shared" si="3"/>
        <v>118</v>
      </c>
      <c r="V208" s="12"/>
      <c r="W208" s="12"/>
    </row>
    <row r="209" spans="1:23" x14ac:dyDescent="0.3">
      <c r="A209" s="183" t="e">
        <f ca="1"/>
        <v>#NAME?</v>
      </c>
      <c r="B209" s="46" t="s">
        <v>506</v>
      </c>
      <c r="C209" s="170"/>
      <c r="D209" s="194"/>
      <c r="E209" s="194"/>
      <c r="F209" s="170"/>
      <c r="G209" s="170"/>
      <c r="H209" s="183"/>
      <c r="I209" s="170"/>
      <c r="J209" s="46" t="s">
        <v>963</v>
      </c>
      <c r="K209" s="170"/>
      <c r="L209" s="288">
        <v>219</v>
      </c>
      <c r="M209" s="289">
        <v>0</v>
      </c>
      <c r="N209" s="290">
        <v>165</v>
      </c>
      <c r="O209" s="46"/>
      <c r="P209" s="46" t="s">
        <v>519</v>
      </c>
      <c r="Q209" s="170"/>
      <c r="R209" s="192" t="str">
        <f t="shared" si="0"/>
        <v>165drained weight grams</v>
      </c>
      <c r="S209" s="198">
        <f t="shared" si="1"/>
        <v>0</v>
      </c>
      <c r="T209" s="199" t="str">
        <f t="shared" si="2"/>
        <v>0drained weight grams</v>
      </c>
      <c r="U209" s="200">
        <f t="shared" si="3"/>
        <v>0</v>
      </c>
      <c r="V209" s="12"/>
      <c r="W209" s="12"/>
    </row>
    <row r="210" spans="1:23" x14ac:dyDescent="0.3">
      <c r="A210" s="183" t="e">
        <f ca="1"/>
        <v>#NAME?</v>
      </c>
      <c r="B210" s="46" t="s">
        <v>506</v>
      </c>
      <c r="C210" s="170"/>
      <c r="D210" s="194"/>
      <c r="E210" s="194"/>
      <c r="F210" s="194"/>
      <c r="G210" s="170"/>
      <c r="H210" s="183"/>
      <c r="I210" s="170"/>
      <c r="J210" s="46" t="s">
        <v>963</v>
      </c>
      <c r="K210" s="170"/>
      <c r="L210" s="288">
        <v>161</v>
      </c>
      <c r="M210" s="289">
        <v>2</v>
      </c>
      <c r="N210" s="290">
        <v>165</v>
      </c>
      <c r="O210" s="46"/>
      <c r="P210" s="46" t="s">
        <v>519</v>
      </c>
      <c r="Q210" s="170"/>
      <c r="R210" s="192" t="str">
        <f t="shared" si="0"/>
        <v>165drained weight grams</v>
      </c>
      <c r="S210" s="198">
        <f t="shared" si="1"/>
        <v>330</v>
      </c>
      <c r="T210" s="199" t="str">
        <f t="shared" si="2"/>
        <v>330drained weight grams</v>
      </c>
      <c r="U210" s="200">
        <f t="shared" si="3"/>
        <v>322</v>
      </c>
      <c r="V210" s="205">
        <f t="shared" ref="V210:V211" si="10">U210/M210</f>
        <v>161</v>
      </c>
      <c r="W210" s="62"/>
    </row>
    <row r="211" spans="1:23" x14ac:dyDescent="0.3">
      <c r="A211" s="183" t="e">
        <f ca="1"/>
        <v>#NAME?</v>
      </c>
      <c r="B211" s="46" t="s">
        <v>506</v>
      </c>
      <c r="C211" s="170"/>
      <c r="D211" s="194"/>
      <c r="E211" s="194"/>
      <c r="F211" s="194"/>
      <c r="G211" s="170"/>
      <c r="H211" s="183"/>
      <c r="I211" s="170"/>
      <c r="J211" s="46" t="s">
        <v>963</v>
      </c>
      <c r="K211" s="170"/>
      <c r="L211" s="288">
        <v>78</v>
      </c>
      <c r="M211" s="289">
        <v>1</v>
      </c>
      <c r="N211" s="290">
        <v>70</v>
      </c>
      <c r="O211" s="46"/>
      <c r="P211" s="46" t="s">
        <v>39</v>
      </c>
      <c r="Q211" s="170"/>
      <c r="R211" s="192" t="str">
        <f t="shared" si="0"/>
        <v>70grams</v>
      </c>
      <c r="S211" s="198">
        <f t="shared" si="1"/>
        <v>70</v>
      </c>
      <c r="T211" s="199" t="str">
        <f t="shared" si="2"/>
        <v>70grams</v>
      </c>
      <c r="U211" s="200">
        <f t="shared" si="3"/>
        <v>78</v>
      </c>
      <c r="V211" s="205">
        <f t="shared" si="10"/>
        <v>78</v>
      </c>
      <c r="W211" s="62"/>
    </row>
    <row r="212" spans="1:23" x14ac:dyDescent="0.3">
      <c r="A212" s="183" t="e">
        <f ca="1"/>
        <v>#NAME?</v>
      </c>
      <c r="B212" s="46" t="s">
        <v>964</v>
      </c>
      <c r="C212" s="170"/>
      <c r="D212" s="194"/>
      <c r="E212" s="194"/>
      <c r="F212" s="194"/>
      <c r="G212" s="170"/>
      <c r="H212" s="183"/>
      <c r="I212" s="170"/>
      <c r="J212" s="46" t="s">
        <v>965</v>
      </c>
      <c r="K212" s="170"/>
      <c r="L212" s="288">
        <v>40.4</v>
      </c>
      <c r="M212" s="289">
        <v>3</v>
      </c>
      <c r="N212" s="290">
        <v>100</v>
      </c>
      <c r="O212" s="46"/>
      <c r="P212" s="46" t="s">
        <v>39</v>
      </c>
      <c r="Q212" s="170"/>
      <c r="R212" s="192" t="str">
        <f t="shared" si="0"/>
        <v>100grams</v>
      </c>
      <c r="S212" s="198">
        <f t="shared" si="1"/>
        <v>300</v>
      </c>
      <c r="T212" s="199" t="str">
        <f t="shared" si="2"/>
        <v>300grams</v>
      </c>
      <c r="U212" s="200">
        <f t="shared" si="3"/>
        <v>121.19999999999999</v>
      </c>
      <c r="V212" s="12"/>
      <c r="W212" s="12"/>
    </row>
    <row r="213" spans="1:23" x14ac:dyDescent="0.3">
      <c r="A213" s="183" t="e">
        <f ca="1"/>
        <v>#NAME?</v>
      </c>
      <c r="B213" s="46" t="s">
        <v>964</v>
      </c>
      <c r="C213" s="170"/>
      <c r="D213" s="194"/>
      <c r="E213" s="170"/>
      <c r="F213" s="170"/>
      <c r="G213" s="170"/>
      <c r="H213" s="183"/>
      <c r="I213" s="170"/>
      <c r="J213" s="215"/>
      <c r="K213" s="170"/>
      <c r="L213" s="291">
        <v>650</v>
      </c>
      <c r="M213" s="292">
        <v>3</v>
      </c>
      <c r="N213" s="293">
        <v>1000</v>
      </c>
      <c r="O213" s="219"/>
      <c r="P213" s="219" t="s">
        <v>39</v>
      </c>
      <c r="Q213" s="170"/>
      <c r="R213" s="192" t="str">
        <f t="shared" si="0"/>
        <v>1000grams</v>
      </c>
      <c r="S213" s="198">
        <f t="shared" si="1"/>
        <v>3000</v>
      </c>
      <c r="T213" s="199" t="str">
        <f t="shared" si="2"/>
        <v>3000grams</v>
      </c>
      <c r="U213" s="200">
        <f t="shared" si="3"/>
        <v>1950</v>
      </c>
      <c r="V213" s="12"/>
      <c r="W213" s="12"/>
    </row>
    <row r="214" spans="1:23" x14ac:dyDescent="0.3">
      <c r="A214" s="183" t="e">
        <f ca="1"/>
        <v>#NAME?</v>
      </c>
      <c r="B214" s="46" t="s">
        <v>966</v>
      </c>
      <c r="C214" s="170"/>
      <c r="D214" s="194"/>
      <c r="E214" s="170"/>
      <c r="F214" s="170"/>
      <c r="G214" s="170"/>
      <c r="H214" s="206"/>
      <c r="I214" s="170"/>
      <c r="J214" s="46" t="s">
        <v>967</v>
      </c>
      <c r="K214" s="170"/>
      <c r="L214" s="288">
        <v>590</v>
      </c>
      <c r="M214" s="289">
        <v>0</v>
      </c>
      <c r="N214" s="290">
        <v>1000</v>
      </c>
      <c r="O214" s="46"/>
      <c r="P214" s="46" t="s">
        <v>39</v>
      </c>
      <c r="Q214" s="170"/>
      <c r="R214" s="192" t="str">
        <f t="shared" si="0"/>
        <v>1000grams</v>
      </c>
      <c r="S214" s="198">
        <f t="shared" si="1"/>
        <v>0</v>
      </c>
      <c r="T214" s="199" t="str">
        <f t="shared" si="2"/>
        <v>0grams</v>
      </c>
      <c r="U214" s="200">
        <f t="shared" si="3"/>
        <v>0</v>
      </c>
      <c r="V214" s="12"/>
      <c r="W214" s="12"/>
    </row>
    <row r="215" spans="1:23" x14ac:dyDescent="0.3">
      <c r="A215" s="183" t="e">
        <f ca="1"/>
        <v>#NAME?</v>
      </c>
      <c r="B215" s="46" t="s">
        <v>966</v>
      </c>
      <c r="C215" s="170"/>
      <c r="D215" s="194"/>
      <c r="E215" s="194"/>
      <c r="F215" s="170"/>
      <c r="G215" s="170"/>
      <c r="H215" s="183"/>
      <c r="I215" s="170"/>
      <c r="J215" s="46" t="s">
        <v>967</v>
      </c>
      <c r="K215" s="170"/>
      <c r="L215" s="288">
        <v>590</v>
      </c>
      <c r="M215" s="289">
        <v>1</v>
      </c>
      <c r="N215" s="290">
        <v>1000</v>
      </c>
      <c r="O215" s="46"/>
      <c r="P215" s="46" t="s">
        <v>39</v>
      </c>
      <c r="Q215" s="170"/>
      <c r="R215" s="192" t="str">
        <f t="shared" si="0"/>
        <v>1000grams</v>
      </c>
      <c r="S215" s="198">
        <f t="shared" si="1"/>
        <v>1000</v>
      </c>
      <c r="T215" s="199" t="str">
        <f t="shared" si="2"/>
        <v>1000grams</v>
      </c>
      <c r="U215" s="200">
        <f t="shared" si="3"/>
        <v>590</v>
      </c>
      <c r="V215" s="12"/>
      <c r="W215" s="12"/>
    </row>
    <row r="216" spans="1:23" x14ac:dyDescent="0.3">
      <c r="A216" s="183" t="e">
        <f ca="1"/>
        <v>#NAME?</v>
      </c>
      <c r="B216" s="46" t="s">
        <v>966</v>
      </c>
      <c r="C216" s="170"/>
      <c r="D216" s="194"/>
      <c r="E216" s="194"/>
      <c r="F216" s="194"/>
      <c r="G216" s="170"/>
      <c r="H216" s="183"/>
      <c r="I216" s="170"/>
      <c r="J216" s="46" t="s">
        <v>967</v>
      </c>
      <c r="K216" s="170"/>
      <c r="L216" s="288">
        <v>590</v>
      </c>
      <c r="M216" s="289">
        <v>2</v>
      </c>
      <c r="N216" s="290">
        <v>1000</v>
      </c>
      <c r="O216" s="46"/>
      <c r="P216" s="46" t="s">
        <v>39</v>
      </c>
      <c r="Q216" s="170"/>
      <c r="R216" s="192" t="str">
        <f t="shared" si="0"/>
        <v>1000grams</v>
      </c>
      <c r="S216" s="198">
        <f t="shared" si="1"/>
        <v>2000</v>
      </c>
      <c r="T216" s="199" t="str">
        <f t="shared" si="2"/>
        <v>2000grams</v>
      </c>
      <c r="U216" s="200">
        <f t="shared" si="3"/>
        <v>1180</v>
      </c>
      <c r="V216" s="12"/>
      <c r="W216" s="12"/>
    </row>
    <row r="217" spans="1:23" x14ac:dyDescent="0.3">
      <c r="A217" s="183" t="e">
        <f ca="1"/>
        <v>#NAME?</v>
      </c>
      <c r="B217" s="46" t="s">
        <v>966</v>
      </c>
      <c r="C217" s="170"/>
      <c r="D217" s="194"/>
      <c r="E217" s="194"/>
      <c r="F217" s="194"/>
      <c r="G217" s="170"/>
      <c r="H217" s="183"/>
      <c r="I217" s="170"/>
      <c r="J217" s="46" t="s">
        <v>962</v>
      </c>
      <c r="K217" s="170"/>
      <c r="L217" s="288">
        <v>250</v>
      </c>
      <c r="M217" s="289">
        <v>6</v>
      </c>
      <c r="N217" s="290">
        <v>250</v>
      </c>
      <c r="O217" s="46"/>
      <c r="P217" s="46" t="s">
        <v>39</v>
      </c>
      <c r="Q217" s="170"/>
      <c r="R217" s="192" t="str">
        <f t="shared" si="0"/>
        <v>250grams</v>
      </c>
      <c r="S217" s="198">
        <f t="shared" si="1"/>
        <v>1500</v>
      </c>
      <c r="T217" s="199" t="str">
        <f t="shared" si="2"/>
        <v>1500grams</v>
      </c>
      <c r="U217" s="200">
        <f t="shared" si="3"/>
        <v>1500</v>
      </c>
      <c r="V217" s="12"/>
      <c r="W217" s="12"/>
    </row>
    <row r="218" spans="1:23" x14ac:dyDescent="0.3">
      <c r="A218" s="183" t="e">
        <f ca="1"/>
        <v>#NAME?</v>
      </c>
      <c r="B218" s="46" t="s">
        <v>968</v>
      </c>
      <c r="C218" s="215"/>
      <c r="D218" s="194"/>
      <c r="E218" s="215"/>
      <c r="F218" s="215"/>
      <c r="G218" s="215"/>
      <c r="H218" s="183"/>
      <c r="I218" s="170"/>
      <c r="J218" s="46" t="s">
        <v>969</v>
      </c>
      <c r="K218" s="170"/>
      <c r="L218" s="288">
        <v>350</v>
      </c>
      <c r="M218" s="289">
        <v>1</v>
      </c>
      <c r="N218" s="290">
        <v>500</v>
      </c>
      <c r="O218" s="46"/>
      <c r="P218" s="46" t="s">
        <v>39</v>
      </c>
      <c r="Q218" s="170"/>
      <c r="R218" s="192" t="str">
        <f t="shared" si="0"/>
        <v>500grams</v>
      </c>
      <c r="S218" s="198">
        <f t="shared" si="1"/>
        <v>500</v>
      </c>
      <c r="T218" s="199" t="str">
        <f t="shared" si="2"/>
        <v>500grams</v>
      </c>
      <c r="U218" s="200">
        <f t="shared" si="3"/>
        <v>350</v>
      </c>
      <c r="V218" s="12"/>
      <c r="W218" s="12"/>
    </row>
    <row r="219" spans="1:23" x14ac:dyDescent="0.3">
      <c r="A219" s="183" t="e">
        <f ca="1"/>
        <v>#NAME?</v>
      </c>
      <c r="B219" s="219" t="s">
        <v>509</v>
      </c>
      <c r="C219" s="170"/>
      <c r="D219" s="194"/>
      <c r="E219" s="170"/>
      <c r="F219" s="170"/>
      <c r="G219" s="170"/>
      <c r="H219" s="206"/>
      <c r="I219" s="170"/>
      <c r="J219" s="219" t="s">
        <v>199</v>
      </c>
      <c r="K219" s="170"/>
      <c r="L219" s="291">
        <v>127</v>
      </c>
      <c r="M219" s="292">
        <v>8</v>
      </c>
      <c r="N219" s="293">
        <v>1</v>
      </c>
      <c r="O219" s="219"/>
      <c r="P219" s="219" t="s">
        <v>200</v>
      </c>
      <c r="Q219" s="170"/>
      <c r="R219" s="192" t="str">
        <f t="shared" si="0"/>
        <v>1gal</v>
      </c>
      <c r="S219" s="198">
        <f t="shared" si="1"/>
        <v>8</v>
      </c>
      <c r="T219" s="199" t="str">
        <f t="shared" si="2"/>
        <v>8gal</v>
      </c>
      <c r="U219" s="200">
        <f t="shared" si="3"/>
        <v>1016</v>
      </c>
      <c r="V219" s="12"/>
      <c r="W219" s="12"/>
    </row>
    <row r="220" spans="1:23" x14ac:dyDescent="0.3">
      <c r="A220" s="183" t="e">
        <f ca="1"/>
        <v>#NAME?</v>
      </c>
      <c r="B220" s="46" t="s">
        <v>970</v>
      </c>
      <c r="C220" s="170"/>
      <c r="D220" s="194"/>
      <c r="E220" s="194"/>
      <c r="F220" s="170"/>
      <c r="G220" s="170"/>
      <c r="H220" s="183"/>
      <c r="I220" s="170"/>
      <c r="J220" s="46" t="s">
        <v>971</v>
      </c>
      <c r="K220" s="170"/>
      <c r="L220" s="288">
        <v>47</v>
      </c>
      <c r="M220" s="289">
        <v>3</v>
      </c>
      <c r="N220" s="290">
        <v>240</v>
      </c>
      <c r="O220" s="46"/>
      <c r="P220" s="46" t="s">
        <v>39</v>
      </c>
      <c r="Q220" s="170"/>
      <c r="R220" s="192" t="str">
        <f t="shared" si="0"/>
        <v>240grams</v>
      </c>
      <c r="S220" s="198">
        <f t="shared" si="1"/>
        <v>720</v>
      </c>
      <c r="T220" s="199" t="str">
        <f t="shared" si="2"/>
        <v>720grams</v>
      </c>
      <c r="U220" s="200">
        <f t="shared" si="3"/>
        <v>141</v>
      </c>
      <c r="V220" s="12"/>
      <c r="W220" s="12"/>
    </row>
    <row r="221" spans="1:23" x14ac:dyDescent="0.3">
      <c r="A221" s="183" t="e">
        <f ca="1"/>
        <v>#NAME?</v>
      </c>
      <c r="B221" s="46" t="s">
        <v>970</v>
      </c>
      <c r="C221" s="170"/>
      <c r="D221" s="194"/>
      <c r="E221" s="170"/>
      <c r="F221" s="170"/>
      <c r="G221" s="170"/>
      <c r="H221" s="206"/>
      <c r="I221" s="170"/>
      <c r="J221" s="46" t="s">
        <v>971</v>
      </c>
      <c r="K221" s="170"/>
      <c r="L221" s="288">
        <v>44.21</v>
      </c>
      <c r="M221" s="289">
        <v>5</v>
      </c>
      <c r="N221" s="290">
        <v>240</v>
      </c>
      <c r="O221" s="46"/>
      <c r="P221" s="46" t="s">
        <v>39</v>
      </c>
      <c r="Q221" s="170"/>
      <c r="R221" s="192" t="str">
        <f t="shared" si="0"/>
        <v>240grams</v>
      </c>
      <c r="S221" s="198">
        <f t="shared" si="1"/>
        <v>1200</v>
      </c>
      <c r="T221" s="199" t="str">
        <f t="shared" si="2"/>
        <v>1200grams</v>
      </c>
      <c r="U221" s="200">
        <f t="shared" si="3"/>
        <v>221.05</v>
      </c>
      <c r="V221" s="12"/>
      <c r="W221" s="12"/>
    </row>
    <row r="222" spans="1:23" x14ac:dyDescent="0.3">
      <c r="A222" s="183" t="e">
        <f ca="1"/>
        <v>#NAME?</v>
      </c>
      <c r="B222" s="219" t="s">
        <v>972</v>
      </c>
      <c r="C222" s="170"/>
      <c r="D222" s="194"/>
      <c r="E222" s="170"/>
      <c r="F222" s="170"/>
      <c r="G222" s="170"/>
      <c r="H222" s="183"/>
      <c r="I222" s="170"/>
      <c r="J222" s="46" t="s">
        <v>971</v>
      </c>
      <c r="K222" s="170"/>
      <c r="L222" s="288">
        <v>47</v>
      </c>
      <c r="M222" s="289">
        <v>2</v>
      </c>
      <c r="N222" s="290">
        <v>240</v>
      </c>
      <c r="O222" s="46"/>
      <c r="P222" s="46" t="s">
        <v>39</v>
      </c>
      <c r="Q222" s="170"/>
      <c r="R222" s="192" t="str">
        <f t="shared" si="0"/>
        <v>240grams</v>
      </c>
      <c r="S222" s="198">
        <f t="shared" si="1"/>
        <v>480</v>
      </c>
      <c r="T222" s="199" t="str">
        <f t="shared" si="2"/>
        <v>480grams</v>
      </c>
      <c r="U222" s="200">
        <f t="shared" si="3"/>
        <v>94</v>
      </c>
      <c r="V222" s="12"/>
      <c r="W222" s="12"/>
    </row>
    <row r="223" spans="1:23" x14ac:dyDescent="0.3">
      <c r="A223" s="183" t="e">
        <f ca="1"/>
        <v>#NAME?</v>
      </c>
      <c r="B223" s="46" t="s">
        <v>973</v>
      </c>
      <c r="C223" s="215"/>
      <c r="D223" s="194"/>
      <c r="E223" s="215"/>
      <c r="F223" s="215"/>
      <c r="G223" s="215"/>
      <c r="H223" s="206"/>
      <c r="I223" s="170"/>
      <c r="J223" s="46" t="s">
        <v>974</v>
      </c>
      <c r="K223" s="170"/>
      <c r="L223" s="288">
        <v>25.44</v>
      </c>
      <c r="M223" s="289">
        <v>39</v>
      </c>
      <c r="N223" s="290">
        <v>500</v>
      </c>
      <c r="O223" s="297"/>
      <c r="P223" s="297" t="s">
        <v>32</v>
      </c>
      <c r="Q223" s="170"/>
      <c r="R223" s="192" t="str">
        <f t="shared" si="0"/>
        <v>500ml</v>
      </c>
      <c r="S223" s="198">
        <f t="shared" si="1"/>
        <v>19500</v>
      </c>
      <c r="T223" s="199" t="str">
        <f t="shared" si="2"/>
        <v>19500ml</v>
      </c>
      <c r="U223" s="200">
        <f t="shared" si="3"/>
        <v>992.16000000000008</v>
      </c>
      <c r="V223" s="12"/>
      <c r="W223" s="12"/>
    </row>
    <row r="224" spans="1:23" x14ac:dyDescent="0.3">
      <c r="A224" s="183" t="e">
        <f ca="1"/>
        <v>#NAME?</v>
      </c>
      <c r="B224" s="46" t="s">
        <v>973</v>
      </c>
      <c r="C224" s="215"/>
      <c r="D224" s="194"/>
      <c r="E224" s="215"/>
      <c r="F224" s="215"/>
      <c r="G224" s="215"/>
      <c r="H224" s="206"/>
      <c r="I224" s="170"/>
      <c r="J224" s="46" t="s">
        <v>974</v>
      </c>
      <c r="K224" s="170"/>
      <c r="L224" s="288">
        <v>20.75</v>
      </c>
      <c r="M224" s="289">
        <v>221</v>
      </c>
      <c r="N224" s="290">
        <v>350</v>
      </c>
      <c r="O224" s="297"/>
      <c r="P224" s="297" t="s">
        <v>32</v>
      </c>
      <c r="Q224" s="170"/>
      <c r="R224" s="192" t="str">
        <f t="shared" si="0"/>
        <v>350ml</v>
      </c>
      <c r="S224" s="198">
        <f t="shared" si="1"/>
        <v>77350</v>
      </c>
      <c r="T224" s="199" t="str">
        <f t="shared" si="2"/>
        <v>77350ml</v>
      </c>
      <c r="U224" s="200">
        <f t="shared" si="3"/>
        <v>4585.75</v>
      </c>
      <c r="V224" s="12"/>
      <c r="W224" s="12"/>
    </row>
    <row r="225" spans="1:23" x14ac:dyDescent="0.3">
      <c r="A225" s="183" t="e">
        <f ca="1"/>
        <v>#NAME?</v>
      </c>
      <c r="B225" s="46" t="s">
        <v>973</v>
      </c>
      <c r="C225" s="170"/>
      <c r="D225" s="194"/>
      <c r="E225" s="170"/>
      <c r="F225" s="170"/>
      <c r="G225" s="170"/>
      <c r="H225" s="206"/>
      <c r="I225" s="170"/>
      <c r="J225" s="46" t="s">
        <v>974</v>
      </c>
      <c r="K225" s="170"/>
      <c r="L225" s="291">
        <v>25.22</v>
      </c>
      <c r="M225" s="292">
        <v>21</v>
      </c>
      <c r="N225" s="293">
        <v>500</v>
      </c>
      <c r="O225" s="304"/>
      <c r="P225" s="304" t="s">
        <v>32</v>
      </c>
      <c r="Q225" s="170"/>
      <c r="R225" s="192" t="str">
        <f t="shared" si="0"/>
        <v>500ml</v>
      </c>
      <c r="S225" s="198">
        <f t="shared" si="1"/>
        <v>10500</v>
      </c>
      <c r="T225" s="199" t="str">
        <f t="shared" si="2"/>
        <v>10500ml</v>
      </c>
      <c r="U225" s="200">
        <f t="shared" si="3"/>
        <v>529.62</v>
      </c>
      <c r="V225" s="12"/>
      <c r="W225" s="12"/>
    </row>
    <row r="226" spans="1:23" x14ac:dyDescent="0.3">
      <c r="A226" s="183" t="e">
        <f ca="1"/>
        <v>#NAME?</v>
      </c>
      <c r="B226" s="46" t="s">
        <v>975</v>
      </c>
      <c r="C226" s="170"/>
      <c r="D226" s="194"/>
      <c r="E226" s="194"/>
      <c r="F226" s="194"/>
      <c r="G226" s="170"/>
      <c r="H226" s="183"/>
      <c r="I226" s="170"/>
      <c r="J226" s="46" t="s">
        <v>976</v>
      </c>
      <c r="K226" s="170"/>
      <c r="L226" s="288">
        <v>4</v>
      </c>
      <c r="M226" s="289">
        <v>183</v>
      </c>
      <c r="N226" s="290">
        <v>1</v>
      </c>
      <c r="O226" s="60"/>
      <c r="P226" s="60" t="s">
        <v>92</v>
      </c>
      <c r="Q226" s="170"/>
      <c r="R226" s="192" t="str">
        <f t="shared" si="0"/>
        <v>1pieces</v>
      </c>
      <c r="S226" s="198">
        <f t="shared" si="1"/>
        <v>183</v>
      </c>
      <c r="T226" s="199" t="str">
        <f t="shared" si="2"/>
        <v>183pieces</v>
      </c>
      <c r="U226" s="200">
        <f t="shared" si="3"/>
        <v>732</v>
      </c>
      <c r="V226" s="205">
        <f>U226/M226</f>
        <v>4</v>
      </c>
      <c r="W226" s="62"/>
    </row>
    <row r="227" spans="1:23" x14ac:dyDescent="0.3">
      <c r="A227" s="183" t="e">
        <f ca="1"/>
        <v>#NAME?</v>
      </c>
      <c r="B227" s="46" t="s">
        <v>975</v>
      </c>
      <c r="C227" s="170"/>
      <c r="D227" s="194"/>
      <c r="E227" s="194"/>
      <c r="F227" s="170"/>
      <c r="G227" s="170"/>
      <c r="H227" s="183"/>
      <c r="I227" s="170"/>
      <c r="J227" s="46" t="s">
        <v>977</v>
      </c>
      <c r="K227" s="170"/>
      <c r="L227" s="288">
        <v>6</v>
      </c>
      <c r="M227" s="289">
        <v>20</v>
      </c>
      <c r="N227" s="290">
        <v>1</v>
      </c>
      <c r="O227" s="46"/>
      <c r="P227" s="46" t="s">
        <v>92</v>
      </c>
      <c r="Q227" s="170"/>
      <c r="R227" s="192" t="str">
        <f t="shared" si="0"/>
        <v>1pieces</v>
      </c>
      <c r="S227" s="198">
        <f t="shared" si="1"/>
        <v>20</v>
      </c>
      <c r="T227" s="199" t="str">
        <f t="shared" si="2"/>
        <v>20pieces</v>
      </c>
      <c r="U227" s="200">
        <f t="shared" si="3"/>
        <v>120</v>
      </c>
      <c r="V227" s="62"/>
      <c r="W227" s="12"/>
    </row>
    <row r="228" spans="1:23" x14ac:dyDescent="0.3">
      <c r="A228" s="183" t="e">
        <f ca="1"/>
        <v>#NAME?</v>
      </c>
      <c r="B228" s="46" t="s">
        <v>975</v>
      </c>
      <c r="C228" s="170"/>
      <c r="D228" s="194"/>
      <c r="E228" s="194"/>
      <c r="F228" s="170"/>
      <c r="G228" s="170"/>
      <c r="H228" s="183"/>
      <c r="I228" s="170"/>
      <c r="J228" s="46" t="s">
        <v>978</v>
      </c>
      <c r="K228" s="170"/>
      <c r="L228" s="288">
        <v>5</v>
      </c>
      <c r="M228" s="289">
        <v>183</v>
      </c>
      <c r="N228" s="290">
        <v>1</v>
      </c>
      <c r="O228" s="46"/>
      <c r="P228" s="46" t="s">
        <v>92</v>
      </c>
      <c r="Q228" s="170"/>
      <c r="R228" s="192" t="str">
        <f t="shared" si="0"/>
        <v>1pieces</v>
      </c>
      <c r="S228" s="198">
        <f t="shared" si="1"/>
        <v>183</v>
      </c>
      <c r="T228" s="199" t="str">
        <f t="shared" si="2"/>
        <v>183pieces</v>
      </c>
      <c r="U228" s="200">
        <f t="shared" si="3"/>
        <v>915</v>
      </c>
      <c r="V228" s="12"/>
      <c r="W228" s="12"/>
    </row>
    <row r="229" spans="1:23" x14ac:dyDescent="0.3">
      <c r="A229" s="183" t="e">
        <f ca="1"/>
        <v>#NAME?</v>
      </c>
      <c r="B229" s="46" t="s">
        <v>48</v>
      </c>
      <c r="C229" s="170"/>
      <c r="D229" s="194"/>
      <c r="E229" s="170"/>
      <c r="F229" s="170"/>
      <c r="G229" s="170"/>
      <c r="H229" s="206"/>
      <c r="I229" s="170"/>
      <c r="J229" s="46" t="s">
        <v>959</v>
      </c>
      <c r="K229" s="170"/>
      <c r="L229" s="288">
        <v>145</v>
      </c>
      <c r="M229" s="289">
        <v>2</v>
      </c>
      <c r="N229" s="290">
        <v>1</v>
      </c>
      <c r="O229" s="46"/>
      <c r="P229" s="46" t="s">
        <v>213</v>
      </c>
      <c r="Q229" s="170"/>
      <c r="R229" s="192" t="str">
        <f t="shared" si="0"/>
        <v>1kilos</v>
      </c>
      <c r="S229" s="198">
        <f t="shared" si="1"/>
        <v>2</v>
      </c>
      <c r="T229" s="199" t="str">
        <f t="shared" si="2"/>
        <v>2kilos</v>
      </c>
      <c r="U229" s="200">
        <f t="shared" si="3"/>
        <v>290</v>
      </c>
      <c r="V229" s="12"/>
      <c r="W229" s="12"/>
    </row>
    <row r="230" spans="1:23" x14ac:dyDescent="0.3">
      <c r="A230" s="183" t="e">
        <f ca="1"/>
        <v>#NAME?</v>
      </c>
      <c r="B230" s="46" t="s">
        <v>48</v>
      </c>
      <c r="C230" s="170"/>
      <c r="D230" s="194"/>
      <c r="E230" s="170"/>
      <c r="F230" s="170"/>
      <c r="G230" s="170"/>
      <c r="H230" s="206"/>
      <c r="I230" s="170"/>
      <c r="J230" s="46" t="s">
        <v>979</v>
      </c>
      <c r="K230" s="170"/>
      <c r="L230" s="288">
        <v>36.700000000000003</v>
      </c>
      <c r="M230" s="289">
        <v>2</v>
      </c>
      <c r="N230" s="290">
        <v>230</v>
      </c>
      <c r="O230" s="46"/>
      <c r="P230" s="46" t="s">
        <v>39</v>
      </c>
      <c r="Q230" s="170"/>
      <c r="R230" s="192" t="str">
        <f t="shared" si="0"/>
        <v>230grams</v>
      </c>
      <c r="S230" s="198">
        <f t="shared" si="1"/>
        <v>460</v>
      </c>
      <c r="T230" s="199" t="str">
        <f t="shared" si="2"/>
        <v>460grams</v>
      </c>
      <c r="U230" s="200">
        <f t="shared" si="3"/>
        <v>73.400000000000006</v>
      </c>
      <c r="V230" s="12"/>
      <c r="W230" s="12"/>
    </row>
    <row r="231" spans="1:23" x14ac:dyDescent="0.3">
      <c r="A231" s="183" t="e">
        <f ca="1"/>
        <v>#NAME?</v>
      </c>
      <c r="B231" s="46" t="s">
        <v>48</v>
      </c>
      <c r="C231" s="170"/>
      <c r="D231" s="194"/>
      <c r="E231" s="194"/>
      <c r="F231" s="170"/>
      <c r="G231" s="170"/>
      <c r="H231" s="183"/>
      <c r="I231" s="170"/>
      <c r="J231" s="46" t="s">
        <v>980</v>
      </c>
      <c r="K231" s="170"/>
      <c r="L231" s="288">
        <v>41</v>
      </c>
      <c r="M231" s="289">
        <v>5</v>
      </c>
      <c r="N231" s="290">
        <v>230</v>
      </c>
      <c r="O231" s="46"/>
      <c r="P231" s="46" t="s">
        <v>39</v>
      </c>
      <c r="Q231" s="170"/>
      <c r="R231" s="192" t="str">
        <f t="shared" si="0"/>
        <v>230grams</v>
      </c>
      <c r="S231" s="198">
        <f t="shared" si="1"/>
        <v>1150</v>
      </c>
      <c r="T231" s="199" t="str">
        <f t="shared" si="2"/>
        <v>1150grams</v>
      </c>
      <c r="U231" s="200">
        <f t="shared" si="3"/>
        <v>205</v>
      </c>
      <c r="V231" s="205">
        <f>U231/M231</f>
        <v>41</v>
      </c>
      <c r="W231" s="62"/>
    </row>
    <row r="232" spans="1:23" x14ac:dyDescent="0.3">
      <c r="A232" s="183" t="e">
        <f ca="1"/>
        <v>#NAME?</v>
      </c>
      <c r="B232" s="46" t="s">
        <v>48</v>
      </c>
      <c r="C232" s="170"/>
      <c r="D232" s="194"/>
      <c r="E232" s="170"/>
      <c r="F232" s="170"/>
      <c r="G232" s="170"/>
      <c r="H232" s="206"/>
      <c r="I232" s="170"/>
      <c r="J232" s="46" t="s">
        <v>980</v>
      </c>
      <c r="K232" s="170"/>
      <c r="L232" s="288">
        <v>36.700000000000003</v>
      </c>
      <c r="M232" s="289">
        <v>5</v>
      </c>
      <c r="N232" s="290">
        <v>230</v>
      </c>
      <c r="O232" s="46"/>
      <c r="P232" s="46" t="s">
        <v>39</v>
      </c>
      <c r="Q232" s="170"/>
      <c r="R232" s="192" t="str">
        <f t="shared" si="0"/>
        <v>230grams</v>
      </c>
      <c r="S232" s="198">
        <f t="shared" si="1"/>
        <v>1150</v>
      </c>
      <c r="T232" s="199" t="str">
        <f t="shared" si="2"/>
        <v>1150grams</v>
      </c>
      <c r="U232" s="200">
        <f t="shared" si="3"/>
        <v>183.5</v>
      </c>
      <c r="V232" s="12"/>
      <c r="W232" s="12"/>
    </row>
    <row r="233" spans="1:23" x14ac:dyDescent="0.3">
      <c r="A233" s="183" t="e">
        <f ca="1"/>
        <v>#NAME?</v>
      </c>
      <c r="B233" s="46" t="s">
        <v>48</v>
      </c>
      <c r="C233" s="170"/>
      <c r="D233" s="194"/>
      <c r="E233" s="170"/>
      <c r="F233" s="170"/>
      <c r="G233" s="170"/>
      <c r="H233" s="206"/>
      <c r="I233" s="170"/>
      <c r="J233" s="305" t="s">
        <v>981</v>
      </c>
      <c r="K233" s="170"/>
      <c r="L233" s="288">
        <v>38</v>
      </c>
      <c r="M233" s="289">
        <v>16</v>
      </c>
      <c r="N233" s="290">
        <v>230</v>
      </c>
      <c r="O233" s="46"/>
      <c r="P233" s="46" t="s">
        <v>39</v>
      </c>
      <c r="Q233" s="170"/>
      <c r="R233" s="192" t="str">
        <f t="shared" si="0"/>
        <v>230grams</v>
      </c>
      <c r="S233" s="198">
        <f t="shared" si="1"/>
        <v>3680</v>
      </c>
      <c r="T233" s="199" t="str">
        <f t="shared" si="2"/>
        <v>3680grams</v>
      </c>
      <c r="U233" s="200">
        <f t="shared" si="3"/>
        <v>608</v>
      </c>
      <c r="V233" s="12"/>
      <c r="W233" s="12"/>
    </row>
    <row r="234" spans="1:23" x14ac:dyDescent="0.3">
      <c r="A234" s="183" t="e">
        <f ca="1"/>
        <v>#NAME?</v>
      </c>
      <c r="B234" s="46" t="s">
        <v>48</v>
      </c>
      <c r="C234" s="170"/>
      <c r="D234" s="194"/>
      <c r="E234" s="194"/>
      <c r="F234" s="170"/>
      <c r="G234" s="170"/>
      <c r="H234" s="183"/>
      <c r="I234" s="170"/>
      <c r="J234" s="305" t="s">
        <v>981</v>
      </c>
      <c r="K234" s="170"/>
      <c r="L234" s="288">
        <v>152</v>
      </c>
      <c r="M234" s="289">
        <v>1</v>
      </c>
      <c r="N234" s="290">
        <v>1</v>
      </c>
      <c r="O234" s="46"/>
      <c r="P234" s="46" t="s">
        <v>213</v>
      </c>
      <c r="Q234" s="170"/>
      <c r="R234" s="192" t="str">
        <f t="shared" si="0"/>
        <v>1kilos</v>
      </c>
      <c r="S234" s="198">
        <f t="shared" si="1"/>
        <v>1</v>
      </c>
      <c r="T234" s="199" t="str">
        <f t="shared" si="2"/>
        <v>1kilos</v>
      </c>
      <c r="U234" s="200">
        <f t="shared" si="3"/>
        <v>152</v>
      </c>
      <c r="V234" s="205">
        <f>U234/M234</f>
        <v>152</v>
      </c>
      <c r="W234" s="62"/>
    </row>
    <row r="235" spans="1:23" x14ac:dyDescent="0.3">
      <c r="A235" s="183" t="e">
        <f ca="1"/>
        <v>#NAME?</v>
      </c>
      <c r="B235" s="46" t="s">
        <v>48</v>
      </c>
      <c r="C235" s="170"/>
      <c r="D235" s="194"/>
      <c r="E235" s="194"/>
      <c r="F235" s="170"/>
      <c r="G235" s="170"/>
      <c r="H235" s="183"/>
      <c r="I235" s="170"/>
      <c r="J235" s="219" t="s">
        <v>982</v>
      </c>
      <c r="K235" s="170"/>
      <c r="L235" s="291">
        <v>31.66</v>
      </c>
      <c r="M235" s="292">
        <v>7</v>
      </c>
      <c r="N235" s="293">
        <v>230</v>
      </c>
      <c r="O235" s="219"/>
      <c r="P235" s="219" t="s">
        <v>39</v>
      </c>
      <c r="Q235" s="170"/>
      <c r="R235" s="192" t="str">
        <f t="shared" si="0"/>
        <v>230grams</v>
      </c>
      <c r="S235" s="198">
        <f t="shared" si="1"/>
        <v>1610</v>
      </c>
      <c r="T235" s="199" t="str">
        <f t="shared" si="2"/>
        <v>1610grams</v>
      </c>
      <c r="U235" s="200">
        <f t="shared" si="3"/>
        <v>221.62</v>
      </c>
      <c r="V235" s="12"/>
      <c r="W235" s="12"/>
    </row>
    <row r="236" spans="1:23" x14ac:dyDescent="0.3">
      <c r="A236" s="183" t="e">
        <f ca="1"/>
        <v>#NAME?</v>
      </c>
      <c r="B236" s="46" t="s">
        <v>48</v>
      </c>
      <c r="C236" s="170"/>
      <c r="D236" s="194"/>
      <c r="E236" s="170"/>
      <c r="F236" s="170"/>
      <c r="G236" s="170"/>
      <c r="H236" s="206"/>
      <c r="I236" s="170"/>
      <c r="J236" s="46" t="s">
        <v>979</v>
      </c>
      <c r="K236" s="170"/>
      <c r="L236" s="288">
        <v>143.19999999999999</v>
      </c>
      <c r="M236" s="289">
        <v>2</v>
      </c>
      <c r="N236" s="290">
        <v>1000</v>
      </c>
      <c r="O236" s="46"/>
      <c r="P236" s="46" t="s">
        <v>39</v>
      </c>
      <c r="Q236" s="170"/>
      <c r="R236" s="192" t="str">
        <f t="shared" si="0"/>
        <v>1000grams</v>
      </c>
      <c r="S236" s="198">
        <f t="shared" si="1"/>
        <v>2000</v>
      </c>
      <c r="T236" s="199" t="str">
        <f t="shared" si="2"/>
        <v>2000grams</v>
      </c>
      <c r="U236" s="200">
        <f t="shared" si="3"/>
        <v>286.39999999999998</v>
      </c>
      <c r="V236" s="12"/>
      <c r="W236" s="12"/>
    </row>
    <row r="237" spans="1:23" x14ac:dyDescent="0.3">
      <c r="A237" s="183" t="e">
        <f ca="1"/>
        <v>#NAME?</v>
      </c>
      <c r="B237" s="46" t="s">
        <v>48</v>
      </c>
      <c r="C237" s="170"/>
      <c r="D237" s="194"/>
      <c r="E237" s="194"/>
      <c r="F237" s="194"/>
      <c r="G237" s="170"/>
      <c r="H237" s="183"/>
      <c r="I237" s="170"/>
      <c r="J237" s="46" t="s">
        <v>979</v>
      </c>
      <c r="K237" s="170"/>
      <c r="L237" s="288">
        <v>36.700000000000003</v>
      </c>
      <c r="M237" s="289">
        <v>1</v>
      </c>
      <c r="N237" s="290">
        <v>230</v>
      </c>
      <c r="O237" s="46"/>
      <c r="P237" s="46" t="s">
        <v>39</v>
      </c>
      <c r="Q237" s="170"/>
      <c r="R237" s="192" t="str">
        <f t="shared" si="0"/>
        <v>230grams</v>
      </c>
      <c r="S237" s="198">
        <f t="shared" si="1"/>
        <v>230</v>
      </c>
      <c r="T237" s="199" t="str">
        <f t="shared" si="2"/>
        <v>230grams</v>
      </c>
      <c r="U237" s="200">
        <f t="shared" si="3"/>
        <v>36.700000000000003</v>
      </c>
      <c r="V237" s="205">
        <f>U237/M237</f>
        <v>36.700000000000003</v>
      </c>
      <c r="W237" s="62"/>
    </row>
    <row r="238" spans="1:23" x14ac:dyDescent="0.3">
      <c r="A238" s="183" t="e">
        <f ca="1"/>
        <v>#NAME?</v>
      </c>
      <c r="B238" s="46" t="s">
        <v>48</v>
      </c>
      <c r="C238" s="170"/>
      <c r="D238" s="194"/>
      <c r="E238" s="194"/>
      <c r="F238" s="194"/>
      <c r="G238" s="170"/>
      <c r="H238" s="183"/>
      <c r="I238" s="170"/>
      <c r="J238" s="46" t="s">
        <v>981</v>
      </c>
      <c r="K238" s="170"/>
      <c r="L238" s="288">
        <v>120</v>
      </c>
      <c r="M238" s="289">
        <v>1</v>
      </c>
      <c r="N238" s="290">
        <v>1000</v>
      </c>
      <c r="O238" s="46"/>
      <c r="P238" s="46" t="s">
        <v>39</v>
      </c>
      <c r="Q238" s="170"/>
      <c r="R238" s="192" t="str">
        <f t="shared" si="0"/>
        <v>1000grams</v>
      </c>
      <c r="S238" s="198">
        <f t="shared" si="1"/>
        <v>1000</v>
      </c>
      <c r="T238" s="199" t="str">
        <f t="shared" si="2"/>
        <v>1000grams</v>
      </c>
      <c r="U238" s="200">
        <f t="shared" si="3"/>
        <v>120</v>
      </c>
      <c r="V238" s="12"/>
      <c r="W238" s="12"/>
    </row>
    <row r="239" spans="1:23" x14ac:dyDescent="0.3">
      <c r="A239" s="183" t="e">
        <f ca="1"/>
        <v>#NAME?</v>
      </c>
      <c r="B239" s="46" t="s">
        <v>48</v>
      </c>
      <c r="C239" s="170"/>
      <c r="D239" s="194"/>
      <c r="E239" s="194"/>
      <c r="F239" s="194"/>
      <c r="G239" s="170"/>
      <c r="H239" s="206"/>
      <c r="I239" s="170"/>
      <c r="J239" s="46" t="s">
        <v>983</v>
      </c>
      <c r="K239" s="170"/>
      <c r="L239" s="288">
        <v>21</v>
      </c>
      <c r="M239" s="289">
        <v>1</v>
      </c>
      <c r="N239" s="290">
        <v>62</v>
      </c>
      <c r="O239" s="46"/>
      <c r="P239" s="46" t="s">
        <v>39</v>
      </c>
      <c r="Q239" s="170"/>
      <c r="R239" s="192" t="str">
        <f t="shared" si="0"/>
        <v>62grams</v>
      </c>
      <c r="S239" s="198">
        <f t="shared" si="1"/>
        <v>62</v>
      </c>
      <c r="T239" s="199" t="str">
        <f t="shared" si="2"/>
        <v>62grams</v>
      </c>
      <c r="U239" s="200">
        <f t="shared" si="3"/>
        <v>21</v>
      </c>
      <c r="V239" s="12"/>
      <c r="W239" s="12"/>
    </row>
    <row r="240" spans="1:23" x14ac:dyDescent="0.3">
      <c r="A240" s="183" t="e">
        <f ca="1"/>
        <v>#NAME?</v>
      </c>
      <c r="B240" s="46" t="s">
        <v>984</v>
      </c>
      <c r="C240" s="170"/>
      <c r="D240" s="194"/>
      <c r="E240" s="194"/>
      <c r="F240" s="194"/>
      <c r="G240" s="170"/>
      <c r="H240" s="206"/>
      <c r="I240" s="170"/>
      <c r="J240" s="46" t="s">
        <v>985</v>
      </c>
      <c r="K240" s="170"/>
      <c r="L240" s="288">
        <v>18.14</v>
      </c>
      <c r="M240" s="289">
        <v>0</v>
      </c>
      <c r="N240" s="290">
        <v>62</v>
      </c>
      <c r="O240" s="46"/>
      <c r="P240" s="46" t="s">
        <v>39</v>
      </c>
      <c r="Q240" s="170"/>
      <c r="R240" s="192" t="str">
        <f t="shared" si="0"/>
        <v>62grams</v>
      </c>
      <c r="S240" s="198">
        <f t="shared" si="1"/>
        <v>0</v>
      </c>
      <c r="T240" s="199" t="str">
        <f t="shared" si="2"/>
        <v>0grams</v>
      </c>
      <c r="U240" s="200">
        <f t="shared" si="3"/>
        <v>0</v>
      </c>
      <c r="V240" s="12"/>
      <c r="W240" s="12"/>
    </row>
    <row r="241" spans="1:23" x14ac:dyDescent="0.3">
      <c r="A241" s="183" t="e">
        <f ca="1"/>
        <v>#NAME?</v>
      </c>
      <c r="B241" s="46" t="s">
        <v>986</v>
      </c>
      <c r="C241" s="170"/>
      <c r="D241" s="194"/>
      <c r="E241" s="194"/>
      <c r="F241" s="194"/>
      <c r="G241" s="170"/>
      <c r="H241" s="206"/>
      <c r="I241" s="170"/>
      <c r="J241" s="170"/>
      <c r="K241" s="170"/>
      <c r="L241" s="288">
        <v>150</v>
      </c>
      <c r="M241" s="289">
        <v>2</v>
      </c>
      <c r="N241" s="290">
        <v>1</v>
      </c>
      <c r="O241" s="46"/>
      <c r="P241" s="46" t="s">
        <v>213</v>
      </c>
      <c r="Q241" s="170"/>
      <c r="R241" s="192" t="str">
        <f t="shared" si="0"/>
        <v>1kilos</v>
      </c>
      <c r="S241" s="198">
        <f t="shared" si="1"/>
        <v>2</v>
      </c>
      <c r="T241" s="199" t="str">
        <f t="shared" si="2"/>
        <v>2kilos</v>
      </c>
      <c r="U241" s="200">
        <f t="shared" si="3"/>
        <v>300</v>
      </c>
      <c r="V241" s="12"/>
      <c r="W241" s="12"/>
    </row>
    <row r="242" spans="1:23" x14ac:dyDescent="0.3">
      <c r="A242" s="183" t="e">
        <f ca="1"/>
        <v>#NAME?</v>
      </c>
      <c r="B242" s="46" t="s">
        <v>986</v>
      </c>
      <c r="C242" s="215"/>
      <c r="D242" s="194"/>
      <c r="E242" s="214"/>
      <c r="F242" s="214"/>
      <c r="G242" s="215"/>
      <c r="H242" s="183"/>
      <c r="I242" s="170"/>
      <c r="J242" s="170"/>
      <c r="K242" s="170"/>
      <c r="L242" s="288">
        <v>300</v>
      </c>
      <c r="M242" s="289">
        <v>3</v>
      </c>
      <c r="N242" s="290">
        <v>1</v>
      </c>
      <c r="O242" s="46"/>
      <c r="P242" s="46" t="s">
        <v>213</v>
      </c>
      <c r="Q242" s="170"/>
      <c r="R242" s="192" t="str">
        <f t="shared" si="0"/>
        <v>1kilos</v>
      </c>
      <c r="S242" s="198">
        <f t="shared" si="1"/>
        <v>3</v>
      </c>
      <c r="T242" s="199" t="str">
        <f t="shared" si="2"/>
        <v>3kilos</v>
      </c>
      <c r="U242" s="200">
        <f t="shared" si="3"/>
        <v>900</v>
      </c>
      <c r="V242" s="12"/>
      <c r="W242" s="12"/>
    </row>
    <row r="243" spans="1:23" x14ac:dyDescent="0.3">
      <c r="A243" s="183" t="e">
        <f ca="1"/>
        <v>#NAME?</v>
      </c>
      <c r="B243" s="46" t="s">
        <v>986</v>
      </c>
      <c r="C243" s="170"/>
      <c r="D243" s="194"/>
      <c r="E243" s="194"/>
      <c r="F243" s="194"/>
      <c r="G243" s="170"/>
      <c r="H243" s="183"/>
      <c r="I243" s="170"/>
      <c r="J243" s="170"/>
      <c r="K243" s="170"/>
      <c r="L243" s="288">
        <v>100</v>
      </c>
      <c r="M243" s="289">
        <v>1</v>
      </c>
      <c r="N243" s="290">
        <v>1</v>
      </c>
      <c r="O243" s="46"/>
      <c r="P243" s="46" t="s">
        <v>213</v>
      </c>
      <c r="Q243" s="170"/>
      <c r="R243" s="192" t="str">
        <f t="shared" si="0"/>
        <v>1kilos</v>
      </c>
      <c r="S243" s="198">
        <f t="shared" si="1"/>
        <v>1</v>
      </c>
      <c r="T243" s="199" t="str">
        <f t="shared" si="2"/>
        <v>1kilos</v>
      </c>
      <c r="U243" s="200">
        <f t="shared" si="3"/>
        <v>100</v>
      </c>
      <c r="V243" s="12"/>
      <c r="W243" s="12"/>
    </row>
    <row r="244" spans="1:23" x14ac:dyDescent="0.3">
      <c r="A244" s="183" t="e">
        <f ca="1"/>
        <v>#NAME?</v>
      </c>
      <c r="B244" s="46" t="s">
        <v>235</v>
      </c>
      <c r="C244" s="170"/>
      <c r="D244" s="194"/>
      <c r="E244" s="170"/>
      <c r="F244" s="170"/>
      <c r="G244" s="170"/>
      <c r="H244" s="206"/>
      <c r="I244" s="170"/>
      <c r="J244" s="46" t="s">
        <v>987</v>
      </c>
      <c r="K244" s="170"/>
      <c r="L244" s="288">
        <v>68.3</v>
      </c>
      <c r="M244" s="289">
        <v>2</v>
      </c>
      <c r="N244" s="290">
        <v>120</v>
      </c>
      <c r="O244" s="46"/>
      <c r="P244" s="46" t="s">
        <v>39</v>
      </c>
      <c r="Q244" s="170"/>
      <c r="R244" s="192" t="str">
        <f t="shared" si="0"/>
        <v>120grams</v>
      </c>
      <c r="S244" s="198">
        <f t="shared" si="1"/>
        <v>240</v>
      </c>
      <c r="T244" s="199" t="str">
        <f t="shared" si="2"/>
        <v>240grams</v>
      </c>
      <c r="U244" s="200">
        <f t="shared" si="3"/>
        <v>136.6</v>
      </c>
      <c r="V244" s="12"/>
      <c r="W244" s="12"/>
    </row>
    <row r="245" spans="1:23" x14ac:dyDescent="0.3">
      <c r="A245" s="183" t="e">
        <f ca="1"/>
        <v>#NAME?</v>
      </c>
      <c r="B245" s="46" t="s">
        <v>235</v>
      </c>
      <c r="C245" s="170"/>
      <c r="D245" s="194"/>
      <c r="E245" s="170"/>
      <c r="F245" s="170"/>
      <c r="G245" s="170"/>
      <c r="H245" s="183"/>
      <c r="I245" s="170"/>
      <c r="J245" s="46" t="s">
        <v>987</v>
      </c>
      <c r="K245" s="170"/>
      <c r="L245" s="288">
        <v>35.200000000000003</v>
      </c>
      <c r="M245" s="289">
        <v>3</v>
      </c>
      <c r="N245" s="290">
        <v>60</v>
      </c>
      <c r="O245" s="46"/>
      <c r="P245" s="46" t="s">
        <v>39</v>
      </c>
      <c r="Q245" s="170"/>
      <c r="R245" s="192" t="str">
        <f t="shared" si="0"/>
        <v>60grams</v>
      </c>
      <c r="S245" s="198">
        <f t="shared" si="1"/>
        <v>180</v>
      </c>
      <c r="T245" s="199" t="str">
        <f t="shared" si="2"/>
        <v>180grams</v>
      </c>
      <c r="U245" s="200">
        <f t="shared" si="3"/>
        <v>105.60000000000001</v>
      </c>
      <c r="V245" s="12"/>
      <c r="W245" s="12"/>
    </row>
    <row r="246" spans="1:23" x14ac:dyDescent="0.3">
      <c r="A246" s="183" t="e">
        <f ca="1"/>
        <v>#NAME?</v>
      </c>
      <c r="B246" s="46" t="s">
        <v>235</v>
      </c>
      <c r="C246" s="170"/>
      <c r="D246" s="194"/>
      <c r="E246" s="194"/>
      <c r="F246" s="170"/>
      <c r="G246" s="170"/>
      <c r="H246" s="183"/>
      <c r="I246" s="170"/>
      <c r="J246" s="46" t="s">
        <v>987</v>
      </c>
      <c r="K246" s="170"/>
      <c r="L246" s="288">
        <v>68</v>
      </c>
      <c r="M246" s="289">
        <v>7</v>
      </c>
      <c r="N246" s="290">
        <v>120</v>
      </c>
      <c r="O246" s="46"/>
      <c r="P246" s="46" t="s">
        <v>39</v>
      </c>
      <c r="Q246" s="170"/>
      <c r="R246" s="192" t="str">
        <f t="shared" si="0"/>
        <v>120grams</v>
      </c>
      <c r="S246" s="198">
        <f t="shared" si="1"/>
        <v>840</v>
      </c>
      <c r="T246" s="199" t="str">
        <f t="shared" si="2"/>
        <v>840grams</v>
      </c>
      <c r="U246" s="200">
        <f t="shared" si="3"/>
        <v>476</v>
      </c>
      <c r="V246" s="205">
        <f>U246/M246</f>
        <v>68</v>
      </c>
      <c r="W246" s="62"/>
    </row>
    <row r="247" spans="1:23" x14ac:dyDescent="0.3">
      <c r="A247" s="183" t="e">
        <f ca="1"/>
        <v>#NAME?</v>
      </c>
      <c r="B247" s="46" t="s">
        <v>235</v>
      </c>
      <c r="C247" s="170"/>
      <c r="D247" s="194"/>
      <c r="E247" s="194"/>
      <c r="F247" s="170"/>
      <c r="G247" s="170"/>
      <c r="H247" s="183"/>
      <c r="I247" s="170"/>
      <c r="J247" s="46" t="s">
        <v>987</v>
      </c>
      <c r="K247" s="170"/>
      <c r="L247" s="288">
        <v>35.200000000000003</v>
      </c>
      <c r="M247" s="289">
        <v>3</v>
      </c>
      <c r="N247" s="290">
        <v>60</v>
      </c>
      <c r="O247" s="46"/>
      <c r="P247" s="46" t="s">
        <v>39</v>
      </c>
      <c r="Q247" s="170"/>
      <c r="R247" s="192" t="str">
        <f t="shared" si="0"/>
        <v>60grams</v>
      </c>
      <c r="S247" s="198">
        <f t="shared" si="1"/>
        <v>180</v>
      </c>
      <c r="T247" s="199" t="str">
        <f t="shared" si="2"/>
        <v>180grams</v>
      </c>
      <c r="U247" s="200">
        <f t="shared" si="3"/>
        <v>105.60000000000001</v>
      </c>
      <c r="V247" s="12"/>
      <c r="W247" s="12"/>
    </row>
    <row r="248" spans="1:23" x14ac:dyDescent="0.3">
      <c r="A248" s="183" t="e">
        <f ca="1"/>
        <v>#NAME?</v>
      </c>
      <c r="B248" s="46" t="s">
        <v>235</v>
      </c>
      <c r="C248" s="170"/>
      <c r="D248" s="194"/>
      <c r="E248" s="194"/>
      <c r="F248" s="194"/>
      <c r="G248" s="194"/>
      <c r="H248" s="183"/>
      <c r="I248" s="170"/>
      <c r="J248" s="46" t="s">
        <v>987</v>
      </c>
      <c r="K248" s="170"/>
      <c r="L248" s="291">
        <v>5.67</v>
      </c>
      <c r="M248" s="292">
        <v>12</v>
      </c>
      <c r="N248" s="293">
        <v>10</v>
      </c>
      <c r="O248" s="219"/>
      <c r="P248" s="219" t="s">
        <v>39</v>
      </c>
      <c r="Q248" s="170"/>
      <c r="R248" s="192" t="str">
        <f t="shared" si="0"/>
        <v>10grams</v>
      </c>
      <c r="S248" s="198">
        <f t="shared" si="1"/>
        <v>120</v>
      </c>
      <c r="T248" s="199" t="str">
        <f t="shared" si="2"/>
        <v>120grams</v>
      </c>
      <c r="U248" s="200">
        <f t="shared" si="3"/>
        <v>68.039999999999992</v>
      </c>
      <c r="V248" s="12"/>
      <c r="W248" s="12"/>
    </row>
    <row r="249" spans="1:23" x14ac:dyDescent="0.3">
      <c r="A249" s="183" t="e">
        <f ca="1"/>
        <v>#NAME?</v>
      </c>
      <c r="B249" s="46" t="s">
        <v>235</v>
      </c>
      <c r="C249" s="170"/>
      <c r="D249" s="194"/>
      <c r="E249" s="170"/>
      <c r="F249" s="170"/>
      <c r="G249" s="170"/>
      <c r="H249" s="183"/>
      <c r="I249" s="170"/>
      <c r="J249" s="46" t="s">
        <v>987</v>
      </c>
      <c r="K249" s="170"/>
      <c r="L249" s="288">
        <v>5</v>
      </c>
      <c r="M249" s="289">
        <v>36</v>
      </c>
      <c r="N249" s="290">
        <v>10</v>
      </c>
      <c r="O249" s="46"/>
      <c r="P249" s="46" t="s">
        <v>39</v>
      </c>
      <c r="Q249" s="170"/>
      <c r="R249" s="192" t="str">
        <f t="shared" si="0"/>
        <v>10grams</v>
      </c>
      <c r="S249" s="198">
        <f t="shared" si="1"/>
        <v>360</v>
      </c>
      <c r="T249" s="199" t="str">
        <f t="shared" si="2"/>
        <v>360grams</v>
      </c>
      <c r="U249" s="200">
        <f t="shared" si="3"/>
        <v>180</v>
      </c>
      <c r="V249" s="12"/>
      <c r="W249" s="12"/>
    </row>
    <row r="250" spans="1:23" x14ac:dyDescent="0.3">
      <c r="A250" s="183" t="e">
        <f ca="1"/>
        <v>#NAME?</v>
      </c>
      <c r="B250" s="46" t="s">
        <v>237</v>
      </c>
      <c r="C250" s="170"/>
      <c r="D250" s="194"/>
      <c r="E250" s="194"/>
      <c r="F250" s="194"/>
      <c r="G250" s="170"/>
      <c r="H250" s="183"/>
      <c r="I250" s="170"/>
      <c r="J250" s="46" t="s">
        <v>987</v>
      </c>
      <c r="K250" s="170"/>
      <c r="L250" s="288">
        <v>5.86</v>
      </c>
      <c r="M250" s="289">
        <v>7</v>
      </c>
      <c r="N250" s="290">
        <v>10</v>
      </c>
      <c r="O250" s="46"/>
      <c r="P250" s="46" t="s">
        <v>39</v>
      </c>
      <c r="Q250" s="170"/>
      <c r="R250" s="192" t="str">
        <f t="shared" si="0"/>
        <v>10grams</v>
      </c>
      <c r="S250" s="198">
        <f t="shared" si="1"/>
        <v>70</v>
      </c>
      <c r="T250" s="199" t="str">
        <f t="shared" si="2"/>
        <v>70grams</v>
      </c>
      <c r="U250" s="200">
        <f t="shared" si="3"/>
        <v>41.02</v>
      </c>
      <c r="V250" s="205">
        <f>U250/M250</f>
        <v>5.86</v>
      </c>
      <c r="W250" s="62"/>
    </row>
    <row r="251" spans="1:23" x14ac:dyDescent="0.3">
      <c r="A251" s="183" t="e">
        <f ca="1"/>
        <v>#NAME?</v>
      </c>
      <c r="B251" s="46" t="s">
        <v>237</v>
      </c>
      <c r="C251" s="170"/>
      <c r="D251" s="194"/>
      <c r="E251" s="194"/>
      <c r="F251" s="194"/>
      <c r="G251" s="170"/>
      <c r="H251" s="206"/>
      <c r="I251" s="170"/>
      <c r="J251" s="46" t="s">
        <v>987</v>
      </c>
      <c r="K251" s="170"/>
      <c r="L251" s="288">
        <v>35.200000000000003</v>
      </c>
      <c r="M251" s="289">
        <v>3</v>
      </c>
      <c r="N251" s="290">
        <v>60</v>
      </c>
      <c r="O251" s="46"/>
      <c r="P251" s="46" t="s">
        <v>39</v>
      </c>
      <c r="Q251" s="170"/>
      <c r="R251" s="192" t="str">
        <f t="shared" si="0"/>
        <v>60grams</v>
      </c>
      <c r="S251" s="198">
        <f t="shared" si="1"/>
        <v>180</v>
      </c>
      <c r="T251" s="199" t="str">
        <f t="shared" si="2"/>
        <v>180grams</v>
      </c>
      <c r="U251" s="200">
        <f t="shared" si="3"/>
        <v>105.60000000000001</v>
      </c>
      <c r="V251" s="12"/>
      <c r="W251" s="12"/>
    </row>
    <row r="252" spans="1:23" x14ac:dyDescent="0.3">
      <c r="A252" s="183" t="e">
        <f ca="1"/>
        <v>#NAME?</v>
      </c>
      <c r="B252" s="46" t="s">
        <v>237</v>
      </c>
      <c r="C252" s="170"/>
      <c r="D252" s="194"/>
      <c r="E252" s="170"/>
      <c r="F252" s="170"/>
      <c r="G252" s="170"/>
      <c r="H252" s="206"/>
      <c r="I252" s="170"/>
      <c r="J252" s="46" t="s">
        <v>987</v>
      </c>
      <c r="K252" s="170"/>
      <c r="L252" s="288">
        <v>35.200000000000003</v>
      </c>
      <c r="M252" s="289">
        <v>3</v>
      </c>
      <c r="N252" s="290">
        <v>60</v>
      </c>
      <c r="O252" s="46"/>
      <c r="P252" s="46" t="s">
        <v>39</v>
      </c>
      <c r="Q252" s="170"/>
      <c r="R252" s="192" t="str">
        <f t="shared" si="0"/>
        <v>60grams</v>
      </c>
      <c r="S252" s="198">
        <f t="shared" si="1"/>
        <v>180</v>
      </c>
      <c r="T252" s="199" t="str">
        <f t="shared" si="2"/>
        <v>180grams</v>
      </c>
      <c r="U252" s="200">
        <f t="shared" si="3"/>
        <v>105.60000000000001</v>
      </c>
      <c r="V252" s="12"/>
      <c r="W252" s="12"/>
    </row>
    <row r="253" spans="1:23" x14ac:dyDescent="0.3">
      <c r="A253" s="183" t="e">
        <f ca="1"/>
        <v>#NAME?</v>
      </c>
      <c r="B253" s="46" t="s">
        <v>237</v>
      </c>
      <c r="C253" s="170"/>
      <c r="D253" s="194"/>
      <c r="E253" s="194"/>
      <c r="F253" s="194"/>
      <c r="G253" s="194"/>
      <c r="H253" s="183"/>
      <c r="I253" s="170"/>
      <c r="J253" s="46" t="s">
        <v>987</v>
      </c>
      <c r="K253" s="170"/>
      <c r="L253" s="288">
        <v>68</v>
      </c>
      <c r="M253" s="289">
        <v>12</v>
      </c>
      <c r="N253" s="290">
        <v>120</v>
      </c>
      <c r="O253" s="46"/>
      <c r="P253" s="46" t="s">
        <v>39</v>
      </c>
      <c r="Q253" s="170"/>
      <c r="R253" s="192" t="str">
        <f t="shared" si="0"/>
        <v>120grams</v>
      </c>
      <c r="S253" s="198">
        <f t="shared" si="1"/>
        <v>1440</v>
      </c>
      <c r="T253" s="199" t="str">
        <f t="shared" si="2"/>
        <v>1440grams</v>
      </c>
      <c r="U253" s="200">
        <f t="shared" si="3"/>
        <v>816</v>
      </c>
      <c r="V253" s="205">
        <f>U253/M253</f>
        <v>68</v>
      </c>
      <c r="W253" s="62"/>
    </row>
    <row r="254" spans="1:23" x14ac:dyDescent="0.3">
      <c r="A254" s="183" t="e">
        <f ca="1"/>
        <v>#NAME?</v>
      </c>
      <c r="B254" s="46" t="s">
        <v>237</v>
      </c>
      <c r="C254" s="170"/>
      <c r="D254" s="194"/>
      <c r="E254" s="194"/>
      <c r="F254" s="194"/>
      <c r="G254" s="170"/>
      <c r="H254" s="183"/>
      <c r="I254" s="170"/>
      <c r="J254" s="46" t="s">
        <v>987</v>
      </c>
      <c r="K254" s="170"/>
      <c r="L254" s="291">
        <v>5.78</v>
      </c>
      <c r="M254" s="292">
        <v>12</v>
      </c>
      <c r="N254" s="293">
        <v>30</v>
      </c>
      <c r="O254" s="219"/>
      <c r="P254" s="219" t="s">
        <v>39</v>
      </c>
      <c r="Q254" s="170"/>
      <c r="R254" s="192" t="str">
        <f t="shared" si="0"/>
        <v>30grams</v>
      </c>
      <c r="S254" s="198">
        <f t="shared" si="1"/>
        <v>360</v>
      </c>
      <c r="T254" s="199" t="str">
        <f t="shared" si="2"/>
        <v>360grams</v>
      </c>
      <c r="U254" s="200">
        <f t="shared" si="3"/>
        <v>69.36</v>
      </c>
      <c r="V254" s="12"/>
      <c r="W254" s="12"/>
    </row>
    <row r="255" spans="1:23" x14ac:dyDescent="0.3">
      <c r="A255" s="183" t="e">
        <f ca="1"/>
        <v>#NAME?</v>
      </c>
      <c r="B255" s="46" t="s">
        <v>518</v>
      </c>
      <c r="C255" s="170"/>
      <c r="D255" s="194"/>
      <c r="E255" s="170"/>
      <c r="F255" s="170"/>
      <c r="G255" s="170"/>
      <c r="H255" s="206"/>
      <c r="I255" s="170"/>
      <c r="J255" s="46" t="s">
        <v>987</v>
      </c>
      <c r="K255" s="170"/>
      <c r="L255" s="288">
        <v>5.86</v>
      </c>
      <c r="M255" s="289">
        <v>8</v>
      </c>
      <c r="N255" s="290">
        <v>60</v>
      </c>
      <c r="O255" s="46"/>
      <c r="P255" s="46" t="s">
        <v>39</v>
      </c>
      <c r="Q255" s="170"/>
      <c r="R255" s="192" t="str">
        <f t="shared" si="0"/>
        <v>60grams</v>
      </c>
      <c r="S255" s="198">
        <f t="shared" si="1"/>
        <v>480</v>
      </c>
      <c r="T255" s="199" t="str">
        <f t="shared" si="2"/>
        <v>480grams</v>
      </c>
      <c r="U255" s="200">
        <f t="shared" si="3"/>
        <v>46.88</v>
      </c>
      <c r="V255" s="12"/>
      <c r="W255" s="12"/>
    </row>
    <row r="256" spans="1:23" x14ac:dyDescent="0.3">
      <c r="A256" s="183" t="e">
        <f ca="1"/>
        <v>#NAME?</v>
      </c>
      <c r="B256" s="46" t="s">
        <v>518</v>
      </c>
      <c r="C256" s="170"/>
      <c r="D256" s="194"/>
      <c r="E256" s="170"/>
      <c r="F256" s="170"/>
      <c r="G256" s="170"/>
      <c r="H256" s="206"/>
      <c r="I256" s="170"/>
      <c r="J256" s="46" t="s">
        <v>987</v>
      </c>
      <c r="K256" s="170"/>
      <c r="L256" s="288">
        <v>35.200000000000003</v>
      </c>
      <c r="M256" s="289">
        <v>3</v>
      </c>
      <c r="N256" s="290">
        <v>60</v>
      </c>
      <c r="O256" s="46"/>
      <c r="P256" s="46" t="s">
        <v>39</v>
      </c>
      <c r="Q256" s="170"/>
      <c r="R256" s="192" t="str">
        <f t="shared" si="0"/>
        <v>60grams</v>
      </c>
      <c r="S256" s="198">
        <f t="shared" si="1"/>
        <v>180</v>
      </c>
      <c r="T256" s="199" t="str">
        <f t="shared" si="2"/>
        <v>180grams</v>
      </c>
      <c r="U256" s="200">
        <f t="shared" si="3"/>
        <v>105.60000000000001</v>
      </c>
      <c r="V256" s="12"/>
      <c r="W256" s="12"/>
    </row>
    <row r="257" spans="1:23" x14ac:dyDescent="0.3">
      <c r="A257" s="183" t="e">
        <f ca="1"/>
        <v>#NAME?</v>
      </c>
      <c r="B257" s="46" t="s">
        <v>518</v>
      </c>
      <c r="C257" s="170"/>
      <c r="D257" s="194"/>
      <c r="E257" s="170"/>
      <c r="F257" s="170"/>
      <c r="G257" s="170"/>
      <c r="H257" s="206"/>
      <c r="I257" s="170"/>
      <c r="J257" s="46" t="s">
        <v>987</v>
      </c>
      <c r="K257" s="170"/>
      <c r="L257" s="288">
        <v>35.200000000000003</v>
      </c>
      <c r="M257" s="289">
        <v>3</v>
      </c>
      <c r="N257" s="290">
        <v>60</v>
      </c>
      <c r="O257" s="46"/>
      <c r="P257" s="46" t="s">
        <v>39</v>
      </c>
      <c r="Q257" s="170"/>
      <c r="R257" s="192" t="str">
        <f t="shared" si="0"/>
        <v>60grams</v>
      </c>
      <c r="S257" s="198">
        <f t="shared" si="1"/>
        <v>180</v>
      </c>
      <c r="T257" s="199" t="str">
        <f t="shared" si="2"/>
        <v>180grams</v>
      </c>
      <c r="U257" s="200">
        <f t="shared" si="3"/>
        <v>105.60000000000001</v>
      </c>
      <c r="V257" s="12"/>
      <c r="W257" s="12"/>
    </row>
    <row r="258" spans="1:23" x14ac:dyDescent="0.3">
      <c r="A258" s="183" t="e">
        <f ca="1"/>
        <v>#NAME?</v>
      </c>
      <c r="B258" s="46" t="s">
        <v>518</v>
      </c>
      <c r="C258" s="170"/>
      <c r="D258" s="194"/>
      <c r="E258" s="170"/>
      <c r="F258" s="170"/>
      <c r="G258" s="170"/>
      <c r="H258" s="206"/>
      <c r="I258" s="170"/>
      <c r="J258" s="46" t="s">
        <v>987</v>
      </c>
      <c r="K258" s="170"/>
      <c r="L258" s="291">
        <v>5.66</v>
      </c>
      <c r="M258" s="292">
        <v>7</v>
      </c>
      <c r="N258" s="293">
        <v>10</v>
      </c>
      <c r="O258" s="219"/>
      <c r="P258" s="219" t="s">
        <v>39</v>
      </c>
      <c r="Q258" s="170"/>
      <c r="R258" s="192" t="str">
        <f t="shared" si="0"/>
        <v>10grams</v>
      </c>
      <c r="S258" s="198">
        <f t="shared" si="1"/>
        <v>70</v>
      </c>
      <c r="T258" s="199" t="str">
        <f t="shared" si="2"/>
        <v>70grams</v>
      </c>
      <c r="U258" s="200">
        <f t="shared" si="3"/>
        <v>39.620000000000005</v>
      </c>
      <c r="V258" s="12"/>
      <c r="W258" s="12"/>
    </row>
    <row r="259" spans="1:23" x14ac:dyDescent="0.3">
      <c r="A259" s="183" t="e">
        <f ca="1"/>
        <v>#NAME?</v>
      </c>
      <c r="B259" s="46" t="s">
        <v>518</v>
      </c>
      <c r="C259" s="170"/>
      <c r="D259" s="194"/>
      <c r="E259" s="170"/>
      <c r="F259" s="170"/>
      <c r="G259" s="170"/>
      <c r="H259" s="206"/>
      <c r="I259" s="170"/>
      <c r="J259" s="46" t="s">
        <v>987</v>
      </c>
      <c r="K259" s="170"/>
      <c r="L259" s="288">
        <v>5</v>
      </c>
      <c r="M259" s="289">
        <v>44</v>
      </c>
      <c r="N259" s="290">
        <v>10</v>
      </c>
      <c r="O259" s="46"/>
      <c r="P259" s="46" t="s">
        <v>39</v>
      </c>
      <c r="Q259" s="170"/>
      <c r="R259" s="192" t="str">
        <f t="shared" si="0"/>
        <v>10grams</v>
      </c>
      <c r="S259" s="198">
        <f t="shared" si="1"/>
        <v>440</v>
      </c>
      <c r="T259" s="199" t="str">
        <f t="shared" si="2"/>
        <v>440grams</v>
      </c>
      <c r="U259" s="200">
        <f t="shared" si="3"/>
        <v>220</v>
      </c>
      <c r="V259" s="12"/>
      <c r="W259" s="12"/>
    </row>
    <row r="260" spans="1:23" x14ac:dyDescent="0.3">
      <c r="A260" s="183" t="e">
        <f ca="1"/>
        <v>#NAME?</v>
      </c>
      <c r="B260" s="46" t="s">
        <v>518</v>
      </c>
      <c r="C260" s="170"/>
      <c r="D260" s="194"/>
      <c r="E260" s="194"/>
      <c r="F260" s="170"/>
      <c r="G260" s="170"/>
      <c r="H260" s="183"/>
      <c r="I260" s="170"/>
      <c r="J260" s="46" t="s">
        <v>987</v>
      </c>
      <c r="K260" s="170"/>
      <c r="L260" s="288">
        <v>68.3</v>
      </c>
      <c r="M260" s="289">
        <v>2</v>
      </c>
      <c r="N260" s="290">
        <v>120</v>
      </c>
      <c r="O260" s="46"/>
      <c r="P260" s="46" t="s">
        <v>39</v>
      </c>
      <c r="Q260" s="170"/>
      <c r="R260" s="192" t="str">
        <f t="shared" si="0"/>
        <v>120grams</v>
      </c>
      <c r="S260" s="198">
        <f t="shared" si="1"/>
        <v>240</v>
      </c>
      <c r="T260" s="199" t="str">
        <f t="shared" si="2"/>
        <v>240grams</v>
      </c>
      <c r="U260" s="200">
        <f t="shared" si="3"/>
        <v>136.6</v>
      </c>
      <c r="V260" s="12"/>
      <c r="W260" s="12"/>
    </row>
    <row r="261" spans="1:23" x14ac:dyDescent="0.3">
      <c r="A261" s="183" t="e">
        <f ca="1"/>
        <v>#NAME?</v>
      </c>
      <c r="B261" s="219" t="s">
        <v>988</v>
      </c>
      <c r="C261" s="170"/>
      <c r="D261" s="194"/>
      <c r="E261" s="170"/>
      <c r="F261" s="170"/>
      <c r="G261" s="170"/>
      <c r="H261" s="206"/>
      <c r="I261" s="170"/>
      <c r="J261" s="46" t="s">
        <v>989</v>
      </c>
      <c r="K261" s="170"/>
      <c r="L261" s="291">
        <v>0.35</v>
      </c>
      <c r="M261" s="292">
        <v>150</v>
      </c>
      <c r="N261" s="293">
        <v>1</v>
      </c>
      <c r="O261" s="46"/>
      <c r="P261" s="46" t="s">
        <v>990</v>
      </c>
      <c r="Q261" s="170"/>
      <c r="R261" s="192" t="str">
        <f t="shared" si="0"/>
        <v>1ream</v>
      </c>
      <c r="S261" s="198">
        <f t="shared" si="1"/>
        <v>150</v>
      </c>
      <c r="T261" s="199" t="str">
        <f t="shared" si="2"/>
        <v>150ream</v>
      </c>
      <c r="U261" s="200">
        <f t="shared" si="3"/>
        <v>52.5</v>
      </c>
      <c r="V261" s="12"/>
      <c r="W261" s="12"/>
    </row>
    <row r="262" spans="1:23" x14ac:dyDescent="0.3">
      <c r="A262" s="183" t="e">
        <f ca="1"/>
        <v>#NAME?</v>
      </c>
      <c r="B262" s="46" t="s">
        <v>988</v>
      </c>
      <c r="C262" s="170"/>
      <c r="D262" s="194"/>
      <c r="E262" s="194"/>
      <c r="F262" s="194"/>
      <c r="G262" s="170"/>
      <c r="H262" s="183"/>
      <c r="I262" s="170"/>
      <c r="J262" s="46" t="s">
        <v>991</v>
      </c>
      <c r="K262" s="170"/>
      <c r="L262" s="288">
        <v>25</v>
      </c>
      <c r="M262" s="289">
        <v>3</v>
      </c>
      <c r="N262" s="290">
        <v>1</v>
      </c>
      <c r="O262" s="46"/>
      <c r="P262" s="46" t="s">
        <v>990</v>
      </c>
      <c r="Q262" s="170"/>
      <c r="R262" s="192" t="str">
        <f t="shared" si="0"/>
        <v>1ream</v>
      </c>
      <c r="S262" s="198">
        <f t="shared" si="1"/>
        <v>3</v>
      </c>
      <c r="T262" s="199" t="str">
        <f t="shared" si="2"/>
        <v>3ream</v>
      </c>
      <c r="U262" s="200">
        <f t="shared" si="3"/>
        <v>75</v>
      </c>
      <c r="V262" s="205">
        <f>U262/M262</f>
        <v>25</v>
      </c>
      <c r="W262" s="62"/>
    </row>
    <row r="263" spans="1:23" x14ac:dyDescent="0.3">
      <c r="A263" s="183" t="e">
        <f ca="1"/>
        <v>#NAME?</v>
      </c>
      <c r="B263" s="46" t="s">
        <v>992</v>
      </c>
      <c r="C263" s="215"/>
      <c r="D263" s="194"/>
      <c r="E263" s="214"/>
      <c r="F263" s="214"/>
      <c r="G263" s="215"/>
      <c r="H263" s="183"/>
      <c r="I263" s="170"/>
      <c r="J263" s="170"/>
      <c r="K263" s="170"/>
      <c r="L263" s="288">
        <v>47</v>
      </c>
      <c r="M263" s="289">
        <v>15</v>
      </c>
      <c r="N263" s="290">
        <v>1</v>
      </c>
      <c r="O263" s="46"/>
      <c r="P263" s="46" t="s">
        <v>990</v>
      </c>
      <c r="Q263" s="170"/>
      <c r="R263" s="192" t="str">
        <f t="shared" si="0"/>
        <v>1ream</v>
      </c>
      <c r="S263" s="198">
        <f t="shared" si="1"/>
        <v>15</v>
      </c>
      <c r="T263" s="199" t="str">
        <f t="shared" si="2"/>
        <v>15ream</v>
      </c>
      <c r="U263" s="200">
        <f t="shared" si="3"/>
        <v>705</v>
      </c>
      <c r="V263" s="12"/>
      <c r="W263" s="12"/>
    </row>
    <row r="264" spans="1:23" x14ac:dyDescent="0.3">
      <c r="A264" s="183" t="e">
        <f ca="1"/>
        <v>#NAME?</v>
      </c>
      <c r="B264" s="46" t="s">
        <v>992</v>
      </c>
      <c r="C264" s="170"/>
      <c r="D264" s="194"/>
      <c r="E264" s="170"/>
      <c r="F264" s="170"/>
      <c r="G264" s="170"/>
      <c r="H264" s="206"/>
      <c r="I264" s="170"/>
      <c r="J264" s="170"/>
      <c r="K264" s="170"/>
      <c r="L264" s="288">
        <v>0.6</v>
      </c>
      <c r="M264" s="289">
        <v>50</v>
      </c>
      <c r="N264" s="290">
        <v>1</v>
      </c>
      <c r="O264" s="46"/>
      <c r="P264" s="46" t="s">
        <v>990</v>
      </c>
      <c r="Q264" s="170"/>
      <c r="R264" s="192" t="str">
        <f t="shared" ref="R264:R518" si="11">CONCATENATE(N264,P264)</f>
        <v>1ream</v>
      </c>
      <c r="S264" s="198">
        <f t="shared" ref="S264:S518" si="12">M264*N264</f>
        <v>50</v>
      </c>
      <c r="T264" s="199" t="str">
        <f t="shared" ref="T264:T518" si="13">CONCATENATE(S264,Q264,P264)</f>
        <v>50ream</v>
      </c>
      <c r="U264" s="200">
        <f t="shared" ref="U264:U518" si="14">L264*M264</f>
        <v>30</v>
      </c>
      <c r="V264" s="12"/>
      <c r="W264" s="12"/>
    </row>
    <row r="265" spans="1:23" x14ac:dyDescent="0.3">
      <c r="A265" s="183" t="e">
        <f ca="1"/>
        <v>#NAME?</v>
      </c>
      <c r="B265" s="219" t="s">
        <v>993</v>
      </c>
      <c r="C265" s="170"/>
      <c r="D265" s="194"/>
      <c r="E265" s="170"/>
      <c r="F265" s="170"/>
      <c r="G265" s="170"/>
      <c r="H265" s="183"/>
      <c r="I265" s="170"/>
      <c r="J265" s="46" t="s">
        <v>989</v>
      </c>
      <c r="K265" s="170"/>
      <c r="L265" s="291">
        <v>1.2</v>
      </c>
      <c r="M265" s="292">
        <v>66</v>
      </c>
      <c r="N265" s="293">
        <v>1</v>
      </c>
      <c r="O265" s="46"/>
      <c r="P265" s="46" t="s">
        <v>990</v>
      </c>
      <c r="Q265" s="170"/>
      <c r="R265" s="192" t="str">
        <f t="shared" si="11"/>
        <v>1ream</v>
      </c>
      <c r="S265" s="198">
        <f t="shared" si="12"/>
        <v>66</v>
      </c>
      <c r="T265" s="199" t="str">
        <f t="shared" si="13"/>
        <v>66ream</v>
      </c>
      <c r="U265" s="200">
        <f t="shared" si="14"/>
        <v>79.2</v>
      </c>
      <c r="V265" s="12"/>
      <c r="W265" s="12"/>
    </row>
    <row r="266" spans="1:23" x14ac:dyDescent="0.3">
      <c r="A266" s="183" t="e">
        <f ca="1"/>
        <v>#NAME?</v>
      </c>
      <c r="B266" s="219" t="s">
        <v>994</v>
      </c>
      <c r="C266" s="170"/>
      <c r="D266" s="194"/>
      <c r="E266" s="194"/>
      <c r="F266" s="170"/>
      <c r="G266" s="170"/>
      <c r="H266" s="183"/>
      <c r="I266" s="170"/>
      <c r="J266" s="46" t="s">
        <v>989</v>
      </c>
      <c r="K266" s="170"/>
      <c r="L266" s="291">
        <v>0.4</v>
      </c>
      <c r="M266" s="292">
        <v>165</v>
      </c>
      <c r="N266" s="293">
        <v>1</v>
      </c>
      <c r="O266" s="46"/>
      <c r="P266" s="46" t="s">
        <v>990</v>
      </c>
      <c r="Q266" s="170"/>
      <c r="R266" s="192" t="str">
        <f t="shared" si="11"/>
        <v>1ream</v>
      </c>
      <c r="S266" s="198">
        <f t="shared" si="12"/>
        <v>165</v>
      </c>
      <c r="T266" s="199" t="str">
        <f t="shared" si="13"/>
        <v>165ream</v>
      </c>
      <c r="U266" s="200">
        <f t="shared" si="14"/>
        <v>66</v>
      </c>
      <c r="V266" s="12"/>
      <c r="W266" s="12"/>
    </row>
    <row r="267" spans="1:23" x14ac:dyDescent="0.3">
      <c r="A267" s="183" t="e">
        <f ca="1"/>
        <v>#NAME?</v>
      </c>
      <c r="B267" s="46" t="s">
        <v>995</v>
      </c>
      <c r="C267" s="170"/>
      <c r="D267" s="194"/>
      <c r="E267" s="194"/>
      <c r="F267" s="194"/>
      <c r="G267" s="170"/>
      <c r="H267" s="183"/>
      <c r="I267" s="170"/>
      <c r="J267" s="46" t="s">
        <v>989</v>
      </c>
      <c r="K267" s="170"/>
      <c r="L267" s="288">
        <v>55</v>
      </c>
      <c r="M267" s="289">
        <v>5</v>
      </c>
      <c r="N267" s="290">
        <v>1</v>
      </c>
      <c r="O267" s="46"/>
      <c r="P267" s="46" t="s">
        <v>990</v>
      </c>
      <c r="Q267" s="170"/>
      <c r="R267" s="192" t="str">
        <f t="shared" si="11"/>
        <v>1ream</v>
      </c>
      <c r="S267" s="198">
        <f t="shared" si="12"/>
        <v>5</v>
      </c>
      <c r="T267" s="199" t="str">
        <f t="shared" si="13"/>
        <v>5ream</v>
      </c>
      <c r="U267" s="200">
        <f t="shared" si="14"/>
        <v>275</v>
      </c>
      <c r="V267" s="12"/>
      <c r="W267" s="12"/>
    </row>
    <row r="268" spans="1:23" x14ac:dyDescent="0.3">
      <c r="A268" s="183" t="e">
        <f ca="1"/>
        <v>#NAME?</v>
      </c>
      <c r="B268" s="46" t="s">
        <v>996</v>
      </c>
      <c r="C268" s="170"/>
      <c r="D268" s="194"/>
      <c r="E268" s="194"/>
      <c r="F268" s="170"/>
      <c r="G268" s="170"/>
      <c r="H268" s="183"/>
      <c r="I268" s="170"/>
      <c r="J268" s="46" t="s">
        <v>989</v>
      </c>
      <c r="K268" s="170"/>
      <c r="L268" s="288">
        <v>0.5</v>
      </c>
      <c r="M268" s="289">
        <v>100</v>
      </c>
      <c r="N268" s="290">
        <v>1</v>
      </c>
      <c r="O268" s="46"/>
      <c r="P268" s="46" t="s">
        <v>990</v>
      </c>
      <c r="Q268" s="170"/>
      <c r="R268" s="192" t="str">
        <f t="shared" si="11"/>
        <v>1ream</v>
      </c>
      <c r="S268" s="198">
        <f t="shared" si="12"/>
        <v>100</v>
      </c>
      <c r="T268" s="199" t="str">
        <f t="shared" si="13"/>
        <v>100ream</v>
      </c>
      <c r="U268" s="200">
        <f t="shared" si="14"/>
        <v>50</v>
      </c>
      <c r="V268" s="12"/>
      <c r="W268" s="12"/>
    </row>
    <row r="269" spans="1:23" x14ac:dyDescent="0.3">
      <c r="A269" s="183" t="e">
        <f ca="1"/>
        <v>#NAME?</v>
      </c>
      <c r="B269" s="46" t="s">
        <v>996</v>
      </c>
      <c r="C269" s="170"/>
      <c r="D269" s="194"/>
      <c r="E269" s="170"/>
      <c r="F269" s="170"/>
      <c r="G269" s="170"/>
      <c r="H269" s="206"/>
      <c r="I269" s="170"/>
      <c r="J269" s="46" t="s">
        <v>991</v>
      </c>
      <c r="K269" s="170"/>
      <c r="L269" s="288">
        <v>44.6</v>
      </c>
      <c r="M269" s="289">
        <v>6</v>
      </c>
      <c r="N269" s="290">
        <v>1</v>
      </c>
      <c r="O269" s="46"/>
      <c r="P269" s="46" t="s">
        <v>990</v>
      </c>
      <c r="Q269" s="170"/>
      <c r="R269" s="192" t="str">
        <f t="shared" si="11"/>
        <v>1ream</v>
      </c>
      <c r="S269" s="198">
        <f t="shared" si="12"/>
        <v>6</v>
      </c>
      <c r="T269" s="199" t="str">
        <f t="shared" si="13"/>
        <v>6ream</v>
      </c>
      <c r="U269" s="200">
        <f t="shared" si="14"/>
        <v>267.60000000000002</v>
      </c>
      <c r="V269" s="12"/>
      <c r="W269" s="12"/>
    </row>
    <row r="270" spans="1:23" x14ac:dyDescent="0.3">
      <c r="A270" s="183" t="e">
        <f ca="1"/>
        <v>#NAME?</v>
      </c>
      <c r="B270" s="46" t="s">
        <v>997</v>
      </c>
      <c r="C270" s="170"/>
      <c r="D270" s="194"/>
      <c r="E270" s="170"/>
      <c r="F270" s="170"/>
      <c r="G270" s="170"/>
      <c r="H270" s="183"/>
      <c r="I270" s="170"/>
      <c r="J270" s="46" t="s">
        <v>989</v>
      </c>
      <c r="K270" s="170"/>
      <c r="L270" s="288">
        <v>75</v>
      </c>
      <c r="M270" s="289">
        <v>3</v>
      </c>
      <c r="N270" s="290">
        <v>1</v>
      </c>
      <c r="O270" s="46"/>
      <c r="P270" s="46" t="s">
        <v>990</v>
      </c>
      <c r="Q270" s="170"/>
      <c r="R270" s="192" t="str">
        <f t="shared" si="11"/>
        <v>1ream</v>
      </c>
      <c r="S270" s="198">
        <f t="shared" si="12"/>
        <v>3</v>
      </c>
      <c r="T270" s="199" t="str">
        <f t="shared" si="13"/>
        <v>3ream</v>
      </c>
      <c r="U270" s="200">
        <f t="shared" si="14"/>
        <v>225</v>
      </c>
      <c r="V270" s="12"/>
      <c r="W270" s="12"/>
    </row>
    <row r="271" spans="1:23" x14ac:dyDescent="0.3">
      <c r="A271" s="183" t="e">
        <f ca="1"/>
        <v>#NAME?</v>
      </c>
      <c r="B271" s="46" t="s">
        <v>998</v>
      </c>
      <c r="C271" s="170"/>
      <c r="D271" s="194"/>
      <c r="E271" s="170"/>
      <c r="F271" s="170"/>
      <c r="G271" s="170"/>
      <c r="H271" s="206"/>
      <c r="I271" s="170"/>
      <c r="J271" s="46" t="s">
        <v>999</v>
      </c>
      <c r="K271" s="170"/>
      <c r="L271" s="288">
        <v>115</v>
      </c>
      <c r="M271" s="289">
        <v>1</v>
      </c>
      <c r="N271" s="290">
        <v>1</v>
      </c>
      <c r="O271" s="46"/>
      <c r="P271" s="46" t="s">
        <v>213</v>
      </c>
      <c r="Q271" s="170"/>
      <c r="R271" s="192" t="str">
        <f t="shared" si="11"/>
        <v>1kilos</v>
      </c>
      <c r="S271" s="198">
        <f t="shared" si="12"/>
        <v>1</v>
      </c>
      <c r="T271" s="199" t="str">
        <f t="shared" si="13"/>
        <v>1kilos</v>
      </c>
      <c r="U271" s="200">
        <f t="shared" si="14"/>
        <v>115</v>
      </c>
      <c r="V271" s="12"/>
      <c r="W271" s="12"/>
    </row>
    <row r="272" spans="1:23" x14ac:dyDescent="0.3">
      <c r="A272" s="183" t="e">
        <f ca="1"/>
        <v>#NAME?</v>
      </c>
      <c r="B272" s="219" t="s">
        <v>998</v>
      </c>
      <c r="C272" s="170"/>
      <c r="D272" s="194"/>
      <c r="E272" s="194"/>
      <c r="F272" s="194"/>
      <c r="G272" s="170"/>
      <c r="H272" s="183"/>
      <c r="I272" s="170"/>
      <c r="J272" s="219" t="s">
        <v>1000</v>
      </c>
      <c r="K272" s="170"/>
      <c r="L272" s="291">
        <v>160</v>
      </c>
      <c r="M272" s="292">
        <v>2</v>
      </c>
      <c r="N272" s="293">
        <v>2</v>
      </c>
      <c r="O272" s="219"/>
      <c r="P272" s="219" t="s">
        <v>213</v>
      </c>
      <c r="Q272" s="61" t="s">
        <v>33</v>
      </c>
      <c r="R272" s="192" t="str">
        <f t="shared" si="11"/>
        <v>2kilos</v>
      </c>
      <c r="S272" s="198">
        <f t="shared" si="12"/>
        <v>4</v>
      </c>
      <c r="T272" s="199" t="str">
        <f t="shared" si="13"/>
        <v>4 kilos</v>
      </c>
      <c r="U272" s="200">
        <f t="shared" si="14"/>
        <v>320</v>
      </c>
      <c r="V272" s="205">
        <f t="shared" ref="V272:V273" si="15">U272/M272</f>
        <v>160</v>
      </c>
      <c r="W272" s="62"/>
    </row>
    <row r="273" spans="1:23" x14ac:dyDescent="0.3">
      <c r="A273" s="183" t="e">
        <f ca="1"/>
        <v>#NAME?</v>
      </c>
      <c r="B273" s="219" t="s">
        <v>998</v>
      </c>
      <c r="C273" s="170"/>
      <c r="D273" s="194"/>
      <c r="E273" s="194"/>
      <c r="F273" s="194"/>
      <c r="G273" s="170"/>
      <c r="H273" s="183"/>
      <c r="I273" s="170"/>
      <c r="J273" s="219" t="s">
        <v>904</v>
      </c>
      <c r="K273" s="170"/>
      <c r="L273" s="291">
        <v>126</v>
      </c>
      <c r="M273" s="292">
        <v>1</v>
      </c>
      <c r="N273" s="293">
        <v>800</v>
      </c>
      <c r="O273" s="219"/>
      <c r="P273" s="219" t="s">
        <v>39</v>
      </c>
      <c r="Q273" s="61" t="s">
        <v>33</v>
      </c>
      <c r="R273" s="192" t="str">
        <f t="shared" si="11"/>
        <v>800grams</v>
      </c>
      <c r="S273" s="198">
        <f t="shared" si="12"/>
        <v>800</v>
      </c>
      <c r="T273" s="199" t="str">
        <f t="shared" si="13"/>
        <v>800 grams</v>
      </c>
      <c r="U273" s="200">
        <f t="shared" si="14"/>
        <v>126</v>
      </c>
      <c r="V273" s="205">
        <f t="shared" si="15"/>
        <v>126</v>
      </c>
      <c r="W273" s="62"/>
    </row>
    <row r="274" spans="1:23" x14ac:dyDescent="0.3">
      <c r="A274" s="183" t="e">
        <f ca="1"/>
        <v>#NAME?</v>
      </c>
      <c r="B274" s="46" t="s">
        <v>1001</v>
      </c>
      <c r="C274" s="170"/>
      <c r="D274" s="194"/>
      <c r="E274" s="194"/>
      <c r="F274" s="194"/>
      <c r="G274" s="170"/>
      <c r="H274" s="183"/>
      <c r="I274" s="170"/>
      <c r="J274" s="170"/>
      <c r="K274" s="170"/>
      <c r="L274" s="288">
        <v>46</v>
      </c>
      <c r="M274" s="289">
        <v>1</v>
      </c>
      <c r="N274" s="290">
        <v>1</v>
      </c>
      <c r="O274" s="46"/>
      <c r="P274" s="46" t="s">
        <v>92</v>
      </c>
      <c r="Q274" s="170"/>
      <c r="R274" s="192" t="str">
        <f t="shared" si="11"/>
        <v>1pieces</v>
      </c>
      <c r="S274" s="198">
        <f t="shared" si="12"/>
        <v>1</v>
      </c>
      <c r="T274" s="199" t="str">
        <f t="shared" si="13"/>
        <v>1pieces</v>
      </c>
      <c r="U274" s="200">
        <f t="shared" si="14"/>
        <v>46</v>
      </c>
      <c r="V274" s="12"/>
      <c r="W274" s="12"/>
    </row>
    <row r="275" spans="1:23" x14ac:dyDescent="0.3">
      <c r="A275" s="183" t="e">
        <f ca="1"/>
        <v>#NAME?</v>
      </c>
      <c r="B275" s="46" t="s">
        <v>1002</v>
      </c>
      <c r="C275" s="170"/>
      <c r="D275" s="194"/>
      <c r="E275" s="170"/>
      <c r="F275" s="170"/>
      <c r="G275" s="170"/>
      <c r="H275" s="206"/>
      <c r="I275" s="170"/>
      <c r="J275" s="170"/>
      <c r="K275" s="170"/>
      <c r="L275" s="288">
        <v>260</v>
      </c>
      <c r="M275" s="289">
        <v>1</v>
      </c>
      <c r="N275" s="290">
        <v>1</v>
      </c>
      <c r="O275" s="46"/>
      <c r="P275" s="46" t="s">
        <v>213</v>
      </c>
      <c r="Q275" s="170"/>
      <c r="R275" s="192" t="str">
        <f t="shared" si="11"/>
        <v>1kilos</v>
      </c>
      <c r="S275" s="198">
        <f t="shared" si="12"/>
        <v>1</v>
      </c>
      <c r="T275" s="199" t="str">
        <f t="shared" si="13"/>
        <v>1kilos</v>
      </c>
      <c r="U275" s="200">
        <f t="shared" si="14"/>
        <v>260</v>
      </c>
      <c r="V275" s="12"/>
      <c r="W275" s="12"/>
    </row>
    <row r="276" spans="1:23" x14ac:dyDescent="0.3">
      <c r="A276" s="183" t="e">
        <f ca="1"/>
        <v>#NAME?</v>
      </c>
      <c r="B276" s="46" t="s">
        <v>1003</v>
      </c>
      <c r="C276" s="170"/>
      <c r="D276" s="194"/>
      <c r="E276" s="170"/>
      <c r="F276" s="170"/>
      <c r="G276" s="170"/>
      <c r="H276" s="206"/>
      <c r="I276" s="170"/>
      <c r="J276" s="46" t="s">
        <v>1004</v>
      </c>
      <c r="K276" s="170"/>
      <c r="L276" s="288">
        <v>5</v>
      </c>
      <c r="M276" s="289">
        <v>120</v>
      </c>
      <c r="N276" s="290">
        <v>1</v>
      </c>
      <c r="O276" s="46"/>
      <c r="P276" s="46" t="s">
        <v>92</v>
      </c>
      <c r="Q276" s="170"/>
      <c r="R276" s="192" t="str">
        <f t="shared" si="11"/>
        <v>1pieces</v>
      </c>
      <c r="S276" s="198">
        <f t="shared" si="12"/>
        <v>120</v>
      </c>
      <c r="T276" s="199" t="str">
        <f t="shared" si="13"/>
        <v>120pieces</v>
      </c>
      <c r="U276" s="200">
        <f t="shared" si="14"/>
        <v>600</v>
      </c>
      <c r="V276" s="12"/>
      <c r="W276" s="12"/>
    </row>
    <row r="277" spans="1:23" x14ac:dyDescent="0.3">
      <c r="A277" s="183" t="e">
        <f ca="1"/>
        <v>#NAME?</v>
      </c>
      <c r="B277" s="219" t="s">
        <v>1005</v>
      </c>
      <c r="C277" s="170"/>
      <c r="D277" s="194"/>
      <c r="E277" s="170"/>
      <c r="F277" s="170"/>
      <c r="G277" s="170"/>
      <c r="H277" s="206"/>
      <c r="I277" s="170"/>
      <c r="J277" s="46" t="s">
        <v>1006</v>
      </c>
      <c r="K277" s="170"/>
      <c r="L277" s="288">
        <v>195</v>
      </c>
      <c r="M277" s="289">
        <v>2</v>
      </c>
      <c r="N277" s="290">
        <v>912</v>
      </c>
      <c r="O277" s="46"/>
      <c r="P277" s="46" t="s">
        <v>39</v>
      </c>
      <c r="Q277" s="170"/>
      <c r="R277" s="192" t="str">
        <f t="shared" si="11"/>
        <v>912grams</v>
      </c>
      <c r="S277" s="198">
        <f t="shared" si="12"/>
        <v>1824</v>
      </c>
      <c r="T277" s="199" t="str">
        <f t="shared" si="13"/>
        <v>1824grams</v>
      </c>
      <c r="U277" s="200">
        <f t="shared" si="14"/>
        <v>390</v>
      </c>
      <c r="V277" s="12"/>
      <c r="W277" s="12"/>
    </row>
    <row r="278" spans="1:23" x14ac:dyDescent="0.3">
      <c r="A278" s="183" t="e">
        <f ca="1"/>
        <v>#NAME?</v>
      </c>
      <c r="B278" s="46" t="s">
        <v>1005</v>
      </c>
      <c r="C278" s="170"/>
      <c r="D278" s="194"/>
      <c r="E278" s="194"/>
      <c r="F278" s="170"/>
      <c r="G278" s="170"/>
      <c r="H278" s="183"/>
      <c r="I278" s="170"/>
      <c r="J278" s="46" t="s">
        <v>1006</v>
      </c>
      <c r="K278" s="170"/>
      <c r="L278" s="288">
        <v>268.5</v>
      </c>
      <c r="M278" s="289">
        <v>2</v>
      </c>
      <c r="N278" s="290">
        <v>912</v>
      </c>
      <c r="O278" s="46"/>
      <c r="P278" s="46" t="s">
        <v>39</v>
      </c>
      <c r="Q278" s="170"/>
      <c r="R278" s="192" t="str">
        <f t="shared" si="11"/>
        <v>912grams</v>
      </c>
      <c r="S278" s="198">
        <f t="shared" si="12"/>
        <v>1824</v>
      </c>
      <c r="T278" s="199" t="str">
        <f t="shared" si="13"/>
        <v>1824grams</v>
      </c>
      <c r="U278" s="200">
        <f t="shared" si="14"/>
        <v>537</v>
      </c>
      <c r="V278" s="12"/>
      <c r="W278" s="12"/>
    </row>
    <row r="279" spans="1:23" x14ac:dyDescent="0.3">
      <c r="A279" s="183" t="e">
        <f ca="1"/>
        <v>#NAME?</v>
      </c>
      <c r="B279" s="219" t="s">
        <v>1005</v>
      </c>
      <c r="C279" s="170"/>
      <c r="D279" s="194"/>
      <c r="E279" s="170"/>
      <c r="F279" s="170"/>
      <c r="G279" s="170"/>
      <c r="H279" s="206"/>
      <c r="I279" s="170"/>
      <c r="J279" s="46" t="s">
        <v>1006</v>
      </c>
      <c r="K279" s="170"/>
      <c r="L279" s="288">
        <v>58</v>
      </c>
      <c r="M279" s="289">
        <v>5</v>
      </c>
      <c r="N279" s="290">
        <v>228</v>
      </c>
      <c r="O279" s="46"/>
      <c r="P279" s="46" t="s">
        <v>39</v>
      </c>
      <c r="Q279" s="170"/>
      <c r="R279" s="192" t="str">
        <f t="shared" si="11"/>
        <v>228grams</v>
      </c>
      <c r="S279" s="198">
        <f t="shared" si="12"/>
        <v>1140</v>
      </c>
      <c r="T279" s="199" t="str">
        <f t="shared" si="13"/>
        <v>1140grams</v>
      </c>
      <c r="U279" s="200">
        <f t="shared" si="14"/>
        <v>290</v>
      </c>
      <c r="V279" s="12"/>
      <c r="W279" s="12"/>
    </row>
    <row r="280" spans="1:23" x14ac:dyDescent="0.3">
      <c r="A280" s="183" t="e">
        <f ca="1"/>
        <v>#NAME?</v>
      </c>
      <c r="B280" s="219" t="s">
        <v>1007</v>
      </c>
      <c r="C280" s="170"/>
      <c r="D280" s="194"/>
      <c r="E280" s="194"/>
      <c r="F280" s="170"/>
      <c r="G280" s="170"/>
      <c r="H280" s="183"/>
      <c r="I280" s="170"/>
      <c r="J280" s="219" t="s">
        <v>1008</v>
      </c>
      <c r="K280" s="170"/>
      <c r="L280" s="291">
        <v>54</v>
      </c>
      <c r="M280" s="292">
        <v>4</v>
      </c>
      <c r="N280" s="293">
        <v>200</v>
      </c>
      <c r="O280" s="219"/>
      <c r="P280" s="219" t="s">
        <v>39</v>
      </c>
      <c r="Q280" s="170"/>
      <c r="R280" s="192" t="str">
        <f t="shared" si="11"/>
        <v>200grams</v>
      </c>
      <c r="S280" s="198">
        <f t="shared" si="12"/>
        <v>800</v>
      </c>
      <c r="T280" s="199" t="str">
        <f t="shared" si="13"/>
        <v>800grams</v>
      </c>
      <c r="U280" s="200">
        <f t="shared" si="14"/>
        <v>216</v>
      </c>
      <c r="V280" s="12"/>
      <c r="W280" s="12"/>
    </row>
    <row r="281" spans="1:23" x14ac:dyDescent="0.3">
      <c r="A281" s="183" t="e">
        <f ca="1"/>
        <v>#NAME?</v>
      </c>
      <c r="B281" s="46" t="s">
        <v>1007</v>
      </c>
      <c r="C281" s="170"/>
      <c r="D281" s="194"/>
      <c r="E281" s="194"/>
      <c r="F281" s="170"/>
      <c r="G281" s="170"/>
      <c r="H281" s="183"/>
      <c r="I281" s="170"/>
      <c r="J281" s="46" t="s">
        <v>1009</v>
      </c>
      <c r="K281" s="170"/>
      <c r="L281" s="288">
        <v>52</v>
      </c>
      <c r="M281" s="289">
        <v>4</v>
      </c>
      <c r="N281" s="290">
        <v>200</v>
      </c>
      <c r="O281" s="46"/>
      <c r="P281" s="46" t="s">
        <v>39</v>
      </c>
      <c r="Q281" s="170"/>
      <c r="R281" s="192" t="str">
        <f t="shared" si="11"/>
        <v>200grams</v>
      </c>
      <c r="S281" s="198">
        <f t="shared" si="12"/>
        <v>800</v>
      </c>
      <c r="T281" s="199" t="str">
        <f t="shared" si="13"/>
        <v>800grams</v>
      </c>
      <c r="U281" s="200">
        <f t="shared" si="14"/>
        <v>208</v>
      </c>
      <c r="V281" s="12"/>
      <c r="W281" s="12"/>
    </row>
    <row r="282" spans="1:23" x14ac:dyDescent="0.3">
      <c r="A282" s="183" t="e">
        <f ca="1"/>
        <v>#NAME?</v>
      </c>
      <c r="B282" s="46" t="s">
        <v>1010</v>
      </c>
      <c r="C282" s="170"/>
      <c r="D282" s="194"/>
      <c r="E282" s="194"/>
      <c r="F282" s="194"/>
      <c r="G282" s="170"/>
      <c r="H282" s="183"/>
      <c r="I282" s="170"/>
      <c r="J282" s="46" t="s">
        <v>1011</v>
      </c>
      <c r="K282" s="170"/>
      <c r="L282" s="288">
        <v>62.5</v>
      </c>
      <c r="M282" s="289">
        <v>1</v>
      </c>
      <c r="N282" s="290">
        <v>400</v>
      </c>
      <c r="O282" s="46"/>
      <c r="P282" s="46" t="s">
        <v>39</v>
      </c>
      <c r="Q282" s="170"/>
      <c r="R282" s="192" t="str">
        <f t="shared" si="11"/>
        <v>400grams</v>
      </c>
      <c r="S282" s="198">
        <f t="shared" si="12"/>
        <v>400</v>
      </c>
      <c r="T282" s="199" t="str">
        <f t="shared" si="13"/>
        <v>400grams</v>
      </c>
      <c r="U282" s="200">
        <f t="shared" si="14"/>
        <v>62.5</v>
      </c>
      <c r="V282" s="205">
        <f>U282/M282</f>
        <v>62.5</v>
      </c>
      <c r="W282" s="62"/>
    </row>
    <row r="283" spans="1:23" x14ac:dyDescent="0.3">
      <c r="A283" s="183" t="e">
        <f ca="1"/>
        <v>#NAME?</v>
      </c>
      <c r="B283" s="46" t="s">
        <v>168</v>
      </c>
      <c r="C283" s="170"/>
      <c r="D283" s="194"/>
      <c r="E283" s="170"/>
      <c r="F283" s="170"/>
      <c r="G283" s="170"/>
      <c r="H283" s="206"/>
      <c r="I283" s="170"/>
      <c r="J283" s="46" t="s">
        <v>865</v>
      </c>
      <c r="K283" s="170"/>
      <c r="L283" s="288">
        <v>56.9</v>
      </c>
      <c r="M283" s="289">
        <v>6</v>
      </c>
      <c r="N283" s="290">
        <v>156</v>
      </c>
      <c r="O283" s="46"/>
      <c r="P283" s="46" t="s">
        <v>519</v>
      </c>
      <c r="Q283" s="170"/>
      <c r="R283" s="192" t="str">
        <f t="shared" si="11"/>
        <v>156drained weight grams</v>
      </c>
      <c r="S283" s="198">
        <f t="shared" si="12"/>
        <v>936</v>
      </c>
      <c r="T283" s="199" t="str">
        <f t="shared" si="13"/>
        <v>936drained weight grams</v>
      </c>
      <c r="U283" s="200">
        <f t="shared" si="14"/>
        <v>341.4</v>
      </c>
      <c r="V283" s="12"/>
      <c r="W283" s="12"/>
    </row>
    <row r="284" spans="1:23" x14ac:dyDescent="0.3">
      <c r="A284" s="183" t="e">
        <f ca="1"/>
        <v>#NAME?</v>
      </c>
      <c r="B284" s="46" t="s">
        <v>168</v>
      </c>
      <c r="C284" s="170"/>
      <c r="D284" s="194"/>
      <c r="E284" s="194"/>
      <c r="F284" s="170"/>
      <c r="G284" s="170"/>
      <c r="H284" s="183"/>
      <c r="I284" s="170"/>
      <c r="J284" s="46" t="s">
        <v>982</v>
      </c>
      <c r="K284" s="170"/>
      <c r="L284" s="288">
        <v>50</v>
      </c>
      <c r="M284" s="289">
        <v>8</v>
      </c>
      <c r="N284" s="290">
        <v>180</v>
      </c>
      <c r="O284" s="46"/>
      <c r="P284" s="46" t="s">
        <v>519</v>
      </c>
      <c r="Q284" s="170"/>
      <c r="R284" s="192" t="str">
        <f t="shared" si="11"/>
        <v>180drained weight grams</v>
      </c>
      <c r="S284" s="198">
        <f t="shared" si="12"/>
        <v>1440</v>
      </c>
      <c r="T284" s="199" t="str">
        <f t="shared" si="13"/>
        <v>1440drained weight grams</v>
      </c>
      <c r="U284" s="200">
        <f t="shared" si="14"/>
        <v>400</v>
      </c>
      <c r="V284" s="205">
        <f>U284/M284</f>
        <v>50</v>
      </c>
      <c r="W284" s="62"/>
    </row>
    <row r="285" spans="1:23" x14ac:dyDescent="0.3">
      <c r="A285" s="183" t="e">
        <f ca="1"/>
        <v>#NAME?</v>
      </c>
      <c r="B285" s="46" t="s">
        <v>168</v>
      </c>
      <c r="C285" s="170"/>
      <c r="D285" s="194"/>
      <c r="E285" s="170"/>
      <c r="F285" s="170"/>
      <c r="G285" s="170"/>
      <c r="H285" s="206"/>
      <c r="I285" s="170"/>
      <c r="J285" s="46" t="s">
        <v>982</v>
      </c>
      <c r="K285" s="170"/>
      <c r="L285" s="288">
        <v>50</v>
      </c>
      <c r="M285" s="289">
        <v>22</v>
      </c>
      <c r="N285" s="290">
        <v>180</v>
      </c>
      <c r="O285" s="46"/>
      <c r="P285" s="46" t="s">
        <v>39</v>
      </c>
      <c r="Q285" s="170"/>
      <c r="R285" s="192" t="str">
        <f t="shared" si="11"/>
        <v>180grams</v>
      </c>
      <c r="S285" s="198">
        <f t="shared" si="12"/>
        <v>3960</v>
      </c>
      <c r="T285" s="199" t="str">
        <f t="shared" si="13"/>
        <v>3960grams</v>
      </c>
      <c r="U285" s="200">
        <f t="shared" si="14"/>
        <v>1100</v>
      </c>
      <c r="V285" s="12"/>
      <c r="W285" s="12"/>
    </row>
    <row r="286" spans="1:23" x14ac:dyDescent="0.3">
      <c r="A286" s="183" t="e">
        <f ca="1"/>
        <v>#NAME?</v>
      </c>
      <c r="B286" s="219" t="s">
        <v>168</v>
      </c>
      <c r="C286" s="215"/>
      <c r="D286" s="194"/>
      <c r="E286" s="214"/>
      <c r="F286" s="215"/>
      <c r="G286" s="215"/>
      <c r="H286" s="183"/>
      <c r="I286" s="170"/>
      <c r="J286" s="219" t="s">
        <v>982</v>
      </c>
      <c r="K286" s="170"/>
      <c r="L286" s="291">
        <v>50</v>
      </c>
      <c r="M286" s="292">
        <v>7</v>
      </c>
      <c r="N286" s="293">
        <v>180</v>
      </c>
      <c r="O286" s="219"/>
      <c r="P286" s="219" t="s">
        <v>39</v>
      </c>
      <c r="Q286" s="170"/>
      <c r="R286" s="192" t="str">
        <f t="shared" si="11"/>
        <v>180grams</v>
      </c>
      <c r="S286" s="198">
        <f t="shared" si="12"/>
        <v>1260</v>
      </c>
      <c r="T286" s="199" t="str">
        <f t="shared" si="13"/>
        <v>1260grams</v>
      </c>
      <c r="U286" s="200">
        <f t="shared" si="14"/>
        <v>350</v>
      </c>
      <c r="V286" s="12"/>
      <c r="W286" s="12"/>
    </row>
    <row r="287" spans="1:23" x14ac:dyDescent="0.3">
      <c r="A287" s="183" t="e">
        <f ca="1"/>
        <v>#NAME?</v>
      </c>
      <c r="B287" s="46" t="s">
        <v>450</v>
      </c>
      <c r="C287" s="170"/>
      <c r="D287" s="194"/>
      <c r="E287" s="170"/>
      <c r="F287" s="170"/>
      <c r="G287" s="170"/>
      <c r="H287" s="206"/>
      <c r="I287" s="170"/>
      <c r="J287" s="170"/>
      <c r="K287" s="170"/>
      <c r="L287" s="288">
        <v>75</v>
      </c>
      <c r="M287" s="289">
        <v>4</v>
      </c>
      <c r="N287" s="290">
        <v>1</v>
      </c>
      <c r="O287" s="290"/>
      <c r="P287" s="290" t="s">
        <v>213</v>
      </c>
      <c r="Q287" s="170"/>
      <c r="R287" s="192" t="str">
        <f t="shared" si="11"/>
        <v>1kilos</v>
      </c>
      <c r="S287" s="198">
        <f t="shared" si="12"/>
        <v>4</v>
      </c>
      <c r="T287" s="199" t="str">
        <f t="shared" si="13"/>
        <v>4kilos</v>
      </c>
      <c r="U287" s="200">
        <f t="shared" si="14"/>
        <v>300</v>
      </c>
      <c r="V287" s="12"/>
      <c r="W287" s="12"/>
    </row>
    <row r="288" spans="1:23" x14ac:dyDescent="0.3">
      <c r="A288" s="183" t="e">
        <f ca="1"/>
        <v>#NAME?</v>
      </c>
      <c r="B288" s="46" t="s">
        <v>450</v>
      </c>
      <c r="C288" s="170"/>
      <c r="D288" s="194"/>
      <c r="E288" s="170"/>
      <c r="F288" s="170"/>
      <c r="G288" s="170"/>
      <c r="H288" s="206"/>
      <c r="I288" s="170"/>
      <c r="J288" s="170"/>
      <c r="K288" s="170"/>
      <c r="L288" s="288">
        <v>80</v>
      </c>
      <c r="M288" s="289">
        <v>5</v>
      </c>
      <c r="N288" s="290">
        <v>1</v>
      </c>
      <c r="O288" s="290"/>
      <c r="P288" s="290" t="s">
        <v>213</v>
      </c>
      <c r="Q288" s="170"/>
      <c r="R288" s="192" t="str">
        <f t="shared" si="11"/>
        <v>1kilos</v>
      </c>
      <c r="S288" s="198">
        <f t="shared" si="12"/>
        <v>5</v>
      </c>
      <c r="T288" s="199" t="str">
        <f t="shared" si="13"/>
        <v>5kilos</v>
      </c>
      <c r="U288" s="200">
        <f t="shared" si="14"/>
        <v>400</v>
      </c>
      <c r="V288" s="12"/>
      <c r="W288" s="12"/>
    </row>
    <row r="289" spans="1:23" x14ac:dyDescent="0.3">
      <c r="A289" s="183" t="e">
        <f ca="1"/>
        <v>#NAME?</v>
      </c>
      <c r="B289" s="46" t="s">
        <v>450</v>
      </c>
      <c r="C289" s="170"/>
      <c r="D289" s="194"/>
      <c r="E289" s="194"/>
      <c r="F289" s="194"/>
      <c r="G289" s="170"/>
      <c r="H289" s="183"/>
      <c r="I289" s="170"/>
      <c r="J289" s="170"/>
      <c r="K289" s="170"/>
      <c r="L289" s="288">
        <v>75</v>
      </c>
      <c r="M289" s="289">
        <v>1</v>
      </c>
      <c r="N289" s="290">
        <v>1</v>
      </c>
      <c r="O289" s="290"/>
      <c r="P289" s="290" t="s">
        <v>213</v>
      </c>
      <c r="Q289" s="170"/>
      <c r="R289" s="192" t="str">
        <f t="shared" si="11"/>
        <v>1kilos</v>
      </c>
      <c r="S289" s="198">
        <f t="shared" si="12"/>
        <v>1</v>
      </c>
      <c r="T289" s="199" t="str">
        <f t="shared" si="13"/>
        <v>1kilos</v>
      </c>
      <c r="U289" s="200">
        <f t="shared" si="14"/>
        <v>75</v>
      </c>
      <c r="V289" s="205">
        <f t="shared" ref="V289:V290" si="16">U289/M289</f>
        <v>75</v>
      </c>
      <c r="W289" s="62"/>
    </row>
    <row r="290" spans="1:23" x14ac:dyDescent="0.3">
      <c r="A290" s="183" t="e">
        <f ca="1"/>
        <v>#NAME?</v>
      </c>
      <c r="B290" s="46" t="s">
        <v>450</v>
      </c>
      <c r="C290" s="170"/>
      <c r="D290" s="194"/>
      <c r="E290" s="194"/>
      <c r="F290" s="194"/>
      <c r="G290" s="170"/>
      <c r="H290" s="183"/>
      <c r="I290" s="170"/>
      <c r="J290" s="170"/>
      <c r="K290" s="170"/>
      <c r="L290" s="288">
        <v>62</v>
      </c>
      <c r="M290" s="289">
        <v>2</v>
      </c>
      <c r="N290" s="290">
        <v>1</v>
      </c>
      <c r="O290" s="290"/>
      <c r="P290" s="290" t="s">
        <v>213</v>
      </c>
      <c r="Q290" s="61" t="s">
        <v>33</v>
      </c>
      <c r="R290" s="192" t="str">
        <f t="shared" si="11"/>
        <v>1kilos</v>
      </c>
      <c r="S290" s="198">
        <f t="shared" si="12"/>
        <v>2</v>
      </c>
      <c r="T290" s="199" t="str">
        <f t="shared" si="13"/>
        <v>2 kilos</v>
      </c>
      <c r="U290" s="200">
        <f t="shared" si="14"/>
        <v>124</v>
      </c>
      <c r="V290" s="205">
        <f t="shared" si="16"/>
        <v>62</v>
      </c>
      <c r="W290" s="62"/>
    </row>
    <row r="291" spans="1:23" x14ac:dyDescent="0.3">
      <c r="A291" s="183" t="e">
        <f ca="1"/>
        <v>#NAME?</v>
      </c>
      <c r="B291" s="46" t="s">
        <v>1012</v>
      </c>
      <c r="C291" s="170"/>
      <c r="D291" s="194"/>
      <c r="E291" s="194"/>
      <c r="F291" s="194"/>
      <c r="G291" s="170"/>
      <c r="H291" s="183"/>
      <c r="I291" s="170"/>
      <c r="J291" s="46" t="s">
        <v>1013</v>
      </c>
      <c r="K291" s="170"/>
      <c r="L291" s="288">
        <v>152.25</v>
      </c>
      <c r="M291" s="289">
        <v>1</v>
      </c>
      <c r="N291" s="290">
        <v>236</v>
      </c>
      <c r="O291" s="297"/>
      <c r="P291" s="297" t="s">
        <v>32</v>
      </c>
      <c r="Q291" s="170"/>
      <c r="R291" s="192" t="str">
        <f t="shared" si="11"/>
        <v>236ml</v>
      </c>
      <c r="S291" s="198">
        <f t="shared" si="12"/>
        <v>236</v>
      </c>
      <c r="T291" s="199" t="str">
        <f t="shared" si="13"/>
        <v>236ml</v>
      </c>
      <c r="U291" s="200">
        <f t="shared" si="14"/>
        <v>152.25</v>
      </c>
      <c r="V291" s="12"/>
      <c r="W291" s="12"/>
    </row>
    <row r="292" spans="1:23" x14ac:dyDescent="0.3">
      <c r="A292" s="183" t="e">
        <f ca="1"/>
        <v>#NAME?</v>
      </c>
      <c r="B292" s="219" t="s">
        <v>1014</v>
      </c>
      <c r="C292" s="170"/>
      <c r="D292" s="194"/>
      <c r="E292" s="194"/>
      <c r="F292" s="194"/>
      <c r="G292" s="170"/>
      <c r="H292" s="206"/>
      <c r="I292" s="170"/>
      <c r="J292" s="46" t="s">
        <v>854</v>
      </c>
      <c r="K292" s="170"/>
      <c r="L292" s="291">
        <v>37.25</v>
      </c>
      <c r="M292" s="292">
        <v>1</v>
      </c>
      <c r="N292" s="293">
        <v>45</v>
      </c>
      <c r="O292" s="219"/>
      <c r="P292" s="219" t="s">
        <v>39</v>
      </c>
      <c r="Q292" s="170"/>
      <c r="R292" s="192" t="str">
        <f t="shared" si="11"/>
        <v>45grams</v>
      </c>
      <c r="S292" s="198">
        <f t="shared" si="12"/>
        <v>45</v>
      </c>
      <c r="T292" s="199" t="str">
        <f t="shared" si="13"/>
        <v>45grams</v>
      </c>
      <c r="U292" s="200">
        <f t="shared" si="14"/>
        <v>37.25</v>
      </c>
      <c r="V292" s="12"/>
      <c r="W292" s="12"/>
    </row>
    <row r="293" spans="1:23" x14ac:dyDescent="0.3">
      <c r="A293" s="183" t="e">
        <f ca="1"/>
        <v>#NAME?</v>
      </c>
      <c r="B293" s="219" t="s">
        <v>1014</v>
      </c>
      <c r="C293" s="170"/>
      <c r="D293" s="194"/>
      <c r="E293" s="194"/>
      <c r="F293" s="194"/>
      <c r="G293" s="170"/>
      <c r="H293" s="183"/>
      <c r="I293" s="170"/>
      <c r="J293" s="46" t="s">
        <v>854</v>
      </c>
      <c r="K293" s="170"/>
      <c r="L293" s="288">
        <v>65</v>
      </c>
      <c r="M293" s="289">
        <v>1</v>
      </c>
      <c r="N293" s="290">
        <v>40</v>
      </c>
      <c r="O293" s="46"/>
      <c r="P293" s="46" t="s">
        <v>39</v>
      </c>
      <c r="Q293" s="170"/>
      <c r="R293" s="192" t="str">
        <f t="shared" si="11"/>
        <v>40grams</v>
      </c>
      <c r="S293" s="198">
        <f t="shared" si="12"/>
        <v>40</v>
      </c>
      <c r="T293" s="199" t="str">
        <f t="shared" si="13"/>
        <v>40grams</v>
      </c>
      <c r="U293" s="200">
        <f t="shared" si="14"/>
        <v>65</v>
      </c>
      <c r="V293" s="12"/>
      <c r="W293" s="12"/>
    </row>
    <row r="294" spans="1:23" x14ac:dyDescent="0.3">
      <c r="A294" s="183" t="e">
        <f ca="1"/>
        <v>#NAME?</v>
      </c>
      <c r="B294" s="46" t="s">
        <v>1015</v>
      </c>
      <c r="C294" s="170"/>
      <c r="D294" s="194"/>
      <c r="E294" s="194"/>
      <c r="F294" s="194"/>
      <c r="G294" s="170"/>
      <c r="H294" s="183"/>
      <c r="I294" s="170"/>
      <c r="J294" s="46" t="s">
        <v>1016</v>
      </c>
      <c r="K294" s="170"/>
      <c r="L294" s="288">
        <v>7.43</v>
      </c>
      <c r="M294" s="289">
        <v>30</v>
      </c>
      <c r="N294" s="290">
        <v>38</v>
      </c>
      <c r="O294" s="46"/>
      <c r="P294" s="46" t="s">
        <v>39</v>
      </c>
      <c r="Q294" s="170"/>
      <c r="R294" s="192" t="str">
        <f t="shared" si="11"/>
        <v>38grams</v>
      </c>
      <c r="S294" s="198">
        <f t="shared" si="12"/>
        <v>1140</v>
      </c>
      <c r="T294" s="199" t="str">
        <f t="shared" si="13"/>
        <v>1140grams</v>
      </c>
      <c r="U294" s="200">
        <f t="shared" si="14"/>
        <v>222.89999999999998</v>
      </c>
      <c r="V294" s="12"/>
      <c r="W294" s="12"/>
    </row>
    <row r="295" spans="1:23" x14ac:dyDescent="0.3">
      <c r="A295" s="183" t="e">
        <f ca="1"/>
        <v>#NAME?</v>
      </c>
      <c r="B295" s="46" t="s">
        <v>1015</v>
      </c>
      <c r="C295" s="170"/>
      <c r="D295" s="194"/>
      <c r="E295" s="194"/>
      <c r="F295" s="194"/>
      <c r="G295" s="170"/>
      <c r="H295" s="206"/>
      <c r="I295" s="170"/>
      <c r="J295" s="46" t="s">
        <v>1017</v>
      </c>
      <c r="K295" s="170"/>
      <c r="L295" s="288">
        <v>7</v>
      </c>
      <c r="M295" s="289">
        <v>50</v>
      </c>
      <c r="N295" s="290">
        <v>33</v>
      </c>
      <c r="O295" s="46"/>
      <c r="P295" s="46" t="s">
        <v>39</v>
      </c>
      <c r="Q295" s="170"/>
      <c r="R295" s="192" t="str">
        <f t="shared" si="11"/>
        <v>33grams</v>
      </c>
      <c r="S295" s="198">
        <f t="shared" si="12"/>
        <v>1650</v>
      </c>
      <c r="T295" s="199" t="str">
        <f t="shared" si="13"/>
        <v>1650grams</v>
      </c>
      <c r="U295" s="200">
        <f t="shared" si="14"/>
        <v>350</v>
      </c>
      <c r="V295" s="12"/>
      <c r="W295" s="12"/>
    </row>
    <row r="296" spans="1:23" x14ac:dyDescent="0.3">
      <c r="A296" s="183" t="e">
        <f ca="1"/>
        <v>#NAME?</v>
      </c>
      <c r="B296" s="219" t="s">
        <v>1015</v>
      </c>
      <c r="C296" s="170"/>
      <c r="D296" s="194"/>
      <c r="E296" s="194"/>
      <c r="F296" s="194"/>
      <c r="G296" s="170"/>
      <c r="H296" s="183"/>
      <c r="I296" s="170"/>
      <c r="J296" s="46" t="s">
        <v>1018</v>
      </c>
      <c r="K296" s="170"/>
      <c r="L296" s="288">
        <v>8.42</v>
      </c>
      <c r="M296" s="289">
        <v>30</v>
      </c>
      <c r="N296" s="290">
        <v>37</v>
      </c>
      <c r="O296" s="46"/>
      <c r="P296" s="46" t="s">
        <v>39</v>
      </c>
      <c r="Q296" s="170"/>
      <c r="R296" s="192" t="str">
        <f t="shared" si="11"/>
        <v>37grams</v>
      </c>
      <c r="S296" s="198">
        <f t="shared" si="12"/>
        <v>1110</v>
      </c>
      <c r="T296" s="199" t="str">
        <f t="shared" si="13"/>
        <v>1110grams</v>
      </c>
      <c r="U296" s="200">
        <f t="shared" si="14"/>
        <v>252.6</v>
      </c>
      <c r="V296" s="12"/>
      <c r="W296" s="12"/>
    </row>
    <row r="297" spans="1:23" x14ac:dyDescent="0.3">
      <c r="A297" s="183" t="e">
        <f ca="1"/>
        <v>#NAME?</v>
      </c>
      <c r="B297" s="46" t="s">
        <v>1015</v>
      </c>
      <c r="C297" s="170"/>
      <c r="D297" s="194"/>
      <c r="E297" s="194"/>
      <c r="F297" s="194"/>
      <c r="G297" s="170"/>
      <c r="H297" s="206"/>
      <c r="I297" s="170"/>
      <c r="J297" s="46" t="s">
        <v>1019</v>
      </c>
      <c r="K297" s="170"/>
      <c r="L297" s="288">
        <v>7</v>
      </c>
      <c r="M297" s="289">
        <v>83</v>
      </c>
      <c r="N297" s="290">
        <v>42</v>
      </c>
      <c r="O297" s="46"/>
      <c r="P297" s="46" t="s">
        <v>39</v>
      </c>
      <c r="Q297" s="170"/>
      <c r="R297" s="192" t="str">
        <f t="shared" si="11"/>
        <v>42grams</v>
      </c>
      <c r="S297" s="198">
        <f t="shared" si="12"/>
        <v>3486</v>
      </c>
      <c r="T297" s="199" t="str">
        <f t="shared" si="13"/>
        <v>3486grams</v>
      </c>
      <c r="U297" s="200">
        <f t="shared" si="14"/>
        <v>581</v>
      </c>
      <c r="V297" s="12"/>
      <c r="W297" s="12"/>
    </row>
    <row r="298" spans="1:23" x14ac:dyDescent="0.3">
      <c r="A298" s="183" t="e">
        <f ca="1"/>
        <v>#NAME?</v>
      </c>
      <c r="B298" s="46" t="s">
        <v>1015</v>
      </c>
      <c r="C298" s="170"/>
      <c r="D298" s="194"/>
      <c r="E298" s="194"/>
      <c r="F298" s="194"/>
      <c r="G298" s="170"/>
      <c r="H298" s="206"/>
      <c r="I298" s="170"/>
      <c r="J298" s="46" t="s">
        <v>1020</v>
      </c>
      <c r="K298" s="170"/>
      <c r="L298" s="288">
        <v>7.43</v>
      </c>
      <c r="M298" s="289">
        <v>20</v>
      </c>
      <c r="N298" s="290">
        <v>38</v>
      </c>
      <c r="O298" s="46"/>
      <c r="P298" s="46" t="s">
        <v>39</v>
      </c>
      <c r="Q298" s="170"/>
      <c r="R298" s="192" t="str">
        <f t="shared" si="11"/>
        <v>38grams</v>
      </c>
      <c r="S298" s="198">
        <f t="shared" si="12"/>
        <v>760</v>
      </c>
      <c r="T298" s="199" t="str">
        <f t="shared" si="13"/>
        <v>760grams</v>
      </c>
      <c r="U298" s="200">
        <f t="shared" si="14"/>
        <v>148.6</v>
      </c>
      <c r="V298" s="12"/>
      <c r="W298" s="12"/>
    </row>
    <row r="299" spans="1:23" x14ac:dyDescent="0.3">
      <c r="A299" s="183" t="e">
        <f ca="1"/>
        <v>#NAME?</v>
      </c>
      <c r="B299" s="46" t="s">
        <v>50</v>
      </c>
      <c r="C299" s="170"/>
      <c r="D299" s="194"/>
      <c r="E299" s="194"/>
      <c r="F299" s="170"/>
      <c r="G299" s="170"/>
      <c r="H299" s="183"/>
      <c r="I299" s="170"/>
      <c r="J299" s="46" t="s">
        <v>991</v>
      </c>
      <c r="K299" s="170"/>
      <c r="L299" s="288">
        <v>50</v>
      </c>
      <c r="M299" s="289">
        <v>5</v>
      </c>
      <c r="N299" s="290">
        <v>1000</v>
      </c>
      <c r="O299" s="46"/>
      <c r="P299" s="46" t="s">
        <v>213</v>
      </c>
      <c r="Q299" s="170"/>
      <c r="R299" s="192" t="str">
        <f t="shared" si="11"/>
        <v>1000kilos</v>
      </c>
      <c r="S299" s="198">
        <f t="shared" si="12"/>
        <v>5000</v>
      </c>
      <c r="T299" s="199" t="str">
        <f t="shared" si="13"/>
        <v>5000kilos</v>
      </c>
      <c r="U299" s="200">
        <f t="shared" si="14"/>
        <v>250</v>
      </c>
      <c r="V299" s="12"/>
      <c r="W299" s="12"/>
    </row>
    <row r="300" spans="1:23" x14ac:dyDescent="0.3">
      <c r="A300" s="183" t="e">
        <f ca="1"/>
        <v>#NAME?</v>
      </c>
      <c r="B300" s="46" t="s">
        <v>1021</v>
      </c>
      <c r="C300" s="170"/>
      <c r="D300" s="194"/>
      <c r="E300" s="170"/>
      <c r="F300" s="170"/>
      <c r="G300" s="170"/>
      <c r="H300" s="183"/>
      <c r="I300" s="170"/>
      <c r="J300" s="170"/>
      <c r="K300" s="170"/>
      <c r="L300" s="288">
        <v>90</v>
      </c>
      <c r="M300" s="289">
        <v>1</v>
      </c>
      <c r="N300" s="290">
        <v>1</v>
      </c>
      <c r="O300" s="46"/>
      <c r="P300" s="46" t="s">
        <v>213</v>
      </c>
      <c r="Q300" s="170"/>
      <c r="R300" s="192" t="str">
        <f t="shared" si="11"/>
        <v>1kilos</v>
      </c>
      <c r="S300" s="198">
        <f t="shared" si="12"/>
        <v>1</v>
      </c>
      <c r="T300" s="199" t="str">
        <f t="shared" si="13"/>
        <v>1kilos</v>
      </c>
      <c r="U300" s="200">
        <f t="shared" si="14"/>
        <v>90</v>
      </c>
      <c r="V300" s="12"/>
      <c r="W300" s="12"/>
    </row>
    <row r="301" spans="1:23" x14ac:dyDescent="0.3">
      <c r="A301" s="183" t="e">
        <f ca="1"/>
        <v>#NAME?</v>
      </c>
      <c r="B301" s="46" t="s">
        <v>1021</v>
      </c>
      <c r="C301" s="170"/>
      <c r="D301" s="194"/>
      <c r="E301" s="170"/>
      <c r="F301" s="170"/>
      <c r="G301" s="170"/>
      <c r="H301" s="206"/>
      <c r="I301" s="170"/>
      <c r="J301" s="46" t="s">
        <v>216</v>
      </c>
      <c r="K301" s="170"/>
      <c r="L301" s="288">
        <v>180</v>
      </c>
      <c r="M301" s="289">
        <v>3</v>
      </c>
      <c r="N301" s="290">
        <v>1000</v>
      </c>
      <c r="O301" s="46"/>
      <c r="P301" s="46" t="s">
        <v>39</v>
      </c>
      <c r="Q301" s="170"/>
      <c r="R301" s="192" t="str">
        <f t="shared" si="11"/>
        <v>1000grams</v>
      </c>
      <c r="S301" s="198">
        <f t="shared" si="12"/>
        <v>3000</v>
      </c>
      <c r="T301" s="199" t="str">
        <f t="shared" si="13"/>
        <v>3000grams</v>
      </c>
      <c r="U301" s="200">
        <f t="shared" si="14"/>
        <v>540</v>
      </c>
      <c r="V301" s="12"/>
      <c r="W301" s="12"/>
    </row>
    <row r="302" spans="1:23" x14ac:dyDescent="0.3">
      <c r="A302" s="183" t="e">
        <f ca="1"/>
        <v>#NAME?</v>
      </c>
      <c r="B302" s="46" t="s">
        <v>1021</v>
      </c>
      <c r="C302" s="170"/>
      <c r="D302" s="194"/>
      <c r="E302" s="194"/>
      <c r="F302" s="170"/>
      <c r="G302" s="170"/>
      <c r="H302" s="183"/>
      <c r="I302" s="170"/>
      <c r="J302" s="170"/>
      <c r="K302" s="170"/>
      <c r="L302" s="288">
        <v>45</v>
      </c>
      <c r="M302" s="289">
        <v>4</v>
      </c>
      <c r="N302" s="290">
        <v>1000</v>
      </c>
      <c r="O302" s="46"/>
      <c r="P302" s="46" t="s">
        <v>39</v>
      </c>
      <c r="Q302" s="170"/>
      <c r="R302" s="192" t="str">
        <f t="shared" si="11"/>
        <v>1000grams</v>
      </c>
      <c r="S302" s="198">
        <f t="shared" si="12"/>
        <v>4000</v>
      </c>
      <c r="T302" s="199" t="str">
        <f t="shared" si="13"/>
        <v>4000grams</v>
      </c>
      <c r="U302" s="200">
        <f t="shared" si="14"/>
        <v>180</v>
      </c>
      <c r="V302" s="12"/>
      <c r="W302" s="12"/>
    </row>
    <row r="303" spans="1:23" x14ac:dyDescent="0.3">
      <c r="A303" s="183" t="e">
        <f ca="1"/>
        <v>#NAME?</v>
      </c>
      <c r="B303" s="219" t="s">
        <v>1022</v>
      </c>
      <c r="C303" s="170"/>
      <c r="D303" s="194"/>
      <c r="E303" s="194"/>
      <c r="F303" s="170"/>
      <c r="G303" s="170"/>
      <c r="H303" s="183"/>
      <c r="I303" s="170"/>
      <c r="J303" s="219" t="s">
        <v>1023</v>
      </c>
      <c r="K303" s="170"/>
      <c r="L303" s="291">
        <v>0.71</v>
      </c>
      <c r="M303" s="292">
        <v>343</v>
      </c>
      <c r="N303" s="293">
        <v>1</v>
      </c>
      <c r="O303" s="219"/>
      <c r="P303" s="219" t="s">
        <v>92</v>
      </c>
      <c r="Q303" s="170"/>
      <c r="R303" s="192" t="str">
        <f t="shared" si="11"/>
        <v>1pieces</v>
      </c>
      <c r="S303" s="198">
        <f t="shared" si="12"/>
        <v>343</v>
      </c>
      <c r="T303" s="199" t="str">
        <f t="shared" si="13"/>
        <v>343pieces</v>
      </c>
      <c r="U303" s="200">
        <f t="shared" si="14"/>
        <v>243.53</v>
      </c>
      <c r="V303" s="12"/>
      <c r="W303" s="12"/>
    </row>
    <row r="304" spans="1:23" x14ac:dyDescent="0.3">
      <c r="A304" s="183" t="e">
        <f ca="1"/>
        <v>#NAME?</v>
      </c>
      <c r="B304" s="219" t="s">
        <v>1024</v>
      </c>
      <c r="C304" s="170"/>
      <c r="D304" s="194"/>
      <c r="E304" s="194"/>
      <c r="F304" s="170"/>
      <c r="G304" s="170"/>
      <c r="H304" s="183"/>
      <c r="I304" s="170"/>
      <c r="J304" s="219" t="s">
        <v>1025</v>
      </c>
      <c r="K304" s="170"/>
      <c r="L304" s="291">
        <v>0.78</v>
      </c>
      <c r="M304" s="292">
        <v>50</v>
      </c>
      <c r="N304" s="293">
        <v>1</v>
      </c>
      <c r="O304" s="219"/>
      <c r="P304" s="219" t="s">
        <v>92</v>
      </c>
      <c r="Q304" s="170"/>
      <c r="R304" s="192" t="str">
        <f t="shared" si="11"/>
        <v>1pieces</v>
      </c>
      <c r="S304" s="198">
        <f t="shared" si="12"/>
        <v>50</v>
      </c>
      <c r="T304" s="199" t="str">
        <f t="shared" si="13"/>
        <v>50pieces</v>
      </c>
      <c r="U304" s="200">
        <f t="shared" si="14"/>
        <v>39</v>
      </c>
      <c r="V304" s="12"/>
      <c r="W304" s="12"/>
    </row>
    <row r="305" spans="1:23" x14ac:dyDescent="0.3">
      <c r="A305" s="183" t="e">
        <f ca="1"/>
        <v>#NAME?</v>
      </c>
      <c r="B305" s="219" t="s">
        <v>1026</v>
      </c>
      <c r="C305" s="170"/>
      <c r="D305" s="194"/>
      <c r="E305" s="170"/>
      <c r="F305" s="170"/>
      <c r="G305" s="170"/>
      <c r="H305" s="206"/>
      <c r="I305" s="170"/>
      <c r="J305" s="219" t="s">
        <v>1027</v>
      </c>
      <c r="K305" s="170"/>
      <c r="L305" s="291">
        <v>0.79</v>
      </c>
      <c r="M305" s="292">
        <v>45</v>
      </c>
      <c r="N305" s="293">
        <v>1</v>
      </c>
      <c r="O305" s="219"/>
      <c r="P305" s="219" t="s">
        <v>92</v>
      </c>
      <c r="Q305" s="170"/>
      <c r="R305" s="192" t="str">
        <f t="shared" si="11"/>
        <v>1pieces</v>
      </c>
      <c r="S305" s="198">
        <f t="shared" si="12"/>
        <v>45</v>
      </c>
      <c r="T305" s="199" t="str">
        <f t="shared" si="13"/>
        <v>45pieces</v>
      </c>
      <c r="U305" s="200">
        <f t="shared" si="14"/>
        <v>35.550000000000004</v>
      </c>
      <c r="V305" s="12"/>
      <c r="W305" s="12"/>
    </row>
    <row r="306" spans="1:23" x14ac:dyDescent="0.3">
      <c r="A306" s="183" t="e">
        <f ca="1"/>
        <v>#NAME?</v>
      </c>
      <c r="B306" s="219" t="s">
        <v>1028</v>
      </c>
      <c r="C306" s="170"/>
      <c r="D306" s="194"/>
      <c r="E306" s="170"/>
      <c r="F306" s="170"/>
      <c r="G306" s="170"/>
      <c r="H306" s="206"/>
      <c r="I306" s="170"/>
      <c r="J306" s="219" t="s">
        <v>1029</v>
      </c>
      <c r="K306" s="170"/>
      <c r="L306" s="291">
        <v>36</v>
      </c>
      <c r="M306" s="292">
        <v>28</v>
      </c>
      <c r="N306" s="293">
        <v>24</v>
      </c>
      <c r="O306" s="219"/>
      <c r="P306" s="219" t="s">
        <v>92</v>
      </c>
      <c r="Q306" s="170"/>
      <c r="R306" s="192" t="str">
        <f t="shared" si="11"/>
        <v>24pieces</v>
      </c>
      <c r="S306" s="198">
        <f t="shared" si="12"/>
        <v>672</v>
      </c>
      <c r="T306" s="199" t="str">
        <f t="shared" si="13"/>
        <v>672pieces</v>
      </c>
      <c r="U306" s="200">
        <f t="shared" si="14"/>
        <v>1008</v>
      </c>
      <c r="V306" s="12"/>
      <c r="W306" s="12"/>
    </row>
    <row r="307" spans="1:23" x14ac:dyDescent="0.3">
      <c r="A307" s="183" t="e">
        <f ca="1"/>
        <v>#NAME?</v>
      </c>
      <c r="B307" s="219" t="s">
        <v>1030</v>
      </c>
      <c r="C307" s="170"/>
      <c r="D307" s="194"/>
      <c r="E307" s="194"/>
      <c r="F307" s="170"/>
      <c r="G307" s="170"/>
      <c r="H307" s="183"/>
      <c r="I307" s="170"/>
      <c r="J307" s="219" t="s">
        <v>1031</v>
      </c>
      <c r="K307" s="170"/>
      <c r="L307" s="291">
        <v>0.83</v>
      </c>
      <c r="M307" s="292">
        <v>74</v>
      </c>
      <c r="N307" s="293">
        <v>1</v>
      </c>
      <c r="O307" s="219"/>
      <c r="P307" s="219" t="s">
        <v>92</v>
      </c>
      <c r="Q307" s="170"/>
      <c r="R307" s="192" t="str">
        <f t="shared" si="11"/>
        <v>1pieces</v>
      </c>
      <c r="S307" s="198">
        <f t="shared" si="12"/>
        <v>74</v>
      </c>
      <c r="T307" s="199" t="str">
        <f t="shared" si="13"/>
        <v>74pieces</v>
      </c>
      <c r="U307" s="200">
        <f t="shared" si="14"/>
        <v>61.419999999999995</v>
      </c>
      <c r="V307" s="12"/>
      <c r="W307" s="12"/>
    </row>
    <row r="308" spans="1:23" x14ac:dyDescent="0.3">
      <c r="A308" s="183" t="e">
        <f ca="1"/>
        <v>#NAME?</v>
      </c>
      <c r="B308" s="219" t="s">
        <v>1032</v>
      </c>
      <c r="C308" s="170"/>
      <c r="D308" s="194"/>
      <c r="E308" s="170"/>
      <c r="F308" s="170"/>
      <c r="G308" s="170"/>
      <c r="H308" s="206"/>
      <c r="I308" s="170"/>
      <c r="J308" s="219" t="s">
        <v>1033</v>
      </c>
      <c r="K308" s="170"/>
      <c r="L308" s="291">
        <v>0.8</v>
      </c>
      <c r="M308" s="292">
        <v>62</v>
      </c>
      <c r="N308" s="293">
        <v>1</v>
      </c>
      <c r="O308" s="219"/>
      <c r="P308" s="219" t="s">
        <v>92</v>
      </c>
      <c r="Q308" s="170"/>
      <c r="R308" s="192" t="str">
        <f t="shared" si="11"/>
        <v>1pieces</v>
      </c>
      <c r="S308" s="198">
        <f t="shared" si="12"/>
        <v>62</v>
      </c>
      <c r="T308" s="199" t="str">
        <f t="shared" si="13"/>
        <v>62pieces</v>
      </c>
      <c r="U308" s="200">
        <f t="shared" si="14"/>
        <v>49.6</v>
      </c>
      <c r="V308" s="12"/>
      <c r="W308" s="12"/>
    </row>
    <row r="309" spans="1:23" x14ac:dyDescent="0.3">
      <c r="A309" s="183" t="e">
        <f ca="1"/>
        <v>#NAME?</v>
      </c>
      <c r="B309" s="219" t="s">
        <v>1034</v>
      </c>
      <c r="C309" s="170"/>
      <c r="D309" s="194"/>
      <c r="E309" s="170"/>
      <c r="F309" s="170"/>
      <c r="G309" s="170"/>
      <c r="H309" s="206"/>
      <c r="I309" s="170"/>
      <c r="J309" s="219" t="s">
        <v>1035</v>
      </c>
      <c r="K309" s="170"/>
      <c r="L309" s="291">
        <v>1.19</v>
      </c>
      <c r="M309" s="292">
        <v>28</v>
      </c>
      <c r="N309" s="293">
        <v>1</v>
      </c>
      <c r="O309" s="219"/>
      <c r="P309" s="219" t="s">
        <v>92</v>
      </c>
      <c r="Q309" s="170"/>
      <c r="R309" s="192" t="str">
        <f t="shared" si="11"/>
        <v>1pieces</v>
      </c>
      <c r="S309" s="198">
        <f t="shared" si="12"/>
        <v>28</v>
      </c>
      <c r="T309" s="199" t="str">
        <f t="shared" si="13"/>
        <v>28pieces</v>
      </c>
      <c r="U309" s="200">
        <f t="shared" si="14"/>
        <v>33.32</v>
      </c>
      <c r="V309" s="12"/>
      <c r="W309" s="12"/>
    </row>
    <row r="310" spans="1:23" x14ac:dyDescent="0.3">
      <c r="A310" s="183" t="e">
        <f ca="1"/>
        <v>#NAME?</v>
      </c>
      <c r="B310" s="46" t="s">
        <v>1036</v>
      </c>
      <c r="C310" s="170"/>
      <c r="D310" s="194"/>
      <c r="E310" s="194"/>
      <c r="F310" s="170"/>
      <c r="G310" s="170"/>
      <c r="H310" s="183"/>
      <c r="I310" s="170"/>
      <c r="J310" s="46" t="s">
        <v>1037</v>
      </c>
      <c r="K310" s="170"/>
      <c r="L310" s="288">
        <v>60.3</v>
      </c>
      <c r="M310" s="289">
        <v>8</v>
      </c>
      <c r="N310" s="290">
        <v>425</v>
      </c>
      <c r="O310" s="46"/>
      <c r="P310" s="46" t="s">
        <v>39</v>
      </c>
      <c r="Q310" s="170"/>
      <c r="R310" s="192" t="str">
        <f t="shared" si="11"/>
        <v>425grams</v>
      </c>
      <c r="S310" s="198">
        <f t="shared" si="12"/>
        <v>3400</v>
      </c>
      <c r="T310" s="199" t="str">
        <f t="shared" si="13"/>
        <v>3400grams</v>
      </c>
      <c r="U310" s="200">
        <f t="shared" si="14"/>
        <v>482.4</v>
      </c>
      <c r="V310" s="12"/>
      <c r="W310" s="12"/>
    </row>
    <row r="311" spans="1:23" x14ac:dyDescent="0.3">
      <c r="A311" s="183" t="e">
        <f ca="1"/>
        <v>#NAME?</v>
      </c>
      <c r="B311" s="46" t="s">
        <v>1036</v>
      </c>
      <c r="C311" s="170"/>
      <c r="D311" s="194"/>
      <c r="E311" s="194"/>
      <c r="F311" s="170"/>
      <c r="G311" s="170"/>
      <c r="H311" s="183"/>
      <c r="I311" s="170"/>
      <c r="J311" s="306">
        <v>555</v>
      </c>
      <c r="K311" s="170"/>
      <c r="L311" s="288">
        <v>63.1</v>
      </c>
      <c r="M311" s="289">
        <v>9</v>
      </c>
      <c r="N311" s="290">
        <v>425</v>
      </c>
      <c r="O311" s="46"/>
      <c r="P311" s="46" t="s">
        <v>39</v>
      </c>
      <c r="Q311" s="170"/>
      <c r="R311" s="192" t="str">
        <f t="shared" si="11"/>
        <v>425grams</v>
      </c>
      <c r="S311" s="198">
        <f t="shared" si="12"/>
        <v>3825</v>
      </c>
      <c r="T311" s="199" t="str">
        <f t="shared" si="13"/>
        <v>3825grams</v>
      </c>
      <c r="U311" s="200">
        <f t="shared" si="14"/>
        <v>567.9</v>
      </c>
      <c r="V311" s="12"/>
      <c r="W311" s="12"/>
    </row>
    <row r="312" spans="1:23" x14ac:dyDescent="0.3">
      <c r="A312" s="183" t="e">
        <f ca="1"/>
        <v>#NAME?</v>
      </c>
      <c r="B312" s="46" t="s">
        <v>1036</v>
      </c>
      <c r="C312" s="170"/>
      <c r="D312" s="194"/>
      <c r="E312" s="170"/>
      <c r="F312" s="170"/>
      <c r="G312" s="170"/>
      <c r="H312" s="206"/>
      <c r="I312" s="170"/>
      <c r="J312" s="306">
        <v>555</v>
      </c>
      <c r="K312" s="170"/>
      <c r="L312" s="288">
        <v>24.3</v>
      </c>
      <c r="M312" s="289">
        <v>3</v>
      </c>
      <c r="N312" s="290">
        <v>155</v>
      </c>
      <c r="O312" s="46"/>
      <c r="P312" s="46" t="s">
        <v>39</v>
      </c>
      <c r="Q312" s="170"/>
      <c r="R312" s="192" t="str">
        <f t="shared" si="11"/>
        <v>155grams</v>
      </c>
      <c r="S312" s="198">
        <f t="shared" si="12"/>
        <v>465</v>
      </c>
      <c r="T312" s="199" t="str">
        <f t="shared" si="13"/>
        <v>465grams</v>
      </c>
      <c r="U312" s="200">
        <f t="shared" si="14"/>
        <v>72.900000000000006</v>
      </c>
      <c r="V312" s="12"/>
      <c r="W312" s="12"/>
    </row>
    <row r="313" spans="1:23" x14ac:dyDescent="0.3">
      <c r="A313" s="183" t="e">
        <f ca="1"/>
        <v>#NAME?</v>
      </c>
      <c r="B313" s="46" t="s">
        <v>1036</v>
      </c>
      <c r="C313" s="170"/>
      <c r="D313" s="194"/>
      <c r="E313" s="194"/>
      <c r="F313" s="170"/>
      <c r="G313" s="170"/>
      <c r="H313" s="183"/>
      <c r="I313" s="170"/>
      <c r="J313" s="46" t="s">
        <v>1038</v>
      </c>
      <c r="K313" s="170"/>
      <c r="L313" s="288">
        <v>64.400000000000006</v>
      </c>
      <c r="M313" s="289">
        <v>5</v>
      </c>
      <c r="N313" s="290">
        <v>425</v>
      </c>
      <c r="O313" s="46"/>
      <c r="P313" s="46" t="s">
        <v>39</v>
      </c>
      <c r="Q313" s="170"/>
      <c r="R313" s="192" t="str">
        <f t="shared" si="11"/>
        <v>425grams</v>
      </c>
      <c r="S313" s="198">
        <f t="shared" si="12"/>
        <v>2125</v>
      </c>
      <c r="T313" s="199" t="str">
        <f t="shared" si="13"/>
        <v>2125grams</v>
      </c>
      <c r="U313" s="200">
        <f t="shared" si="14"/>
        <v>322</v>
      </c>
      <c r="V313" s="12"/>
      <c r="W313" s="12"/>
    </row>
    <row r="314" spans="1:23" x14ac:dyDescent="0.3">
      <c r="A314" s="183" t="e">
        <f ca="1"/>
        <v>#NAME?</v>
      </c>
      <c r="B314" s="46" t="s">
        <v>1039</v>
      </c>
      <c r="C314" s="170"/>
      <c r="D314" s="194"/>
      <c r="E314" s="194"/>
      <c r="F314" s="194"/>
      <c r="G314" s="170"/>
      <c r="H314" s="183"/>
      <c r="I314" s="170"/>
      <c r="J314" s="46">
        <v>555</v>
      </c>
      <c r="K314" s="170"/>
      <c r="L314" s="288">
        <v>60.3</v>
      </c>
      <c r="M314" s="289">
        <v>12</v>
      </c>
      <c r="N314" s="290">
        <v>425</v>
      </c>
      <c r="O314" s="46"/>
      <c r="P314" s="46" t="s">
        <v>39</v>
      </c>
      <c r="Q314" s="170"/>
      <c r="R314" s="192" t="str">
        <f t="shared" si="11"/>
        <v>425grams</v>
      </c>
      <c r="S314" s="198">
        <f t="shared" si="12"/>
        <v>5100</v>
      </c>
      <c r="T314" s="199" t="str">
        <f t="shared" si="13"/>
        <v>5100grams</v>
      </c>
      <c r="U314" s="200">
        <f t="shared" si="14"/>
        <v>723.59999999999991</v>
      </c>
      <c r="V314" s="12"/>
      <c r="W314" s="12"/>
    </row>
    <row r="315" spans="1:23" x14ac:dyDescent="0.3">
      <c r="A315" s="183" t="e">
        <f ca="1"/>
        <v>#NAME?</v>
      </c>
      <c r="B315" s="46" t="s">
        <v>1039</v>
      </c>
      <c r="C315" s="215"/>
      <c r="D315" s="194"/>
      <c r="E315" s="214"/>
      <c r="F315" s="214"/>
      <c r="G315" s="215"/>
      <c r="H315" s="183"/>
      <c r="I315" s="170"/>
      <c r="J315" s="46" t="s">
        <v>1040</v>
      </c>
      <c r="K315" s="170"/>
      <c r="L315" s="288">
        <v>59.9</v>
      </c>
      <c r="M315" s="289">
        <v>10</v>
      </c>
      <c r="N315" s="290">
        <v>425</v>
      </c>
      <c r="O315" s="46"/>
      <c r="P315" s="46" t="s">
        <v>39</v>
      </c>
      <c r="Q315" s="170"/>
      <c r="R315" s="192" t="str">
        <f t="shared" si="11"/>
        <v>425grams</v>
      </c>
      <c r="S315" s="198">
        <f t="shared" si="12"/>
        <v>4250</v>
      </c>
      <c r="T315" s="199" t="str">
        <f t="shared" si="13"/>
        <v>4250grams</v>
      </c>
      <c r="U315" s="200">
        <f t="shared" si="14"/>
        <v>599</v>
      </c>
      <c r="V315" s="12"/>
      <c r="W315" s="12"/>
    </row>
    <row r="316" spans="1:23" x14ac:dyDescent="0.3">
      <c r="A316" s="183" t="e">
        <f ca="1"/>
        <v>#NAME?</v>
      </c>
      <c r="B316" s="46" t="s">
        <v>1039</v>
      </c>
      <c r="C316" s="170"/>
      <c r="D316" s="194"/>
      <c r="E316" s="194"/>
      <c r="F316" s="194"/>
      <c r="G316" s="170"/>
      <c r="H316" s="183"/>
      <c r="I316" s="170"/>
      <c r="J316" s="297" t="s">
        <v>1902</v>
      </c>
      <c r="K316" s="170"/>
      <c r="L316" s="288">
        <v>60.3</v>
      </c>
      <c r="M316" s="289">
        <v>21</v>
      </c>
      <c r="N316" s="290">
        <v>425</v>
      </c>
      <c r="O316" s="297"/>
      <c r="P316" s="297" t="s">
        <v>39</v>
      </c>
      <c r="Q316" s="170"/>
      <c r="R316" s="192" t="str">
        <f t="shared" si="11"/>
        <v>425grams</v>
      </c>
      <c r="S316" s="198">
        <f t="shared" si="12"/>
        <v>8925</v>
      </c>
      <c r="T316" s="199" t="str">
        <f t="shared" si="13"/>
        <v>8925grams</v>
      </c>
      <c r="U316" s="200">
        <f t="shared" si="14"/>
        <v>1266.3</v>
      </c>
      <c r="V316" s="205">
        <f>U316/M316</f>
        <v>60.3</v>
      </c>
      <c r="W316" s="62"/>
    </row>
    <row r="317" spans="1:23" x14ac:dyDescent="0.3">
      <c r="A317" s="183" t="e">
        <f ca="1"/>
        <v>#NAME?</v>
      </c>
      <c r="B317" s="46" t="s">
        <v>1039</v>
      </c>
      <c r="C317" s="170"/>
      <c r="D317" s="194"/>
      <c r="E317" s="194"/>
      <c r="F317" s="194"/>
      <c r="G317" s="170"/>
      <c r="H317" s="206"/>
      <c r="I317" s="170"/>
      <c r="J317" s="297" t="s">
        <v>1902</v>
      </c>
      <c r="K317" s="170"/>
      <c r="L317" s="288">
        <v>60</v>
      </c>
      <c r="M317" s="289">
        <v>19</v>
      </c>
      <c r="N317" s="290">
        <v>425</v>
      </c>
      <c r="O317" s="297"/>
      <c r="P317" s="297" t="s">
        <v>39</v>
      </c>
      <c r="Q317" s="170"/>
      <c r="R317" s="192" t="str">
        <f t="shared" si="11"/>
        <v>425grams</v>
      </c>
      <c r="S317" s="198">
        <f t="shared" si="12"/>
        <v>8075</v>
      </c>
      <c r="T317" s="199" t="str">
        <f t="shared" si="13"/>
        <v>8075grams</v>
      </c>
      <c r="U317" s="200">
        <f t="shared" si="14"/>
        <v>1140</v>
      </c>
      <c r="V317" s="12"/>
      <c r="W317" s="12"/>
    </row>
    <row r="318" spans="1:23" x14ac:dyDescent="0.3">
      <c r="A318" s="183" t="e">
        <f ca="1"/>
        <v>#NAME?</v>
      </c>
      <c r="B318" s="219" t="s">
        <v>1041</v>
      </c>
      <c r="C318" s="170"/>
      <c r="D318" s="194"/>
      <c r="E318" s="194"/>
      <c r="F318" s="194"/>
      <c r="G318" s="170"/>
      <c r="H318" s="183"/>
      <c r="I318" s="170"/>
      <c r="J318" s="219" t="s">
        <v>1042</v>
      </c>
      <c r="K318" s="170"/>
      <c r="L318" s="291">
        <v>258</v>
      </c>
      <c r="M318" s="292">
        <v>1</v>
      </c>
      <c r="N318" s="293">
        <v>595</v>
      </c>
      <c r="O318" s="219"/>
      <c r="P318" s="219" t="s">
        <v>39</v>
      </c>
      <c r="Q318" s="170"/>
      <c r="R318" s="192" t="str">
        <f t="shared" si="11"/>
        <v>595grams</v>
      </c>
      <c r="S318" s="198">
        <f t="shared" si="12"/>
        <v>595</v>
      </c>
      <c r="T318" s="199" t="str">
        <f t="shared" si="13"/>
        <v>595grams</v>
      </c>
      <c r="U318" s="200">
        <f t="shared" si="14"/>
        <v>258</v>
      </c>
      <c r="V318" s="205">
        <f t="shared" ref="V318:V319" si="17">U318/M318</f>
        <v>258</v>
      </c>
      <c r="W318" s="62"/>
    </row>
    <row r="319" spans="1:23" x14ac:dyDescent="0.3">
      <c r="A319" s="183" t="e">
        <f ca="1"/>
        <v>#NAME?</v>
      </c>
      <c r="B319" s="46" t="s">
        <v>1043</v>
      </c>
      <c r="C319" s="170"/>
      <c r="D319" s="194"/>
      <c r="E319" s="194"/>
      <c r="F319" s="194"/>
      <c r="G319" s="170"/>
      <c r="H319" s="183"/>
      <c r="I319" s="170"/>
      <c r="J319" s="46" t="s">
        <v>1044</v>
      </c>
      <c r="K319" s="170"/>
      <c r="L319" s="288">
        <v>102.5</v>
      </c>
      <c r="M319" s="289">
        <v>1</v>
      </c>
      <c r="N319" s="290">
        <v>425</v>
      </c>
      <c r="O319" s="46"/>
      <c r="P319" s="46" t="s">
        <v>39</v>
      </c>
      <c r="Q319" s="170"/>
      <c r="R319" s="192" t="str">
        <f t="shared" si="11"/>
        <v>425grams</v>
      </c>
      <c r="S319" s="198">
        <f t="shared" si="12"/>
        <v>425</v>
      </c>
      <c r="T319" s="199" t="str">
        <f t="shared" si="13"/>
        <v>425grams</v>
      </c>
      <c r="U319" s="200">
        <f t="shared" si="14"/>
        <v>102.5</v>
      </c>
      <c r="V319" s="205">
        <f t="shared" si="17"/>
        <v>102.5</v>
      </c>
      <c r="W319" s="62"/>
    </row>
    <row r="320" spans="1:23" x14ac:dyDescent="0.3">
      <c r="A320" s="183" t="e">
        <f ca="1"/>
        <v>#NAME?</v>
      </c>
      <c r="B320" s="46" t="s">
        <v>1045</v>
      </c>
      <c r="C320" s="215"/>
      <c r="D320" s="194"/>
      <c r="E320" s="214"/>
      <c r="F320" s="214"/>
      <c r="G320" s="215"/>
      <c r="H320" s="183"/>
      <c r="I320" s="170"/>
      <c r="J320" s="46">
        <v>555</v>
      </c>
      <c r="K320" s="170"/>
      <c r="L320" s="288">
        <v>28.95</v>
      </c>
      <c r="M320" s="289">
        <v>4</v>
      </c>
      <c r="N320" s="290">
        <v>155</v>
      </c>
      <c r="O320" s="46"/>
      <c r="P320" s="46" t="s">
        <v>39</v>
      </c>
      <c r="Q320" s="170"/>
      <c r="R320" s="192" t="str">
        <f t="shared" si="11"/>
        <v>155grams</v>
      </c>
      <c r="S320" s="198">
        <f t="shared" si="12"/>
        <v>620</v>
      </c>
      <c r="T320" s="199" t="str">
        <f t="shared" si="13"/>
        <v>620grams</v>
      </c>
      <c r="U320" s="200">
        <f t="shared" si="14"/>
        <v>115.8</v>
      </c>
      <c r="V320" s="12"/>
      <c r="W320" s="12"/>
    </row>
    <row r="321" spans="1:23" x14ac:dyDescent="0.3">
      <c r="A321" s="183" t="e">
        <f ca="1"/>
        <v>#NAME?</v>
      </c>
      <c r="B321" s="46" t="s">
        <v>1046</v>
      </c>
      <c r="C321" s="170"/>
      <c r="D321" s="194"/>
      <c r="E321" s="170"/>
      <c r="F321" s="170"/>
      <c r="G321" s="170"/>
      <c r="H321" s="206"/>
      <c r="I321" s="170"/>
      <c r="J321" s="46">
        <v>555</v>
      </c>
      <c r="K321" s="170"/>
      <c r="L321" s="288">
        <v>28.95</v>
      </c>
      <c r="M321" s="289">
        <v>20</v>
      </c>
      <c r="N321" s="290">
        <v>155</v>
      </c>
      <c r="O321" s="46"/>
      <c r="P321" s="46" t="s">
        <v>39</v>
      </c>
      <c r="Q321" s="170"/>
      <c r="R321" s="192" t="str">
        <f t="shared" si="11"/>
        <v>155grams</v>
      </c>
      <c r="S321" s="198">
        <f t="shared" si="12"/>
        <v>3100</v>
      </c>
      <c r="T321" s="199" t="str">
        <f t="shared" si="13"/>
        <v>3100grams</v>
      </c>
      <c r="U321" s="200">
        <f t="shared" si="14"/>
        <v>579</v>
      </c>
      <c r="V321" s="12"/>
      <c r="W321" s="12"/>
    </row>
    <row r="322" spans="1:23" x14ac:dyDescent="0.3">
      <c r="A322" s="183" t="e">
        <f ca="1"/>
        <v>#NAME?</v>
      </c>
      <c r="B322" s="46" t="s">
        <v>1046</v>
      </c>
      <c r="C322" s="170"/>
      <c r="D322" s="194"/>
      <c r="E322" s="194"/>
      <c r="F322" s="170"/>
      <c r="G322" s="170"/>
      <c r="H322" s="183"/>
      <c r="I322" s="170"/>
      <c r="J322" s="46">
        <v>555</v>
      </c>
      <c r="K322" s="170"/>
      <c r="L322" s="288">
        <v>22</v>
      </c>
      <c r="M322" s="289">
        <v>7</v>
      </c>
      <c r="N322" s="290">
        <v>155</v>
      </c>
      <c r="O322" s="46"/>
      <c r="P322" s="46" t="s">
        <v>39</v>
      </c>
      <c r="Q322" s="170"/>
      <c r="R322" s="192" t="str">
        <f t="shared" si="11"/>
        <v>155grams</v>
      </c>
      <c r="S322" s="198">
        <f t="shared" si="12"/>
        <v>1085</v>
      </c>
      <c r="T322" s="199" t="str">
        <f t="shared" si="13"/>
        <v>1085grams</v>
      </c>
      <c r="U322" s="200">
        <f t="shared" si="14"/>
        <v>154</v>
      </c>
      <c r="V322" s="12"/>
      <c r="W322" s="12"/>
    </row>
    <row r="323" spans="1:23" x14ac:dyDescent="0.3">
      <c r="A323" s="183" t="e">
        <f ca="1"/>
        <v>#NAME?</v>
      </c>
      <c r="B323" s="46" t="s">
        <v>1047</v>
      </c>
      <c r="C323" s="170"/>
      <c r="D323" s="194"/>
      <c r="E323" s="170"/>
      <c r="F323" s="170"/>
      <c r="G323" s="170"/>
      <c r="H323" s="206"/>
      <c r="I323" s="170"/>
      <c r="J323" s="46">
        <v>555</v>
      </c>
      <c r="K323" s="170"/>
      <c r="L323" s="288">
        <v>28.95</v>
      </c>
      <c r="M323" s="289">
        <v>5</v>
      </c>
      <c r="N323" s="290">
        <v>155</v>
      </c>
      <c r="O323" s="46"/>
      <c r="P323" s="46" t="s">
        <v>39</v>
      </c>
      <c r="Q323" s="170"/>
      <c r="R323" s="192" t="str">
        <f t="shared" si="11"/>
        <v>155grams</v>
      </c>
      <c r="S323" s="198">
        <f t="shared" si="12"/>
        <v>775</v>
      </c>
      <c r="T323" s="199" t="str">
        <f t="shared" si="13"/>
        <v>775grams</v>
      </c>
      <c r="U323" s="200">
        <f t="shared" si="14"/>
        <v>144.75</v>
      </c>
      <c r="V323" s="12"/>
      <c r="W323" s="12"/>
    </row>
    <row r="324" spans="1:23" x14ac:dyDescent="0.3">
      <c r="A324" s="183" t="e">
        <f ca="1"/>
        <v>#NAME?</v>
      </c>
      <c r="B324" s="46" t="s">
        <v>1048</v>
      </c>
      <c r="C324" s="170"/>
      <c r="D324" s="194"/>
      <c r="E324" s="170"/>
      <c r="F324" s="170"/>
      <c r="G324" s="170"/>
      <c r="H324" s="206"/>
      <c r="I324" s="170"/>
      <c r="J324" s="46" t="s">
        <v>1049</v>
      </c>
      <c r="K324" s="170"/>
      <c r="L324" s="288">
        <v>37.5</v>
      </c>
      <c r="M324" s="289">
        <v>7</v>
      </c>
      <c r="N324" s="290">
        <v>150</v>
      </c>
      <c r="O324" s="46"/>
      <c r="P324" s="46" t="s">
        <v>39</v>
      </c>
      <c r="Q324" s="170"/>
      <c r="R324" s="192" t="str">
        <f t="shared" si="11"/>
        <v>150grams</v>
      </c>
      <c r="S324" s="198">
        <f t="shared" si="12"/>
        <v>1050</v>
      </c>
      <c r="T324" s="199" t="str">
        <f t="shared" si="13"/>
        <v>1050grams</v>
      </c>
      <c r="U324" s="200">
        <f t="shared" si="14"/>
        <v>262.5</v>
      </c>
      <c r="V324" s="12"/>
      <c r="W324" s="12"/>
    </row>
    <row r="325" spans="1:23" x14ac:dyDescent="0.3">
      <c r="A325" s="183" t="e">
        <f ca="1"/>
        <v>#NAME?</v>
      </c>
      <c r="B325" s="46" t="s">
        <v>1050</v>
      </c>
      <c r="C325" s="170"/>
      <c r="D325" s="194"/>
      <c r="E325" s="194"/>
      <c r="F325" s="194"/>
      <c r="G325" s="170"/>
      <c r="H325" s="183"/>
      <c r="I325" s="170"/>
      <c r="J325" s="46" t="s">
        <v>1049</v>
      </c>
      <c r="K325" s="170"/>
      <c r="L325" s="288">
        <v>45.2</v>
      </c>
      <c r="M325" s="289">
        <v>8</v>
      </c>
      <c r="N325" s="290">
        <v>180</v>
      </c>
      <c r="O325" s="46"/>
      <c r="P325" s="46" t="s">
        <v>39</v>
      </c>
      <c r="Q325" s="170"/>
      <c r="R325" s="192" t="str">
        <f t="shared" si="11"/>
        <v>180grams</v>
      </c>
      <c r="S325" s="198">
        <f t="shared" si="12"/>
        <v>1440</v>
      </c>
      <c r="T325" s="199" t="str">
        <f t="shared" si="13"/>
        <v>1440grams</v>
      </c>
      <c r="U325" s="200">
        <f t="shared" si="14"/>
        <v>361.6</v>
      </c>
      <c r="V325" s="12"/>
      <c r="W325" s="12"/>
    </row>
    <row r="326" spans="1:23" x14ac:dyDescent="0.3">
      <c r="A326" s="183" t="e">
        <f ca="1"/>
        <v>#NAME?</v>
      </c>
      <c r="B326" s="170" t="s">
        <v>1050</v>
      </c>
      <c r="C326" s="170"/>
      <c r="D326" s="194"/>
      <c r="E326" s="194"/>
      <c r="F326" s="170"/>
      <c r="G326" s="170"/>
      <c r="H326" s="183"/>
      <c r="I326" s="170"/>
      <c r="J326" s="46" t="s">
        <v>1051</v>
      </c>
      <c r="K326" s="170"/>
      <c r="L326" s="288">
        <v>28.5</v>
      </c>
      <c r="M326" s="289">
        <v>33</v>
      </c>
      <c r="N326" s="290">
        <v>85</v>
      </c>
      <c r="O326" s="46"/>
      <c r="P326" s="46" t="s">
        <v>39</v>
      </c>
      <c r="Q326" s="170"/>
      <c r="R326" s="192" t="str">
        <f t="shared" si="11"/>
        <v>85grams</v>
      </c>
      <c r="S326" s="198">
        <f t="shared" si="12"/>
        <v>2805</v>
      </c>
      <c r="T326" s="199" t="str">
        <f t="shared" si="13"/>
        <v>2805grams</v>
      </c>
      <c r="U326" s="200">
        <f t="shared" si="14"/>
        <v>940.5</v>
      </c>
      <c r="V326" s="12"/>
      <c r="W326" s="12"/>
    </row>
    <row r="327" spans="1:23" x14ac:dyDescent="0.3">
      <c r="A327" s="183" t="e">
        <f ca="1"/>
        <v>#NAME?</v>
      </c>
      <c r="B327" s="170" t="s">
        <v>1050</v>
      </c>
      <c r="C327" s="170"/>
      <c r="D327" s="194"/>
      <c r="E327" s="170"/>
      <c r="F327" s="170"/>
      <c r="G327" s="170"/>
      <c r="H327" s="183"/>
      <c r="I327" s="170"/>
      <c r="J327" s="219" t="s">
        <v>1052</v>
      </c>
      <c r="K327" s="170"/>
      <c r="L327" s="288">
        <v>28.5</v>
      </c>
      <c r="M327" s="289">
        <v>18</v>
      </c>
      <c r="N327" s="290">
        <v>85</v>
      </c>
      <c r="O327" s="46"/>
      <c r="P327" s="46" t="s">
        <v>39</v>
      </c>
      <c r="Q327" s="170"/>
      <c r="R327" s="192" t="str">
        <f t="shared" si="11"/>
        <v>85grams</v>
      </c>
      <c r="S327" s="198">
        <f t="shared" si="12"/>
        <v>1530</v>
      </c>
      <c r="T327" s="199" t="str">
        <f t="shared" si="13"/>
        <v>1530grams</v>
      </c>
      <c r="U327" s="200">
        <f t="shared" si="14"/>
        <v>513</v>
      </c>
      <c r="V327" s="205">
        <f>U327/M327</f>
        <v>28.5</v>
      </c>
      <c r="W327" s="62"/>
    </row>
    <row r="328" spans="1:23" x14ac:dyDescent="0.3">
      <c r="A328" s="183" t="e">
        <f ca="1"/>
        <v>#NAME?</v>
      </c>
      <c r="B328" s="46" t="s">
        <v>1053</v>
      </c>
      <c r="C328" s="170"/>
      <c r="D328" s="194"/>
      <c r="E328" s="194"/>
      <c r="F328" s="194"/>
      <c r="G328" s="170"/>
      <c r="H328" s="183"/>
      <c r="I328" s="170"/>
      <c r="J328" s="46" t="s">
        <v>1044</v>
      </c>
      <c r="K328" s="170"/>
      <c r="L328" s="288">
        <v>36.200000000000003</v>
      </c>
      <c r="M328" s="289">
        <v>5</v>
      </c>
      <c r="N328" s="290">
        <v>155</v>
      </c>
      <c r="O328" s="46"/>
      <c r="P328" s="46" t="s">
        <v>39</v>
      </c>
      <c r="Q328" s="170"/>
      <c r="R328" s="192" t="str">
        <f t="shared" si="11"/>
        <v>155grams</v>
      </c>
      <c r="S328" s="198">
        <f t="shared" si="12"/>
        <v>775</v>
      </c>
      <c r="T328" s="199" t="str">
        <f t="shared" si="13"/>
        <v>775grams</v>
      </c>
      <c r="U328" s="200">
        <f t="shared" si="14"/>
        <v>181</v>
      </c>
      <c r="V328" s="12"/>
      <c r="W328" s="12"/>
    </row>
    <row r="329" spans="1:23" x14ac:dyDescent="0.3">
      <c r="A329" s="183" t="e">
        <f ca="1"/>
        <v>#NAME?</v>
      </c>
      <c r="B329" s="46" t="s">
        <v>1053</v>
      </c>
      <c r="C329" s="170"/>
      <c r="D329" s="194"/>
      <c r="E329" s="170"/>
      <c r="F329" s="170"/>
      <c r="G329" s="170"/>
      <c r="H329" s="206"/>
      <c r="I329" s="170"/>
      <c r="J329" s="46" t="s">
        <v>1044</v>
      </c>
      <c r="K329" s="170"/>
      <c r="L329" s="288">
        <v>98.4</v>
      </c>
      <c r="M329" s="289">
        <v>19</v>
      </c>
      <c r="N329" s="290">
        <v>420</v>
      </c>
      <c r="O329" s="46"/>
      <c r="P329" s="46" t="s">
        <v>39</v>
      </c>
      <c r="Q329" s="170"/>
      <c r="R329" s="192" t="str">
        <f t="shared" si="11"/>
        <v>420grams</v>
      </c>
      <c r="S329" s="198">
        <f t="shared" si="12"/>
        <v>7980</v>
      </c>
      <c r="T329" s="199" t="str">
        <f t="shared" si="13"/>
        <v>7980grams</v>
      </c>
      <c r="U329" s="200">
        <f t="shared" si="14"/>
        <v>1869.6000000000001</v>
      </c>
      <c r="V329" s="12"/>
      <c r="W329" s="12"/>
    </row>
    <row r="330" spans="1:23" x14ac:dyDescent="0.3">
      <c r="A330" s="183" t="e">
        <f ca="1"/>
        <v>#NAME?</v>
      </c>
      <c r="B330" s="46" t="s">
        <v>1053</v>
      </c>
      <c r="C330" s="170"/>
      <c r="D330" s="194"/>
      <c r="E330" s="194"/>
      <c r="F330" s="170"/>
      <c r="G330" s="170"/>
      <c r="H330" s="183"/>
      <c r="I330" s="170"/>
      <c r="J330" s="46" t="s">
        <v>1044</v>
      </c>
      <c r="K330" s="170"/>
      <c r="L330" s="288">
        <v>98.4</v>
      </c>
      <c r="M330" s="289">
        <v>16</v>
      </c>
      <c r="N330" s="290">
        <v>420</v>
      </c>
      <c r="O330" s="307"/>
      <c r="P330" s="307" t="s">
        <v>39</v>
      </c>
      <c r="Q330" s="170"/>
      <c r="R330" s="192" t="str">
        <f t="shared" si="11"/>
        <v>420grams</v>
      </c>
      <c r="S330" s="198">
        <f t="shared" si="12"/>
        <v>6720</v>
      </c>
      <c r="T330" s="199" t="str">
        <f t="shared" si="13"/>
        <v>6720grams</v>
      </c>
      <c r="U330" s="200">
        <f t="shared" si="14"/>
        <v>1574.4</v>
      </c>
      <c r="V330" s="12"/>
      <c r="W330" s="12"/>
    </row>
    <row r="331" spans="1:23" x14ac:dyDescent="0.3">
      <c r="A331" s="183" t="e">
        <f ca="1"/>
        <v>#NAME?</v>
      </c>
      <c r="B331" s="46" t="s">
        <v>1053</v>
      </c>
      <c r="C331" s="170"/>
      <c r="D331" s="194"/>
      <c r="E331" s="194"/>
      <c r="F331" s="194"/>
      <c r="G331" s="170"/>
      <c r="H331" s="183"/>
      <c r="I331" s="170"/>
      <c r="J331" s="219" t="s">
        <v>1044</v>
      </c>
      <c r="K331" s="170"/>
      <c r="L331" s="288">
        <v>98.8</v>
      </c>
      <c r="M331" s="308">
        <v>2</v>
      </c>
      <c r="N331" s="290">
        <v>420</v>
      </c>
      <c r="O331" s="46"/>
      <c r="P331" s="46" t="s">
        <v>39</v>
      </c>
      <c r="Q331" s="170"/>
      <c r="R331" s="192" t="str">
        <f t="shared" si="11"/>
        <v>420grams</v>
      </c>
      <c r="S331" s="198">
        <f t="shared" si="12"/>
        <v>840</v>
      </c>
      <c r="T331" s="199" t="str">
        <f t="shared" si="13"/>
        <v>840grams</v>
      </c>
      <c r="U331" s="200">
        <f t="shared" si="14"/>
        <v>197.6</v>
      </c>
      <c r="V331" s="12"/>
      <c r="W331" s="12"/>
    </row>
    <row r="332" spans="1:23" x14ac:dyDescent="0.3">
      <c r="A332" s="183" t="e">
        <f ca="1"/>
        <v>#NAME?</v>
      </c>
      <c r="B332" s="46" t="s">
        <v>1053</v>
      </c>
      <c r="C332" s="170"/>
      <c r="D332" s="194"/>
      <c r="E332" s="170"/>
      <c r="F332" s="170"/>
      <c r="G332" s="170"/>
      <c r="H332" s="206"/>
      <c r="I332" s="170"/>
      <c r="J332" s="46" t="s">
        <v>1044</v>
      </c>
      <c r="K332" s="170"/>
      <c r="L332" s="288">
        <v>98.4</v>
      </c>
      <c r="M332" s="289">
        <v>2</v>
      </c>
      <c r="N332" s="290">
        <v>425</v>
      </c>
      <c r="O332" s="46"/>
      <c r="P332" s="46" t="s">
        <v>39</v>
      </c>
      <c r="Q332" s="170"/>
      <c r="R332" s="192" t="str">
        <f t="shared" si="11"/>
        <v>425grams</v>
      </c>
      <c r="S332" s="198">
        <f t="shared" si="12"/>
        <v>850</v>
      </c>
      <c r="T332" s="199" t="str">
        <f t="shared" si="13"/>
        <v>850grams</v>
      </c>
      <c r="U332" s="200">
        <f t="shared" si="14"/>
        <v>196.8</v>
      </c>
      <c r="V332" s="12"/>
      <c r="W332" s="12"/>
    </row>
    <row r="333" spans="1:23" x14ac:dyDescent="0.3">
      <c r="A333" s="183" t="e">
        <f ca="1"/>
        <v>#NAME?</v>
      </c>
      <c r="B333" s="46" t="s">
        <v>1054</v>
      </c>
      <c r="C333" s="170"/>
      <c r="D333" s="194"/>
      <c r="E333" s="170"/>
      <c r="F333" s="170"/>
      <c r="G333" s="170"/>
      <c r="H333" s="206"/>
      <c r="I333" s="170"/>
      <c r="J333" s="46" t="s">
        <v>1044</v>
      </c>
      <c r="K333" s="170"/>
      <c r="L333" s="288">
        <v>36.200000000000003</v>
      </c>
      <c r="M333" s="289">
        <v>4</v>
      </c>
      <c r="N333" s="290">
        <v>155</v>
      </c>
      <c r="O333" s="46"/>
      <c r="P333" s="46" t="s">
        <v>39</v>
      </c>
      <c r="Q333" s="170"/>
      <c r="R333" s="192" t="str">
        <f t="shared" si="11"/>
        <v>155grams</v>
      </c>
      <c r="S333" s="198">
        <f t="shared" si="12"/>
        <v>620</v>
      </c>
      <c r="T333" s="199" t="str">
        <f t="shared" si="13"/>
        <v>620grams</v>
      </c>
      <c r="U333" s="200">
        <f t="shared" si="14"/>
        <v>144.80000000000001</v>
      </c>
      <c r="V333" s="12"/>
      <c r="W333" s="12"/>
    </row>
    <row r="334" spans="1:23" x14ac:dyDescent="0.3">
      <c r="A334" s="183" t="e">
        <f ca="1"/>
        <v>#NAME?</v>
      </c>
      <c r="B334" s="219" t="s">
        <v>1055</v>
      </c>
      <c r="C334" s="170"/>
      <c r="D334" s="194"/>
      <c r="E334" s="194"/>
      <c r="F334" s="194"/>
      <c r="G334" s="170"/>
      <c r="H334" s="183"/>
      <c r="I334" s="215"/>
      <c r="J334" s="297" t="s">
        <v>1902</v>
      </c>
      <c r="K334" s="170"/>
      <c r="L334" s="288">
        <v>27.4</v>
      </c>
      <c r="M334" s="289">
        <v>2</v>
      </c>
      <c r="N334" s="290">
        <v>155</v>
      </c>
      <c r="O334" s="297"/>
      <c r="P334" s="297" t="s">
        <v>39</v>
      </c>
      <c r="Q334" s="170"/>
      <c r="R334" s="192" t="str">
        <f t="shared" si="11"/>
        <v>155grams</v>
      </c>
      <c r="S334" s="198">
        <f t="shared" si="12"/>
        <v>310</v>
      </c>
      <c r="T334" s="199" t="str">
        <f t="shared" si="13"/>
        <v>310grams</v>
      </c>
      <c r="U334" s="200">
        <f t="shared" si="14"/>
        <v>54.8</v>
      </c>
      <c r="V334" s="12"/>
      <c r="W334" s="12"/>
    </row>
    <row r="335" spans="1:23" x14ac:dyDescent="0.3">
      <c r="A335" s="183" t="e">
        <f ca="1"/>
        <v>#NAME?</v>
      </c>
      <c r="B335" s="46" t="s">
        <v>320</v>
      </c>
      <c r="C335" s="170"/>
      <c r="D335" s="194"/>
      <c r="E335" s="170"/>
      <c r="F335" s="170"/>
      <c r="G335" s="170"/>
      <c r="H335" s="206"/>
      <c r="I335" s="170"/>
      <c r="J335" s="46" t="s">
        <v>1056</v>
      </c>
      <c r="K335" s="170"/>
      <c r="L335" s="288">
        <v>132.5</v>
      </c>
      <c r="M335" s="289">
        <v>3</v>
      </c>
      <c r="N335" s="290">
        <v>500</v>
      </c>
      <c r="O335" s="46"/>
      <c r="P335" s="46" t="s">
        <v>39</v>
      </c>
      <c r="Q335" s="170"/>
      <c r="R335" s="192" t="str">
        <f t="shared" si="11"/>
        <v>500grams</v>
      </c>
      <c r="S335" s="198">
        <f t="shared" si="12"/>
        <v>1500</v>
      </c>
      <c r="T335" s="199" t="str">
        <f t="shared" si="13"/>
        <v>1500grams</v>
      </c>
      <c r="U335" s="200">
        <f t="shared" si="14"/>
        <v>397.5</v>
      </c>
      <c r="V335" s="12"/>
      <c r="W335" s="12"/>
    </row>
    <row r="336" spans="1:23" x14ac:dyDescent="0.3">
      <c r="A336" s="183" t="e">
        <f ca="1"/>
        <v>#NAME?</v>
      </c>
      <c r="B336" s="46" t="s">
        <v>320</v>
      </c>
      <c r="C336" s="170"/>
      <c r="D336" s="194"/>
      <c r="E336" s="194"/>
      <c r="F336" s="194"/>
      <c r="G336" s="170"/>
      <c r="H336" s="183"/>
      <c r="I336" s="170"/>
      <c r="J336" s="46" t="s">
        <v>1056</v>
      </c>
      <c r="K336" s="170"/>
      <c r="L336" s="288">
        <v>132.5</v>
      </c>
      <c r="M336" s="289">
        <v>3</v>
      </c>
      <c r="N336" s="290">
        <v>500</v>
      </c>
      <c r="O336" s="46"/>
      <c r="P336" s="46" t="s">
        <v>39</v>
      </c>
      <c r="Q336" s="170"/>
      <c r="R336" s="192" t="str">
        <f t="shared" si="11"/>
        <v>500grams</v>
      </c>
      <c r="S336" s="198">
        <f t="shared" si="12"/>
        <v>1500</v>
      </c>
      <c r="T336" s="199" t="str">
        <f t="shared" si="13"/>
        <v>1500grams</v>
      </c>
      <c r="U336" s="200">
        <f t="shared" si="14"/>
        <v>397.5</v>
      </c>
      <c r="V336" s="12"/>
      <c r="W336" s="12"/>
    </row>
    <row r="337" spans="1:23" x14ac:dyDescent="0.3">
      <c r="A337" s="183" t="e">
        <f ca="1"/>
        <v>#NAME?</v>
      </c>
      <c r="B337" s="46" t="s">
        <v>320</v>
      </c>
      <c r="C337" s="170"/>
      <c r="D337" s="194"/>
      <c r="E337" s="194"/>
      <c r="F337" s="170"/>
      <c r="G337" s="170"/>
      <c r="H337" s="183"/>
      <c r="I337" s="170"/>
      <c r="J337" s="46" t="s">
        <v>1057</v>
      </c>
      <c r="K337" s="170"/>
      <c r="L337" s="288">
        <v>118.75</v>
      </c>
      <c r="M337" s="289">
        <v>2</v>
      </c>
      <c r="N337" s="290">
        <v>400</v>
      </c>
      <c r="O337" s="46"/>
      <c r="P337" s="46" t="s">
        <v>39</v>
      </c>
      <c r="Q337" s="170"/>
      <c r="R337" s="192" t="str">
        <f t="shared" si="11"/>
        <v>400grams</v>
      </c>
      <c r="S337" s="198">
        <f t="shared" si="12"/>
        <v>800</v>
      </c>
      <c r="T337" s="199" t="str">
        <f t="shared" si="13"/>
        <v>800grams</v>
      </c>
      <c r="U337" s="200">
        <f t="shared" si="14"/>
        <v>237.5</v>
      </c>
      <c r="V337" s="205">
        <f>U337/M337</f>
        <v>118.75</v>
      </c>
      <c r="W337" s="62"/>
    </row>
    <row r="338" spans="1:23" x14ac:dyDescent="0.3">
      <c r="A338" s="183" t="e">
        <f ca="1"/>
        <v>#NAME?</v>
      </c>
      <c r="B338" s="309" t="s">
        <v>320</v>
      </c>
      <c r="C338" s="170"/>
      <c r="D338" s="194"/>
      <c r="E338" s="194"/>
      <c r="F338" s="170"/>
      <c r="G338" s="170"/>
      <c r="H338" s="183"/>
      <c r="I338" s="170"/>
      <c r="J338" s="46" t="s">
        <v>1056</v>
      </c>
      <c r="K338" s="170"/>
      <c r="L338" s="288">
        <v>143</v>
      </c>
      <c r="M338" s="289">
        <v>1</v>
      </c>
      <c r="N338" s="290">
        <v>500</v>
      </c>
      <c r="O338" s="46"/>
      <c r="P338" s="46" t="s">
        <v>39</v>
      </c>
      <c r="Q338" s="170"/>
      <c r="R338" s="192" t="str">
        <f t="shared" si="11"/>
        <v>500grams</v>
      </c>
      <c r="S338" s="198">
        <f t="shared" si="12"/>
        <v>500</v>
      </c>
      <c r="T338" s="199" t="str">
        <f t="shared" si="13"/>
        <v>500grams</v>
      </c>
      <c r="U338" s="200">
        <f t="shared" si="14"/>
        <v>143</v>
      </c>
      <c r="V338" s="12"/>
      <c r="W338" s="12"/>
    </row>
    <row r="339" spans="1:23" x14ac:dyDescent="0.3">
      <c r="A339" s="183" t="e">
        <f ca="1"/>
        <v>#NAME?</v>
      </c>
      <c r="B339" s="310" t="s">
        <v>320</v>
      </c>
      <c r="C339" s="170"/>
      <c r="D339" s="194"/>
      <c r="E339" s="170"/>
      <c r="F339" s="170"/>
      <c r="G339" s="170"/>
      <c r="H339" s="206"/>
      <c r="I339" s="170"/>
      <c r="J339" s="46" t="s">
        <v>912</v>
      </c>
      <c r="K339" s="170"/>
      <c r="L339" s="288">
        <v>150</v>
      </c>
      <c r="M339" s="289">
        <v>1</v>
      </c>
      <c r="N339" s="290">
        <v>1000</v>
      </c>
      <c r="O339" s="46"/>
      <c r="P339" s="46" t="s">
        <v>213</v>
      </c>
      <c r="Q339" s="170"/>
      <c r="R339" s="192" t="str">
        <f t="shared" si="11"/>
        <v>1000kilos</v>
      </c>
      <c r="S339" s="198">
        <f t="shared" si="12"/>
        <v>1000</v>
      </c>
      <c r="T339" s="199" t="str">
        <f t="shared" si="13"/>
        <v>1000kilos</v>
      </c>
      <c r="U339" s="200">
        <f t="shared" si="14"/>
        <v>150</v>
      </c>
      <c r="V339" s="12"/>
      <c r="W339" s="12"/>
    </row>
    <row r="340" spans="1:23" x14ac:dyDescent="0.3">
      <c r="A340" s="183" t="e">
        <f ca="1"/>
        <v>#NAME?</v>
      </c>
      <c r="B340" s="46" t="s">
        <v>320</v>
      </c>
      <c r="C340" s="170"/>
      <c r="D340" s="194"/>
      <c r="E340" s="194"/>
      <c r="F340" s="170"/>
      <c r="G340" s="170"/>
      <c r="H340" s="183"/>
      <c r="I340" s="170"/>
      <c r="J340" s="219" t="s">
        <v>1058</v>
      </c>
      <c r="K340" s="170"/>
      <c r="L340" s="295">
        <v>125</v>
      </c>
      <c r="M340" s="292">
        <v>1</v>
      </c>
      <c r="N340" s="293">
        <v>1000</v>
      </c>
      <c r="O340" s="219"/>
      <c r="P340" s="219" t="s">
        <v>39</v>
      </c>
      <c r="Q340" s="170"/>
      <c r="R340" s="192" t="str">
        <f t="shared" si="11"/>
        <v>1000grams</v>
      </c>
      <c r="S340" s="198">
        <f t="shared" si="12"/>
        <v>1000</v>
      </c>
      <c r="T340" s="199" t="str">
        <f t="shared" si="13"/>
        <v>1000grams</v>
      </c>
      <c r="U340" s="200">
        <f t="shared" si="14"/>
        <v>125</v>
      </c>
      <c r="V340" s="205">
        <f>U340/M340</f>
        <v>125</v>
      </c>
      <c r="W340" s="62"/>
    </row>
    <row r="341" spans="1:23" x14ac:dyDescent="0.3">
      <c r="A341" s="183" t="e">
        <f ca="1"/>
        <v>#NAME?</v>
      </c>
      <c r="B341" s="46" t="s">
        <v>320</v>
      </c>
      <c r="C341" s="170"/>
      <c r="D341" s="194"/>
      <c r="E341" s="170"/>
      <c r="F341" s="170"/>
      <c r="G341" s="170"/>
      <c r="H341" s="206"/>
      <c r="I341" s="170"/>
      <c r="J341" s="46" t="s">
        <v>1059</v>
      </c>
      <c r="K341" s="170"/>
      <c r="L341" s="288">
        <v>90.73</v>
      </c>
      <c r="M341" s="289">
        <v>3</v>
      </c>
      <c r="N341" s="290">
        <v>500</v>
      </c>
      <c r="O341" s="46"/>
      <c r="P341" s="46" t="s">
        <v>39</v>
      </c>
      <c r="Q341" s="170"/>
      <c r="R341" s="192" t="str">
        <f t="shared" si="11"/>
        <v>500grams</v>
      </c>
      <c r="S341" s="198">
        <f t="shared" si="12"/>
        <v>1500</v>
      </c>
      <c r="T341" s="199" t="str">
        <f t="shared" si="13"/>
        <v>1500grams</v>
      </c>
      <c r="U341" s="200">
        <f t="shared" si="14"/>
        <v>272.19</v>
      </c>
      <c r="V341" s="12"/>
      <c r="W341" s="12"/>
    </row>
    <row r="342" spans="1:23" x14ac:dyDescent="0.3">
      <c r="A342" s="183" t="e">
        <f ca="1"/>
        <v>#NAME?</v>
      </c>
      <c r="B342" s="46" t="s">
        <v>320</v>
      </c>
      <c r="C342" s="170"/>
      <c r="D342" s="194"/>
      <c r="E342" s="194"/>
      <c r="F342" s="170"/>
      <c r="G342" s="170"/>
      <c r="H342" s="183"/>
      <c r="I342" s="170"/>
      <c r="J342" s="46" t="s">
        <v>1059</v>
      </c>
      <c r="K342" s="170"/>
      <c r="L342" s="288">
        <v>90.73</v>
      </c>
      <c r="M342" s="289">
        <v>30</v>
      </c>
      <c r="N342" s="290">
        <v>500</v>
      </c>
      <c r="O342" s="46"/>
      <c r="P342" s="46" t="s">
        <v>39</v>
      </c>
      <c r="Q342" s="170"/>
      <c r="R342" s="192" t="str">
        <f t="shared" si="11"/>
        <v>500grams</v>
      </c>
      <c r="S342" s="198">
        <f t="shared" si="12"/>
        <v>15000</v>
      </c>
      <c r="T342" s="199" t="str">
        <f t="shared" si="13"/>
        <v>15000grams</v>
      </c>
      <c r="U342" s="200">
        <f t="shared" si="14"/>
        <v>2721.9</v>
      </c>
      <c r="V342" s="12"/>
      <c r="W342" s="12"/>
    </row>
    <row r="343" spans="1:23" x14ac:dyDescent="0.3">
      <c r="A343" s="183" t="e">
        <f ca="1"/>
        <v>#NAME?</v>
      </c>
      <c r="B343" s="46" t="s">
        <v>451</v>
      </c>
      <c r="C343" s="170"/>
      <c r="D343" s="194"/>
      <c r="E343" s="170"/>
      <c r="F343" s="170"/>
      <c r="G343" s="170"/>
      <c r="H343" s="206"/>
      <c r="I343" s="170"/>
      <c r="J343" s="170"/>
      <c r="K343" s="170"/>
      <c r="L343" s="288">
        <v>225</v>
      </c>
      <c r="M343" s="289">
        <v>0</v>
      </c>
      <c r="N343" s="290">
        <v>1</v>
      </c>
      <c r="O343" s="46"/>
      <c r="P343" s="46" t="s">
        <v>213</v>
      </c>
      <c r="Q343" s="170"/>
      <c r="R343" s="192" t="str">
        <f t="shared" si="11"/>
        <v>1kilos</v>
      </c>
      <c r="S343" s="198">
        <f t="shared" si="12"/>
        <v>0</v>
      </c>
      <c r="T343" s="199" t="str">
        <f t="shared" si="13"/>
        <v>0kilos</v>
      </c>
      <c r="U343" s="200">
        <f t="shared" si="14"/>
        <v>0</v>
      </c>
      <c r="V343" s="12"/>
      <c r="W343" s="12"/>
    </row>
    <row r="344" spans="1:23" x14ac:dyDescent="0.3">
      <c r="A344" s="183" t="e">
        <f ca="1"/>
        <v>#NAME?</v>
      </c>
      <c r="B344" s="46" t="s">
        <v>451</v>
      </c>
      <c r="C344" s="170"/>
      <c r="D344" s="194"/>
      <c r="E344" s="194"/>
      <c r="F344" s="170"/>
      <c r="G344" s="170"/>
      <c r="H344" s="183"/>
      <c r="I344" s="170"/>
      <c r="J344" s="170"/>
      <c r="K344" s="170"/>
      <c r="L344" s="288">
        <v>70</v>
      </c>
      <c r="M344" s="289">
        <v>3</v>
      </c>
      <c r="N344" s="290">
        <v>1</v>
      </c>
      <c r="O344" s="46"/>
      <c r="P344" s="46" t="s">
        <v>213</v>
      </c>
      <c r="Q344" s="170"/>
      <c r="R344" s="192" t="str">
        <f t="shared" si="11"/>
        <v>1kilos</v>
      </c>
      <c r="S344" s="198">
        <f t="shared" si="12"/>
        <v>3</v>
      </c>
      <c r="T344" s="199" t="str">
        <f t="shared" si="13"/>
        <v>3kilos</v>
      </c>
      <c r="U344" s="200">
        <f t="shared" si="14"/>
        <v>210</v>
      </c>
      <c r="V344" s="205">
        <f>U344/M344</f>
        <v>70</v>
      </c>
      <c r="W344" s="62"/>
    </row>
    <row r="345" spans="1:23" x14ac:dyDescent="0.3">
      <c r="A345" s="183" t="e">
        <f ca="1"/>
        <v>#NAME?</v>
      </c>
      <c r="B345" s="46" t="s">
        <v>451</v>
      </c>
      <c r="C345" s="215"/>
      <c r="D345" s="194"/>
      <c r="E345" s="214"/>
      <c r="F345" s="215"/>
      <c r="G345" s="215"/>
      <c r="H345" s="183"/>
      <c r="I345" s="170"/>
      <c r="J345" s="170"/>
      <c r="K345" s="170"/>
      <c r="L345" s="288">
        <v>120</v>
      </c>
      <c r="M345" s="289">
        <v>2</v>
      </c>
      <c r="N345" s="290">
        <v>1000</v>
      </c>
      <c r="O345" s="46"/>
      <c r="P345" s="46" t="s">
        <v>39</v>
      </c>
      <c r="Q345" s="170"/>
      <c r="R345" s="192" t="str">
        <f t="shared" si="11"/>
        <v>1000grams</v>
      </c>
      <c r="S345" s="198">
        <f t="shared" si="12"/>
        <v>2000</v>
      </c>
      <c r="T345" s="199" t="str">
        <f t="shared" si="13"/>
        <v>2000grams</v>
      </c>
      <c r="U345" s="200">
        <f t="shared" si="14"/>
        <v>240</v>
      </c>
      <c r="V345" s="12"/>
      <c r="W345" s="12"/>
    </row>
    <row r="346" spans="1:23" x14ac:dyDescent="0.3">
      <c r="A346" s="183" t="e">
        <f ca="1"/>
        <v>#NAME?</v>
      </c>
      <c r="B346" s="46" t="s">
        <v>451</v>
      </c>
      <c r="C346" s="170"/>
      <c r="D346" s="194"/>
      <c r="E346" s="170"/>
      <c r="F346" s="170"/>
      <c r="G346" s="170"/>
      <c r="H346" s="206"/>
      <c r="I346" s="170"/>
      <c r="J346" s="170"/>
      <c r="K346" s="170"/>
      <c r="L346" s="288">
        <v>35</v>
      </c>
      <c r="M346" s="289">
        <v>3</v>
      </c>
      <c r="N346" s="290">
        <v>1000</v>
      </c>
      <c r="O346" s="46"/>
      <c r="P346" s="46" t="s">
        <v>39</v>
      </c>
      <c r="Q346" s="170"/>
      <c r="R346" s="192" t="str">
        <f t="shared" si="11"/>
        <v>1000grams</v>
      </c>
      <c r="S346" s="198">
        <f t="shared" si="12"/>
        <v>3000</v>
      </c>
      <c r="T346" s="199" t="str">
        <f t="shared" si="13"/>
        <v>3000grams</v>
      </c>
      <c r="U346" s="200">
        <f t="shared" si="14"/>
        <v>105</v>
      </c>
      <c r="V346" s="12"/>
      <c r="W346" s="12"/>
    </row>
    <row r="347" spans="1:23" x14ac:dyDescent="0.3">
      <c r="A347" s="183" t="e">
        <f ca="1"/>
        <v>#NAME?</v>
      </c>
      <c r="B347" s="46" t="s">
        <v>451</v>
      </c>
      <c r="C347" s="170"/>
      <c r="D347" s="194"/>
      <c r="E347" s="194"/>
      <c r="F347" s="194"/>
      <c r="G347" s="170"/>
      <c r="H347" s="183"/>
      <c r="I347" s="170"/>
      <c r="J347" s="170"/>
      <c r="K347" s="170"/>
      <c r="L347" s="288">
        <v>160</v>
      </c>
      <c r="M347" s="289">
        <v>2</v>
      </c>
      <c r="N347" s="290">
        <v>1000</v>
      </c>
      <c r="O347" s="46"/>
      <c r="P347" s="46" t="s">
        <v>39</v>
      </c>
      <c r="Q347" s="170"/>
      <c r="R347" s="192" t="str">
        <f t="shared" si="11"/>
        <v>1000grams</v>
      </c>
      <c r="S347" s="198">
        <f t="shared" si="12"/>
        <v>2000</v>
      </c>
      <c r="T347" s="199" t="str">
        <f t="shared" si="13"/>
        <v>2000grams</v>
      </c>
      <c r="U347" s="200">
        <f t="shared" si="14"/>
        <v>320</v>
      </c>
      <c r="V347" s="12"/>
      <c r="W347" s="12"/>
    </row>
    <row r="348" spans="1:23" x14ac:dyDescent="0.3">
      <c r="A348" s="183" t="e">
        <f ca="1"/>
        <v>#NAME?</v>
      </c>
      <c r="B348" s="46" t="s">
        <v>451</v>
      </c>
      <c r="C348" s="170"/>
      <c r="D348" s="194"/>
      <c r="E348" s="194"/>
      <c r="F348" s="194"/>
      <c r="G348" s="170"/>
      <c r="H348" s="183"/>
      <c r="I348" s="170"/>
      <c r="J348" s="46" t="s">
        <v>1060</v>
      </c>
      <c r="K348" s="170"/>
      <c r="L348" s="288">
        <v>190</v>
      </c>
      <c r="M348" s="289">
        <v>4</v>
      </c>
      <c r="N348" s="290">
        <v>1000</v>
      </c>
      <c r="O348" s="46"/>
      <c r="P348" s="46" t="s">
        <v>213</v>
      </c>
      <c r="Q348" s="170"/>
      <c r="R348" s="192" t="str">
        <f t="shared" si="11"/>
        <v>1000kilos</v>
      </c>
      <c r="S348" s="198">
        <f t="shared" si="12"/>
        <v>4000</v>
      </c>
      <c r="T348" s="199" t="str">
        <f t="shared" si="13"/>
        <v>4000kilos</v>
      </c>
      <c r="U348" s="200">
        <f t="shared" si="14"/>
        <v>760</v>
      </c>
      <c r="V348" s="12"/>
      <c r="W348" s="12"/>
    </row>
    <row r="349" spans="1:23" x14ac:dyDescent="0.3">
      <c r="A349" s="183" t="e">
        <f ca="1"/>
        <v>#NAME?</v>
      </c>
      <c r="B349" s="219" t="s">
        <v>1061</v>
      </c>
      <c r="C349" s="170"/>
      <c r="D349" s="194"/>
      <c r="E349" s="170"/>
      <c r="F349" s="170"/>
      <c r="G349" s="170"/>
      <c r="H349" s="206"/>
      <c r="I349" s="170"/>
      <c r="J349" s="219" t="s">
        <v>1062</v>
      </c>
      <c r="K349" s="170"/>
      <c r="L349" s="291">
        <v>90</v>
      </c>
      <c r="M349" s="292">
        <v>4</v>
      </c>
      <c r="N349" s="293">
        <v>1</v>
      </c>
      <c r="O349" s="219"/>
      <c r="P349" s="219" t="s">
        <v>1063</v>
      </c>
      <c r="Q349" s="170"/>
      <c r="R349" s="192" t="str">
        <f t="shared" si="11"/>
        <v>1pouch</v>
      </c>
      <c r="S349" s="198">
        <f t="shared" si="12"/>
        <v>4</v>
      </c>
      <c r="T349" s="199" t="str">
        <f t="shared" si="13"/>
        <v>4pouch</v>
      </c>
      <c r="U349" s="200">
        <f t="shared" si="14"/>
        <v>360</v>
      </c>
      <c r="V349" s="12"/>
      <c r="W349" s="12"/>
    </row>
    <row r="350" spans="1:23" x14ac:dyDescent="0.3">
      <c r="A350" s="183" t="e">
        <f ca="1"/>
        <v>#NAME?</v>
      </c>
      <c r="B350" s="219" t="s">
        <v>1061</v>
      </c>
      <c r="C350" s="170"/>
      <c r="D350" s="194"/>
      <c r="E350" s="194"/>
      <c r="F350" s="194"/>
      <c r="G350" s="170"/>
      <c r="H350" s="183"/>
      <c r="I350" s="170"/>
      <c r="J350" s="219" t="s">
        <v>1062</v>
      </c>
      <c r="K350" s="170"/>
      <c r="L350" s="291">
        <v>245</v>
      </c>
      <c r="M350" s="292">
        <v>4</v>
      </c>
      <c r="N350" s="293">
        <v>1</v>
      </c>
      <c r="O350" s="219"/>
      <c r="P350" s="219" t="s">
        <v>1064</v>
      </c>
      <c r="Q350" s="170"/>
      <c r="R350" s="192" t="str">
        <f t="shared" si="11"/>
        <v>1jar</v>
      </c>
      <c r="S350" s="198">
        <f t="shared" si="12"/>
        <v>4</v>
      </c>
      <c r="T350" s="199" t="str">
        <f t="shared" si="13"/>
        <v>4jar</v>
      </c>
      <c r="U350" s="200">
        <f t="shared" si="14"/>
        <v>980</v>
      </c>
      <c r="V350" s="205">
        <f>U350/M350</f>
        <v>245</v>
      </c>
      <c r="W350" s="62"/>
    </row>
    <row r="351" spans="1:23" x14ac:dyDescent="0.3">
      <c r="A351" s="183" t="e">
        <f ca="1"/>
        <v>#NAME?</v>
      </c>
      <c r="B351" s="46" t="s">
        <v>1065</v>
      </c>
      <c r="C351" s="170"/>
      <c r="D351" s="194"/>
      <c r="E351" s="194"/>
      <c r="F351" s="194"/>
      <c r="G351" s="170"/>
      <c r="H351" s="183"/>
      <c r="I351" s="170"/>
      <c r="J351" s="46" t="s">
        <v>1066</v>
      </c>
      <c r="K351" s="170"/>
      <c r="L351" s="288">
        <v>98</v>
      </c>
      <c r="M351" s="289">
        <v>5</v>
      </c>
      <c r="N351" s="290">
        <v>80</v>
      </c>
      <c r="O351" s="46"/>
      <c r="P351" s="46" t="s">
        <v>39</v>
      </c>
      <c r="Q351" s="170"/>
      <c r="R351" s="192" t="str">
        <f t="shared" si="11"/>
        <v>80grams</v>
      </c>
      <c r="S351" s="198">
        <f t="shared" si="12"/>
        <v>400</v>
      </c>
      <c r="T351" s="199" t="str">
        <f t="shared" si="13"/>
        <v>400grams</v>
      </c>
      <c r="U351" s="200">
        <f t="shared" si="14"/>
        <v>490</v>
      </c>
      <c r="V351" s="12"/>
      <c r="W351" s="12"/>
    </row>
    <row r="352" spans="1:23" x14ac:dyDescent="0.3">
      <c r="A352" s="183" t="e">
        <f ca="1"/>
        <v>#NAME?</v>
      </c>
      <c r="B352" s="46" t="s">
        <v>1067</v>
      </c>
      <c r="C352" s="170"/>
      <c r="D352" s="194"/>
      <c r="E352" s="194"/>
      <c r="F352" s="194"/>
      <c r="G352" s="170"/>
      <c r="H352" s="183"/>
      <c r="I352" s="170"/>
      <c r="J352" s="46" t="s">
        <v>47</v>
      </c>
      <c r="K352" s="170"/>
      <c r="L352" s="288">
        <v>65</v>
      </c>
      <c r="M352" s="289">
        <v>2</v>
      </c>
      <c r="N352" s="290">
        <v>1000</v>
      </c>
      <c r="O352" s="46"/>
      <c r="P352" s="46" t="s">
        <v>213</v>
      </c>
      <c r="Q352" s="170"/>
      <c r="R352" s="192" t="str">
        <f t="shared" si="11"/>
        <v>1000kilos</v>
      </c>
      <c r="S352" s="198">
        <f t="shared" si="12"/>
        <v>2000</v>
      </c>
      <c r="T352" s="199" t="str">
        <f t="shared" si="13"/>
        <v>2000kilos</v>
      </c>
      <c r="U352" s="200">
        <f t="shared" si="14"/>
        <v>130</v>
      </c>
      <c r="V352" s="12"/>
      <c r="W352" s="12"/>
    </row>
    <row r="353" spans="1:23" x14ac:dyDescent="0.3">
      <c r="A353" s="183" t="e">
        <f ca="1"/>
        <v>#NAME?</v>
      </c>
      <c r="B353" s="46" t="s">
        <v>1067</v>
      </c>
      <c r="C353" s="170"/>
      <c r="D353" s="194"/>
      <c r="E353" s="194"/>
      <c r="F353" s="194"/>
      <c r="G353" s="170"/>
      <c r="H353" s="206"/>
      <c r="I353" s="170"/>
      <c r="J353" s="46" t="s">
        <v>1068</v>
      </c>
      <c r="K353" s="170"/>
      <c r="L353" s="288">
        <v>65</v>
      </c>
      <c r="M353" s="289">
        <v>5</v>
      </c>
      <c r="N353" s="290">
        <v>1</v>
      </c>
      <c r="O353" s="46"/>
      <c r="P353" s="46" t="s">
        <v>213</v>
      </c>
      <c r="Q353" s="170"/>
      <c r="R353" s="192" t="str">
        <f t="shared" si="11"/>
        <v>1kilos</v>
      </c>
      <c r="S353" s="198">
        <f t="shared" si="12"/>
        <v>5</v>
      </c>
      <c r="T353" s="199" t="str">
        <f t="shared" si="13"/>
        <v>5kilos</v>
      </c>
      <c r="U353" s="200">
        <f t="shared" si="14"/>
        <v>325</v>
      </c>
      <c r="V353" s="12"/>
      <c r="W353" s="12"/>
    </row>
    <row r="354" spans="1:23" x14ac:dyDescent="0.3">
      <c r="A354" s="183" t="e">
        <f ca="1"/>
        <v>#NAME?</v>
      </c>
      <c r="B354" s="46" t="s">
        <v>52</v>
      </c>
      <c r="C354" s="170"/>
      <c r="D354" s="194"/>
      <c r="E354" s="170"/>
      <c r="F354" s="170"/>
      <c r="G354" s="170"/>
      <c r="H354" s="206"/>
      <c r="I354" s="170"/>
      <c r="J354" s="170"/>
      <c r="K354" s="170"/>
      <c r="L354" s="288">
        <v>44</v>
      </c>
      <c r="M354" s="289">
        <v>4</v>
      </c>
      <c r="N354" s="290">
        <v>1</v>
      </c>
      <c r="O354" s="46"/>
      <c r="P354" s="46" t="s">
        <v>213</v>
      </c>
      <c r="Q354" s="170"/>
      <c r="R354" s="192" t="str">
        <f t="shared" si="11"/>
        <v>1kilos</v>
      </c>
      <c r="S354" s="198">
        <f t="shared" si="12"/>
        <v>4</v>
      </c>
      <c r="T354" s="199" t="str">
        <f t="shared" si="13"/>
        <v>4kilos</v>
      </c>
      <c r="U354" s="200">
        <f t="shared" si="14"/>
        <v>176</v>
      </c>
      <c r="V354" s="12"/>
      <c r="W354" s="12"/>
    </row>
    <row r="355" spans="1:23" x14ac:dyDescent="0.3">
      <c r="A355" s="183" t="e">
        <f ca="1"/>
        <v>#NAME?</v>
      </c>
      <c r="B355" s="46" t="s">
        <v>52</v>
      </c>
      <c r="C355" s="170"/>
      <c r="D355" s="194"/>
      <c r="E355" s="194"/>
      <c r="F355" s="194"/>
      <c r="G355" s="170"/>
      <c r="H355" s="183"/>
      <c r="I355" s="170"/>
      <c r="J355" s="170"/>
      <c r="K355" s="170"/>
      <c r="L355" s="288">
        <v>65</v>
      </c>
      <c r="M355" s="289">
        <v>5</v>
      </c>
      <c r="N355" s="290">
        <v>1000</v>
      </c>
      <c r="O355" s="46"/>
      <c r="P355" s="46" t="s">
        <v>39</v>
      </c>
      <c r="Q355" s="170"/>
      <c r="R355" s="192" t="str">
        <f t="shared" si="11"/>
        <v>1000grams</v>
      </c>
      <c r="S355" s="198">
        <f t="shared" si="12"/>
        <v>5000</v>
      </c>
      <c r="T355" s="199" t="str">
        <f t="shared" si="13"/>
        <v>5000grams</v>
      </c>
      <c r="U355" s="200">
        <f t="shared" si="14"/>
        <v>325</v>
      </c>
      <c r="V355" s="205">
        <f>U355/M355</f>
        <v>65</v>
      </c>
      <c r="W355" s="62"/>
    </row>
    <row r="356" spans="1:23" x14ac:dyDescent="0.3">
      <c r="A356" s="183" t="e">
        <f ca="1"/>
        <v>#NAME?</v>
      </c>
      <c r="B356" s="46" t="s">
        <v>238</v>
      </c>
      <c r="C356" s="170"/>
      <c r="D356" s="194"/>
      <c r="E356" s="194"/>
      <c r="F356" s="194"/>
      <c r="G356" s="170"/>
      <c r="H356" s="183"/>
      <c r="I356" s="170"/>
      <c r="J356" s="46" t="s">
        <v>1069</v>
      </c>
      <c r="K356" s="170"/>
      <c r="L356" s="288">
        <v>88</v>
      </c>
      <c r="M356" s="289">
        <v>2</v>
      </c>
      <c r="N356" s="290">
        <v>3500</v>
      </c>
      <c r="O356" s="46"/>
      <c r="P356" s="46" t="s">
        <v>32</v>
      </c>
      <c r="Q356" s="170"/>
      <c r="R356" s="192" t="str">
        <f t="shared" si="11"/>
        <v>3500ml</v>
      </c>
      <c r="S356" s="198">
        <f t="shared" si="12"/>
        <v>7000</v>
      </c>
      <c r="T356" s="199" t="str">
        <f t="shared" si="13"/>
        <v>7000ml</v>
      </c>
      <c r="U356" s="200">
        <f t="shared" si="14"/>
        <v>176</v>
      </c>
      <c r="V356" s="12"/>
      <c r="W356" s="12"/>
    </row>
    <row r="357" spans="1:23" x14ac:dyDescent="0.3">
      <c r="A357" s="183" t="e">
        <f ca="1"/>
        <v>#NAME?</v>
      </c>
      <c r="B357" s="46" t="s">
        <v>238</v>
      </c>
      <c r="C357" s="215"/>
      <c r="D357" s="194"/>
      <c r="E357" s="214"/>
      <c r="F357" s="214"/>
      <c r="G357" s="215"/>
      <c r="H357" s="183"/>
      <c r="I357" s="215"/>
      <c r="J357" s="46" t="s">
        <v>1069</v>
      </c>
      <c r="K357" s="170"/>
      <c r="L357" s="288">
        <v>88</v>
      </c>
      <c r="M357" s="289">
        <v>11</v>
      </c>
      <c r="N357" s="290">
        <v>3500</v>
      </c>
      <c r="O357" s="46"/>
      <c r="P357" s="46" t="s">
        <v>32</v>
      </c>
      <c r="Q357" s="170"/>
      <c r="R357" s="192" t="str">
        <f t="shared" si="11"/>
        <v>3500ml</v>
      </c>
      <c r="S357" s="198">
        <f t="shared" si="12"/>
        <v>38500</v>
      </c>
      <c r="T357" s="199" t="str">
        <f t="shared" si="13"/>
        <v>38500ml</v>
      </c>
      <c r="U357" s="200">
        <f t="shared" si="14"/>
        <v>968</v>
      </c>
      <c r="V357" s="12"/>
      <c r="W357" s="12"/>
    </row>
    <row r="358" spans="1:23" x14ac:dyDescent="0.3">
      <c r="A358" s="183" t="e">
        <f ca="1"/>
        <v>#NAME?</v>
      </c>
      <c r="B358" s="46" t="s">
        <v>238</v>
      </c>
      <c r="C358" s="170"/>
      <c r="D358" s="194"/>
      <c r="E358" s="170"/>
      <c r="F358" s="170"/>
      <c r="G358" s="170"/>
      <c r="H358" s="206"/>
      <c r="I358" s="170"/>
      <c r="J358" s="46" t="s">
        <v>1070</v>
      </c>
      <c r="K358" s="170"/>
      <c r="L358" s="288">
        <v>228.7</v>
      </c>
      <c r="M358" s="289">
        <v>3</v>
      </c>
      <c r="N358" s="290">
        <v>4</v>
      </c>
      <c r="O358" s="46"/>
      <c r="P358" s="46" t="s">
        <v>773</v>
      </c>
      <c r="Q358" s="170"/>
      <c r="R358" s="192" t="str">
        <f t="shared" si="11"/>
        <v>4liters</v>
      </c>
      <c r="S358" s="198">
        <f t="shared" si="12"/>
        <v>12</v>
      </c>
      <c r="T358" s="199" t="str">
        <f t="shared" si="13"/>
        <v>12liters</v>
      </c>
      <c r="U358" s="200">
        <f t="shared" si="14"/>
        <v>686.09999999999991</v>
      </c>
      <c r="V358" s="12"/>
      <c r="W358" s="12"/>
    </row>
    <row r="359" spans="1:23" x14ac:dyDescent="0.3">
      <c r="A359" s="183" t="e">
        <f ca="1"/>
        <v>#NAME?</v>
      </c>
      <c r="B359" s="219" t="s">
        <v>238</v>
      </c>
      <c r="C359" s="170"/>
      <c r="D359" s="194"/>
      <c r="E359" s="194"/>
      <c r="F359" s="194"/>
      <c r="G359" s="170"/>
      <c r="H359" s="183"/>
      <c r="I359" s="215"/>
      <c r="J359" s="46" t="s">
        <v>1069</v>
      </c>
      <c r="K359" s="170"/>
      <c r="L359" s="288">
        <v>88</v>
      </c>
      <c r="M359" s="289">
        <v>1</v>
      </c>
      <c r="N359" s="290">
        <v>3500</v>
      </c>
      <c r="O359" s="46"/>
      <c r="P359" s="46" t="s">
        <v>200</v>
      </c>
      <c r="Q359" s="170"/>
      <c r="R359" s="192" t="str">
        <f t="shared" si="11"/>
        <v>3500gal</v>
      </c>
      <c r="S359" s="198">
        <f t="shared" si="12"/>
        <v>3500</v>
      </c>
      <c r="T359" s="199" t="str">
        <f t="shared" si="13"/>
        <v>3500gal</v>
      </c>
      <c r="U359" s="200">
        <f t="shared" si="14"/>
        <v>88</v>
      </c>
      <c r="V359" s="12"/>
      <c r="W359" s="12"/>
    </row>
    <row r="360" spans="1:23" x14ac:dyDescent="0.3">
      <c r="A360" s="183" t="e">
        <f ca="1"/>
        <v>#NAME?</v>
      </c>
      <c r="B360" s="46" t="s">
        <v>238</v>
      </c>
      <c r="C360" s="170"/>
      <c r="D360" s="194"/>
      <c r="E360" s="170"/>
      <c r="F360" s="170"/>
      <c r="G360" s="170"/>
      <c r="H360" s="206"/>
      <c r="I360" s="170"/>
      <c r="J360" s="46" t="s">
        <v>1069</v>
      </c>
      <c r="K360" s="170"/>
      <c r="L360" s="288">
        <v>80</v>
      </c>
      <c r="M360" s="289">
        <v>13</v>
      </c>
      <c r="N360" s="290">
        <v>3500</v>
      </c>
      <c r="O360" s="46"/>
      <c r="P360" s="46" t="s">
        <v>200</v>
      </c>
      <c r="Q360" s="170"/>
      <c r="R360" s="192" t="str">
        <f t="shared" si="11"/>
        <v>3500gal</v>
      </c>
      <c r="S360" s="198">
        <f t="shared" si="12"/>
        <v>45500</v>
      </c>
      <c r="T360" s="199" t="str">
        <f t="shared" si="13"/>
        <v>45500gal</v>
      </c>
      <c r="U360" s="200">
        <f t="shared" si="14"/>
        <v>1040</v>
      </c>
      <c r="V360" s="12"/>
      <c r="W360" s="12"/>
    </row>
    <row r="361" spans="1:23" x14ac:dyDescent="0.3">
      <c r="A361" s="183" t="e">
        <f ca="1"/>
        <v>#NAME?</v>
      </c>
      <c r="B361" s="46" t="s">
        <v>238</v>
      </c>
      <c r="C361" s="170"/>
      <c r="D361" s="194"/>
      <c r="E361" s="194"/>
      <c r="F361" s="194"/>
      <c r="G361" s="170"/>
      <c r="H361" s="183"/>
      <c r="I361" s="170"/>
      <c r="J361" s="46" t="s">
        <v>1071</v>
      </c>
      <c r="K361" s="170"/>
      <c r="L361" s="288">
        <v>85</v>
      </c>
      <c r="M361" s="289">
        <v>8</v>
      </c>
      <c r="N361" s="290">
        <v>1</v>
      </c>
      <c r="O361" s="46"/>
      <c r="P361" s="46" t="s">
        <v>200</v>
      </c>
      <c r="Q361" s="61" t="s">
        <v>33</v>
      </c>
      <c r="R361" s="192" t="str">
        <f t="shared" si="11"/>
        <v>1gal</v>
      </c>
      <c r="S361" s="198">
        <f t="shared" si="12"/>
        <v>8</v>
      </c>
      <c r="T361" s="199" t="str">
        <f t="shared" si="13"/>
        <v>8 gal</v>
      </c>
      <c r="U361" s="200">
        <f t="shared" si="14"/>
        <v>680</v>
      </c>
      <c r="V361" s="205">
        <f>U361/M361</f>
        <v>85</v>
      </c>
      <c r="W361" s="62"/>
    </row>
    <row r="362" spans="1:23" x14ac:dyDescent="0.3">
      <c r="A362" s="183" t="e">
        <f ca="1"/>
        <v>#NAME?</v>
      </c>
      <c r="B362" s="219" t="s">
        <v>238</v>
      </c>
      <c r="C362" s="170"/>
      <c r="D362" s="194"/>
      <c r="E362" s="170"/>
      <c r="F362" s="170"/>
      <c r="G362" s="170"/>
      <c r="H362" s="183"/>
      <c r="I362" s="170"/>
      <c r="J362" s="46" t="s">
        <v>1069</v>
      </c>
      <c r="K362" s="170"/>
      <c r="L362" s="291">
        <v>76</v>
      </c>
      <c r="M362" s="292">
        <v>7</v>
      </c>
      <c r="N362" s="290">
        <v>3500</v>
      </c>
      <c r="O362" s="219"/>
      <c r="P362" s="219" t="s">
        <v>200</v>
      </c>
      <c r="Q362" s="170"/>
      <c r="R362" s="192" t="str">
        <f t="shared" si="11"/>
        <v>3500gal</v>
      </c>
      <c r="S362" s="198">
        <f t="shared" si="12"/>
        <v>24500</v>
      </c>
      <c r="T362" s="199" t="str">
        <f t="shared" si="13"/>
        <v>24500gal</v>
      </c>
      <c r="U362" s="200">
        <f t="shared" si="14"/>
        <v>532</v>
      </c>
      <c r="V362" s="12"/>
      <c r="W362" s="12"/>
    </row>
    <row r="363" spans="1:23" x14ac:dyDescent="0.3">
      <c r="A363" s="183" t="e">
        <f ca="1"/>
        <v>#NAME?</v>
      </c>
      <c r="B363" s="46" t="s">
        <v>1072</v>
      </c>
      <c r="C363" s="170"/>
      <c r="D363" s="194"/>
      <c r="E363" s="170"/>
      <c r="F363" s="170"/>
      <c r="G363" s="170"/>
      <c r="H363" s="206"/>
      <c r="I363" s="170"/>
      <c r="J363" s="170"/>
      <c r="K363" s="170"/>
      <c r="L363" s="288">
        <v>100</v>
      </c>
      <c r="M363" s="289">
        <v>1</v>
      </c>
      <c r="N363" s="290">
        <v>1000</v>
      </c>
      <c r="O363" s="46"/>
      <c r="P363" s="46" t="s">
        <v>39</v>
      </c>
      <c r="Q363" s="170"/>
      <c r="R363" s="192" t="str">
        <f t="shared" si="11"/>
        <v>1000grams</v>
      </c>
      <c r="S363" s="198">
        <f t="shared" si="12"/>
        <v>1000</v>
      </c>
      <c r="T363" s="199" t="str">
        <f t="shared" si="13"/>
        <v>1000grams</v>
      </c>
      <c r="U363" s="200">
        <f t="shared" si="14"/>
        <v>100</v>
      </c>
      <c r="V363" s="12"/>
      <c r="W363" s="12"/>
    </row>
    <row r="364" spans="1:23" x14ac:dyDescent="0.3">
      <c r="A364" s="183" t="e">
        <f ca="1"/>
        <v>#NAME?</v>
      </c>
      <c r="B364" s="46" t="s">
        <v>1072</v>
      </c>
      <c r="C364" s="170"/>
      <c r="D364" s="194"/>
      <c r="E364" s="194"/>
      <c r="F364" s="194"/>
      <c r="G364" s="170"/>
      <c r="H364" s="183"/>
      <c r="I364" s="170"/>
      <c r="J364" s="170"/>
      <c r="K364" s="170"/>
      <c r="L364" s="288">
        <v>160</v>
      </c>
      <c r="M364" s="289">
        <v>1</v>
      </c>
      <c r="N364" s="290">
        <v>1000</v>
      </c>
      <c r="O364" s="46"/>
      <c r="P364" s="46" t="s">
        <v>39</v>
      </c>
      <c r="Q364" s="170"/>
      <c r="R364" s="192" t="str">
        <f t="shared" si="11"/>
        <v>1000grams</v>
      </c>
      <c r="S364" s="198">
        <f t="shared" si="12"/>
        <v>1000</v>
      </c>
      <c r="T364" s="199" t="str">
        <f t="shared" si="13"/>
        <v>1000grams</v>
      </c>
      <c r="U364" s="200">
        <f t="shared" si="14"/>
        <v>160</v>
      </c>
      <c r="V364" s="12"/>
      <c r="W364" s="12"/>
    </row>
    <row r="365" spans="1:23" x14ac:dyDescent="0.3">
      <c r="A365" s="183" t="e">
        <f ca="1"/>
        <v>#NAME?</v>
      </c>
      <c r="B365" s="46" t="s">
        <v>1072</v>
      </c>
      <c r="C365" s="170"/>
      <c r="D365" s="194"/>
      <c r="E365" s="170"/>
      <c r="F365" s="170"/>
      <c r="G365" s="170"/>
      <c r="H365" s="206"/>
      <c r="I365" s="170"/>
      <c r="J365" s="170"/>
      <c r="K365" s="170"/>
      <c r="L365" s="288">
        <v>235</v>
      </c>
      <c r="M365" s="289">
        <v>1</v>
      </c>
      <c r="N365" s="290">
        <v>1000</v>
      </c>
      <c r="O365" s="46"/>
      <c r="P365" s="46" t="s">
        <v>39</v>
      </c>
      <c r="Q365" s="170"/>
      <c r="R365" s="192" t="str">
        <f t="shared" si="11"/>
        <v>1000grams</v>
      </c>
      <c r="S365" s="198">
        <f t="shared" si="12"/>
        <v>1000</v>
      </c>
      <c r="T365" s="199" t="str">
        <f t="shared" si="13"/>
        <v>1000grams</v>
      </c>
      <c r="U365" s="200">
        <f t="shared" si="14"/>
        <v>235</v>
      </c>
      <c r="V365" s="12"/>
      <c r="W365" s="12"/>
    </row>
    <row r="366" spans="1:23" x14ac:dyDescent="0.3">
      <c r="A366" s="183" t="e">
        <f ca="1"/>
        <v>#NAME?</v>
      </c>
      <c r="B366" s="219" t="s">
        <v>1073</v>
      </c>
      <c r="C366" s="170"/>
      <c r="D366" s="194"/>
      <c r="E366" s="194"/>
      <c r="F366" s="194"/>
      <c r="G366" s="170"/>
      <c r="H366" s="183"/>
      <c r="I366" s="170"/>
      <c r="J366" s="219" t="s">
        <v>1074</v>
      </c>
      <c r="K366" s="170"/>
      <c r="L366" s="291">
        <v>18.5</v>
      </c>
      <c r="M366" s="292">
        <v>4</v>
      </c>
      <c r="N366" s="293">
        <v>30</v>
      </c>
      <c r="O366" s="219"/>
      <c r="P366" s="219" t="s">
        <v>39</v>
      </c>
      <c r="Q366" s="170"/>
      <c r="R366" s="192" t="str">
        <f t="shared" si="11"/>
        <v>30grams</v>
      </c>
      <c r="S366" s="198">
        <f t="shared" si="12"/>
        <v>120</v>
      </c>
      <c r="T366" s="199" t="str">
        <f t="shared" si="13"/>
        <v>120grams</v>
      </c>
      <c r="U366" s="200">
        <f t="shared" si="14"/>
        <v>74</v>
      </c>
      <c r="V366" s="12"/>
      <c r="W366" s="12"/>
    </row>
    <row r="367" spans="1:23" x14ac:dyDescent="0.3">
      <c r="A367" s="183" t="e">
        <f ca="1"/>
        <v>#NAME?</v>
      </c>
      <c r="B367" s="46" t="s">
        <v>530</v>
      </c>
      <c r="C367" s="170"/>
      <c r="D367" s="194"/>
      <c r="E367" s="194"/>
      <c r="F367" s="194"/>
      <c r="G367" s="170"/>
      <c r="H367" s="183"/>
      <c r="I367" s="170"/>
      <c r="J367" s="219" t="s">
        <v>854</v>
      </c>
      <c r="K367" s="170"/>
      <c r="L367" s="288">
        <v>69</v>
      </c>
      <c r="M367" s="289">
        <v>1</v>
      </c>
      <c r="N367" s="290">
        <v>26</v>
      </c>
      <c r="O367" s="46"/>
      <c r="P367" s="46" t="s">
        <v>39</v>
      </c>
      <c r="Q367" s="61" t="s">
        <v>33</v>
      </c>
      <c r="R367" s="192" t="str">
        <f t="shared" si="11"/>
        <v>26grams</v>
      </c>
      <c r="S367" s="198">
        <f t="shared" si="12"/>
        <v>26</v>
      </c>
      <c r="T367" s="199" t="str">
        <f t="shared" si="13"/>
        <v>26 grams</v>
      </c>
      <c r="U367" s="200">
        <f t="shared" si="14"/>
        <v>69</v>
      </c>
      <c r="V367" s="205">
        <f>U367/M367</f>
        <v>69</v>
      </c>
      <c r="W367" s="62"/>
    </row>
    <row r="368" spans="1:23" x14ac:dyDescent="0.3">
      <c r="A368" s="183" t="e">
        <f ca="1"/>
        <v>#NAME?</v>
      </c>
      <c r="B368" s="219" t="s">
        <v>530</v>
      </c>
      <c r="C368" s="170"/>
      <c r="D368" s="194"/>
      <c r="E368" s="194"/>
      <c r="F368" s="194"/>
      <c r="G368" s="170"/>
      <c r="H368" s="183"/>
      <c r="I368" s="215"/>
      <c r="J368" s="219" t="s">
        <v>854</v>
      </c>
      <c r="K368" s="170"/>
      <c r="L368" s="291">
        <v>65.5</v>
      </c>
      <c r="M368" s="303">
        <v>2</v>
      </c>
      <c r="N368" s="293">
        <v>26</v>
      </c>
      <c r="O368" s="219"/>
      <c r="P368" s="219" t="s">
        <v>39</v>
      </c>
      <c r="Q368" s="170"/>
      <c r="R368" s="192" t="str">
        <f t="shared" si="11"/>
        <v>26grams</v>
      </c>
      <c r="S368" s="198">
        <f t="shared" si="12"/>
        <v>52</v>
      </c>
      <c r="T368" s="199" t="str">
        <f t="shared" si="13"/>
        <v>52grams</v>
      </c>
      <c r="U368" s="200">
        <f t="shared" si="14"/>
        <v>131</v>
      </c>
      <c r="V368" s="12"/>
      <c r="W368" s="12"/>
    </row>
    <row r="369" spans="1:23" x14ac:dyDescent="0.3">
      <c r="A369" s="183" t="e">
        <f ca="1"/>
        <v>#NAME?</v>
      </c>
      <c r="B369" s="46" t="s">
        <v>1075</v>
      </c>
      <c r="C369" s="170"/>
      <c r="D369" s="194"/>
      <c r="E369" s="194"/>
      <c r="F369" s="170"/>
      <c r="G369" s="170"/>
      <c r="H369" s="183"/>
      <c r="I369" s="170"/>
      <c r="J369" s="46" t="s">
        <v>1076</v>
      </c>
      <c r="K369" s="170"/>
      <c r="L369" s="288">
        <v>8.6999999999999993</v>
      </c>
      <c r="M369" s="289">
        <v>31</v>
      </c>
      <c r="N369" s="290">
        <v>40</v>
      </c>
      <c r="O369" s="46"/>
      <c r="P369" s="46" t="s">
        <v>39</v>
      </c>
      <c r="Q369" s="170"/>
      <c r="R369" s="192" t="str">
        <f t="shared" si="11"/>
        <v>40grams</v>
      </c>
      <c r="S369" s="198">
        <f t="shared" si="12"/>
        <v>1240</v>
      </c>
      <c r="T369" s="199" t="str">
        <f t="shared" si="13"/>
        <v>1240grams</v>
      </c>
      <c r="U369" s="200">
        <f t="shared" si="14"/>
        <v>269.7</v>
      </c>
      <c r="V369" s="12"/>
      <c r="W369" s="12"/>
    </row>
    <row r="370" spans="1:23" x14ac:dyDescent="0.3">
      <c r="A370" s="183" t="e">
        <f ca="1"/>
        <v>#NAME?</v>
      </c>
      <c r="B370" s="46" t="s">
        <v>1077</v>
      </c>
      <c r="C370" s="170"/>
      <c r="D370" s="194"/>
      <c r="E370" s="170"/>
      <c r="F370" s="170"/>
      <c r="G370" s="170"/>
      <c r="H370" s="206"/>
      <c r="I370" s="170"/>
      <c r="J370" s="219" t="s">
        <v>1078</v>
      </c>
      <c r="K370" s="170"/>
      <c r="L370" s="288">
        <v>8.6999999999999993</v>
      </c>
      <c r="M370" s="289">
        <v>2</v>
      </c>
      <c r="N370" s="290">
        <v>40</v>
      </c>
      <c r="O370" s="46"/>
      <c r="P370" s="46" t="s">
        <v>39</v>
      </c>
      <c r="Q370" s="170"/>
      <c r="R370" s="192" t="str">
        <f t="shared" si="11"/>
        <v>40grams</v>
      </c>
      <c r="S370" s="198">
        <f t="shared" si="12"/>
        <v>80</v>
      </c>
      <c r="T370" s="199" t="str">
        <f t="shared" si="13"/>
        <v>80grams</v>
      </c>
      <c r="U370" s="200">
        <f t="shared" si="14"/>
        <v>17.399999999999999</v>
      </c>
      <c r="V370" s="12"/>
      <c r="W370" s="12"/>
    </row>
    <row r="371" spans="1:23" x14ac:dyDescent="0.3">
      <c r="A371" s="183" t="e">
        <f ca="1"/>
        <v>#NAME?</v>
      </c>
      <c r="B371" s="46" t="s">
        <v>1079</v>
      </c>
      <c r="C371" s="191"/>
      <c r="D371" s="194"/>
      <c r="E371" s="232"/>
      <c r="F371" s="191"/>
      <c r="G371" s="191"/>
      <c r="H371" s="183"/>
      <c r="I371" s="170"/>
      <c r="J371" s="219" t="s">
        <v>1080</v>
      </c>
      <c r="K371" s="170"/>
      <c r="L371" s="288">
        <v>8.6999999999999993</v>
      </c>
      <c r="M371" s="289">
        <v>45</v>
      </c>
      <c r="N371" s="290">
        <v>40</v>
      </c>
      <c r="O371" s="46"/>
      <c r="P371" s="46" t="s">
        <v>39</v>
      </c>
      <c r="Q371" s="170"/>
      <c r="R371" s="192" t="str">
        <f t="shared" si="11"/>
        <v>40grams</v>
      </c>
      <c r="S371" s="198">
        <f t="shared" si="12"/>
        <v>1800</v>
      </c>
      <c r="T371" s="199" t="str">
        <f t="shared" si="13"/>
        <v>1800grams</v>
      </c>
      <c r="U371" s="200">
        <f t="shared" si="14"/>
        <v>391.49999999999994</v>
      </c>
      <c r="V371" s="12"/>
      <c r="W371" s="12"/>
    </row>
    <row r="372" spans="1:23" x14ac:dyDescent="0.3">
      <c r="A372" s="183" t="e">
        <f ca="1"/>
        <v>#NAME?</v>
      </c>
      <c r="B372" s="46" t="s">
        <v>1079</v>
      </c>
      <c r="C372" s="170"/>
      <c r="D372" s="194"/>
      <c r="E372" s="194"/>
      <c r="F372" s="194"/>
      <c r="G372" s="170"/>
      <c r="H372" s="183"/>
      <c r="I372" s="170"/>
      <c r="J372" s="219" t="s">
        <v>1080</v>
      </c>
      <c r="K372" s="170"/>
      <c r="L372" s="291">
        <v>8.6999999999999993</v>
      </c>
      <c r="M372" s="292">
        <v>6</v>
      </c>
      <c r="N372" s="293">
        <v>40</v>
      </c>
      <c r="O372" s="219"/>
      <c r="P372" s="219" t="s">
        <v>39</v>
      </c>
      <c r="Q372" s="61" t="s">
        <v>33</v>
      </c>
      <c r="R372" s="192" t="str">
        <f t="shared" si="11"/>
        <v>40grams</v>
      </c>
      <c r="S372" s="198">
        <f t="shared" si="12"/>
        <v>240</v>
      </c>
      <c r="T372" s="199" t="str">
        <f t="shared" si="13"/>
        <v>240 grams</v>
      </c>
      <c r="U372" s="200">
        <f t="shared" si="14"/>
        <v>52.199999999999996</v>
      </c>
      <c r="V372" s="205">
        <f>U372/M372</f>
        <v>8.6999999999999993</v>
      </c>
      <c r="W372" s="62"/>
    </row>
    <row r="373" spans="1:23" x14ac:dyDescent="0.3">
      <c r="A373" s="183" t="e">
        <f ca="1"/>
        <v>#NAME?</v>
      </c>
      <c r="B373" s="46" t="s">
        <v>1079</v>
      </c>
      <c r="C373" s="170"/>
      <c r="D373" s="194"/>
      <c r="E373" s="194"/>
      <c r="F373" s="194"/>
      <c r="G373" s="170"/>
      <c r="H373" s="183"/>
      <c r="I373" s="170"/>
      <c r="J373" s="219" t="s">
        <v>1080</v>
      </c>
      <c r="K373" s="170"/>
      <c r="L373" s="288">
        <v>8.6999999999999993</v>
      </c>
      <c r="M373" s="289">
        <v>52</v>
      </c>
      <c r="N373" s="290">
        <v>40</v>
      </c>
      <c r="O373" s="46"/>
      <c r="P373" s="46" t="s">
        <v>39</v>
      </c>
      <c r="Q373" s="170"/>
      <c r="R373" s="192" t="str">
        <f t="shared" si="11"/>
        <v>40grams</v>
      </c>
      <c r="S373" s="198">
        <f t="shared" si="12"/>
        <v>2080</v>
      </c>
      <c r="T373" s="199" t="str">
        <f t="shared" si="13"/>
        <v>2080grams</v>
      </c>
      <c r="U373" s="200">
        <f t="shared" si="14"/>
        <v>452.4</v>
      </c>
      <c r="V373" s="12"/>
      <c r="W373" s="12"/>
    </row>
    <row r="374" spans="1:23" x14ac:dyDescent="0.3">
      <c r="A374" s="183" t="e">
        <f ca="1"/>
        <v>#NAME?</v>
      </c>
      <c r="B374" s="46" t="s">
        <v>1081</v>
      </c>
      <c r="C374" s="170"/>
      <c r="D374" s="194"/>
      <c r="E374" s="170"/>
      <c r="F374" s="170"/>
      <c r="G374" s="170"/>
      <c r="H374" s="206"/>
      <c r="I374" s="170"/>
      <c r="J374" s="46" t="s">
        <v>1082</v>
      </c>
      <c r="K374" s="170"/>
      <c r="L374" s="288">
        <v>95</v>
      </c>
      <c r="M374" s="289">
        <v>2</v>
      </c>
      <c r="N374" s="290">
        <v>200</v>
      </c>
      <c r="O374" s="46"/>
      <c r="P374" s="46" t="s">
        <v>39</v>
      </c>
      <c r="Q374" s="170"/>
      <c r="R374" s="192" t="str">
        <f t="shared" si="11"/>
        <v>200grams</v>
      </c>
      <c r="S374" s="198">
        <f t="shared" si="12"/>
        <v>400</v>
      </c>
      <c r="T374" s="199" t="str">
        <f t="shared" si="13"/>
        <v>400grams</v>
      </c>
      <c r="U374" s="200">
        <f t="shared" si="14"/>
        <v>190</v>
      </c>
      <c r="V374" s="12"/>
      <c r="W374" s="12"/>
    </row>
    <row r="375" spans="1:23" x14ac:dyDescent="0.3">
      <c r="A375" s="183" t="e">
        <f ca="1"/>
        <v>#NAME?</v>
      </c>
      <c r="B375" s="46" t="s">
        <v>53</v>
      </c>
      <c r="C375" s="170"/>
      <c r="D375" s="194"/>
      <c r="E375" s="194"/>
      <c r="F375" s="194"/>
      <c r="G375" s="170"/>
      <c r="H375" s="183"/>
      <c r="I375" s="170"/>
      <c r="J375" s="46" t="s">
        <v>1083</v>
      </c>
      <c r="K375" s="170"/>
      <c r="L375" s="288">
        <v>36.4</v>
      </c>
      <c r="M375" s="289">
        <v>5</v>
      </c>
      <c r="N375" s="290">
        <v>160</v>
      </c>
      <c r="O375" s="46"/>
      <c r="P375" s="46" t="s">
        <v>39</v>
      </c>
      <c r="Q375" s="170"/>
      <c r="R375" s="192" t="str">
        <f t="shared" si="11"/>
        <v>160grams</v>
      </c>
      <c r="S375" s="198">
        <f t="shared" si="12"/>
        <v>800</v>
      </c>
      <c r="T375" s="199" t="str">
        <f t="shared" si="13"/>
        <v>800grams</v>
      </c>
      <c r="U375" s="200">
        <f t="shared" si="14"/>
        <v>182</v>
      </c>
      <c r="V375" s="12"/>
      <c r="W375" s="12"/>
    </row>
    <row r="376" spans="1:23" x14ac:dyDescent="0.3">
      <c r="A376" s="183" t="e">
        <f ca="1"/>
        <v>#NAME?</v>
      </c>
      <c r="B376" s="46" t="s">
        <v>53</v>
      </c>
      <c r="C376" s="170"/>
      <c r="D376" s="194"/>
      <c r="E376" s="194"/>
      <c r="F376" s="194"/>
      <c r="G376" s="170"/>
      <c r="H376" s="183"/>
      <c r="I376" s="170"/>
      <c r="J376" s="46" t="s">
        <v>1083</v>
      </c>
      <c r="K376" s="170"/>
      <c r="L376" s="288">
        <v>35.5</v>
      </c>
      <c r="M376" s="289">
        <v>3</v>
      </c>
      <c r="N376" s="290">
        <v>160</v>
      </c>
      <c r="O376" s="46"/>
      <c r="P376" s="46" t="s">
        <v>39</v>
      </c>
      <c r="Q376" s="170"/>
      <c r="R376" s="192" t="str">
        <f t="shared" si="11"/>
        <v>160grams</v>
      </c>
      <c r="S376" s="198">
        <f t="shared" si="12"/>
        <v>480</v>
      </c>
      <c r="T376" s="199" t="str">
        <f t="shared" si="13"/>
        <v>480grams</v>
      </c>
      <c r="U376" s="200">
        <f t="shared" si="14"/>
        <v>106.5</v>
      </c>
      <c r="V376" s="12"/>
      <c r="W376" s="12"/>
    </row>
    <row r="377" spans="1:23" x14ac:dyDescent="0.3">
      <c r="A377" s="183" t="e">
        <f ca="1"/>
        <v>#NAME?</v>
      </c>
      <c r="B377" s="46" t="s">
        <v>53</v>
      </c>
      <c r="C377" s="170"/>
      <c r="D377" s="194"/>
      <c r="E377" s="170"/>
      <c r="F377" s="170"/>
      <c r="G377" s="170"/>
      <c r="H377" s="206"/>
      <c r="I377" s="170"/>
      <c r="J377" s="46" t="s">
        <v>1083</v>
      </c>
      <c r="K377" s="170"/>
      <c r="L377" s="288">
        <v>35.5</v>
      </c>
      <c r="M377" s="289">
        <v>0</v>
      </c>
      <c r="N377" s="290">
        <v>160</v>
      </c>
      <c r="O377" s="46"/>
      <c r="P377" s="46" t="s">
        <v>39</v>
      </c>
      <c r="Q377" s="170"/>
      <c r="R377" s="192" t="str">
        <f t="shared" si="11"/>
        <v>160grams</v>
      </c>
      <c r="S377" s="198">
        <f t="shared" si="12"/>
        <v>0</v>
      </c>
      <c r="T377" s="199" t="str">
        <f t="shared" si="13"/>
        <v>0grams</v>
      </c>
      <c r="U377" s="200">
        <f t="shared" si="14"/>
        <v>0</v>
      </c>
      <c r="V377" s="12"/>
      <c r="W377" s="12"/>
    </row>
    <row r="378" spans="1:23" x14ac:dyDescent="0.3">
      <c r="A378" s="183" t="e">
        <f ca="1"/>
        <v>#NAME?</v>
      </c>
      <c r="B378" s="46" t="s">
        <v>53</v>
      </c>
      <c r="C378" s="170"/>
      <c r="D378" s="194"/>
      <c r="E378" s="170"/>
      <c r="F378" s="170"/>
      <c r="G378" s="170"/>
      <c r="H378" s="206"/>
      <c r="I378" s="170"/>
      <c r="J378" s="46" t="s">
        <v>1083</v>
      </c>
      <c r="K378" s="170"/>
      <c r="L378" s="288">
        <v>35.5</v>
      </c>
      <c r="M378" s="289">
        <v>17</v>
      </c>
      <c r="N378" s="290">
        <v>160</v>
      </c>
      <c r="O378" s="46"/>
      <c r="P378" s="46" t="s">
        <v>39</v>
      </c>
      <c r="Q378" s="170"/>
      <c r="R378" s="192" t="str">
        <f t="shared" si="11"/>
        <v>160grams</v>
      </c>
      <c r="S378" s="198">
        <f t="shared" si="12"/>
        <v>2720</v>
      </c>
      <c r="T378" s="199" t="str">
        <f t="shared" si="13"/>
        <v>2720grams</v>
      </c>
      <c r="U378" s="200">
        <f t="shared" si="14"/>
        <v>603.5</v>
      </c>
      <c r="V378" s="12"/>
      <c r="W378" s="12"/>
    </row>
    <row r="379" spans="1:23" x14ac:dyDescent="0.3">
      <c r="A379" s="183" t="e">
        <f ca="1"/>
        <v>#NAME?</v>
      </c>
      <c r="B379" s="46" t="s">
        <v>53</v>
      </c>
      <c r="C379" s="170"/>
      <c r="D379" s="194"/>
      <c r="E379" s="194"/>
      <c r="F379" s="170"/>
      <c r="G379" s="170"/>
      <c r="H379" s="183"/>
      <c r="I379" s="170"/>
      <c r="J379" s="46" t="s">
        <v>1084</v>
      </c>
      <c r="K379" s="170"/>
      <c r="L379" s="288">
        <v>56.5</v>
      </c>
      <c r="M379" s="289">
        <v>3</v>
      </c>
      <c r="N379" s="290">
        <v>165</v>
      </c>
      <c r="O379" s="46"/>
      <c r="P379" s="46" t="s">
        <v>39</v>
      </c>
      <c r="Q379" s="170"/>
      <c r="R379" s="192" t="str">
        <f t="shared" si="11"/>
        <v>165grams</v>
      </c>
      <c r="S379" s="198">
        <f t="shared" si="12"/>
        <v>495</v>
      </c>
      <c r="T379" s="199" t="str">
        <f t="shared" si="13"/>
        <v>495grams</v>
      </c>
      <c r="U379" s="200">
        <f t="shared" si="14"/>
        <v>169.5</v>
      </c>
      <c r="V379" s="12"/>
      <c r="W379" s="12"/>
    </row>
    <row r="380" spans="1:23" x14ac:dyDescent="0.3">
      <c r="A380" s="183" t="e">
        <f ca="1"/>
        <v>#NAME?</v>
      </c>
      <c r="B380" s="46" t="s">
        <v>53</v>
      </c>
      <c r="C380" s="170"/>
      <c r="D380" s="194"/>
      <c r="E380" s="170"/>
      <c r="F380" s="170"/>
      <c r="G380" s="170"/>
      <c r="H380" s="206"/>
      <c r="I380" s="170"/>
      <c r="J380" s="46" t="s">
        <v>1084</v>
      </c>
      <c r="K380" s="170"/>
      <c r="L380" s="291">
        <v>135</v>
      </c>
      <c r="M380" s="292">
        <v>4</v>
      </c>
      <c r="N380" s="293">
        <v>430</v>
      </c>
      <c r="O380" s="219"/>
      <c r="P380" s="219" t="s">
        <v>39</v>
      </c>
      <c r="Q380" s="170"/>
      <c r="R380" s="192" t="str">
        <f t="shared" si="11"/>
        <v>430grams</v>
      </c>
      <c r="S380" s="198">
        <f t="shared" si="12"/>
        <v>1720</v>
      </c>
      <c r="T380" s="199" t="str">
        <f t="shared" si="13"/>
        <v>1720grams</v>
      </c>
      <c r="U380" s="200">
        <f t="shared" si="14"/>
        <v>540</v>
      </c>
      <c r="V380" s="12"/>
      <c r="W380" s="12"/>
    </row>
    <row r="381" spans="1:23" x14ac:dyDescent="0.3">
      <c r="A381" s="183" t="e">
        <f ca="1"/>
        <v>#NAME?</v>
      </c>
      <c r="B381" s="46" t="s">
        <v>53</v>
      </c>
      <c r="C381" s="170"/>
      <c r="D381" s="194"/>
      <c r="E381" s="194"/>
      <c r="F381" s="194"/>
      <c r="G381" s="170"/>
      <c r="H381" s="183"/>
      <c r="I381" s="170"/>
      <c r="J381" s="46" t="s">
        <v>1085</v>
      </c>
      <c r="K381" s="170"/>
      <c r="L381" s="288">
        <v>36.700000000000003</v>
      </c>
      <c r="M381" s="289">
        <v>1</v>
      </c>
      <c r="N381" s="290">
        <v>160</v>
      </c>
      <c r="O381" s="46"/>
      <c r="P381" s="46" t="s">
        <v>39</v>
      </c>
      <c r="Q381" s="170"/>
      <c r="R381" s="192" t="str">
        <f t="shared" si="11"/>
        <v>160grams</v>
      </c>
      <c r="S381" s="198">
        <f t="shared" si="12"/>
        <v>160</v>
      </c>
      <c r="T381" s="199" t="str">
        <f t="shared" si="13"/>
        <v>160grams</v>
      </c>
      <c r="U381" s="200">
        <f t="shared" si="14"/>
        <v>36.700000000000003</v>
      </c>
      <c r="V381" s="12"/>
      <c r="W381" s="12"/>
    </row>
    <row r="382" spans="1:23" x14ac:dyDescent="0.3">
      <c r="A382" s="183" t="e">
        <f ca="1"/>
        <v>#NAME?</v>
      </c>
      <c r="B382" s="46" t="s">
        <v>53</v>
      </c>
      <c r="C382" s="170"/>
      <c r="D382" s="194"/>
      <c r="E382" s="194"/>
      <c r="F382" s="170"/>
      <c r="G382" s="170"/>
      <c r="H382" s="206"/>
      <c r="I382" s="170"/>
      <c r="J382" s="46" t="s">
        <v>1083</v>
      </c>
      <c r="K382" s="170"/>
      <c r="L382" s="288">
        <v>105</v>
      </c>
      <c r="M382" s="289">
        <v>2</v>
      </c>
      <c r="N382" s="290">
        <v>430</v>
      </c>
      <c r="O382" s="46"/>
      <c r="P382" s="46" t="s">
        <v>39</v>
      </c>
      <c r="Q382" s="170"/>
      <c r="R382" s="192" t="str">
        <f t="shared" si="11"/>
        <v>430grams</v>
      </c>
      <c r="S382" s="198">
        <f t="shared" si="12"/>
        <v>860</v>
      </c>
      <c r="T382" s="199" t="str">
        <f t="shared" si="13"/>
        <v>860grams</v>
      </c>
      <c r="U382" s="200">
        <f t="shared" si="14"/>
        <v>210</v>
      </c>
      <c r="V382" s="12"/>
      <c r="W382" s="12"/>
    </row>
    <row r="383" spans="1:23" x14ac:dyDescent="0.3">
      <c r="A383" s="183" t="e">
        <f ca="1"/>
        <v>#NAME?</v>
      </c>
      <c r="B383" s="46" t="s">
        <v>53</v>
      </c>
      <c r="C383" s="170"/>
      <c r="D383" s="194"/>
      <c r="E383" s="194"/>
      <c r="F383" s="194"/>
      <c r="G383" s="170"/>
      <c r="H383" s="183"/>
      <c r="I383" s="170"/>
      <c r="J383" s="46" t="s">
        <v>1083</v>
      </c>
      <c r="K383" s="170"/>
      <c r="L383" s="288">
        <v>40</v>
      </c>
      <c r="M383" s="289">
        <v>1</v>
      </c>
      <c r="N383" s="290">
        <v>165</v>
      </c>
      <c r="O383" s="46"/>
      <c r="P383" s="46" t="s">
        <v>39</v>
      </c>
      <c r="Q383" s="61" t="s">
        <v>33</v>
      </c>
      <c r="R383" s="192" t="str">
        <f t="shared" si="11"/>
        <v>165grams</v>
      </c>
      <c r="S383" s="198">
        <f t="shared" si="12"/>
        <v>165</v>
      </c>
      <c r="T383" s="199" t="str">
        <f t="shared" si="13"/>
        <v>165 grams</v>
      </c>
      <c r="U383" s="200">
        <f t="shared" si="14"/>
        <v>40</v>
      </c>
      <c r="V383" s="205">
        <f>U383/M383</f>
        <v>40</v>
      </c>
      <c r="W383" s="62"/>
    </row>
    <row r="384" spans="1:23" x14ac:dyDescent="0.3">
      <c r="A384" s="183" t="e">
        <f ca="1"/>
        <v>#NAME?</v>
      </c>
      <c r="B384" s="46" t="s">
        <v>1086</v>
      </c>
      <c r="C384" s="170"/>
      <c r="D384" s="194"/>
      <c r="E384" s="194"/>
      <c r="F384" s="194"/>
      <c r="G384" s="170"/>
      <c r="H384" s="183"/>
      <c r="I384" s="170"/>
      <c r="J384" s="46" t="s">
        <v>1084</v>
      </c>
      <c r="K384" s="170"/>
      <c r="L384" s="288">
        <v>120</v>
      </c>
      <c r="M384" s="289">
        <v>6</v>
      </c>
      <c r="N384" s="290">
        <v>200</v>
      </c>
      <c r="O384" s="46"/>
      <c r="P384" s="46" t="s">
        <v>39</v>
      </c>
      <c r="Q384" s="170"/>
      <c r="R384" s="192" t="str">
        <f t="shared" si="11"/>
        <v>200grams</v>
      </c>
      <c r="S384" s="198">
        <f t="shared" si="12"/>
        <v>1200</v>
      </c>
      <c r="T384" s="199" t="str">
        <f t="shared" si="13"/>
        <v>1200grams</v>
      </c>
      <c r="U384" s="200">
        <f t="shared" si="14"/>
        <v>720</v>
      </c>
      <c r="V384" s="12"/>
      <c r="W384" s="12"/>
    </row>
    <row r="385" spans="1:23" x14ac:dyDescent="0.3">
      <c r="A385" s="183" t="e">
        <f ca="1"/>
        <v>#NAME?</v>
      </c>
      <c r="B385" s="46" t="s">
        <v>1086</v>
      </c>
      <c r="C385" s="170"/>
      <c r="D385" s="194"/>
      <c r="E385" s="194"/>
      <c r="F385" s="194"/>
      <c r="G385" s="170"/>
      <c r="H385" s="183"/>
      <c r="I385" s="170"/>
      <c r="J385" s="46" t="s">
        <v>1087</v>
      </c>
      <c r="K385" s="170"/>
      <c r="L385" s="288">
        <v>79</v>
      </c>
      <c r="M385" s="289">
        <v>5</v>
      </c>
      <c r="N385" s="290">
        <v>250</v>
      </c>
      <c r="O385" s="46"/>
      <c r="P385" s="46" t="s">
        <v>39</v>
      </c>
      <c r="Q385" s="170"/>
      <c r="R385" s="192" t="str">
        <f t="shared" si="11"/>
        <v>250grams</v>
      </c>
      <c r="S385" s="198">
        <f t="shared" si="12"/>
        <v>1250</v>
      </c>
      <c r="T385" s="199" t="str">
        <f t="shared" si="13"/>
        <v>1250grams</v>
      </c>
      <c r="U385" s="200">
        <f t="shared" si="14"/>
        <v>395</v>
      </c>
      <c r="V385" s="12"/>
      <c r="W385" s="12"/>
    </row>
    <row r="386" spans="1:23" x14ac:dyDescent="0.3">
      <c r="A386" s="183" t="e">
        <f ca="1"/>
        <v>#NAME?</v>
      </c>
      <c r="B386" s="46" t="s">
        <v>240</v>
      </c>
      <c r="C386" s="170"/>
      <c r="D386" s="194"/>
      <c r="E386" s="194"/>
      <c r="F386" s="194"/>
      <c r="G386" s="170"/>
      <c r="H386" s="183"/>
      <c r="I386" s="170"/>
      <c r="J386" s="46" t="s">
        <v>1088</v>
      </c>
      <c r="K386" s="170"/>
      <c r="L386" s="288">
        <v>88</v>
      </c>
      <c r="M386" s="289">
        <v>1</v>
      </c>
      <c r="N386" s="290">
        <v>250</v>
      </c>
      <c r="O386" s="297"/>
      <c r="P386" s="297" t="s">
        <v>39</v>
      </c>
      <c r="Q386" s="170"/>
      <c r="R386" s="192" t="str">
        <f t="shared" si="11"/>
        <v>250grams</v>
      </c>
      <c r="S386" s="198">
        <f t="shared" si="12"/>
        <v>250</v>
      </c>
      <c r="T386" s="199" t="str">
        <f t="shared" si="13"/>
        <v>250grams</v>
      </c>
      <c r="U386" s="200">
        <f t="shared" si="14"/>
        <v>88</v>
      </c>
      <c r="V386" s="205">
        <f>U386/M386</f>
        <v>88</v>
      </c>
      <c r="W386" s="62"/>
    </row>
    <row r="387" spans="1:23" x14ac:dyDescent="0.3">
      <c r="A387" s="183" t="e">
        <f ca="1"/>
        <v>#NAME?</v>
      </c>
      <c r="B387" s="46" t="s">
        <v>240</v>
      </c>
      <c r="C387" s="170"/>
      <c r="D387" s="194"/>
      <c r="E387" s="170"/>
      <c r="F387" s="170"/>
      <c r="G387" s="170"/>
      <c r="H387" s="206"/>
      <c r="I387" s="170"/>
      <c r="J387" s="46" t="s">
        <v>1089</v>
      </c>
      <c r="K387" s="170"/>
      <c r="L387" s="288">
        <v>40</v>
      </c>
      <c r="M387" s="289">
        <v>1</v>
      </c>
      <c r="N387" s="290">
        <v>200</v>
      </c>
      <c r="O387" s="46"/>
      <c r="P387" s="46" t="s">
        <v>39</v>
      </c>
      <c r="Q387" s="170"/>
      <c r="R387" s="192" t="str">
        <f t="shared" si="11"/>
        <v>200grams</v>
      </c>
      <c r="S387" s="198">
        <f t="shared" si="12"/>
        <v>200</v>
      </c>
      <c r="T387" s="199" t="str">
        <f t="shared" si="13"/>
        <v>200grams</v>
      </c>
      <c r="U387" s="200">
        <f t="shared" si="14"/>
        <v>40</v>
      </c>
      <c r="V387" s="12"/>
      <c r="W387" s="12"/>
    </row>
    <row r="388" spans="1:23" x14ac:dyDescent="0.3">
      <c r="A388" s="183" t="e">
        <f ca="1"/>
        <v>#NAME?</v>
      </c>
      <c r="B388" s="219" t="s">
        <v>240</v>
      </c>
      <c r="C388" s="170"/>
      <c r="D388" s="194"/>
      <c r="E388" s="170"/>
      <c r="F388" s="170"/>
      <c r="G388" s="170"/>
      <c r="H388" s="206"/>
      <c r="I388" s="170"/>
      <c r="J388" s="219" t="s">
        <v>1088</v>
      </c>
      <c r="K388" s="170"/>
      <c r="L388" s="291">
        <v>88</v>
      </c>
      <c r="M388" s="292">
        <v>1</v>
      </c>
      <c r="N388" s="293">
        <v>250</v>
      </c>
      <c r="O388" s="304"/>
      <c r="P388" s="304" t="s">
        <v>39</v>
      </c>
      <c r="Q388" s="170"/>
      <c r="R388" s="192" t="str">
        <f t="shared" si="11"/>
        <v>250grams</v>
      </c>
      <c r="S388" s="198">
        <f t="shared" si="12"/>
        <v>250</v>
      </c>
      <c r="T388" s="199" t="str">
        <f t="shared" si="13"/>
        <v>250grams</v>
      </c>
      <c r="U388" s="200">
        <f t="shared" si="14"/>
        <v>88</v>
      </c>
      <c r="V388" s="12"/>
      <c r="W388" s="12"/>
    </row>
    <row r="389" spans="1:23" x14ac:dyDescent="0.3">
      <c r="A389" s="183" t="e">
        <f ca="1"/>
        <v>#NAME?</v>
      </c>
      <c r="B389" s="46" t="s">
        <v>1090</v>
      </c>
      <c r="C389" s="170"/>
      <c r="D389" s="194"/>
      <c r="E389" s="194"/>
      <c r="F389" s="194"/>
      <c r="G389" s="170"/>
      <c r="H389" s="183"/>
      <c r="I389" s="170"/>
      <c r="J389" s="46" t="s">
        <v>1068</v>
      </c>
      <c r="K389" s="170"/>
      <c r="L389" s="288">
        <v>15</v>
      </c>
      <c r="M389" s="289">
        <v>3</v>
      </c>
      <c r="N389" s="290">
        <v>30</v>
      </c>
      <c r="O389" s="46"/>
      <c r="P389" s="46" t="s">
        <v>39</v>
      </c>
      <c r="Q389" s="170"/>
      <c r="R389" s="192" t="str">
        <f t="shared" si="11"/>
        <v>30grams</v>
      </c>
      <c r="S389" s="198">
        <f t="shared" si="12"/>
        <v>90</v>
      </c>
      <c r="T389" s="199" t="str">
        <f t="shared" si="13"/>
        <v>90grams</v>
      </c>
      <c r="U389" s="200">
        <f t="shared" si="14"/>
        <v>45</v>
      </c>
      <c r="V389" s="12"/>
      <c r="W389" s="12"/>
    </row>
    <row r="390" spans="1:23" x14ac:dyDescent="0.3">
      <c r="A390" s="183" t="e">
        <f ca="1"/>
        <v>#NAME?</v>
      </c>
      <c r="B390" s="46" t="s">
        <v>1090</v>
      </c>
      <c r="C390" s="170"/>
      <c r="D390" s="194"/>
      <c r="E390" s="194"/>
      <c r="F390" s="194"/>
      <c r="G390" s="170"/>
      <c r="H390" s="183"/>
      <c r="I390" s="170"/>
      <c r="J390" s="46" t="s">
        <v>1004</v>
      </c>
      <c r="K390" s="170"/>
      <c r="L390" s="288">
        <v>55</v>
      </c>
      <c r="M390" s="289">
        <v>22</v>
      </c>
      <c r="N390" s="290">
        <v>1</v>
      </c>
      <c r="O390" s="46"/>
      <c r="P390" s="46" t="s">
        <v>304</v>
      </c>
      <c r="Q390" s="170"/>
      <c r="R390" s="192" t="str">
        <f t="shared" si="11"/>
        <v>1packs</v>
      </c>
      <c r="S390" s="198">
        <f t="shared" si="12"/>
        <v>22</v>
      </c>
      <c r="T390" s="199" t="str">
        <f t="shared" si="13"/>
        <v>22packs</v>
      </c>
      <c r="U390" s="200">
        <f t="shared" si="14"/>
        <v>1210</v>
      </c>
      <c r="V390" s="12"/>
      <c r="W390" s="12"/>
    </row>
    <row r="391" spans="1:23" x14ac:dyDescent="0.3">
      <c r="A391" s="183" t="e">
        <f ca="1"/>
        <v>#NAME?</v>
      </c>
      <c r="B391" s="46" t="s">
        <v>1091</v>
      </c>
      <c r="C391" s="170"/>
      <c r="D391" s="194"/>
      <c r="E391" s="170"/>
      <c r="F391" s="170"/>
      <c r="G391" s="170"/>
      <c r="H391" s="206"/>
      <c r="I391" s="170"/>
      <c r="J391" s="46" t="s">
        <v>1068</v>
      </c>
      <c r="K391" s="170"/>
      <c r="L391" s="288">
        <v>60</v>
      </c>
      <c r="M391" s="289">
        <v>1</v>
      </c>
      <c r="N391" s="290">
        <v>1</v>
      </c>
      <c r="O391" s="46"/>
      <c r="P391" s="46" t="s">
        <v>213</v>
      </c>
      <c r="Q391" s="170"/>
      <c r="R391" s="192" t="str">
        <f t="shared" si="11"/>
        <v>1kilos</v>
      </c>
      <c r="S391" s="198">
        <f t="shared" si="12"/>
        <v>1</v>
      </c>
      <c r="T391" s="199" t="str">
        <f t="shared" si="13"/>
        <v>1kilos</v>
      </c>
      <c r="U391" s="200">
        <f t="shared" si="14"/>
        <v>60</v>
      </c>
      <c r="V391" s="12"/>
      <c r="W391" s="12"/>
    </row>
    <row r="392" spans="1:23" x14ac:dyDescent="0.3">
      <c r="A392" s="183" t="e">
        <f ca="1"/>
        <v>#NAME?</v>
      </c>
      <c r="B392" s="46" t="s">
        <v>1092</v>
      </c>
      <c r="C392" s="170"/>
      <c r="D392" s="194"/>
      <c r="E392" s="194"/>
      <c r="F392" s="194"/>
      <c r="G392" s="170"/>
      <c r="H392" s="183"/>
      <c r="I392" s="170"/>
      <c r="J392" s="170"/>
      <c r="K392" s="170"/>
      <c r="L392" s="288">
        <v>220</v>
      </c>
      <c r="M392" s="289">
        <v>2</v>
      </c>
      <c r="N392" s="290">
        <v>1000</v>
      </c>
      <c r="O392" s="46"/>
      <c r="P392" s="46" t="s">
        <v>39</v>
      </c>
      <c r="Q392" s="170"/>
      <c r="R392" s="192" t="str">
        <f t="shared" si="11"/>
        <v>1000grams</v>
      </c>
      <c r="S392" s="198">
        <f t="shared" si="12"/>
        <v>2000</v>
      </c>
      <c r="T392" s="199" t="str">
        <f t="shared" si="13"/>
        <v>2000grams</v>
      </c>
      <c r="U392" s="200">
        <f t="shared" si="14"/>
        <v>440</v>
      </c>
      <c r="V392" s="12"/>
      <c r="W392" s="12"/>
    </row>
    <row r="393" spans="1:23" x14ac:dyDescent="0.3">
      <c r="A393" s="183" t="e">
        <f ca="1"/>
        <v>#NAME?</v>
      </c>
      <c r="B393" s="46" t="s">
        <v>1093</v>
      </c>
      <c r="C393" s="170"/>
      <c r="D393" s="194"/>
      <c r="E393" s="194"/>
      <c r="F393" s="194"/>
      <c r="G393" s="170"/>
      <c r="H393" s="183"/>
      <c r="I393" s="170"/>
      <c r="J393" s="170"/>
      <c r="K393" s="170"/>
      <c r="L393" s="288">
        <v>290</v>
      </c>
      <c r="M393" s="289">
        <v>3</v>
      </c>
      <c r="N393" s="290">
        <v>1</v>
      </c>
      <c r="O393" s="46"/>
      <c r="P393" s="46" t="s">
        <v>213</v>
      </c>
      <c r="Q393" s="170"/>
      <c r="R393" s="192" t="str">
        <f t="shared" si="11"/>
        <v>1kilos</v>
      </c>
      <c r="S393" s="198">
        <f t="shared" si="12"/>
        <v>3</v>
      </c>
      <c r="T393" s="199" t="str">
        <f t="shared" si="13"/>
        <v>3kilos</v>
      </c>
      <c r="U393" s="200">
        <f t="shared" si="14"/>
        <v>870</v>
      </c>
      <c r="V393" s="12"/>
      <c r="W393" s="12"/>
    </row>
    <row r="394" spans="1:23" x14ac:dyDescent="0.3">
      <c r="A394" s="183" t="e">
        <f ca="1"/>
        <v>#NAME?</v>
      </c>
      <c r="B394" s="46" t="s">
        <v>1094</v>
      </c>
      <c r="C394" s="170"/>
      <c r="D394" s="194"/>
      <c r="E394" s="170"/>
      <c r="F394" s="170"/>
      <c r="G394" s="170"/>
      <c r="H394" s="206"/>
      <c r="I394" s="170"/>
      <c r="J394" s="170"/>
      <c r="K394" s="170"/>
      <c r="L394" s="288">
        <v>190</v>
      </c>
      <c r="M394" s="289">
        <v>6</v>
      </c>
      <c r="N394" s="290">
        <v>1</v>
      </c>
      <c r="O394" s="46"/>
      <c r="P394" s="46" t="s">
        <v>213</v>
      </c>
      <c r="Q394" s="170"/>
      <c r="R394" s="192" t="str">
        <f t="shared" si="11"/>
        <v>1kilos</v>
      </c>
      <c r="S394" s="198">
        <f t="shared" si="12"/>
        <v>6</v>
      </c>
      <c r="T394" s="199" t="str">
        <f t="shared" si="13"/>
        <v>6kilos</v>
      </c>
      <c r="U394" s="200">
        <f t="shared" si="14"/>
        <v>1140</v>
      </c>
      <c r="V394" s="12"/>
      <c r="W394" s="12"/>
    </row>
    <row r="395" spans="1:23" x14ac:dyDescent="0.3">
      <c r="A395" s="183" t="e">
        <f ca="1"/>
        <v>#NAME?</v>
      </c>
      <c r="B395" s="46" t="s">
        <v>1094</v>
      </c>
      <c r="C395" s="170"/>
      <c r="D395" s="194"/>
      <c r="E395" s="194"/>
      <c r="F395" s="170"/>
      <c r="G395" s="170"/>
      <c r="H395" s="183"/>
      <c r="I395" s="170"/>
      <c r="J395" s="170"/>
      <c r="K395" s="170"/>
      <c r="L395" s="288">
        <v>170</v>
      </c>
      <c r="M395" s="289">
        <v>7</v>
      </c>
      <c r="N395" s="290">
        <v>1</v>
      </c>
      <c r="O395" s="46"/>
      <c r="P395" s="46" t="s">
        <v>213</v>
      </c>
      <c r="Q395" s="170"/>
      <c r="R395" s="192" t="str">
        <f t="shared" si="11"/>
        <v>1kilos</v>
      </c>
      <c r="S395" s="198">
        <f t="shared" si="12"/>
        <v>7</v>
      </c>
      <c r="T395" s="199" t="str">
        <f t="shared" si="13"/>
        <v>7kilos</v>
      </c>
      <c r="U395" s="200">
        <f t="shared" si="14"/>
        <v>1190</v>
      </c>
      <c r="V395" s="12"/>
      <c r="W395" s="12"/>
    </row>
    <row r="396" spans="1:23" x14ac:dyDescent="0.3">
      <c r="A396" s="183" t="e">
        <f ca="1"/>
        <v>#NAME?</v>
      </c>
      <c r="B396" s="46" t="s">
        <v>1094</v>
      </c>
      <c r="C396" s="170"/>
      <c r="D396" s="194"/>
      <c r="E396" s="194"/>
      <c r="F396" s="170"/>
      <c r="G396" s="170"/>
      <c r="H396" s="183"/>
      <c r="I396" s="170"/>
      <c r="J396" s="215"/>
      <c r="K396" s="170"/>
      <c r="L396" s="291">
        <v>190</v>
      </c>
      <c r="M396" s="292">
        <v>11</v>
      </c>
      <c r="N396" s="293">
        <v>1</v>
      </c>
      <c r="O396" s="219"/>
      <c r="P396" s="219" t="s">
        <v>213</v>
      </c>
      <c r="Q396" s="170"/>
      <c r="R396" s="192" t="str">
        <f t="shared" si="11"/>
        <v>1kilos</v>
      </c>
      <c r="S396" s="198">
        <f t="shared" si="12"/>
        <v>11</v>
      </c>
      <c r="T396" s="199" t="str">
        <f t="shared" si="13"/>
        <v>11kilos</v>
      </c>
      <c r="U396" s="200">
        <f t="shared" si="14"/>
        <v>2090</v>
      </c>
      <c r="V396" s="12"/>
      <c r="W396" s="12"/>
    </row>
    <row r="397" spans="1:23" x14ac:dyDescent="0.3">
      <c r="A397" s="183" t="e">
        <f ca="1"/>
        <v>#NAME?</v>
      </c>
      <c r="B397" s="46" t="s">
        <v>1093</v>
      </c>
      <c r="C397" s="170"/>
      <c r="D397" s="194"/>
      <c r="E397" s="194"/>
      <c r="F397" s="170"/>
      <c r="G397" s="170"/>
      <c r="H397" s="183"/>
      <c r="I397" s="170"/>
      <c r="J397" s="215"/>
      <c r="K397" s="170"/>
      <c r="L397" s="291">
        <v>265</v>
      </c>
      <c r="M397" s="292">
        <v>2</v>
      </c>
      <c r="N397" s="293">
        <v>1</v>
      </c>
      <c r="O397" s="219"/>
      <c r="P397" s="219" t="s">
        <v>213</v>
      </c>
      <c r="Q397" s="170"/>
      <c r="R397" s="192" t="str">
        <f t="shared" si="11"/>
        <v>1kilos</v>
      </c>
      <c r="S397" s="198">
        <f t="shared" si="12"/>
        <v>2</v>
      </c>
      <c r="T397" s="199" t="str">
        <f t="shared" si="13"/>
        <v>2kilos</v>
      </c>
      <c r="U397" s="200">
        <f t="shared" si="14"/>
        <v>530</v>
      </c>
      <c r="V397" s="12"/>
      <c r="W397" s="12"/>
    </row>
    <row r="398" spans="1:23" x14ac:dyDescent="0.3">
      <c r="A398" s="183" t="e">
        <f ca="1"/>
        <v>#NAME?</v>
      </c>
      <c r="B398" s="46" t="s">
        <v>1095</v>
      </c>
      <c r="C398" s="170"/>
      <c r="D398" s="194"/>
      <c r="E398" s="194"/>
      <c r="F398" s="194"/>
      <c r="G398" s="170"/>
      <c r="H398" s="206"/>
      <c r="I398" s="170"/>
      <c r="J398" s="46" t="s">
        <v>850</v>
      </c>
      <c r="K398" s="170"/>
      <c r="L398" s="288">
        <v>265</v>
      </c>
      <c r="M398" s="289">
        <v>7</v>
      </c>
      <c r="N398" s="290">
        <v>1000</v>
      </c>
      <c r="O398" s="46"/>
      <c r="P398" s="46" t="s">
        <v>39</v>
      </c>
      <c r="Q398" s="170"/>
      <c r="R398" s="192" t="str">
        <f t="shared" si="11"/>
        <v>1000grams</v>
      </c>
      <c r="S398" s="198">
        <f t="shared" si="12"/>
        <v>7000</v>
      </c>
      <c r="T398" s="199" t="str">
        <f t="shared" si="13"/>
        <v>7000grams</v>
      </c>
      <c r="U398" s="200">
        <f t="shared" si="14"/>
        <v>1855</v>
      </c>
      <c r="V398" s="12"/>
      <c r="W398" s="12"/>
    </row>
    <row r="399" spans="1:23" x14ac:dyDescent="0.3">
      <c r="A399" s="183" t="e">
        <f ca="1"/>
        <v>#NAME?</v>
      </c>
      <c r="B399" s="46" t="s">
        <v>1096</v>
      </c>
      <c r="C399" s="170"/>
      <c r="D399" s="194"/>
      <c r="E399" s="170"/>
      <c r="F399" s="170"/>
      <c r="G399" s="170"/>
      <c r="H399" s="206"/>
      <c r="I399" s="170"/>
      <c r="J399" s="170"/>
      <c r="K399" s="170"/>
      <c r="L399" s="288">
        <v>150</v>
      </c>
      <c r="M399" s="289">
        <v>56</v>
      </c>
      <c r="N399" s="290">
        <v>1</v>
      </c>
      <c r="O399" s="46"/>
      <c r="P399" s="46" t="s">
        <v>213</v>
      </c>
      <c r="Q399" s="170"/>
      <c r="R399" s="192" t="str">
        <f t="shared" si="11"/>
        <v>1kilos</v>
      </c>
      <c r="S399" s="198">
        <f t="shared" si="12"/>
        <v>56</v>
      </c>
      <c r="T399" s="199" t="str">
        <f t="shared" si="13"/>
        <v>56kilos</v>
      </c>
      <c r="U399" s="200">
        <f t="shared" si="14"/>
        <v>8400</v>
      </c>
      <c r="V399" s="12"/>
      <c r="W399" s="12"/>
    </row>
    <row r="400" spans="1:23" x14ac:dyDescent="0.3">
      <c r="A400" s="183" t="e">
        <f ca="1"/>
        <v>#NAME?</v>
      </c>
      <c r="B400" s="46" t="s">
        <v>1097</v>
      </c>
      <c r="C400" s="170"/>
      <c r="D400" s="194"/>
      <c r="E400" s="194"/>
      <c r="F400" s="170"/>
      <c r="G400" s="170"/>
      <c r="H400" s="183"/>
      <c r="I400" s="170"/>
      <c r="J400" s="170"/>
      <c r="K400" s="170"/>
      <c r="L400" s="288">
        <v>134</v>
      </c>
      <c r="M400" s="289">
        <v>4</v>
      </c>
      <c r="N400" s="290">
        <v>1</v>
      </c>
      <c r="O400" s="46"/>
      <c r="P400" s="46" t="s">
        <v>213</v>
      </c>
      <c r="Q400" s="170"/>
      <c r="R400" s="192" t="str">
        <f t="shared" si="11"/>
        <v>1kilos</v>
      </c>
      <c r="S400" s="198">
        <f t="shared" si="12"/>
        <v>4</v>
      </c>
      <c r="T400" s="199" t="str">
        <f t="shared" si="13"/>
        <v>4kilos</v>
      </c>
      <c r="U400" s="200">
        <f t="shared" si="14"/>
        <v>536</v>
      </c>
      <c r="V400" s="205">
        <f>U400/M400</f>
        <v>134</v>
      </c>
      <c r="W400" s="62"/>
    </row>
    <row r="401" spans="1:23" x14ac:dyDescent="0.3">
      <c r="A401" s="183" t="e">
        <f ca="1"/>
        <v>#NAME?</v>
      </c>
      <c r="B401" s="46" t="s">
        <v>1097</v>
      </c>
      <c r="C401" s="170"/>
      <c r="D401" s="194"/>
      <c r="E401" s="194"/>
      <c r="F401" s="170"/>
      <c r="G401" s="170"/>
      <c r="H401" s="183"/>
      <c r="I401" s="170"/>
      <c r="J401" s="170"/>
      <c r="K401" s="170"/>
      <c r="L401" s="288">
        <v>134</v>
      </c>
      <c r="M401" s="289">
        <v>38</v>
      </c>
      <c r="N401" s="290">
        <v>1</v>
      </c>
      <c r="O401" s="46"/>
      <c r="P401" s="46" t="s">
        <v>213</v>
      </c>
      <c r="Q401" s="170"/>
      <c r="R401" s="192" t="str">
        <f t="shared" si="11"/>
        <v>1kilos</v>
      </c>
      <c r="S401" s="198">
        <f t="shared" si="12"/>
        <v>38</v>
      </c>
      <c r="T401" s="199" t="str">
        <f t="shared" si="13"/>
        <v>38kilos</v>
      </c>
      <c r="U401" s="200">
        <f t="shared" si="14"/>
        <v>5092</v>
      </c>
      <c r="V401" s="12"/>
      <c r="W401" s="12"/>
    </row>
    <row r="402" spans="1:23" x14ac:dyDescent="0.3">
      <c r="A402" s="183" t="e">
        <f ca="1"/>
        <v>#NAME?</v>
      </c>
      <c r="B402" s="46" t="s">
        <v>1097</v>
      </c>
      <c r="C402" s="170"/>
      <c r="D402" s="194"/>
      <c r="E402" s="170"/>
      <c r="F402" s="170"/>
      <c r="G402" s="170"/>
      <c r="H402" s="206"/>
      <c r="I402" s="170"/>
      <c r="J402" s="170"/>
      <c r="K402" s="170"/>
      <c r="L402" s="288">
        <v>134</v>
      </c>
      <c r="M402" s="289">
        <v>115</v>
      </c>
      <c r="N402" s="290">
        <v>1</v>
      </c>
      <c r="O402" s="46"/>
      <c r="P402" s="46" t="s">
        <v>213</v>
      </c>
      <c r="Q402" s="170"/>
      <c r="R402" s="192" t="str">
        <f t="shared" si="11"/>
        <v>1kilos</v>
      </c>
      <c r="S402" s="198">
        <f t="shared" si="12"/>
        <v>115</v>
      </c>
      <c r="T402" s="199" t="str">
        <f t="shared" si="13"/>
        <v>115kilos</v>
      </c>
      <c r="U402" s="200">
        <f t="shared" si="14"/>
        <v>15410</v>
      </c>
      <c r="V402" s="12"/>
      <c r="W402" s="12"/>
    </row>
    <row r="403" spans="1:23" x14ac:dyDescent="0.3">
      <c r="A403" s="183" t="e">
        <f ca="1"/>
        <v>#NAME?</v>
      </c>
      <c r="B403" s="46" t="s">
        <v>1097</v>
      </c>
      <c r="C403" s="170"/>
      <c r="D403" s="194"/>
      <c r="E403" s="194"/>
      <c r="F403" s="170"/>
      <c r="G403" s="170"/>
      <c r="H403" s="183"/>
      <c r="I403" s="170"/>
      <c r="J403" s="170"/>
      <c r="K403" s="170"/>
      <c r="L403" s="288">
        <v>134</v>
      </c>
      <c r="M403" s="289">
        <v>64</v>
      </c>
      <c r="N403" s="290">
        <v>1</v>
      </c>
      <c r="O403" s="46"/>
      <c r="P403" s="46" t="s">
        <v>213</v>
      </c>
      <c r="Q403" s="170"/>
      <c r="R403" s="192" t="str">
        <f t="shared" si="11"/>
        <v>1kilos</v>
      </c>
      <c r="S403" s="198">
        <f t="shared" si="12"/>
        <v>64</v>
      </c>
      <c r="T403" s="199" t="str">
        <f t="shared" si="13"/>
        <v>64kilos</v>
      </c>
      <c r="U403" s="200">
        <f t="shared" si="14"/>
        <v>8576</v>
      </c>
      <c r="V403" s="12"/>
      <c r="W403" s="12"/>
    </row>
    <row r="404" spans="1:23" x14ac:dyDescent="0.3">
      <c r="A404" s="183" t="e">
        <f ca="1"/>
        <v>#NAME?</v>
      </c>
      <c r="B404" s="46" t="s">
        <v>1097</v>
      </c>
      <c r="C404" s="170"/>
      <c r="D404" s="194"/>
      <c r="E404" s="170"/>
      <c r="F404" s="170"/>
      <c r="G404" s="170"/>
      <c r="H404" s="206"/>
      <c r="I404" s="170"/>
      <c r="J404" s="46" t="s">
        <v>1098</v>
      </c>
      <c r="K404" s="170"/>
      <c r="L404" s="288">
        <v>145</v>
      </c>
      <c r="M404" s="289">
        <v>11</v>
      </c>
      <c r="N404" s="290">
        <v>1000</v>
      </c>
      <c r="O404" s="46"/>
      <c r="P404" s="46" t="s">
        <v>213</v>
      </c>
      <c r="Q404" s="170"/>
      <c r="R404" s="192" t="str">
        <f t="shared" si="11"/>
        <v>1000kilos</v>
      </c>
      <c r="S404" s="198">
        <f t="shared" si="12"/>
        <v>11000</v>
      </c>
      <c r="T404" s="199" t="str">
        <f t="shared" si="13"/>
        <v>11000kilos</v>
      </c>
      <c r="U404" s="200">
        <f t="shared" si="14"/>
        <v>1595</v>
      </c>
      <c r="V404" s="12"/>
      <c r="W404" s="12"/>
    </row>
    <row r="405" spans="1:23" x14ac:dyDescent="0.3">
      <c r="A405" s="183" t="e">
        <f ca="1"/>
        <v>#NAME?</v>
      </c>
      <c r="B405" s="46" t="s">
        <v>1099</v>
      </c>
      <c r="C405" s="170"/>
      <c r="D405" s="194"/>
      <c r="E405" s="170"/>
      <c r="F405" s="170"/>
      <c r="G405" s="170"/>
      <c r="H405" s="183"/>
      <c r="I405" s="170"/>
      <c r="J405" s="46" t="s">
        <v>850</v>
      </c>
      <c r="K405" s="170"/>
      <c r="L405" s="288">
        <v>190</v>
      </c>
      <c r="M405" s="289">
        <v>12</v>
      </c>
      <c r="N405" s="290">
        <v>1000</v>
      </c>
      <c r="O405" s="46"/>
      <c r="P405" s="46" t="s">
        <v>39</v>
      </c>
      <c r="Q405" s="170"/>
      <c r="R405" s="192" t="str">
        <f t="shared" si="11"/>
        <v>1000grams</v>
      </c>
      <c r="S405" s="198">
        <f t="shared" si="12"/>
        <v>12000</v>
      </c>
      <c r="T405" s="199" t="str">
        <f t="shared" si="13"/>
        <v>12000grams</v>
      </c>
      <c r="U405" s="200">
        <f t="shared" si="14"/>
        <v>2280</v>
      </c>
      <c r="V405" s="12"/>
      <c r="W405" s="12"/>
    </row>
    <row r="406" spans="1:23" x14ac:dyDescent="0.3">
      <c r="A406" s="193" t="e">
        <f ca="1"/>
        <v>#NAME?</v>
      </c>
      <c r="B406" s="46" t="s">
        <v>1094</v>
      </c>
      <c r="C406" s="170"/>
      <c r="D406" s="194"/>
      <c r="E406" s="170"/>
      <c r="F406" s="170"/>
      <c r="G406" s="170"/>
      <c r="H406" s="206"/>
      <c r="I406" s="170"/>
      <c r="J406" s="170"/>
      <c r="K406" s="170"/>
      <c r="L406" s="288">
        <v>185</v>
      </c>
      <c r="M406" s="289">
        <v>50</v>
      </c>
      <c r="N406" s="290">
        <v>1</v>
      </c>
      <c r="O406" s="46"/>
      <c r="P406" s="46" t="s">
        <v>213</v>
      </c>
      <c r="Q406" s="170"/>
      <c r="R406" s="192" t="str">
        <f t="shared" si="11"/>
        <v>1kilos</v>
      </c>
      <c r="S406" s="198">
        <f t="shared" si="12"/>
        <v>50</v>
      </c>
      <c r="T406" s="199" t="str">
        <f t="shared" si="13"/>
        <v>50kilos</v>
      </c>
      <c r="U406" s="200">
        <f t="shared" si="14"/>
        <v>9250</v>
      </c>
      <c r="V406" s="12"/>
      <c r="W406" s="12"/>
    </row>
    <row r="407" spans="1:23" x14ac:dyDescent="0.3">
      <c r="A407" s="183" t="e">
        <f ca="1"/>
        <v>#NAME?</v>
      </c>
      <c r="B407" s="46" t="s">
        <v>1094</v>
      </c>
      <c r="C407" s="170"/>
      <c r="D407" s="194"/>
      <c r="E407" s="170"/>
      <c r="F407" s="170"/>
      <c r="G407" s="170"/>
      <c r="H407" s="206"/>
      <c r="I407" s="170"/>
      <c r="J407" s="170"/>
      <c r="K407" s="170"/>
      <c r="L407" s="288">
        <v>195</v>
      </c>
      <c r="M407" s="289">
        <v>78</v>
      </c>
      <c r="N407" s="290">
        <v>1000</v>
      </c>
      <c r="O407" s="46"/>
      <c r="P407" s="46" t="s">
        <v>39</v>
      </c>
      <c r="Q407" s="170"/>
      <c r="R407" s="192" t="str">
        <f t="shared" si="11"/>
        <v>1000grams</v>
      </c>
      <c r="S407" s="198">
        <f t="shared" si="12"/>
        <v>78000</v>
      </c>
      <c r="T407" s="199" t="str">
        <f t="shared" si="13"/>
        <v>78000grams</v>
      </c>
      <c r="U407" s="200">
        <f t="shared" si="14"/>
        <v>15210</v>
      </c>
      <c r="V407" s="12"/>
      <c r="W407" s="12"/>
    </row>
    <row r="408" spans="1:23" x14ac:dyDescent="0.3">
      <c r="A408" s="183" t="e">
        <f ca="1"/>
        <v>#NAME?</v>
      </c>
      <c r="B408" s="219" t="s">
        <v>242</v>
      </c>
      <c r="C408" s="170"/>
      <c r="D408" s="194"/>
      <c r="E408" s="170"/>
      <c r="F408" s="170"/>
      <c r="G408" s="170"/>
      <c r="H408" s="183"/>
      <c r="I408" s="170"/>
      <c r="J408" s="219" t="s">
        <v>987</v>
      </c>
      <c r="K408" s="170"/>
      <c r="L408" s="291">
        <v>55</v>
      </c>
      <c r="M408" s="292">
        <v>4</v>
      </c>
      <c r="N408" s="293">
        <v>60</v>
      </c>
      <c r="O408" s="219"/>
      <c r="P408" s="219" t="s">
        <v>39</v>
      </c>
      <c r="Q408" s="170"/>
      <c r="R408" s="192" t="str">
        <f t="shared" si="11"/>
        <v>60grams</v>
      </c>
      <c r="S408" s="198">
        <f t="shared" si="12"/>
        <v>240</v>
      </c>
      <c r="T408" s="199" t="str">
        <f t="shared" si="13"/>
        <v>240grams</v>
      </c>
      <c r="U408" s="200">
        <f t="shared" si="14"/>
        <v>220</v>
      </c>
      <c r="V408" s="12"/>
      <c r="W408" s="12"/>
    </row>
    <row r="409" spans="1:23" x14ac:dyDescent="0.3">
      <c r="A409" s="183" t="e">
        <f ca="1"/>
        <v>#NAME?</v>
      </c>
      <c r="B409" s="46" t="s">
        <v>1100</v>
      </c>
      <c r="C409" s="170"/>
      <c r="D409" s="194"/>
      <c r="E409" s="194"/>
      <c r="F409" s="194"/>
      <c r="G409" s="170"/>
      <c r="H409" s="183"/>
      <c r="I409" s="170"/>
      <c r="J409" s="46" t="s">
        <v>1101</v>
      </c>
      <c r="K409" s="170"/>
      <c r="L409" s="288">
        <v>300</v>
      </c>
      <c r="M409" s="289">
        <v>0</v>
      </c>
      <c r="N409" s="290">
        <v>1000</v>
      </c>
      <c r="O409" s="46"/>
      <c r="P409" s="46" t="s">
        <v>39</v>
      </c>
      <c r="Q409" s="170"/>
      <c r="R409" s="192" t="str">
        <f t="shared" si="11"/>
        <v>1000grams</v>
      </c>
      <c r="S409" s="198">
        <f t="shared" si="12"/>
        <v>0</v>
      </c>
      <c r="T409" s="199" t="str">
        <f t="shared" si="13"/>
        <v>0grams</v>
      </c>
      <c r="U409" s="200">
        <f t="shared" si="14"/>
        <v>0</v>
      </c>
      <c r="V409" s="12"/>
      <c r="W409" s="12"/>
    </row>
    <row r="410" spans="1:23" x14ac:dyDescent="0.3">
      <c r="A410" s="183" t="e">
        <f ca="1"/>
        <v>#NAME?</v>
      </c>
      <c r="B410" s="46" t="s">
        <v>244</v>
      </c>
      <c r="C410" s="170"/>
      <c r="D410" s="194"/>
      <c r="E410" s="170"/>
      <c r="F410" s="170"/>
      <c r="G410" s="170"/>
      <c r="H410" s="206"/>
      <c r="I410" s="170"/>
      <c r="J410" s="46" t="s">
        <v>1102</v>
      </c>
      <c r="K410" s="170"/>
      <c r="L410" s="288">
        <v>157.5</v>
      </c>
      <c r="M410" s="289">
        <v>2</v>
      </c>
      <c r="N410" s="290">
        <v>226</v>
      </c>
      <c r="O410" s="46"/>
      <c r="P410" s="46" t="s">
        <v>39</v>
      </c>
      <c r="Q410" s="170"/>
      <c r="R410" s="192" t="str">
        <f t="shared" si="11"/>
        <v>226grams</v>
      </c>
      <c r="S410" s="198">
        <f t="shared" si="12"/>
        <v>452</v>
      </c>
      <c r="T410" s="199" t="str">
        <f t="shared" si="13"/>
        <v>452grams</v>
      </c>
      <c r="U410" s="200">
        <f t="shared" si="14"/>
        <v>315</v>
      </c>
      <c r="V410" s="12"/>
      <c r="W410" s="12"/>
    </row>
    <row r="411" spans="1:23" x14ac:dyDescent="0.3">
      <c r="A411" s="183" t="e">
        <f ca="1"/>
        <v>#NAME?</v>
      </c>
      <c r="B411" s="219" t="s">
        <v>1103</v>
      </c>
      <c r="C411" s="170"/>
      <c r="D411" s="194"/>
      <c r="E411" s="194"/>
      <c r="F411" s="194"/>
      <c r="G411" s="170"/>
      <c r="H411" s="183"/>
      <c r="I411" s="170"/>
      <c r="J411" s="215"/>
      <c r="K411" s="170"/>
      <c r="L411" s="291">
        <v>22</v>
      </c>
      <c r="M411" s="292">
        <v>1</v>
      </c>
      <c r="N411" s="293">
        <v>30</v>
      </c>
      <c r="O411" s="219"/>
      <c r="P411" s="219" t="s">
        <v>39</v>
      </c>
      <c r="Q411" s="170"/>
      <c r="R411" s="192" t="str">
        <f t="shared" si="11"/>
        <v>30grams</v>
      </c>
      <c r="S411" s="198">
        <f t="shared" si="12"/>
        <v>30</v>
      </c>
      <c r="T411" s="199" t="str">
        <f t="shared" si="13"/>
        <v>30grams</v>
      </c>
      <c r="U411" s="200">
        <f t="shared" si="14"/>
        <v>22</v>
      </c>
      <c r="V411" s="12"/>
      <c r="W411" s="12"/>
    </row>
    <row r="412" spans="1:23" x14ac:dyDescent="0.3">
      <c r="A412" s="183" t="e">
        <f ca="1"/>
        <v>#NAME?</v>
      </c>
      <c r="B412" s="219" t="s">
        <v>1103</v>
      </c>
      <c r="C412" s="170"/>
      <c r="D412" s="194"/>
      <c r="E412" s="194"/>
      <c r="F412" s="194"/>
      <c r="G412" s="194"/>
      <c r="H412" s="183"/>
      <c r="I412" s="170"/>
      <c r="J412" s="219" t="s">
        <v>854</v>
      </c>
      <c r="K412" s="170"/>
      <c r="L412" s="288">
        <v>87.5</v>
      </c>
      <c r="M412" s="289">
        <v>2</v>
      </c>
      <c r="N412" s="290">
        <v>35</v>
      </c>
      <c r="O412" s="46"/>
      <c r="P412" s="46" t="s">
        <v>39</v>
      </c>
      <c r="Q412" s="170"/>
      <c r="R412" s="192" t="str">
        <f t="shared" si="11"/>
        <v>35grams</v>
      </c>
      <c r="S412" s="198">
        <f t="shared" si="12"/>
        <v>70</v>
      </c>
      <c r="T412" s="199" t="str">
        <f t="shared" si="13"/>
        <v>70grams</v>
      </c>
      <c r="U412" s="200">
        <f t="shared" si="14"/>
        <v>175</v>
      </c>
      <c r="V412" s="12"/>
      <c r="W412" s="12"/>
    </row>
    <row r="413" spans="1:23" x14ac:dyDescent="0.3">
      <c r="A413" s="183" t="e">
        <f ca="1"/>
        <v>#NAME?</v>
      </c>
      <c r="B413" s="219" t="s">
        <v>1103</v>
      </c>
      <c r="C413" s="170"/>
      <c r="D413" s="194"/>
      <c r="E413" s="170"/>
      <c r="F413" s="170"/>
      <c r="G413" s="170"/>
      <c r="H413" s="206"/>
      <c r="I413" s="170"/>
      <c r="J413" s="219" t="s">
        <v>854</v>
      </c>
      <c r="K413" s="170"/>
      <c r="L413" s="291">
        <v>87.5</v>
      </c>
      <c r="M413" s="292">
        <v>2</v>
      </c>
      <c r="N413" s="293">
        <v>35</v>
      </c>
      <c r="O413" s="219"/>
      <c r="P413" s="219" t="s">
        <v>39</v>
      </c>
      <c r="Q413" s="170"/>
      <c r="R413" s="192" t="str">
        <f t="shared" si="11"/>
        <v>35grams</v>
      </c>
      <c r="S413" s="198">
        <f t="shared" si="12"/>
        <v>70</v>
      </c>
      <c r="T413" s="199" t="str">
        <f t="shared" si="13"/>
        <v>70grams</v>
      </c>
      <c r="U413" s="200">
        <f t="shared" si="14"/>
        <v>175</v>
      </c>
      <c r="V413" s="12"/>
      <c r="W413" s="12"/>
    </row>
    <row r="414" spans="1:23" x14ac:dyDescent="0.3">
      <c r="A414" s="183" t="e">
        <f ca="1"/>
        <v>#NAME?</v>
      </c>
      <c r="B414" s="46" t="s">
        <v>1104</v>
      </c>
      <c r="C414" s="170"/>
      <c r="D414" s="194"/>
      <c r="E414" s="170"/>
      <c r="F414" s="170"/>
      <c r="G414" s="170"/>
      <c r="H414" s="183"/>
      <c r="I414" s="170"/>
      <c r="J414" s="219" t="s">
        <v>854</v>
      </c>
      <c r="K414" s="170"/>
      <c r="L414" s="288">
        <v>87.5</v>
      </c>
      <c r="M414" s="289">
        <v>0</v>
      </c>
      <c r="N414" s="290">
        <v>35</v>
      </c>
      <c r="O414" s="46"/>
      <c r="P414" s="46" t="s">
        <v>39</v>
      </c>
      <c r="Q414" s="170"/>
      <c r="R414" s="192" t="str">
        <f t="shared" si="11"/>
        <v>35grams</v>
      </c>
      <c r="S414" s="198">
        <f t="shared" si="12"/>
        <v>0</v>
      </c>
      <c r="T414" s="199" t="str">
        <f t="shared" si="13"/>
        <v>0grams</v>
      </c>
      <c r="U414" s="200">
        <f t="shared" si="14"/>
        <v>0</v>
      </c>
      <c r="V414" s="12"/>
      <c r="W414" s="12"/>
    </row>
    <row r="415" spans="1:23" x14ac:dyDescent="0.3">
      <c r="A415" s="183" t="e">
        <f ca="1"/>
        <v>#NAME?</v>
      </c>
      <c r="B415" s="219" t="s">
        <v>1105</v>
      </c>
      <c r="C415" s="170"/>
      <c r="D415" s="194"/>
      <c r="E415" s="170"/>
      <c r="F415" s="170"/>
      <c r="G415" s="170"/>
      <c r="H415" s="183"/>
      <c r="I415" s="170"/>
      <c r="J415" s="219" t="s">
        <v>1106</v>
      </c>
      <c r="K415" s="170"/>
      <c r="L415" s="291">
        <v>125</v>
      </c>
      <c r="M415" s="292">
        <v>1</v>
      </c>
      <c r="N415" s="293">
        <v>350</v>
      </c>
      <c r="O415" s="219"/>
      <c r="P415" s="219" t="s">
        <v>39</v>
      </c>
      <c r="Q415" s="170"/>
      <c r="R415" s="192" t="str">
        <f t="shared" si="11"/>
        <v>350grams</v>
      </c>
      <c r="S415" s="198">
        <f t="shared" si="12"/>
        <v>350</v>
      </c>
      <c r="T415" s="199" t="str">
        <f t="shared" si="13"/>
        <v>350grams</v>
      </c>
      <c r="U415" s="200">
        <f t="shared" si="14"/>
        <v>125</v>
      </c>
      <c r="V415" s="12"/>
      <c r="W415" s="12"/>
    </row>
    <row r="416" spans="1:23" x14ac:dyDescent="0.3">
      <c r="A416" s="183" t="e">
        <f ca="1"/>
        <v>#NAME?</v>
      </c>
      <c r="B416" s="170" t="s">
        <v>1107</v>
      </c>
      <c r="C416" s="170"/>
      <c r="D416" s="194"/>
      <c r="E416" s="170"/>
      <c r="F416" s="170"/>
      <c r="G416" s="170"/>
      <c r="H416" s="206"/>
      <c r="I416" s="170"/>
      <c r="J416" s="46" t="s">
        <v>1108</v>
      </c>
      <c r="K416" s="170"/>
      <c r="L416" s="288">
        <v>8.9</v>
      </c>
      <c r="M416" s="289">
        <v>576</v>
      </c>
      <c r="N416" s="290">
        <v>24</v>
      </c>
      <c r="O416" s="46"/>
      <c r="P416" s="46" t="s">
        <v>39</v>
      </c>
      <c r="Q416" s="170"/>
      <c r="R416" s="192" t="str">
        <f t="shared" si="11"/>
        <v>24grams</v>
      </c>
      <c r="S416" s="198">
        <f t="shared" si="12"/>
        <v>13824</v>
      </c>
      <c r="T416" s="199" t="str">
        <f t="shared" si="13"/>
        <v>13824grams</v>
      </c>
      <c r="U416" s="200">
        <f t="shared" si="14"/>
        <v>5126.4000000000005</v>
      </c>
      <c r="V416" s="12"/>
      <c r="W416" s="12"/>
    </row>
    <row r="417" spans="1:23" x14ac:dyDescent="0.3">
      <c r="A417" s="183" t="e">
        <f ca="1"/>
        <v>#NAME?</v>
      </c>
      <c r="B417" s="170" t="s">
        <v>1107</v>
      </c>
      <c r="C417" s="170"/>
      <c r="D417" s="194"/>
      <c r="E417" s="194"/>
      <c r="F417" s="194"/>
      <c r="G417" s="170"/>
      <c r="H417" s="183"/>
      <c r="I417" s="170"/>
      <c r="J417" s="46" t="s">
        <v>1108</v>
      </c>
      <c r="K417" s="170"/>
      <c r="L417" s="288">
        <v>8.16</v>
      </c>
      <c r="M417" s="289">
        <v>35</v>
      </c>
      <c r="N417" s="290">
        <v>24</v>
      </c>
      <c r="O417" s="46"/>
      <c r="P417" s="46" t="s">
        <v>39</v>
      </c>
      <c r="Q417" s="170"/>
      <c r="R417" s="192" t="str">
        <f t="shared" si="11"/>
        <v>24grams</v>
      </c>
      <c r="S417" s="198">
        <f t="shared" si="12"/>
        <v>840</v>
      </c>
      <c r="T417" s="199" t="str">
        <f t="shared" si="13"/>
        <v>840grams</v>
      </c>
      <c r="U417" s="200">
        <f t="shared" si="14"/>
        <v>285.60000000000002</v>
      </c>
      <c r="V417" s="205">
        <f>U417/M417</f>
        <v>8.16</v>
      </c>
      <c r="W417" s="62"/>
    </row>
    <row r="418" spans="1:23" x14ac:dyDescent="0.3">
      <c r="A418" s="183" t="e">
        <f ca="1"/>
        <v>#NAME?</v>
      </c>
      <c r="B418" s="170" t="s">
        <v>1107</v>
      </c>
      <c r="C418" s="170"/>
      <c r="D418" s="194"/>
      <c r="E418" s="194"/>
      <c r="F418" s="194"/>
      <c r="G418" s="170"/>
      <c r="H418" s="183"/>
      <c r="I418" s="170"/>
      <c r="J418" s="46" t="s">
        <v>1108</v>
      </c>
      <c r="K418" s="170"/>
      <c r="L418" s="291">
        <v>8.9</v>
      </c>
      <c r="M418" s="292">
        <v>5</v>
      </c>
      <c r="N418" s="290">
        <v>24</v>
      </c>
      <c r="O418" s="219"/>
      <c r="P418" s="219" t="s">
        <v>39</v>
      </c>
      <c r="Q418" s="170"/>
      <c r="R418" s="192" t="str">
        <f t="shared" si="11"/>
        <v>24grams</v>
      </c>
      <c r="S418" s="198">
        <f t="shared" si="12"/>
        <v>120</v>
      </c>
      <c r="T418" s="199" t="str">
        <f t="shared" si="13"/>
        <v>120grams</v>
      </c>
      <c r="U418" s="200">
        <f t="shared" si="14"/>
        <v>44.5</v>
      </c>
      <c r="V418" s="12"/>
      <c r="W418" s="12"/>
    </row>
    <row r="419" spans="1:23" x14ac:dyDescent="0.3">
      <c r="A419" s="183" t="e">
        <f ca="1"/>
        <v>#NAME?</v>
      </c>
      <c r="B419" s="170" t="s">
        <v>1107</v>
      </c>
      <c r="C419" s="170"/>
      <c r="D419" s="194"/>
      <c r="E419" s="170"/>
      <c r="F419" s="170"/>
      <c r="G419" s="170"/>
      <c r="H419" s="183"/>
      <c r="I419" s="170"/>
      <c r="J419" s="46" t="s">
        <v>1108</v>
      </c>
      <c r="K419" s="170"/>
      <c r="L419" s="288">
        <v>8.9</v>
      </c>
      <c r="M419" s="289">
        <v>292</v>
      </c>
      <c r="N419" s="290">
        <v>24</v>
      </c>
      <c r="O419" s="46"/>
      <c r="P419" s="46" t="s">
        <v>39</v>
      </c>
      <c r="Q419" s="170"/>
      <c r="R419" s="192" t="str">
        <f t="shared" si="11"/>
        <v>24grams</v>
      </c>
      <c r="S419" s="198">
        <f t="shared" si="12"/>
        <v>7008</v>
      </c>
      <c r="T419" s="199" t="str">
        <f t="shared" si="13"/>
        <v>7008grams</v>
      </c>
      <c r="U419" s="200">
        <f t="shared" si="14"/>
        <v>2598.8000000000002</v>
      </c>
      <c r="V419" s="12"/>
      <c r="W419" s="12"/>
    </row>
    <row r="420" spans="1:23" x14ac:dyDescent="0.3">
      <c r="A420" s="183" t="e">
        <f ca="1"/>
        <v>#NAME?</v>
      </c>
      <c r="B420" s="46" t="s">
        <v>549</v>
      </c>
      <c r="C420" s="170"/>
      <c r="D420" s="194"/>
      <c r="E420" s="194"/>
      <c r="F420" s="170"/>
      <c r="G420" s="170"/>
      <c r="H420" s="183"/>
      <c r="I420" s="170"/>
      <c r="J420" s="46" t="s">
        <v>1109</v>
      </c>
      <c r="K420" s="170"/>
      <c r="L420" s="288">
        <v>274.5</v>
      </c>
      <c r="M420" s="289">
        <v>1</v>
      </c>
      <c r="N420" s="290">
        <v>623</v>
      </c>
      <c r="O420" s="46"/>
      <c r="P420" s="46" t="s">
        <v>39</v>
      </c>
      <c r="Q420" s="170"/>
      <c r="R420" s="192" t="str">
        <f t="shared" si="11"/>
        <v>623grams</v>
      </c>
      <c r="S420" s="198">
        <f t="shared" si="12"/>
        <v>623</v>
      </c>
      <c r="T420" s="199" t="str">
        <f t="shared" si="13"/>
        <v>623grams</v>
      </c>
      <c r="U420" s="200">
        <f t="shared" si="14"/>
        <v>274.5</v>
      </c>
      <c r="V420" s="205">
        <f>U420/M420</f>
        <v>274.5</v>
      </c>
      <c r="W420" s="62"/>
    </row>
    <row r="421" spans="1:23" x14ac:dyDescent="0.3">
      <c r="A421" s="183" t="e">
        <f ca="1"/>
        <v>#NAME?</v>
      </c>
      <c r="B421" s="219" t="s">
        <v>1110</v>
      </c>
      <c r="C421" s="170"/>
      <c r="D421" s="194"/>
      <c r="E421" s="170"/>
      <c r="F421" s="170"/>
      <c r="G421" s="170"/>
      <c r="H421" s="206"/>
      <c r="I421" s="170"/>
      <c r="J421" s="219" t="s">
        <v>870</v>
      </c>
      <c r="K421" s="170"/>
      <c r="L421" s="291">
        <v>163.5</v>
      </c>
      <c r="M421" s="292">
        <v>1</v>
      </c>
      <c r="N421" s="293">
        <v>210</v>
      </c>
      <c r="O421" s="219"/>
      <c r="P421" s="219" t="s">
        <v>39</v>
      </c>
      <c r="Q421" s="170"/>
      <c r="R421" s="192" t="str">
        <f t="shared" si="11"/>
        <v>210grams</v>
      </c>
      <c r="S421" s="198">
        <f t="shared" si="12"/>
        <v>210</v>
      </c>
      <c r="T421" s="199" t="str">
        <f t="shared" si="13"/>
        <v>210grams</v>
      </c>
      <c r="U421" s="200">
        <f t="shared" si="14"/>
        <v>163.5</v>
      </c>
      <c r="V421" s="12"/>
      <c r="W421" s="12"/>
    </row>
    <row r="422" spans="1:23" x14ac:dyDescent="0.3">
      <c r="A422" s="183" t="e">
        <f ca="1"/>
        <v>#NAME?</v>
      </c>
      <c r="B422" s="46" t="s">
        <v>1111</v>
      </c>
      <c r="C422" s="170"/>
      <c r="D422" s="194"/>
      <c r="E422" s="194"/>
      <c r="F422" s="170"/>
      <c r="G422" s="170"/>
      <c r="H422" s="183"/>
      <c r="I422" s="170"/>
      <c r="J422" s="46" t="s">
        <v>912</v>
      </c>
      <c r="K422" s="170"/>
      <c r="L422" s="288">
        <v>185</v>
      </c>
      <c r="M422" s="289">
        <v>2</v>
      </c>
      <c r="N422" s="290">
        <v>500</v>
      </c>
      <c r="O422" s="46"/>
      <c r="P422" s="46" t="s">
        <v>39</v>
      </c>
      <c r="Q422" s="170"/>
      <c r="R422" s="192" t="str">
        <f t="shared" si="11"/>
        <v>500grams</v>
      </c>
      <c r="S422" s="198">
        <f t="shared" si="12"/>
        <v>1000</v>
      </c>
      <c r="T422" s="199" t="str">
        <f t="shared" si="13"/>
        <v>1000grams</v>
      </c>
      <c r="U422" s="200">
        <f t="shared" si="14"/>
        <v>370</v>
      </c>
      <c r="V422" s="12"/>
      <c r="W422" s="12"/>
    </row>
    <row r="423" spans="1:23" x14ac:dyDescent="0.3">
      <c r="A423" s="183" t="e">
        <f ca="1"/>
        <v>#NAME?</v>
      </c>
      <c r="B423" s="219" t="s">
        <v>1112</v>
      </c>
      <c r="C423" s="170"/>
      <c r="D423" s="194"/>
      <c r="E423" s="170"/>
      <c r="F423" s="170"/>
      <c r="G423" s="170"/>
      <c r="H423" s="206"/>
      <c r="I423" s="170"/>
      <c r="J423" s="219" t="s">
        <v>854</v>
      </c>
      <c r="K423" s="170"/>
      <c r="L423" s="291">
        <v>59</v>
      </c>
      <c r="M423" s="292">
        <v>3</v>
      </c>
      <c r="N423" s="293">
        <v>30</v>
      </c>
      <c r="O423" s="219"/>
      <c r="P423" s="219" t="s">
        <v>39</v>
      </c>
      <c r="Q423" s="170"/>
      <c r="R423" s="192" t="str">
        <f t="shared" si="11"/>
        <v>30grams</v>
      </c>
      <c r="S423" s="198">
        <f t="shared" si="12"/>
        <v>90</v>
      </c>
      <c r="T423" s="199" t="str">
        <f t="shared" si="13"/>
        <v>90grams</v>
      </c>
      <c r="U423" s="200">
        <f t="shared" si="14"/>
        <v>177</v>
      </c>
      <c r="V423" s="12"/>
      <c r="W423" s="12"/>
    </row>
    <row r="424" spans="1:23" x14ac:dyDescent="0.3">
      <c r="A424" s="183" t="e">
        <f ca="1"/>
        <v>#NAME?</v>
      </c>
      <c r="B424" s="46" t="s">
        <v>1113</v>
      </c>
      <c r="C424" s="170"/>
      <c r="D424" s="194"/>
      <c r="E424" s="194"/>
      <c r="F424" s="170"/>
      <c r="G424" s="170"/>
      <c r="H424" s="183"/>
      <c r="I424" s="170"/>
      <c r="J424" s="46" t="s">
        <v>1114</v>
      </c>
      <c r="K424" s="170"/>
      <c r="L424" s="288">
        <v>300</v>
      </c>
      <c r="M424" s="289">
        <v>1</v>
      </c>
      <c r="N424" s="290">
        <v>1</v>
      </c>
      <c r="O424" s="46"/>
      <c r="P424" s="46" t="s">
        <v>210</v>
      </c>
      <c r="Q424" s="61" t="s">
        <v>33</v>
      </c>
      <c r="R424" s="192" t="str">
        <f t="shared" si="11"/>
        <v>1roll</v>
      </c>
      <c r="S424" s="198">
        <f t="shared" si="12"/>
        <v>1</v>
      </c>
      <c r="T424" s="199" t="str">
        <f t="shared" si="13"/>
        <v>1 roll</v>
      </c>
      <c r="U424" s="200">
        <f t="shared" si="14"/>
        <v>300</v>
      </c>
      <c r="V424" s="205">
        <f t="shared" ref="V424:V425" si="18">U424/M424</f>
        <v>300</v>
      </c>
      <c r="W424" s="62"/>
    </row>
    <row r="425" spans="1:23" x14ac:dyDescent="0.3">
      <c r="A425" s="183" t="e">
        <f ca="1"/>
        <v>#NAME?</v>
      </c>
      <c r="B425" s="219" t="s">
        <v>1113</v>
      </c>
      <c r="C425" s="170"/>
      <c r="D425" s="194"/>
      <c r="E425" s="194"/>
      <c r="F425" s="194"/>
      <c r="G425" s="170"/>
      <c r="H425" s="183"/>
      <c r="I425" s="170"/>
      <c r="J425" s="46" t="s">
        <v>1114</v>
      </c>
      <c r="K425" s="170"/>
      <c r="L425" s="288">
        <v>275</v>
      </c>
      <c r="M425" s="289">
        <v>2</v>
      </c>
      <c r="N425" s="290">
        <v>1</v>
      </c>
      <c r="O425" s="46"/>
      <c r="P425" s="46" t="s">
        <v>92</v>
      </c>
      <c r="Q425" s="170"/>
      <c r="R425" s="192" t="str">
        <f t="shared" si="11"/>
        <v>1pieces</v>
      </c>
      <c r="S425" s="198">
        <f t="shared" si="12"/>
        <v>2</v>
      </c>
      <c r="T425" s="199" t="str">
        <f t="shared" si="13"/>
        <v>2pieces</v>
      </c>
      <c r="U425" s="200">
        <f t="shared" si="14"/>
        <v>550</v>
      </c>
      <c r="V425" s="205">
        <f t="shared" si="18"/>
        <v>275</v>
      </c>
      <c r="W425" s="62"/>
    </row>
    <row r="426" spans="1:23" x14ac:dyDescent="0.3">
      <c r="A426" s="183" t="e">
        <f ca="1"/>
        <v>#NAME?</v>
      </c>
      <c r="B426" s="219" t="s">
        <v>1113</v>
      </c>
      <c r="C426" s="170"/>
      <c r="D426" s="194"/>
      <c r="E426" s="170"/>
      <c r="F426" s="170"/>
      <c r="G426" s="170"/>
      <c r="H426" s="206"/>
      <c r="I426" s="170"/>
      <c r="J426" s="46" t="s">
        <v>1115</v>
      </c>
      <c r="K426" s="170"/>
      <c r="L426" s="288">
        <v>595</v>
      </c>
      <c r="M426" s="289">
        <v>2</v>
      </c>
      <c r="N426" s="290">
        <v>1</v>
      </c>
      <c r="O426" s="46"/>
      <c r="P426" s="46" t="s">
        <v>210</v>
      </c>
      <c r="Q426" s="170"/>
      <c r="R426" s="192" t="str">
        <f t="shared" si="11"/>
        <v>1roll</v>
      </c>
      <c r="S426" s="198">
        <f t="shared" si="12"/>
        <v>2</v>
      </c>
      <c r="T426" s="199" t="str">
        <f t="shared" si="13"/>
        <v>2roll</v>
      </c>
      <c r="U426" s="200">
        <f t="shared" si="14"/>
        <v>1190</v>
      </c>
      <c r="V426" s="12"/>
      <c r="W426" s="12"/>
    </row>
    <row r="427" spans="1:23" x14ac:dyDescent="0.3">
      <c r="A427" s="183" t="e">
        <f ca="1"/>
        <v>#NAME?</v>
      </c>
      <c r="B427" s="219" t="s">
        <v>1113</v>
      </c>
      <c r="C427" s="170"/>
      <c r="D427" s="194"/>
      <c r="E427" s="194"/>
      <c r="F427" s="194"/>
      <c r="G427" s="194"/>
      <c r="H427" s="183"/>
      <c r="I427" s="170"/>
      <c r="J427" s="46" t="s">
        <v>1114</v>
      </c>
      <c r="K427" s="170"/>
      <c r="L427" s="288">
        <v>238</v>
      </c>
      <c r="M427" s="289">
        <v>1</v>
      </c>
      <c r="N427" s="290">
        <v>1</v>
      </c>
      <c r="O427" s="46"/>
      <c r="P427" s="46" t="s">
        <v>92</v>
      </c>
      <c r="Q427" s="170"/>
      <c r="R427" s="192" t="str">
        <f t="shared" si="11"/>
        <v>1pieces</v>
      </c>
      <c r="S427" s="198">
        <f t="shared" si="12"/>
        <v>1</v>
      </c>
      <c r="T427" s="199" t="str">
        <f t="shared" si="13"/>
        <v>1pieces</v>
      </c>
      <c r="U427" s="200">
        <f t="shared" si="14"/>
        <v>238</v>
      </c>
      <c r="V427" s="205">
        <f>U427/M427</f>
        <v>238</v>
      </c>
      <c r="W427" s="62"/>
    </row>
    <row r="428" spans="1:23" x14ac:dyDescent="0.3">
      <c r="A428" s="183" t="e">
        <f ca="1"/>
        <v>#NAME?</v>
      </c>
      <c r="B428" s="219" t="s">
        <v>1113</v>
      </c>
      <c r="C428" s="170"/>
      <c r="D428" s="194"/>
      <c r="E428" s="170"/>
      <c r="F428" s="170"/>
      <c r="G428" s="170"/>
      <c r="H428" s="206"/>
      <c r="I428" s="170"/>
      <c r="J428" s="46" t="s">
        <v>1114</v>
      </c>
      <c r="K428" s="170"/>
      <c r="L428" s="288">
        <v>192.5</v>
      </c>
      <c r="M428" s="289">
        <v>1</v>
      </c>
      <c r="N428" s="290">
        <v>1</v>
      </c>
      <c r="O428" s="46"/>
      <c r="P428" s="46" t="s">
        <v>210</v>
      </c>
      <c r="Q428" s="170"/>
      <c r="R428" s="192" t="str">
        <f t="shared" si="11"/>
        <v>1roll</v>
      </c>
      <c r="S428" s="198">
        <f t="shared" si="12"/>
        <v>1</v>
      </c>
      <c r="T428" s="199" t="str">
        <f t="shared" si="13"/>
        <v>1roll</v>
      </c>
      <c r="U428" s="200">
        <f t="shared" si="14"/>
        <v>192.5</v>
      </c>
      <c r="V428" s="12"/>
      <c r="W428" s="12"/>
    </row>
    <row r="429" spans="1:23" x14ac:dyDescent="0.3">
      <c r="A429" s="183" t="e">
        <f ca="1"/>
        <v>#NAME?</v>
      </c>
      <c r="B429" s="219" t="s">
        <v>1113</v>
      </c>
      <c r="C429" s="170"/>
      <c r="D429" s="194"/>
      <c r="E429" s="170"/>
      <c r="F429" s="170"/>
      <c r="G429" s="170"/>
      <c r="H429" s="206"/>
      <c r="I429" s="170"/>
      <c r="J429" s="46" t="s">
        <v>1114</v>
      </c>
      <c r="K429" s="170"/>
      <c r="L429" s="288">
        <v>340</v>
      </c>
      <c r="M429" s="289">
        <v>2</v>
      </c>
      <c r="N429" s="290">
        <v>1</v>
      </c>
      <c r="O429" s="46"/>
      <c r="P429" s="46" t="s">
        <v>210</v>
      </c>
      <c r="Q429" s="170"/>
      <c r="R429" s="192" t="str">
        <f t="shared" si="11"/>
        <v>1roll</v>
      </c>
      <c r="S429" s="198">
        <f t="shared" si="12"/>
        <v>2</v>
      </c>
      <c r="T429" s="199" t="str">
        <f t="shared" si="13"/>
        <v>2roll</v>
      </c>
      <c r="U429" s="200">
        <f t="shared" si="14"/>
        <v>680</v>
      </c>
      <c r="V429" s="12"/>
      <c r="W429" s="12"/>
    </row>
    <row r="430" spans="1:23" x14ac:dyDescent="0.3">
      <c r="A430" s="183" t="e">
        <f ca="1"/>
        <v>#NAME?</v>
      </c>
      <c r="B430" s="219" t="s">
        <v>1113</v>
      </c>
      <c r="C430" s="170"/>
      <c r="D430" s="194"/>
      <c r="E430" s="194"/>
      <c r="F430" s="170"/>
      <c r="G430" s="170"/>
      <c r="H430" s="183"/>
      <c r="I430" s="170"/>
      <c r="J430" s="219" t="s">
        <v>1115</v>
      </c>
      <c r="K430" s="170"/>
      <c r="L430" s="291">
        <v>300</v>
      </c>
      <c r="M430" s="292">
        <v>5</v>
      </c>
      <c r="N430" s="293">
        <v>1</v>
      </c>
      <c r="O430" s="219"/>
      <c r="P430" s="219" t="s">
        <v>210</v>
      </c>
      <c r="Q430" s="170"/>
      <c r="R430" s="192" t="str">
        <f t="shared" si="11"/>
        <v>1roll</v>
      </c>
      <c r="S430" s="198">
        <f t="shared" si="12"/>
        <v>5</v>
      </c>
      <c r="T430" s="199" t="str">
        <f t="shared" si="13"/>
        <v>5roll</v>
      </c>
      <c r="U430" s="200">
        <f t="shared" si="14"/>
        <v>1500</v>
      </c>
      <c r="V430" s="205">
        <f>U430/M430</f>
        <v>300</v>
      </c>
      <c r="W430" s="62"/>
    </row>
    <row r="431" spans="1:23" x14ac:dyDescent="0.3">
      <c r="A431" s="183" t="e">
        <f ca="1"/>
        <v>#NAME?</v>
      </c>
      <c r="B431" s="219" t="s">
        <v>1116</v>
      </c>
      <c r="C431" s="170"/>
      <c r="D431" s="194"/>
      <c r="E431" s="194"/>
      <c r="F431" s="170"/>
      <c r="G431" s="170"/>
      <c r="H431" s="183"/>
      <c r="I431" s="170"/>
      <c r="J431" s="219" t="s">
        <v>1074</v>
      </c>
      <c r="K431" s="170"/>
      <c r="L431" s="291">
        <v>43.6</v>
      </c>
      <c r="M431" s="292">
        <v>4</v>
      </c>
      <c r="N431" s="293">
        <v>20</v>
      </c>
      <c r="O431" s="219"/>
      <c r="P431" s="219" t="s">
        <v>39</v>
      </c>
      <c r="Q431" s="170"/>
      <c r="R431" s="192" t="str">
        <f t="shared" si="11"/>
        <v>20grams</v>
      </c>
      <c r="S431" s="198">
        <f t="shared" si="12"/>
        <v>80</v>
      </c>
      <c r="T431" s="199" t="str">
        <f t="shared" si="13"/>
        <v>80grams</v>
      </c>
      <c r="U431" s="200">
        <f t="shared" si="14"/>
        <v>174.4</v>
      </c>
      <c r="V431" s="12"/>
      <c r="W431" s="12"/>
    </row>
    <row r="432" spans="1:23" x14ac:dyDescent="0.3">
      <c r="A432" s="183" t="e">
        <f ca="1"/>
        <v>#NAME?</v>
      </c>
      <c r="B432" s="46" t="s">
        <v>1117</v>
      </c>
      <c r="C432" s="170"/>
      <c r="D432" s="194"/>
      <c r="E432" s="170"/>
      <c r="F432" s="170"/>
      <c r="G432" s="170"/>
      <c r="H432" s="206"/>
      <c r="I432" s="170"/>
      <c r="J432" s="170"/>
      <c r="K432" s="170"/>
      <c r="L432" s="288">
        <v>50</v>
      </c>
      <c r="M432" s="289">
        <v>9</v>
      </c>
      <c r="N432" s="290">
        <v>100</v>
      </c>
      <c r="O432" s="46"/>
      <c r="P432" s="46" t="s">
        <v>92</v>
      </c>
      <c r="Q432" s="170"/>
      <c r="R432" s="192" t="str">
        <f t="shared" si="11"/>
        <v>100pieces</v>
      </c>
      <c r="S432" s="198">
        <f t="shared" si="12"/>
        <v>900</v>
      </c>
      <c r="T432" s="199" t="str">
        <f t="shared" si="13"/>
        <v>900pieces</v>
      </c>
      <c r="U432" s="200">
        <f t="shared" si="14"/>
        <v>450</v>
      </c>
      <c r="V432" s="12"/>
      <c r="W432" s="12"/>
    </row>
    <row r="433" spans="1:23" x14ac:dyDescent="0.3">
      <c r="A433" s="183" t="e">
        <f ca="1"/>
        <v>#NAME?</v>
      </c>
      <c r="B433" s="46" t="s">
        <v>1117</v>
      </c>
      <c r="C433" s="170"/>
      <c r="D433" s="194"/>
      <c r="E433" s="170"/>
      <c r="F433" s="170"/>
      <c r="G433" s="170"/>
      <c r="H433" s="206"/>
      <c r="I433" s="170"/>
      <c r="J433" s="219" t="s">
        <v>1118</v>
      </c>
      <c r="K433" s="170"/>
      <c r="L433" s="291">
        <v>25</v>
      </c>
      <c r="M433" s="292">
        <v>13</v>
      </c>
      <c r="N433" s="293">
        <v>1</v>
      </c>
      <c r="O433" s="219"/>
      <c r="P433" s="219" t="s">
        <v>304</v>
      </c>
      <c r="Q433" s="170"/>
      <c r="R433" s="192" t="str">
        <f t="shared" si="11"/>
        <v>1packs</v>
      </c>
      <c r="S433" s="198">
        <f t="shared" si="12"/>
        <v>13</v>
      </c>
      <c r="T433" s="199" t="str">
        <f t="shared" si="13"/>
        <v>13packs</v>
      </c>
      <c r="U433" s="200">
        <f t="shared" si="14"/>
        <v>325</v>
      </c>
      <c r="V433" s="12"/>
      <c r="W433" s="12"/>
    </row>
    <row r="434" spans="1:23" x14ac:dyDescent="0.3">
      <c r="A434" s="183" t="e">
        <f ca="1"/>
        <v>#NAME?</v>
      </c>
      <c r="B434" s="46" t="s">
        <v>1119</v>
      </c>
      <c r="C434" s="170"/>
      <c r="D434" s="194"/>
      <c r="E434" s="194"/>
      <c r="F434" s="170"/>
      <c r="G434" s="170"/>
      <c r="H434" s="183"/>
      <c r="I434" s="170"/>
      <c r="J434" s="46" t="s">
        <v>1120</v>
      </c>
      <c r="K434" s="170"/>
      <c r="L434" s="288">
        <v>60.2</v>
      </c>
      <c r="M434" s="289">
        <v>4</v>
      </c>
      <c r="N434" s="290">
        <v>70</v>
      </c>
      <c r="O434" s="46"/>
      <c r="P434" s="46" t="s">
        <v>39</v>
      </c>
      <c r="Q434" s="170"/>
      <c r="R434" s="192" t="str">
        <f t="shared" si="11"/>
        <v>70grams</v>
      </c>
      <c r="S434" s="198">
        <f t="shared" si="12"/>
        <v>280</v>
      </c>
      <c r="T434" s="199" t="str">
        <f t="shared" si="13"/>
        <v>280grams</v>
      </c>
      <c r="U434" s="200">
        <f t="shared" si="14"/>
        <v>240.8</v>
      </c>
      <c r="V434" s="205">
        <f>U434/M434</f>
        <v>60.2</v>
      </c>
      <c r="W434" s="62"/>
    </row>
    <row r="435" spans="1:23" x14ac:dyDescent="0.3">
      <c r="A435" s="183" t="e">
        <f ca="1"/>
        <v>#NAME?</v>
      </c>
      <c r="B435" s="46" t="s">
        <v>1119</v>
      </c>
      <c r="C435" s="215"/>
      <c r="D435" s="194"/>
      <c r="E435" s="214"/>
      <c r="F435" s="214"/>
      <c r="G435" s="215"/>
      <c r="H435" s="183"/>
      <c r="I435" s="170"/>
      <c r="J435" s="46" t="s">
        <v>1120</v>
      </c>
      <c r="K435" s="170"/>
      <c r="L435" s="288">
        <v>60.2</v>
      </c>
      <c r="M435" s="289">
        <v>1</v>
      </c>
      <c r="N435" s="290">
        <v>70</v>
      </c>
      <c r="O435" s="46"/>
      <c r="P435" s="46" t="s">
        <v>39</v>
      </c>
      <c r="Q435" s="170"/>
      <c r="R435" s="192" t="str">
        <f t="shared" si="11"/>
        <v>70grams</v>
      </c>
      <c r="S435" s="198">
        <f t="shared" si="12"/>
        <v>70</v>
      </c>
      <c r="T435" s="199" t="str">
        <f t="shared" si="13"/>
        <v>70grams</v>
      </c>
      <c r="U435" s="200">
        <f t="shared" si="14"/>
        <v>60.2</v>
      </c>
      <c r="V435" s="12"/>
      <c r="W435" s="12"/>
    </row>
    <row r="436" spans="1:23" x14ac:dyDescent="0.3">
      <c r="A436" s="183" t="e">
        <f ca="1"/>
        <v>#NAME?</v>
      </c>
      <c r="B436" s="219" t="s">
        <v>1119</v>
      </c>
      <c r="C436" s="170"/>
      <c r="D436" s="194"/>
      <c r="E436" s="170"/>
      <c r="F436" s="170"/>
      <c r="G436" s="170"/>
      <c r="H436" s="206"/>
      <c r="I436" s="170"/>
      <c r="J436" s="219" t="s">
        <v>1121</v>
      </c>
      <c r="K436" s="170"/>
      <c r="L436" s="291">
        <v>340</v>
      </c>
      <c r="M436" s="292">
        <v>1</v>
      </c>
      <c r="N436" s="293">
        <v>500</v>
      </c>
      <c r="O436" s="219"/>
      <c r="P436" s="219" t="s">
        <v>39</v>
      </c>
      <c r="Q436" s="170"/>
      <c r="R436" s="192" t="str">
        <f t="shared" si="11"/>
        <v>500grams</v>
      </c>
      <c r="S436" s="198">
        <f t="shared" si="12"/>
        <v>500</v>
      </c>
      <c r="T436" s="199" t="str">
        <f t="shared" si="13"/>
        <v>500grams</v>
      </c>
      <c r="U436" s="200">
        <f t="shared" si="14"/>
        <v>340</v>
      </c>
      <c r="V436" s="12"/>
      <c r="W436" s="12"/>
    </row>
    <row r="437" spans="1:23" x14ac:dyDescent="0.3">
      <c r="A437" s="183" t="e">
        <f ca="1"/>
        <v>#NAME?</v>
      </c>
      <c r="B437" s="219" t="s">
        <v>1119</v>
      </c>
      <c r="C437" s="170"/>
      <c r="D437" s="194"/>
      <c r="E437" s="194"/>
      <c r="F437" s="194"/>
      <c r="G437" s="170"/>
      <c r="H437" s="183"/>
      <c r="I437" s="170"/>
      <c r="J437" s="219" t="s">
        <v>1106</v>
      </c>
      <c r="K437" s="170"/>
      <c r="L437" s="291">
        <v>262</v>
      </c>
      <c r="M437" s="292">
        <v>1</v>
      </c>
      <c r="N437" s="293">
        <v>1000</v>
      </c>
      <c r="O437" s="219"/>
      <c r="P437" s="219" t="s">
        <v>39</v>
      </c>
      <c r="Q437" s="170"/>
      <c r="R437" s="192" t="str">
        <f t="shared" si="11"/>
        <v>1000grams</v>
      </c>
      <c r="S437" s="198">
        <f t="shared" si="12"/>
        <v>1000</v>
      </c>
      <c r="T437" s="199" t="str">
        <f t="shared" si="13"/>
        <v>1000grams</v>
      </c>
      <c r="U437" s="200">
        <f t="shared" si="14"/>
        <v>262</v>
      </c>
      <c r="V437" s="12"/>
      <c r="W437" s="12"/>
    </row>
    <row r="438" spans="1:23" x14ac:dyDescent="0.3">
      <c r="A438" s="183" t="e">
        <f ca="1"/>
        <v>#NAME?</v>
      </c>
      <c r="B438" s="46" t="s">
        <v>1122</v>
      </c>
      <c r="C438" s="170"/>
      <c r="D438" s="194"/>
      <c r="E438" s="194"/>
      <c r="F438" s="194"/>
      <c r="G438" s="170"/>
      <c r="H438" s="183"/>
      <c r="I438" s="170"/>
      <c r="J438" s="46" t="s">
        <v>1123</v>
      </c>
      <c r="K438" s="170"/>
      <c r="L438" s="288">
        <v>46</v>
      </c>
      <c r="M438" s="289">
        <v>1</v>
      </c>
      <c r="N438" s="290">
        <v>200</v>
      </c>
      <c r="O438" s="46"/>
      <c r="P438" s="46" t="s">
        <v>39</v>
      </c>
      <c r="Q438" s="170"/>
      <c r="R438" s="192" t="str">
        <f t="shared" si="11"/>
        <v>200grams</v>
      </c>
      <c r="S438" s="198">
        <f t="shared" si="12"/>
        <v>200</v>
      </c>
      <c r="T438" s="199" t="str">
        <f t="shared" si="13"/>
        <v>200grams</v>
      </c>
      <c r="U438" s="200">
        <f t="shared" si="14"/>
        <v>46</v>
      </c>
      <c r="V438" s="12"/>
      <c r="W438" s="12"/>
    </row>
    <row r="439" spans="1:23" x14ac:dyDescent="0.3">
      <c r="A439" s="183" t="e">
        <f ca="1"/>
        <v>#NAME?</v>
      </c>
      <c r="B439" s="46" t="s">
        <v>555</v>
      </c>
      <c r="C439" s="170"/>
      <c r="D439" s="194"/>
      <c r="E439" s="170"/>
      <c r="F439" s="170"/>
      <c r="G439" s="170"/>
      <c r="H439" s="206"/>
      <c r="I439" s="237"/>
      <c r="J439" s="46" t="s">
        <v>1124</v>
      </c>
      <c r="K439" s="170"/>
      <c r="L439" s="288">
        <v>28.55</v>
      </c>
      <c r="M439" s="289">
        <v>9</v>
      </c>
      <c r="N439" s="290">
        <v>50</v>
      </c>
      <c r="O439" s="46"/>
      <c r="P439" s="46" t="s">
        <v>39</v>
      </c>
      <c r="Q439" s="170"/>
      <c r="R439" s="192" t="str">
        <f t="shared" si="11"/>
        <v>50grams</v>
      </c>
      <c r="S439" s="198">
        <f t="shared" si="12"/>
        <v>450</v>
      </c>
      <c r="T439" s="199" t="str">
        <f t="shared" si="13"/>
        <v>450grams</v>
      </c>
      <c r="U439" s="200">
        <f t="shared" si="14"/>
        <v>256.95</v>
      </c>
      <c r="V439" s="12"/>
      <c r="W439" s="12"/>
    </row>
    <row r="440" spans="1:23" x14ac:dyDescent="0.3">
      <c r="A440" s="183" t="e">
        <f ca="1"/>
        <v>#NAME?</v>
      </c>
      <c r="B440" s="46" t="s">
        <v>555</v>
      </c>
      <c r="C440" s="170"/>
      <c r="D440" s="194"/>
      <c r="E440" s="194"/>
      <c r="F440" s="170"/>
      <c r="G440" s="170"/>
      <c r="H440" s="183"/>
      <c r="I440" s="239"/>
      <c r="J440" s="46" t="s">
        <v>1124</v>
      </c>
      <c r="K440" s="170"/>
      <c r="L440" s="288">
        <v>685</v>
      </c>
      <c r="M440" s="289">
        <v>2</v>
      </c>
      <c r="N440" s="290">
        <v>50</v>
      </c>
      <c r="O440" s="46"/>
      <c r="P440" s="46" t="s">
        <v>39</v>
      </c>
      <c r="Q440" s="170"/>
      <c r="R440" s="192" t="str">
        <f t="shared" si="11"/>
        <v>50grams</v>
      </c>
      <c r="S440" s="198">
        <f t="shared" si="12"/>
        <v>100</v>
      </c>
      <c r="T440" s="199" t="str">
        <f t="shared" si="13"/>
        <v>100grams</v>
      </c>
      <c r="U440" s="200">
        <f t="shared" si="14"/>
        <v>1370</v>
      </c>
      <c r="V440" s="12"/>
      <c r="W440" s="12"/>
    </row>
    <row r="441" spans="1:23" x14ac:dyDescent="0.3">
      <c r="A441" s="183" t="e">
        <f ca="1"/>
        <v>#NAME?</v>
      </c>
      <c r="B441" s="46" t="s">
        <v>555</v>
      </c>
      <c r="C441" s="170"/>
      <c r="D441" s="194"/>
      <c r="E441" s="170"/>
      <c r="F441" s="170"/>
      <c r="G441" s="170"/>
      <c r="H441" s="206"/>
      <c r="I441" s="239"/>
      <c r="J441" s="46" t="s">
        <v>1124</v>
      </c>
      <c r="K441" s="170"/>
      <c r="L441" s="288">
        <v>31.55</v>
      </c>
      <c r="M441" s="289">
        <v>13</v>
      </c>
      <c r="N441" s="290">
        <v>50</v>
      </c>
      <c r="O441" s="46"/>
      <c r="P441" s="46" t="s">
        <v>39</v>
      </c>
      <c r="Q441" s="170"/>
      <c r="R441" s="192" t="str">
        <f t="shared" si="11"/>
        <v>50grams</v>
      </c>
      <c r="S441" s="198">
        <f t="shared" si="12"/>
        <v>650</v>
      </c>
      <c r="T441" s="199" t="str">
        <f t="shared" si="13"/>
        <v>650grams</v>
      </c>
      <c r="U441" s="200">
        <f t="shared" si="14"/>
        <v>410.15000000000003</v>
      </c>
      <c r="V441" s="12"/>
      <c r="W441" s="12"/>
    </row>
    <row r="442" spans="1:23" x14ac:dyDescent="0.3">
      <c r="A442" s="183" t="e">
        <f ca="1"/>
        <v>#NAME?</v>
      </c>
      <c r="B442" s="46" t="s">
        <v>555</v>
      </c>
      <c r="C442" s="170"/>
      <c r="D442" s="194"/>
      <c r="E442" s="194"/>
      <c r="F442" s="194"/>
      <c r="G442" s="170"/>
      <c r="H442" s="183"/>
      <c r="I442" s="170"/>
      <c r="J442" s="46" t="s">
        <v>1124</v>
      </c>
      <c r="K442" s="170"/>
      <c r="L442" s="288">
        <v>685.1</v>
      </c>
      <c r="M442" s="289">
        <v>72</v>
      </c>
      <c r="N442" s="290">
        <v>50</v>
      </c>
      <c r="O442" s="46"/>
      <c r="P442" s="46" t="s">
        <v>39</v>
      </c>
      <c r="Q442" s="170"/>
      <c r="R442" s="192" t="str">
        <f t="shared" si="11"/>
        <v>50grams</v>
      </c>
      <c r="S442" s="198">
        <f t="shared" si="12"/>
        <v>3600</v>
      </c>
      <c r="T442" s="199" t="str">
        <f t="shared" si="13"/>
        <v>3600grams</v>
      </c>
      <c r="U442" s="200">
        <f t="shared" si="14"/>
        <v>49327.200000000004</v>
      </c>
      <c r="V442" s="62"/>
      <c r="W442" s="62"/>
    </row>
    <row r="443" spans="1:23" x14ac:dyDescent="0.3">
      <c r="A443" s="183" t="e">
        <f ca="1"/>
        <v>#NAME?</v>
      </c>
      <c r="B443" s="46" t="s">
        <v>556</v>
      </c>
      <c r="C443" s="170"/>
      <c r="D443" s="194"/>
      <c r="E443" s="170"/>
      <c r="F443" s="170"/>
      <c r="G443" s="170"/>
      <c r="H443" s="183"/>
      <c r="I443" s="170"/>
      <c r="J443" s="46" t="s">
        <v>1124</v>
      </c>
      <c r="K443" s="170"/>
      <c r="L443" s="288">
        <v>26.15</v>
      </c>
      <c r="M443" s="289">
        <v>47</v>
      </c>
      <c r="N443" s="290">
        <v>50</v>
      </c>
      <c r="O443" s="46"/>
      <c r="P443" s="46" t="s">
        <v>39</v>
      </c>
      <c r="Q443" s="170"/>
      <c r="R443" s="192" t="str">
        <f t="shared" si="11"/>
        <v>50grams</v>
      </c>
      <c r="S443" s="198">
        <f t="shared" si="12"/>
        <v>2350</v>
      </c>
      <c r="T443" s="199" t="str">
        <f t="shared" si="13"/>
        <v>2350grams</v>
      </c>
      <c r="U443" s="200">
        <f t="shared" si="14"/>
        <v>1229.05</v>
      </c>
      <c r="V443" s="12"/>
      <c r="W443" s="12"/>
    </row>
    <row r="444" spans="1:23" x14ac:dyDescent="0.3">
      <c r="A444" s="183" t="e">
        <f ca="1"/>
        <v>#NAME?</v>
      </c>
      <c r="B444" s="46" t="s">
        <v>1125</v>
      </c>
      <c r="C444" s="170"/>
      <c r="D444" s="194"/>
      <c r="E444" s="170"/>
      <c r="F444" s="170"/>
      <c r="G444" s="170"/>
      <c r="H444" s="183"/>
      <c r="I444" s="170"/>
      <c r="J444" s="46" t="s">
        <v>1126</v>
      </c>
      <c r="K444" s="170"/>
      <c r="L444" s="288">
        <v>840</v>
      </c>
      <c r="M444" s="289">
        <v>4</v>
      </c>
      <c r="N444" s="290">
        <v>1000</v>
      </c>
      <c r="O444" s="46"/>
      <c r="P444" s="46" t="s">
        <v>213</v>
      </c>
      <c r="Q444" s="170"/>
      <c r="R444" s="192" t="str">
        <f t="shared" si="11"/>
        <v>1000kilos</v>
      </c>
      <c r="S444" s="198">
        <f t="shared" si="12"/>
        <v>4000</v>
      </c>
      <c r="T444" s="199" t="str">
        <f t="shared" si="13"/>
        <v>4000kilos</v>
      </c>
      <c r="U444" s="200">
        <f t="shared" si="14"/>
        <v>3360</v>
      </c>
      <c r="V444" s="12"/>
      <c r="W444" s="12"/>
    </row>
    <row r="445" spans="1:23" x14ac:dyDescent="0.3">
      <c r="A445" s="183" t="e">
        <f ca="1"/>
        <v>#NAME?</v>
      </c>
      <c r="B445" s="46" t="s">
        <v>1127</v>
      </c>
      <c r="C445" s="170"/>
      <c r="D445" s="194"/>
      <c r="E445" s="170"/>
      <c r="F445" s="170"/>
      <c r="G445" s="170"/>
      <c r="H445" s="183"/>
      <c r="I445" s="170"/>
      <c r="J445" s="46" t="s">
        <v>1128</v>
      </c>
      <c r="K445" s="170"/>
      <c r="L445" s="288">
        <v>1.96</v>
      </c>
      <c r="M445" s="289">
        <v>528</v>
      </c>
      <c r="N445" s="290">
        <v>5</v>
      </c>
      <c r="O445" s="46"/>
      <c r="P445" s="46" t="s">
        <v>39</v>
      </c>
      <c r="Q445" s="170"/>
      <c r="R445" s="192" t="str">
        <f t="shared" si="11"/>
        <v>5grams</v>
      </c>
      <c r="S445" s="198">
        <f t="shared" si="12"/>
        <v>2640</v>
      </c>
      <c r="T445" s="199" t="str">
        <f t="shared" si="13"/>
        <v>2640grams</v>
      </c>
      <c r="U445" s="200">
        <f t="shared" si="14"/>
        <v>1034.8799999999999</v>
      </c>
      <c r="V445" s="12"/>
      <c r="W445" s="12"/>
    </row>
    <row r="446" spans="1:23" x14ac:dyDescent="0.3">
      <c r="A446" s="183" t="e">
        <f ca="1"/>
        <v>#NAME?</v>
      </c>
      <c r="B446" s="46" t="s">
        <v>1127</v>
      </c>
      <c r="C446" s="170"/>
      <c r="D446" s="194"/>
      <c r="E446" s="194"/>
      <c r="F446" s="194"/>
      <c r="G446" s="170"/>
      <c r="H446" s="183"/>
      <c r="I446" s="170"/>
      <c r="J446" s="46" t="s">
        <v>1128</v>
      </c>
      <c r="K446" s="170"/>
      <c r="L446" s="288">
        <v>1.95</v>
      </c>
      <c r="M446" s="289">
        <v>187</v>
      </c>
      <c r="N446" s="290">
        <v>5</v>
      </c>
      <c r="O446" s="46"/>
      <c r="P446" s="46" t="s">
        <v>39</v>
      </c>
      <c r="Q446" s="170"/>
      <c r="R446" s="192" t="str">
        <f t="shared" si="11"/>
        <v>5grams</v>
      </c>
      <c r="S446" s="198">
        <f t="shared" si="12"/>
        <v>935</v>
      </c>
      <c r="T446" s="199" t="str">
        <f t="shared" si="13"/>
        <v>935grams</v>
      </c>
      <c r="U446" s="200">
        <f t="shared" si="14"/>
        <v>364.65</v>
      </c>
      <c r="V446" s="12"/>
      <c r="W446" s="12"/>
    </row>
    <row r="447" spans="1:23" x14ac:dyDescent="0.3">
      <c r="A447" s="183" t="e">
        <f ca="1"/>
        <v>#NAME?</v>
      </c>
      <c r="B447" s="219" t="s">
        <v>1127</v>
      </c>
      <c r="C447" s="170"/>
      <c r="D447" s="194"/>
      <c r="E447" s="194"/>
      <c r="F447" s="170"/>
      <c r="G447" s="170"/>
      <c r="H447" s="183"/>
      <c r="I447" s="170"/>
      <c r="J447" s="219" t="s">
        <v>1129</v>
      </c>
      <c r="K447" s="170"/>
      <c r="L447" s="291">
        <v>60.5</v>
      </c>
      <c r="M447" s="292">
        <v>1</v>
      </c>
      <c r="N447" s="293">
        <v>250</v>
      </c>
      <c r="O447" s="219"/>
      <c r="P447" s="219" t="s">
        <v>39</v>
      </c>
      <c r="Q447" s="170"/>
      <c r="R447" s="192" t="str">
        <f t="shared" si="11"/>
        <v>250grams</v>
      </c>
      <c r="S447" s="198">
        <f t="shared" si="12"/>
        <v>250</v>
      </c>
      <c r="T447" s="199" t="str">
        <f t="shared" si="13"/>
        <v>250grams</v>
      </c>
      <c r="U447" s="200">
        <f t="shared" si="14"/>
        <v>60.5</v>
      </c>
      <c r="V447" s="12"/>
      <c r="W447" s="12"/>
    </row>
    <row r="448" spans="1:23" x14ac:dyDescent="0.3">
      <c r="A448" s="183" t="e">
        <f ca="1"/>
        <v>#NAME?</v>
      </c>
      <c r="B448" s="219" t="s">
        <v>1127</v>
      </c>
      <c r="C448" s="173"/>
      <c r="D448" s="194"/>
      <c r="E448" s="173"/>
      <c r="F448" s="173"/>
      <c r="G448" s="173"/>
      <c r="H448" s="206"/>
      <c r="I448" s="170"/>
      <c r="J448" s="219" t="s">
        <v>1129</v>
      </c>
      <c r="K448" s="170"/>
      <c r="L448" s="291">
        <v>57</v>
      </c>
      <c r="M448" s="292">
        <v>1</v>
      </c>
      <c r="N448" s="293">
        <v>220</v>
      </c>
      <c r="O448" s="219"/>
      <c r="P448" s="219" t="s">
        <v>39</v>
      </c>
      <c r="Q448" s="170"/>
      <c r="R448" s="192" t="str">
        <f t="shared" si="11"/>
        <v>220grams</v>
      </c>
      <c r="S448" s="198">
        <f t="shared" si="12"/>
        <v>220</v>
      </c>
      <c r="T448" s="199" t="str">
        <f t="shared" si="13"/>
        <v>220grams</v>
      </c>
      <c r="U448" s="200">
        <f t="shared" si="14"/>
        <v>57</v>
      </c>
      <c r="V448" s="12"/>
      <c r="W448" s="12"/>
    </row>
    <row r="449" spans="1:23" x14ac:dyDescent="0.3">
      <c r="A449" s="183" t="e">
        <f ca="1"/>
        <v>#NAME?</v>
      </c>
      <c r="B449" s="46" t="s">
        <v>1130</v>
      </c>
      <c r="C449" s="239"/>
      <c r="D449" s="194"/>
      <c r="E449" s="244"/>
      <c r="F449" s="244"/>
      <c r="G449" s="239"/>
      <c r="H449" s="183"/>
      <c r="I449" s="239"/>
      <c r="J449" s="46" t="s">
        <v>1131</v>
      </c>
      <c r="K449" s="170"/>
      <c r="L449" s="288">
        <v>486</v>
      </c>
      <c r="M449" s="289">
        <v>1</v>
      </c>
      <c r="N449" s="290">
        <v>100</v>
      </c>
      <c r="O449" s="46"/>
      <c r="P449" s="46" t="s">
        <v>92</v>
      </c>
      <c r="Q449" s="170"/>
      <c r="R449" s="192" t="str">
        <f t="shared" si="11"/>
        <v>100pieces</v>
      </c>
      <c r="S449" s="198">
        <f t="shared" si="12"/>
        <v>100</v>
      </c>
      <c r="T449" s="199" t="str">
        <f t="shared" si="13"/>
        <v>100pieces</v>
      </c>
      <c r="U449" s="200">
        <f t="shared" si="14"/>
        <v>486</v>
      </c>
      <c r="V449" s="12"/>
      <c r="W449" s="12"/>
    </row>
    <row r="450" spans="1:23" x14ac:dyDescent="0.3">
      <c r="A450" s="183" t="e">
        <f ca="1"/>
        <v>#NAME?</v>
      </c>
      <c r="B450" s="219" t="s">
        <v>1130</v>
      </c>
      <c r="C450" s="239"/>
      <c r="D450" s="194"/>
      <c r="E450" s="244"/>
      <c r="F450" s="244"/>
      <c r="G450" s="239"/>
      <c r="H450" s="183"/>
      <c r="I450" s="239"/>
      <c r="J450" s="219" t="s">
        <v>1132</v>
      </c>
      <c r="K450" s="170"/>
      <c r="L450" s="291">
        <v>5.6</v>
      </c>
      <c r="M450" s="292">
        <v>300</v>
      </c>
      <c r="N450" s="293">
        <v>1</v>
      </c>
      <c r="O450" s="219"/>
      <c r="P450" s="219" t="s">
        <v>92</v>
      </c>
      <c r="Q450" s="170"/>
      <c r="R450" s="192" t="str">
        <f t="shared" si="11"/>
        <v>1pieces</v>
      </c>
      <c r="S450" s="198">
        <f t="shared" si="12"/>
        <v>300</v>
      </c>
      <c r="T450" s="199" t="str">
        <f t="shared" si="13"/>
        <v>300pieces</v>
      </c>
      <c r="U450" s="200">
        <f t="shared" si="14"/>
        <v>1680</v>
      </c>
      <c r="V450" s="12"/>
      <c r="W450" s="12"/>
    </row>
    <row r="451" spans="1:23" x14ac:dyDescent="0.3">
      <c r="A451" s="183" t="e">
        <f ca="1"/>
        <v>#NAME?</v>
      </c>
      <c r="B451" s="46" t="s">
        <v>131</v>
      </c>
      <c r="C451" s="239"/>
      <c r="D451" s="194"/>
      <c r="E451" s="244"/>
      <c r="F451" s="244"/>
      <c r="G451" s="239"/>
      <c r="H451" s="183"/>
      <c r="I451" s="239"/>
      <c r="J451" s="46" t="s">
        <v>1133</v>
      </c>
      <c r="K451" s="170"/>
      <c r="L451" s="288">
        <v>2.75</v>
      </c>
      <c r="M451" s="289">
        <v>32</v>
      </c>
      <c r="N451" s="290">
        <v>1</v>
      </c>
      <c r="O451" s="46"/>
      <c r="P451" s="46" t="s">
        <v>92</v>
      </c>
      <c r="Q451" s="170"/>
      <c r="R451" s="192" t="str">
        <f t="shared" si="11"/>
        <v>1pieces</v>
      </c>
      <c r="S451" s="198">
        <f t="shared" si="12"/>
        <v>32</v>
      </c>
      <c r="T451" s="199" t="str">
        <f t="shared" si="13"/>
        <v>32pieces</v>
      </c>
      <c r="U451" s="200">
        <f t="shared" si="14"/>
        <v>88</v>
      </c>
      <c r="V451" s="12"/>
      <c r="W451" s="12"/>
    </row>
    <row r="452" spans="1:23" x14ac:dyDescent="0.3">
      <c r="A452" s="183" t="e">
        <f ca="1"/>
        <v>#NAME?</v>
      </c>
      <c r="B452" s="46" t="s">
        <v>131</v>
      </c>
      <c r="C452" s="239"/>
      <c r="D452" s="194"/>
      <c r="E452" s="239"/>
      <c r="F452" s="239"/>
      <c r="G452" s="239"/>
      <c r="H452" s="206"/>
      <c r="I452" s="239"/>
      <c r="J452" s="46" t="s">
        <v>1134</v>
      </c>
      <c r="K452" s="170"/>
      <c r="L452" s="288">
        <v>132</v>
      </c>
      <c r="M452" s="289">
        <v>1</v>
      </c>
      <c r="N452" s="290">
        <v>48</v>
      </c>
      <c r="O452" s="46"/>
      <c r="P452" s="46" t="s">
        <v>92</v>
      </c>
      <c r="Q452" s="170"/>
      <c r="R452" s="192" t="str">
        <f t="shared" si="11"/>
        <v>48pieces</v>
      </c>
      <c r="S452" s="198">
        <f t="shared" si="12"/>
        <v>48</v>
      </c>
      <c r="T452" s="199" t="str">
        <f t="shared" si="13"/>
        <v>48pieces</v>
      </c>
      <c r="U452" s="200">
        <f t="shared" si="14"/>
        <v>132</v>
      </c>
      <c r="V452" s="12"/>
      <c r="W452" s="12"/>
    </row>
    <row r="453" spans="1:23" x14ac:dyDescent="0.3">
      <c r="A453" s="183" t="e">
        <f ca="1"/>
        <v>#NAME?</v>
      </c>
      <c r="B453" s="46" t="s">
        <v>131</v>
      </c>
      <c r="C453" s="239"/>
      <c r="D453" s="194"/>
      <c r="E453" s="244"/>
      <c r="F453" s="239"/>
      <c r="G453" s="239"/>
      <c r="H453" s="183"/>
      <c r="I453" s="239"/>
      <c r="J453" s="46" t="s">
        <v>1133</v>
      </c>
      <c r="K453" s="170"/>
      <c r="L453" s="288">
        <v>2.75</v>
      </c>
      <c r="M453" s="289">
        <v>40</v>
      </c>
      <c r="N453" s="290">
        <v>2</v>
      </c>
      <c r="O453" s="46"/>
      <c r="P453" s="46" t="s">
        <v>39</v>
      </c>
      <c r="Q453" s="170"/>
      <c r="R453" s="192" t="str">
        <f t="shared" si="11"/>
        <v>2grams</v>
      </c>
      <c r="S453" s="198">
        <f t="shared" si="12"/>
        <v>80</v>
      </c>
      <c r="T453" s="199" t="str">
        <f t="shared" si="13"/>
        <v>80grams</v>
      </c>
      <c r="U453" s="200">
        <f t="shared" si="14"/>
        <v>110</v>
      </c>
      <c r="V453" s="205">
        <f>U453/M453</f>
        <v>2.75</v>
      </c>
      <c r="W453" s="62"/>
    </row>
    <row r="454" spans="1:23" x14ac:dyDescent="0.3">
      <c r="A454" s="183" t="e">
        <f ca="1"/>
        <v>#NAME?</v>
      </c>
      <c r="B454" s="219" t="s">
        <v>131</v>
      </c>
      <c r="C454" s="253"/>
      <c r="D454" s="194"/>
      <c r="E454" s="252"/>
      <c r="F454" s="253"/>
      <c r="G454" s="253"/>
      <c r="H454" s="183"/>
      <c r="I454" s="239"/>
      <c r="J454" s="219" t="s">
        <v>1135</v>
      </c>
      <c r="K454" s="170"/>
      <c r="L454" s="291">
        <v>3.2</v>
      </c>
      <c r="M454" s="292">
        <v>31</v>
      </c>
      <c r="N454" s="293">
        <v>1</v>
      </c>
      <c r="O454" s="219"/>
      <c r="P454" s="219" t="s">
        <v>39</v>
      </c>
      <c r="Q454" s="170"/>
      <c r="R454" s="192" t="str">
        <f t="shared" si="11"/>
        <v>1grams</v>
      </c>
      <c r="S454" s="198">
        <f t="shared" si="12"/>
        <v>31</v>
      </c>
      <c r="T454" s="199" t="str">
        <f t="shared" si="13"/>
        <v>31grams</v>
      </c>
      <c r="U454" s="200">
        <f t="shared" si="14"/>
        <v>99.2</v>
      </c>
      <c r="V454" s="12"/>
      <c r="W454" s="12"/>
    </row>
    <row r="455" spans="1:23" x14ac:dyDescent="0.3">
      <c r="A455" s="183" t="e">
        <f ca="1"/>
        <v>#NAME?</v>
      </c>
      <c r="B455" s="46" t="s">
        <v>131</v>
      </c>
      <c r="C455" s="239"/>
      <c r="D455" s="194"/>
      <c r="E455" s="239"/>
      <c r="F455" s="239"/>
      <c r="G455" s="239"/>
      <c r="H455" s="183"/>
      <c r="I455" s="239"/>
      <c r="J455" s="219" t="s">
        <v>1133</v>
      </c>
      <c r="K455" s="170"/>
      <c r="L455" s="288">
        <v>3.1</v>
      </c>
      <c r="M455" s="289">
        <v>1770</v>
      </c>
      <c r="N455" s="290">
        <v>2</v>
      </c>
      <c r="O455" s="46"/>
      <c r="P455" s="46" t="s">
        <v>39</v>
      </c>
      <c r="Q455" s="170"/>
      <c r="R455" s="192" t="str">
        <f t="shared" si="11"/>
        <v>2grams</v>
      </c>
      <c r="S455" s="198">
        <f t="shared" si="12"/>
        <v>3540</v>
      </c>
      <c r="T455" s="199" t="str">
        <f t="shared" si="13"/>
        <v>3540grams</v>
      </c>
      <c r="U455" s="200">
        <f t="shared" si="14"/>
        <v>5487</v>
      </c>
      <c r="V455" s="12"/>
      <c r="W455" s="12"/>
    </row>
    <row r="456" spans="1:23" x14ac:dyDescent="0.3">
      <c r="A456" s="183" t="e">
        <f ca="1"/>
        <v>#NAME?</v>
      </c>
      <c r="B456" s="46" t="s">
        <v>56</v>
      </c>
      <c r="C456" s="239"/>
      <c r="D456" s="194"/>
      <c r="E456" s="244"/>
      <c r="F456" s="244"/>
      <c r="G456" s="239"/>
      <c r="H456" s="183"/>
      <c r="I456" s="239"/>
      <c r="J456" s="46" t="s">
        <v>35</v>
      </c>
      <c r="K456" s="170"/>
      <c r="L456" s="288">
        <v>70.7</v>
      </c>
      <c r="M456" s="289">
        <v>7</v>
      </c>
      <c r="N456" s="290">
        <v>370</v>
      </c>
      <c r="O456" s="46"/>
      <c r="P456" s="46" t="s">
        <v>32</v>
      </c>
      <c r="Q456" s="170"/>
      <c r="R456" s="192" t="str">
        <f t="shared" si="11"/>
        <v>370ml</v>
      </c>
      <c r="S456" s="198">
        <f t="shared" si="12"/>
        <v>2590</v>
      </c>
      <c r="T456" s="199" t="str">
        <f t="shared" si="13"/>
        <v>2590ml</v>
      </c>
      <c r="U456" s="200">
        <f t="shared" si="14"/>
        <v>494.90000000000003</v>
      </c>
      <c r="V456" s="12"/>
      <c r="W456" s="12"/>
    </row>
    <row r="457" spans="1:23" x14ac:dyDescent="0.3">
      <c r="A457" s="183" t="e">
        <f ca="1"/>
        <v>#NAME?</v>
      </c>
      <c r="B457" s="46" t="s">
        <v>56</v>
      </c>
      <c r="C457" s="239"/>
      <c r="D457" s="194"/>
      <c r="E457" s="239"/>
      <c r="F457" s="239"/>
      <c r="G457" s="239"/>
      <c r="H457" s="206"/>
      <c r="I457" s="239"/>
      <c r="J457" s="46" t="s">
        <v>35</v>
      </c>
      <c r="K457" s="170"/>
      <c r="L457" s="288">
        <v>56</v>
      </c>
      <c r="M457" s="289">
        <v>14</v>
      </c>
      <c r="N457" s="290">
        <v>370</v>
      </c>
      <c r="O457" s="46"/>
      <c r="P457" s="46" t="s">
        <v>32</v>
      </c>
      <c r="Q457" s="170"/>
      <c r="R457" s="192" t="str">
        <f t="shared" si="11"/>
        <v>370ml</v>
      </c>
      <c r="S457" s="198">
        <f t="shared" si="12"/>
        <v>5180</v>
      </c>
      <c r="T457" s="199" t="str">
        <f t="shared" si="13"/>
        <v>5180ml</v>
      </c>
      <c r="U457" s="200">
        <f t="shared" si="14"/>
        <v>784</v>
      </c>
      <c r="V457" s="12"/>
      <c r="W457" s="12"/>
    </row>
    <row r="458" spans="1:23" x14ac:dyDescent="0.3">
      <c r="A458" s="183" t="e">
        <f ca="1"/>
        <v>#NAME?</v>
      </c>
      <c r="B458" s="46" t="s">
        <v>56</v>
      </c>
      <c r="C458" s="239"/>
      <c r="D458" s="194"/>
      <c r="E458" s="239"/>
      <c r="F458" s="239"/>
      <c r="G458" s="239"/>
      <c r="H458" s="206"/>
      <c r="I458" s="256"/>
      <c r="J458" s="219" t="s">
        <v>1136</v>
      </c>
      <c r="K458" s="170"/>
      <c r="L458" s="291">
        <v>52.5</v>
      </c>
      <c r="M458" s="292">
        <v>4</v>
      </c>
      <c r="N458" s="293">
        <v>370</v>
      </c>
      <c r="O458" s="46"/>
      <c r="P458" s="46" t="s">
        <v>32</v>
      </c>
      <c r="Q458" s="170"/>
      <c r="R458" s="192" t="str">
        <f t="shared" si="11"/>
        <v>370ml</v>
      </c>
      <c r="S458" s="198">
        <f t="shared" si="12"/>
        <v>1480</v>
      </c>
      <c r="T458" s="199" t="str">
        <f t="shared" si="13"/>
        <v>1480ml</v>
      </c>
      <c r="U458" s="200">
        <f t="shared" si="14"/>
        <v>210</v>
      </c>
      <c r="V458" s="12"/>
      <c r="W458" s="12"/>
    </row>
    <row r="459" spans="1:23" x14ac:dyDescent="0.3">
      <c r="A459" s="183" t="e">
        <f ca="1"/>
        <v>#NAME?</v>
      </c>
      <c r="B459" s="46" t="s">
        <v>56</v>
      </c>
      <c r="C459" s="239"/>
      <c r="D459" s="194"/>
      <c r="E459" s="244"/>
      <c r="F459" s="244"/>
      <c r="G459" s="239"/>
      <c r="H459" s="183"/>
      <c r="I459" s="170"/>
      <c r="J459" s="46" t="s">
        <v>1137</v>
      </c>
      <c r="K459" s="170"/>
      <c r="L459" s="288">
        <v>41.6</v>
      </c>
      <c r="M459" s="289">
        <v>6</v>
      </c>
      <c r="N459" s="290">
        <v>374</v>
      </c>
      <c r="O459" s="46"/>
      <c r="P459" s="46" t="s">
        <v>32</v>
      </c>
      <c r="Q459" s="170"/>
      <c r="R459" s="192" t="str">
        <f t="shared" si="11"/>
        <v>374ml</v>
      </c>
      <c r="S459" s="198">
        <f t="shared" si="12"/>
        <v>2244</v>
      </c>
      <c r="T459" s="199" t="str">
        <f t="shared" si="13"/>
        <v>2244ml</v>
      </c>
      <c r="U459" s="200">
        <f t="shared" si="14"/>
        <v>249.60000000000002</v>
      </c>
      <c r="V459" s="62"/>
      <c r="W459" s="62"/>
    </row>
    <row r="460" spans="1:23" x14ac:dyDescent="0.3">
      <c r="A460" s="183" t="e">
        <f ca="1"/>
        <v>#NAME?</v>
      </c>
      <c r="B460" s="46" t="s">
        <v>56</v>
      </c>
      <c r="C460" s="239"/>
      <c r="D460" s="194"/>
      <c r="E460" s="244"/>
      <c r="F460" s="244"/>
      <c r="G460" s="239"/>
      <c r="H460" s="206"/>
      <c r="I460" s="239"/>
      <c r="J460" s="46" t="s">
        <v>1137</v>
      </c>
      <c r="K460" s="170"/>
      <c r="L460" s="288">
        <v>41.6</v>
      </c>
      <c r="M460" s="289">
        <v>3</v>
      </c>
      <c r="N460" s="290">
        <v>374</v>
      </c>
      <c r="O460" s="46"/>
      <c r="P460" s="46" t="s">
        <v>32</v>
      </c>
      <c r="Q460" s="170"/>
      <c r="R460" s="192" t="str">
        <f t="shared" si="11"/>
        <v>374ml</v>
      </c>
      <c r="S460" s="198">
        <f t="shared" si="12"/>
        <v>1122</v>
      </c>
      <c r="T460" s="199" t="str">
        <f t="shared" si="13"/>
        <v>1122ml</v>
      </c>
      <c r="U460" s="200">
        <f t="shared" si="14"/>
        <v>124.80000000000001</v>
      </c>
      <c r="V460" s="12"/>
      <c r="W460" s="12"/>
    </row>
    <row r="461" spans="1:23" x14ac:dyDescent="0.3">
      <c r="A461" s="183" t="e">
        <f ca="1"/>
        <v>#NAME?</v>
      </c>
      <c r="B461" s="46" t="s">
        <v>56</v>
      </c>
      <c r="C461" s="239"/>
      <c r="D461" s="194"/>
      <c r="E461" s="244"/>
      <c r="F461" s="239"/>
      <c r="G461" s="239"/>
      <c r="H461" s="183"/>
      <c r="I461" s="239"/>
      <c r="J461" s="46" t="s">
        <v>1137</v>
      </c>
      <c r="K461" s="170"/>
      <c r="L461" s="288">
        <v>41.6</v>
      </c>
      <c r="M461" s="289">
        <v>0</v>
      </c>
      <c r="N461" s="290">
        <v>374</v>
      </c>
      <c r="O461" s="46"/>
      <c r="P461" s="46" t="s">
        <v>32</v>
      </c>
      <c r="Q461" s="170"/>
      <c r="R461" s="192" t="str">
        <f t="shared" si="11"/>
        <v>374ml</v>
      </c>
      <c r="S461" s="198">
        <f t="shared" si="12"/>
        <v>0</v>
      </c>
      <c r="T461" s="199" t="str">
        <f t="shared" si="13"/>
        <v>0ml</v>
      </c>
      <c r="U461" s="200">
        <f t="shared" si="14"/>
        <v>0</v>
      </c>
      <c r="V461" s="12"/>
      <c r="W461" s="12"/>
    </row>
    <row r="462" spans="1:23" x14ac:dyDescent="0.3">
      <c r="A462" s="183" t="e">
        <f ca="1"/>
        <v>#NAME?</v>
      </c>
      <c r="B462" s="46" t="s">
        <v>56</v>
      </c>
      <c r="C462" s="239"/>
      <c r="D462" s="194"/>
      <c r="E462" s="244"/>
      <c r="F462" s="239"/>
      <c r="G462" s="239"/>
      <c r="H462" s="183"/>
      <c r="I462" s="239"/>
      <c r="J462" s="46" t="s">
        <v>1137</v>
      </c>
      <c r="K462" s="170"/>
      <c r="L462" s="288">
        <v>41.6</v>
      </c>
      <c r="M462" s="289">
        <v>16</v>
      </c>
      <c r="N462" s="290">
        <v>374</v>
      </c>
      <c r="O462" s="46"/>
      <c r="P462" s="46" t="s">
        <v>32</v>
      </c>
      <c r="Q462" s="170"/>
      <c r="R462" s="192" t="str">
        <f t="shared" si="11"/>
        <v>374ml</v>
      </c>
      <c r="S462" s="198">
        <f t="shared" si="12"/>
        <v>5984</v>
      </c>
      <c r="T462" s="199" t="str">
        <f t="shared" si="13"/>
        <v>5984ml</v>
      </c>
      <c r="U462" s="200">
        <f t="shared" si="14"/>
        <v>665.6</v>
      </c>
      <c r="V462" s="12"/>
      <c r="W462" s="12"/>
    </row>
    <row r="463" spans="1:23" x14ac:dyDescent="0.3">
      <c r="A463" s="183" t="e">
        <f ca="1"/>
        <v>#NAME?</v>
      </c>
      <c r="B463" s="46" t="s">
        <v>56</v>
      </c>
      <c r="C463" s="256"/>
      <c r="D463" s="194"/>
      <c r="E463" s="256"/>
      <c r="F463" s="256"/>
      <c r="G463" s="256"/>
      <c r="H463" s="206"/>
      <c r="I463" s="239"/>
      <c r="J463" s="46" t="s">
        <v>1137</v>
      </c>
      <c r="K463" s="170"/>
      <c r="L463" s="288">
        <v>42.5</v>
      </c>
      <c r="M463" s="289">
        <v>7</v>
      </c>
      <c r="N463" s="290">
        <v>390</v>
      </c>
      <c r="O463" s="46"/>
      <c r="P463" s="46" t="s">
        <v>32</v>
      </c>
      <c r="Q463" s="170"/>
      <c r="R463" s="192" t="str">
        <f t="shared" si="11"/>
        <v>390ml</v>
      </c>
      <c r="S463" s="198">
        <f t="shared" si="12"/>
        <v>2730</v>
      </c>
      <c r="T463" s="199" t="str">
        <f t="shared" si="13"/>
        <v>2730ml</v>
      </c>
      <c r="U463" s="200">
        <f t="shared" si="14"/>
        <v>297.5</v>
      </c>
      <c r="V463" s="12"/>
      <c r="W463" s="12"/>
    </row>
    <row r="464" spans="1:23" x14ac:dyDescent="0.3">
      <c r="A464" s="183" t="e">
        <f ca="1"/>
        <v>#NAME?</v>
      </c>
      <c r="B464" s="46" t="s">
        <v>56</v>
      </c>
      <c r="C464" s="170"/>
      <c r="D464" s="194"/>
      <c r="E464" s="194"/>
      <c r="F464" s="170"/>
      <c r="G464" s="170"/>
      <c r="H464" s="183"/>
      <c r="I464" s="239"/>
      <c r="J464" s="46" t="s">
        <v>36</v>
      </c>
      <c r="K464" s="170"/>
      <c r="L464" s="288">
        <v>52.7</v>
      </c>
      <c r="M464" s="289">
        <v>26</v>
      </c>
      <c r="N464" s="290">
        <v>380</v>
      </c>
      <c r="O464" s="46"/>
      <c r="P464" s="46" t="s">
        <v>32</v>
      </c>
      <c r="Q464" s="170"/>
      <c r="R464" s="192" t="str">
        <f t="shared" si="11"/>
        <v>380ml</v>
      </c>
      <c r="S464" s="198">
        <f t="shared" si="12"/>
        <v>9880</v>
      </c>
      <c r="T464" s="199" t="str">
        <f t="shared" si="13"/>
        <v>9880ml</v>
      </c>
      <c r="U464" s="200">
        <f t="shared" si="14"/>
        <v>1370.2</v>
      </c>
      <c r="V464" s="12"/>
      <c r="W464" s="12"/>
    </row>
    <row r="465" spans="1:23" x14ac:dyDescent="0.3">
      <c r="A465" s="183" t="e">
        <f ca="1"/>
        <v>#NAME?</v>
      </c>
      <c r="B465" s="219" t="s">
        <v>56</v>
      </c>
      <c r="C465" s="170"/>
      <c r="D465" s="194"/>
      <c r="E465" s="194"/>
      <c r="F465" s="194"/>
      <c r="G465" s="170"/>
      <c r="H465" s="183"/>
      <c r="I465" s="239"/>
      <c r="J465" s="219" t="s">
        <v>1138</v>
      </c>
      <c r="K465" s="170"/>
      <c r="L465" s="291">
        <v>41.66</v>
      </c>
      <c r="M465" s="292">
        <v>28</v>
      </c>
      <c r="N465" s="293">
        <v>380</v>
      </c>
      <c r="O465" s="219"/>
      <c r="P465" s="219" t="s">
        <v>32</v>
      </c>
      <c r="Q465" s="170"/>
      <c r="R465" s="192" t="str">
        <f t="shared" si="11"/>
        <v>380ml</v>
      </c>
      <c r="S465" s="198">
        <f t="shared" si="12"/>
        <v>10640</v>
      </c>
      <c r="T465" s="199" t="str">
        <f t="shared" si="13"/>
        <v>10640ml</v>
      </c>
      <c r="U465" s="200">
        <f t="shared" si="14"/>
        <v>1166.48</v>
      </c>
      <c r="V465" s="205">
        <f t="shared" ref="V465:V466" si="19">U465/M465</f>
        <v>41.660000000000004</v>
      </c>
      <c r="W465" s="62"/>
    </row>
    <row r="466" spans="1:23" x14ac:dyDescent="0.3">
      <c r="A466" s="183" t="e">
        <f ca="1"/>
        <v>#NAME?</v>
      </c>
      <c r="B466" s="46" t="s">
        <v>56</v>
      </c>
      <c r="C466" s="170"/>
      <c r="D466" s="194"/>
      <c r="E466" s="194"/>
      <c r="F466" s="194"/>
      <c r="G466" s="170"/>
      <c r="H466" s="183"/>
      <c r="I466" s="239"/>
      <c r="J466" s="46" t="s">
        <v>1139</v>
      </c>
      <c r="K466" s="170"/>
      <c r="L466" s="288">
        <v>54</v>
      </c>
      <c r="M466" s="289">
        <v>1</v>
      </c>
      <c r="N466" s="290">
        <v>390</v>
      </c>
      <c r="O466" s="46"/>
      <c r="P466" s="46" t="s">
        <v>32</v>
      </c>
      <c r="Q466" s="170"/>
      <c r="R466" s="192" t="str">
        <f t="shared" si="11"/>
        <v>390ml</v>
      </c>
      <c r="S466" s="198">
        <f t="shared" si="12"/>
        <v>390</v>
      </c>
      <c r="T466" s="199" t="str">
        <f t="shared" si="13"/>
        <v>390ml</v>
      </c>
      <c r="U466" s="200">
        <f t="shared" si="14"/>
        <v>54</v>
      </c>
      <c r="V466" s="205">
        <f t="shared" si="19"/>
        <v>54</v>
      </c>
      <c r="W466" s="62"/>
    </row>
    <row r="467" spans="1:23" x14ac:dyDescent="0.3">
      <c r="A467" s="183" t="e">
        <f ca="1"/>
        <v>#NAME?</v>
      </c>
      <c r="B467" s="46" t="s">
        <v>56</v>
      </c>
      <c r="C467" s="170"/>
      <c r="D467" s="194"/>
      <c r="E467" s="194"/>
      <c r="F467" s="170"/>
      <c r="G467" s="170"/>
      <c r="H467" s="183"/>
      <c r="I467" s="253"/>
      <c r="J467" s="46" t="s">
        <v>1140</v>
      </c>
      <c r="K467" s="170"/>
      <c r="L467" s="288">
        <v>59</v>
      </c>
      <c r="M467" s="289">
        <v>0</v>
      </c>
      <c r="N467" s="290">
        <v>374</v>
      </c>
      <c r="O467" s="46"/>
      <c r="P467" s="46" t="s">
        <v>32</v>
      </c>
      <c r="Q467" s="170"/>
      <c r="R467" s="192" t="str">
        <f t="shared" si="11"/>
        <v>374ml</v>
      </c>
      <c r="S467" s="198">
        <f t="shared" si="12"/>
        <v>0</v>
      </c>
      <c r="T467" s="199" t="str">
        <f t="shared" si="13"/>
        <v>0ml</v>
      </c>
      <c r="U467" s="200">
        <f t="shared" si="14"/>
        <v>0</v>
      </c>
      <c r="V467" s="12"/>
      <c r="W467" s="12"/>
    </row>
    <row r="468" spans="1:23" x14ac:dyDescent="0.3">
      <c r="A468" s="183" t="e">
        <f ca="1"/>
        <v>#NAME?</v>
      </c>
      <c r="B468" s="46" t="s">
        <v>56</v>
      </c>
      <c r="C468" s="170"/>
      <c r="D468" s="194"/>
      <c r="E468" s="194"/>
      <c r="F468" s="170"/>
      <c r="G468" s="170"/>
      <c r="H468" s="183"/>
      <c r="I468" s="239"/>
      <c r="J468" s="46" t="s">
        <v>1140</v>
      </c>
      <c r="K468" s="170"/>
      <c r="L468" s="288">
        <v>57.75</v>
      </c>
      <c r="M468" s="289">
        <v>1</v>
      </c>
      <c r="N468" s="290">
        <v>390</v>
      </c>
      <c r="O468" s="46"/>
      <c r="P468" s="46" t="s">
        <v>32</v>
      </c>
      <c r="Q468" s="170"/>
      <c r="R468" s="192" t="str">
        <f t="shared" si="11"/>
        <v>390ml</v>
      </c>
      <c r="S468" s="198">
        <f t="shared" si="12"/>
        <v>390</v>
      </c>
      <c r="T468" s="199" t="str">
        <f t="shared" si="13"/>
        <v>390ml</v>
      </c>
      <c r="U468" s="200">
        <f t="shared" si="14"/>
        <v>57.75</v>
      </c>
      <c r="V468" s="205">
        <f t="shared" ref="V468:V470" si="20">U468/M468</f>
        <v>57.75</v>
      </c>
      <c r="W468" s="62"/>
    </row>
    <row r="469" spans="1:23" x14ac:dyDescent="0.3">
      <c r="A469" s="183" t="e">
        <f ca="1"/>
        <v>#NAME?</v>
      </c>
      <c r="B469" s="46" t="s">
        <v>1141</v>
      </c>
      <c r="C469" s="170"/>
      <c r="D469" s="194"/>
      <c r="E469" s="194"/>
      <c r="F469" s="194"/>
      <c r="G469" s="170"/>
      <c r="H469" s="183"/>
      <c r="I469" s="239"/>
      <c r="J469" s="46" t="s">
        <v>1142</v>
      </c>
      <c r="K469" s="170"/>
      <c r="L469" s="288">
        <v>6.1</v>
      </c>
      <c r="M469" s="289">
        <v>11</v>
      </c>
      <c r="N469" s="290">
        <v>13</v>
      </c>
      <c r="O469" s="46"/>
      <c r="P469" s="46" t="s">
        <v>32</v>
      </c>
      <c r="Q469" s="170"/>
      <c r="R469" s="192" t="str">
        <f t="shared" si="11"/>
        <v>13ml</v>
      </c>
      <c r="S469" s="198">
        <f t="shared" si="12"/>
        <v>143</v>
      </c>
      <c r="T469" s="199" t="str">
        <f t="shared" si="13"/>
        <v>143ml</v>
      </c>
      <c r="U469" s="200">
        <f t="shared" si="14"/>
        <v>67.099999999999994</v>
      </c>
      <c r="V469" s="205">
        <f t="shared" si="20"/>
        <v>6.1</v>
      </c>
      <c r="W469" s="62"/>
    </row>
    <row r="470" spans="1:23" x14ac:dyDescent="0.3">
      <c r="A470" s="183" t="e">
        <f ca="1"/>
        <v>#NAME?</v>
      </c>
      <c r="B470" s="46" t="s">
        <v>1143</v>
      </c>
      <c r="C470" s="170"/>
      <c r="D470" s="194"/>
      <c r="E470" s="194"/>
      <c r="F470" s="170"/>
      <c r="G470" s="170"/>
      <c r="H470" s="183"/>
      <c r="I470" s="239"/>
      <c r="J470" s="46" t="s">
        <v>1144</v>
      </c>
      <c r="K470" s="170"/>
      <c r="L470" s="288">
        <v>210</v>
      </c>
      <c r="M470" s="289">
        <v>1</v>
      </c>
      <c r="N470" s="290">
        <v>2272</v>
      </c>
      <c r="O470" s="297"/>
      <c r="P470" s="297" t="s">
        <v>39</v>
      </c>
      <c r="Q470" s="170"/>
      <c r="R470" s="192" t="str">
        <f t="shared" si="11"/>
        <v>2272grams</v>
      </c>
      <c r="S470" s="198">
        <f t="shared" si="12"/>
        <v>2272</v>
      </c>
      <c r="T470" s="199" t="str">
        <f t="shared" si="13"/>
        <v>2272grams</v>
      </c>
      <c r="U470" s="200">
        <f t="shared" si="14"/>
        <v>210</v>
      </c>
      <c r="V470" s="205">
        <f t="shared" si="20"/>
        <v>210</v>
      </c>
      <c r="W470" s="62"/>
    </row>
    <row r="471" spans="1:23" x14ac:dyDescent="0.3">
      <c r="A471" s="183" t="e">
        <f ca="1"/>
        <v>#NAME?</v>
      </c>
      <c r="B471" s="219" t="s">
        <v>1143</v>
      </c>
      <c r="C471" s="215"/>
      <c r="D471" s="194"/>
      <c r="E471" s="214"/>
      <c r="F471" s="215"/>
      <c r="G471" s="215"/>
      <c r="H471" s="183"/>
      <c r="I471" s="170"/>
      <c r="J471" s="219" t="s">
        <v>1144</v>
      </c>
      <c r="K471" s="170"/>
      <c r="L471" s="291">
        <v>70</v>
      </c>
      <c r="M471" s="292">
        <v>2</v>
      </c>
      <c r="N471" s="293">
        <v>450</v>
      </c>
      <c r="O471" s="304"/>
      <c r="P471" s="304" t="s">
        <v>39</v>
      </c>
      <c r="Q471" s="170"/>
      <c r="R471" s="192" t="str">
        <f t="shared" si="11"/>
        <v>450grams</v>
      </c>
      <c r="S471" s="198">
        <f t="shared" si="12"/>
        <v>900</v>
      </c>
      <c r="T471" s="199" t="str">
        <f t="shared" si="13"/>
        <v>900grams</v>
      </c>
      <c r="U471" s="200">
        <f t="shared" si="14"/>
        <v>140</v>
      </c>
      <c r="V471" s="12"/>
      <c r="W471" s="12"/>
    </row>
    <row r="472" spans="1:23" x14ac:dyDescent="0.3">
      <c r="A472" s="183" t="e">
        <f ca="1"/>
        <v>#NAME?</v>
      </c>
      <c r="B472" s="46" t="s">
        <v>217</v>
      </c>
      <c r="C472" s="170"/>
      <c r="D472" s="194"/>
      <c r="E472" s="194"/>
      <c r="F472" s="194"/>
      <c r="G472" s="170"/>
      <c r="H472" s="183"/>
      <c r="I472" s="170"/>
      <c r="J472" s="46" t="s">
        <v>1145</v>
      </c>
      <c r="K472" s="170"/>
      <c r="L472" s="288">
        <v>69</v>
      </c>
      <c r="M472" s="289">
        <v>7</v>
      </c>
      <c r="N472" s="290">
        <v>250</v>
      </c>
      <c r="O472" s="46"/>
      <c r="P472" s="46" t="s">
        <v>39</v>
      </c>
      <c r="Q472" s="170"/>
      <c r="R472" s="192" t="str">
        <f t="shared" si="11"/>
        <v>250grams</v>
      </c>
      <c r="S472" s="198">
        <f t="shared" si="12"/>
        <v>1750</v>
      </c>
      <c r="T472" s="199" t="str">
        <f t="shared" si="13"/>
        <v>1750grams</v>
      </c>
      <c r="U472" s="200">
        <f t="shared" si="14"/>
        <v>483</v>
      </c>
      <c r="V472" s="205">
        <f>U472/M472</f>
        <v>69</v>
      </c>
      <c r="W472" s="62"/>
    </row>
    <row r="473" spans="1:23" x14ac:dyDescent="0.3">
      <c r="A473" s="183" t="e">
        <f ca="1"/>
        <v>#NAME?</v>
      </c>
      <c r="B473" s="219" t="s">
        <v>1146</v>
      </c>
      <c r="C473" s="170"/>
      <c r="D473" s="194"/>
      <c r="E473" s="170"/>
      <c r="F473" s="170"/>
      <c r="G473" s="170"/>
      <c r="H473" s="206"/>
      <c r="I473" s="170"/>
      <c r="J473" s="46" t="s">
        <v>1147</v>
      </c>
      <c r="K473" s="170"/>
      <c r="L473" s="291">
        <v>83.3</v>
      </c>
      <c r="M473" s="292">
        <v>4</v>
      </c>
      <c r="N473" s="293">
        <v>143</v>
      </c>
      <c r="O473" s="219"/>
      <c r="P473" s="219" t="s">
        <v>39</v>
      </c>
      <c r="Q473" s="170"/>
      <c r="R473" s="192" t="str">
        <f t="shared" si="11"/>
        <v>143grams</v>
      </c>
      <c r="S473" s="198">
        <f t="shared" si="12"/>
        <v>572</v>
      </c>
      <c r="T473" s="199" t="str">
        <f t="shared" si="13"/>
        <v>572grams</v>
      </c>
      <c r="U473" s="200">
        <f t="shared" si="14"/>
        <v>333.2</v>
      </c>
      <c r="V473" s="12"/>
      <c r="W473" s="12"/>
    </row>
    <row r="474" spans="1:23" x14ac:dyDescent="0.3">
      <c r="A474" s="183" t="e">
        <f ca="1"/>
        <v>#NAME?</v>
      </c>
      <c r="B474" s="46" t="s">
        <v>1146</v>
      </c>
      <c r="C474" s="170"/>
      <c r="D474" s="194"/>
      <c r="E474" s="194"/>
      <c r="F474" s="170"/>
      <c r="G474" s="170"/>
      <c r="H474" s="183"/>
      <c r="I474" s="170"/>
      <c r="J474" s="46" t="s">
        <v>1148</v>
      </c>
      <c r="K474" s="170"/>
      <c r="L474" s="288">
        <v>56.2</v>
      </c>
      <c r="M474" s="289">
        <v>2</v>
      </c>
      <c r="N474" s="290">
        <v>130</v>
      </c>
      <c r="O474" s="46"/>
      <c r="P474" s="46" t="s">
        <v>39</v>
      </c>
      <c r="Q474" s="170"/>
      <c r="R474" s="192" t="str">
        <f t="shared" si="11"/>
        <v>130grams</v>
      </c>
      <c r="S474" s="198">
        <f t="shared" si="12"/>
        <v>260</v>
      </c>
      <c r="T474" s="199" t="str">
        <f t="shared" si="13"/>
        <v>260grams</v>
      </c>
      <c r="U474" s="200">
        <f t="shared" si="14"/>
        <v>112.4</v>
      </c>
      <c r="V474" s="12"/>
      <c r="W474" s="12"/>
    </row>
    <row r="475" spans="1:23" x14ac:dyDescent="0.3">
      <c r="A475" s="183" t="e">
        <f ca="1"/>
        <v>#NAME?</v>
      </c>
      <c r="B475" s="46" t="s">
        <v>1146</v>
      </c>
      <c r="C475" s="170"/>
      <c r="D475" s="194"/>
      <c r="E475" s="170"/>
      <c r="F475" s="170"/>
      <c r="G475" s="170"/>
      <c r="H475" s="206"/>
      <c r="I475" s="170"/>
      <c r="J475" s="46" t="s">
        <v>1149</v>
      </c>
      <c r="K475" s="170"/>
      <c r="L475" s="288">
        <v>33.299999999999997</v>
      </c>
      <c r="M475" s="289">
        <v>20</v>
      </c>
      <c r="N475" s="290">
        <v>130</v>
      </c>
      <c r="O475" s="46"/>
      <c r="P475" s="46" t="s">
        <v>39</v>
      </c>
      <c r="Q475" s="170"/>
      <c r="R475" s="192" t="str">
        <f t="shared" si="11"/>
        <v>130grams</v>
      </c>
      <c r="S475" s="198">
        <f t="shared" si="12"/>
        <v>2600</v>
      </c>
      <c r="T475" s="199" t="str">
        <f t="shared" si="13"/>
        <v>2600grams</v>
      </c>
      <c r="U475" s="200">
        <f t="shared" si="14"/>
        <v>666</v>
      </c>
      <c r="V475" s="12"/>
      <c r="W475" s="12"/>
    </row>
    <row r="476" spans="1:23" x14ac:dyDescent="0.3">
      <c r="A476" s="183" t="e">
        <f ca="1"/>
        <v>#NAME?</v>
      </c>
      <c r="B476" s="46" t="s">
        <v>1146</v>
      </c>
      <c r="C476" s="170"/>
      <c r="D476" s="194"/>
      <c r="E476" s="194"/>
      <c r="F476" s="170"/>
      <c r="G476" s="170"/>
      <c r="H476" s="183"/>
      <c r="I476" s="170"/>
      <c r="J476" s="46" t="s">
        <v>1149</v>
      </c>
      <c r="K476" s="170"/>
      <c r="L476" s="288">
        <v>11.08</v>
      </c>
      <c r="M476" s="289">
        <v>60</v>
      </c>
      <c r="N476" s="290">
        <v>32</v>
      </c>
      <c r="O476" s="46"/>
      <c r="P476" s="46" t="s">
        <v>39</v>
      </c>
      <c r="Q476" s="170"/>
      <c r="R476" s="192" t="str">
        <f t="shared" si="11"/>
        <v>32grams</v>
      </c>
      <c r="S476" s="198">
        <f t="shared" si="12"/>
        <v>1920</v>
      </c>
      <c r="T476" s="199" t="str">
        <f t="shared" si="13"/>
        <v>1920grams</v>
      </c>
      <c r="U476" s="200">
        <f t="shared" si="14"/>
        <v>664.8</v>
      </c>
      <c r="V476" s="12"/>
      <c r="W476" s="12"/>
    </row>
    <row r="477" spans="1:23" x14ac:dyDescent="0.3">
      <c r="A477" s="183" t="e">
        <f ca="1"/>
        <v>#NAME?</v>
      </c>
      <c r="B477" s="46" t="s">
        <v>569</v>
      </c>
      <c r="C477" s="170"/>
      <c r="D477" s="194"/>
      <c r="E477" s="170"/>
      <c r="F477" s="170"/>
      <c r="G477" s="170"/>
      <c r="H477" s="206"/>
      <c r="I477" s="170"/>
      <c r="J477" s="170"/>
      <c r="K477" s="170"/>
      <c r="L477" s="288">
        <v>295</v>
      </c>
      <c r="M477" s="289">
        <v>16</v>
      </c>
      <c r="N477" s="290">
        <v>3500</v>
      </c>
      <c r="O477" s="46"/>
      <c r="P477" s="46" t="s">
        <v>32</v>
      </c>
      <c r="Q477" s="170"/>
      <c r="R477" s="192" t="str">
        <f t="shared" si="11"/>
        <v>3500ml</v>
      </c>
      <c r="S477" s="198">
        <f t="shared" si="12"/>
        <v>56000</v>
      </c>
      <c r="T477" s="199" t="str">
        <f t="shared" si="13"/>
        <v>56000ml</v>
      </c>
      <c r="U477" s="200">
        <f t="shared" si="14"/>
        <v>4720</v>
      </c>
      <c r="V477" s="12"/>
      <c r="W477" s="12"/>
    </row>
    <row r="478" spans="1:23" x14ac:dyDescent="0.3">
      <c r="A478" s="183" t="e">
        <f ca="1"/>
        <v>#NAME?</v>
      </c>
      <c r="B478" s="46" t="s">
        <v>569</v>
      </c>
      <c r="C478" s="170"/>
      <c r="D478" s="194"/>
      <c r="E478" s="194"/>
      <c r="F478" s="170"/>
      <c r="G478" s="170"/>
      <c r="H478" s="183"/>
      <c r="I478" s="170"/>
      <c r="J478" s="46" t="s">
        <v>1150</v>
      </c>
      <c r="K478" s="170"/>
      <c r="L478" s="288">
        <v>1768</v>
      </c>
      <c r="M478" s="289">
        <v>3</v>
      </c>
      <c r="N478" s="290">
        <v>16</v>
      </c>
      <c r="O478" s="46"/>
      <c r="P478" s="46" t="s">
        <v>773</v>
      </c>
      <c r="Q478" s="170"/>
      <c r="R478" s="192" t="str">
        <f t="shared" si="11"/>
        <v>16liters</v>
      </c>
      <c r="S478" s="198">
        <f t="shared" si="12"/>
        <v>48</v>
      </c>
      <c r="T478" s="199" t="str">
        <f t="shared" si="13"/>
        <v>48liters</v>
      </c>
      <c r="U478" s="200">
        <f t="shared" si="14"/>
        <v>5304</v>
      </c>
      <c r="V478" s="12"/>
      <c r="W478" s="12"/>
    </row>
    <row r="479" spans="1:23" x14ac:dyDescent="0.3">
      <c r="A479" s="183" t="e">
        <f ca="1"/>
        <v>#NAME?</v>
      </c>
      <c r="B479" s="46" t="s">
        <v>569</v>
      </c>
      <c r="C479" s="191"/>
      <c r="D479" s="194"/>
      <c r="E479" s="232"/>
      <c r="F479" s="232"/>
      <c r="G479" s="232"/>
      <c r="H479" s="183"/>
      <c r="I479" s="170"/>
      <c r="J479" s="46" t="s">
        <v>1150</v>
      </c>
      <c r="K479" s="170"/>
      <c r="L479" s="288">
        <v>1608.5</v>
      </c>
      <c r="M479" s="289">
        <v>2</v>
      </c>
      <c r="N479" s="290">
        <v>16</v>
      </c>
      <c r="O479" s="46"/>
      <c r="P479" s="46" t="s">
        <v>773</v>
      </c>
      <c r="Q479" s="170"/>
      <c r="R479" s="192" t="str">
        <f t="shared" si="11"/>
        <v>16liters</v>
      </c>
      <c r="S479" s="198">
        <f t="shared" si="12"/>
        <v>32</v>
      </c>
      <c r="T479" s="199" t="str">
        <f t="shared" si="13"/>
        <v>32liters</v>
      </c>
      <c r="U479" s="200">
        <f t="shared" si="14"/>
        <v>3217</v>
      </c>
      <c r="V479" s="12"/>
      <c r="W479" s="12"/>
    </row>
    <row r="480" spans="1:23" x14ac:dyDescent="0.3">
      <c r="A480" s="183" t="e">
        <f ca="1"/>
        <v>#NAME?</v>
      </c>
      <c r="B480" s="46" t="s">
        <v>569</v>
      </c>
      <c r="C480" s="215"/>
      <c r="D480" s="194"/>
      <c r="E480" s="214"/>
      <c r="F480" s="214"/>
      <c r="G480" s="215"/>
      <c r="H480" s="183"/>
      <c r="I480" s="215"/>
      <c r="J480" s="46" t="s">
        <v>1151</v>
      </c>
      <c r="K480" s="170"/>
      <c r="L480" s="288">
        <v>318</v>
      </c>
      <c r="M480" s="289">
        <v>7</v>
      </c>
      <c r="N480" s="290">
        <v>3</v>
      </c>
      <c r="O480" s="46"/>
      <c r="P480" s="46" t="s">
        <v>213</v>
      </c>
      <c r="Q480" s="170"/>
      <c r="R480" s="192" t="str">
        <f t="shared" si="11"/>
        <v>3kilos</v>
      </c>
      <c r="S480" s="198">
        <f t="shared" si="12"/>
        <v>21</v>
      </c>
      <c r="T480" s="199" t="str">
        <f t="shared" si="13"/>
        <v>21kilos</v>
      </c>
      <c r="U480" s="200">
        <f t="shared" si="14"/>
        <v>2226</v>
      </c>
      <c r="V480" s="12"/>
      <c r="W480" s="12"/>
    </row>
    <row r="481" spans="1:23" x14ac:dyDescent="0.3">
      <c r="A481" s="183" t="e">
        <f ca="1"/>
        <v>#NAME?</v>
      </c>
      <c r="B481" s="46" t="s">
        <v>569</v>
      </c>
      <c r="C481" s="170"/>
      <c r="D481" s="194"/>
      <c r="E481" s="170"/>
      <c r="F481" s="170"/>
      <c r="G481" s="170"/>
      <c r="H481" s="206"/>
      <c r="I481" s="170"/>
      <c r="J481" s="46" t="s">
        <v>1150</v>
      </c>
      <c r="K481" s="170"/>
      <c r="L481" s="288">
        <v>1768.3</v>
      </c>
      <c r="M481" s="289">
        <v>2</v>
      </c>
      <c r="N481" s="290">
        <v>16</v>
      </c>
      <c r="O481" s="46"/>
      <c r="P481" s="46" t="s">
        <v>773</v>
      </c>
      <c r="Q481" s="170"/>
      <c r="R481" s="192" t="str">
        <f t="shared" si="11"/>
        <v>16liters</v>
      </c>
      <c r="S481" s="198">
        <f t="shared" si="12"/>
        <v>32</v>
      </c>
      <c r="T481" s="199" t="str">
        <f t="shared" si="13"/>
        <v>32liters</v>
      </c>
      <c r="U481" s="200">
        <f t="shared" si="14"/>
        <v>3536.6</v>
      </c>
      <c r="V481" s="12"/>
      <c r="W481" s="12"/>
    </row>
    <row r="482" spans="1:23" x14ac:dyDescent="0.3">
      <c r="A482" s="183" t="e">
        <f ca="1"/>
        <v>#NAME?</v>
      </c>
      <c r="B482" s="46" t="s">
        <v>569</v>
      </c>
      <c r="C482" s="170"/>
      <c r="D482" s="194"/>
      <c r="E482" s="194"/>
      <c r="F482" s="170"/>
      <c r="G482" s="170"/>
      <c r="H482" s="183"/>
      <c r="I482" s="170"/>
      <c r="J482" s="170"/>
      <c r="K482" s="170"/>
      <c r="L482" s="288">
        <v>340</v>
      </c>
      <c r="M482" s="289">
        <v>6</v>
      </c>
      <c r="N482" s="290">
        <v>1</v>
      </c>
      <c r="O482" s="46"/>
      <c r="P482" s="46" t="s">
        <v>200</v>
      </c>
      <c r="Q482" s="170"/>
      <c r="R482" s="192" t="str">
        <f t="shared" si="11"/>
        <v>1gal</v>
      </c>
      <c r="S482" s="198">
        <f t="shared" si="12"/>
        <v>6</v>
      </c>
      <c r="T482" s="199" t="str">
        <f t="shared" si="13"/>
        <v>6gal</v>
      </c>
      <c r="U482" s="200">
        <f t="shared" si="14"/>
        <v>2040</v>
      </c>
      <c r="V482" s="12"/>
      <c r="W482" s="12"/>
    </row>
    <row r="483" spans="1:23" x14ac:dyDescent="0.3">
      <c r="A483" s="183" t="e">
        <f ca="1"/>
        <v>#NAME?</v>
      </c>
      <c r="B483" s="46" t="s">
        <v>569</v>
      </c>
      <c r="C483" s="170"/>
      <c r="D483" s="194"/>
      <c r="E483" s="194"/>
      <c r="F483" s="170"/>
      <c r="G483" s="170"/>
      <c r="H483" s="183"/>
      <c r="I483" s="267"/>
      <c r="J483" s="215"/>
      <c r="K483" s="170"/>
      <c r="L483" s="291">
        <v>1540</v>
      </c>
      <c r="M483" s="292">
        <v>1</v>
      </c>
      <c r="N483" s="293">
        <v>1</v>
      </c>
      <c r="O483" s="219"/>
      <c r="P483" s="219" t="s">
        <v>32</v>
      </c>
      <c r="Q483" s="170"/>
      <c r="R483" s="192" t="str">
        <f t="shared" si="11"/>
        <v>1ml</v>
      </c>
      <c r="S483" s="198">
        <f t="shared" si="12"/>
        <v>1</v>
      </c>
      <c r="T483" s="199" t="str">
        <f t="shared" si="13"/>
        <v>1ml</v>
      </c>
      <c r="U483" s="200">
        <f t="shared" si="14"/>
        <v>1540</v>
      </c>
      <c r="V483" s="12"/>
      <c r="W483" s="12"/>
    </row>
    <row r="484" spans="1:23" x14ac:dyDescent="0.3">
      <c r="A484" s="183" t="e">
        <f ca="1"/>
        <v>#NAME?</v>
      </c>
      <c r="B484" s="46" t="s">
        <v>569</v>
      </c>
      <c r="C484" s="170"/>
      <c r="D484" s="194"/>
      <c r="E484" s="170"/>
      <c r="F484" s="170"/>
      <c r="G484" s="170"/>
      <c r="H484" s="206"/>
      <c r="I484" s="267"/>
      <c r="J484" s="46" t="s">
        <v>1150</v>
      </c>
      <c r="K484" s="170"/>
      <c r="L484" s="288">
        <v>1608.5</v>
      </c>
      <c r="M484" s="289">
        <v>1</v>
      </c>
      <c r="N484" s="290">
        <v>16</v>
      </c>
      <c r="O484" s="46"/>
      <c r="P484" s="46" t="s">
        <v>773</v>
      </c>
      <c r="Q484" s="170"/>
      <c r="R484" s="192" t="str">
        <f t="shared" si="11"/>
        <v>16liters</v>
      </c>
      <c r="S484" s="198">
        <f t="shared" si="12"/>
        <v>16</v>
      </c>
      <c r="T484" s="199" t="str">
        <f t="shared" si="13"/>
        <v>16liters</v>
      </c>
      <c r="U484" s="200">
        <f t="shared" si="14"/>
        <v>1608.5</v>
      </c>
      <c r="V484" s="12"/>
      <c r="W484" s="12"/>
    </row>
    <row r="485" spans="1:23" x14ac:dyDescent="0.3">
      <c r="A485" s="183" t="e">
        <f ca="1"/>
        <v>#NAME?</v>
      </c>
      <c r="B485" s="46" t="s">
        <v>569</v>
      </c>
      <c r="C485" s="170"/>
      <c r="D485" s="194"/>
      <c r="E485" s="194"/>
      <c r="F485" s="170"/>
      <c r="G485" s="170"/>
      <c r="H485" s="183"/>
      <c r="I485" s="267"/>
      <c r="J485" s="46" t="s">
        <v>1071</v>
      </c>
      <c r="K485" s="170"/>
      <c r="L485" s="288">
        <v>1560</v>
      </c>
      <c r="M485" s="289">
        <v>4</v>
      </c>
      <c r="N485" s="290">
        <v>16</v>
      </c>
      <c r="O485" s="46"/>
      <c r="P485" s="46" t="s">
        <v>773</v>
      </c>
      <c r="Q485" s="170"/>
      <c r="R485" s="192" t="str">
        <f t="shared" si="11"/>
        <v>16liters</v>
      </c>
      <c r="S485" s="198">
        <f t="shared" si="12"/>
        <v>64</v>
      </c>
      <c r="T485" s="199" t="str">
        <f t="shared" si="13"/>
        <v>64liters</v>
      </c>
      <c r="U485" s="200">
        <f t="shared" si="14"/>
        <v>6240</v>
      </c>
      <c r="V485" s="12"/>
      <c r="W485" s="12"/>
    </row>
    <row r="486" spans="1:23" x14ac:dyDescent="0.3">
      <c r="A486" s="183" t="e">
        <f ca="1"/>
        <v>#NAME?</v>
      </c>
      <c r="B486" s="46" t="s">
        <v>1152</v>
      </c>
      <c r="C486" s="170"/>
      <c r="D486" s="194"/>
      <c r="E486" s="194"/>
      <c r="F486" s="170"/>
      <c r="G486" s="170"/>
      <c r="H486" s="183"/>
      <c r="I486" s="267"/>
      <c r="J486" s="46" t="s">
        <v>1153</v>
      </c>
      <c r="K486" s="170"/>
      <c r="L486" s="288">
        <v>78</v>
      </c>
      <c r="M486" s="289">
        <v>1</v>
      </c>
      <c r="N486" s="290">
        <v>350</v>
      </c>
      <c r="O486" s="46"/>
      <c r="P486" s="46" t="s">
        <v>32</v>
      </c>
      <c r="Q486" s="170"/>
      <c r="R486" s="192" t="str">
        <f t="shared" si="11"/>
        <v>350ml</v>
      </c>
      <c r="S486" s="198">
        <f t="shared" si="12"/>
        <v>350</v>
      </c>
      <c r="T486" s="199" t="str">
        <f t="shared" si="13"/>
        <v>350ml</v>
      </c>
      <c r="U486" s="200">
        <f t="shared" si="14"/>
        <v>78</v>
      </c>
      <c r="V486" s="12"/>
      <c r="W486" s="12"/>
    </row>
    <row r="487" spans="1:23" x14ac:dyDescent="0.3">
      <c r="A487" s="183" t="e">
        <f ca="1"/>
        <v>#NAME?</v>
      </c>
      <c r="B487" s="219" t="s">
        <v>1154</v>
      </c>
      <c r="C487" s="170"/>
      <c r="D487" s="194"/>
      <c r="E487" s="170"/>
      <c r="F487" s="170"/>
      <c r="G487" s="170"/>
      <c r="H487" s="206"/>
      <c r="I487" s="267"/>
      <c r="J487" s="219" t="s">
        <v>1074</v>
      </c>
      <c r="K487" s="170"/>
      <c r="L487" s="291">
        <v>11.3</v>
      </c>
      <c r="M487" s="292">
        <v>3</v>
      </c>
      <c r="N487" s="293">
        <v>30</v>
      </c>
      <c r="O487" s="219"/>
      <c r="P487" s="219" t="s">
        <v>39</v>
      </c>
      <c r="Q487" s="170"/>
      <c r="R487" s="192" t="str">
        <f t="shared" si="11"/>
        <v>30grams</v>
      </c>
      <c r="S487" s="198">
        <f t="shared" si="12"/>
        <v>90</v>
      </c>
      <c r="T487" s="199" t="str">
        <f t="shared" si="13"/>
        <v>90grams</v>
      </c>
      <c r="U487" s="200">
        <f t="shared" si="14"/>
        <v>33.900000000000006</v>
      </c>
      <c r="V487" s="12"/>
      <c r="W487" s="12"/>
    </row>
    <row r="488" spans="1:23" x14ac:dyDescent="0.3">
      <c r="A488" s="183" t="e">
        <f ca="1"/>
        <v>#NAME?</v>
      </c>
      <c r="B488" s="219" t="s">
        <v>1155</v>
      </c>
      <c r="C488" s="170"/>
      <c r="D488" s="194"/>
      <c r="E488" s="194"/>
      <c r="F488" s="170"/>
      <c r="G488" s="170"/>
      <c r="H488" s="183"/>
      <c r="I488" s="267"/>
      <c r="J488" s="219" t="s">
        <v>1156</v>
      </c>
      <c r="K488" s="170"/>
      <c r="L488" s="291">
        <v>102</v>
      </c>
      <c r="M488" s="292">
        <v>1</v>
      </c>
      <c r="N488" s="293">
        <v>500</v>
      </c>
      <c r="O488" s="219"/>
      <c r="P488" s="219" t="s">
        <v>32</v>
      </c>
      <c r="Q488" s="170"/>
      <c r="R488" s="192" t="str">
        <f t="shared" si="11"/>
        <v>500ml</v>
      </c>
      <c r="S488" s="198">
        <f t="shared" si="12"/>
        <v>500</v>
      </c>
      <c r="T488" s="199" t="str">
        <f t="shared" si="13"/>
        <v>500ml</v>
      </c>
      <c r="U488" s="200">
        <f t="shared" si="14"/>
        <v>102</v>
      </c>
      <c r="V488" s="12"/>
      <c r="W488" s="12"/>
    </row>
    <row r="489" spans="1:23" x14ac:dyDescent="0.3">
      <c r="A489" s="183" t="e">
        <f ca="1"/>
        <v>#NAME?</v>
      </c>
      <c r="B489" s="46" t="s">
        <v>171</v>
      </c>
      <c r="C489" s="170"/>
      <c r="D489" s="194"/>
      <c r="E489" s="170"/>
      <c r="F489" s="170"/>
      <c r="G489" s="170"/>
      <c r="H489" s="206"/>
      <c r="I489" s="267"/>
      <c r="J489" s="46" t="s">
        <v>1157</v>
      </c>
      <c r="K489" s="170"/>
      <c r="L489" s="288">
        <v>56.1</v>
      </c>
      <c r="M489" s="289">
        <v>6</v>
      </c>
      <c r="N489" s="290">
        <v>260</v>
      </c>
      <c r="O489" s="46"/>
      <c r="P489" s="46" t="s">
        <v>39</v>
      </c>
      <c r="Q489" s="170"/>
      <c r="R489" s="192" t="str">
        <f t="shared" si="11"/>
        <v>260grams</v>
      </c>
      <c r="S489" s="198">
        <f t="shared" si="12"/>
        <v>1560</v>
      </c>
      <c r="T489" s="199" t="str">
        <f t="shared" si="13"/>
        <v>1560grams</v>
      </c>
      <c r="U489" s="200">
        <f t="shared" si="14"/>
        <v>336.6</v>
      </c>
      <c r="V489" s="12"/>
      <c r="W489" s="12"/>
    </row>
    <row r="490" spans="1:23" x14ac:dyDescent="0.3">
      <c r="A490" s="183" t="e">
        <f ca="1"/>
        <v>#NAME?</v>
      </c>
      <c r="B490" s="46" t="s">
        <v>62</v>
      </c>
      <c r="C490" s="170"/>
      <c r="D490" s="194"/>
      <c r="E490" s="194"/>
      <c r="F490" s="170"/>
      <c r="G490" s="170"/>
      <c r="H490" s="183"/>
      <c r="I490" s="267"/>
      <c r="J490" s="46" t="s">
        <v>1068</v>
      </c>
      <c r="K490" s="170"/>
      <c r="L490" s="288">
        <v>65</v>
      </c>
      <c r="M490" s="289">
        <v>5</v>
      </c>
      <c r="N490" s="290">
        <v>1</v>
      </c>
      <c r="O490" s="46"/>
      <c r="P490" s="46" t="s">
        <v>213</v>
      </c>
      <c r="Q490" s="170"/>
      <c r="R490" s="192" t="str">
        <f t="shared" si="11"/>
        <v>1kilos</v>
      </c>
      <c r="S490" s="198">
        <f t="shared" si="12"/>
        <v>5</v>
      </c>
      <c r="T490" s="199" t="str">
        <f t="shared" si="13"/>
        <v>5kilos</v>
      </c>
      <c r="U490" s="200">
        <f t="shared" si="14"/>
        <v>325</v>
      </c>
      <c r="V490" s="12"/>
      <c r="W490" s="12"/>
    </row>
    <row r="491" spans="1:23" x14ac:dyDescent="0.3">
      <c r="A491" s="183" t="e">
        <f ca="1"/>
        <v>#NAME?</v>
      </c>
      <c r="B491" s="46" t="s">
        <v>62</v>
      </c>
      <c r="C491" s="170"/>
      <c r="D491" s="194"/>
      <c r="E491" s="194"/>
      <c r="F491" s="194"/>
      <c r="G491" s="170"/>
      <c r="H491" s="183"/>
      <c r="I491" s="267"/>
      <c r="J491" s="46" t="s">
        <v>38</v>
      </c>
      <c r="K491" s="170"/>
      <c r="L491" s="288">
        <v>947.15</v>
      </c>
      <c r="M491" s="289">
        <v>1</v>
      </c>
      <c r="N491" s="290">
        <v>9600</v>
      </c>
      <c r="O491" s="46"/>
      <c r="P491" s="46" t="s">
        <v>39</v>
      </c>
      <c r="Q491" s="170"/>
      <c r="R491" s="192" t="str">
        <f t="shared" si="11"/>
        <v>9600grams</v>
      </c>
      <c r="S491" s="198">
        <f t="shared" si="12"/>
        <v>9600</v>
      </c>
      <c r="T491" s="199" t="str">
        <f t="shared" si="13"/>
        <v>9600grams</v>
      </c>
      <c r="U491" s="200">
        <f t="shared" si="14"/>
        <v>947.15</v>
      </c>
      <c r="V491" s="205">
        <f>U491/M491</f>
        <v>947.15</v>
      </c>
      <c r="W491" s="62"/>
    </row>
    <row r="492" spans="1:23" x14ac:dyDescent="0.3">
      <c r="A492" s="183" t="e">
        <f ca="1"/>
        <v>#NAME?</v>
      </c>
      <c r="B492" s="46" t="s">
        <v>62</v>
      </c>
      <c r="C492" s="170"/>
      <c r="D492" s="194"/>
      <c r="E492" s="170"/>
      <c r="F492" s="170"/>
      <c r="G492" s="170"/>
      <c r="H492" s="183"/>
      <c r="I492" s="267"/>
      <c r="J492" s="170"/>
      <c r="K492" s="170"/>
      <c r="L492" s="288">
        <v>54</v>
      </c>
      <c r="M492" s="289">
        <v>3</v>
      </c>
      <c r="N492" s="290">
        <v>1</v>
      </c>
      <c r="O492" s="46"/>
      <c r="P492" s="46" t="s">
        <v>213</v>
      </c>
      <c r="Q492" s="170"/>
      <c r="R492" s="192" t="str">
        <f t="shared" si="11"/>
        <v>1kilos</v>
      </c>
      <c r="S492" s="198">
        <f t="shared" si="12"/>
        <v>3</v>
      </c>
      <c r="T492" s="199" t="str">
        <f t="shared" si="13"/>
        <v>3kilos</v>
      </c>
      <c r="U492" s="200">
        <f t="shared" si="14"/>
        <v>162</v>
      </c>
      <c r="V492" s="12"/>
      <c r="W492" s="12"/>
    </row>
    <row r="493" spans="1:23" x14ac:dyDescent="0.3">
      <c r="A493" s="183" t="e">
        <f ca="1"/>
        <v>#NAME?</v>
      </c>
      <c r="B493" s="46" t="s">
        <v>62</v>
      </c>
      <c r="C493" s="170"/>
      <c r="D493" s="194"/>
      <c r="E493" s="170"/>
      <c r="F493" s="170"/>
      <c r="G493" s="170"/>
      <c r="H493" s="183"/>
      <c r="I493" s="267"/>
      <c r="J493" s="46" t="s">
        <v>851</v>
      </c>
      <c r="K493" s="170"/>
      <c r="L493" s="288">
        <v>60</v>
      </c>
      <c r="M493" s="289">
        <v>1</v>
      </c>
      <c r="N493" s="290">
        <v>1000</v>
      </c>
      <c r="O493" s="297"/>
      <c r="P493" s="297" t="s">
        <v>39</v>
      </c>
      <c r="Q493" s="170"/>
      <c r="R493" s="192" t="str">
        <f t="shared" si="11"/>
        <v>1000grams</v>
      </c>
      <c r="S493" s="198">
        <f t="shared" si="12"/>
        <v>1000</v>
      </c>
      <c r="T493" s="199" t="str">
        <f t="shared" si="13"/>
        <v>1000grams</v>
      </c>
      <c r="U493" s="200">
        <f t="shared" si="14"/>
        <v>60</v>
      </c>
      <c r="V493" s="12"/>
      <c r="W493" s="12"/>
    </row>
    <row r="494" spans="1:23" x14ac:dyDescent="0.3">
      <c r="A494" s="183" t="e">
        <f ca="1"/>
        <v>#NAME?</v>
      </c>
      <c r="B494" s="46" t="s">
        <v>62</v>
      </c>
      <c r="C494" s="239"/>
      <c r="D494" s="194"/>
      <c r="E494" s="239"/>
      <c r="F494" s="239"/>
      <c r="G494" s="239"/>
      <c r="H494" s="206"/>
      <c r="I494" s="267"/>
      <c r="J494" s="46" t="s">
        <v>47</v>
      </c>
      <c r="K494" s="170"/>
      <c r="L494" s="288">
        <v>48.7</v>
      </c>
      <c r="M494" s="289">
        <v>4</v>
      </c>
      <c r="N494" s="290">
        <v>400</v>
      </c>
      <c r="O494" s="46"/>
      <c r="P494" s="46" t="s">
        <v>39</v>
      </c>
      <c r="Q494" s="170"/>
      <c r="R494" s="192" t="str">
        <f t="shared" si="11"/>
        <v>400grams</v>
      </c>
      <c r="S494" s="198">
        <f t="shared" si="12"/>
        <v>1600</v>
      </c>
      <c r="T494" s="199" t="str">
        <f t="shared" si="13"/>
        <v>1600grams</v>
      </c>
      <c r="U494" s="200">
        <f t="shared" si="14"/>
        <v>194.8</v>
      </c>
      <c r="V494" s="12"/>
      <c r="W494" s="12"/>
    </row>
    <row r="495" spans="1:23" x14ac:dyDescent="0.3">
      <c r="A495" s="183" t="e">
        <f ca="1"/>
        <v>#NAME?</v>
      </c>
      <c r="B495" s="46" t="s">
        <v>62</v>
      </c>
      <c r="C495" s="239"/>
      <c r="D495" s="194"/>
      <c r="E495" s="239"/>
      <c r="F495" s="239"/>
      <c r="G495" s="239"/>
      <c r="H495" s="206"/>
      <c r="I495" s="267"/>
      <c r="J495" s="215"/>
      <c r="K495" s="170"/>
      <c r="L495" s="291">
        <v>56</v>
      </c>
      <c r="M495" s="292">
        <v>15</v>
      </c>
      <c r="N495" s="293">
        <v>1000</v>
      </c>
      <c r="O495" s="219"/>
      <c r="P495" s="219" t="s">
        <v>39</v>
      </c>
      <c r="Q495" s="170"/>
      <c r="R495" s="192" t="str">
        <f t="shared" si="11"/>
        <v>1000grams</v>
      </c>
      <c r="S495" s="198">
        <f t="shared" si="12"/>
        <v>15000</v>
      </c>
      <c r="T495" s="199" t="str">
        <f t="shared" si="13"/>
        <v>15000grams</v>
      </c>
      <c r="U495" s="200">
        <f t="shared" si="14"/>
        <v>840</v>
      </c>
      <c r="V495" s="12"/>
      <c r="W495" s="12"/>
    </row>
    <row r="496" spans="1:23" x14ac:dyDescent="0.3">
      <c r="A496" s="183" t="e">
        <f ca="1"/>
        <v>#NAME?</v>
      </c>
      <c r="B496" s="46" t="s">
        <v>62</v>
      </c>
      <c r="C496" s="239"/>
      <c r="D496" s="194"/>
      <c r="E496" s="239"/>
      <c r="F496" s="239"/>
      <c r="G496" s="239"/>
      <c r="H496" s="183"/>
      <c r="I496" s="267"/>
      <c r="J496" s="46" t="s">
        <v>47</v>
      </c>
      <c r="K496" s="170"/>
      <c r="L496" s="288">
        <v>55</v>
      </c>
      <c r="M496" s="289">
        <v>5</v>
      </c>
      <c r="N496" s="290">
        <v>1000</v>
      </c>
      <c r="O496" s="46"/>
      <c r="P496" s="46" t="s">
        <v>213</v>
      </c>
      <c r="Q496" s="170"/>
      <c r="R496" s="192" t="str">
        <f t="shared" si="11"/>
        <v>1000kilos</v>
      </c>
      <c r="S496" s="198">
        <f t="shared" si="12"/>
        <v>5000</v>
      </c>
      <c r="T496" s="199" t="str">
        <f t="shared" si="13"/>
        <v>5000kilos</v>
      </c>
      <c r="U496" s="200">
        <f t="shared" si="14"/>
        <v>275</v>
      </c>
      <c r="V496" s="12"/>
      <c r="W496" s="12"/>
    </row>
    <row r="497" spans="1:23" x14ac:dyDescent="0.3">
      <c r="A497" s="183" t="e">
        <f ca="1"/>
        <v>#NAME?</v>
      </c>
      <c r="B497" s="46" t="s">
        <v>1158</v>
      </c>
      <c r="C497" s="239"/>
      <c r="D497" s="194"/>
      <c r="E497" s="239"/>
      <c r="F497" s="239"/>
      <c r="G497" s="239"/>
      <c r="H497" s="183"/>
      <c r="I497" s="267"/>
      <c r="J497" s="170"/>
      <c r="K497" s="170"/>
      <c r="L497" s="288">
        <v>700</v>
      </c>
      <c r="M497" s="289">
        <v>0</v>
      </c>
      <c r="N497" s="290">
        <v>500</v>
      </c>
      <c r="O497" s="46"/>
      <c r="P497" s="46" t="s">
        <v>39</v>
      </c>
      <c r="Q497" s="170"/>
      <c r="R497" s="192" t="str">
        <f t="shared" si="11"/>
        <v>500grams</v>
      </c>
      <c r="S497" s="198">
        <f t="shared" si="12"/>
        <v>0</v>
      </c>
      <c r="T497" s="199" t="str">
        <f t="shared" si="13"/>
        <v>0grams</v>
      </c>
      <c r="U497" s="200">
        <f t="shared" si="14"/>
        <v>0</v>
      </c>
      <c r="V497" s="12"/>
      <c r="W497" s="12"/>
    </row>
    <row r="498" spans="1:23" x14ac:dyDescent="0.3">
      <c r="A498" s="183" t="e">
        <f ca="1"/>
        <v>#NAME?</v>
      </c>
      <c r="B498" s="219" t="s">
        <v>248</v>
      </c>
      <c r="C498" s="239"/>
      <c r="D498" s="194"/>
      <c r="E498" s="244"/>
      <c r="F498" s="239"/>
      <c r="G498" s="239"/>
      <c r="H498" s="183"/>
      <c r="I498" s="267"/>
      <c r="J498" s="46" t="s">
        <v>987</v>
      </c>
      <c r="K498" s="170"/>
      <c r="L498" s="288">
        <v>35.9</v>
      </c>
      <c r="M498" s="289">
        <v>1</v>
      </c>
      <c r="N498" s="290">
        <v>37</v>
      </c>
      <c r="O498" s="46"/>
      <c r="P498" s="46" t="s">
        <v>39</v>
      </c>
      <c r="Q498" s="170"/>
      <c r="R498" s="192" t="str">
        <f t="shared" si="11"/>
        <v>37grams</v>
      </c>
      <c r="S498" s="198">
        <f t="shared" si="12"/>
        <v>37</v>
      </c>
      <c r="T498" s="199" t="str">
        <f t="shared" si="13"/>
        <v>37grams</v>
      </c>
      <c r="U498" s="200">
        <f t="shared" si="14"/>
        <v>35.9</v>
      </c>
      <c r="V498" s="12"/>
      <c r="W498" s="12"/>
    </row>
    <row r="499" spans="1:23" x14ac:dyDescent="0.3">
      <c r="A499" s="183" t="e">
        <f ca="1"/>
        <v>#NAME?</v>
      </c>
      <c r="B499" s="219" t="s">
        <v>248</v>
      </c>
      <c r="C499" s="239"/>
      <c r="D499" s="194"/>
      <c r="E499" s="244"/>
      <c r="F499" s="239"/>
      <c r="G499" s="239"/>
      <c r="H499" s="183"/>
      <c r="I499" s="267"/>
      <c r="J499" s="46" t="s">
        <v>987</v>
      </c>
      <c r="K499" s="170"/>
      <c r="L499" s="288">
        <v>62</v>
      </c>
      <c r="M499" s="289">
        <v>2</v>
      </c>
      <c r="N499" s="290">
        <v>55</v>
      </c>
      <c r="O499" s="46"/>
      <c r="P499" s="46" t="s">
        <v>39</v>
      </c>
      <c r="Q499" s="170"/>
      <c r="R499" s="192" t="str">
        <f t="shared" si="11"/>
        <v>55grams</v>
      </c>
      <c r="S499" s="198">
        <f t="shared" si="12"/>
        <v>110</v>
      </c>
      <c r="T499" s="199" t="str">
        <f t="shared" si="13"/>
        <v>110grams</v>
      </c>
      <c r="U499" s="200">
        <f t="shared" si="14"/>
        <v>124</v>
      </c>
      <c r="V499" s="12"/>
      <c r="W499" s="12"/>
    </row>
    <row r="500" spans="1:23" x14ac:dyDescent="0.3">
      <c r="A500" s="183" t="e">
        <f ca="1"/>
        <v>#NAME?</v>
      </c>
      <c r="B500" s="219" t="s">
        <v>1159</v>
      </c>
      <c r="C500" s="239"/>
      <c r="D500" s="194"/>
      <c r="E500" s="239"/>
      <c r="F500" s="239"/>
      <c r="G500" s="239"/>
      <c r="H500" s="206"/>
      <c r="I500" s="237"/>
      <c r="J500" s="46" t="s">
        <v>1160</v>
      </c>
      <c r="K500" s="237"/>
      <c r="L500" s="288">
        <v>186</v>
      </c>
      <c r="M500" s="289">
        <v>0</v>
      </c>
      <c r="N500" s="290">
        <v>500</v>
      </c>
      <c r="O500" s="46"/>
      <c r="P500" s="46" t="s">
        <v>39</v>
      </c>
      <c r="Q500" s="170"/>
      <c r="R500" s="192" t="str">
        <f t="shared" si="11"/>
        <v>500grams</v>
      </c>
      <c r="S500" s="198">
        <f t="shared" si="12"/>
        <v>0</v>
      </c>
      <c r="T500" s="199" t="str">
        <f t="shared" si="13"/>
        <v>0grams</v>
      </c>
      <c r="U500" s="200">
        <f t="shared" si="14"/>
        <v>0</v>
      </c>
      <c r="V500" s="12"/>
      <c r="W500" s="12"/>
    </row>
    <row r="501" spans="1:23" x14ac:dyDescent="0.3">
      <c r="A501" s="183" t="e">
        <f ca="1"/>
        <v>#NAME?</v>
      </c>
      <c r="B501" s="46" t="s">
        <v>1161</v>
      </c>
      <c r="C501" s="239"/>
      <c r="D501" s="194"/>
      <c r="E501" s="239"/>
      <c r="F501" s="239"/>
      <c r="G501" s="239"/>
      <c r="H501" s="206"/>
      <c r="I501" s="237"/>
      <c r="J501" s="46" t="s">
        <v>1162</v>
      </c>
      <c r="K501" s="237"/>
      <c r="L501" s="288">
        <v>6.13</v>
      </c>
      <c r="M501" s="289">
        <v>50</v>
      </c>
      <c r="N501" s="290">
        <v>30</v>
      </c>
      <c r="O501" s="46"/>
      <c r="P501" s="46" t="s">
        <v>39</v>
      </c>
      <c r="Q501" s="170"/>
      <c r="R501" s="192" t="str">
        <f t="shared" si="11"/>
        <v>30grams</v>
      </c>
      <c r="S501" s="198">
        <f t="shared" si="12"/>
        <v>1500</v>
      </c>
      <c r="T501" s="199" t="str">
        <f t="shared" si="13"/>
        <v>1500grams</v>
      </c>
      <c r="U501" s="200">
        <f t="shared" si="14"/>
        <v>306.5</v>
      </c>
      <c r="V501" s="12"/>
      <c r="W501" s="12"/>
    </row>
    <row r="502" spans="1:23" x14ac:dyDescent="0.3">
      <c r="A502" s="183" t="e">
        <f ca="1"/>
        <v>#NAME?</v>
      </c>
      <c r="B502" s="46" t="s">
        <v>1161</v>
      </c>
      <c r="C502" s="239"/>
      <c r="D502" s="194"/>
      <c r="E502" s="239"/>
      <c r="F502" s="239"/>
      <c r="G502" s="239"/>
      <c r="H502" s="206"/>
      <c r="I502" s="237"/>
      <c r="J502" s="46" t="s">
        <v>1163</v>
      </c>
      <c r="K502" s="237"/>
      <c r="L502" s="288">
        <v>5.71</v>
      </c>
      <c r="M502" s="289">
        <v>30</v>
      </c>
      <c r="N502" s="290">
        <v>28</v>
      </c>
      <c r="O502" s="46"/>
      <c r="P502" s="46" t="s">
        <v>39</v>
      </c>
      <c r="Q502" s="170"/>
      <c r="R502" s="192" t="str">
        <f t="shared" si="11"/>
        <v>28grams</v>
      </c>
      <c r="S502" s="198">
        <f t="shared" si="12"/>
        <v>840</v>
      </c>
      <c r="T502" s="199" t="str">
        <f t="shared" si="13"/>
        <v>840grams</v>
      </c>
      <c r="U502" s="200">
        <f t="shared" si="14"/>
        <v>171.3</v>
      </c>
      <c r="V502" s="12"/>
      <c r="W502" s="12"/>
    </row>
    <row r="503" spans="1:23" x14ac:dyDescent="0.3">
      <c r="A503" s="183" t="e">
        <f ca="1"/>
        <v>#NAME?</v>
      </c>
      <c r="B503" s="219" t="s">
        <v>1161</v>
      </c>
      <c r="C503" s="239"/>
      <c r="D503" s="194"/>
      <c r="E503" s="239"/>
      <c r="F503" s="239"/>
      <c r="G503" s="239"/>
      <c r="H503" s="206"/>
      <c r="I503" s="237"/>
      <c r="J503" s="46" t="s">
        <v>1164</v>
      </c>
      <c r="K503" s="237"/>
      <c r="L503" s="288">
        <v>5.51</v>
      </c>
      <c r="M503" s="289">
        <v>6</v>
      </c>
      <c r="N503" s="290">
        <v>25</v>
      </c>
      <c r="O503" s="46"/>
      <c r="P503" s="46" t="s">
        <v>39</v>
      </c>
      <c r="Q503" s="170"/>
      <c r="R503" s="192" t="str">
        <f t="shared" si="11"/>
        <v>25grams</v>
      </c>
      <c r="S503" s="198">
        <f t="shared" si="12"/>
        <v>150</v>
      </c>
      <c r="T503" s="199" t="str">
        <f t="shared" si="13"/>
        <v>150grams</v>
      </c>
      <c r="U503" s="200">
        <f t="shared" si="14"/>
        <v>33.06</v>
      </c>
      <c r="V503" s="12"/>
      <c r="W503" s="12"/>
    </row>
    <row r="504" spans="1:23" x14ac:dyDescent="0.3">
      <c r="A504" s="183" t="e">
        <f ca="1"/>
        <v>#NAME?</v>
      </c>
      <c r="B504" s="219" t="s">
        <v>1161</v>
      </c>
      <c r="C504" s="239"/>
      <c r="D504" s="194"/>
      <c r="E504" s="239"/>
      <c r="F504" s="239"/>
      <c r="G504" s="239"/>
      <c r="H504" s="206"/>
      <c r="I504" s="237"/>
      <c r="J504" s="46" t="s">
        <v>1164</v>
      </c>
      <c r="K504" s="237"/>
      <c r="L504" s="288">
        <v>5.51</v>
      </c>
      <c r="M504" s="289">
        <v>72</v>
      </c>
      <c r="N504" s="290">
        <v>25</v>
      </c>
      <c r="O504" s="297"/>
      <c r="P504" s="297" t="s">
        <v>39</v>
      </c>
      <c r="Q504" s="170"/>
      <c r="R504" s="192" t="str">
        <f t="shared" si="11"/>
        <v>25grams</v>
      </c>
      <c r="S504" s="198">
        <f t="shared" si="12"/>
        <v>1800</v>
      </c>
      <c r="T504" s="199" t="str">
        <f t="shared" si="13"/>
        <v>1800grams</v>
      </c>
      <c r="U504" s="200">
        <f t="shared" si="14"/>
        <v>396.71999999999997</v>
      </c>
      <c r="V504" s="12"/>
      <c r="W504" s="12"/>
    </row>
    <row r="505" spans="1:23" x14ac:dyDescent="0.3">
      <c r="A505" s="183" t="e">
        <f ca="1"/>
        <v>#NAME?</v>
      </c>
      <c r="B505" s="219" t="s">
        <v>1161</v>
      </c>
      <c r="C505" s="239"/>
      <c r="D505" s="194"/>
      <c r="E505" s="239"/>
      <c r="F505" s="239"/>
      <c r="G505" s="239"/>
      <c r="H505" s="206"/>
      <c r="I505" s="239"/>
      <c r="J505" s="46" t="s">
        <v>1164</v>
      </c>
      <c r="K505" s="237"/>
      <c r="L505" s="288">
        <v>201</v>
      </c>
      <c r="M505" s="289">
        <v>2</v>
      </c>
      <c r="N505" s="290">
        <v>1</v>
      </c>
      <c r="O505" s="297"/>
      <c r="P505" s="297" t="s">
        <v>1165</v>
      </c>
      <c r="Q505" s="170"/>
      <c r="R505" s="192" t="str">
        <f t="shared" si="11"/>
        <v>1tub</v>
      </c>
      <c r="S505" s="198">
        <f t="shared" si="12"/>
        <v>2</v>
      </c>
      <c r="T505" s="199" t="str">
        <f t="shared" si="13"/>
        <v>2tub</v>
      </c>
      <c r="U505" s="200">
        <f t="shared" si="14"/>
        <v>402</v>
      </c>
      <c r="V505" s="12"/>
      <c r="W505" s="12"/>
    </row>
    <row r="506" spans="1:23" x14ac:dyDescent="0.3">
      <c r="A506" s="183" t="e">
        <f ca="1"/>
        <v>#NAME?</v>
      </c>
      <c r="B506" s="219" t="s">
        <v>1161</v>
      </c>
      <c r="C506" s="170"/>
      <c r="D506" s="194"/>
      <c r="E506" s="194"/>
      <c r="F506" s="170"/>
      <c r="G506" s="170"/>
      <c r="H506" s="183"/>
      <c r="I506" s="170"/>
      <c r="J506" s="46" t="s">
        <v>1164</v>
      </c>
      <c r="K506" s="237"/>
      <c r="L506" s="288">
        <v>5.85</v>
      </c>
      <c r="M506" s="289">
        <v>20</v>
      </c>
      <c r="N506" s="290">
        <v>10</v>
      </c>
      <c r="O506" s="297"/>
      <c r="P506" s="297" t="s">
        <v>92</v>
      </c>
      <c r="Q506" s="170"/>
      <c r="R506" s="192" t="str">
        <f t="shared" si="11"/>
        <v>10pieces</v>
      </c>
      <c r="S506" s="198">
        <f t="shared" si="12"/>
        <v>200</v>
      </c>
      <c r="T506" s="199" t="str">
        <f t="shared" si="13"/>
        <v>200pieces</v>
      </c>
      <c r="U506" s="200">
        <f t="shared" si="14"/>
        <v>117</v>
      </c>
      <c r="V506" s="12"/>
      <c r="W506" s="12"/>
    </row>
    <row r="507" spans="1:23" x14ac:dyDescent="0.3">
      <c r="A507" s="183" t="e">
        <f ca="1"/>
        <v>#NAME?</v>
      </c>
      <c r="B507" s="219" t="s">
        <v>1161</v>
      </c>
      <c r="C507" s="170"/>
      <c r="D507" s="194"/>
      <c r="E507" s="194"/>
      <c r="F507" s="170"/>
      <c r="G507" s="170"/>
      <c r="H507" s="183"/>
      <c r="I507" s="239"/>
      <c r="J507" s="46" t="s">
        <v>1166</v>
      </c>
      <c r="K507" s="239"/>
      <c r="L507" s="288">
        <v>6.66</v>
      </c>
      <c r="M507" s="289">
        <v>30</v>
      </c>
      <c r="N507" s="290">
        <v>10</v>
      </c>
      <c r="O507" s="297"/>
      <c r="P507" s="297" t="s">
        <v>92</v>
      </c>
      <c r="Q507" s="170"/>
      <c r="R507" s="192" t="str">
        <f t="shared" si="11"/>
        <v>10pieces</v>
      </c>
      <c r="S507" s="198">
        <f t="shared" si="12"/>
        <v>300</v>
      </c>
      <c r="T507" s="199" t="str">
        <f t="shared" si="13"/>
        <v>300pieces</v>
      </c>
      <c r="U507" s="200">
        <f t="shared" si="14"/>
        <v>199.8</v>
      </c>
      <c r="V507" s="12"/>
      <c r="W507" s="12"/>
    </row>
    <row r="508" spans="1:23" x14ac:dyDescent="0.3">
      <c r="A508" s="183" t="e">
        <f ca="1"/>
        <v>#NAME?</v>
      </c>
      <c r="B508" s="219" t="s">
        <v>1161</v>
      </c>
      <c r="C508" s="170"/>
      <c r="D508" s="194"/>
      <c r="E508" s="194"/>
      <c r="F508" s="170"/>
      <c r="G508" s="170"/>
      <c r="H508" s="183"/>
      <c r="I508" s="239"/>
      <c r="J508" s="46" t="s">
        <v>1164</v>
      </c>
      <c r="K508" s="239"/>
      <c r="L508" s="288">
        <v>58.5</v>
      </c>
      <c r="M508" s="289">
        <v>20</v>
      </c>
      <c r="N508" s="290">
        <v>25</v>
      </c>
      <c r="O508" s="297"/>
      <c r="P508" s="297" t="s">
        <v>39</v>
      </c>
      <c r="Q508" s="170"/>
      <c r="R508" s="192" t="str">
        <f t="shared" si="11"/>
        <v>25grams</v>
      </c>
      <c r="S508" s="198">
        <f t="shared" si="12"/>
        <v>500</v>
      </c>
      <c r="T508" s="199" t="str">
        <f t="shared" si="13"/>
        <v>500grams</v>
      </c>
      <c r="U508" s="200">
        <f t="shared" si="14"/>
        <v>1170</v>
      </c>
      <c r="V508" s="12"/>
      <c r="W508" s="12"/>
    </row>
    <row r="509" spans="1:23" x14ac:dyDescent="0.3">
      <c r="A509" s="183" t="e">
        <f ca="1"/>
        <v>#NAME?</v>
      </c>
      <c r="B509" s="219" t="s">
        <v>1161</v>
      </c>
      <c r="C509" s="170"/>
      <c r="D509" s="194"/>
      <c r="E509" s="170"/>
      <c r="F509" s="170"/>
      <c r="G509" s="170"/>
      <c r="H509" s="183"/>
      <c r="I509" s="239"/>
      <c r="J509" s="46" t="s">
        <v>1167</v>
      </c>
      <c r="K509" s="239"/>
      <c r="L509" s="311">
        <v>6.66</v>
      </c>
      <c r="M509" s="289">
        <v>16</v>
      </c>
      <c r="N509" s="290">
        <v>10</v>
      </c>
      <c r="O509" s="297"/>
      <c r="P509" s="297" t="s">
        <v>92</v>
      </c>
      <c r="Q509" s="170"/>
      <c r="R509" s="192" t="str">
        <f t="shared" si="11"/>
        <v>10pieces</v>
      </c>
      <c r="S509" s="198">
        <f t="shared" si="12"/>
        <v>160</v>
      </c>
      <c r="T509" s="199" t="str">
        <f t="shared" si="13"/>
        <v>160pieces</v>
      </c>
      <c r="U509" s="200">
        <f t="shared" si="14"/>
        <v>106.56</v>
      </c>
      <c r="V509" s="12"/>
      <c r="W509" s="12"/>
    </row>
    <row r="510" spans="1:23" x14ac:dyDescent="0.3">
      <c r="A510" s="183" t="e">
        <f ca="1"/>
        <v>#NAME?</v>
      </c>
      <c r="B510" s="46" t="s">
        <v>1161</v>
      </c>
      <c r="C510" s="170"/>
      <c r="D510" s="194"/>
      <c r="E510" s="170"/>
      <c r="F510" s="170"/>
      <c r="G510" s="170"/>
      <c r="H510" s="206"/>
      <c r="I510" s="239"/>
      <c r="J510" s="46" t="s">
        <v>1168</v>
      </c>
      <c r="K510" s="239"/>
      <c r="L510" s="288">
        <v>5.7</v>
      </c>
      <c r="M510" s="312">
        <v>6</v>
      </c>
      <c r="N510" s="313">
        <v>33</v>
      </c>
      <c r="O510" s="314"/>
      <c r="P510" s="314" t="s">
        <v>39</v>
      </c>
      <c r="Q510" s="170"/>
      <c r="R510" s="192" t="str">
        <f t="shared" si="11"/>
        <v>33grams</v>
      </c>
      <c r="S510" s="198">
        <f t="shared" si="12"/>
        <v>198</v>
      </c>
      <c r="T510" s="199" t="str">
        <f t="shared" si="13"/>
        <v>198grams</v>
      </c>
      <c r="U510" s="200">
        <f t="shared" si="14"/>
        <v>34.200000000000003</v>
      </c>
      <c r="V510" s="12"/>
      <c r="W510" s="12"/>
    </row>
    <row r="511" spans="1:23" x14ac:dyDescent="0.3">
      <c r="A511" s="183" t="e">
        <f ca="1"/>
        <v>#NAME?</v>
      </c>
      <c r="B511" s="46" t="s">
        <v>1161</v>
      </c>
      <c r="C511" s="170"/>
      <c r="D511" s="194"/>
      <c r="E511" s="194"/>
      <c r="F511" s="170"/>
      <c r="G511" s="170"/>
      <c r="H511" s="183"/>
      <c r="I511" s="239"/>
      <c r="J511" s="46" t="s">
        <v>1169</v>
      </c>
      <c r="K511" s="239"/>
      <c r="L511" s="288">
        <v>5.6</v>
      </c>
      <c r="M511" s="312">
        <v>7</v>
      </c>
      <c r="N511" s="313">
        <v>30</v>
      </c>
      <c r="O511" s="314"/>
      <c r="P511" s="314" t="s">
        <v>39</v>
      </c>
      <c r="Q511" s="170"/>
      <c r="R511" s="192" t="str">
        <f t="shared" si="11"/>
        <v>30grams</v>
      </c>
      <c r="S511" s="198">
        <f t="shared" si="12"/>
        <v>210</v>
      </c>
      <c r="T511" s="199" t="str">
        <f t="shared" si="13"/>
        <v>210grams</v>
      </c>
      <c r="U511" s="200">
        <f t="shared" si="14"/>
        <v>39.199999999999996</v>
      </c>
      <c r="V511" s="12"/>
      <c r="W511" s="12"/>
    </row>
    <row r="512" spans="1:23" x14ac:dyDescent="0.3">
      <c r="A512" s="183" t="e">
        <f ca="1"/>
        <v>#NAME?</v>
      </c>
      <c r="B512" s="46" t="s">
        <v>1161</v>
      </c>
      <c r="C512" s="170"/>
      <c r="D512" s="194"/>
      <c r="E512" s="194"/>
      <c r="F512" s="170"/>
      <c r="G512" s="170"/>
      <c r="H512" s="183"/>
      <c r="I512" s="239"/>
      <c r="J512" s="46" t="s">
        <v>1170</v>
      </c>
      <c r="K512" s="239"/>
      <c r="L512" s="288">
        <v>5.71</v>
      </c>
      <c r="M512" s="289">
        <v>30</v>
      </c>
      <c r="N512" s="290">
        <v>10</v>
      </c>
      <c r="O512" s="46"/>
      <c r="P512" s="46" t="s">
        <v>92</v>
      </c>
      <c r="Q512" s="170"/>
      <c r="R512" s="192" t="str">
        <f t="shared" si="11"/>
        <v>10pieces</v>
      </c>
      <c r="S512" s="198">
        <f t="shared" si="12"/>
        <v>300</v>
      </c>
      <c r="T512" s="199" t="str">
        <f t="shared" si="13"/>
        <v>300pieces</v>
      </c>
      <c r="U512" s="200">
        <f t="shared" si="14"/>
        <v>171.3</v>
      </c>
      <c r="V512" s="12"/>
      <c r="W512" s="12"/>
    </row>
    <row r="513" spans="1:23" x14ac:dyDescent="0.3">
      <c r="A513" s="183" t="e">
        <f ca="1"/>
        <v>#NAME?</v>
      </c>
      <c r="B513" s="46" t="s">
        <v>1161</v>
      </c>
      <c r="C513" s="170"/>
      <c r="D513" s="194"/>
      <c r="E513" s="170"/>
      <c r="F513" s="170"/>
      <c r="G513" s="170"/>
      <c r="H513" s="206"/>
      <c r="I513" s="239"/>
      <c r="J513" s="46" t="s">
        <v>1171</v>
      </c>
      <c r="K513" s="239"/>
      <c r="L513" s="288">
        <v>5.71</v>
      </c>
      <c r="M513" s="289">
        <v>30</v>
      </c>
      <c r="N513" s="290">
        <v>10</v>
      </c>
      <c r="O513" s="46"/>
      <c r="P513" s="46" t="s">
        <v>92</v>
      </c>
      <c r="Q513" s="170"/>
      <c r="R513" s="192" t="str">
        <f t="shared" si="11"/>
        <v>10pieces</v>
      </c>
      <c r="S513" s="198">
        <f t="shared" si="12"/>
        <v>300</v>
      </c>
      <c r="T513" s="199" t="str">
        <f t="shared" si="13"/>
        <v>300pieces</v>
      </c>
      <c r="U513" s="200">
        <f t="shared" si="14"/>
        <v>171.3</v>
      </c>
      <c r="V513" s="12"/>
      <c r="W513" s="12"/>
    </row>
    <row r="514" spans="1:23" x14ac:dyDescent="0.3">
      <c r="A514" s="183" t="e">
        <f ca="1"/>
        <v>#NAME?</v>
      </c>
      <c r="B514" s="46" t="s">
        <v>1161</v>
      </c>
      <c r="C514" s="170"/>
      <c r="D514" s="194"/>
      <c r="E514" s="170"/>
      <c r="F514" s="170"/>
      <c r="G514" s="170"/>
      <c r="H514" s="206"/>
      <c r="I514" s="239"/>
      <c r="J514" s="46" t="s">
        <v>1172</v>
      </c>
      <c r="K514" s="239"/>
      <c r="L514" s="288">
        <v>5.71</v>
      </c>
      <c r="M514" s="289">
        <v>60</v>
      </c>
      <c r="N514" s="290">
        <v>10</v>
      </c>
      <c r="O514" s="46"/>
      <c r="P514" s="46" t="s">
        <v>92</v>
      </c>
      <c r="Q514" s="170"/>
      <c r="R514" s="192" t="str">
        <f t="shared" si="11"/>
        <v>10pieces</v>
      </c>
      <c r="S514" s="198">
        <f t="shared" si="12"/>
        <v>600</v>
      </c>
      <c r="T514" s="199" t="str">
        <f t="shared" si="13"/>
        <v>600pieces</v>
      </c>
      <c r="U514" s="200">
        <f t="shared" si="14"/>
        <v>342.6</v>
      </c>
      <c r="V514" s="12"/>
      <c r="W514" s="12"/>
    </row>
    <row r="515" spans="1:23" x14ac:dyDescent="0.3">
      <c r="A515" s="183" t="e">
        <f ca="1"/>
        <v>#NAME?</v>
      </c>
      <c r="B515" s="46" t="s">
        <v>1161</v>
      </c>
      <c r="C515" s="170"/>
      <c r="D515" s="194"/>
      <c r="E515" s="194"/>
      <c r="F515" s="194"/>
      <c r="G515" s="170"/>
      <c r="H515" s="183"/>
      <c r="I515" s="170"/>
      <c r="J515" s="46" t="s">
        <v>1173</v>
      </c>
      <c r="K515" s="239"/>
      <c r="L515" s="288">
        <v>5.6</v>
      </c>
      <c r="M515" s="289">
        <v>60</v>
      </c>
      <c r="N515" s="290">
        <v>10</v>
      </c>
      <c r="O515" s="46"/>
      <c r="P515" s="46" t="s">
        <v>92</v>
      </c>
      <c r="Q515" s="170"/>
      <c r="R515" s="192" t="str">
        <f t="shared" si="11"/>
        <v>10pieces</v>
      </c>
      <c r="S515" s="198">
        <f t="shared" si="12"/>
        <v>600</v>
      </c>
      <c r="T515" s="199" t="str">
        <f t="shared" si="13"/>
        <v>600pieces</v>
      </c>
      <c r="U515" s="200">
        <f t="shared" si="14"/>
        <v>336</v>
      </c>
      <c r="V515" s="205">
        <f>U515/M515</f>
        <v>5.6</v>
      </c>
      <c r="W515" s="62"/>
    </row>
    <row r="516" spans="1:23" x14ac:dyDescent="0.3">
      <c r="A516" s="183" t="e">
        <f ca="1"/>
        <v>#NAME?</v>
      </c>
      <c r="B516" s="46" t="s">
        <v>1161</v>
      </c>
      <c r="C516" s="170"/>
      <c r="D516" s="194"/>
      <c r="E516" s="194"/>
      <c r="F516" s="194"/>
      <c r="G516" s="170"/>
      <c r="H516" s="183"/>
      <c r="I516" s="170"/>
      <c r="J516" s="46" t="s">
        <v>1174</v>
      </c>
      <c r="K516" s="239"/>
      <c r="L516" s="288">
        <v>5.6</v>
      </c>
      <c r="M516" s="312">
        <v>10</v>
      </c>
      <c r="N516" s="313">
        <v>1</v>
      </c>
      <c r="O516" s="314"/>
      <c r="P516" s="314" t="s">
        <v>92</v>
      </c>
      <c r="Q516" s="170"/>
      <c r="R516" s="192" t="str">
        <f t="shared" si="11"/>
        <v>1pieces</v>
      </c>
      <c r="S516" s="198">
        <f t="shared" si="12"/>
        <v>10</v>
      </c>
      <c r="T516" s="199" t="str">
        <f t="shared" si="13"/>
        <v>10pieces</v>
      </c>
      <c r="U516" s="200">
        <f t="shared" si="14"/>
        <v>56</v>
      </c>
      <c r="V516" s="62"/>
      <c r="W516" s="12"/>
    </row>
    <row r="517" spans="1:23" x14ac:dyDescent="0.3">
      <c r="A517" s="183" t="e">
        <f ca="1"/>
        <v>#NAME?</v>
      </c>
      <c r="B517" s="46" t="s">
        <v>1161</v>
      </c>
      <c r="C517" s="239"/>
      <c r="D517" s="194"/>
      <c r="E517" s="239"/>
      <c r="F517" s="239"/>
      <c r="G517" s="239"/>
      <c r="H517" s="206"/>
      <c r="I517" s="170"/>
      <c r="J517" s="46" t="s">
        <v>1175</v>
      </c>
      <c r="K517" s="239"/>
      <c r="L517" s="288">
        <v>5.9</v>
      </c>
      <c r="M517" s="289">
        <v>10</v>
      </c>
      <c r="N517" s="290">
        <v>30</v>
      </c>
      <c r="O517" s="46"/>
      <c r="P517" s="46" t="s">
        <v>39</v>
      </c>
      <c r="Q517" s="170"/>
      <c r="R517" s="192" t="str">
        <f t="shared" si="11"/>
        <v>30grams</v>
      </c>
      <c r="S517" s="198">
        <f t="shared" si="12"/>
        <v>300</v>
      </c>
      <c r="T517" s="199" t="str">
        <f t="shared" si="13"/>
        <v>300grams</v>
      </c>
      <c r="U517" s="200">
        <f t="shared" si="14"/>
        <v>59</v>
      </c>
      <c r="V517" s="12"/>
      <c r="W517" s="12"/>
    </row>
    <row r="518" spans="1:23" x14ac:dyDescent="0.3">
      <c r="A518" s="183" t="e">
        <f ca="1"/>
        <v>#NAME?</v>
      </c>
      <c r="B518" s="46" t="s">
        <v>573</v>
      </c>
      <c r="C518" s="239"/>
      <c r="D518" s="194"/>
      <c r="E518" s="244"/>
      <c r="F518" s="239"/>
      <c r="G518" s="239"/>
      <c r="H518" s="206"/>
      <c r="I518" s="170"/>
      <c r="J518" s="170"/>
      <c r="K518" s="239"/>
      <c r="L518" s="288">
        <v>144</v>
      </c>
      <c r="M518" s="289">
        <v>3</v>
      </c>
      <c r="N518" s="290">
        <v>1000</v>
      </c>
      <c r="O518" s="46"/>
      <c r="P518" s="46" t="s">
        <v>39</v>
      </c>
      <c r="Q518" s="170"/>
      <c r="R518" s="192" t="str">
        <f t="shared" si="11"/>
        <v>1000grams</v>
      </c>
      <c r="S518" s="198">
        <f t="shared" si="12"/>
        <v>3000</v>
      </c>
      <c r="T518" s="199" t="str">
        <f t="shared" si="13"/>
        <v>3000grams</v>
      </c>
      <c r="U518" s="200">
        <f t="shared" si="14"/>
        <v>432</v>
      </c>
      <c r="V518" s="12"/>
      <c r="W518" s="12"/>
    </row>
    <row r="519" spans="1:23" x14ac:dyDescent="0.3">
      <c r="A519" s="183" t="e">
        <f ca="1"/>
        <v>#NAME?</v>
      </c>
      <c r="B519" s="46" t="s">
        <v>573</v>
      </c>
      <c r="C519" s="239"/>
      <c r="D519" s="194"/>
      <c r="E519" s="239"/>
      <c r="F519" s="239"/>
      <c r="G519" s="239"/>
      <c r="H519" s="183"/>
      <c r="I519" s="170"/>
      <c r="J519" s="296"/>
      <c r="K519" s="239"/>
      <c r="L519" s="288">
        <v>165</v>
      </c>
      <c r="M519" s="289">
        <v>1</v>
      </c>
      <c r="N519" s="290">
        <v>1000</v>
      </c>
      <c r="O519" s="46"/>
      <c r="P519" s="46" t="s">
        <v>39</v>
      </c>
      <c r="Q519" s="170"/>
      <c r="R519" s="192" t="str">
        <f t="shared" ref="R519:R773" si="21">CONCATENATE(N519,P519)</f>
        <v>1000grams</v>
      </c>
      <c r="S519" s="198">
        <f t="shared" ref="S519:S773" si="22">M519*N519</f>
        <v>1000</v>
      </c>
      <c r="T519" s="199" t="str">
        <f t="shared" ref="T519:T773" si="23">CONCATENATE(S519,Q519,P519)</f>
        <v>1000grams</v>
      </c>
      <c r="U519" s="200">
        <f t="shared" ref="U519:U773" si="24">L519*M519</f>
        <v>165</v>
      </c>
      <c r="V519" s="12"/>
      <c r="W519" s="12"/>
    </row>
    <row r="520" spans="1:23" x14ac:dyDescent="0.3">
      <c r="A520" s="183" t="e">
        <f ca="1"/>
        <v>#NAME?</v>
      </c>
      <c r="B520" s="219" t="s">
        <v>1176</v>
      </c>
      <c r="C520" s="239"/>
      <c r="D520" s="194"/>
      <c r="E520" s="239"/>
      <c r="F520" s="239"/>
      <c r="G520" s="239"/>
      <c r="H520" s="183"/>
      <c r="I520" s="170"/>
      <c r="J520" s="46" t="s">
        <v>865</v>
      </c>
      <c r="K520" s="239"/>
      <c r="L520" s="291">
        <v>44.75</v>
      </c>
      <c r="M520" s="292">
        <v>3</v>
      </c>
      <c r="N520" s="293">
        <v>425</v>
      </c>
      <c r="O520" s="219"/>
      <c r="P520" s="219" t="s">
        <v>39</v>
      </c>
      <c r="Q520" s="170"/>
      <c r="R520" s="192" t="str">
        <f t="shared" si="21"/>
        <v>425grams</v>
      </c>
      <c r="S520" s="198">
        <f t="shared" si="22"/>
        <v>1275</v>
      </c>
      <c r="T520" s="199" t="str">
        <f t="shared" si="23"/>
        <v>1275grams</v>
      </c>
      <c r="U520" s="200">
        <f t="shared" si="24"/>
        <v>134.25</v>
      </c>
      <c r="V520" s="12"/>
      <c r="W520" s="12"/>
    </row>
    <row r="521" spans="1:23" x14ac:dyDescent="0.3">
      <c r="A521" s="183" t="e">
        <f ca="1"/>
        <v>#NAME?</v>
      </c>
      <c r="B521" s="219" t="s">
        <v>1176</v>
      </c>
      <c r="C521" s="239"/>
      <c r="D521" s="194"/>
      <c r="E521" s="239"/>
      <c r="F521" s="239"/>
      <c r="G521" s="239"/>
      <c r="H521" s="206"/>
      <c r="I521" s="170"/>
      <c r="J521" s="46" t="s">
        <v>865</v>
      </c>
      <c r="K521" s="239"/>
      <c r="L521" s="288">
        <v>56.3</v>
      </c>
      <c r="M521" s="289">
        <v>4</v>
      </c>
      <c r="N521" s="290">
        <v>425</v>
      </c>
      <c r="O521" s="46"/>
      <c r="P521" s="46" t="s">
        <v>39</v>
      </c>
      <c r="Q521" s="170"/>
      <c r="R521" s="192" t="str">
        <f t="shared" si="21"/>
        <v>425grams</v>
      </c>
      <c r="S521" s="198">
        <f t="shared" si="22"/>
        <v>1700</v>
      </c>
      <c r="T521" s="199" t="str">
        <f t="shared" si="23"/>
        <v>1700grams</v>
      </c>
      <c r="U521" s="200">
        <f t="shared" si="24"/>
        <v>225.2</v>
      </c>
      <c r="V521" s="12"/>
      <c r="W521" s="12"/>
    </row>
    <row r="522" spans="1:23" x14ac:dyDescent="0.3">
      <c r="A522" s="183" t="e">
        <f ca="1"/>
        <v>#NAME?</v>
      </c>
      <c r="B522" s="46" t="s">
        <v>1176</v>
      </c>
      <c r="C522" s="239"/>
      <c r="D522" s="194"/>
      <c r="E522" s="244"/>
      <c r="F522" s="239"/>
      <c r="G522" s="239"/>
      <c r="H522" s="183"/>
      <c r="I522" s="237"/>
      <c r="J522" s="46" t="s">
        <v>1177</v>
      </c>
      <c r="K522" s="239"/>
      <c r="L522" s="288">
        <v>52.6</v>
      </c>
      <c r="M522" s="289">
        <v>5</v>
      </c>
      <c r="N522" s="290">
        <v>425</v>
      </c>
      <c r="O522" s="46"/>
      <c r="P522" s="46" t="s">
        <v>39</v>
      </c>
      <c r="Q522" s="170"/>
      <c r="R522" s="192" t="str">
        <f t="shared" si="21"/>
        <v>425grams</v>
      </c>
      <c r="S522" s="198">
        <f t="shared" si="22"/>
        <v>2125</v>
      </c>
      <c r="T522" s="199" t="str">
        <f t="shared" si="23"/>
        <v>2125grams</v>
      </c>
      <c r="U522" s="200">
        <f t="shared" si="24"/>
        <v>263</v>
      </c>
      <c r="V522" s="12"/>
      <c r="W522" s="12"/>
    </row>
    <row r="523" spans="1:23" x14ac:dyDescent="0.3">
      <c r="A523" s="183" t="e">
        <f ca="1"/>
        <v>#NAME?</v>
      </c>
      <c r="B523" s="46" t="s">
        <v>250</v>
      </c>
      <c r="C523" s="239"/>
      <c r="D523" s="194"/>
      <c r="E523" s="244"/>
      <c r="F523" s="244"/>
      <c r="G523" s="239"/>
      <c r="H523" s="183"/>
      <c r="I523" s="170"/>
      <c r="J523" s="46" t="s">
        <v>987</v>
      </c>
      <c r="K523" s="239"/>
      <c r="L523" s="288">
        <v>52.6</v>
      </c>
      <c r="M523" s="289">
        <v>5</v>
      </c>
      <c r="N523" s="290">
        <v>62</v>
      </c>
      <c r="O523" s="46"/>
      <c r="P523" s="46" t="s">
        <v>39</v>
      </c>
      <c r="Q523" s="170"/>
      <c r="R523" s="192" t="str">
        <f t="shared" si="21"/>
        <v>62grams</v>
      </c>
      <c r="S523" s="198">
        <f t="shared" si="22"/>
        <v>310</v>
      </c>
      <c r="T523" s="199" t="str">
        <f t="shared" si="23"/>
        <v>310grams</v>
      </c>
      <c r="U523" s="200">
        <f t="shared" si="24"/>
        <v>263</v>
      </c>
      <c r="V523" s="205">
        <f>U523/M523</f>
        <v>52.6</v>
      </c>
      <c r="W523" s="62"/>
    </row>
    <row r="524" spans="1:23" x14ac:dyDescent="0.3">
      <c r="A524" s="183" t="e">
        <f ca="1"/>
        <v>#NAME?</v>
      </c>
      <c r="B524" s="46" t="s">
        <v>250</v>
      </c>
      <c r="C524" s="239"/>
      <c r="D524" s="194"/>
      <c r="E524" s="239"/>
      <c r="F524" s="239"/>
      <c r="G524" s="239"/>
      <c r="H524" s="206"/>
      <c r="I524" s="170"/>
      <c r="J524" s="46" t="s">
        <v>987</v>
      </c>
      <c r="K524" s="239"/>
      <c r="L524" s="288">
        <v>52.6</v>
      </c>
      <c r="M524" s="289">
        <v>13</v>
      </c>
      <c r="N524" s="290">
        <v>62</v>
      </c>
      <c r="O524" s="46"/>
      <c r="P524" s="46" t="s">
        <v>39</v>
      </c>
      <c r="Q524" s="170"/>
      <c r="R524" s="192" t="str">
        <f t="shared" si="21"/>
        <v>62grams</v>
      </c>
      <c r="S524" s="198">
        <f t="shared" si="22"/>
        <v>806</v>
      </c>
      <c r="T524" s="199" t="str">
        <f t="shared" si="23"/>
        <v>806grams</v>
      </c>
      <c r="U524" s="200">
        <f t="shared" si="24"/>
        <v>683.80000000000007</v>
      </c>
      <c r="V524" s="12"/>
      <c r="W524" s="12"/>
    </row>
    <row r="525" spans="1:23" x14ac:dyDescent="0.3">
      <c r="A525" s="183" t="e">
        <f ca="1"/>
        <v>#NAME?</v>
      </c>
      <c r="B525" s="46" t="s">
        <v>250</v>
      </c>
      <c r="C525" s="239"/>
      <c r="D525" s="194"/>
      <c r="E525" s="244"/>
      <c r="F525" s="244"/>
      <c r="G525" s="239"/>
      <c r="H525" s="183"/>
      <c r="I525" s="170"/>
      <c r="J525" s="46" t="s">
        <v>987</v>
      </c>
      <c r="K525" s="239"/>
      <c r="L525" s="288">
        <v>55</v>
      </c>
      <c r="M525" s="289">
        <v>6</v>
      </c>
      <c r="N525" s="290">
        <v>62</v>
      </c>
      <c r="O525" s="46"/>
      <c r="P525" s="46" t="s">
        <v>39</v>
      </c>
      <c r="Q525" s="170"/>
      <c r="R525" s="192" t="str">
        <f t="shared" si="21"/>
        <v>62grams</v>
      </c>
      <c r="S525" s="198">
        <f t="shared" si="22"/>
        <v>372</v>
      </c>
      <c r="T525" s="199" t="str">
        <f t="shared" si="23"/>
        <v>372grams</v>
      </c>
      <c r="U525" s="200">
        <f t="shared" si="24"/>
        <v>330</v>
      </c>
      <c r="V525" s="12"/>
      <c r="W525" s="12"/>
    </row>
    <row r="526" spans="1:23" x14ac:dyDescent="0.3">
      <c r="A526" s="183" t="e">
        <f ca="1"/>
        <v>#NAME?</v>
      </c>
      <c r="B526" s="219" t="s">
        <v>250</v>
      </c>
      <c r="C526" s="239"/>
      <c r="D526" s="194"/>
      <c r="E526" s="244"/>
      <c r="F526" s="239"/>
      <c r="G526" s="239"/>
      <c r="H526" s="183"/>
      <c r="I526" s="170"/>
      <c r="J526" s="46" t="s">
        <v>987</v>
      </c>
      <c r="K526" s="239"/>
      <c r="L526" s="288">
        <v>52.6</v>
      </c>
      <c r="M526" s="289">
        <v>9</v>
      </c>
      <c r="N526" s="290">
        <v>62</v>
      </c>
      <c r="O526" s="46"/>
      <c r="P526" s="46" t="s">
        <v>39</v>
      </c>
      <c r="Q526" s="170"/>
      <c r="R526" s="192" t="str">
        <f t="shared" si="21"/>
        <v>62grams</v>
      </c>
      <c r="S526" s="198">
        <f t="shared" si="22"/>
        <v>558</v>
      </c>
      <c r="T526" s="199" t="str">
        <f t="shared" si="23"/>
        <v>558grams</v>
      </c>
      <c r="U526" s="200">
        <f t="shared" si="24"/>
        <v>473.40000000000003</v>
      </c>
      <c r="V526" s="12"/>
      <c r="W526" s="12"/>
    </row>
    <row r="527" spans="1:23" x14ac:dyDescent="0.3">
      <c r="A527" s="183" t="e">
        <f ca="1"/>
        <v>#NAME?</v>
      </c>
      <c r="B527" s="219" t="s">
        <v>250</v>
      </c>
      <c r="C527" s="170"/>
      <c r="D527" s="194"/>
      <c r="E527" s="170"/>
      <c r="F527" s="170"/>
      <c r="G527" s="170"/>
      <c r="H527" s="206"/>
      <c r="I527" s="170"/>
      <c r="J527" s="46" t="s">
        <v>987</v>
      </c>
      <c r="K527" s="239"/>
      <c r="L527" s="288">
        <v>55</v>
      </c>
      <c r="M527" s="289">
        <v>7</v>
      </c>
      <c r="N527" s="290">
        <v>62</v>
      </c>
      <c r="O527" s="46"/>
      <c r="P527" s="46" t="s">
        <v>39</v>
      </c>
      <c r="Q527" s="170"/>
      <c r="R527" s="192" t="str">
        <f t="shared" si="21"/>
        <v>62grams</v>
      </c>
      <c r="S527" s="198">
        <f t="shared" si="22"/>
        <v>434</v>
      </c>
      <c r="T527" s="199" t="str">
        <f t="shared" si="23"/>
        <v>434grams</v>
      </c>
      <c r="U527" s="200">
        <f t="shared" si="24"/>
        <v>385</v>
      </c>
      <c r="V527" s="12"/>
      <c r="W527" s="12"/>
    </row>
    <row r="528" spans="1:23" x14ac:dyDescent="0.3">
      <c r="A528" s="183" t="e">
        <f ca="1"/>
        <v>#NAME?</v>
      </c>
      <c r="B528" s="46" t="s">
        <v>250</v>
      </c>
      <c r="C528" s="170"/>
      <c r="D528" s="194"/>
      <c r="E528" s="170"/>
      <c r="F528" s="170"/>
      <c r="G528" s="170"/>
      <c r="H528" s="206"/>
      <c r="I528" s="239"/>
      <c r="J528" s="46" t="s">
        <v>987</v>
      </c>
      <c r="K528" s="239"/>
      <c r="L528" s="288">
        <v>52.6</v>
      </c>
      <c r="M528" s="289">
        <v>18</v>
      </c>
      <c r="N528" s="290">
        <v>62</v>
      </c>
      <c r="O528" s="46"/>
      <c r="P528" s="46" t="s">
        <v>39</v>
      </c>
      <c r="Q528" s="170"/>
      <c r="R528" s="192" t="str">
        <f t="shared" si="21"/>
        <v>62grams</v>
      </c>
      <c r="S528" s="198">
        <f t="shared" si="22"/>
        <v>1116</v>
      </c>
      <c r="T528" s="199" t="str">
        <f t="shared" si="23"/>
        <v>1116grams</v>
      </c>
      <c r="U528" s="200">
        <f t="shared" si="24"/>
        <v>946.80000000000007</v>
      </c>
      <c r="V528" s="12"/>
      <c r="W528" s="12"/>
    </row>
    <row r="529" spans="1:23" x14ac:dyDescent="0.3">
      <c r="A529" s="183" t="e">
        <f ca="1"/>
        <v>#NAME?</v>
      </c>
      <c r="B529" s="46" t="s">
        <v>250</v>
      </c>
      <c r="C529" s="170"/>
      <c r="D529" s="194"/>
      <c r="E529" s="170"/>
      <c r="F529" s="170"/>
      <c r="G529" s="170"/>
      <c r="H529" s="183"/>
      <c r="I529" s="239"/>
      <c r="J529" s="46" t="s">
        <v>987</v>
      </c>
      <c r="K529" s="239"/>
      <c r="L529" s="288">
        <v>52</v>
      </c>
      <c r="M529" s="289">
        <v>11</v>
      </c>
      <c r="N529" s="290">
        <v>62</v>
      </c>
      <c r="O529" s="46"/>
      <c r="P529" s="46" t="s">
        <v>39</v>
      </c>
      <c r="Q529" s="170"/>
      <c r="R529" s="192" t="str">
        <f t="shared" si="21"/>
        <v>62grams</v>
      </c>
      <c r="S529" s="198">
        <f t="shared" si="22"/>
        <v>682</v>
      </c>
      <c r="T529" s="199" t="str">
        <f t="shared" si="23"/>
        <v>682grams</v>
      </c>
      <c r="U529" s="200">
        <f t="shared" si="24"/>
        <v>572</v>
      </c>
      <c r="V529" s="12"/>
      <c r="W529" s="12"/>
    </row>
    <row r="530" spans="1:23" x14ac:dyDescent="0.3">
      <c r="A530" s="183" t="e">
        <f ca="1"/>
        <v>#NAME?</v>
      </c>
      <c r="B530" s="219" t="s">
        <v>250</v>
      </c>
      <c r="C530" s="170"/>
      <c r="D530" s="194"/>
      <c r="E530" s="170"/>
      <c r="F530" s="170"/>
      <c r="G530" s="170"/>
      <c r="H530" s="206"/>
      <c r="I530" s="239"/>
      <c r="J530" s="46" t="s">
        <v>987</v>
      </c>
      <c r="K530" s="239"/>
      <c r="L530" s="291">
        <v>52</v>
      </c>
      <c r="M530" s="292">
        <v>3</v>
      </c>
      <c r="N530" s="293">
        <v>62</v>
      </c>
      <c r="O530" s="219"/>
      <c r="P530" s="219" t="s">
        <v>39</v>
      </c>
      <c r="Q530" s="170"/>
      <c r="R530" s="192" t="str">
        <f t="shared" si="21"/>
        <v>62grams</v>
      </c>
      <c r="S530" s="198">
        <f t="shared" si="22"/>
        <v>186</v>
      </c>
      <c r="T530" s="199" t="str">
        <f t="shared" si="23"/>
        <v>186grams</v>
      </c>
      <c r="U530" s="200">
        <f t="shared" si="24"/>
        <v>156</v>
      </c>
      <c r="V530" s="12"/>
      <c r="W530" s="12"/>
    </row>
    <row r="531" spans="1:23" x14ac:dyDescent="0.3">
      <c r="A531" s="183" t="e">
        <f ca="1"/>
        <v>#NAME?</v>
      </c>
      <c r="B531" s="46" t="s">
        <v>250</v>
      </c>
      <c r="C531" s="170"/>
      <c r="D531" s="194"/>
      <c r="E531" s="194"/>
      <c r="F531" s="170"/>
      <c r="G531" s="170"/>
      <c r="H531" s="183"/>
      <c r="I531" s="239"/>
      <c r="J531" s="46" t="s">
        <v>987</v>
      </c>
      <c r="K531" s="239"/>
      <c r="L531" s="288">
        <v>52.6</v>
      </c>
      <c r="M531" s="289">
        <v>9</v>
      </c>
      <c r="N531" s="290">
        <v>62</v>
      </c>
      <c r="O531" s="46"/>
      <c r="P531" s="46" t="s">
        <v>39</v>
      </c>
      <c r="Q531" s="170"/>
      <c r="R531" s="192" t="str">
        <f t="shared" si="21"/>
        <v>62grams</v>
      </c>
      <c r="S531" s="198">
        <f t="shared" si="22"/>
        <v>558</v>
      </c>
      <c r="T531" s="199" t="str">
        <f t="shared" si="23"/>
        <v>558grams</v>
      </c>
      <c r="U531" s="200">
        <f t="shared" si="24"/>
        <v>473.40000000000003</v>
      </c>
      <c r="V531" s="205">
        <f>U531/M531</f>
        <v>52.6</v>
      </c>
      <c r="W531" s="62"/>
    </row>
    <row r="532" spans="1:23" x14ac:dyDescent="0.3">
      <c r="A532" s="183" t="e">
        <f ca="1"/>
        <v>#NAME?</v>
      </c>
      <c r="B532" s="46" t="s">
        <v>1178</v>
      </c>
      <c r="C532" s="173"/>
      <c r="D532" s="194"/>
      <c r="E532" s="243"/>
      <c r="F532" s="173"/>
      <c r="G532" s="173"/>
      <c r="H532" s="183"/>
      <c r="I532" s="239"/>
      <c r="J532" s="46" t="s">
        <v>987</v>
      </c>
      <c r="K532" s="239"/>
      <c r="L532" s="288">
        <v>55</v>
      </c>
      <c r="M532" s="289">
        <v>1</v>
      </c>
      <c r="N532" s="290">
        <v>55</v>
      </c>
      <c r="O532" s="46"/>
      <c r="P532" s="46" t="s">
        <v>39</v>
      </c>
      <c r="Q532" s="170"/>
      <c r="R532" s="192" t="str">
        <f t="shared" si="21"/>
        <v>55grams</v>
      </c>
      <c r="S532" s="198">
        <f t="shared" si="22"/>
        <v>55</v>
      </c>
      <c r="T532" s="199" t="str">
        <f t="shared" si="23"/>
        <v>55grams</v>
      </c>
      <c r="U532" s="200">
        <f t="shared" si="24"/>
        <v>55</v>
      </c>
      <c r="V532" s="12"/>
      <c r="W532" s="12"/>
    </row>
    <row r="533" spans="1:23" x14ac:dyDescent="0.3">
      <c r="A533" s="183" t="e">
        <f ca="1"/>
        <v>#NAME?</v>
      </c>
      <c r="B533" s="219" t="s">
        <v>1179</v>
      </c>
      <c r="C533" s="173"/>
      <c r="D533" s="194"/>
      <c r="E533" s="173"/>
      <c r="F533" s="173"/>
      <c r="G533" s="173"/>
      <c r="H533" s="206"/>
      <c r="I533" s="239"/>
      <c r="J533" s="219" t="s">
        <v>1074</v>
      </c>
      <c r="K533" s="239"/>
      <c r="L533" s="291">
        <v>17.75</v>
      </c>
      <c r="M533" s="292">
        <v>2</v>
      </c>
      <c r="N533" s="293">
        <v>30</v>
      </c>
      <c r="O533" s="219"/>
      <c r="P533" s="219" t="s">
        <v>39</v>
      </c>
      <c r="Q533" s="170"/>
      <c r="R533" s="192" t="str">
        <f t="shared" si="21"/>
        <v>30grams</v>
      </c>
      <c r="S533" s="198">
        <f t="shared" si="22"/>
        <v>60</v>
      </c>
      <c r="T533" s="199" t="str">
        <f t="shared" si="23"/>
        <v>60grams</v>
      </c>
      <c r="U533" s="200">
        <f t="shared" si="24"/>
        <v>35.5</v>
      </c>
      <c r="V533" s="12"/>
      <c r="W533" s="12"/>
    </row>
    <row r="534" spans="1:23" x14ac:dyDescent="0.3">
      <c r="A534" s="183" t="e">
        <f ca="1"/>
        <v>#NAME?</v>
      </c>
      <c r="B534" s="219" t="s">
        <v>1179</v>
      </c>
      <c r="C534" s="173"/>
      <c r="D534" s="194"/>
      <c r="E534" s="243"/>
      <c r="F534" s="173"/>
      <c r="G534" s="173"/>
      <c r="H534" s="183"/>
      <c r="I534" s="239"/>
      <c r="J534" s="219" t="s">
        <v>854</v>
      </c>
      <c r="K534" s="239"/>
      <c r="L534" s="288">
        <v>102.5</v>
      </c>
      <c r="M534" s="289">
        <v>2</v>
      </c>
      <c r="N534" s="290">
        <v>45</v>
      </c>
      <c r="O534" s="46"/>
      <c r="P534" s="46" t="s">
        <v>39</v>
      </c>
      <c r="Q534" s="170"/>
      <c r="R534" s="192" t="str">
        <f t="shared" si="21"/>
        <v>45grams</v>
      </c>
      <c r="S534" s="198">
        <f t="shared" si="22"/>
        <v>90</v>
      </c>
      <c r="T534" s="199" t="str">
        <f t="shared" si="23"/>
        <v>90grams</v>
      </c>
      <c r="U534" s="200">
        <f t="shared" si="24"/>
        <v>205</v>
      </c>
      <c r="V534" s="205">
        <f>U534/M534</f>
        <v>102.5</v>
      </c>
      <c r="W534" s="62"/>
    </row>
    <row r="535" spans="1:23" x14ac:dyDescent="0.3">
      <c r="A535" s="183" t="e">
        <f ca="1"/>
        <v>#NAME?</v>
      </c>
      <c r="B535" s="219" t="s">
        <v>1179</v>
      </c>
      <c r="C535" s="170"/>
      <c r="D535" s="194"/>
      <c r="E535" s="170"/>
      <c r="F535" s="170"/>
      <c r="G535" s="170"/>
      <c r="H535" s="206"/>
      <c r="I535" s="239"/>
      <c r="J535" s="219" t="s">
        <v>854</v>
      </c>
      <c r="K535" s="239"/>
      <c r="L535" s="288">
        <v>102</v>
      </c>
      <c r="M535" s="289">
        <v>1</v>
      </c>
      <c r="N535" s="290">
        <v>45</v>
      </c>
      <c r="O535" s="46"/>
      <c r="P535" s="46" t="s">
        <v>39</v>
      </c>
      <c r="Q535" s="170"/>
      <c r="R535" s="192" t="str">
        <f t="shared" si="21"/>
        <v>45grams</v>
      </c>
      <c r="S535" s="198">
        <f t="shared" si="22"/>
        <v>45</v>
      </c>
      <c r="T535" s="199" t="str">
        <f t="shared" si="23"/>
        <v>45grams</v>
      </c>
      <c r="U535" s="200">
        <f t="shared" si="24"/>
        <v>102</v>
      </c>
      <c r="V535" s="12"/>
      <c r="W535" s="12"/>
    </row>
    <row r="536" spans="1:23" x14ac:dyDescent="0.3">
      <c r="A536" s="183" t="e">
        <f ca="1"/>
        <v>#NAME?</v>
      </c>
      <c r="B536" s="219" t="s">
        <v>1179</v>
      </c>
      <c r="C536" s="170"/>
      <c r="D536" s="194"/>
      <c r="E536" s="194"/>
      <c r="F536" s="194"/>
      <c r="G536" s="170"/>
      <c r="H536" s="183"/>
      <c r="I536" s="170"/>
      <c r="J536" s="219" t="s">
        <v>854</v>
      </c>
      <c r="K536" s="239"/>
      <c r="L536" s="291">
        <v>102.5</v>
      </c>
      <c r="M536" s="292">
        <v>1</v>
      </c>
      <c r="N536" s="293">
        <v>45</v>
      </c>
      <c r="O536" s="219"/>
      <c r="P536" s="219" t="s">
        <v>39</v>
      </c>
      <c r="Q536" s="170"/>
      <c r="R536" s="192" t="str">
        <f t="shared" si="21"/>
        <v>45grams</v>
      </c>
      <c r="S536" s="198">
        <f t="shared" si="22"/>
        <v>45</v>
      </c>
      <c r="T536" s="199" t="str">
        <f t="shared" si="23"/>
        <v>45grams</v>
      </c>
      <c r="U536" s="200">
        <f t="shared" si="24"/>
        <v>102.5</v>
      </c>
      <c r="V536" s="62"/>
      <c r="W536" s="12"/>
    </row>
    <row r="537" spans="1:23" x14ac:dyDescent="0.3">
      <c r="A537" s="183" t="e">
        <f ca="1"/>
        <v>#NAME?</v>
      </c>
      <c r="B537" s="46" t="s">
        <v>1180</v>
      </c>
      <c r="C537" s="170"/>
      <c r="D537" s="194"/>
      <c r="E537" s="170"/>
      <c r="F537" s="170"/>
      <c r="G537" s="170"/>
      <c r="H537" s="206"/>
      <c r="I537" s="170"/>
      <c r="J537" s="46" t="s">
        <v>1181</v>
      </c>
      <c r="K537" s="239"/>
      <c r="L537" s="288">
        <v>51</v>
      </c>
      <c r="M537" s="289">
        <v>1</v>
      </c>
      <c r="N537" s="290">
        <v>200</v>
      </c>
      <c r="O537" s="297"/>
      <c r="P537" s="297" t="s">
        <v>39</v>
      </c>
      <c r="Q537" s="170"/>
      <c r="R537" s="192" t="str">
        <f t="shared" si="21"/>
        <v>200grams</v>
      </c>
      <c r="S537" s="198">
        <f t="shared" si="22"/>
        <v>200</v>
      </c>
      <c r="T537" s="199" t="str">
        <f t="shared" si="23"/>
        <v>200grams</v>
      </c>
      <c r="U537" s="200">
        <f t="shared" si="24"/>
        <v>51</v>
      </c>
      <c r="V537" s="12"/>
      <c r="W537" s="12"/>
    </row>
    <row r="538" spans="1:23" x14ac:dyDescent="0.3">
      <c r="A538" s="183" t="e">
        <f ca="1"/>
        <v>#NAME?</v>
      </c>
      <c r="B538" s="46" t="s">
        <v>1180</v>
      </c>
      <c r="C538" s="170"/>
      <c r="D538" s="194"/>
      <c r="E538" s="194"/>
      <c r="F538" s="170"/>
      <c r="G538" s="170"/>
      <c r="H538" s="183"/>
      <c r="I538" s="170"/>
      <c r="J538" s="46" t="s">
        <v>1181</v>
      </c>
      <c r="K538" s="239"/>
      <c r="L538" s="288">
        <v>41.9</v>
      </c>
      <c r="M538" s="289">
        <v>3</v>
      </c>
      <c r="N538" s="290">
        <v>210</v>
      </c>
      <c r="O538" s="297"/>
      <c r="P538" s="297" t="s">
        <v>39</v>
      </c>
      <c r="Q538" s="170"/>
      <c r="R538" s="192" t="str">
        <f t="shared" si="21"/>
        <v>210grams</v>
      </c>
      <c r="S538" s="198">
        <f t="shared" si="22"/>
        <v>630</v>
      </c>
      <c r="T538" s="199" t="str">
        <f t="shared" si="23"/>
        <v>630grams</v>
      </c>
      <c r="U538" s="200">
        <f t="shared" si="24"/>
        <v>125.69999999999999</v>
      </c>
      <c r="V538" s="12"/>
      <c r="W538" s="12"/>
    </row>
    <row r="539" spans="1:23" x14ac:dyDescent="0.3">
      <c r="A539" s="183" t="e">
        <f ca="1"/>
        <v>#NAME?</v>
      </c>
      <c r="B539" s="219" t="s">
        <v>1180</v>
      </c>
      <c r="C539" s="239"/>
      <c r="D539" s="194"/>
      <c r="E539" s="244"/>
      <c r="F539" s="244"/>
      <c r="G539" s="239"/>
      <c r="H539" s="183"/>
      <c r="I539" s="170"/>
      <c r="J539" s="46" t="s">
        <v>1181</v>
      </c>
      <c r="K539" s="239"/>
      <c r="L539" s="291">
        <v>47</v>
      </c>
      <c r="M539" s="292">
        <v>4</v>
      </c>
      <c r="N539" s="293">
        <v>200</v>
      </c>
      <c r="O539" s="304"/>
      <c r="P539" s="304" t="s">
        <v>39</v>
      </c>
      <c r="Q539" s="170"/>
      <c r="R539" s="192" t="str">
        <f t="shared" si="21"/>
        <v>200grams</v>
      </c>
      <c r="S539" s="198">
        <f t="shared" si="22"/>
        <v>800</v>
      </c>
      <c r="T539" s="199" t="str">
        <f t="shared" si="23"/>
        <v>800grams</v>
      </c>
      <c r="U539" s="200">
        <f t="shared" si="24"/>
        <v>188</v>
      </c>
      <c r="V539" s="205">
        <f>U539/M539</f>
        <v>47</v>
      </c>
      <c r="W539" s="62"/>
    </row>
    <row r="540" spans="1:23" x14ac:dyDescent="0.3">
      <c r="A540" s="183" t="e">
        <f ca="1"/>
        <v>#NAME?</v>
      </c>
      <c r="B540" s="46" t="s">
        <v>252</v>
      </c>
      <c r="C540" s="215"/>
      <c r="D540" s="194"/>
      <c r="E540" s="214"/>
      <c r="F540" s="214"/>
      <c r="G540" s="215"/>
      <c r="H540" s="183"/>
      <c r="I540" s="170"/>
      <c r="J540" s="46" t="s">
        <v>1182</v>
      </c>
      <c r="K540" s="239"/>
      <c r="L540" s="288">
        <v>26.5</v>
      </c>
      <c r="M540" s="289">
        <v>1</v>
      </c>
      <c r="N540" s="290">
        <v>20</v>
      </c>
      <c r="O540" s="46"/>
      <c r="P540" s="46" t="s">
        <v>39</v>
      </c>
      <c r="Q540" s="170"/>
      <c r="R540" s="192" t="str">
        <f t="shared" si="21"/>
        <v>20grams</v>
      </c>
      <c r="S540" s="198">
        <f t="shared" si="22"/>
        <v>20</v>
      </c>
      <c r="T540" s="199" t="str">
        <f t="shared" si="23"/>
        <v>20grams</v>
      </c>
      <c r="U540" s="200">
        <f t="shared" si="24"/>
        <v>26.5</v>
      </c>
      <c r="V540" s="12"/>
      <c r="W540" s="12"/>
    </row>
    <row r="541" spans="1:23" x14ac:dyDescent="0.3">
      <c r="A541" s="183" t="e">
        <f ca="1"/>
        <v>#NAME?</v>
      </c>
      <c r="B541" s="46" t="s">
        <v>254</v>
      </c>
      <c r="C541" s="170"/>
      <c r="D541" s="194"/>
      <c r="E541" s="194"/>
      <c r="F541" s="170"/>
      <c r="G541" s="170"/>
      <c r="H541" s="183"/>
      <c r="I541" s="170"/>
      <c r="J541" s="46" t="s">
        <v>1183</v>
      </c>
      <c r="K541" s="239"/>
      <c r="L541" s="288">
        <v>113</v>
      </c>
      <c r="M541" s="289">
        <v>1</v>
      </c>
      <c r="N541" s="290">
        <v>50</v>
      </c>
      <c r="O541" s="46"/>
      <c r="P541" s="46" t="s">
        <v>39</v>
      </c>
      <c r="Q541" s="61" t="s">
        <v>33</v>
      </c>
      <c r="R541" s="192" t="str">
        <f t="shared" si="21"/>
        <v>50grams</v>
      </c>
      <c r="S541" s="198">
        <f t="shared" si="22"/>
        <v>50</v>
      </c>
      <c r="T541" s="199" t="str">
        <f t="shared" si="23"/>
        <v>50 grams</v>
      </c>
      <c r="U541" s="200">
        <f t="shared" si="24"/>
        <v>113</v>
      </c>
      <c r="V541" s="205">
        <f>U541/M541</f>
        <v>113</v>
      </c>
      <c r="W541" s="62"/>
    </row>
    <row r="542" spans="1:23" x14ac:dyDescent="0.3">
      <c r="A542" s="183" t="e">
        <f ca="1"/>
        <v>#NAME?</v>
      </c>
      <c r="B542" s="46" t="s">
        <v>254</v>
      </c>
      <c r="C542" s="170"/>
      <c r="D542" s="194"/>
      <c r="E542" s="194"/>
      <c r="F542" s="170"/>
      <c r="G542" s="170"/>
      <c r="H542" s="183"/>
      <c r="I542" s="170"/>
      <c r="J542" s="46" t="s">
        <v>1184</v>
      </c>
      <c r="K542" s="237"/>
      <c r="L542" s="288">
        <v>34</v>
      </c>
      <c r="M542" s="289">
        <v>2</v>
      </c>
      <c r="N542" s="290">
        <v>30</v>
      </c>
      <c r="O542" s="46"/>
      <c r="P542" s="46" t="s">
        <v>39</v>
      </c>
      <c r="Q542" s="170"/>
      <c r="R542" s="192" t="str">
        <f t="shared" si="21"/>
        <v>30grams</v>
      </c>
      <c r="S542" s="198">
        <f t="shared" si="22"/>
        <v>60</v>
      </c>
      <c r="T542" s="199" t="str">
        <f t="shared" si="23"/>
        <v>60grams</v>
      </c>
      <c r="U542" s="200">
        <f t="shared" si="24"/>
        <v>68</v>
      </c>
      <c r="V542" s="12"/>
      <c r="W542" s="12"/>
    </row>
    <row r="543" spans="1:23" x14ac:dyDescent="0.3">
      <c r="A543" s="183" t="e">
        <f ca="1"/>
        <v>#NAME?</v>
      </c>
      <c r="B543" s="46" t="s">
        <v>254</v>
      </c>
      <c r="C543" s="239"/>
      <c r="D543" s="194"/>
      <c r="E543" s="239"/>
      <c r="F543" s="239"/>
      <c r="G543" s="239"/>
      <c r="H543" s="206"/>
      <c r="I543" s="170"/>
      <c r="J543" s="46" t="s">
        <v>867</v>
      </c>
      <c r="K543" s="237"/>
      <c r="L543" s="288">
        <v>250</v>
      </c>
      <c r="M543" s="289">
        <v>2</v>
      </c>
      <c r="N543" s="290">
        <v>500</v>
      </c>
      <c r="O543" s="46"/>
      <c r="P543" s="46" t="s">
        <v>39</v>
      </c>
      <c r="Q543" s="170"/>
      <c r="R543" s="192" t="str">
        <f t="shared" si="21"/>
        <v>500grams</v>
      </c>
      <c r="S543" s="198">
        <f t="shared" si="22"/>
        <v>1000</v>
      </c>
      <c r="T543" s="199" t="str">
        <f t="shared" si="23"/>
        <v>1000grams</v>
      </c>
      <c r="U543" s="200">
        <f t="shared" si="24"/>
        <v>500</v>
      </c>
      <c r="V543" s="12"/>
      <c r="W543" s="12"/>
    </row>
    <row r="544" spans="1:23" x14ac:dyDescent="0.3">
      <c r="A544" s="183" t="e">
        <f ca="1"/>
        <v>#NAME?</v>
      </c>
      <c r="B544" s="219" t="s">
        <v>254</v>
      </c>
      <c r="C544" s="239"/>
      <c r="D544" s="194"/>
      <c r="E544" s="239"/>
      <c r="F544" s="239"/>
      <c r="G544" s="239"/>
      <c r="H544" s="206"/>
      <c r="I544" s="170"/>
      <c r="J544" s="219" t="s">
        <v>1184</v>
      </c>
      <c r="K544" s="237"/>
      <c r="L544" s="291">
        <v>32.75</v>
      </c>
      <c r="M544" s="292">
        <v>1</v>
      </c>
      <c r="N544" s="293">
        <v>30</v>
      </c>
      <c r="O544" s="219"/>
      <c r="P544" s="219" t="s">
        <v>39</v>
      </c>
      <c r="Q544" s="170"/>
      <c r="R544" s="192" t="str">
        <f t="shared" si="21"/>
        <v>30grams</v>
      </c>
      <c r="S544" s="198">
        <f t="shared" si="22"/>
        <v>30</v>
      </c>
      <c r="T544" s="199" t="str">
        <f t="shared" si="23"/>
        <v>30grams</v>
      </c>
      <c r="U544" s="200">
        <f t="shared" si="24"/>
        <v>32.75</v>
      </c>
      <c r="V544" s="12"/>
      <c r="W544" s="12"/>
    </row>
    <row r="545" spans="1:23" x14ac:dyDescent="0.3">
      <c r="A545" s="183" t="e">
        <f ca="1"/>
        <v>#NAME?</v>
      </c>
      <c r="B545" s="46" t="s">
        <v>1185</v>
      </c>
      <c r="C545" s="237"/>
      <c r="D545" s="194"/>
      <c r="E545" s="279"/>
      <c r="F545" s="237"/>
      <c r="G545" s="237"/>
      <c r="H545" s="183"/>
      <c r="I545" s="170"/>
      <c r="J545" s="170"/>
      <c r="K545" s="237"/>
      <c r="L545" s="288">
        <v>90</v>
      </c>
      <c r="M545" s="289">
        <v>1</v>
      </c>
      <c r="N545" s="290">
        <v>1000</v>
      </c>
      <c r="O545" s="46"/>
      <c r="P545" s="46" t="s">
        <v>39</v>
      </c>
      <c r="Q545" s="170"/>
      <c r="R545" s="192" t="str">
        <f t="shared" si="21"/>
        <v>1000grams</v>
      </c>
      <c r="S545" s="198">
        <f t="shared" si="22"/>
        <v>1000</v>
      </c>
      <c r="T545" s="199" t="str">
        <f t="shared" si="23"/>
        <v>1000grams</v>
      </c>
      <c r="U545" s="200">
        <f t="shared" si="24"/>
        <v>90</v>
      </c>
      <c r="V545" s="12"/>
      <c r="W545" s="12"/>
    </row>
    <row r="546" spans="1:23" x14ac:dyDescent="0.3">
      <c r="A546" s="183" t="e">
        <f ca="1"/>
        <v>#NAME?</v>
      </c>
      <c r="B546" s="46" t="s">
        <v>1186</v>
      </c>
      <c r="C546" s="170"/>
      <c r="D546" s="194"/>
      <c r="E546" s="194"/>
      <c r="F546" s="194"/>
      <c r="G546" s="170"/>
      <c r="H546" s="183"/>
      <c r="I546" s="170"/>
      <c r="J546" s="170"/>
      <c r="K546" s="237"/>
      <c r="L546" s="288">
        <v>310</v>
      </c>
      <c r="M546" s="289">
        <v>3</v>
      </c>
      <c r="N546" s="290">
        <v>1</v>
      </c>
      <c r="O546" s="46"/>
      <c r="P546" s="46" t="s">
        <v>213</v>
      </c>
      <c r="Q546" s="61" t="s">
        <v>33</v>
      </c>
      <c r="R546" s="192" t="str">
        <f t="shared" si="21"/>
        <v>1kilos</v>
      </c>
      <c r="S546" s="198">
        <f t="shared" si="22"/>
        <v>3</v>
      </c>
      <c r="T546" s="199" t="str">
        <f t="shared" si="23"/>
        <v>3 kilos</v>
      </c>
      <c r="U546" s="200">
        <f t="shared" si="24"/>
        <v>930</v>
      </c>
      <c r="V546" s="205">
        <f>U546/M546</f>
        <v>310</v>
      </c>
      <c r="W546" s="62"/>
    </row>
    <row r="547" spans="1:23" x14ac:dyDescent="0.3">
      <c r="A547" s="183" t="e">
        <f ca="1"/>
        <v>#NAME?</v>
      </c>
      <c r="B547" s="46" t="s">
        <v>1187</v>
      </c>
      <c r="C547" s="215"/>
      <c r="D547" s="194"/>
      <c r="E547" s="214"/>
      <c r="F547" s="214"/>
      <c r="G547" s="215"/>
      <c r="H547" s="183"/>
      <c r="I547" s="215"/>
      <c r="J547" s="46" t="s">
        <v>1068</v>
      </c>
      <c r="K547" s="237"/>
      <c r="L547" s="288">
        <v>1300</v>
      </c>
      <c r="M547" s="289">
        <v>1</v>
      </c>
      <c r="N547" s="290">
        <v>1</v>
      </c>
      <c r="O547" s="46"/>
      <c r="P547" s="46" t="s">
        <v>213</v>
      </c>
      <c r="Q547" s="170"/>
      <c r="R547" s="192" t="str">
        <f t="shared" si="21"/>
        <v>1kilos</v>
      </c>
      <c r="S547" s="198">
        <f t="shared" si="22"/>
        <v>1</v>
      </c>
      <c r="T547" s="199" t="str">
        <f t="shared" si="23"/>
        <v>1kilos</v>
      </c>
      <c r="U547" s="200">
        <f t="shared" si="24"/>
        <v>1300</v>
      </c>
      <c r="V547" s="12"/>
      <c r="W547" s="12"/>
    </row>
    <row r="548" spans="1:23" x14ac:dyDescent="0.3">
      <c r="A548" s="183" t="e">
        <f ca="1"/>
        <v>#NAME?</v>
      </c>
      <c r="B548" s="46" t="s">
        <v>1188</v>
      </c>
      <c r="C548" s="170"/>
      <c r="D548" s="194"/>
      <c r="E548" s="170"/>
      <c r="F548" s="170"/>
      <c r="G548" s="170"/>
      <c r="H548" s="206"/>
      <c r="I548" s="170"/>
      <c r="J548" s="46" t="s">
        <v>1042</v>
      </c>
      <c r="K548" s="237"/>
      <c r="L548" s="288">
        <v>69.75</v>
      </c>
      <c r="M548" s="289">
        <v>2</v>
      </c>
      <c r="N548" s="290">
        <v>230</v>
      </c>
      <c r="O548" s="46"/>
      <c r="P548" s="46" t="s">
        <v>519</v>
      </c>
      <c r="Q548" s="170"/>
      <c r="R548" s="192" t="str">
        <f t="shared" si="21"/>
        <v>230drained weight grams</v>
      </c>
      <c r="S548" s="198">
        <f t="shared" si="22"/>
        <v>460</v>
      </c>
      <c r="T548" s="199" t="str">
        <f t="shared" si="23"/>
        <v>460drained weight grams</v>
      </c>
      <c r="U548" s="200">
        <f t="shared" si="24"/>
        <v>139.5</v>
      </c>
      <c r="V548" s="12"/>
      <c r="W548" s="12"/>
    </row>
    <row r="549" spans="1:23" x14ac:dyDescent="0.3">
      <c r="A549" s="183" t="e">
        <f ca="1"/>
        <v>#NAME?</v>
      </c>
      <c r="B549" s="46" t="s">
        <v>1189</v>
      </c>
      <c r="C549" s="170"/>
      <c r="D549" s="194"/>
      <c r="E549" s="170"/>
      <c r="F549" s="170"/>
      <c r="G549" s="170"/>
      <c r="H549" s="183"/>
      <c r="I549" s="237"/>
      <c r="J549" s="170"/>
      <c r="K549" s="237"/>
      <c r="L549" s="288">
        <v>190</v>
      </c>
      <c r="M549" s="289">
        <v>4</v>
      </c>
      <c r="N549" s="290">
        <v>1</v>
      </c>
      <c r="O549" s="46"/>
      <c r="P549" s="46" t="s">
        <v>213</v>
      </c>
      <c r="Q549" s="170"/>
      <c r="R549" s="192" t="str">
        <f t="shared" si="21"/>
        <v>1kilos</v>
      </c>
      <c r="S549" s="198">
        <f t="shared" si="22"/>
        <v>4</v>
      </c>
      <c r="T549" s="199" t="str">
        <f t="shared" si="23"/>
        <v>4kilos</v>
      </c>
      <c r="U549" s="200">
        <f t="shared" si="24"/>
        <v>760</v>
      </c>
      <c r="V549" s="12"/>
      <c r="W549" s="12"/>
    </row>
    <row r="550" spans="1:23" x14ac:dyDescent="0.3">
      <c r="A550" s="183" t="e">
        <f ca="1"/>
        <v>#NAME?</v>
      </c>
      <c r="B550" s="46" t="s">
        <v>1189</v>
      </c>
      <c r="C550" s="170"/>
      <c r="D550" s="194"/>
      <c r="E550" s="170"/>
      <c r="F550" s="170"/>
      <c r="G550" s="170"/>
      <c r="H550" s="206"/>
      <c r="I550" s="237"/>
      <c r="J550" s="170"/>
      <c r="K550" s="237"/>
      <c r="L550" s="288">
        <v>400</v>
      </c>
      <c r="M550" s="289">
        <v>0</v>
      </c>
      <c r="N550" s="290">
        <v>1000</v>
      </c>
      <c r="O550" s="46"/>
      <c r="P550" s="46" t="s">
        <v>39</v>
      </c>
      <c r="Q550" s="170"/>
      <c r="R550" s="192" t="str">
        <f t="shared" si="21"/>
        <v>1000grams</v>
      </c>
      <c r="S550" s="198">
        <f t="shared" si="22"/>
        <v>0</v>
      </c>
      <c r="T550" s="199" t="str">
        <f t="shared" si="23"/>
        <v>0grams</v>
      </c>
      <c r="U550" s="200">
        <f t="shared" si="24"/>
        <v>0</v>
      </c>
      <c r="V550" s="12"/>
      <c r="W550" s="12"/>
    </row>
    <row r="551" spans="1:23" x14ac:dyDescent="0.3">
      <c r="A551" s="183" t="e">
        <f ca="1"/>
        <v>#NAME?</v>
      </c>
      <c r="B551" s="46" t="s">
        <v>1190</v>
      </c>
      <c r="C551" s="170"/>
      <c r="D551" s="194"/>
      <c r="E551" s="170"/>
      <c r="F551" s="170"/>
      <c r="G551" s="170"/>
      <c r="H551" s="206"/>
      <c r="I551" s="170"/>
      <c r="J551" s="46" t="s">
        <v>1191</v>
      </c>
      <c r="K551" s="237"/>
      <c r="L551" s="288">
        <v>1300</v>
      </c>
      <c r="M551" s="289">
        <v>0</v>
      </c>
      <c r="N551" s="290">
        <v>1</v>
      </c>
      <c r="O551" s="46"/>
      <c r="P551" s="46" t="s">
        <v>213</v>
      </c>
      <c r="Q551" s="170"/>
      <c r="R551" s="192" t="str">
        <f t="shared" si="21"/>
        <v>1kilos</v>
      </c>
      <c r="S551" s="198">
        <f t="shared" si="22"/>
        <v>0</v>
      </c>
      <c r="T551" s="199" t="str">
        <f t="shared" si="23"/>
        <v>0kilos</v>
      </c>
      <c r="U551" s="200">
        <f t="shared" si="24"/>
        <v>0</v>
      </c>
      <c r="V551" s="12"/>
      <c r="W551" s="12"/>
    </row>
    <row r="552" spans="1:23" x14ac:dyDescent="0.3">
      <c r="A552" s="183" t="e">
        <f ca="1"/>
        <v>#NAME?</v>
      </c>
      <c r="B552" s="219" t="s">
        <v>198</v>
      </c>
      <c r="C552" s="170"/>
      <c r="D552" s="194"/>
      <c r="E552" s="170"/>
      <c r="F552" s="170"/>
      <c r="G552" s="170"/>
      <c r="H552" s="183"/>
      <c r="I552" s="170"/>
      <c r="J552" s="219" t="s">
        <v>199</v>
      </c>
      <c r="K552" s="237"/>
      <c r="L552" s="291">
        <v>309</v>
      </c>
      <c r="M552" s="292">
        <v>7</v>
      </c>
      <c r="N552" s="293">
        <v>1</v>
      </c>
      <c r="O552" s="219"/>
      <c r="P552" s="219" t="s">
        <v>200</v>
      </c>
      <c r="Q552" s="170"/>
      <c r="R552" s="192" t="str">
        <f t="shared" si="21"/>
        <v>1gal</v>
      </c>
      <c r="S552" s="198">
        <f t="shared" si="22"/>
        <v>7</v>
      </c>
      <c r="T552" s="199" t="str">
        <f t="shared" si="23"/>
        <v>7gal</v>
      </c>
      <c r="U552" s="200">
        <f t="shared" si="24"/>
        <v>2163</v>
      </c>
      <c r="V552" s="12"/>
      <c r="W552" s="12"/>
    </row>
    <row r="553" spans="1:23" x14ac:dyDescent="0.3">
      <c r="A553" s="183" t="e">
        <f ca="1"/>
        <v>#NAME?</v>
      </c>
      <c r="B553" s="46" t="s">
        <v>198</v>
      </c>
      <c r="C553" s="239"/>
      <c r="D553" s="194"/>
      <c r="E553" s="239"/>
      <c r="F553" s="239"/>
      <c r="G553" s="239"/>
      <c r="H553" s="206"/>
      <c r="I553" s="170"/>
      <c r="J553" s="46" t="s">
        <v>199</v>
      </c>
      <c r="K553" s="237"/>
      <c r="L553" s="288">
        <v>309</v>
      </c>
      <c r="M553" s="289">
        <v>4</v>
      </c>
      <c r="N553" s="290">
        <v>1</v>
      </c>
      <c r="O553" s="46"/>
      <c r="P553" s="46" t="s">
        <v>200</v>
      </c>
      <c r="Q553" s="170"/>
      <c r="R553" s="192" t="str">
        <f t="shared" si="21"/>
        <v>1gal</v>
      </c>
      <c r="S553" s="198">
        <f t="shared" si="22"/>
        <v>4</v>
      </c>
      <c r="T553" s="199" t="str">
        <f t="shared" si="23"/>
        <v>4gal</v>
      </c>
      <c r="U553" s="200">
        <f t="shared" si="24"/>
        <v>1236</v>
      </c>
      <c r="V553" s="12"/>
      <c r="W553" s="12"/>
    </row>
    <row r="554" spans="1:23" x14ac:dyDescent="0.3">
      <c r="A554" s="183" t="e">
        <f ca="1"/>
        <v>#NAME?</v>
      </c>
      <c r="B554" s="46" t="s">
        <v>1192</v>
      </c>
      <c r="C554" s="215"/>
      <c r="D554" s="194"/>
      <c r="E554" s="215"/>
      <c r="F554" s="215"/>
      <c r="G554" s="215"/>
      <c r="H554" s="183"/>
      <c r="I554" s="170"/>
      <c r="J554" s="170"/>
      <c r="K554" s="237"/>
      <c r="L554" s="288">
        <v>0.64</v>
      </c>
      <c r="M554" s="289">
        <v>39</v>
      </c>
      <c r="N554" s="290">
        <v>156</v>
      </c>
      <c r="O554" s="46"/>
      <c r="P554" s="46" t="s">
        <v>92</v>
      </c>
      <c r="Q554" s="170"/>
      <c r="R554" s="192" t="str">
        <f t="shared" si="21"/>
        <v>156pieces</v>
      </c>
      <c r="S554" s="198">
        <f t="shared" si="22"/>
        <v>6084</v>
      </c>
      <c r="T554" s="199" t="str">
        <f t="shared" si="23"/>
        <v>6084pieces</v>
      </c>
      <c r="U554" s="200">
        <f t="shared" si="24"/>
        <v>24.96</v>
      </c>
      <c r="V554" s="12"/>
      <c r="W554" s="12"/>
    </row>
    <row r="555" spans="1:23" x14ac:dyDescent="0.3">
      <c r="A555" s="183" t="e">
        <f ca="1"/>
        <v>#NAME?</v>
      </c>
      <c r="B555" s="219" t="s">
        <v>1193</v>
      </c>
      <c r="C555" s="170"/>
      <c r="D555" s="194"/>
      <c r="E555" s="170"/>
      <c r="F555" s="170"/>
      <c r="G555" s="170"/>
      <c r="H555" s="206"/>
      <c r="I555" s="170"/>
      <c r="J555" s="46" t="s">
        <v>1194</v>
      </c>
      <c r="K555" s="237"/>
      <c r="L555" s="288">
        <v>52</v>
      </c>
      <c r="M555" s="289">
        <v>3</v>
      </c>
      <c r="N555" s="290">
        <v>1</v>
      </c>
      <c r="O555" s="46"/>
      <c r="P555" s="46" t="s">
        <v>304</v>
      </c>
      <c r="Q555" s="170"/>
      <c r="R555" s="192" t="str">
        <f t="shared" si="21"/>
        <v>1packs</v>
      </c>
      <c r="S555" s="198">
        <f t="shared" si="22"/>
        <v>3</v>
      </c>
      <c r="T555" s="199" t="str">
        <f t="shared" si="23"/>
        <v>3packs</v>
      </c>
      <c r="U555" s="200">
        <f t="shared" si="24"/>
        <v>156</v>
      </c>
      <c r="V555" s="12"/>
      <c r="W555" s="12"/>
    </row>
    <row r="556" spans="1:23" x14ac:dyDescent="0.3">
      <c r="A556" s="183" t="e">
        <f ca="1"/>
        <v>#NAME?</v>
      </c>
      <c r="B556" s="219" t="s">
        <v>1193</v>
      </c>
      <c r="C556" s="170"/>
      <c r="D556" s="194"/>
      <c r="E556" s="194"/>
      <c r="F556" s="194"/>
      <c r="G556" s="170"/>
      <c r="H556" s="183"/>
      <c r="I556" s="239"/>
      <c r="J556" s="219" t="s">
        <v>1195</v>
      </c>
      <c r="K556" s="237"/>
      <c r="L556" s="291">
        <v>40</v>
      </c>
      <c r="M556" s="292">
        <v>1</v>
      </c>
      <c r="N556" s="293">
        <v>1</v>
      </c>
      <c r="O556" s="219"/>
      <c r="P556" s="219" t="s">
        <v>304</v>
      </c>
      <c r="Q556" s="170"/>
      <c r="R556" s="192" t="str">
        <f t="shared" si="21"/>
        <v>1packs</v>
      </c>
      <c r="S556" s="198">
        <f t="shared" si="22"/>
        <v>1</v>
      </c>
      <c r="T556" s="199" t="str">
        <f t="shared" si="23"/>
        <v>1packs</v>
      </c>
      <c r="U556" s="200">
        <f t="shared" si="24"/>
        <v>40</v>
      </c>
      <c r="V556" s="62"/>
      <c r="W556" s="12"/>
    </row>
    <row r="557" spans="1:23" x14ac:dyDescent="0.3">
      <c r="A557" s="183" t="e">
        <f ca="1"/>
        <v>#NAME?</v>
      </c>
      <c r="B557" s="219" t="s">
        <v>1193</v>
      </c>
      <c r="C557" s="170"/>
      <c r="D557" s="194"/>
      <c r="E557" s="170"/>
      <c r="F557" s="170"/>
      <c r="G557" s="170"/>
      <c r="H557" s="206"/>
      <c r="I557" s="239"/>
      <c r="J557" s="219" t="s">
        <v>1196</v>
      </c>
      <c r="K557" s="237"/>
      <c r="L557" s="291">
        <v>50</v>
      </c>
      <c r="M557" s="292">
        <v>2</v>
      </c>
      <c r="N557" s="293">
        <v>1</v>
      </c>
      <c r="O557" s="219"/>
      <c r="P557" s="219" t="s">
        <v>304</v>
      </c>
      <c r="Q557" s="170"/>
      <c r="R557" s="192" t="str">
        <f t="shared" si="21"/>
        <v>1packs</v>
      </c>
      <c r="S557" s="198">
        <f t="shared" si="22"/>
        <v>2</v>
      </c>
      <c r="T557" s="199" t="str">
        <f t="shared" si="23"/>
        <v>2packs</v>
      </c>
      <c r="U557" s="200">
        <f t="shared" si="24"/>
        <v>100</v>
      </c>
      <c r="V557" s="12"/>
      <c r="W557" s="12"/>
    </row>
    <row r="558" spans="1:23" x14ac:dyDescent="0.3">
      <c r="A558" s="183" t="e">
        <f ca="1"/>
        <v>#NAME?</v>
      </c>
      <c r="B558" s="46" t="s">
        <v>1197</v>
      </c>
      <c r="C558" s="170"/>
      <c r="D558" s="194"/>
      <c r="E558" s="194"/>
      <c r="F558" s="194"/>
      <c r="G558" s="170"/>
      <c r="H558" s="183"/>
      <c r="I558" s="170"/>
      <c r="J558" s="170"/>
      <c r="K558" s="237"/>
      <c r="L558" s="288">
        <v>2.2400000000000002</v>
      </c>
      <c r="M558" s="289">
        <v>20</v>
      </c>
      <c r="N558" s="290">
        <v>1</v>
      </c>
      <c r="O558" s="46"/>
      <c r="P558" s="46" t="s">
        <v>92</v>
      </c>
      <c r="Q558" s="170"/>
      <c r="R558" s="192" t="str">
        <f t="shared" si="21"/>
        <v>1pieces</v>
      </c>
      <c r="S558" s="198">
        <f t="shared" si="22"/>
        <v>20</v>
      </c>
      <c r="T558" s="199" t="str">
        <f t="shared" si="23"/>
        <v>20pieces</v>
      </c>
      <c r="U558" s="200">
        <f t="shared" si="24"/>
        <v>44.800000000000004</v>
      </c>
      <c r="V558" s="205">
        <f>U558/M558</f>
        <v>2.2400000000000002</v>
      </c>
      <c r="W558" s="62"/>
    </row>
    <row r="559" spans="1:23" x14ac:dyDescent="0.3">
      <c r="A559" s="183" t="e">
        <f ca="1"/>
        <v>#NAME?</v>
      </c>
      <c r="B559" s="46" t="s">
        <v>1198</v>
      </c>
      <c r="C559" s="239"/>
      <c r="D559" s="194"/>
      <c r="E559" s="244"/>
      <c r="F559" s="244"/>
      <c r="G559" s="239"/>
      <c r="H559" s="183"/>
      <c r="I559" s="170"/>
      <c r="J559" s="46" t="s">
        <v>1199</v>
      </c>
      <c r="K559" s="237"/>
      <c r="L559" s="288">
        <v>35</v>
      </c>
      <c r="M559" s="289">
        <v>2</v>
      </c>
      <c r="N559" s="290">
        <v>1</v>
      </c>
      <c r="O559" s="46"/>
      <c r="P559" s="46" t="s">
        <v>304</v>
      </c>
      <c r="Q559" s="170"/>
      <c r="R559" s="192" t="str">
        <f t="shared" si="21"/>
        <v>1packs</v>
      </c>
      <c r="S559" s="198">
        <f t="shared" si="22"/>
        <v>2</v>
      </c>
      <c r="T559" s="199" t="str">
        <f t="shared" si="23"/>
        <v>2packs</v>
      </c>
      <c r="U559" s="200">
        <f t="shared" si="24"/>
        <v>70</v>
      </c>
      <c r="V559" s="62"/>
      <c r="W559" s="12"/>
    </row>
    <row r="560" spans="1:23" x14ac:dyDescent="0.3">
      <c r="A560" s="183" t="e">
        <f ca="1"/>
        <v>#NAME?</v>
      </c>
      <c r="B560" s="46" t="s">
        <v>1198</v>
      </c>
      <c r="C560" s="239"/>
      <c r="D560" s="194"/>
      <c r="E560" s="244"/>
      <c r="F560" s="244"/>
      <c r="G560" s="239"/>
      <c r="H560" s="183"/>
      <c r="I560" s="170"/>
      <c r="J560" s="170"/>
      <c r="K560" s="237"/>
      <c r="L560" s="288">
        <v>0.82</v>
      </c>
      <c r="M560" s="289">
        <v>208</v>
      </c>
      <c r="N560" s="290">
        <v>1</v>
      </c>
      <c r="O560" s="46"/>
      <c r="P560" s="46" t="s">
        <v>92</v>
      </c>
      <c r="Q560" s="170"/>
      <c r="R560" s="192" t="str">
        <f t="shared" si="21"/>
        <v>1pieces</v>
      </c>
      <c r="S560" s="198">
        <f t="shared" si="22"/>
        <v>208</v>
      </c>
      <c r="T560" s="199" t="str">
        <f t="shared" si="23"/>
        <v>208pieces</v>
      </c>
      <c r="U560" s="200">
        <f t="shared" si="24"/>
        <v>170.56</v>
      </c>
      <c r="V560" s="12"/>
      <c r="W560" s="12"/>
    </row>
    <row r="561" spans="1:23" x14ac:dyDescent="0.3">
      <c r="A561" s="183" t="e">
        <f ca="1"/>
        <v>#NAME?</v>
      </c>
      <c r="B561" s="46" t="s">
        <v>1200</v>
      </c>
      <c r="C561" s="239"/>
      <c r="D561" s="194"/>
      <c r="E561" s="239"/>
      <c r="F561" s="239"/>
      <c r="G561" s="239"/>
      <c r="H561" s="206"/>
      <c r="I561" s="170"/>
      <c r="J561" s="46" t="s">
        <v>1201</v>
      </c>
      <c r="K561" s="237"/>
      <c r="L561" s="288">
        <v>10</v>
      </c>
      <c r="M561" s="289">
        <v>200</v>
      </c>
      <c r="N561" s="290">
        <v>1</v>
      </c>
      <c r="O561" s="46"/>
      <c r="P561" s="46" t="s">
        <v>92</v>
      </c>
      <c r="Q561" s="170"/>
      <c r="R561" s="192" t="str">
        <f t="shared" si="21"/>
        <v>1pieces</v>
      </c>
      <c r="S561" s="198">
        <f t="shared" si="22"/>
        <v>200</v>
      </c>
      <c r="T561" s="199" t="str">
        <f t="shared" si="23"/>
        <v>200pieces</v>
      </c>
      <c r="U561" s="200">
        <f t="shared" si="24"/>
        <v>2000</v>
      </c>
      <c r="V561" s="12"/>
      <c r="W561" s="12"/>
    </row>
    <row r="562" spans="1:23" x14ac:dyDescent="0.3">
      <c r="A562" s="183" t="e">
        <f ca="1"/>
        <v>#NAME?</v>
      </c>
      <c r="B562" s="219" t="s">
        <v>1202</v>
      </c>
      <c r="C562" s="239"/>
      <c r="D562" s="194"/>
      <c r="E562" s="239"/>
      <c r="F562" s="239"/>
      <c r="G562" s="239"/>
      <c r="H562" s="206"/>
      <c r="I562" s="170"/>
      <c r="J562" s="219" t="s">
        <v>1203</v>
      </c>
      <c r="K562" s="237"/>
      <c r="L562" s="291">
        <v>2.7</v>
      </c>
      <c r="M562" s="292">
        <v>125</v>
      </c>
      <c r="N562" s="293">
        <v>1</v>
      </c>
      <c r="O562" s="219"/>
      <c r="P562" s="219" t="s">
        <v>92</v>
      </c>
      <c r="Q562" s="170"/>
      <c r="R562" s="192" t="str">
        <f t="shared" si="21"/>
        <v>1pieces</v>
      </c>
      <c r="S562" s="198">
        <f t="shared" si="22"/>
        <v>125</v>
      </c>
      <c r="T562" s="199" t="str">
        <f t="shared" si="23"/>
        <v>125pieces</v>
      </c>
      <c r="U562" s="200">
        <f t="shared" si="24"/>
        <v>337.5</v>
      </c>
      <c r="V562" s="12"/>
      <c r="W562" s="12"/>
    </row>
    <row r="563" spans="1:23" x14ac:dyDescent="0.3">
      <c r="A563" s="183" t="e">
        <f ca="1"/>
        <v>#NAME?</v>
      </c>
      <c r="B563" s="46" t="s">
        <v>1204</v>
      </c>
      <c r="C563" s="170"/>
      <c r="D563" s="194"/>
      <c r="E563" s="194"/>
      <c r="F563" s="170"/>
      <c r="G563" s="170"/>
      <c r="H563" s="183"/>
      <c r="I563" s="239"/>
      <c r="J563" s="46" t="s">
        <v>1074</v>
      </c>
      <c r="K563" s="237"/>
      <c r="L563" s="288">
        <v>25</v>
      </c>
      <c r="M563" s="289">
        <v>2</v>
      </c>
      <c r="N563" s="290">
        <v>10</v>
      </c>
      <c r="O563" s="46"/>
      <c r="P563" s="46" t="s">
        <v>39</v>
      </c>
      <c r="Q563" s="170"/>
      <c r="R563" s="192" t="str">
        <f t="shared" si="21"/>
        <v>10grams</v>
      </c>
      <c r="S563" s="198">
        <f t="shared" si="22"/>
        <v>20</v>
      </c>
      <c r="T563" s="199" t="str">
        <f t="shared" si="23"/>
        <v>20grams</v>
      </c>
      <c r="U563" s="200">
        <f t="shared" si="24"/>
        <v>50</v>
      </c>
      <c r="V563" s="12"/>
      <c r="W563" s="12"/>
    </row>
    <row r="564" spans="1:23" x14ac:dyDescent="0.3">
      <c r="A564" s="183" t="e">
        <f ca="1"/>
        <v>#NAME?</v>
      </c>
      <c r="B564" s="46" t="s">
        <v>1205</v>
      </c>
      <c r="C564" s="170"/>
      <c r="D564" s="194"/>
      <c r="E564" s="194"/>
      <c r="F564" s="194"/>
      <c r="G564" s="170"/>
      <c r="H564" s="183"/>
      <c r="I564" s="239"/>
      <c r="J564" s="46" t="s">
        <v>1206</v>
      </c>
      <c r="K564" s="237"/>
      <c r="L564" s="288">
        <v>120</v>
      </c>
      <c r="M564" s="289">
        <v>1</v>
      </c>
      <c r="N564" s="290">
        <v>1000</v>
      </c>
      <c r="O564" s="46"/>
      <c r="P564" s="46" t="s">
        <v>39</v>
      </c>
      <c r="Q564" s="170"/>
      <c r="R564" s="192" t="str">
        <f t="shared" si="21"/>
        <v>1000grams</v>
      </c>
      <c r="S564" s="198">
        <f t="shared" si="22"/>
        <v>1000</v>
      </c>
      <c r="T564" s="199" t="str">
        <f t="shared" si="23"/>
        <v>1000grams</v>
      </c>
      <c r="U564" s="200">
        <f t="shared" si="24"/>
        <v>120</v>
      </c>
      <c r="V564" s="12"/>
      <c r="W564" s="12"/>
    </row>
    <row r="565" spans="1:23" x14ac:dyDescent="0.3">
      <c r="A565" s="183" t="e">
        <f ca="1"/>
        <v>#NAME?</v>
      </c>
      <c r="B565" s="219" t="s">
        <v>1205</v>
      </c>
      <c r="C565" s="170"/>
      <c r="D565" s="194"/>
      <c r="E565" s="170"/>
      <c r="F565" s="170"/>
      <c r="G565" s="170"/>
      <c r="H565" s="206"/>
      <c r="I565" s="239"/>
      <c r="J565" s="219" t="s">
        <v>36</v>
      </c>
      <c r="K565" s="237"/>
      <c r="L565" s="291">
        <v>140</v>
      </c>
      <c r="M565" s="292">
        <v>1</v>
      </c>
      <c r="N565" s="293">
        <v>500</v>
      </c>
      <c r="O565" s="219"/>
      <c r="P565" s="219" t="s">
        <v>39</v>
      </c>
      <c r="Q565" s="170"/>
      <c r="R565" s="192" t="str">
        <f t="shared" si="21"/>
        <v>500grams</v>
      </c>
      <c r="S565" s="198">
        <f t="shared" si="22"/>
        <v>500</v>
      </c>
      <c r="T565" s="199" t="str">
        <f t="shared" si="23"/>
        <v>500grams</v>
      </c>
      <c r="U565" s="200">
        <f t="shared" si="24"/>
        <v>140</v>
      </c>
      <c r="V565" s="12"/>
      <c r="W565" s="12"/>
    </row>
    <row r="566" spans="1:23" x14ac:dyDescent="0.3">
      <c r="A566" s="193" t="e">
        <f ca="1"/>
        <v>#NAME?</v>
      </c>
      <c r="B566" s="46" t="s">
        <v>591</v>
      </c>
      <c r="C566" s="170"/>
      <c r="D566" s="194"/>
      <c r="E566" s="170"/>
      <c r="F566" s="170"/>
      <c r="G566" s="170"/>
      <c r="H566" s="206"/>
      <c r="I566" s="239"/>
      <c r="J566" s="170"/>
      <c r="K566" s="237"/>
      <c r="L566" s="288">
        <v>190</v>
      </c>
      <c r="M566" s="289">
        <v>1</v>
      </c>
      <c r="N566" s="290">
        <v>1</v>
      </c>
      <c r="O566" s="46"/>
      <c r="P566" s="46" t="s">
        <v>213</v>
      </c>
      <c r="Q566" s="12"/>
      <c r="R566" s="192" t="str">
        <f t="shared" si="21"/>
        <v>1kilos</v>
      </c>
      <c r="S566" s="198">
        <f t="shared" si="22"/>
        <v>1</v>
      </c>
      <c r="T566" s="199" t="str">
        <f t="shared" si="23"/>
        <v>1kilos</v>
      </c>
      <c r="U566" s="200">
        <f t="shared" si="24"/>
        <v>190</v>
      </c>
      <c r="V566" s="12"/>
      <c r="W566" s="12"/>
    </row>
    <row r="567" spans="1:23" x14ac:dyDescent="0.3">
      <c r="A567" s="193" t="e">
        <f ca="1"/>
        <v>#NAME?</v>
      </c>
      <c r="B567" s="219" t="s">
        <v>1207</v>
      </c>
      <c r="C567" s="170"/>
      <c r="D567" s="194"/>
      <c r="E567" s="170"/>
      <c r="F567" s="170"/>
      <c r="G567" s="170"/>
      <c r="H567" s="206"/>
      <c r="I567" s="239"/>
      <c r="J567" s="170"/>
      <c r="K567" s="237"/>
      <c r="L567" s="288">
        <v>7</v>
      </c>
      <c r="M567" s="289">
        <v>66</v>
      </c>
      <c r="N567" s="290">
        <v>1</v>
      </c>
      <c r="O567" s="46"/>
      <c r="P567" s="46" t="s">
        <v>92</v>
      </c>
      <c r="Q567" s="12"/>
      <c r="R567" s="192" t="str">
        <f t="shared" si="21"/>
        <v>1pieces</v>
      </c>
      <c r="S567" s="198">
        <f t="shared" si="22"/>
        <v>66</v>
      </c>
      <c r="T567" s="199" t="str">
        <f t="shared" si="23"/>
        <v>66pieces</v>
      </c>
      <c r="U567" s="200">
        <f t="shared" si="24"/>
        <v>462</v>
      </c>
      <c r="V567" s="12"/>
      <c r="W567" s="12"/>
    </row>
    <row r="568" spans="1:23" x14ac:dyDescent="0.3">
      <c r="A568" s="193" t="e">
        <f ca="1"/>
        <v>#NAME?</v>
      </c>
      <c r="B568" s="46" t="s">
        <v>1208</v>
      </c>
      <c r="C568" s="170"/>
      <c r="D568" s="194"/>
      <c r="E568" s="170"/>
      <c r="F568" s="170"/>
      <c r="G568" s="170"/>
      <c r="H568" s="206"/>
      <c r="I568" s="239"/>
      <c r="J568" s="46" t="s">
        <v>1209</v>
      </c>
      <c r="K568" s="237"/>
      <c r="L568" s="288">
        <v>10.82</v>
      </c>
      <c r="M568" s="289">
        <v>25</v>
      </c>
      <c r="N568" s="290">
        <v>25</v>
      </c>
      <c r="O568" s="46"/>
      <c r="P568" s="46" t="s">
        <v>92</v>
      </c>
      <c r="Q568" s="12"/>
      <c r="R568" s="192" t="str">
        <f t="shared" si="21"/>
        <v>25pieces</v>
      </c>
      <c r="S568" s="198">
        <f t="shared" si="22"/>
        <v>625</v>
      </c>
      <c r="T568" s="199" t="str">
        <f t="shared" si="23"/>
        <v>625pieces</v>
      </c>
      <c r="U568" s="200">
        <f t="shared" si="24"/>
        <v>270.5</v>
      </c>
      <c r="V568" s="12"/>
      <c r="W568" s="12"/>
    </row>
    <row r="569" spans="1:23" x14ac:dyDescent="0.3">
      <c r="A569" s="193" t="e">
        <f ca="1"/>
        <v>#NAME?</v>
      </c>
      <c r="B569" s="46" t="s">
        <v>293</v>
      </c>
      <c r="C569" s="170"/>
      <c r="D569" s="194"/>
      <c r="E569" s="170"/>
      <c r="F569" s="170"/>
      <c r="G569" s="170"/>
      <c r="H569" s="206"/>
      <c r="I569" s="239"/>
      <c r="J569" s="46" t="s">
        <v>294</v>
      </c>
      <c r="K569" s="237"/>
      <c r="L569" s="288">
        <v>7.17</v>
      </c>
      <c r="M569" s="289">
        <v>1949</v>
      </c>
      <c r="N569" s="290">
        <v>1</v>
      </c>
      <c r="O569" s="46"/>
      <c r="P569" s="46" t="s">
        <v>92</v>
      </c>
      <c r="Q569" s="12"/>
      <c r="R569" s="192" t="str">
        <f t="shared" si="21"/>
        <v>1pieces</v>
      </c>
      <c r="S569" s="198">
        <f t="shared" si="22"/>
        <v>1949</v>
      </c>
      <c r="T569" s="199" t="str">
        <f t="shared" si="23"/>
        <v>1949pieces</v>
      </c>
      <c r="U569" s="200">
        <f t="shared" si="24"/>
        <v>13974.33</v>
      </c>
      <c r="V569" s="12"/>
      <c r="W569" s="12"/>
    </row>
    <row r="570" spans="1:23" x14ac:dyDescent="0.3">
      <c r="A570" s="193" t="e">
        <f ca="1"/>
        <v>#NAME?</v>
      </c>
      <c r="B570" s="46" t="s">
        <v>293</v>
      </c>
      <c r="C570" s="215"/>
      <c r="D570" s="194"/>
      <c r="E570" s="215"/>
      <c r="F570" s="215"/>
      <c r="G570" s="215"/>
      <c r="H570" s="183"/>
      <c r="I570" s="239"/>
      <c r="J570" s="46" t="s">
        <v>1210</v>
      </c>
      <c r="K570" s="237"/>
      <c r="L570" s="288">
        <v>7.5</v>
      </c>
      <c r="M570" s="289">
        <v>600</v>
      </c>
      <c r="N570" s="290">
        <v>1</v>
      </c>
      <c r="O570" s="46"/>
      <c r="P570" s="46" t="s">
        <v>92</v>
      </c>
      <c r="Q570" s="12"/>
      <c r="R570" s="192" t="str">
        <f t="shared" si="21"/>
        <v>1pieces</v>
      </c>
      <c r="S570" s="198">
        <f t="shared" si="22"/>
        <v>600</v>
      </c>
      <c r="T570" s="199" t="str">
        <f t="shared" si="23"/>
        <v>600pieces</v>
      </c>
      <c r="U570" s="200">
        <f t="shared" si="24"/>
        <v>4500</v>
      </c>
      <c r="V570" s="12"/>
      <c r="W570" s="12"/>
    </row>
    <row r="571" spans="1:23" x14ac:dyDescent="0.3">
      <c r="A571" s="193" t="e">
        <f ca="1"/>
        <v>#NAME?</v>
      </c>
      <c r="B571" s="46" t="s">
        <v>293</v>
      </c>
      <c r="C571" s="170"/>
      <c r="D571" s="194"/>
      <c r="E571" s="194"/>
      <c r="F571" s="194"/>
      <c r="G571" s="170"/>
      <c r="H571" s="183"/>
      <c r="I571" s="239"/>
      <c r="J571" s="170"/>
      <c r="K571" s="237"/>
      <c r="L571" s="288">
        <v>6</v>
      </c>
      <c r="M571" s="289">
        <v>530</v>
      </c>
      <c r="N571" s="290">
        <v>1</v>
      </c>
      <c r="O571" s="46"/>
      <c r="P571" s="46" t="s">
        <v>92</v>
      </c>
      <c r="Q571" s="12"/>
      <c r="R571" s="192" t="str">
        <f t="shared" si="21"/>
        <v>1pieces</v>
      </c>
      <c r="S571" s="198">
        <f t="shared" si="22"/>
        <v>530</v>
      </c>
      <c r="T571" s="199" t="str">
        <f t="shared" si="23"/>
        <v>530pieces</v>
      </c>
      <c r="U571" s="200">
        <f t="shared" si="24"/>
        <v>3180</v>
      </c>
      <c r="V571" s="62"/>
      <c r="W571" s="12"/>
    </row>
    <row r="572" spans="1:23" x14ac:dyDescent="0.3">
      <c r="A572" s="193" t="e">
        <f ca="1"/>
        <v>#NAME?</v>
      </c>
      <c r="B572" s="46" t="s">
        <v>293</v>
      </c>
      <c r="C572" s="170"/>
      <c r="D572" s="194"/>
      <c r="E572" s="194"/>
      <c r="F572" s="194"/>
      <c r="G572" s="170"/>
      <c r="H572" s="183"/>
      <c r="I572" s="239"/>
      <c r="J572" s="46" t="s">
        <v>1210</v>
      </c>
      <c r="K572" s="237"/>
      <c r="L572" s="288">
        <v>215</v>
      </c>
      <c r="M572" s="289">
        <v>1</v>
      </c>
      <c r="N572" s="290">
        <v>30</v>
      </c>
      <c r="O572" s="46"/>
      <c r="P572" s="46" t="s">
        <v>92</v>
      </c>
      <c r="Q572" s="12"/>
      <c r="R572" s="192" t="str">
        <f t="shared" si="21"/>
        <v>30pieces</v>
      </c>
      <c r="S572" s="198">
        <f t="shared" si="22"/>
        <v>30</v>
      </c>
      <c r="T572" s="199" t="str">
        <f t="shared" si="23"/>
        <v>30pieces</v>
      </c>
      <c r="U572" s="200">
        <f t="shared" si="24"/>
        <v>215</v>
      </c>
      <c r="V572" s="205">
        <f>U572/M572</f>
        <v>215</v>
      </c>
      <c r="W572" s="62"/>
    </row>
    <row r="573" spans="1:23" x14ac:dyDescent="0.3">
      <c r="A573" s="193" t="e">
        <f ca="1"/>
        <v>#NAME?</v>
      </c>
      <c r="B573" s="46" t="s">
        <v>293</v>
      </c>
      <c r="C573" s="170"/>
      <c r="D573" s="194"/>
      <c r="E573" s="194"/>
      <c r="F573" s="194"/>
      <c r="G573" s="170"/>
      <c r="H573" s="183"/>
      <c r="I573" s="239"/>
      <c r="J573" s="46" t="s">
        <v>1210</v>
      </c>
      <c r="K573" s="237"/>
      <c r="L573" s="288">
        <v>222</v>
      </c>
      <c r="M573" s="289">
        <v>30</v>
      </c>
      <c r="N573" s="290">
        <v>30</v>
      </c>
      <c r="O573" s="46"/>
      <c r="P573" s="46" t="s">
        <v>92</v>
      </c>
      <c r="Q573" s="12"/>
      <c r="R573" s="192" t="str">
        <f t="shared" si="21"/>
        <v>30pieces</v>
      </c>
      <c r="S573" s="198">
        <f t="shared" si="22"/>
        <v>900</v>
      </c>
      <c r="T573" s="199" t="str">
        <f t="shared" si="23"/>
        <v>900pieces</v>
      </c>
      <c r="U573" s="200">
        <f t="shared" si="24"/>
        <v>6660</v>
      </c>
      <c r="V573" s="62"/>
      <c r="W573" s="12"/>
    </row>
    <row r="574" spans="1:23" x14ac:dyDescent="0.3">
      <c r="A574" s="193" t="e">
        <f ca="1"/>
        <v>#NAME?</v>
      </c>
      <c r="B574" s="46" t="s">
        <v>293</v>
      </c>
      <c r="C574" s="170"/>
      <c r="D574" s="194"/>
      <c r="E574" s="194"/>
      <c r="F574" s="194"/>
      <c r="G574" s="170"/>
      <c r="H574" s="183"/>
      <c r="I574" s="239"/>
      <c r="J574" s="46" t="s">
        <v>1211</v>
      </c>
      <c r="K574" s="237"/>
      <c r="L574" s="288">
        <v>230</v>
      </c>
      <c r="M574" s="289">
        <v>12</v>
      </c>
      <c r="N574" s="290">
        <v>30</v>
      </c>
      <c r="O574" s="46"/>
      <c r="P574" s="46" t="s">
        <v>1212</v>
      </c>
      <c r="Q574" s="12"/>
      <c r="R574" s="192" t="str">
        <f t="shared" si="21"/>
        <v>30trays</v>
      </c>
      <c r="S574" s="198">
        <f t="shared" si="22"/>
        <v>360</v>
      </c>
      <c r="T574" s="199" t="str">
        <f t="shared" si="23"/>
        <v>360trays</v>
      </c>
      <c r="U574" s="200">
        <f t="shared" si="24"/>
        <v>2760</v>
      </c>
      <c r="V574" s="12"/>
      <c r="W574" s="12"/>
    </row>
    <row r="575" spans="1:23" x14ac:dyDescent="0.3">
      <c r="A575" s="193" t="e">
        <f ca="1"/>
        <v>#NAME?</v>
      </c>
      <c r="B575" s="46" t="s">
        <v>293</v>
      </c>
      <c r="C575" s="170"/>
      <c r="D575" s="194"/>
      <c r="E575" s="170"/>
      <c r="F575" s="170"/>
      <c r="G575" s="170"/>
      <c r="H575" s="206"/>
      <c r="I575" s="170"/>
      <c r="J575" s="219" t="s">
        <v>1213</v>
      </c>
      <c r="K575" s="237"/>
      <c r="L575" s="291">
        <v>8.33</v>
      </c>
      <c r="M575" s="292">
        <v>159</v>
      </c>
      <c r="N575" s="293">
        <v>1</v>
      </c>
      <c r="O575" s="219"/>
      <c r="P575" s="219" t="s">
        <v>92</v>
      </c>
      <c r="Q575" s="12"/>
      <c r="R575" s="192" t="str">
        <f t="shared" si="21"/>
        <v>1pieces</v>
      </c>
      <c r="S575" s="198">
        <f t="shared" si="22"/>
        <v>159</v>
      </c>
      <c r="T575" s="199" t="str">
        <f t="shared" si="23"/>
        <v>159pieces</v>
      </c>
      <c r="U575" s="200">
        <f t="shared" si="24"/>
        <v>1324.47</v>
      </c>
      <c r="V575" s="12"/>
      <c r="W575" s="12"/>
    </row>
    <row r="576" spans="1:23" x14ac:dyDescent="0.3">
      <c r="A576" s="193" t="e">
        <f ca="1"/>
        <v>#NAME?</v>
      </c>
      <c r="B576" s="46" t="s">
        <v>293</v>
      </c>
      <c r="C576" s="170"/>
      <c r="D576" s="194"/>
      <c r="E576" s="170"/>
      <c r="F576" s="170"/>
      <c r="G576" s="170"/>
      <c r="H576" s="206"/>
      <c r="I576" s="170"/>
      <c r="J576" s="170"/>
      <c r="K576" s="237"/>
      <c r="L576" s="288">
        <v>240</v>
      </c>
      <c r="M576" s="289">
        <v>14</v>
      </c>
      <c r="N576" s="290">
        <v>1</v>
      </c>
      <c r="O576" s="46"/>
      <c r="P576" s="46" t="s">
        <v>1212</v>
      </c>
      <c r="Q576" s="12"/>
      <c r="R576" s="192" t="str">
        <f t="shared" si="21"/>
        <v>1trays</v>
      </c>
      <c r="S576" s="198">
        <f t="shared" si="22"/>
        <v>14</v>
      </c>
      <c r="T576" s="199" t="str">
        <f t="shared" si="23"/>
        <v>14trays</v>
      </c>
      <c r="U576" s="200">
        <f t="shared" si="24"/>
        <v>3360</v>
      </c>
      <c r="V576" s="12"/>
      <c r="W576" s="12"/>
    </row>
    <row r="577" spans="1:23" x14ac:dyDescent="0.3">
      <c r="A577" s="193" t="e">
        <f ca="1"/>
        <v>#NAME?</v>
      </c>
      <c r="B577" s="46" t="s">
        <v>1214</v>
      </c>
      <c r="C577" s="170"/>
      <c r="D577" s="194"/>
      <c r="E577" s="194"/>
      <c r="F577" s="194"/>
      <c r="G577" s="170"/>
      <c r="H577" s="183"/>
      <c r="I577" s="170"/>
      <c r="J577" s="46" t="s">
        <v>1215</v>
      </c>
      <c r="K577" s="237"/>
      <c r="L577" s="288">
        <v>34</v>
      </c>
      <c r="M577" s="289">
        <v>174</v>
      </c>
      <c r="N577" s="290">
        <v>1</v>
      </c>
      <c r="O577" s="46"/>
      <c r="P577" s="46" t="s">
        <v>92</v>
      </c>
      <c r="Q577" s="12"/>
      <c r="R577" s="192" t="str">
        <f t="shared" si="21"/>
        <v>1pieces</v>
      </c>
      <c r="S577" s="198">
        <f t="shared" si="22"/>
        <v>174</v>
      </c>
      <c r="T577" s="199" t="str">
        <f t="shared" si="23"/>
        <v>174pieces</v>
      </c>
      <c r="U577" s="200">
        <f t="shared" si="24"/>
        <v>5916</v>
      </c>
      <c r="V577" s="12"/>
      <c r="W577" s="12"/>
    </row>
    <row r="578" spans="1:23" x14ac:dyDescent="0.3">
      <c r="A578" s="193" t="e">
        <f ca="1"/>
        <v>#NAME?</v>
      </c>
      <c r="B578" s="46" t="s">
        <v>1214</v>
      </c>
      <c r="C578" s="170"/>
      <c r="D578" s="194"/>
      <c r="E578" s="194"/>
      <c r="F578" s="194"/>
      <c r="G578" s="170"/>
      <c r="H578" s="183"/>
      <c r="I578" s="170"/>
      <c r="J578" s="46" t="s">
        <v>1215</v>
      </c>
      <c r="K578" s="237"/>
      <c r="L578" s="288">
        <v>33.619999999999997</v>
      </c>
      <c r="M578" s="289">
        <v>72</v>
      </c>
      <c r="N578" s="290">
        <v>500</v>
      </c>
      <c r="O578" s="46"/>
      <c r="P578" s="46" t="s">
        <v>32</v>
      </c>
      <c r="Q578" s="12"/>
      <c r="R578" s="192" t="str">
        <f t="shared" si="21"/>
        <v>500ml</v>
      </c>
      <c r="S578" s="198">
        <f t="shared" si="22"/>
        <v>36000</v>
      </c>
      <c r="T578" s="199" t="str">
        <f t="shared" si="23"/>
        <v>36000ml</v>
      </c>
      <c r="U578" s="200">
        <f t="shared" si="24"/>
        <v>2420.64</v>
      </c>
      <c r="V578" s="12"/>
      <c r="W578" s="12"/>
    </row>
    <row r="579" spans="1:23" x14ac:dyDescent="0.3">
      <c r="A579" s="193" t="e">
        <f ca="1"/>
        <v>#NAME?</v>
      </c>
      <c r="B579" s="46" t="s">
        <v>1214</v>
      </c>
      <c r="C579" s="170"/>
      <c r="D579" s="194"/>
      <c r="E579" s="170"/>
      <c r="F579" s="170"/>
      <c r="G579" s="170"/>
      <c r="H579" s="206"/>
      <c r="I579" s="170"/>
      <c r="J579" s="46" t="s">
        <v>1215</v>
      </c>
      <c r="K579" s="237"/>
      <c r="L579" s="288">
        <v>868.8</v>
      </c>
      <c r="M579" s="289">
        <v>72</v>
      </c>
      <c r="N579" s="290">
        <v>500</v>
      </c>
      <c r="O579" s="46"/>
      <c r="P579" s="46" t="s">
        <v>32</v>
      </c>
      <c r="Q579" s="12"/>
      <c r="R579" s="192" t="str">
        <f t="shared" si="21"/>
        <v>500ml</v>
      </c>
      <c r="S579" s="198">
        <f t="shared" si="22"/>
        <v>36000</v>
      </c>
      <c r="T579" s="199" t="str">
        <f t="shared" si="23"/>
        <v>36000ml</v>
      </c>
      <c r="U579" s="200">
        <f t="shared" si="24"/>
        <v>62553.599999999999</v>
      </c>
      <c r="V579" s="12"/>
      <c r="W579" s="12"/>
    </row>
    <row r="580" spans="1:23" x14ac:dyDescent="0.3">
      <c r="A580" s="193" t="e">
        <f ca="1"/>
        <v>#NAME?</v>
      </c>
      <c r="B580" s="46" t="s">
        <v>1214</v>
      </c>
      <c r="C580" s="170"/>
      <c r="D580" s="194"/>
      <c r="E580" s="170"/>
      <c r="F580" s="170"/>
      <c r="G580" s="170"/>
      <c r="H580" s="206"/>
      <c r="I580" s="170"/>
      <c r="J580" s="46" t="s">
        <v>1215</v>
      </c>
      <c r="K580" s="237"/>
      <c r="L580" s="288">
        <v>33.619999999999997</v>
      </c>
      <c r="M580" s="289">
        <v>38</v>
      </c>
      <c r="N580" s="290">
        <v>500</v>
      </c>
      <c r="O580" s="46"/>
      <c r="P580" s="46" t="s">
        <v>32</v>
      </c>
      <c r="Q580" s="12"/>
      <c r="R580" s="192" t="str">
        <f t="shared" si="21"/>
        <v>500ml</v>
      </c>
      <c r="S580" s="198">
        <f t="shared" si="22"/>
        <v>19000</v>
      </c>
      <c r="T580" s="199" t="str">
        <f t="shared" si="23"/>
        <v>19000ml</v>
      </c>
      <c r="U580" s="200">
        <f t="shared" si="24"/>
        <v>1277.56</v>
      </c>
      <c r="V580" s="12"/>
      <c r="W580" s="12"/>
    </row>
    <row r="581" spans="1:23" x14ac:dyDescent="0.3">
      <c r="A581" s="193" t="e">
        <f ca="1"/>
        <v>#NAME?</v>
      </c>
      <c r="B581" s="46" t="s">
        <v>1214</v>
      </c>
      <c r="C581" s="170"/>
      <c r="D581" s="194"/>
      <c r="E581" s="170"/>
      <c r="F581" s="170"/>
      <c r="G581" s="170"/>
      <c r="H581" s="183"/>
      <c r="I581" s="170"/>
      <c r="J581" s="46" t="s">
        <v>1216</v>
      </c>
      <c r="K581" s="237"/>
      <c r="L581" s="288">
        <v>36.03</v>
      </c>
      <c r="M581" s="289">
        <v>14</v>
      </c>
      <c r="N581" s="290">
        <v>500</v>
      </c>
      <c r="O581" s="46"/>
      <c r="P581" s="46" t="s">
        <v>32</v>
      </c>
      <c r="Q581" s="12"/>
      <c r="R581" s="192" t="str">
        <f t="shared" si="21"/>
        <v>500ml</v>
      </c>
      <c r="S581" s="198">
        <f t="shared" si="22"/>
        <v>7000</v>
      </c>
      <c r="T581" s="199" t="str">
        <f t="shared" si="23"/>
        <v>7000ml</v>
      </c>
      <c r="U581" s="200">
        <f t="shared" si="24"/>
        <v>504.42</v>
      </c>
      <c r="V581" s="205">
        <f t="shared" ref="V581:V582" si="25">U581/M581</f>
        <v>36.03</v>
      </c>
      <c r="W581" s="62"/>
    </row>
    <row r="582" spans="1:23" x14ac:dyDescent="0.3">
      <c r="A582" s="193" t="e">
        <f ca="1"/>
        <v>#NAME?</v>
      </c>
      <c r="B582" s="46" t="s">
        <v>1214</v>
      </c>
      <c r="C582" s="170"/>
      <c r="D582" s="194"/>
      <c r="E582" s="170"/>
      <c r="F582" s="170"/>
      <c r="G582" s="170"/>
      <c r="H582" s="183"/>
      <c r="I582" s="170"/>
      <c r="J582" s="46" t="s">
        <v>1217</v>
      </c>
      <c r="K582" s="237"/>
      <c r="L582" s="288">
        <v>32.200000000000003</v>
      </c>
      <c r="M582" s="289">
        <v>11</v>
      </c>
      <c r="N582" s="290">
        <v>220</v>
      </c>
      <c r="O582" s="46"/>
      <c r="P582" s="46" t="s">
        <v>32</v>
      </c>
      <c r="Q582" s="12"/>
      <c r="R582" s="192" t="str">
        <f t="shared" si="21"/>
        <v>220ml</v>
      </c>
      <c r="S582" s="198">
        <f t="shared" si="22"/>
        <v>2420</v>
      </c>
      <c r="T582" s="199" t="str">
        <f t="shared" si="23"/>
        <v>2420ml</v>
      </c>
      <c r="U582" s="200">
        <f t="shared" si="24"/>
        <v>354.20000000000005</v>
      </c>
      <c r="V582" s="205">
        <f t="shared" si="25"/>
        <v>32.200000000000003</v>
      </c>
      <c r="W582" s="62"/>
    </row>
    <row r="583" spans="1:23" x14ac:dyDescent="0.3">
      <c r="A583" s="193" t="e">
        <f ca="1"/>
        <v>#NAME?</v>
      </c>
      <c r="B583" s="46" t="s">
        <v>1214</v>
      </c>
      <c r="C583" s="170"/>
      <c r="D583" s="194"/>
      <c r="E583" s="170"/>
      <c r="F583" s="170"/>
      <c r="G583" s="170"/>
      <c r="H583" s="206"/>
      <c r="I583" s="170"/>
      <c r="J583" s="46" t="s">
        <v>1217</v>
      </c>
      <c r="K583" s="237"/>
      <c r="L583" s="288">
        <v>34</v>
      </c>
      <c r="M583" s="289">
        <v>18</v>
      </c>
      <c r="N583" s="290">
        <v>350</v>
      </c>
      <c r="O583" s="46"/>
      <c r="P583" s="46" t="s">
        <v>32</v>
      </c>
      <c r="Q583" s="12"/>
      <c r="R583" s="192" t="str">
        <f t="shared" si="21"/>
        <v>350ml</v>
      </c>
      <c r="S583" s="198">
        <f t="shared" si="22"/>
        <v>6300</v>
      </c>
      <c r="T583" s="199" t="str">
        <f t="shared" si="23"/>
        <v>6300ml</v>
      </c>
      <c r="U583" s="200">
        <f t="shared" si="24"/>
        <v>612</v>
      </c>
      <c r="V583" s="12"/>
      <c r="W583" s="12"/>
    </row>
    <row r="584" spans="1:23" x14ac:dyDescent="0.3">
      <c r="A584" s="193" t="e">
        <f ca="1"/>
        <v>#NAME?</v>
      </c>
      <c r="B584" s="46" t="s">
        <v>64</v>
      </c>
      <c r="C584" s="170"/>
      <c r="D584" s="194"/>
      <c r="E584" s="194"/>
      <c r="F584" s="194"/>
      <c r="G584" s="170"/>
      <c r="H584" s="183"/>
      <c r="I584" s="170"/>
      <c r="J584" s="46" t="s">
        <v>35</v>
      </c>
      <c r="K584" s="237"/>
      <c r="L584" s="288">
        <v>34</v>
      </c>
      <c r="M584" s="289">
        <v>7</v>
      </c>
      <c r="N584" s="290">
        <v>360</v>
      </c>
      <c r="O584" s="46"/>
      <c r="P584" s="46" t="s">
        <v>32</v>
      </c>
      <c r="Q584" s="12"/>
      <c r="R584" s="192" t="str">
        <f t="shared" si="21"/>
        <v>360ml</v>
      </c>
      <c r="S584" s="198">
        <f t="shared" si="22"/>
        <v>2520</v>
      </c>
      <c r="T584" s="199" t="str">
        <f t="shared" si="23"/>
        <v>2520ml</v>
      </c>
      <c r="U584" s="200">
        <f t="shared" si="24"/>
        <v>238</v>
      </c>
      <c r="V584" s="62"/>
      <c r="W584" s="12"/>
    </row>
    <row r="585" spans="1:23" x14ac:dyDescent="0.3">
      <c r="A585" s="193" t="e">
        <f ca="1"/>
        <v>#NAME?</v>
      </c>
      <c r="B585" s="46" t="s">
        <v>64</v>
      </c>
      <c r="C585" s="170"/>
      <c r="D585" s="194"/>
      <c r="E585" s="170"/>
      <c r="F585" s="170"/>
      <c r="G585" s="170"/>
      <c r="H585" s="206"/>
      <c r="I585" s="170"/>
      <c r="J585" s="46" t="s">
        <v>1137</v>
      </c>
      <c r="K585" s="237"/>
      <c r="L585" s="288">
        <v>30.3</v>
      </c>
      <c r="M585" s="289">
        <v>3</v>
      </c>
      <c r="N585" s="290">
        <v>360</v>
      </c>
      <c r="O585" s="46"/>
      <c r="P585" s="46" t="s">
        <v>32</v>
      </c>
      <c r="Q585" s="12"/>
      <c r="R585" s="192" t="str">
        <f t="shared" si="21"/>
        <v>360ml</v>
      </c>
      <c r="S585" s="198">
        <f t="shared" si="22"/>
        <v>1080</v>
      </c>
      <c r="T585" s="199" t="str">
        <f t="shared" si="23"/>
        <v>1080ml</v>
      </c>
      <c r="U585" s="200">
        <f t="shared" si="24"/>
        <v>90.9</v>
      </c>
      <c r="V585" s="12"/>
      <c r="W585" s="12"/>
    </row>
    <row r="586" spans="1:23" x14ac:dyDescent="0.3">
      <c r="A586" s="193" t="e">
        <f ca="1"/>
        <v>#NAME?</v>
      </c>
      <c r="B586" s="46" t="s">
        <v>64</v>
      </c>
      <c r="C586" s="170"/>
      <c r="D586" s="194"/>
      <c r="E586" s="170"/>
      <c r="F586" s="170"/>
      <c r="G586" s="170"/>
      <c r="H586" s="206"/>
      <c r="I586" s="170"/>
      <c r="J586" s="46" t="s">
        <v>36</v>
      </c>
      <c r="K586" s="237"/>
      <c r="L586" s="288">
        <v>31.9</v>
      </c>
      <c r="M586" s="289">
        <v>30</v>
      </c>
      <c r="N586" s="290">
        <v>410</v>
      </c>
      <c r="O586" s="46"/>
      <c r="P586" s="46" t="s">
        <v>32</v>
      </c>
      <c r="Q586" s="12"/>
      <c r="R586" s="192" t="str">
        <f t="shared" si="21"/>
        <v>410ml</v>
      </c>
      <c r="S586" s="198">
        <f t="shared" si="22"/>
        <v>12300</v>
      </c>
      <c r="T586" s="199" t="str">
        <f t="shared" si="23"/>
        <v>12300ml</v>
      </c>
      <c r="U586" s="200">
        <f t="shared" si="24"/>
        <v>957</v>
      </c>
      <c r="V586" s="12"/>
      <c r="W586" s="12"/>
    </row>
    <row r="587" spans="1:23" x14ac:dyDescent="0.3">
      <c r="A587" s="193" t="e">
        <f ca="1"/>
        <v>#NAME?</v>
      </c>
      <c r="B587" s="46" t="s">
        <v>64</v>
      </c>
      <c r="C587" s="170"/>
      <c r="D587" s="194"/>
      <c r="E587" s="194"/>
      <c r="F587" s="170"/>
      <c r="G587" s="170"/>
      <c r="H587" s="183"/>
      <c r="I587" s="170"/>
      <c r="J587" s="46" t="s">
        <v>36</v>
      </c>
      <c r="K587" s="237"/>
      <c r="L587" s="288">
        <v>28.7</v>
      </c>
      <c r="M587" s="289">
        <v>0</v>
      </c>
      <c r="N587" s="290">
        <v>360</v>
      </c>
      <c r="O587" s="46"/>
      <c r="P587" s="46" t="s">
        <v>32</v>
      </c>
      <c r="Q587" s="12"/>
      <c r="R587" s="192" t="str">
        <f t="shared" si="21"/>
        <v>360ml</v>
      </c>
      <c r="S587" s="198">
        <f t="shared" si="22"/>
        <v>0</v>
      </c>
      <c r="T587" s="199" t="str">
        <f t="shared" si="23"/>
        <v>0ml</v>
      </c>
      <c r="U587" s="200">
        <f t="shared" si="24"/>
        <v>0</v>
      </c>
      <c r="V587" s="12"/>
      <c r="W587" s="12"/>
    </row>
    <row r="588" spans="1:23" x14ac:dyDescent="0.3">
      <c r="A588" s="193" t="e">
        <f ca="1"/>
        <v>#NAME?</v>
      </c>
      <c r="B588" s="46" t="s">
        <v>64</v>
      </c>
      <c r="C588" s="170"/>
      <c r="D588" s="194"/>
      <c r="E588" s="194"/>
      <c r="F588" s="194"/>
      <c r="G588" s="170"/>
      <c r="H588" s="206"/>
      <c r="I588" s="170"/>
      <c r="J588" s="46" t="s">
        <v>35</v>
      </c>
      <c r="K588" s="237"/>
      <c r="L588" s="288">
        <v>34</v>
      </c>
      <c r="M588" s="289">
        <v>24</v>
      </c>
      <c r="N588" s="290">
        <v>360</v>
      </c>
      <c r="O588" s="46"/>
      <c r="P588" s="46" t="s">
        <v>32</v>
      </c>
      <c r="Q588" s="12"/>
      <c r="R588" s="192" t="str">
        <f t="shared" si="21"/>
        <v>360ml</v>
      </c>
      <c r="S588" s="198">
        <f t="shared" si="22"/>
        <v>8640</v>
      </c>
      <c r="T588" s="199" t="str">
        <f t="shared" si="23"/>
        <v>8640ml</v>
      </c>
      <c r="U588" s="200">
        <f t="shared" si="24"/>
        <v>816</v>
      </c>
      <c r="V588" s="12"/>
      <c r="W588" s="12"/>
    </row>
    <row r="589" spans="1:23" x14ac:dyDescent="0.3">
      <c r="A589" s="193" t="e">
        <f ca="1"/>
        <v>#NAME?</v>
      </c>
      <c r="B589" s="46" t="s">
        <v>64</v>
      </c>
      <c r="C589" s="170"/>
      <c r="D589" s="194"/>
      <c r="E589" s="194"/>
      <c r="F589" s="170"/>
      <c r="G589" s="170"/>
      <c r="H589" s="183"/>
      <c r="I589" s="170"/>
      <c r="J589" s="46" t="s">
        <v>36</v>
      </c>
      <c r="K589" s="237"/>
      <c r="L589" s="288">
        <v>34.75</v>
      </c>
      <c r="M589" s="289">
        <v>7</v>
      </c>
      <c r="N589" s="290">
        <v>365</v>
      </c>
      <c r="O589" s="46"/>
      <c r="P589" s="46" t="s">
        <v>32</v>
      </c>
      <c r="Q589" s="12"/>
      <c r="R589" s="192" t="str">
        <f t="shared" si="21"/>
        <v>365ml</v>
      </c>
      <c r="S589" s="198">
        <f t="shared" si="22"/>
        <v>2555</v>
      </c>
      <c r="T589" s="199" t="str">
        <f t="shared" si="23"/>
        <v>2555ml</v>
      </c>
      <c r="U589" s="200">
        <f t="shared" si="24"/>
        <v>243.25</v>
      </c>
      <c r="V589" s="205">
        <f>U589/M589</f>
        <v>34.75</v>
      </c>
      <c r="W589" s="62"/>
    </row>
    <row r="590" spans="1:23" x14ac:dyDescent="0.3">
      <c r="A590" s="193" t="e">
        <f ca="1"/>
        <v>#NAME?</v>
      </c>
      <c r="B590" s="46" t="s">
        <v>64</v>
      </c>
      <c r="C590" s="170"/>
      <c r="D590" s="194"/>
      <c r="E590" s="194"/>
      <c r="F590" s="194"/>
      <c r="G590" s="170"/>
      <c r="H590" s="183"/>
      <c r="I590" s="170"/>
      <c r="J590" s="46" t="s">
        <v>36</v>
      </c>
      <c r="K590" s="237"/>
      <c r="L590" s="288">
        <v>31.9</v>
      </c>
      <c r="M590" s="289">
        <v>12</v>
      </c>
      <c r="N590" s="290">
        <v>410</v>
      </c>
      <c r="O590" s="46"/>
      <c r="P590" s="46" t="s">
        <v>32</v>
      </c>
      <c r="Q590" s="12"/>
      <c r="R590" s="192" t="str">
        <f t="shared" si="21"/>
        <v>410ml</v>
      </c>
      <c r="S590" s="198">
        <f t="shared" si="22"/>
        <v>4920</v>
      </c>
      <c r="T590" s="199" t="str">
        <f t="shared" si="23"/>
        <v>4920ml</v>
      </c>
      <c r="U590" s="200">
        <f t="shared" si="24"/>
        <v>382.79999999999995</v>
      </c>
      <c r="V590" s="12"/>
      <c r="W590" s="12"/>
    </row>
    <row r="591" spans="1:23" x14ac:dyDescent="0.3">
      <c r="A591" s="193" t="e">
        <f ca="1"/>
        <v>#NAME?</v>
      </c>
      <c r="B591" s="46" t="s">
        <v>64</v>
      </c>
      <c r="C591" s="170"/>
      <c r="D591" s="194"/>
      <c r="E591" s="194"/>
      <c r="F591" s="194"/>
      <c r="G591" s="170"/>
      <c r="H591" s="206"/>
      <c r="I591" s="170"/>
      <c r="J591" s="219" t="s">
        <v>35</v>
      </c>
      <c r="K591" s="237"/>
      <c r="L591" s="291">
        <v>38.5</v>
      </c>
      <c r="M591" s="292">
        <v>46</v>
      </c>
      <c r="N591" s="293">
        <v>360</v>
      </c>
      <c r="O591" s="219"/>
      <c r="P591" s="219" t="s">
        <v>32</v>
      </c>
      <c r="Q591" s="12"/>
      <c r="R591" s="192" t="str">
        <f t="shared" si="21"/>
        <v>360ml</v>
      </c>
      <c r="S591" s="198">
        <f t="shared" si="22"/>
        <v>16560</v>
      </c>
      <c r="T591" s="199" t="str">
        <f t="shared" si="23"/>
        <v>16560ml</v>
      </c>
      <c r="U591" s="200">
        <f t="shared" si="24"/>
        <v>1771</v>
      </c>
      <c r="V591" s="12"/>
      <c r="W591" s="12"/>
    </row>
    <row r="592" spans="1:23" x14ac:dyDescent="0.3">
      <c r="A592" s="193" t="e">
        <f ca="1"/>
        <v>#NAME?</v>
      </c>
      <c r="B592" s="46" t="s">
        <v>64</v>
      </c>
      <c r="C592" s="170"/>
      <c r="D592" s="194"/>
      <c r="E592" s="194"/>
      <c r="F592" s="194"/>
      <c r="G592" s="170"/>
      <c r="H592" s="206"/>
      <c r="I592" s="170"/>
      <c r="J592" s="46" t="s">
        <v>35</v>
      </c>
      <c r="K592" s="237"/>
      <c r="L592" s="288">
        <v>34</v>
      </c>
      <c r="M592" s="289">
        <v>4</v>
      </c>
      <c r="N592" s="290">
        <v>360</v>
      </c>
      <c r="O592" s="46"/>
      <c r="P592" s="46" t="s">
        <v>32</v>
      </c>
      <c r="Q592" s="12"/>
      <c r="R592" s="192" t="str">
        <f t="shared" si="21"/>
        <v>360ml</v>
      </c>
      <c r="S592" s="198">
        <f t="shared" si="22"/>
        <v>1440</v>
      </c>
      <c r="T592" s="199" t="str">
        <f t="shared" si="23"/>
        <v>1440ml</v>
      </c>
      <c r="U592" s="200">
        <f t="shared" si="24"/>
        <v>136</v>
      </c>
      <c r="V592" s="12"/>
      <c r="W592" s="12"/>
    </row>
    <row r="593" spans="1:23" x14ac:dyDescent="0.3">
      <c r="A593" s="193" t="e">
        <f ca="1"/>
        <v>#NAME?</v>
      </c>
      <c r="B593" s="46" t="s">
        <v>1218</v>
      </c>
      <c r="C593" s="170"/>
      <c r="D593" s="194"/>
      <c r="E593" s="194"/>
      <c r="F593" s="194"/>
      <c r="G593" s="170"/>
      <c r="H593" s="206"/>
      <c r="I593" s="170"/>
      <c r="J593" s="46" t="s">
        <v>1219</v>
      </c>
      <c r="K593" s="237"/>
      <c r="L593" s="288">
        <v>78</v>
      </c>
      <c r="M593" s="289">
        <v>2</v>
      </c>
      <c r="N593" s="290">
        <v>500</v>
      </c>
      <c r="O593" s="46"/>
      <c r="P593" s="46" t="s">
        <v>39</v>
      </c>
      <c r="Q593" s="12"/>
      <c r="R593" s="192" t="str">
        <f t="shared" si="21"/>
        <v>500grams</v>
      </c>
      <c r="S593" s="198">
        <f t="shared" si="22"/>
        <v>1000</v>
      </c>
      <c r="T593" s="199" t="str">
        <f t="shared" si="23"/>
        <v>1000grams</v>
      </c>
      <c r="U593" s="200">
        <f t="shared" si="24"/>
        <v>156</v>
      </c>
      <c r="V593" s="12"/>
      <c r="W593" s="12"/>
    </row>
    <row r="594" spans="1:23" x14ac:dyDescent="0.3">
      <c r="A594" s="193" t="e">
        <f ca="1"/>
        <v>#NAME?</v>
      </c>
      <c r="B594" s="46" t="s">
        <v>1220</v>
      </c>
      <c r="C594" s="170"/>
      <c r="D594" s="194"/>
      <c r="E594" s="194"/>
      <c r="F594" s="194"/>
      <c r="G594" s="170"/>
      <c r="H594" s="183"/>
      <c r="I594" s="170"/>
      <c r="J594" s="46" t="s">
        <v>1221</v>
      </c>
      <c r="K594" s="237"/>
      <c r="L594" s="288">
        <v>57</v>
      </c>
      <c r="M594" s="289">
        <v>1</v>
      </c>
      <c r="N594" s="290">
        <v>1000</v>
      </c>
      <c r="O594" s="46"/>
      <c r="P594" s="46" t="s">
        <v>39</v>
      </c>
      <c r="Q594" s="12"/>
      <c r="R594" s="192" t="str">
        <f t="shared" si="21"/>
        <v>1000grams</v>
      </c>
      <c r="S594" s="198">
        <f t="shared" si="22"/>
        <v>1000</v>
      </c>
      <c r="T594" s="199" t="str">
        <f t="shared" si="23"/>
        <v>1000grams</v>
      </c>
      <c r="U594" s="200">
        <f t="shared" si="24"/>
        <v>57</v>
      </c>
      <c r="V594" s="12"/>
      <c r="W594" s="12"/>
    </row>
    <row r="595" spans="1:23" x14ac:dyDescent="0.3">
      <c r="A595" s="193" t="e">
        <f ca="1"/>
        <v>#NAME?</v>
      </c>
      <c r="B595" s="46" t="s">
        <v>1220</v>
      </c>
      <c r="C595" s="170"/>
      <c r="D595" s="194"/>
      <c r="E595" s="194"/>
      <c r="F595" s="194"/>
      <c r="G595" s="170"/>
      <c r="H595" s="183"/>
      <c r="I595" s="170"/>
      <c r="J595" s="46" t="s">
        <v>1221</v>
      </c>
      <c r="K595" s="237"/>
      <c r="L595" s="288">
        <v>120</v>
      </c>
      <c r="M595" s="289">
        <v>1</v>
      </c>
      <c r="N595" s="290">
        <v>1000</v>
      </c>
      <c r="O595" s="46"/>
      <c r="P595" s="46" t="s">
        <v>39</v>
      </c>
      <c r="Q595" s="12"/>
      <c r="R595" s="192" t="str">
        <f t="shared" si="21"/>
        <v>1000grams</v>
      </c>
      <c r="S595" s="198">
        <f t="shared" si="22"/>
        <v>1000</v>
      </c>
      <c r="T595" s="199" t="str">
        <f t="shared" si="23"/>
        <v>1000grams</v>
      </c>
      <c r="U595" s="200">
        <f t="shared" si="24"/>
        <v>120</v>
      </c>
      <c r="V595" s="12"/>
      <c r="W595" s="12"/>
    </row>
    <row r="596" spans="1:23" x14ac:dyDescent="0.3">
      <c r="A596" s="193" t="e">
        <f ca="1"/>
        <v>#NAME?</v>
      </c>
      <c r="B596" s="46" t="s">
        <v>256</v>
      </c>
      <c r="C596" s="170"/>
      <c r="D596" s="194"/>
      <c r="E596" s="194"/>
      <c r="F596" s="194"/>
      <c r="G596" s="170"/>
      <c r="H596" s="206"/>
      <c r="I596" s="170"/>
      <c r="J596" s="46" t="s">
        <v>1069</v>
      </c>
      <c r="K596" s="237"/>
      <c r="L596" s="288">
        <v>73</v>
      </c>
      <c r="M596" s="289">
        <v>1</v>
      </c>
      <c r="N596" s="290">
        <v>3500</v>
      </c>
      <c r="O596" s="46"/>
      <c r="P596" s="46" t="s">
        <v>32</v>
      </c>
      <c r="Q596" s="12"/>
      <c r="R596" s="192" t="str">
        <f t="shared" si="21"/>
        <v>3500ml</v>
      </c>
      <c r="S596" s="198">
        <f t="shared" si="22"/>
        <v>3500</v>
      </c>
      <c r="T596" s="199" t="str">
        <f t="shared" si="23"/>
        <v>3500ml</v>
      </c>
      <c r="U596" s="200">
        <f t="shared" si="24"/>
        <v>73</v>
      </c>
      <c r="V596" s="12"/>
      <c r="W596" s="12"/>
    </row>
    <row r="597" spans="1:23" x14ac:dyDescent="0.3">
      <c r="A597" s="193" t="e">
        <f ca="1"/>
        <v>#NAME?</v>
      </c>
      <c r="B597" s="46" t="s">
        <v>256</v>
      </c>
      <c r="C597" s="170"/>
      <c r="D597" s="194"/>
      <c r="E597" s="194"/>
      <c r="F597" s="170"/>
      <c r="G597" s="170"/>
      <c r="H597" s="183"/>
      <c r="I597" s="170"/>
      <c r="J597" s="46" t="s">
        <v>1069</v>
      </c>
      <c r="K597" s="237"/>
      <c r="L597" s="288">
        <v>73</v>
      </c>
      <c r="M597" s="289">
        <v>7</v>
      </c>
      <c r="N597" s="290">
        <v>3500</v>
      </c>
      <c r="O597" s="46"/>
      <c r="P597" s="46" t="s">
        <v>32</v>
      </c>
      <c r="Q597" s="12"/>
      <c r="R597" s="192" t="str">
        <f t="shared" si="21"/>
        <v>3500ml</v>
      </c>
      <c r="S597" s="198">
        <f t="shared" si="22"/>
        <v>24500</v>
      </c>
      <c r="T597" s="199" t="str">
        <f t="shared" si="23"/>
        <v>24500ml</v>
      </c>
      <c r="U597" s="200">
        <f t="shared" si="24"/>
        <v>511</v>
      </c>
      <c r="V597" s="12"/>
      <c r="W597" s="12"/>
    </row>
    <row r="598" spans="1:23" x14ac:dyDescent="0.3">
      <c r="A598" s="193" t="e">
        <f ca="1"/>
        <v>#NAME?</v>
      </c>
      <c r="B598" s="219" t="s">
        <v>256</v>
      </c>
      <c r="C598" s="170"/>
      <c r="D598" s="194"/>
      <c r="E598" s="194"/>
      <c r="F598" s="170"/>
      <c r="G598" s="170"/>
      <c r="H598" s="183"/>
      <c r="I598" s="170"/>
      <c r="J598" s="46" t="s">
        <v>1069</v>
      </c>
      <c r="K598" s="237"/>
      <c r="L598" s="288">
        <v>73</v>
      </c>
      <c r="M598" s="289">
        <v>2</v>
      </c>
      <c r="N598" s="290">
        <v>3500</v>
      </c>
      <c r="O598" s="46"/>
      <c r="P598" s="46" t="s">
        <v>32</v>
      </c>
      <c r="Q598" s="12"/>
      <c r="R598" s="192" t="str">
        <f t="shared" si="21"/>
        <v>3500ml</v>
      </c>
      <c r="S598" s="198">
        <f t="shared" si="22"/>
        <v>7000</v>
      </c>
      <c r="T598" s="199" t="str">
        <f t="shared" si="23"/>
        <v>7000ml</v>
      </c>
      <c r="U598" s="200">
        <f t="shared" si="24"/>
        <v>146</v>
      </c>
      <c r="V598" s="12"/>
      <c r="W598" s="12"/>
    </row>
    <row r="599" spans="1:23" x14ac:dyDescent="0.3">
      <c r="A599" s="193" t="e">
        <f ca="1"/>
        <v>#NAME?</v>
      </c>
      <c r="B599" s="219" t="s">
        <v>256</v>
      </c>
      <c r="C599" s="170"/>
      <c r="D599" s="194"/>
      <c r="E599" s="170"/>
      <c r="F599" s="170"/>
      <c r="G599" s="170"/>
      <c r="H599" s="206"/>
      <c r="I599" s="170"/>
      <c r="J599" s="46" t="s">
        <v>1222</v>
      </c>
      <c r="K599" s="237"/>
      <c r="L599" s="288">
        <v>24.75</v>
      </c>
      <c r="M599" s="289">
        <v>2</v>
      </c>
      <c r="N599" s="290">
        <v>350</v>
      </c>
      <c r="O599" s="46"/>
      <c r="P599" s="46" t="s">
        <v>32</v>
      </c>
      <c r="Q599" s="12"/>
      <c r="R599" s="192" t="str">
        <f t="shared" si="21"/>
        <v>350ml</v>
      </c>
      <c r="S599" s="198">
        <f t="shared" si="22"/>
        <v>700</v>
      </c>
      <c r="T599" s="199" t="str">
        <f t="shared" si="23"/>
        <v>700ml</v>
      </c>
      <c r="U599" s="200">
        <f t="shared" si="24"/>
        <v>49.5</v>
      </c>
      <c r="V599" s="12"/>
      <c r="W599" s="12"/>
    </row>
    <row r="600" spans="1:23" x14ac:dyDescent="0.3">
      <c r="A600" s="193" t="e">
        <f ca="1"/>
        <v>#NAME?</v>
      </c>
      <c r="B600" s="219" t="s">
        <v>256</v>
      </c>
      <c r="C600" s="170"/>
      <c r="D600" s="194"/>
      <c r="E600" s="194"/>
      <c r="F600" s="194"/>
      <c r="G600" s="170"/>
      <c r="H600" s="183"/>
      <c r="I600" s="170"/>
      <c r="J600" s="46" t="s">
        <v>1069</v>
      </c>
      <c r="K600" s="237"/>
      <c r="L600" s="288">
        <v>65</v>
      </c>
      <c r="M600" s="289">
        <v>2</v>
      </c>
      <c r="N600" s="290">
        <v>3500</v>
      </c>
      <c r="O600" s="46"/>
      <c r="P600" s="46" t="s">
        <v>32</v>
      </c>
      <c r="Q600" s="12"/>
      <c r="R600" s="192" t="str">
        <f t="shared" si="21"/>
        <v>3500ml</v>
      </c>
      <c r="S600" s="198">
        <f t="shared" si="22"/>
        <v>7000</v>
      </c>
      <c r="T600" s="199" t="str">
        <f t="shared" si="23"/>
        <v>7000ml</v>
      </c>
      <c r="U600" s="200">
        <f t="shared" si="24"/>
        <v>130</v>
      </c>
      <c r="V600" s="12"/>
      <c r="W600" s="12"/>
    </row>
    <row r="601" spans="1:23" x14ac:dyDescent="0.3">
      <c r="A601" s="193" t="e">
        <f ca="1"/>
        <v>#NAME?</v>
      </c>
      <c r="B601" s="219" t="s">
        <v>256</v>
      </c>
      <c r="C601" s="170"/>
      <c r="D601" s="194"/>
      <c r="E601" s="170"/>
      <c r="F601" s="170"/>
      <c r="G601" s="170"/>
      <c r="H601" s="206"/>
      <c r="I601" s="170"/>
      <c r="J601" s="219" t="s">
        <v>1223</v>
      </c>
      <c r="K601" s="237"/>
      <c r="L601" s="291">
        <v>32</v>
      </c>
      <c r="M601" s="292">
        <v>1</v>
      </c>
      <c r="N601" s="293">
        <v>12</v>
      </c>
      <c r="O601" s="219"/>
      <c r="P601" s="219" t="s">
        <v>1224</v>
      </c>
      <c r="Q601" s="12"/>
      <c r="R601" s="192" t="str">
        <f t="shared" si="21"/>
        <v>12ounces</v>
      </c>
      <c r="S601" s="198">
        <f t="shared" si="22"/>
        <v>12</v>
      </c>
      <c r="T601" s="199" t="str">
        <f t="shared" si="23"/>
        <v>12ounces</v>
      </c>
      <c r="U601" s="200">
        <f t="shared" si="24"/>
        <v>32</v>
      </c>
      <c r="V601" s="12"/>
      <c r="W601" s="12"/>
    </row>
    <row r="602" spans="1:23" x14ac:dyDescent="0.3">
      <c r="A602" s="193" t="e">
        <f ca="1"/>
        <v>#NAME?</v>
      </c>
      <c r="B602" s="46" t="s">
        <v>606</v>
      </c>
      <c r="C602" s="170"/>
      <c r="D602" s="194"/>
      <c r="E602" s="194"/>
      <c r="F602" s="170"/>
      <c r="G602" s="170"/>
      <c r="H602" s="183"/>
      <c r="I602" s="170"/>
      <c r="J602" s="46" t="s">
        <v>1225</v>
      </c>
      <c r="K602" s="237"/>
      <c r="L602" s="288">
        <v>120</v>
      </c>
      <c r="M602" s="289">
        <v>1</v>
      </c>
      <c r="N602" s="290">
        <v>454</v>
      </c>
      <c r="O602" s="46"/>
      <c r="P602" s="46" t="s">
        <v>39</v>
      </c>
      <c r="Q602" s="12"/>
      <c r="R602" s="192" t="str">
        <f t="shared" si="21"/>
        <v>454grams</v>
      </c>
      <c r="S602" s="198">
        <f t="shared" si="22"/>
        <v>454</v>
      </c>
      <c r="T602" s="199" t="str">
        <f t="shared" si="23"/>
        <v>454grams</v>
      </c>
      <c r="U602" s="200">
        <f t="shared" si="24"/>
        <v>120</v>
      </c>
      <c r="V602" s="205">
        <f>U602/M602</f>
        <v>120</v>
      </c>
      <c r="W602" s="62"/>
    </row>
    <row r="603" spans="1:23" x14ac:dyDescent="0.3">
      <c r="A603" s="193" t="e">
        <f ca="1"/>
        <v>#NAME?</v>
      </c>
      <c r="B603" s="46" t="s">
        <v>1226</v>
      </c>
      <c r="C603" s="170"/>
      <c r="D603" s="194"/>
      <c r="E603" s="194"/>
      <c r="F603" s="170"/>
      <c r="G603" s="170"/>
      <c r="H603" s="183"/>
      <c r="I603" s="170"/>
      <c r="J603" s="46" t="s">
        <v>1227</v>
      </c>
      <c r="K603" s="237"/>
      <c r="L603" s="288">
        <v>32.5</v>
      </c>
      <c r="M603" s="289">
        <v>2</v>
      </c>
      <c r="N603" s="290">
        <v>20</v>
      </c>
      <c r="O603" s="46"/>
      <c r="P603" s="46" t="s">
        <v>32</v>
      </c>
      <c r="Q603" s="12"/>
      <c r="R603" s="192" t="str">
        <f t="shared" si="21"/>
        <v>20ml</v>
      </c>
      <c r="S603" s="198">
        <f t="shared" si="22"/>
        <v>40</v>
      </c>
      <c r="T603" s="199" t="str">
        <f t="shared" si="23"/>
        <v>40ml</v>
      </c>
      <c r="U603" s="200">
        <f t="shared" si="24"/>
        <v>65</v>
      </c>
      <c r="V603" s="12"/>
      <c r="W603" s="12"/>
    </row>
    <row r="604" spans="1:23" x14ac:dyDescent="0.3">
      <c r="A604" s="193" t="e">
        <f ca="1"/>
        <v>#NAME?</v>
      </c>
      <c r="B604" s="46" t="s">
        <v>1228</v>
      </c>
      <c r="C604" s="170"/>
      <c r="D604" s="194"/>
      <c r="E604" s="170"/>
      <c r="F604" s="170"/>
      <c r="G604" s="170"/>
      <c r="H604" s="206"/>
      <c r="I604" s="170"/>
      <c r="J604" s="46" t="s">
        <v>854</v>
      </c>
      <c r="K604" s="237"/>
      <c r="L604" s="288">
        <v>35</v>
      </c>
      <c r="M604" s="289">
        <v>1</v>
      </c>
      <c r="N604" s="290">
        <v>20</v>
      </c>
      <c r="O604" s="46"/>
      <c r="P604" s="46" t="s">
        <v>32</v>
      </c>
      <c r="Q604" s="12"/>
      <c r="R604" s="192" t="str">
        <f t="shared" si="21"/>
        <v>20ml</v>
      </c>
      <c r="S604" s="198">
        <f t="shared" si="22"/>
        <v>20</v>
      </c>
      <c r="T604" s="199" t="str">
        <f t="shared" si="23"/>
        <v>20ml</v>
      </c>
      <c r="U604" s="200">
        <f t="shared" si="24"/>
        <v>35</v>
      </c>
      <c r="V604" s="12"/>
      <c r="W604" s="12"/>
    </row>
    <row r="605" spans="1:23" x14ac:dyDescent="0.3">
      <c r="A605" s="193" t="e">
        <f ca="1"/>
        <v>#NAME?</v>
      </c>
      <c r="B605" s="219" t="s">
        <v>1228</v>
      </c>
      <c r="C605" s="170"/>
      <c r="D605" s="194"/>
      <c r="E605" s="194"/>
      <c r="F605" s="170"/>
      <c r="G605" s="170"/>
      <c r="H605" s="183"/>
      <c r="I605" s="170"/>
      <c r="J605" s="46" t="s">
        <v>854</v>
      </c>
      <c r="K605" s="237"/>
      <c r="L605" s="291">
        <v>38.5</v>
      </c>
      <c r="M605" s="292">
        <v>1</v>
      </c>
      <c r="N605" s="293">
        <v>20</v>
      </c>
      <c r="O605" s="219"/>
      <c r="P605" s="219" t="s">
        <v>32</v>
      </c>
      <c r="Q605" s="12"/>
      <c r="R605" s="192" t="str">
        <f t="shared" si="21"/>
        <v>20ml</v>
      </c>
      <c r="S605" s="198">
        <f t="shared" si="22"/>
        <v>20</v>
      </c>
      <c r="T605" s="199" t="str">
        <f t="shared" si="23"/>
        <v>20ml</v>
      </c>
      <c r="U605" s="200">
        <f t="shared" si="24"/>
        <v>38.5</v>
      </c>
      <c r="V605" s="12"/>
      <c r="W605" s="12"/>
    </row>
    <row r="606" spans="1:23" x14ac:dyDescent="0.3">
      <c r="A606" s="193" t="e">
        <f ca="1"/>
        <v>#NAME?</v>
      </c>
      <c r="B606" s="219" t="s">
        <v>1228</v>
      </c>
      <c r="C606" s="170"/>
      <c r="D606" s="194"/>
      <c r="E606" s="170"/>
      <c r="F606" s="170"/>
      <c r="G606" s="170"/>
      <c r="H606" s="183"/>
      <c r="I606" s="170"/>
      <c r="J606" s="46" t="s">
        <v>854</v>
      </c>
      <c r="K606" s="237"/>
      <c r="L606" s="291">
        <v>289</v>
      </c>
      <c r="M606" s="292">
        <v>2</v>
      </c>
      <c r="N606" s="293">
        <v>475</v>
      </c>
      <c r="O606" s="219"/>
      <c r="P606" s="219" t="s">
        <v>32</v>
      </c>
      <c r="Q606" s="12"/>
      <c r="R606" s="192" t="str">
        <f t="shared" si="21"/>
        <v>475ml</v>
      </c>
      <c r="S606" s="198">
        <f t="shared" si="22"/>
        <v>950</v>
      </c>
      <c r="T606" s="199" t="str">
        <f t="shared" si="23"/>
        <v>950ml</v>
      </c>
      <c r="U606" s="200">
        <f t="shared" si="24"/>
        <v>578</v>
      </c>
      <c r="V606" s="12"/>
      <c r="W606" s="12"/>
    </row>
    <row r="607" spans="1:23" x14ac:dyDescent="0.3">
      <c r="A607" s="193" t="e">
        <f ca="1"/>
        <v>#NAME?</v>
      </c>
      <c r="B607" s="46" t="s">
        <v>1229</v>
      </c>
      <c r="C607" s="170"/>
      <c r="D607" s="194"/>
      <c r="E607" s="170"/>
      <c r="F607" s="170"/>
      <c r="G607" s="170"/>
      <c r="H607" s="206"/>
      <c r="I607" s="170"/>
      <c r="J607" s="46" t="s">
        <v>854</v>
      </c>
      <c r="K607" s="237"/>
      <c r="L607" s="288">
        <v>48</v>
      </c>
      <c r="M607" s="289">
        <v>1</v>
      </c>
      <c r="N607" s="290">
        <v>20</v>
      </c>
      <c r="O607" s="46"/>
      <c r="P607" s="46" t="s">
        <v>32</v>
      </c>
      <c r="Q607" s="12"/>
      <c r="R607" s="192" t="str">
        <f t="shared" si="21"/>
        <v>20ml</v>
      </c>
      <c r="S607" s="198">
        <f t="shared" si="22"/>
        <v>20</v>
      </c>
      <c r="T607" s="199" t="str">
        <f t="shared" si="23"/>
        <v>20ml</v>
      </c>
      <c r="U607" s="200">
        <f t="shared" si="24"/>
        <v>48</v>
      </c>
      <c r="V607" s="12"/>
      <c r="W607" s="12"/>
    </row>
    <row r="608" spans="1:23" x14ac:dyDescent="0.3">
      <c r="A608" s="193" t="e">
        <f ca="1"/>
        <v>#NAME?</v>
      </c>
      <c r="B608" s="46" t="s">
        <v>1229</v>
      </c>
      <c r="C608" s="170"/>
      <c r="D608" s="194"/>
      <c r="E608" s="170"/>
      <c r="F608" s="170"/>
      <c r="G608" s="170"/>
      <c r="H608" s="183"/>
      <c r="I608" s="170"/>
      <c r="J608" s="46" t="s">
        <v>854</v>
      </c>
      <c r="K608" s="237"/>
      <c r="L608" s="288">
        <v>55</v>
      </c>
      <c r="M608" s="289">
        <v>1</v>
      </c>
      <c r="N608" s="290">
        <v>20</v>
      </c>
      <c r="O608" s="46"/>
      <c r="P608" s="46" t="s">
        <v>32</v>
      </c>
      <c r="Q608" s="12"/>
      <c r="R608" s="192" t="str">
        <f t="shared" si="21"/>
        <v>20ml</v>
      </c>
      <c r="S608" s="198">
        <f t="shared" si="22"/>
        <v>20</v>
      </c>
      <c r="T608" s="199" t="str">
        <f t="shared" si="23"/>
        <v>20ml</v>
      </c>
      <c r="U608" s="200">
        <f t="shared" si="24"/>
        <v>55</v>
      </c>
      <c r="V608" s="12"/>
      <c r="W608" s="12"/>
    </row>
    <row r="609" spans="1:23" x14ac:dyDescent="0.3">
      <c r="A609" s="193" t="e">
        <f ca="1"/>
        <v>#NAME?</v>
      </c>
      <c r="B609" s="46" t="s">
        <v>1229</v>
      </c>
      <c r="C609" s="170"/>
      <c r="D609" s="194"/>
      <c r="E609" s="170"/>
      <c r="F609" s="170"/>
      <c r="G609" s="170"/>
      <c r="H609" s="206"/>
      <c r="I609" s="170"/>
      <c r="J609" s="46" t="s">
        <v>854</v>
      </c>
      <c r="K609" s="237"/>
      <c r="L609" s="291">
        <v>45.75</v>
      </c>
      <c r="M609" s="292">
        <v>6</v>
      </c>
      <c r="N609" s="293">
        <v>20</v>
      </c>
      <c r="O609" s="219"/>
      <c r="P609" s="219" t="s">
        <v>32</v>
      </c>
      <c r="Q609" s="12"/>
      <c r="R609" s="192" t="str">
        <f t="shared" si="21"/>
        <v>20ml</v>
      </c>
      <c r="S609" s="198">
        <f t="shared" si="22"/>
        <v>120</v>
      </c>
      <c r="T609" s="199" t="str">
        <f t="shared" si="23"/>
        <v>120ml</v>
      </c>
      <c r="U609" s="200">
        <f t="shared" si="24"/>
        <v>274.5</v>
      </c>
      <c r="V609" s="12"/>
      <c r="W609" s="12"/>
    </row>
    <row r="610" spans="1:23" x14ac:dyDescent="0.3">
      <c r="A610" s="193" t="e">
        <f ca="1"/>
        <v>#NAME?</v>
      </c>
      <c r="B610" s="46" t="s">
        <v>1230</v>
      </c>
      <c r="C610" s="170"/>
      <c r="D610" s="194"/>
      <c r="E610" s="194"/>
      <c r="F610" s="194"/>
      <c r="G610" s="170"/>
      <c r="H610" s="183"/>
      <c r="I610" s="170"/>
      <c r="J610" s="46" t="s">
        <v>854</v>
      </c>
      <c r="K610" s="237"/>
      <c r="L610" s="288">
        <v>32</v>
      </c>
      <c r="M610" s="289">
        <v>1</v>
      </c>
      <c r="N610" s="290">
        <v>20</v>
      </c>
      <c r="O610" s="46"/>
      <c r="P610" s="46" t="s">
        <v>32</v>
      </c>
      <c r="Q610" s="12"/>
      <c r="R610" s="192" t="str">
        <f t="shared" si="21"/>
        <v>20ml</v>
      </c>
      <c r="S610" s="198">
        <f t="shared" si="22"/>
        <v>20</v>
      </c>
      <c r="T610" s="199" t="str">
        <f t="shared" si="23"/>
        <v>20ml</v>
      </c>
      <c r="U610" s="200">
        <f t="shared" si="24"/>
        <v>32</v>
      </c>
      <c r="V610" s="12"/>
      <c r="W610" s="12"/>
    </row>
    <row r="611" spans="1:23" x14ac:dyDescent="0.3">
      <c r="A611" s="193" t="e">
        <f ca="1"/>
        <v>#NAME?</v>
      </c>
      <c r="B611" s="46" t="s">
        <v>1230</v>
      </c>
      <c r="C611" s="170"/>
      <c r="D611" s="194"/>
      <c r="E611" s="170"/>
      <c r="F611" s="170"/>
      <c r="G611" s="170"/>
      <c r="H611" s="206"/>
      <c r="I611" s="170"/>
      <c r="J611" s="46" t="s">
        <v>854</v>
      </c>
      <c r="K611" s="237"/>
      <c r="L611" s="288">
        <v>55</v>
      </c>
      <c r="M611" s="289">
        <v>1</v>
      </c>
      <c r="N611" s="290">
        <v>20</v>
      </c>
      <c r="O611" s="46"/>
      <c r="P611" s="46" t="s">
        <v>32</v>
      </c>
      <c r="Q611" s="12"/>
      <c r="R611" s="192" t="str">
        <f t="shared" si="21"/>
        <v>20ml</v>
      </c>
      <c r="S611" s="198">
        <f t="shared" si="22"/>
        <v>20</v>
      </c>
      <c r="T611" s="199" t="str">
        <f t="shared" si="23"/>
        <v>20ml</v>
      </c>
      <c r="U611" s="200">
        <f t="shared" si="24"/>
        <v>55</v>
      </c>
      <c r="V611" s="12"/>
      <c r="W611" s="12"/>
    </row>
    <row r="612" spans="1:23" x14ac:dyDescent="0.3">
      <c r="A612" s="193" t="e">
        <f ca="1"/>
        <v>#NAME?</v>
      </c>
      <c r="B612" s="219" t="s">
        <v>1231</v>
      </c>
      <c r="C612" s="170"/>
      <c r="D612" s="194"/>
      <c r="E612" s="170"/>
      <c r="F612" s="170"/>
      <c r="G612" s="170"/>
      <c r="H612" s="206"/>
      <c r="I612" s="170"/>
      <c r="J612" s="46" t="s">
        <v>854</v>
      </c>
      <c r="K612" s="237"/>
      <c r="L612" s="291">
        <v>53</v>
      </c>
      <c r="M612" s="292">
        <v>2</v>
      </c>
      <c r="N612" s="293">
        <v>60</v>
      </c>
      <c r="O612" s="219"/>
      <c r="P612" s="219" t="s">
        <v>32</v>
      </c>
      <c r="Q612" s="12"/>
      <c r="R612" s="192" t="str">
        <f t="shared" si="21"/>
        <v>60ml</v>
      </c>
      <c r="S612" s="198">
        <f t="shared" si="22"/>
        <v>120</v>
      </c>
      <c r="T612" s="199" t="str">
        <f t="shared" si="23"/>
        <v>120ml</v>
      </c>
      <c r="U612" s="200">
        <f t="shared" si="24"/>
        <v>106</v>
      </c>
      <c r="V612" s="12"/>
      <c r="W612" s="12"/>
    </row>
    <row r="613" spans="1:23" x14ac:dyDescent="0.3">
      <c r="A613" s="193" t="e">
        <f ca="1"/>
        <v>#NAME?</v>
      </c>
      <c r="B613" s="219" t="s">
        <v>1232</v>
      </c>
      <c r="C613" s="170"/>
      <c r="D613" s="194"/>
      <c r="E613" s="194"/>
      <c r="F613" s="170"/>
      <c r="G613" s="170"/>
      <c r="H613" s="183"/>
      <c r="I613" s="170"/>
      <c r="J613" s="46" t="s">
        <v>854</v>
      </c>
      <c r="K613" s="237"/>
      <c r="L613" s="291">
        <v>60</v>
      </c>
      <c r="M613" s="292">
        <v>1</v>
      </c>
      <c r="N613" s="293">
        <v>20</v>
      </c>
      <c r="O613" s="219"/>
      <c r="P613" s="219" t="s">
        <v>32</v>
      </c>
      <c r="Q613" s="12"/>
      <c r="R613" s="192" t="str">
        <f t="shared" si="21"/>
        <v>20ml</v>
      </c>
      <c r="S613" s="198">
        <f t="shared" si="22"/>
        <v>20</v>
      </c>
      <c r="T613" s="199" t="str">
        <f t="shared" si="23"/>
        <v>20ml</v>
      </c>
      <c r="U613" s="200">
        <f t="shared" si="24"/>
        <v>60</v>
      </c>
      <c r="V613" s="12"/>
      <c r="W613" s="12"/>
    </row>
    <row r="614" spans="1:23" x14ac:dyDescent="0.3">
      <c r="A614" s="193" t="e">
        <f ca="1"/>
        <v>#NAME?</v>
      </c>
      <c r="B614" s="46" t="s">
        <v>1233</v>
      </c>
      <c r="C614" s="170"/>
      <c r="D614" s="194"/>
      <c r="E614" s="194"/>
      <c r="F614" s="194"/>
      <c r="G614" s="170"/>
      <c r="H614" s="183"/>
      <c r="I614" s="170"/>
      <c r="J614" s="46" t="s">
        <v>1234</v>
      </c>
      <c r="K614" s="237"/>
      <c r="L614" s="288">
        <v>329</v>
      </c>
      <c r="M614" s="289">
        <v>1</v>
      </c>
      <c r="N614" s="290">
        <v>500</v>
      </c>
      <c r="O614" s="46"/>
      <c r="P614" s="46" t="s">
        <v>39</v>
      </c>
      <c r="Q614" s="12"/>
      <c r="R614" s="192" t="str">
        <f t="shared" si="21"/>
        <v>500grams</v>
      </c>
      <c r="S614" s="198">
        <f t="shared" si="22"/>
        <v>500</v>
      </c>
      <c r="T614" s="199" t="str">
        <f t="shared" si="23"/>
        <v>500grams</v>
      </c>
      <c r="U614" s="200">
        <f t="shared" si="24"/>
        <v>329</v>
      </c>
      <c r="V614" s="12"/>
      <c r="W614" s="12"/>
    </row>
    <row r="615" spans="1:23" x14ac:dyDescent="0.3">
      <c r="A615" s="193" t="e">
        <f ca="1"/>
        <v>#NAME?</v>
      </c>
      <c r="B615" s="46" t="s">
        <v>1233</v>
      </c>
      <c r="C615" s="170"/>
      <c r="D615" s="194"/>
      <c r="E615" s="170"/>
      <c r="F615" s="170"/>
      <c r="G615" s="170"/>
      <c r="H615" s="206"/>
      <c r="I615" s="170"/>
      <c r="J615" s="46" t="s">
        <v>854</v>
      </c>
      <c r="K615" s="237"/>
      <c r="L615" s="288">
        <v>55</v>
      </c>
      <c r="M615" s="289">
        <v>1</v>
      </c>
      <c r="N615" s="290">
        <v>20</v>
      </c>
      <c r="O615" s="46"/>
      <c r="P615" s="46" t="s">
        <v>32</v>
      </c>
      <c r="Q615" s="12"/>
      <c r="R615" s="192" t="str">
        <f t="shared" si="21"/>
        <v>20ml</v>
      </c>
      <c r="S615" s="198">
        <f t="shared" si="22"/>
        <v>20</v>
      </c>
      <c r="T615" s="199" t="str">
        <f t="shared" si="23"/>
        <v>20ml</v>
      </c>
      <c r="U615" s="200">
        <f t="shared" si="24"/>
        <v>55</v>
      </c>
      <c r="V615" s="12"/>
      <c r="W615" s="12"/>
    </row>
    <row r="616" spans="1:23" x14ac:dyDescent="0.3">
      <c r="A616" s="193" t="e">
        <f ca="1"/>
        <v>#NAME?</v>
      </c>
      <c r="B616" s="46" t="s">
        <v>1233</v>
      </c>
      <c r="C616" s="170"/>
      <c r="D616" s="194"/>
      <c r="E616" s="194"/>
      <c r="F616" s="194"/>
      <c r="G616" s="170"/>
      <c r="H616" s="183"/>
      <c r="I616" s="170"/>
      <c r="J616" s="46" t="s">
        <v>854</v>
      </c>
      <c r="K616" s="237"/>
      <c r="L616" s="291">
        <v>45</v>
      </c>
      <c r="M616" s="292">
        <v>2</v>
      </c>
      <c r="N616" s="293">
        <v>20</v>
      </c>
      <c r="O616" s="219"/>
      <c r="P616" s="219" t="s">
        <v>32</v>
      </c>
      <c r="Q616" s="12"/>
      <c r="R616" s="192" t="str">
        <f t="shared" si="21"/>
        <v>20ml</v>
      </c>
      <c r="S616" s="198">
        <f t="shared" si="22"/>
        <v>40</v>
      </c>
      <c r="T616" s="199" t="str">
        <f t="shared" si="23"/>
        <v>40ml</v>
      </c>
      <c r="U616" s="200">
        <f t="shared" si="24"/>
        <v>90</v>
      </c>
      <c r="V616" s="62"/>
      <c r="W616" s="12"/>
    </row>
    <row r="617" spans="1:23" x14ac:dyDescent="0.3">
      <c r="A617" s="193" t="e">
        <f ca="1"/>
        <v>#NAME?</v>
      </c>
      <c r="B617" s="46" t="s">
        <v>1235</v>
      </c>
      <c r="C617" s="170"/>
      <c r="D617" s="194"/>
      <c r="E617" s="194"/>
      <c r="F617" s="194"/>
      <c r="G617" s="170"/>
      <c r="H617" s="183"/>
      <c r="I617" s="170"/>
      <c r="J617" s="46" t="s">
        <v>1236</v>
      </c>
      <c r="K617" s="237"/>
      <c r="L617" s="288">
        <v>175</v>
      </c>
      <c r="M617" s="289">
        <v>2</v>
      </c>
      <c r="N617" s="290">
        <v>1000</v>
      </c>
      <c r="O617" s="46"/>
      <c r="P617" s="46" t="s">
        <v>39</v>
      </c>
      <c r="Q617" s="12"/>
      <c r="R617" s="192" t="str">
        <f t="shared" si="21"/>
        <v>1000grams</v>
      </c>
      <c r="S617" s="198">
        <f t="shared" si="22"/>
        <v>2000</v>
      </c>
      <c r="T617" s="199" t="str">
        <f t="shared" si="23"/>
        <v>2000grams</v>
      </c>
      <c r="U617" s="200">
        <f t="shared" si="24"/>
        <v>350</v>
      </c>
      <c r="V617" s="12"/>
      <c r="W617" s="12"/>
    </row>
    <row r="618" spans="1:23" x14ac:dyDescent="0.3">
      <c r="A618" s="193" t="e">
        <f ca="1"/>
        <v>#NAME?</v>
      </c>
      <c r="B618" s="46" t="s">
        <v>1235</v>
      </c>
      <c r="C618" s="170"/>
      <c r="D618" s="194"/>
      <c r="E618" s="170"/>
      <c r="F618" s="170"/>
      <c r="G618" s="170"/>
      <c r="H618" s="206"/>
      <c r="I618" s="170"/>
      <c r="J618" s="46" t="s">
        <v>1236</v>
      </c>
      <c r="K618" s="237"/>
      <c r="L618" s="288">
        <v>179</v>
      </c>
      <c r="M618" s="289">
        <v>3</v>
      </c>
      <c r="N618" s="290">
        <v>1000</v>
      </c>
      <c r="O618" s="46"/>
      <c r="P618" s="46" t="s">
        <v>39</v>
      </c>
      <c r="Q618" s="12"/>
      <c r="R618" s="192" t="str">
        <f t="shared" si="21"/>
        <v>1000grams</v>
      </c>
      <c r="S618" s="198">
        <f t="shared" si="22"/>
        <v>3000</v>
      </c>
      <c r="T618" s="199" t="str">
        <f t="shared" si="23"/>
        <v>3000grams</v>
      </c>
      <c r="U618" s="200">
        <f t="shared" si="24"/>
        <v>537</v>
      </c>
      <c r="V618" s="12"/>
      <c r="W618" s="12"/>
    </row>
    <row r="619" spans="1:23" x14ac:dyDescent="0.3">
      <c r="A619" s="193" t="e">
        <f ca="1"/>
        <v>#NAME?</v>
      </c>
      <c r="B619" s="46" t="s">
        <v>1237</v>
      </c>
      <c r="C619" s="170"/>
      <c r="D619" s="194"/>
      <c r="E619" s="194"/>
      <c r="F619" s="170"/>
      <c r="G619" s="170"/>
      <c r="H619" s="183"/>
      <c r="I619" s="170"/>
      <c r="J619" s="46" t="s">
        <v>1238</v>
      </c>
      <c r="K619" s="237"/>
      <c r="L619" s="288">
        <v>193</v>
      </c>
      <c r="M619" s="289">
        <v>2</v>
      </c>
      <c r="N619" s="290">
        <v>1000</v>
      </c>
      <c r="O619" s="60"/>
      <c r="P619" s="60" t="s">
        <v>39</v>
      </c>
      <c r="Q619" s="12"/>
      <c r="R619" s="192" t="str">
        <f t="shared" si="21"/>
        <v>1000grams</v>
      </c>
      <c r="S619" s="198">
        <f t="shared" si="22"/>
        <v>2000</v>
      </c>
      <c r="T619" s="199" t="str">
        <f t="shared" si="23"/>
        <v>2000grams</v>
      </c>
      <c r="U619" s="200">
        <f t="shared" si="24"/>
        <v>386</v>
      </c>
      <c r="V619" s="12"/>
      <c r="W619" s="12"/>
    </row>
    <row r="620" spans="1:23" x14ac:dyDescent="0.3">
      <c r="A620" s="193" t="e">
        <f ca="1"/>
        <v>#NAME?</v>
      </c>
      <c r="B620" s="46" t="s">
        <v>1239</v>
      </c>
      <c r="C620" s="170"/>
      <c r="D620" s="194"/>
      <c r="E620" s="170"/>
      <c r="F620" s="170"/>
      <c r="G620" s="170"/>
      <c r="H620" s="206"/>
      <c r="I620" s="170"/>
      <c r="J620" s="170"/>
      <c r="K620" s="237"/>
      <c r="L620" s="288">
        <v>145</v>
      </c>
      <c r="M620" s="289">
        <v>1</v>
      </c>
      <c r="N620" s="290">
        <v>1</v>
      </c>
      <c r="O620" s="46"/>
      <c r="P620" s="46" t="s">
        <v>213</v>
      </c>
      <c r="Q620" s="12"/>
      <c r="R620" s="192" t="str">
        <f t="shared" si="21"/>
        <v>1kilos</v>
      </c>
      <c r="S620" s="198">
        <f t="shared" si="22"/>
        <v>1</v>
      </c>
      <c r="T620" s="199" t="str">
        <f t="shared" si="23"/>
        <v>1kilos</v>
      </c>
      <c r="U620" s="200">
        <f t="shared" si="24"/>
        <v>145</v>
      </c>
      <c r="V620" s="12"/>
      <c r="W620" s="12"/>
    </row>
    <row r="621" spans="1:23" x14ac:dyDescent="0.3">
      <c r="A621" s="193" t="e">
        <f ca="1"/>
        <v>#NAME?</v>
      </c>
      <c r="B621" s="46" t="s">
        <v>1239</v>
      </c>
      <c r="C621" s="170"/>
      <c r="D621" s="194"/>
      <c r="E621" s="194"/>
      <c r="F621" s="170"/>
      <c r="G621" s="170"/>
      <c r="H621" s="183"/>
      <c r="I621" s="170"/>
      <c r="J621" s="46" t="s">
        <v>912</v>
      </c>
      <c r="K621" s="237"/>
      <c r="L621" s="288">
        <v>180</v>
      </c>
      <c r="M621" s="289">
        <v>1</v>
      </c>
      <c r="N621" s="290">
        <v>1000</v>
      </c>
      <c r="O621" s="46"/>
      <c r="P621" s="46" t="s">
        <v>39</v>
      </c>
      <c r="Q621" s="12"/>
      <c r="R621" s="192" t="str">
        <f t="shared" si="21"/>
        <v>1000grams</v>
      </c>
      <c r="S621" s="198">
        <f t="shared" si="22"/>
        <v>1000</v>
      </c>
      <c r="T621" s="199" t="str">
        <f t="shared" si="23"/>
        <v>1000grams</v>
      </c>
      <c r="U621" s="200">
        <f t="shared" si="24"/>
        <v>180</v>
      </c>
      <c r="V621" s="12"/>
      <c r="W621" s="12"/>
    </row>
    <row r="622" spans="1:23" x14ac:dyDescent="0.3">
      <c r="A622" s="193" t="e">
        <f ca="1"/>
        <v>#NAME?</v>
      </c>
      <c r="B622" s="46" t="s">
        <v>175</v>
      </c>
      <c r="C622" s="170"/>
      <c r="D622" s="194"/>
      <c r="E622" s="194"/>
      <c r="F622" s="194"/>
      <c r="G622" s="170"/>
      <c r="H622" s="183"/>
      <c r="I622" s="170"/>
      <c r="J622" s="46" t="s">
        <v>1240</v>
      </c>
      <c r="K622" s="237"/>
      <c r="L622" s="288">
        <v>166.49</v>
      </c>
      <c r="M622" s="289">
        <v>3</v>
      </c>
      <c r="N622" s="290">
        <v>3033</v>
      </c>
      <c r="O622" s="46"/>
      <c r="P622" s="46" t="s">
        <v>39</v>
      </c>
      <c r="Q622" s="12"/>
      <c r="R622" s="192" t="str">
        <f t="shared" si="21"/>
        <v>3033grams</v>
      </c>
      <c r="S622" s="198">
        <f t="shared" si="22"/>
        <v>9099</v>
      </c>
      <c r="T622" s="199" t="str">
        <f t="shared" si="23"/>
        <v>9099grams</v>
      </c>
      <c r="U622" s="200">
        <f t="shared" si="24"/>
        <v>499.47</v>
      </c>
      <c r="V622" s="12"/>
      <c r="W622" s="12"/>
    </row>
    <row r="623" spans="1:23" x14ac:dyDescent="0.3">
      <c r="A623" s="193" t="e">
        <f ca="1"/>
        <v>#NAME?</v>
      </c>
      <c r="B623" s="46" t="s">
        <v>175</v>
      </c>
      <c r="C623" s="170"/>
      <c r="D623" s="194"/>
      <c r="E623" s="170"/>
      <c r="F623" s="170"/>
      <c r="G623" s="170"/>
      <c r="H623" s="206"/>
      <c r="I623" s="170"/>
      <c r="J623" s="46" t="s">
        <v>1240</v>
      </c>
      <c r="K623" s="237"/>
      <c r="L623" s="288">
        <v>89.5</v>
      </c>
      <c r="M623" s="289">
        <v>2</v>
      </c>
      <c r="N623" s="290">
        <v>422</v>
      </c>
      <c r="O623" s="46"/>
      <c r="P623" s="46" t="s">
        <v>519</v>
      </c>
      <c r="Q623" s="12"/>
      <c r="R623" s="192" t="str">
        <f t="shared" si="21"/>
        <v>422drained weight grams</v>
      </c>
      <c r="S623" s="198">
        <f t="shared" si="22"/>
        <v>844</v>
      </c>
      <c r="T623" s="199" t="str">
        <f t="shared" si="23"/>
        <v>844drained weight grams</v>
      </c>
      <c r="U623" s="200">
        <f t="shared" si="24"/>
        <v>179</v>
      </c>
      <c r="V623" s="12"/>
      <c r="W623" s="12"/>
    </row>
    <row r="624" spans="1:23" x14ac:dyDescent="0.3">
      <c r="A624" s="193" t="e">
        <f ca="1"/>
        <v>#NAME?</v>
      </c>
      <c r="B624" s="46" t="s">
        <v>175</v>
      </c>
      <c r="C624" s="170"/>
      <c r="D624" s="194"/>
      <c r="E624" s="194"/>
      <c r="F624" s="170"/>
      <c r="G624" s="170"/>
      <c r="H624" s="183"/>
      <c r="I624" s="170"/>
      <c r="J624" s="46" t="s">
        <v>1241</v>
      </c>
      <c r="K624" s="237"/>
      <c r="L624" s="288">
        <v>69</v>
      </c>
      <c r="M624" s="289">
        <v>5</v>
      </c>
      <c r="N624" s="290">
        <v>266</v>
      </c>
      <c r="O624" s="46"/>
      <c r="P624" s="46" t="s">
        <v>39</v>
      </c>
      <c r="Q624" s="12"/>
      <c r="R624" s="192" t="str">
        <f t="shared" si="21"/>
        <v>266grams</v>
      </c>
      <c r="S624" s="198">
        <f t="shared" si="22"/>
        <v>1330</v>
      </c>
      <c r="T624" s="199" t="str">
        <f t="shared" si="23"/>
        <v>1330grams</v>
      </c>
      <c r="U624" s="200">
        <f t="shared" si="24"/>
        <v>345</v>
      </c>
      <c r="V624" s="205">
        <f>U624/M624</f>
        <v>69</v>
      </c>
      <c r="W624" s="62"/>
    </row>
    <row r="625" spans="1:23" x14ac:dyDescent="0.3">
      <c r="A625" s="193" t="e">
        <f ca="1"/>
        <v>#NAME?</v>
      </c>
      <c r="B625" s="46" t="s">
        <v>175</v>
      </c>
      <c r="C625" s="170"/>
      <c r="D625" s="194"/>
      <c r="E625" s="194"/>
      <c r="F625" s="194"/>
      <c r="G625" s="170"/>
      <c r="H625" s="183"/>
      <c r="I625" s="170"/>
      <c r="J625" s="46" t="s">
        <v>1241</v>
      </c>
      <c r="K625" s="237"/>
      <c r="L625" s="288">
        <v>309</v>
      </c>
      <c r="M625" s="289">
        <v>6</v>
      </c>
      <c r="N625" s="290">
        <v>3033</v>
      </c>
      <c r="O625" s="46"/>
      <c r="P625" s="46" t="s">
        <v>39</v>
      </c>
      <c r="Q625" s="12"/>
      <c r="R625" s="192" t="str">
        <f t="shared" si="21"/>
        <v>3033grams</v>
      </c>
      <c r="S625" s="198">
        <f t="shared" si="22"/>
        <v>18198</v>
      </c>
      <c r="T625" s="199" t="str">
        <f t="shared" si="23"/>
        <v>18198grams</v>
      </c>
      <c r="U625" s="200">
        <f t="shared" si="24"/>
        <v>1854</v>
      </c>
      <c r="V625" s="12"/>
      <c r="W625" s="12"/>
    </row>
    <row r="626" spans="1:23" x14ac:dyDescent="0.3">
      <c r="A626" s="193" t="e">
        <f ca="1"/>
        <v>#NAME?</v>
      </c>
      <c r="B626" s="46" t="s">
        <v>1242</v>
      </c>
      <c r="C626" s="170"/>
      <c r="D626" s="194"/>
      <c r="E626" s="194"/>
      <c r="F626" s="194"/>
      <c r="G626" s="170"/>
      <c r="H626" s="183"/>
      <c r="I626" s="170"/>
      <c r="J626" s="170"/>
      <c r="K626" s="237"/>
      <c r="L626" s="288">
        <v>35</v>
      </c>
      <c r="M626" s="289">
        <v>3</v>
      </c>
      <c r="N626" s="290">
        <v>1000</v>
      </c>
      <c r="O626" s="46"/>
      <c r="P626" s="46" t="s">
        <v>39</v>
      </c>
      <c r="Q626" s="12"/>
      <c r="R626" s="192" t="str">
        <f t="shared" si="21"/>
        <v>1000grams</v>
      </c>
      <c r="S626" s="198">
        <f t="shared" si="22"/>
        <v>3000</v>
      </c>
      <c r="T626" s="199" t="str">
        <f t="shared" si="23"/>
        <v>3000grams</v>
      </c>
      <c r="U626" s="200">
        <f t="shared" si="24"/>
        <v>105</v>
      </c>
      <c r="V626" s="12"/>
      <c r="W626" s="12"/>
    </row>
    <row r="627" spans="1:23" x14ac:dyDescent="0.3">
      <c r="A627" s="193" t="e">
        <f ca="1"/>
        <v>#NAME?</v>
      </c>
      <c r="B627" s="46" t="s">
        <v>1243</v>
      </c>
      <c r="C627" s="170"/>
      <c r="D627" s="194"/>
      <c r="E627" s="194"/>
      <c r="F627" s="194"/>
      <c r="G627" s="170"/>
      <c r="H627" s="183"/>
      <c r="I627" s="170"/>
      <c r="J627" s="170"/>
      <c r="K627" s="237"/>
      <c r="L627" s="288">
        <v>320</v>
      </c>
      <c r="M627" s="289">
        <v>7</v>
      </c>
      <c r="N627" s="290">
        <v>1</v>
      </c>
      <c r="O627" s="46"/>
      <c r="P627" s="46" t="s">
        <v>213</v>
      </c>
      <c r="Q627" s="12"/>
      <c r="R627" s="192" t="str">
        <f t="shared" si="21"/>
        <v>1kilos</v>
      </c>
      <c r="S627" s="198">
        <f t="shared" si="22"/>
        <v>7</v>
      </c>
      <c r="T627" s="199" t="str">
        <f t="shared" si="23"/>
        <v>7kilos</v>
      </c>
      <c r="U627" s="200">
        <f t="shared" si="24"/>
        <v>2240</v>
      </c>
      <c r="V627" s="12"/>
      <c r="W627" s="12"/>
    </row>
    <row r="628" spans="1:23" x14ac:dyDescent="0.3">
      <c r="A628" s="193" t="e">
        <f ca="1"/>
        <v>#NAME?</v>
      </c>
      <c r="B628" s="46" t="s">
        <v>1243</v>
      </c>
      <c r="C628" s="170"/>
      <c r="D628" s="194"/>
      <c r="E628" s="170"/>
      <c r="F628" s="170"/>
      <c r="G628" s="170"/>
      <c r="H628" s="206"/>
      <c r="I628" s="170"/>
      <c r="J628" s="170"/>
      <c r="K628" s="237"/>
      <c r="L628" s="288">
        <v>320</v>
      </c>
      <c r="M628" s="289">
        <v>4</v>
      </c>
      <c r="N628" s="290">
        <v>1</v>
      </c>
      <c r="O628" s="46"/>
      <c r="P628" s="46" t="s">
        <v>213</v>
      </c>
      <c r="Q628" s="12"/>
      <c r="R628" s="192" t="str">
        <f t="shared" si="21"/>
        <v>1kilos</v>
      </c>
      <c r="S628" s="198">
        <f t="shared" si="22"/>
        <v>4</v>
      </c>
      <c r="T628" s="199" t="str">
        <f t="shared" si="23"/>
        <v>4kilos</v>
      </c>
      <c r="U628" s="200">
        <f t="shared" si="24"/>
        <v>1280</v>
      </c>
      <c r="V628" s="12"/>
      <c r="W628" s="12"/>
    </row>
    <row r="629" spans="1:23" x14ac:dyDescent="0.3">
      <c r="A629" s="193" t="e">
        <f ca="1"/>
        <v>#NAME?</v>
      </c>
      <c r="B629" s="46" t="s">
        <v>1243</v>
      </c>
      <c r="C629" s="170"/>
      <c r="D629" s="194"/>
      <c r="E629" s="170"/>
      <c r="F629" s="170"/>
      <c r="G629" s="170"/>
      <c r="H629" s="183"/>
      <c r="I629" s="170"/>
      <c r="J629" s="170"/>
      <c r="K629" s="237"/>
      <c r="L629" s="288">
        <v>250</v>
      </c>
      <c r="M629" s="289">
        <v>2</v>
      </c>
      <c r="N629" s="290">
        <v>1000</v>
      </c>
      <c r="O629" s="46"/>
      <c r="P629" s="46" t="s">
        <v>39</v>
      </c>
      <c r="Q629" s="12"/>
      <c r="R629" s="192" t="str">
        <f t="shared" si="21"/>
        <v>1000grams</v>
      </c>
      <c r="S629" s="198">
        <f t="shared" si="22"/>
        <v>2000</v>
      </c>
      <c r="T629" s="199" t="str">
        <f t="shared" si="23"/>
        <v>2000grams</v>
      </c>
      <c r="U629" s="200">
        <f t="shared" si="24"/>
        <v>500</v>
      </c>
      <c r="V629" s="12"/>
      <c r="W629" s="12"/>
    </row>
    <row r="630" spans="1:23" x14ac:dyDescent="0.3">
      <c r="A630" s="193" t="e">
        <f ca="1"/>
        <v>#NAME?</v>
      </c>
      <c r="B630" s="46" t="s">
        <v>177</v>
      </c>
      <c r="C630" s="170"/>
      <c r="D630" s="194"/>
      <c r="E630" s="194"/>
      <c r="F630" s="170"/>
      <c r="G630" s="170"/>
      <c r="H630" s="183"/>
      <c r="I630" s="170"/>
      <c r="J630" s="46" t="s">
        <v>959</v>
      </c>
      <c r="K630" s="237"/>
      <c r="L630" s="288">
        <v>27.2</v>
      </c>
      <c r="M630" s="289">
        <v>3</v>
      </c>
      <c r="N630" s="290">
        <v>113</v>
      </c>
      <c r="O630" s="46"/>
      <c r="P630" s="46" t="s">
        <v>39</v>
      </c>
      <c r="Q630" s="12"/>
      <c r="R630" s="192" t="str">
        <f t="shared" si="21"/>
        <v>113grams</v>
      </c>
      <c r="S630" s="198">
        <f t="shared" si="22"/>
        <v>339</v>
      </c>
      <c r="T630" s="199" t="str">
        <f t="shared" si="23"/>
        <v>339grams</v>
      </c>
      <c r="U630" s="200">
        <f t="shared" si="24"/>
        <v>81.599999999999994</v>
      </c>
      <c r="V630" s="12"/>
      <c r="W630" s="12"/>
    </row>
    <row r="631" spans="1:23" x14ac:dyDescent="0.3">
      <c r="A631" s="193" t="e">
        <f ca="1"/>
        <v>#NAME?</v>
      </c>
      <c r="B631" s="46" t="s">
        <v>177</v>
      </c>
      <c r="C631" s="170"/>
      <c r="D631" s="194"/>
      <c r="E631" s="194"/>
      <c r="F631" s="170"/>
      <c r="G631" s="170"/>
      <c r="H631" s="183"/>
      <c r="I631" s="170"/>
      <c r="J631" s="46" t="s">
        <v>959</v>
      </c>
      <c r="K631" s="237"/>
      <c r="L631" s="288">
        <v>47.2</v>
      </c>
      <c r="M631" s="289">
        <v>6</v>
      </c>
      <c r="N631" s="290">
        <v>225</v>
      </c>
      <c r="O631" s="46"/>
      <c r="P631" s="46" t="s">
        <v>519</v>
      </c>
      <c r="Q631" s="12"/>
      <c r="R631" s="192" t="str">
        <f t="shared" si="21"/>
        <v>225drained weight grams</v>
      </c>
      <c r="S631" s="198">
        <f t="shared" si="22"/>
        <v>1350</v>
      </c>
      <c r="T631" s="199" t="str">
        <f t="shared" si="23"/>
        <v>1350drained weight grams</v>
      </c>
      <c r="U631" s="200">
        <f t="shared" si="24"/>
        <v>283.20000000000005</v>
      </c>
      <c r="V631" s="12"/>
      <c r="W631" s="12"/>
    </row>
    <row r="632" spans="1:23" x14ac:dyDescent="0.3">
      <c r="A632" s="193" t="e">
        <f ca="1"/>
        <v>#NAME?</v>
      </c>
      <c r="B632" s="46" t="s">
        <v>177</v>
      </c>
      <c r="C632" s="170"/>
      <c r="D632" s="194"/>
      <c r="E632" s="194"/>
      <c r="F632" s="170"/>
      <c r="G632" s="170"/>
      <c r="H632" s="183"/>
      <c r="I632" s="170"/>
      <c r="J632" s="46" t="s">
        <v>959</v>
      </c>
      <c r="K632" s="237"/>
      <c r="L632" s="288">
        <v>27.2</v>
      </c>
      <c r="M632" s="289">
        <v>2</v>
      </c>
      <c r="N632" s="290">
        <v>113</v>
      </c>
      <c r="O632" s="46"/>
      <c r="P632" s="46" t="s">
        <v>519</v>
      </c>
      <c r="Q632" s="12"/>
      <c r="R632" s="192" t="str">
        <f t="shared" si="21"/>
        <v>113drained weight grams</v>
      </c>
      <c r="S632" s="198">
        <f t="shared" si="22"/>
        <v>226</v>
      </c>
      <c r="T632" s="199" t="str">
        <f t="shared" si="23"/>
        <v>226drained weight grams</v>
      </c>
      <c r="U632" s="200">
        <f t="shared" si="24"/>
        <v>54.4</v>
      </c>
      <c r="V632" s="12"/>
      <c r="W632" s="12"/>
    </row>
    <row r="633" spans="1:23" x14ac:dyDescent="0.3">
      <c r="A633" s="193" t="e">
        <f ca="1"/>
        <v>#NAME?</v>
      </c>
      <c r="B633" s="46" t="s">
        <v>177</v>
      </c>
      <c r="C633" s="170"/>
      <c r="D633" s="194"/>
      <c r="E633" s="170"/>
      <c r="F633" s="170"/>
      <c r="G633" s="170"/>
      <c r="H633" s="183"/>
      <c r="I633" s="170"/>
      <c r="J633" s="46" t="s">
        <v>1244</v>
      </c>
      <c r="K633" s="237"/>
      <c r="L633" s="288">
        <v>48</v>
      </c>
      <c r="M633" s="289">
        <v>17</v>
      </c>
      <c r="N633" s="290">
        <v>113</v>
      </c>
      <c r="O633" s="46"/>
      <c r="P633" s="46" t="s">
        <v>519</v>
      </c>
      <c r="Q633" s="12"/>
      <c r="R633" s="192" t="str">
        <f t="shared" si="21"/>
        <v>113drained weight grams</v>
      </c>
      <c r="S633" s="198">
        <f t="shared" si="22"/>
        <v>1921</v>
      </c>
      <c r="T633" s="199" t="str">
        <f t="shared" si="23"/>
        <v>1921drained weight grams</v>
      </c>
      <c r="U633" s="200">
        <f t="shared" si="24"/>
        <v>816</v>
      </c>
      <c r="V633" s="205">
        <f t="shared" ref="V633:V634" si="26">U633/M633</f>
        <v>48</v>
      </c>
      <c r="W633" s="62"/>
    </row>
    <row r="634" spans="1:23" x14ac:dyDescent="0.3">
      <c r="A634" s="193" t="e">
        <f ca="1"/>
        <v>#NAME?</v>
      </c>
      <c r="B634" s="46" t="s">
        <v>177</v>
      </c>
      <c r="C634" s="170"/>
      <c r="D634" s="194"/>
      <c r="E634" s="194"/>
      <c r="F634" s="194"/>
      <c r="G634" s="170"/>
      <c r="H634" s="183"/>
      <c r="I634" s="170"/>
      <c r="J634" s="46" t="s">
        <v>959</v>
      </c>
      <c r="K634" s="237"/>
      <c r="L634" s="288">
        <v>47.2</v>
      </c>
      <c r="M634" s="289">
        <v>2</v>
      </c>
      <c r="N634" s="290">
        <v>450</v>
      </c>
      <c r="O634" s="46"/>
      <c r="P634" s="46" t="s">
        <v>39</v>
      </c>
      <c r="Q634" s="12"/>
      <c r="R634" s="192" t="str">
        <f t="shared" si="21"/>
        <v>450grams</v>
      </c>
      <c r="S634" s="198">
        <f t="shared" si="22"/>
        <v>900</v>
      </c>
      <c r="T634" s="199" t="str">
        <f t="shared" si="23"/>
        <v>900grams</v>
      </c>
      <c r="U634" s="200">
        <f t="shared" si="24"/>
        <v>94.4</v>
      </c>
      <c r="V634" s="205">
        <f t="shared" si="26"/>
        <v>47.2</v>
      </c>
      <c r="W634" s="62"/>
    </row>
    <row r="635" spans="1:23" x14ac:dyDescent="0.3">
      <c r="A635" s="193" t="e">
        <f ca="1"/>
        <v>#NAME?</v>
      </c>
      <c r="B635" s="219" t="s">
        <v>177</v>
      </c>
      <c r="C635" s="215"/>
      <c r="D635" s="194"/>
      <c r="E635" s="214"/>
      <c r="F635" s="214"/>
      <c r="G635" s="215"/>
      <c r="H635" s="183"/>
      <c r="I635" s="170"/>
      <c r="J635" s="219" t="s">
        <v>865</v>
      </c>
      <c r="K635" s="237"/>
      <c r="L635" s="291">
        <v>28.5</v>
      </c>
      <c r="M635" s="292">
        <v>3</v>
      </c>
      <c r="N635" s="293">
        <v>225</v>
      </c>
      <c r="O635" s="219"/>
      <c r="P635" s="219" t="s">
        <v>39</v>
      </c>
      <c r="Q635" s="12"/>
      <c r="R635" s="192" t="str">
        <f t="shared" si="21"/>
        <v>225grams</v>
      </c>
      <c r="S635" s="198">
        <f t="shared" si="22"/>
        <v>675</v>
      </c>
      <c r="T635" s="199" t="str">
        <f t="shared" si="23"/>
        <v>675grams</v>
      </c>
      <c r="U635" s="200">
        <f t="shared" si="24"/>
        <v>85.5</v>
      </c>
      <c r="V635" s="12"/>
      <c r="W635" s="12"/>
    </row>
    <row r="636" spans="1:23" x14ac:dyDescent="0.3">
      <c r="A636" s="193" t="e">
        <f ca="1"/>
        <v>#NAME?</v>
      </c>
      <c r="B636" s="219" t="s">
        <v>177</v>
      </c>
      <c r="C636" s="170"/>
      <c r="D636" s="194"/>
      <c r="E636" s="170"/>
      <c r="F636" s="170"/>
      <c r="G636" s="170"/>
      <c r="H636" s="206"/>
      <c r="I636" s="170"/>
      <c r="J636" s="219" t="s">
        <v>959</v>
      </c>
      <c r="K636" s="237"/>
      <c r="L636" s="291">
        <v>47.2</v>
      </c>
      <c r="M636" s="292">
        <v>2</v>
      </c>
      <c r="N636" s="293">
        <v>450</v>
      </c>
      <c r="O636" s="219"/>
      <c r="P636" s="219" t="s">
        <v>39</v>
      </c>
      <c r="Q636" s="12"/>
      <c r="R636" s="192" t="str">
        <f t="shared" si="21"/>
        <v>450grams</v>
      </c>
      <c r="S636" s="198">
        <f t="shared" si="22"/>
        <v>900</v>
      </c>
      <c r="T636" s="199" t="str">
        <f t="shared" si="23"/>
        <v>900grams</v>
      </c>
      <c r="U636" s="200">
        <f t="shared" si="24"/>
        <v>94.4</v>
      </c>
      <c r="V636" s="12"/>
      <c r="W636" s="12"/>
    </row>
    <row r="637" spans="1:23" x14ac:dyDescent="0.3">
      <c r="A637" s="193" t="e">
        <f ca="1"/>
        <v>#NAME?</v>
      </c>
      <c r="B637" s="46" t="s">
        <v>452</v>
      </c>
      <c r="C637" s="170"/>
      <c r="D637" s="194"/>
      <c r="E637" s="170"/>
      <c r="F637" s="170"/>
      <c r="G637" s="170"/>
      <c r="H637" s="206"/>
      <c r="I637" s="170"/>
      <c r="J637" s="170"/>
      <c r="K637" s="237"/>
      <c r="L637" s="288">
        <v>140</v>
      </c>
      <c r="M637" s="289">
        <v>1</v>
      </c>
      <c r="N637" s="290">
        <v>1</v>
      </c>
      <c r="O637" s="46"/>
      <c r="P637" s="46" t="s">
        <v>213</v>
      </c>
      <c r="Q637" s="12"/>
      <c r="R637" s="192" t="str">
        <f t="shared" si="21"/>
        <v>1kilos</v>
      </c>
      <c r="S637" s="198">
        <f t="shared" si="22"/>
        <v>1</v>
      </c>
      <c r="T637" s="199" t="str">
        <f t="shared" si="23"/>
        <v>1kilos</v>
      </c>
      <c r="U637" s="200">
        <f t="shared" si="24"/>
        <v>140</v>
      </c>
      <c r="V637" s="12"/>
      <c r="W637" s="12"/>
    </row>
    <row r="638" spans="1:23" x14ac:dyDescent="0.3">
      <c r="A638" s="193" t="e">
        <f ca="1"/>
        <v>#NAME?</v>
      </c>
      <c r="B638" s="46" t="s">
        <v>452</v>
      </c>
      <c r="C638" s="170"/>
      <c r="D638" s="194"/>
      <c r="E638" s="170"/>
      <c r="F638" s="170"/>
      <c r="G638" s="170"/>
      <c r="H638" s="206"/>
      <c r="I638" s="170"/>
      <c r="J638" s="170"/>
      <c r="K638" s="237"/>
      <c r="L638" s="288">
        <v>170</v>
      </c>
      <c r="M638" s="289">
        <v>1</v>
      </c>
      <c r="N638" s="290">
        <v>1000</v>
      </c>
      <c r="O638" s="46"/>
      <c r="P638" s="46" t="s">
        <v>39</v>
      </c>
      <c r="Q638" s="12"/>
      <c r="R638" s="192" t="str">
        <f t="shared" si="21"/>
        <v>1000grams</v>
      </c>
      <c r="S638" s="198">
        <f t="shared" si="22"/>
        <v>1000</v>
      </c>
      <c r="T638" s="199" t="str">
        <f t="shared" si="23"/>
        <v>1000grams</v>
      </c>
      <c r="U638" s="200">
        <f t="shared" si="24"/>
        <v>170</v>
      </c>
      <c r="V638" s="12"/>
      <c r="W638" s="12"/>
    </row>
    <row r="639" spans="1:23" x14ac:dyDescent="0.3">
      <c r="A639" s="193" t="e">
        <f ca="1"/>
        <v>#NAME?</v>
      </c>
      <c r="B639" s="46" t="s">
        <v>1245</v>
      </c>
      <c r="C639" s="170"/>
      <c r="D639" s="194"/>
      <c r="E639" s="170"/>
      <c r="F639" s="170"/>
      <c r="G639" s="170"/>
      <c r="H639" s="206"/>
      <c r="I639" s="170"/>
      <c r="J639" s="46" t="s">
        <v>854</v>
      </c>
      <c r="K639" s="237"/>
      <c r="L639" s="288">
        <v>6</v>
      </c>
      <c r="M639" s="289">
        <v>5</v>
      </c>
      <c r="N639" s="290">
        <v>1</v>
      </c>
      <c r="O639" s="46"/>
      <c r="P639" s="46" t="s">
        <v>92</v>
      </c>
      <c r="Q639" s="12"/>
      <c r="R639" s="192" t="str">
        <f t="shared" si="21"/>
        <v>1pieces</v>
      </c>
      <c r="S639" s="198">
        <f t="shared" si="22"/>
        <v>5</v>
      </c>
      <c r="T639" s="199" t="str">
        <f t="shared" si="23"/>
        <v>5pieces</v>
      </c>
      <c r="U639" s="200">
        <f t="shared" si="24"/>
        <v>30</v>
      </c>
      <c r="V639" s="12"/>
      <c r="W639" s="12"/>
    </row>
    <row r="640" spans="1:23" x14ac:dyDescent="0.3">
      <c r="A640" s="193" t="e">
        <f ca="1"/>
        <v>#NAME?</v>
      </c>
      <c r="B640" s="46" t="s">
        <v>257</v>
      </c>
      <c r="C640" s="170"/>
      <c r="D640" s="194"/>
      <c r="E640" s="194"/>
      <c r="F640" s="194"/>
      <c r="G640" s="170"/>
      <c r="H640" s="183"/>
      <c r="I640" s="170"/>
      <c r="J640" s="46" t="s">
        <v>854</v>
      </c>
      <c r="K640" s="237"/>
      <c r="L640" s="288">
        <v>780</v>
      </c>
      <c r="M640" s="289">
        <v>1</v>
      </c>
      <c r="N640" s="290">
        <v>1000</v>
      </c>
      <c r="O640" s="46"/>
      <c r="P640" s="46" t="s">
        <v>213</v>
      </c>
      <c r="Q640" s="12"/>
      <c r="R640" s="192" t="str">
        <f t="shared" si="21"/>
        <v>1000kilos</v>
      </c>
      <c r="S640" s="198">
        <f t="shared" si="22"/>
        <v>1000</v>
      </c>
      <c r="T640" s="199" t="str">
        <f t="shared" si="23"/>
        <v>1000kilos</v>
      </c>
      <c r="U640" s="200">
        <f t="shared" si="24"/>
        <v>780</v>
      </c>
      <c r="V640" s="205">
        <f t="shared" ref="V640:V641" si="27">U640/M640</f>
        <v>780</v>
      </c>
      <c r="W640" s="62"/>
    </row>
    <row r="641" spans="1:23" x14ac:dyDescent="0.3">
      <c r="A641" s="193" t="e">
        <f ca="1"/>
        <v>#NAME?</v>
      </c>
      <c r="B641" s="219" t="s">
        <v>1246</v>
      </c>
      <c r="C641" s="170"/>
      <c r="D641" s="194"/>
      <c r="E641" s="194"/>
      <c r="F641" s="170"/>
      <c r="G641" s="170"/>
      <c r="H641" s="183"/>
      <c r="I641" s="170"/>
      <c r="J641" s="219" t="s">
        <v>1247</v>
      </c>
      <c r="K641" s="237"/>
      <c r="L641" s="291">
        <v>15.55</v>
      </c>
      <c r="M641" s="292">
        <v>33</v>
      </c>
      <c r="N641" s="293">
        <v>50</v>
      </c>
      <c r="O641" s="219"/>
      <c r="P641" s="219" t="s">
        <v>39</v>
      </c>
      <c r="Q641" s="12"/>
      <c r="R641" s="192" t="str">
        <f t="shared" si="21"/>
        <v>50grams</v>
      </c>
      <c r="S641" s="198">
        <f t="shared" si="22"/>
        <v>1650</v>
      </c>
      <c r="T641" s="199" t="str">
        <f t="shared" si="23"/>
        <v>1650grams</v>
      </c>
      <c r="U641" s="200">
        <f t="shared" si="24"/>
        <v>513.15</v>
      </c>
      <c r="V641" s="205">
        <f t="shared" si="27"/>
        <v>15.549999999999999</v>
      </c>
      <c r="W641" s="62"/>
    </row>
    <row r="642" spans="1:23" x14ac:dyDescent="0.3">
      <c r="A642" s="193" t="e">
        <f ca="1"/>
        <v>#NAME?</v>
      </c>
      <c r="B642" s="219" t="s">
        <v>617</v>
      </c>
      <c r="C642" s="170"/>
      <c r="D642" s="194"/>
      <c r="E642" s="170"/>
      <c r="F642" s="170"/>
      <c r="G642" s="170"/>
      <c r="H642" s="206"/>
      <c r="I642" s="170"/>
      <c r="J642" s="219" t="s">
        <v>199</v>
      </c>
      <c r="K642" s="237"/>
      <c r="L642" s="291">
        <v>372</v>
      </c>
      <c r="M642" s="292">
        <v>3</v>
      </c>
      <c r="N642" s="293">
        <v>1</v>
      </c>
      <c r="O642" s="219"/>
      <c r="P642" s="219" t="s">
        <v>200</v>
      </c>
      <c r="Q642" s="12"/>
      <c r="R642" s="192" t="str">
        <f t="shared" si="21"/>
        <v>1gal</v>
      </c>
      <c r="S642" s="198">
        <f t="shared" si="22"/>
        <v>3</v>
      </c>
      <c r="T642" s="199" t="str">
        <f t="shared" si="23"/>
        <v>3gal</v>
      </c>
      <c r="U642" s="200">
        <f t="shared" si="24"/>
        <v>1116</v>
      </c>
      <c r="V642" s="12"/>
      <c r="W642" s="12"/>
    </row>
    <row r="643" spans="1:23" x14ac:dyDescent="0.3">
      <c r="A643" s="193" t="e">
        <f ca="1"/>
        <v>#NAME?</v>
      </c>
      <c r="B643" s="46" t="s">
        <v>1248</v>
      </c>
      <c r="C643" s="170"/>
      <c r="D643" s="194"/>
      <c r="E643" s="170"/>
      <c r="F643" s="170"/>
      <c r="G643" s="170"/>
      <c r="H643" s="183"/>
      <c r="I643" s="170"/>
      <c r="J643" s="46" t="s">
        <v>1249</v>
      </c>
      <c r="K643" s="237"/>
      <c r="L643" s="288">
        <v>135</v>
      </c>
      <c r="M643" s="289">
        <v>0</v>
      </c>
      <c r="N643" s="290">
        <v>750</v>
      </c>
      <c r="O643" s="46"/>
      <c r="P643" s="46" t="s">
        <v>39</v>
      </c>
      <c r="Q643" s="12"/>
      <c r="R643" s="192" t="str">
        <f t="shared" si="21"/>
        <v>750grams</v>
      </c>
      <c r="S643" s="198">
        <f t="shared" si="22"/>
        <v>0</v>
      </c>
      <c r="T643" s="199" t="str">
        <f t="shared" si="23"/>
        <v>0grams</v>
      </c>
      <c r="U643" s="200">
        <f t="shared" si="24"/>
        <v>0</v>
      </c>
      <c r="V643" s="12"/>
      <c r="W643" s="12"/>
    </row>
    <row r="644" spans="1:23" x14ac:dyDescent="0.3">
      <c r="A644" s="193" t="e">
        <f ca="1"/>
        <v>#NAME?</v>
      </c>
      <c r="B644" s="46" t="s">
        <v>453</v>
      </c>
      <c r="C644" s="170"/>
      <c r="D644" s="194"/>
      <c r="E644" s="170"/>
      <c r="F644" s="170"/>
      <c r="G644" s="170"/>
      <c r="H644" s="183"/>
      <c r="I644" s="170"/>
      <c r="J644" s="46" t="s">
        <v>216</v>
      </c>
      <c r="K644" s="237"/>
      <c r="L644" s="288">
        <v>45</v>
      </c>
      <c r="M644" s="289">
        <v>1</v>
      </c>
      <c r="N644" s="290">
        <v>1</v>
      </c>
      <c r="O644" s="46"/>
      <c r="P644" s="46" t="s">
        <v>213</v>
      </c>
      <c r="Q644" s="12"/>
      <c r="R644" s="192" t="str">
        <f t="shared" si="21"/>
        <v>1kilos</v>
      </c>
      <c r="S644" s="198">
        <f t="shared" si="22"/>
        <v>1</v>
      </c>
      <c r="T644" s="199" t="str">
        <f t="shared" si="23"/>
        <v>1kilos</v>
      </c>
      <c r="U644" s="200">
        <f t="shared" si="24"/>
        <v>45</v>
      </c>
      <c r="V644" s="12"/>
      <c r="W644" s="12"/>
    </row>
    <row r="645" spans="1:23" x14ac:dyDescent="0.3">
      <c r="A645" s="193" t="e">
        <f ca="1"/>
        <v>#NAME?</v>
      </c>
      <c r="B645" s="309" t="s">
        <v>453</v>
      </c>
      <c r="C645" s="170"/>
      <c r="D645" s="194"/>
      <c r="E645" s="194"/>
      <c r="F645" s="194"/>
      <c r="G645" s="170"/>
      <c r="H645" s="183"/>
      <c r="I645" s="170"/>
      <c r="J645" s="46" t="s">
        <v>216</v>
      </c>
      <c r="K645" s="237"/>
      <c r="L645" s="288">
        <v>150</v>
      </c>
      <c r="M645" s="289">
        <v>0</v>
      </c>
      <c r="N645" s="290">
        <v>1000</v>
      </c>
      <c r="O645" s="46"/>
      <c r="P645" s="46" t="s">
        <v>39</v>
      </c>
      <c r="Q645" s="12"/>
      <c r="R645" s="192" t="str">
        <f t="shared" si="21"/>
        <v>1000grams</v>
      </c>
      <c r="S645" s="198">
        <f t="shared" si="22"/>
        <v>0</v>
      </c>
      <c r="T645" s="199" t="str">
        <f t="shared" si="23"/>
        <v>0grams</v>
      </c>
      <c r="U645" s="200">
        <f t="shared" si="24"/>
        <v>0</v>
      </c>
      <c r="V645" s="12"/>
      <c r="W645" s="12"/>
    </row>
    <row r="646" spans="1:23" x14ac:dyDescent="0.3">
      <c r="A646" s="193" t="e">
        <f ca="1"/>
        <v>#NAME?</v>
      </c>
      <c r="B646" s="309" t="s">
        <v>453</v>
      </c>
      <c r="C646" s="170"/>
      <c r="D646" s="194"/>
      <c r="E646" s="194"/>
      <c r="F646" s="194"/>
      <c r="G646" s="170"/>
      <c r="H646" s="183"/>
      <c r="I646" s="170"/>
      <c r="J646" s="46" t="s">
        <v>216</v>
      </c>
      <c r="K646" s="237"/>
      <c r="L646" s="288">
        <v>150</v>
      </c>
      <c r="M646" s="289">
        <v>2</v>
      </c>
      <c r="N646" s="290">
        <v>1000</v>
      </c>
      <c r="O646" s="46"/>
      <c r="P646" s="46" t="s">
        <v>39</v>
      </c>
      <c r="Q646" s="12"/>
      <c r="R646" s="192" t="str">
        <f t="shared" si="21"/>
        <v>1000grams</v>
      </c>
      <c r="S646" s="198">
        <f t="shared" si="22"/>
        <v>2000</v>
      </c>
      <c r="T646" s="199" t="str">
        <f t="shared" si="23"/>
        <v>2000grams</v>
      </c>
      <c r="U646" s="200">
        <f t="shared" si="24"/>
        <v>300</v>
      </c>
      <c r="V646" s="205">
        <f>U646/M646</f>
        <v>150</v>
      </c>
      <c r="W646" s="62"/>
    </row>
    <row r="647" spans="1:23" x14ac:dyDescent="0.3">
      <c r="A647" s="193" t="e">
        <f ca="1"/>
        <v>#NAME?</v>
      </c>
      <c r="B647" s="309" t="s">
        <v>453</v>
      </c>
      <c r="C647" s="215"/>
      <c r="D647" s="194"/>
      <c r="E647" s="214"/>
      <c r="F647" s="214"/>
      <c r="G647" s="214"/>
      <c r="H647" s="183"/>
      <c r="I647" s="170"/>
      <c r="J647" s="46" t="s">
        <v>912</v>
      </c>
      <c r="K647" s="237"/>
      <c r="L647" s="288">
        <v>150</v>
      </c>
      <c r="M647" s="289">
        <v>0</v>
      </c>
      <c r="N647" s="290">
        <v>1000</v>
      </c>
      <c r="O647" s="46"/>
      <c r="P647" s="46" t="s">
        <v>213</v>
      </c>
      <c r="Q647" s="12"/>
      <c r="R647" s="192" t="str">
        <f t="shared" si="21"/>
        <v>1000kilos</v>
      </c>
      <c r="S647" s="198">
        <f t="shared" si="22"/>
        <v>0</v>
      </c>
      <c r="T647" s="199" t="str">
        <f t="shared" si="23"/>
        <v>0kilos</v>
      </c>
      <c r="U647" s="200">
        <f t="shared" si="24"/>
        <v>0</v>
      </c>
      <c r="V647" s="12"/>
      <c r="W647" s="12"/>
    </row>
    <row r="648" spans="1:23" x14ac:dyDescent="0.3">
      <c r="A648" s="193" t="e">
        <f ca="1"/>
        <v>#NAME?</v>
      </c>
      <c r="B648" s="46" t="s">
        <v>618</v>
      </c>
      <c r="C648" s="170"/>
      <c r="D648" s="194"/>
      <c r="E648" s="194"/>
      <c r="F648" s="194"/>
      <c r="G648" s="170"/>
      <c r="H648" s="183"/>
      <c r="I648" s="170"/>
      <c r="J648" s="46" t="s">
        <v>1250</v>
      </c>
      <c r="K648" s="237"/>
      <c r="L648" s="288">
        <v>28.2</v>
      </c>
      <c r="M648" s="289">
        <v>1</v>
      </c>
      <c r="N648" s="290">
        <v>150</v>
      </c>
      <c r="O648" s="46"/>
      <c r="P648" s="46" t="s">
        <v>39</v>
      </c>
      <c r="Q648" s="12"/>
      <c r="R648" s="192" t="str">
        <f t="shared" si="21"/>
        <v>150grams</v>
      </c>
      <c r="S648" s="198">
        <f t="shared" si="22"/>
        <v>150</v>
      </c>
      <c r="T648" s="199" t="str">
        <f t="shared" si="23"/>
        <v>150grams</v>
      </c>
      <c r="U648" s="200">
        <f t="shared" si="24"/>
        <v>28.2</v>
      </c>
      <c r="V648" s="62"/>
      <c r="W648" s="12"/>
    </row>
    <row r="649" spans="1:23" x14ac:dyDescent="0.3">
      <c r="A649" s="193" t="e">
        <f ca="1"/>
        <v>#NAME?</v>
      </c>
      <c r="B649" s="46" t="s">
        <v>618</v>
      </c>
      <c r="C649" s="170"/>
      <c r="D649" s="194"/>
      <c r="E649" s="194"/>
      <c r="F649" s="194"/>
      <c r="G649" s="170"/>
      <c r="H649" s="183"/>
      <c r="I649" s="170"/>
      <c r="J649" s="46" t="s">
        <v>165</v>
      </c>
      <c r="K649" s="237"/>
      <c r="L649" s="288">
        <v>41.6</v>
      </c>
      <c r="M649" s="289">
        <v>10</v>
      </c>
      <c r="N649" s="290">
        <v>250</v>
      </c>
      <c r="O649" s="307"/>
      <c r="P649" s="307" t="s">
        <v>39</v>
      </c>
      <c r="Q649" s="12"/>
      <c r="R649" s="192" t="str">
        <f t="shared" si="21"/>
        <v>250grams</v>
      </c>
      <c r="S649" s="198">
        <f t="shared" si="22"/>
        <v>2500</v>
      </c>
      <c r="T649" s="199" t="str">
        <f t="shared" si="23"/>
        <v>2500grams</v>
      </c>
      <c r="U649" s="200">
        <f t="shared" si="24"/>
        <v>416</v>
      </c>
      <c r="V649" s="12"/>
      <c r="W649" s="12"/>
    </row>
    <row r="650" spans="1:23" x14ac:dyDescent="0.3">
      <c r="A650" s="193" t="e">
        <f ca="1"/>
        <v>#NAME?</v>
      </c>
      <c r="B650" s="46" t="s">
        <v>66</v>
      </c>
      <c r="C650" s="170"/>
      <c r="D650" s="194"/>
      <c r="E650" s="170"/>
      <c r="F650" s="170"/>
      <c r="G650" s="170"/>
      <c r="H650" s="206"/>
      <c r="I650" s="170"/>
      <c r="J650" s="46" t="s">
        <v>1251</v>
      </c>
      <c r="K650" s="237"/>
      <c r="L650" s="288">
        <v>57</v>
      </c>
      <c r="M650" s="289">
        <v>4</v>
      </c>
      <c r="N650" s="290">
        <v>500</v>
      </c>
      <c r="O650" s="46"/>
      <c r="P650" s="46" t="s">
        <v>39</v>
      </c>
      <c r="Q650" s="12"/>
      <c r="R650" s="192" t="str">
        <f t="shared" si="21"/>
        <v>500grams</v>
      </c>
      <c r="S650" s="198">
        <f t="shared" si="22"/>
        <v>2000</v>
      </c>
      <c r="T650" s="199" t="str">
        <f t="shared" si="23"/>
        <v>2000grams</v>
      </c>
      <c r="U650" s="200">
        <f t="shared" si="24"/>
        <v>228</v>
      </c>
      <c r="V650" s="12"/>
      <c r="W650" s="12"/>
    </row>
    <row r="651" spans="1:23" x14ac:dyDescent="0.3">
      <c r="A651" s="193" t="e">
        <f ca="1"/>
        <v>#NAME?</v>
      </c>
      <c r="B651" s="46" t="s">
        <v>66</v>
      </c>
      <c r="C651" s="170"/>
      <c r="D651" s="194"/>
      <c r="E651" s="170"/>
      <c r="F651" s="170"/>
      <c r="G651" s="170"/>
      <c r="H651" s="206"/>
      <c r="I651" s="170"/>
      <c r="J651" s="46" t="s">
        <v>1251</v>
      </c>
      <c r="K651" s="237"/>
      <c r="L651" s="288">
        <v>62.5</v>
      </c>
      <c r="M651" s="289">
        <v>1</v>
      </c>
      <c r="N651" s="290">
        <v>500</v>
      </c>
      <c r="O651" s="46"/>
      <c r="P651" s="46" t="s">
        <v>39</v>
      </c>
      <c r="Q651" s="12"/>
      <c r="R651" s="192" t="str">
        <f t="shared" si="21"/>
        <v>500grams</v>
      </c>
      <c r="S651" s="198">
        <f t="shared" si="22"/>
        <v>500</v>
      </c>
      <c r="T651" s="199" t="str">
        <f t="shared" si="23"/>
        <v>500grams</v>
      </c>
      <c r="U651" s="200">
        <f t="shared" si="24"/>
        <v>62.5</v>
      </c>
      <c r="V651" s="12"/>
      <c r="W651" s="12"/>
    </row>
    <row r="652" spans="1:23" x14ac:dyDescent="0.3">
      <c r="A652" s="193" t="e">
        <f ca="1"/>
        <v>#NAME?</v>
      </c>
      <c r="B652" s="46" t="s">
        <v>66</v>
      </c>
      <c r="C652" s="170"/>
      <c r="D652" s="194"/>
      <c r="E652" s="170"/>
      <c r="F652" s="170"/>
      <c r="G652" s="170"/>
      <c r="H652" s="183"/>
      <c r="I652" s="170"/>
      <c r="J652" s="46" t="s">
        <v>1252</v>
      </c>
      <c r="K652" s="237"/>
      <c r="L652" s="288">
        <v>50</v>
      </c>
      <c r="M652" s="289">
        <v>15</v>
      </c>
      <c r="N652" s="290">
        <v>500</v>
      </c>
      <c r="O652" s="46"/>
      <c r="P652" s="46" t="s">
        <v>39</v>
      </c>
      <c r="Q652" s="12"/>
      <c r="R652" s="192" t="str">
        <f t="shared" si="21"/>
        <v>500grams</v>
      </c>
      <c r="S652" s="198">
        <f t="shared" si="22"/>
        <v>7500</v>
      </c>
      <c r="T652" s="199" t="str">
        <f t="shared" si="23"/>
        <v>7500grams</v>
      </c>
      <c r="U652" s="200">
        <f t="shared" si="24"/>
        <v>750</v>
      </c>
      <c r="V652" s="12"/>
      <c r="W652" s="12"/>
    </row>
    <row r="653" spans="1:23" x14ac:dyDescent="0.3">
      <c r="A653" s="193" t="e">
        <f ca="1"/>
        <v>#NAME?</v>
      </c>
      <c r="B653" s="46" t="s">
        <v>66</v>
      </c>
      <c r="C653" s="170"/>
      <c r="D653" s="194"/>
      <c r="E653" s="170"/>
      <c r="F653" s="170"/>
      <c r="G653" s="170"/>
      <c r="H653" s="183"/>
      <c r="I653" s="170"/>
      <c r="J653" s="46" t="s">
        <v>1252</v>
      </c>
      <c r="K653" s="237"/>
      <c r="L653" s="288">
        <v>55</v>
      </c>
      <c r="M653" s="289">
        <v>2</v>
      </c>
      <c r="N653" s="290">
        <v>500</v>
      </c>
      <c r="O653" s="46"/>
      <c r="P653" s="46" t="s">
        <v>39</v>
      </c>
      <c r="Q653" s="12"/>
      <c r="R653" s="192" t="str">
        <f t="shared" si="21"/>
        <v>500grams</v>
      </c>
      <c r="S653" s="198">
        <f t="shared" si="22"/>
        <v>1000</v>
      </c>
      <c r="T653" s="199" t="str">
        <f t="shared" si="23"/>
        <v>1000grams</v>
      </c>
      <c r="U653" s="200">
        <f t="shared" si="24"/>
        <v>110</v>
      </c>
      <c r="V653" s="12"/>
      <c r="W653" s="12"/>
    </row>
    <row r="654" spans="1:23" x14ac:dyDescent="0.3">
      <c r="A654" s="193" t="e">
        <f ca="1"/>
        <v>#NAME?</v>
      </c>
      <c r="B654" s="219" t="s">
        <v>66</v>
      </c>
      <c r="C654" s="170"/>
      <c r="D654" s="194"/>
      <c r="E654" s="170"/>
      <c r="F654" s="170"/>
      <c r="G654" s="170"/>
      <c r="H654" s="183"/>
      <c r="I654" s="170"/>
      <c r="J654" s="219" t="s">
        <v>1253</v>
      </c>
      <c r="K654" s="237"/>
      <c r="L654" s="291">
        <v>47.5</v>
      </c>
      <c r="M654" s="292">
        <v>5</v>
      </c>
      <c r="N654" s="293">
        <v>500</v>
      </c>
      <c r="O654" s="219"/>
      <c r="P654" s="219" t="s">
        <v>39</v>
      </c>
      <c r="Q654" s="12"/>
      <c r="R654" s="192" t="str">
        <f t="shared" si="21"/>
        <v>500grams</v>
      </c>
      <c r="S654" s="198">
        <f t="shared" si="22"/>
        <v>2500</v>
      </c>
      <c r="T654" s="199" t="str">
        <f t="shared" si="23"/>
        <v>2500grams</v>
      </c>
      <c r="U654" s="200">
        <f t="shared" si="24"/>
        <v>237.5</v>
      </c>
      <c r="V654" s="12"/>
      <c r="W654" s="12"/>
    </row>
    <row r="655" spans="1:23" x14ac:dyDescent="0.3">
      <c r="A655" s="193" t="e">
        <f ca="1"/>
        <v>#NAME?</v>
      </c>
      <c r="B655" s="219" t="s">
        <v>66</v>
      </c>
      <c r="C655" s="170"/>
      <c r="D655" s="194"/>
      <c r="E655" s="170"/>
      <c r="F655" s="170"/>
      <c r="G655" s="170"/>
      <c r="H655" s="183"/>
      <c r="I655" s="170"/>
      <c r="J655" s="219" t="s">
        <v>1254</v>
      </c>
      <c r="K655" s="237"/>
      <c r="L655" s="291">
        <v>32.5</v>
      </c>
      <c r="M655" s="292">
        <v>2</v>
      </c>
      <c r="N655" s="293">
        <v>500</v>
      </c>
      <c r="O655" s="219"/>
      <c r="P655" s="219" t="s">
        <v>39</v>
      </c>
      <c r="Q655" s="12"/>
      <c r="R655" s="192" t="str">
        <f t="shared" si="21"/>
        <v>500grams</v>
      </c>
      <c r="S655" s="198">
        <f t="shared" si="22"/>
        <v>1000</v>
      </c>
      <c r="T655" s="199" t="str">
        <f t="shared" si="23"/>
        <v>1000grams</v>
      </c>
      <c r="U655" s="200">
        <f t="shared" si="24"/>
        <v>65</v>
      </c>
      <c r="V655" s="12"/>
      <c r="W655" s="12"/>
    </row>
    <row r="656" spans="1:23" x14ac:dyDescent="0.3">
      <c r="A656" s="193" t="e">
        <f ca="1"/>
        <v>#NAME?</v>
      </c>
      <c r="B656" s="46" t="s">
        <v>400</v>
      </c>
      <c r="C656" s="170"/>
      <c r="D656" s="194"/>
      <c r="E656" s="170"/>
      <c r="F656" s="170"/>
      <c r="G656" s="170"/>
      <c r="H656" s="206"/>
      <c r="I656" s="170"/>
      <c r="J656" s="46" t="s">
        <v>1181</v>
      </c>
      <c r="K656" s="237"/>
      <c r="L656" s="288">
        <v>41.9</v>
      </c>
      <c r="M656" s="289">
        <v>3</v>
      </c>
      <c r="N656" s="290">
        <v>210</v>
      </c>
      <c r="O656" s="297"/>
      <c r="P656" s="297" t="s">
        <v>39</v>
      </c>
      <c r="Q656" s="12"/>
      <c r="R656" s="192" t="str">
        <f t="shared" si="21"/>
        <v>210grams</v>
      </c>
      <c r="S656" s="198">
        <f t="shared" si="22"/>
        <v>630</v>
      </c>
      <c r="T656" s="199" t="str">
        <f t="shared" si="23"/>
        <v>630grams</v>
      </c>
      <c r="U656" s="200">
        <f t="shared" si="24"/>
        <v>125.69999999999999</v>
      </c>
      <c r="V656" s="12"/>
      <c r="W656" s="12"/>
    </row>
    <row r="657" spans="1:23" x14ac:dyDescent="0.3">
      <c r="A657" s="193" t="e">
        <f ca="1"/>
        <v>#NAME?</v>
      </c>
      <c r="B657" s="46" t="s">
        <v>400</v>
      </c>
      <c r="C657" s="170"/>
      <c r="D657" s="194"/>
      <c r="E657" s="194"/>
      <c r="F657" s="194"/>
      <c r="G657" s="170"/>
      <c r="H657" s="183"/>
      <c r="I657" s="170"/>
      <c r="J657" s="46" t="s">
        <v>1181</v>
      </c>
      <c r="K657" s="237"/>
      <c r="L657" s="288">
        <v>46</v>
      </c>
      <c r="M657" s="289">
        <v>1</v>
      </c>
      <c r="N657" s="290">
        <v>500</v>
      </c>
      <c r="O657" s="297"/>
      <c r="P657" s="297" t="s">
        <v>39</v>
      </c>
      <c r="Q657" s="12"/>
      <c r="R657" s="192" t="str">
        <f t="shared" si="21"/>
        <v>500grams</v>
      </c>
      <c r="S657" s="198">
        <f t="shared" si="22"/>
        <v>500</v>
      </c>
      <c r="T657" s="199" t="str">
        <f t="shared" si="23"/>
        <v>500grams</v>
      </c>
      <c r="U657" s="200">
        <f t="shared" si="24"/>
        <v>46</v>
      </c>
      <c r="V657" s="62"/>
      <c r="W657" s="12"/>
    </row>
    <row r="658" spans="1:23" x14ac:dyDescent="0.3">
      <c r="A658" s="193" t="e">
        <f ca="1"/>
        <v>#NAME?</v>
      </c>
      <c r="B658" s="219" t="s">
        <v>400</v>
      </c>
      <c r="C658" s="170"/>
      <c r="D658" s="194"/>
      <c r="E658" s="170"/>
      <c r="F658" s="170"/>
      <c r="G658" s="170"/>
      <c r="H658" s="206"/>
      <c r="I658" s="170"/>
      <c r="J658" s="46" t="s">
        <v>1181</v>
      </c>
      <c r="K658" s="237"/>
      <c r="L658" s="291">
        <v>41.3</v>
      </c>
      <c r="M658" s="292">
        <v>3</v>
      </c>
      <c r="N658" s="293">
        <v>210</v>
      </c>
      <c r="O658" s="304"/>
      <c r="P658" s="304" t="s">
        <v>39</v>
      </c>
      <c r="Q658" s="12"/>
      <c r="R658" s="192" t="str">
        <f t="shared" si="21"/>
        <v>210grams</v>
      </c>
      <c r="S658" s="198">
        <f t="shared" si="22"/>
        <v>630</v>
      </c>
      <c r="T658" s="199" t="str">
        <f t="shared" si="23"/>
        <v>630grams</v>
      </c>
      <c r="U658" s="200">
        <f t="shared" si="24"/>
        <v>123.89999999999999</v>
      </c>
      <c r="V658" s="12"/>
      <c r="W658" s="12"/>
    </row>
    <row r="659" spans="1:23" x14ac:dyDescent="0.3">
      <c r="A659" s="193" t="e">
        <f ca="1"/>
        <v>#NAME?</v>
      </c>
      <c r="B659" s="46" t="s">
        <v>400</v>
      </c>
      <c r="C659" s="170"/>
      <c r="D659" s="194"/>
      <c r="E659" s="194"/>
      <c r="F659" s="170"/>
      <c r="G659" s="170"/>
      <c r="H659" s="183"/>
      <c r="I659" s="170"/>
      <c r="J659" s="46" t="s">
        <v>1181</v>
      </c>
      <c r="K659" s="237"/>
      <c r="L659" s="288">
        <v>41.9</v>
      </c>
      <c r="M659" s="289">
        <v>2</v>
      </c>
      <c r="N659" s="290">
        <v>210</v>
      </c>
      <c r="O659" s="297"/>
      <c r="P659" s="297" t="s">
        <v>39</v>
      </c>
      <c r="Q659" s="12"/>
      <c r="R659" s="192" t="str">
        <f t="shared" si="21"/>
        <v>210grams</v>
      </c>
      <c r="S659" s="198">
        <f t="shared" si="22"/>
        <v>420</v>
      </c>
      <c r="T659" s="199" t="str">
        <f t="shared" si="23"/>
        <v>420grams</v>
      </c>
      <c r="U659" s="200">
        <f t="shared" si="24"/>
        <v>83.8</v>
      </c>
      <c r="V659" s="12"/>
      <c r="W659" s="12"/>
    </row>
    <row r="660" spans="1:23" x14ac:dyDescent="0.3">
      <c r="A660" s="193" t="e">
        <f ca="1"/>
        <v>#NAME?</v>
      </c>
      <c r="B660" s="46" t="s">
        <v>1255</v>
      </c>
      <c r="C660" s="170"/>
      <c r="D660" s="194"/>
      <c r="E660" s="194"/>
      <c r="F660" s="170"/>
      <c r="G660" s="170"/>
      <c r="H660" s="183"/>
      <c r="I660" s="170"/>
      <c r="J660" s="170"/>
      <c r="K660" s="237"/>
      <c r="L660" s="288">
        <v>270</v>
      </c>
      <c r="M660" s="289">
        <v>0</v>
      </c>
      <c r="N660" s="290">
        <v>1</v>
      </c>
      <c r="O660" s="46"/>
      <c r="P660" s="46" t="s">
        <v>213</v>
      </c>
      <c r="Q660" s="12"/>
      <c r="R660" s="192" t="str">
        <f t="shared" si="21"/>
        <v>1kilos</v>
      </c>
      <c r="S660" s="198">
        <f t="shared" si="22"/>
        <v>0</v>
      </c>
      <c r="T660" s="199" t="str">
        <f t="shared" si="23"/>
        <v>0kilos</v>
      </c>
      <c r="U660" s="200">
        <f t="shared" si="24"/>
        <v>0</v>
      </c>
      <c r="V660" s="12"/>
      <c r="W660" s="12"/>
    </row>
    <row r="661" spans="1:23" x14ac:dyDescent="0.3">
      <c r="A661" s="193" t="e">
        <f ca="1"/>
        <v>#NAME?</v>
      </c>
      <c r="B661" s="46" t="s">
        <v>1256</v>
      </c>
      <c r="C661" s="170"/>
      <c r="D661" s="194"/>
      <c r="E661" s="194"/>
      <c r="F661" s="170"/>
      <c r="G661" s="170"/>
      <c r="H661" s="183"/>
      <c r="I661" s="170"/>
      <c r="J661" s="170"/>
      <c r="K661" s="237"/>
      <c r="L661" s="288">
        <v>180</v>
      </c>
      <c r="M661" s="289">
        <v>0</v>
      </c>
      <c r="N661" s="290">
        <v>1000</v>
      </c>
      <c r="O661" s="46"/>
      <c r="P661" s="46" t="s">
        <v>39</v>
      </c>
      <c r="Q661" s="12"/>
      <c r="R661" s="192" t="str">
        <f t="shared" si="21"/>
        <v>1000grams</v>
      </c>
      <c r="S661" s="198">
        <f t="shared" si="22"/>
        <v>0</v>
      </c>
      <c r="T661" s="199" t="str">
        <f t="shared" si="23"/>
        <v>0grams</v>
      </c>
      <c r="U661" s="200">
        <f t="shared" si="24"/>
        <v>0</v>
      </c>
      <c r="V661" s="12"/>
      <c r="W661" s="12"/>
    </row>
    <row r="662" spans="1:23" x14ac:dyDescent="0.3">
      <c r="A662" s="193" t="e">
        <f ca="1"/>
        <v>#NAME?</v>
      </c>
      <c r="B662" s="46" t="s">
        <v>623</v>
      </c>
      <c r="C662" s="170"/>
      <c r="D662" s="194"/>
      <c r="E662" s="194"/>
      <c r="F662" s="194"/>
      <c r="G662" s="170"/>
      <c r="H662" s="183"/>
      <c r="I662" s="170"/>
      <c r="J662" s="46" t="s">
        <v>865</v>
      </c>
      <c r="K662" s="237"/>
      <c r="L662" s="288">
        <v>48</v>
      </c>
      <c r="M662" s="289">
        <v>1</v>
      </c>
      <c r="N662" s="290">
        <v>540</v>
      </c>
      <c r="O662" s="46"/>
      <c r="P662" s="46" t="s">
        <v>39</v>
      </c>
      <c r="Q662" s="12"/>
      <c r="R662" s="192" t="str">
        <f t="shared" si="21"/>
        <v>540grams</v>
      </c>
      <c r="S662" s="198">
        <f t="shared" si="22"/>
        <v>540</v>
      </c>
      <c r="T662" s="199" t="str">
        <f t="shared" si="23"/>
        <v>540grams</v>
      </c>
      <c r="U662" s="200">
        <f t="shared" si="24"/>
        <v>48</v>
      </c>
      <c r="V662" s="62"/>
      <c r="W662" s="12"/>
    </row>
    <row r="663" spans="1:23" x14ac:dyDescent="0.3">
      <c r="A663" s="193" t="e">
        <f ca="1"/>
        <v>#NAME?</v>
      </c>
      <c r="B663" s="46" t="s">
        <v>1257</v>
      </c>
      <c r="C663" s="170"/>
      <c r="D663" s="194"/>
      <c r="E663" s="170"/>
      <c r="F663" s="170"/>
      <c r="G663" s="170"/>
      <c r="H663" s="206"/>
      <c r="I663" s="170"/>
      <c r="J663" s="170"/>
      <c r="K663" s="237"/>
      <c r="L663" s="288">
        <v>1</v>
      </c>
      <c r="M663" s="289">
        <v>9</v>
      </c>
      <c r="N663" s="290">
        <v>1</v>
      </c>
      <c r="O663" s="46"/>
      <c r="P663" s="46" t="s">
        <v>92</v>
      </c>
      <c r="Q663" s="12"/>
      <c r="R663" s="192" t="str">
        <f t="shared" si="21"/>
        <v>1pieces</v>
      </c>
      <c r="S663" s="198">
        <f t="shared" si="22"/>
        <v>9</v>
      </c>
      <c r="T663" s="199" t="str">
        <f t="shared" si="23"/>
        <v>9pieces</v>
      </c>
      <c r="U663" s="200">
        <f t="shared" si="24"/>
        <v>9</v>
      </c>
      <c r="V663" s="12"/>
      <c r="W663" s="12"/>
    </row>
    <row r="664" spans="1:23" x14ac:dyDescent="0.3">
      <c r="A664" s="193" t="e">
        <f ca="1"/>
        <v>#NAME?</v>
      </c>
      <c r="B664" s="219" t="s">
        <v>1258</v>
      </c>
      <c r="C664" s="170"/>
      <c r="D664" s="194"/>
      <c r="E664" s="170"/>
      <c r="F664" s="170"/>
      <c r="G664" s="170"/>
      <c r="H664" s="206"/>
      <c r="I664" s="170"/>
      <c r="J664" s="219" t="s">
        <v>963</v>
      </c>
      <c r="K664" s="237"/>
      <c r="L664" s="291">
        <v>159.80000000000001</v>
      </c>
      <c r="M664" s="292">
        <v>4</v>
      </c>
      <c r="N664" s="293">
        <v>160</v>
      </c>
      <c r="O664" s="219"/>
      <c r="P664" s="219" t="s">
        <v>519</v>
      </c>
      <c r="Q664" s="12"/>
      <c r="R664" s="192" t="str">
        <f t="shared" si="21"/>
        <v>160drained weight grams</v>
      </c>
      <c r="S664" s="198">
        <f t="shared" si="22"/>
        <v>640</v>
      </c>
      <c r="T664" s="199" t="str">
        <f t="shared" si="23"/>
        <v>640drained weight grams</v>
      </c>
      <c r="U664" s="200">
        <f t="shared" si="24"/>
        <v>639.20000000000005</v>
      </c>
      <c r="V664" s="12"/>
      <c r="W664" s="12"/>
    </row>
    <row r="665" spans="1:23" x14ac:dyDescent="0.3">
      <c r="A665" s="193" t="e">
        <f ca="1"/>
        <v>#NAME?</v>
      </c>
      <c r="B665" s="219" t="s">
        <v>1258</v>
      </c>
      <c r="C665" s="215"/>
      <c r="D665" s="194"/>
      <c r="E665" s="215"/>
      <c r="F665" s="215"/>
      <c r="G665" s="215"/>
      <c r="H665" s="206"/>
      <c r="I665" s="170"/>
      <c r="J665" s="219" t="s">
        <v>881</v>
      </c>
      <c r="K665" s="237"/>
      <c r="L665" s="291">
        <v>198</v>
      </c>
      <c r="M665" s="292">
        <v>2</v>
      </c>
      <c r="N665" s="293">
        <v>200</v>
      </c>
      <c r="O665" s="219"/>
      <c r="P665" s="219" t="s">
        <v>39</v>
      </c>
      <c r="Q665" s="12"/>
      <c r="R665" s="192" t="str">
        <f t="shared" si="21"/>
        <v>200grams</v>
      </c>
      <c r="S665" s="198">
        <f t="shared" si="22"/>
        <v>400</v>
      </c>
      <c r="T665" s="199" t="str">
        <f t="shared" si="23"/>
        <v>400grams</v>
      </c>
      <c r="U665" s="200">
        <f t="shared" si="24"/>
        <v>396</v>
      </c>
      <c r="V665" s="12"/>
      <c r="W665" s="12"/>
    </row>
    <row r="666" spans="1:23" x14ac:dyDescent="0.3">
      <c r="A666" s="193" t="e">
        <f ca="1"/>
        <v>#NAME?</v>
      </c>
      <c r="B666" s="46" t="s">
        <v>1259</v>
      </c>
      <c r="C666" s="215"/>
      <c r="D666" s="194"/>
      <c r="E666" s="215"/>
      <c r="F666" s="215"/>
      <c r="G666" s="215"/>
      <c r="H666" s="206"/>
      <c r="I666" s="170"/>
      <c r="J666" s="46" t="s">
        <v>1184</v>
      </c>
      <c r="K666" s="237"/>
      <c r="L666" s="288">
        <v>29</v>
      </c>
      <c r="M666" s="289">
        <v>2</v>
      </c>
      <c r="N666" s="290">
        <v>400</v>
      </c>
      <c r="O666" s="46"/>
      <c r="P666" s="46" t="s">
        <v>39</v>
      </c>
      <c r="Q666" s="12"/>
      <c r="R666" s="192" t="str">
        <f t="shared" si="21"/>
        <v>400grams</v>
      </c>
      <c r="S666" s="198">
        <f t="shared" si="22"/>
        <v>800</v>
      </c>
      <c r="T666" s="199" t="str">
        <f t="shared" si="23"/>
        <v>800grams</v>
      </c>
      <c r="U666" s="200">
        <f t="shared" si="24"/>
        <v>58</v>
      </c>
      <c r="V666" s="12"/>
      <c r="W666" s="12"/>
    </row>
    <row r="667" spans="1:23" x14ac:dyDescent="0.3">
      <c r="A667" s="193" t="e">
        <f ca="1"/>
        <v>#NAME?</v>
      </c>
      <c r="B667" s="46" t="s">
        <v>1259</v>
      </c>
      <c r="C667" s="215"/>
      <c r="D667" s="194"/>
      <c r="E667" s="215"/>
      <c r="F667" s="215"/>
      <c r="G667" s="215"/>
      <c r="H667" s="206"/>
      <c r="I667" s="170"/>
      <c r="J667" s="46" t="s">
        <v>959</v>
      </c>
      <c r="K667" s="237"/>
      <c r="L667" s="288">
        <v>23.9</v>
      </c>
      <c r="M667" s="289">
        <v>10</v>
      </c>
      <c r="N667" s="290">
        <v>113</v>
      </c>
      <c r="O667" s="307"/>
      <c r="P667" s="307" t="s">
        <v>519</v>
      </c>
      <c r="Q667" s="12"/>
      <c r="R667" s="192" t="str">
        <f t="shared" si="21"/>
        <v>113drained weight grams</v>
      </c>
      <c r="S667" s="198">
        <f t="shared" si="22"/>
        <v>1130</v>
      </c>
      <c r="T667" s="199" t="str">
        <f t="shared" si="23"/>
        <v>1130drained weight grams</v>
      </c>
      <c r="U667" s="200">
        <f t="shared" si="24"/>
        <v>239</v>
      </c>
      <c r="V667" s="12"/>
      <c r="W667" s="12"/>
    </row>
    <row r="668" spans="1:23" x14ac:dyDescent="0.3">
      <c r="A668" s="193" t="e">
        <f ca="1"/>
        <v>#NAME?</v>
      </c>
      <c r="B668" s="219" t="s">
        <v>1260</v>
      </c>
      <c r="C668" s="315"/>
      <c r="D668" s="316"/>
      <c r="E668" s="315"/>
      <c r="F668" s="315"/>
      <c r="G668" s="315"/>
      <c r="H668" s="153"/>
      <c r="I668" s="12"/>
      <c r="J668" s="219" t="s">
        <v>1261</v>
      </c>
      <c r="K668" s="12"/>
      <c r="L668" s="291">
        <v>199.95</v>
      </c>
      <c r="M668" s="292">
        <v>1</v>
      </c>
      <c r="N668" s="293">
        <v>199</v>
      </c>
      <c r="O668" s="219"/>
      <c r="P668" s="219" t="s">
        <v>39</v>
      </c>
      <c r="Q668" s="12"/>
      <c r="R668" s="192" t="str">
        <f t="shared" si="21"/>
        <v>199grams</v>
      </c>
      <c r="S668" s="198">
        <f t="shared" si="22"/>
        <v>199</v>
      </c>
      <c r="T668" s="199" t="str">
        <f t="shared" si="23"/>
        <v>199grams</v>
      </c>
      <c r="U668" s="200">
        <f t="shared" si="24"/>
        <v>199.95</v>
      </c>
      <c r="V668" s="12"/>
      <c r="W668" s="12"/>
    </row>
    <row r="669" spans="1:23" x14ac:dyDescent="0.3">
      <c r="A669" s="193" t="e">
        <f ca="1"/>
        <v>#NAME?</v>
      </c>
      <c r="B669" s="46" t="s">
        <v>1260</v>
      </c>
      <c r="C669" s="315"/>
      <c r="D669" s="316"/>
      <c r="E669" s="315"/>
      <c r="F669" s="315"/>
      <c r="G669" s="315"/>
      <c r="H669" s="153"/>
      <c r="I669" s="12"/>
      <c r="J669" s="46" t="s">
        <v>854</v>
      </c>
      <c r="K669" s="12"/>
      <c r="L669" s="288">
        <v>74.5</v>
      </c>
      <c r="M669" s="289">
        <v>1</v>
      </c>
      <c r="N669" s="290">
        <v>30</v>
      </c>
      <c r="O669" s="46"/>
      <c r="P669" s="46" t="s">
        <v>39</v>
      </c>
      <c r="Q669" s="12"/>
      <c r="R669" s="192" t="str">
        <f t="shared" si="21"/>
        <v>30grams</v>
      </c>
      <c r="S669" s="198">
        <f t="shared" si="22"/>
        <v>30</v>
      </c>
      <c r="T669" s="199" t="str">
        <f t="shared" si="23"/>
        <v>30grams</v>
      </c>
      <c r="U669" s="200">
        <f t="shared" si="24"/>
        <v>74.5</v>
      </c>
      <c r="V669" s="12"/>
      <c r="W669" s="12"/>
    </row>
    <row r="670" spans="1:23" x14ac:dyDescent="0.3">
      <c r="A670" s="193" t="e">
        <f ca="1"/>
        <v>#NAME?</v>
      </c>
      <c r="B670" s="219" t="s">
        <v>1260</v>
      </c>
      <c r="C670" s="315"/>
      <c r="D670" s="316"/>
      <c r="E670" s="315"/>
      <c r="F670" s="315"/>
      <c r="G670" s="315"/>
      <c r="H670" s="153"/>
      <c r="I670" s="12"/>
      <c r="J670" s="219" t="s">
        <v>854</v>
      </c>
      <c r="K670" s="12"/>
      <c r="L670" s="288">
        <v>68</v>
      </c>
      <c r="M670" s="289">
        <v>0</v>
      </c>
      <c r="N670" s="290">
        <v>30</v>
      </c>
      <c r="O670" s="46"/>
      <c r="P670" s="46" t="s">
        <v>39</v>
      </c>
      <c r="Q670" s="12"/>
      <c r="R670" s="192" t="str">
        <f t="shared" si="21"/>
        <v>30grams</v>
      </c>
      <c r="S670" s="198">
        <f t="shared" si="22"/>
        <v>0</v>
      </c>
      <c r="T670" s="199" t="str">
        <f t="shared" si="23"/>
        <v>0grams</v>
      </c>
      <c r="U670" s="200">
        <f t="shared" si="24"/>
        <v>0</v>
      </c>
      <c r="V670" s="12"/>
      <c r="W670" s="12"/>
    </row>
    <row r="671" spans="1:23" x14ac:dyDescent="0.3">
      <c r="A671" s="193" t="e">
        <f ca="1"/>
        <v>#NAME?</v>
      </c>
      <c r="B671" s="219" t="s">
        <v>1260</v>
      </c>
      <c r="C671" s="315"/>
      <c r="D671" s="316"/>
      <c r="E671" s="315"/>
      <c r="F671" s="315"/>
      <c r="G671" s="315"/>
      <c r="H671" s="153"/>
      <c r="I671" s="12"/>
      <c r="J671" s="219" t="s">
        <v>854</v>
      </c>
      <c r="K671" s="12"/>
      <c r="L671" s="288">
        <v>98</v>
      </c>
      <c r="M671" s="289">
        <v>1</v>
      </c>
      <c r="N671" s="290">
        <v>30</v>
      </c>
      <c r="O671" s="46"/>
      <c r="P671" s="46" t="s">
        <v>39</v>
      </c>
      <c r="Q671" s="12"/>
      <c r="R671" s="192" t="str">
        <f t="shared" si="21"/>
        <v>30grams</v>
      </c>
      <c r="S671" s="198">
        <f t="shared" si="22"/>
        <v>30</v>
      </c>
      <c r="T671" s="199" t="str">
        <f t="shared" si="23"/>
        <v>30grams</v>
      </c>
      <c r="U671" s="200">
        <f t="shared" si="24"/>
        <v>98</v>
      </c>
      <c r="V671" s="12"/>
      <c r="W671" s="12"/>
    </row>
    <row r="672" spans="1:23" x14ac:dyDescent="0.3">
      <c r="A672" s="193" t="e">
        <f ca="1"/>
        <v>#NAME?</v>
      </c>
      <c r="B672" s="219" t="s">
        <v>1260</v>
      </c>
      <c r="C672" s="315"/>
      <c r="D672" s="316"/>
      <c r="E672" s="315"/>
      <c r="F672" s="315"/>
      <c r="G672" s="315"/>
      <c r="H672" s="153"/>
      <c r="I672" s="12"/>
      <c r="J672" s="219" t="s">
        <v>854</v>
      </c>
      <c r="K672" s="12"/>
      <c r="L672" s="291">
        <v>74.5</v>
      </c>
      <c r="M672" s="292">
        <v>2</v>
      </c>
      <c r="N672" s="293">
        <v>30</v>
      </c>
      <c r="O672" s="219"/>
      <c r="P672" s="219" t="s">
        <v>39</v>
      </c>
      <c r="Q672" s="12"/>
      <c r="R672" s="192" t="str">
        <f t="shared" si="21"/>
        <v>30grams</v>
      </c>
      <c r="S672" s="198">
        <f t="shared" si="22"/>
        <v>60</v>
      </c>
      <c r="T672" s="199" t="str">
        <f t="shared" si="23"/>
        <v>60grams</v>
      </c>
      <c r="U672" s="200">
        <f t="shared" si="24"/>
        <v>149</v>
      </c>
      <c r="V672" s="12"/>
      <c r="W672" s="12"/>
    </row>
    <row r="673" spans="1:23" x14ac:dyDescent="0.3">
      <c r="A673" s="193" t="e">
        <f ca="1"/>
        <v>#NAME?</v>
      </c>
      <c r="B673" s="46" t="s">
        <v>1262</v>
      </c>
      <c r="C673" s="315"/>
      <c r="D673" s="316"/>
      <c r="E673" s="315"/>
      <c r="F673" s="315"/>
      <c r="G673" s="315"/>
      <c r="H673" s="153"/>
      <c r="I673" s="12"/>
      <c r="J673" s="46" t="s">
        <v>1263</v>
      </c>
      <c r="K673" s="12"/>
      <c r="L673" s="288">
        <v>9.17</v>
      </c>
      <c r="M673" s="289">
        <v>18</v>
      </c>
      <c r="N673" s="290">
        <v>25</v>
      </c>
      <c r="O673" s="46"/>
      <c r="P673" s="46" t="s">
        <v>39</v>
      </c>
      <c r="Q673" s="12"/>
      <c r="R673" s="192" t="str">
        <f t="shared" si="21"/>
        <v>25grams</v>
      </c>
      <c r="S673" s="198">
        <f t="shared" si="22"/>
        <v>450</v>
      </c>
      <c r="T673" s="199" t="str">
        <f t="shared" si="23"/>
        <v>450grams</v>
      </c>
      <c r="U673" s="200">
        <f t="shared" si="24"/>
        <v>165.06</v>
      </c>
      <c r="V673" s="12"/>
      <c r="W673" s="12"/>
    </row>
    <row r="674" spans="1:23" x14ac:dyDescent="0.3">
      <c r="A674" s="193" t="e">
        <f ca="1"/>
        <v>#NAME?</v>
      </c>
      <c r="B674" s="46" t="s">
        <v>1262</v>
      </c>
      <c r="C674" s="315"/>
      <c r="D674" s="316"/>
      <c r="E674" s="315"/>
      <c r="F674" s="315"/>
      <c r="G674" s="315"/>
      <c r="H674" s="153"/>
      <c r="I674" s="12"/>
      <c r="J674" s="46" t="s">
        <v>1264</v>
      </c>
      <c r="K674" s="12"/>
      <c r="L674" s="288">
        <v>12.76</v>
      </c>
      <c r="M674" s="289">
        <v>6</v>
      </c>
      <c r="N674" s="290">
        <v>25</v>
      </c>
      <c r="O674" s="46"/>
      <c r="P674" s="46" t="s">
        <v>39</v>
      </c>
      <c r="Q674" s="12"/>
      <c r="R674" s="192" t="str">
        <f t="shared" si="21"/>
        <v>25grams</v>
      </c>
      <c r="S674" s="198">
        <f t="shared" si="22"/>
        <v>150</v>
      </c>
      <c r="T674" s="199" t="str">
        <f t="shared" si="23"/>
        <v>150grams</v>
      </c>
      <c r="U674" s="200">
        <f t="shared" si="24"/>
        <v>76.56</v>
      </c>
      <c r="V674" s="12"/>
      <c r="W674" s="12"/>
    </row>
    <row r="675" spans="1:23" x14ac:dyDescent="0.3">
      <c r="A675" s="193" t="e">
        <f ca="1"/>
        <v>#NAME?</v>
      </c>
      <c r="B675" s="46" t="s">
        <v>1262</v>
      </c>
      <c r="C675" s="315"/>
      <c r="D675" s="316"/>
      <c r="E675" s="315"/>
      <c r="F675" s="315"/>
      <c r="G675" s="315"/>
      <c r="H675" s="153"/>
      <c r="I675" s="12"/>
      <c r="J675" s="46" t="s">
        <v>1263</v>
      </c>
      <c r="K675" s="12"/>
      <c r="L675" s="288">
        <v>13</v>
      </c>
      <c r="M675" s="289">
        <v>2</v>
      </c>
      <c r="N675" s="290">
        <v>25</v>
      </c>
      <c r="O675" s="46"/>
      <c r="P675" s="46" t="s">
        <v>39</v>
      </c>
      <c r="Q675" s="12"/>
      <c r="R675" s="192" t="str">
        <f t="shared" si="21"/>
        <v>25grams</v>
      </c>
      <c r="S675" s="198">
        <f t="shared" si="22"/>
        <v>50</v>
      </c>
      <c r="T675" s="199" t="str">
        <f t="shared" si="23"/>
        <v>50grams</v>
      </c>
      <c r="U675" s="200">
        <f t="shared" si="24"/>
        <v>26</v>
      </c>
      <c r="V675" s="12"/>
      <c r="W675" s="12"/>
    </row>
    <row r="676" spans="1:23" x14ac:dyDescent="0.3">
      <c r="A676" s="193" t="e">
        <f ca="1"/>
        <v>#NAME?</v>
      </c>
      <c r="B676" s="46" t="s">
        <v>629</v>
      </c>
      <c r="C676" s="315"/>
      <c r="D676" s="316"/>
      <c r="E676" s="315"/>
      <c r="F676" s="315"/>
      <c r="G676" s="315"/>
      <c r="H676" s="153"/>
      <c r="I676" s="12"/>
      <c r="J676" s="46" t="s">
        <v>1264</v>
      </c>
      <c r="K676" s="12"/>
      <c r="L676" s="288">
        <v>11.58</v>
      </c>
      <c r="M676" s="289">
        <v>10</v>
      </c>
      <c r="N676" s="290">
        <v>25</v>
      </c>
      <c r="O676" s="46"/>
      <c r="P676" s="46" t="s">
        <v>39</v>
      </c>
      <c r="Q676" s="12"/>
      <c r="R676" s="192" t="str">
        <f t="shared" si="21"/>
        <v>25grams</v>
      </c>
      <c r="S676" s="198">
        <f t="shared" si="22"/>
        <v>250</v>
      </c>
      <c r="T676" s="199" t="str">
        <f t="shared" si="23"/>
        <v>250grams</v>
      </c>
      <c r="U676" s="200">
        <f t="shared" si="24"/>
        <v>115.8</v>
      </c>
      <c r="V676" s="12"/>
      <c r="W676" s="12"/>
    </row>
    <row r="677" spans="1:23" x14ac:dyDescent="0.3">
      <c r="A677" s="193" t="e">
        <f ca="1"/>
        <v>#NAME?</v>
      </c>
      <c r="B677" s="46" t="s">
        <v>629</v>
      </c>
      <c r="C677" s="315"/>
      <c r="D677" s="316"/>
      <c r="E677" s="315"/>
      <c r="F677" s="315"/>
      <c r="G677" s="315"/>
      <c r="H677" s="153"/>
      <c r="I677" s="12"/>
      <c r="J677" s="46" t="s">
        <v>1264</v>
      </c>
      <c r="K677" s="12"/>
      <c r="L677" s="288">
        <v>11.58</v>
      </c>
      <c r="M677" s="289">
        <v>10</v>
      </c>
      <c r="N677" s="290">
        <v>25</v>
      </c>
      <c r="O677" s="46"/>
      <c r="P677" s="46" t="s">
        <v>39</v>
      </c>
      <c r="Q677" s="12"/>
      <c r="R677" s="192" t="str">
        <f t="shared" si="21"/>
        <v>25grams</v>
      </c>
      <c r="S677" s="198">
        <f t="shared" si="22"/>
        <v>250</v>
      </c>
      <c r="T677" s="199" t="str">
        <f t="shared" si="23"/>
        <v>250grams</v>
      </c>
      <c r="U677" s="200">
        <f t="shared" si="24"/>
        <v>115.8</v>
      </c>
      <c r="V677" s="12"/>
      <c r="W677" s="12"/>
    </row>
    <row r="678" spans="1:23" x14ac:dyDescent="0.3">
      <c r="A678" s="193" t="e">
        <f ca="1"/>
        <v>#NAME?</v>
      </c>
      <c r="B678" s="46" t="s">
        <v>629</v>
      </c>
      <c r="C678" s="315"/>
      <c r="D678" s="316"/>
      <c r="E678" s="315"/>
      <c r="F678" s="315"/>
      <c r="G678" s="315"/>
      <c r="H678" s="153"/>
      <c r="I678" s="12"/>
      <c r="J678" s="46" t="s">
        <v>1263</v>
      </c>
      <c r="K678" s="12"/>
      <c r="L678" s="288">
        <v>12.64</v>
      </c>
      <c r="M678" s="289">
        <v>3</v>
      </c>
      <c r="N678" s="290">
        <v>25</v>
      </c>
      <c r="O678" s="46"/>
      <c r="P678" s="46" t="s">
        <v>39</v>
      </c>
      <c r="Q678" s="12"/>
      <c r="R678" s="192" t="str">
        <f t="shared" si="21"/>
        <v>25grams</v>
      </c>
      <c r="S678" s="198">
        <f t="shared" si="22"/>
        <v>75</v>
      </c>
      <c r="T678" s="199" t="str">
        <f t="shared" si="23"/>
        <v>75grams</v>
      </c>
      <c r="U678" s="200">
        <f t="shared" si="24"/>
        <v>37.92</v>
      </c>
      <c r="V678" s="12"/>
      <c r="W678" s="12"/>
    </row>
    <row r="679" spans="1:23" x14ac:dyDescent="0.3">
      <c r="A679" s="193" t="e">
        <f ca="1"/>
        <v>#NAME?</v>
      </c>
      <c r="B679" s="46" t="s">
        <v>68</v>
      </c>
      <c r="C679" s="315"/>
      <c r="D679" s="316"/>
      <c r="E679" s="315"/>
      <c r="F679" s="315"/>
      <c r="G679" s="315"/>
      <c r="H679" s="153"/>
      <c r="I679" s="12"/>
      <c r="J679" s="46" t="s">
        <v>1263</v>
      </c>
      <c r="K679" s="12"/>
      <c r="L679" s="288">
        <v>14.3</v>
      </c>
      <c r="M679" s="289">
        <v>2</v>
      </c>
      <c r="N679" s="290">
        <v>25</v>
      </c>
      <c r="O679" s="46"/>
      <c r="P679" s="46" t="s">
        <v>39</v>
      </c>
      <c r="Q679" s="12"/>
      <c r="R679" s="192" t="str">
        <f t="shared" si="21"/>
        <v>25grams</v>
      </c>
      <c r="S679" s="198">
        <f t="shared" si="22"/>
        <v>50</v>
      </c>
      <c r="T679" s="199" t="str">
        <f t="shared" si="23"/>
        <v>50grams</v>
      </c>
      <c r="U679" s="200">
        <f t="shared" si="24"/>
        <v>28.6</v>
      </c>
      <c r="V679" s="12"/>
      <c r="W679" s="12"/>
    </row>
    <row r="680" spans="1:23" x14ac:dyDescent="0.3">
      <c r="A680" s="193" t="e">
        <f ca="1"/>
        <v>#NAME?</v>
      </c>
      <c r="B680" s="46" t="s">
        <v>68</v>
      </c>
      <c r="C680" s="315"/>
      <c r="D680" s="316"/>
      <c r="E680" s="315"/>
      <c r="F680" s="315"/>
      <c r="G680" s="315"/>
      <c r="H680" s="153"/>
      <c r="I680" s="12"/>
      <c r="J680" s="46" t="s">
        <v>1263</v>
      </c>
      <c r="K680" s="12"/>
      <c r="L680" s="288">
        <v>20</v>
      </c>
      <c r="M680" s="289">
        <v>4</v>
      </c>
      <c r="N680" s="290">
        <v>25</v>
      </c>
      <c r="O680" s="60"/>
      <c r="P680" s="60" t="s">
        <v>39</v>
      </c>
      <c r="Q680" s="12"/>
      <c r="R680" s="192" t="str">
        <f t="shared" si="21"/>
        <v>25grams</v>
      </c>
      <c r="S680" s="198">
        <f t="shared" si="22"/>
        <v>100</v>
      </c>
      <c r="T680" s="199" t="str">
        <f t="shared" si="23"/>
        <v>100grams</v>
      </c>
      <c r="U680" s="200">
        <f t="shared" si="24"/>
        <v>80</v>
      </c>
      <c r="V680" s="12"/>
      <c r="W680" s="12"/>
    </row>
    <row r="681" spans="1:23" x14ac:dyDescent="0.3">
      <c r="A681" s="193" t="e">
        <f ca="1"/>
        <v>#NAME?</v>
      </c>
      <c r="B681" s="46" t="s">
        <v>68</v>
      </c>
      <c r="C681" s="315"/>
      <c r="D681" s="316"/>
      <c r="E681" s="315"/>
      <c r="F681" s="315"/>
      <c r="G681" s="315"/>
      <c r="H681" s="153"/>
      <c r="I681" s="12"/>
      <c r="J681" s="46" t="s">
        <v>1263</v>
      </c>
      <c r="K681" s="12"/>
      <c r="L681" s="288">
        <v>16</v>
      </c>
      <c r="M681" s="289">
        <v>4</v>
      </c>
      <c r="N681" s="290">
        <v>25</v>
      </c>
      <c r="O681" s="46"/>
      <c r="P681" s="46" t="s">
        <v>39</v>
      </c>
      <c r="Q681" s="12"/>
      <c r="R681" s="192" t="str">
        <f t="shared" si="21"/>
        <v>25grams</v>
      </c>
      <c r="S681" s="198">
        <f t="shared" si="22"/>
        <v>100</v>
      </c>
      <c r="T681" s="199" t="str">
        <f t="shared" si="23"/>
        <v>100grams</v>
      </c>
      <c r="U681" s="200">
        <f t="shared" si="24"/>
        <v>64</v>
      </c>
      <c r="V681" s="12"/>
      <c r="W681" s="12"/>
    </row>
    <row r="682" spans="1:23" x14ac:dyDescent="0.3">
      <c r="A682" s="193" t="e">
        <f ca="1"/>
        <v>#NAME?</v>
      </c>
      <c r="B682" s="46" t="s">
        <v>68</v>
      </c>
      <c r="C682" s="315"/>
      <c r="D682" s="316"/>
      <c r="E682" s="315"/>
      <c r="F682" s="315"/>
      <c r="G682" s="315"/>
      <c r="H682" s="153"/>
      <c r="I682" s="12"/>
      <c r="J682" s="46" t="s">
        <v>1263</v>
      </c>
      <c r="K682" s="12"/>
      <c r="L682" s="288">
        <v>13</v>
      </c>
      <c r="M682" s="289">
        <v>17</v>
      </c>
      <c r="N682" s="290">
        <v>25</v>
      </c>
      <c r="O682" s="46"/>
      <c r="P682" s="46" t="s">
        <v>39</v>
      </c>
      <c r="Q682" s="12"/>
      <c r="R682" s="192" t="str">
        <f t="shared" si="21"/>
        <v>25grams</v>
      </c>
      <c r="S682" s="198">
        <f t="shared" si="22"/>
        <v>425</v>
      </c>
      <c r="T682" s="199" t="str">
        <f t="shared" si="23"/>
        <v>425grams</v>
      </c>
      <c r="U682" s="200">
        <f t="shared" si="24"/>
        <v>221</v>
      </c>
      <c r="V682" s="12"/>
      <c r="W682" s="12"/>
    </row>
    <row r="683" spans="1:23" x14ac:dyDescent="0.3">
      <c r="A683" s="193" t="e">
        <f ca="1"/>
        <v>#NAME?</v>
      </c>
      <c r="B683" s="46" t="s">
        <v>1265</v>
      </c>
      <c r="C683" s="315"/>
      <c r="D683" s="316"/>
      <c r="E683" s="315"/>
      <c r="F683" s="315"/>
      <c r="G683" s="315"/>
      <c r="H683" s="153"/>
      <c r="I683" s="12"/>
      <c r="J683" s="46" t="s">
        <v>1263</v>
      </c>
      <c r="K683" s="12"/>
      <c r="L683" s="288">
        <v>14.3</v>
      </c>
      <c r="M683" s="289">
        <v>2</v>
      </c>
      <c r="N683" s="290">
        <v>25</v>
      </c>
      <c r="O683" s="46"/>
      <c r="P683" s="46" t="s">
        <v>39</v>
      </c>
      <c r="Q683" s="12"/>
      <c r="R683" s="192" t="str">
        <f t="shared" si="21"/>
        <v>25grams</v>
      </c>
      <c r="S683" s="198">
        <f t="shared" si="22"/>
        <v>50</v>
      </c>
      <c r="T683" s="199" t="str">
        <f t="shared" si="23"/>
        <v>50grams</v>
      </c>
      <c r="U683" s="200">
        <f t="shared" si="24"/>
        <v>28.6</v>
      </c>
      <c r="V683" s="12"/>
      <c r="W683" s="12"/>
    </row>
    <row r="684" spans="1:23" x14ac:dyDescent="0.3">
      <c r="A684" s="193" t="e">
        <f ca="1"/>
        <v>#NAME?</v>
      </c>
      <c r="B684" s="46" t="s">
        <v>71</v>
      </c>
      <c r="C684" s="315"/>
      <c r="D684" s="316"/>
      <c r="E684" s="315"/>
      <c r="F684" s="315"/>
      <c r="G684" s="315"/>
      <c r="H684" s="153"/>
      <c r="I684" s="12"/>
      <c r="J684" s="46" t="s">
        <v>1264</v>
      </c>
      <c r="K684" s="12"/>
      <c r="L684" s="288">
        <v>13.27</v>
      </c>
      <c r="M684" s="289">
        <v>1</v>
      </c>
      <c r="N684" s="290">
        <v>25</v>
      </c>
      <c r="O684" s="46"/>
      <c r="P684" s="46" t="s">
        <v>39</v>
      </c>
      <c r="Q684" s="12"/>
      <c r="R684" s="192" t="str">
        <f t="shared" si="21"/>
        <v>25grams</v>
      </c>
      <c r="S684" s="198">
        <f t="shared" si="22"/>
        <v>25</v>
      </c>
      <c r="T684" s="199" t="str">
        <f t="shared" si="23"/>
        <v>25grams</v>
      </c>
      <c r="U684" s="200">
        <f t="shared" si="24"/>
        <v>13.27</v>
      </c>
      <c r="V684" s="12"/>
      <c r="W684" s="12"/>
    </row>
    <row r="685" spans="1:23" x14ac:dyDescent="0.3">
      <c r="A685" s="193" t="e">
        <f ca="1"/>
        <v>#NAME?</v>
      </c>
      <c r="B685" s="46" t="s">
        <v>71</v>
      </c>
      <c r="C685" s="315"/>
      <c r="D685" s="316"/>
      <c r="E685" s="315"/>
      <c r="F685" s="315"/>
      <c r="G685" s="315"/>
      <c r="H685" s="153"/>
      <c r="I685" s="12"/>
      <c r="J685" s="46" t="s">
        <v>1253</v>
      </c>
      <c r="K685" s="12"/>
      <c r="L685" s="288">
        <v>117.9</v>
      </c>
      <c r="M685" s="289">
        <v>3</v>
      </c>
      <c r="N685" s="290">
        <v>250</v>
      </c>
      <c r="O685" s="46"/>
      <c r="P685" s="46" t="s">
        <v>39</v>
      </c>
      <c r="Q685" s="12"/>
      <c r="R685" s="192" t="str">
        <f t="shared" si="21"/>
        <v>250grams</v>
      </c>
      <c r="S685" s="198">
        <f t="shared" si="22"/>
        <v>750</v>
      </c>
      <c r="T685" s="199" t="str">
        <f t="shared" si="23"/>
        <v>750grams</v>
      </c>
      <c r="U685" s="200">
        <f t="shared" si="24"/>
        <v>353.70000000000005</v>
      </c>
      <c r="V685" s="12"/>
      <c r="W685" s="12"/>
    </row>
    <row r="686" spans="1:23" x14ac:dyDescent="0.3">
      <c r="A686" s="193" t="e">
        <f ca="1"/>
        <v>#NAME?</v>
      </c>
      <c r="B686" s="46" t="s">
        <v>71</v>
      </c>
      <c r="C686" s="315"/>
      <c r="D686" s="316"/>
      <c r="E686" s="315"/>
      <c r="F686" s="315"/>
      <c r="G686" s="315"/>
      <c r="H686" s="153"/>
      <c r="I686" s="12"/>
      <c r="J686" s="46" t="s">
        <v>1253</v>
      </c>
      <c r="K686" s="12"/>
      <c r="L686" s="288">
        <v>20</v>
      </c>
      <c r="M686" s="289">
        <v>1</v>
      </c>
      <c r="N686" s="290">
        <v>25</v>
      </c>
      <c r="O686" s="46"/>
      <c r="P686" s="46" t="s">
        <v>39</v>
      </c>
      <c r="Q686" s="12"/>
      <c r="R686" s="192" t="str">
        <f t="shared" si="21"/>
        <v>25grams</v>
      </c>
      <c r="S686" s="198">
        <f t="shared" si="22"/>
        <v>25</v>
      </c>
      <c r="T686" s="199" t="str">
        <f t="shared" si="23"/>
        <v>25grams</v>
      </c>
      <c r="U686" s="200">
        <f t="shared" si="24"/>
        <v>20</v>
      </c>
      <c r="V686" s="12"/>
      <c r="W686" s="12"/>
    </row>
    <row r="687" spans="1:23" x14ac:dyDescent="0.3">
      <c r="A687" s="193" t="e">
        <f ca="1"/>
        <v>#NAME?</v>
      </c>
      <c r="B687" s="46" t="s">
        <v>71</v>
      </c>
      <c r="C687" s="315"/>
      <c r="D687" s="316"/>
      <c r="E687" s="315"/>
      <c r="F687" s="315"/>
      <c r="G687" s="315"/>
      <c r="H687" s="153"/>
      <c r="I687" s="12"/>
      <c r="J687" s="46" t="s">
        <v>1263</v>
      </c>
      <c r="K687" s="12"/>
      <c r="L687" s="288">
        <v>12.64</v>
      </c>
      <c r="M687" s="289">
        <v>7</v>
      </c>
      <c r="N687" s="290">
        <v>25</v>
      </c>
      <c r="O687" s="46"/>
      <c r="P687" s="46" t="s">
        <v>39</v>
      </c>
      <c r="Q687" s="12"/>
      <c r="R687" s="192" t="str">
        <f t="shared" si="21"/>
        <v>25grams</v>
      </c>
      <c r="S687" s="198">
        <f t="shared" si="22"/>
        <v>175</v>
      </c>
      <c r="T687" s="199" t="str">
        <f t="shared" si="23"/>
        <v>175grams</v>
      </c>
      <c r="U687" s="200">
        <f t="shared" si="24"/>
        <v>88.48</v>
      </c>
      <c r="V687" s="12"/>
      <c r="W687" s="12"/>
    </row>
    <row r="688" spans="1:23" x14ac:dyDescent="0.3">
      <c r="A688" s="193" t="e">
        <f ca="1"/>
        <v>#NAME?</v>
      </c>
      <c r="B688" s="46" t="s">
        <v>71</v>
      </c>
      <c r="C688" s="315"/>
      <c r="D688" s="316"/>
      <c r="E688" s="315"/>
      <c r="F688" s="315"/>
      <c r="G688" s="315"/>
      <c r="H688" s="153"/>
      <c r="I688" s="12"/>
      <c r="J688" s="46" t="s">
        <v>1266</v>
      </c>
      <c r="K688" s="12"/>
      <c r="L688" s="288">
        <v>12.64</v>
      </c>
      <c r="M688" s="289">
        <v>13</v>
      </c>
      <c r="N688" s="290">
        <v>25</v>
      </c>
      <c r="O688" s="46"/>
      <c r="P688" s="46" t="s">
        <v>39</v>
      </c>
      <c r="Q688" s="12"/>
      <c r="R688" s="192" t="str">
        <f t="shared" si="21"/>
        <v>25grams</v>
      </c>
      <c r="S688" s="198">
        <f t="shared" si="22"/>
        <v>325</v>
      </c>
      <c r="T688" s="199" t="str">
        <f t="shared" si="23"/>
        <v>325grams</v>
      </c>
      <c r="U688" s="200">
        <f t="shared" si="24"/>
        <v>164.32</v>
      </c>
      <c r="V688" s="12"/>
      <c r="W688" s="12"/>
    </row>
    <row r="689" spans="1:23" x14ac:dyDescent="0.3">
      <c r="A689" s="193" t="e">
        <f ca="1"/>
        <v>#NAME?</v>
      </c>
      <c r="B689" s="46" t="s">
        <v>71</v>
      </c>
      <c r="C689" s="315"/>
      <c r="D689" s="316"/>
      <c r="E689" s="315"/>
      <c r="F689" s="315"/>
      <c r="G689" s="315"/>
      <c r="H689" s="153"/>
      <c r="I689" s="12"/>
      <c r="J689" s="46" t="s">
        <v>1263</v>
      </c>
      <c r="K689" s="12"/>
      <c r="L689" s="288">
        <v>16</v>
      </c>
      <c r="M689" s="289">
        <v>1</v>
      </c>
      <c r="N689" s="290">
        <v>25</v>
      </c>
      <c r="O689" s="46"/>
      <c r="P689" s="46" t="s">
        <v>39</v>
      </c>
      <c r="Q689" s="12"/>
      <c r="R689" s="192" t="str">
        <f t="shared" si="21"/>
        <v>25grams</v>
      </c>
      <c r="S689" s="198">
        <f t="shared" si="22"/>
        <v>25</v>
      </c>
      <c r="T689" s="199" t="str">
        <f t="shared" si="23"/>
        <v>25grams</v>
      </c>
      <c r="U689" s="200">
        <f t="shared" si="24"/>
        <v>16</v>
      </c>
      <c r="V689" s="12"/>
      <c r="W689" s="12"/>
    </row>
    <row r="690" spans="1:23" x14ac:dyDescent="0.3">
      <c r="A690" s="193" t="e">
        <f ca="1"/>
        <v>#NAME?</v>
      </c>
      <c r="B690" s="46" t="s">
        <v>71</v>
      </c>
      <c r="C690" s="315"/>
      <c r="D690" s="316"/>
      <c r="E690" s="315"/>
      <c r="F690" s="315"/>
      <c r="G690" s="315"/>
      <c r="H690" s="153"/>
      <c r="I690" s="12"/>
      <c r="J690" s="46" t="s">
        <v>1263</v>
      </c>
      <c r="K690" s="12"/>
      <c r="L690" s="288">
        <v>13</v>
      </c>
      <c r="M690" s="289">
        <v>3</v>
      </c>
      <c r="N690" s="290">
        <v>25</v>
      </c>
      <c r="O690" s="46"/>
      <c r="P690" s="46" t="s">
        <v>39</v>
      </c>
      <c r="Q690" s="12"/>
      <c r="R690" s="192" t="str">
        <f t="shared" si="21"/>
        <v>25grams</v>
      </c>
      <c r="S690" s="198">
        <f t="shared" si="22"/>
        <v>75</v>
      </c>
      <c r="T690" s="199" t="str">
        <f t="shared" si="23"/>
        <v>75grams</v>
      </c>
      <c r="U690" s="200">
        <f t="shared" si="24"/>
        <v>39</v>
      </c>
      <c r="V690" s="12"/>
      <c r="W690" s="12"/>
    </row>
    <row r="691" spans="1:23" x14ac:dyDescent="0.3">
      <c r="A691" s="193" t="e">
        <f ca="1"/>
        <v>#NAME?</v>
      </c>
      <c r="B691" s="46" t="s">
        <v>72</v>
      </c>
      <c r="C691" s="315"/>
      <c r="D691" s="316"/>
      <c r="E691" s="315"/>
      <c r="F691" s="315"/>
      <c r="G691" s="315"/>
      <c r="H691" s="153"/>
      <c r="I691" s="12"/>
      <c r="J691" s="46" t="s">
        <v>1264</v>
      </c>
      <c r="K691" s="12"/>
      <c r="L691" s="288">
        <v>11.58</v>
      </c>
      <c r="M691" s="289">
        <v>14</v>
      </c>
      <c r="N691" s="290">
        <v>25</v>
      </c>
      <c r="O691" s="46"/>
      <c r="P691" s="46" t="s">
        <v>39</v>
      </c>
      <c r="Q691" s="12"/>
      <c r="R691" s="192" t="str">
        <f t="shared" si="21"/>
        <v>25grams</v>
      </c>
      <c r="S691" s="198">
        <f t="shared" si="22"/>
        <v>350</v>
      </c>
      <c r="T691" s="199" t="str">
        <f t="shared" si="23"/>
        <v>350grams</v>
      </c>
      <c r="U691" s="200">
        <f t="shared" si="24"/>
        <v>162.12</v>
      </c>
      <c r="V691" s="12"/>
      <c r="W691" s="12"/>
    </row>
    <row r="692" spans="1:23" x14ac:dyDescent="0.3">
      <c r="A692" s="193" t="e">
        <f ca="1"/>
        <v>#NAME?</v>
      </c>
      <c r="B692" s="46" t="s">
        <v>72</v>
      </c>
      <c r="C692" s="315"/>
      <c r="D692" s="316"/>
      <c r="E692" s="315"/>
      <c r="F692" s="315"/>
      <c r="G692" s="315"/>
      <c r="H692" s="153"/>
      <c r="I692" s="12"/>
      <c r="J692" s="46" t="s">
        <v>1253</v>
      </c>
      <c r="K692" s="12"/>
      <c r="L692" s="288">
        <v>115.8</v>
      </c>
      <c r="M692" s="289">
        <v>6</v>
      </c>
      <c r="N692" s="290">
        <v>250</v>
      </c>
      <c r="O692" s="46"/>
      <c r="P692" s="46" t="s">
        <v>39</v>
      </c>
      <c r="Q692" s="12"/>
      <c r="R692" s="192" t="str">
        <f t="shared" si="21"/>
        <v>250grams</v>
      </c>
      <c r="S692" s="198">
        <f t="shared" si="22"/>
        <v>1500</v>
      </c>
      <c r="T692" s="199" t="str">
        <f t="shared" si="23"/>
        <v>1500grams</v>
      </c>
      <c r="U692" s="200">
        <f t="shared" si="24"/>
        <v>694.8</v>
      </c>
      <c r="V692" s="12"/>
      <c r="W692" s="12"/>
    </row>
    <row r="693" spans="1:23" x14ac:dyDescent="0.3">
      <c r="A693" s="193" t="e">
        <f ca="1"/>
        <v>#NAME?</v>
      </c>
      <c r="B693" s="46" t="s">
        <v>72</v>
      </c>
      <c r="C693" s="315"/>
      <c r="D693" s="316"/>
      <c r="E693" s="315"/>
      <c r="F693" s="315"/>
      <c r="G693" s="315"/>
      <c r="H693" s="153"/>
      <c r="I693" s="12"/>
      <c r="J693" s="46" t="s">
        <v>1267</v>
      </c>
      <c r="K693" s="12"/>
      <c r="L693" s="288">
        <v>20</v>
      </c>
      <c r="M693" s="289">
        <v>3</v>
      </c>
      <c r="N693" s="290">
        <v>25</v>
      </c>
      <c r="O693" s="46"/>
      <c r="P693" s="46" t="s">
        <v>39</v>
      </c>
      <c r="Q693" s="12"/>
      <c r="R693" s="192" t="str">
        <f t="shared" si="21"/>
        <v>25grams</v>
      </c>
      <c r="S693" s="198">
        <f t="shared" si="22"/>
        <v>75</v>
      </c>
      <c r="T693" s="199" t="str">
        <f t="shared" si="23"/>
        <v>75grams</v>
      </c>
      <c r="U693" s="200">
        <f t="shared" si="24"/>
        <v>60</v>
      </c>
      <c r="V693" s="12"/>
      <c r="W693" s="12"/>
    </row>
    <row r="694" spans="1:23" x14ac:dyDescent="0.3">
      <c r="A694" s="193" t="e">
        <f ca="1"/>
        <v>#NAME?</v>
      </c>
      <c r="B694" s="46" t="s">
        <v>72</v>
      </c>
      <c r="C694" s="315"/>
      <c r="D694" s="316"/>
      <c r="E694" s="315"/>
      <c r="F694" s="315"/>
      <c r="G694" s="315"/>
      <c r="H694" s="153"/>
      <c r="I694" s="12"/>
      <c r="J694" s="46" t="s">
        <v>1267</v>
      </c>
      <c r="K694" s="12"/>
      <c r="L694" s="288">
        <v>19</v>
      </c>
      <c r="M694" s="289">
        <v>40</v>
      </c>
      <c r="N694" s="290">
        <v>25</v>
      </c>
      <c r="O694" s="46"/>
      <c r="P694" s="46" t="s">
        <v>39</v>
      </c>
      <c r="Q694" s="12"/>
      <c r="R694" s="192" t="str">
        <f t="shared" si="21"/>
        <v>25grams</v>
      </c>
      <c r="S694" s="198">
        <f t="shared" si="22"/>
        <v>1000</v>
      </c>
      <c r="T694" s="199" t="str">
        <f t="shared" si="23"/>
        <v>1000grams</v>
      </c>
      <c r="U694" s="200">
        <f t="shared" si="24"/>
        <v>760</v>
      </c>
      <c r="V694" s="12"/>
      <c r="W694" s="12"/>
    </row>
    <row r="695" spans="1:23" x14ac:dyDescent="0.3">
      <c r="A695" s="193" t="e">
        <f ca="1"/>
        <v>#NAME?</v>
      </c>
      <c r="B695" s="219" t="s">
        <v>72</v>
      </c>
      <c r="C695" s="315"/>
      <c r="D695" s="316"/>
      <c r="E695" s="315"/>
      <c r="F695" s="315"/>
      <c r="G695" s="315"/>
      <c r="H695" s="153"/>
      <c r="I695" s="12"/>
      <c r="J695" s="219" t="s">
        <v>1267</v>
      </c>
      <c r="K695" s="12"/>
      <c r="L695" s="291">
        <v>16.5</v>
      </c>
      <c r="M695" s="292">
        <v>5</v>
      </c>
      <c r="N695" s="293">
        <v>25</v>
      </c>
      <c r="O695" s="219"/>
      <c r="P695" s="219" t="s">
        <v>39</v>
      </c>
      <c r="Q695" s="12"/>
      <c r="R695" s="192" t="str">
        <f t="shared" si="21"/>
        <v>25grams</v>
      </c>
      <c r="S695" s="198">
        <f t="shared" si="22"/>
        <v>125</v>
      </c>
      <c r="T695" s="199" t="str">
        <f t="shared" si="23"/>
        <v>125grams</v>
      </c>
      <c r="U695" s="200">
        <f t="shared" si="24"/>
        <v>82.5</v>
      </c>
      <c r="V695" s="12"/>
      <c r="W695" s="12"/>
    </row>
    <row r="696" spans="1:23" x14ac:dyDescent="0.3">
      <c r="A696" s="193" t="e">
        <f ca="1"/>
        <v>#NAME?</v>
      </c>
      <c r="B696" s="46" t="s">
        <v>72</v>
      </c>
      <c r="C696" s="315"/>
      <c r="D696" s="316"/>
      <c r="E696" s="315"/>
      <c r="F696" s="315"/>
      <c r="G696" s="315"/>
      <c r="H696" s="153"/>
      <c r="I696" s="12"/>
      <c r="J696" s="46" t="s">
        <v>1263</v>
      </c>
      <c r="K696" s="12"/>
      <c r="L696" s="288">
        <v>16</v>
      </c>
      <c r="M696" s="289">
        <v>6</v>
      </c>
      <c r="N696" s="290">
        <v>25</v>
      </c>
      <c r="O696" s="60"/>
      <c r="P696" s="60" t="s">
        <v>39</v>
      </c>
      <c r="Q696" s="12"/>
      <c r="R696" s="192" t="str">
        <f t="shared" si="21"/>
        <v>25grams</v>
      </c>
      <c r="S696" s="198">
        <f t="shared" si="22"/>
        <v>150</v>
      </c>
      <c r="T696" s="199" t="str">
        <f t="shared" si="23"/>
        <v>150grams</v>
      </c>
      <c r="U696" s="200">
        <f t="shared" si="24"/>
        <v>96</v>
      </c>
      <c r="V696" s="12"/>
      <c r="W696" s="12"/>
    </row>
    <row r="697" spans="1:23" x14ac:dyDescent="0.3">
      <c r="A697" s="193" t="e">
        <f ca="1"/>
        <v>#NAME?</v>
      </c>
      <c r="B697" s="46" t="s">
        <v>631</v>
      </c>
      <c r="C697" s="315"/>
      <c r="D697" s="316"/>
      <c r="E697" s="315"/>
      <c r="F697" s="315"/>
      <c r="G697" s="315"/>
      <c r="H697" s="153"/>
      <c r="I697" s="12"/>
      <c r="J697" s="46" t="s">
        <v>1264</v>
      </c>
      <c r="K697" s="12"/>
      <c r="L697" s="288">
        <v>13.43</v>
      </c>
      <c r="M697" s="289">
        <v>160</v>
      </c>
      <c r="N697" s="290">
        <v>25</v>
      </c>
      <c r="O697" s="46"/>
      <c r="P697" s="46" t="s">
        <v>39</v>
      </c>
      <c r="Q697" s="12"/>
      <c r="R697" s="192" t="str">
        <f t="shared" si="21"/>
        <v>25grams</v>
      </c>
      <c r="S697" s="198">
        <f t="shared" si="22"/>
        <v>4000</v>
      </c>
      <c r="T697" s="199" t="str">
        <f t="shared" si="23"/>
        <v>4000grams</v>
      </c>
      <c r="U697" s="200">
        <f t="shared" si="24"/>
        <v>2148.8000000000002</v>
      </c>
      <c r="V697" s="12"/>
      <c r="W697" s="12"/>
    </row>
    <row r="698" spans="1:23" x14ac:dyDescent="0.3">
      <c r="A698" s="193" t="e">
        <f ca="1"/>
        <v>#NAME?</v>
      </c>
      <c r="B698" s="46" t="s">
        <v>631</v>
      </c>
      <c r="C698" s="315"/>
      <c r="D698" s="316"/>
      <c r="E698" s="315"/>
      <c r="F698" s="315"/>
      <c r="G698" s="315"/>
      <c r="H698" s="153"/>
      <c r="I698" s="12"/>
      <c r="J698" s="46" t="s">
        <v>69</v>
      </c>
      <c r="K698" s="12"/>
      <c r="L698" s="288">
        <v>115.8</v>
      </c>
      <c r="M698" s="289">
        <v>8</v>
      </c>
      <c r="N698" s="290">
        <v>25</v>
      </c>
      <c r="O698" s="46"/>
      <c r="P698" s="46" t="s">
        <v>39</v>
      </c>
      <c r="Q698" s="12"/>
      <c r="R698" s="192" t="str">
        <f t="shared" si="21"/>
        <v>25grams</v>
      </c>
      <c r="S698" s="198">
        <f t="shared" si="22"/>
        <v>200</v>
      </c>
      <c r="T698" s="199" t="str">
        <f t="shared" si="23"/>
        <v>200grams</v>
      </c>
      <c r="U698" s="200">
        <f t="shared" si="24"/>
        <v>926.4</v>
      </c>
      <c r="V698" s="12"/>
      <c r="W698" s="12"/>
    </row>
    <row r="699" spans="1:23" x14ac:dyDescent="0.3">
      <c r="A699" s="193" t="e">
        <f ca="1"/>
        <v>#NAME?</v>
      </c>
      <c r="B699" s="46" t="s">
        <v>631</v>
      </c>
      <c r="C699" s="315"/>
      <c r="D699" s="316"/>
      <c r="E699" s="315"/>
      <c r="F699" s="315"/>
      <c r="G699" s="315"/>
      <c r="H699" s="153"/>
      <c r="I699" s="12"/>
      <c r="J699" s="46" t="s">
        <v>1263</v>
      </c>
      <c r="K699" s="12"/>
      <c r="L699" s="288">
        <v>13</v>
      </c>
      <c r="M699" s="289">
        <v>7</v>
      </c>
      <c r="N699" s="290">
        <v>25</v>
      </c>
      <c r="O699" s="46"/>
      <c r="P699" s="46" t="s">
        <v>39</v>
      </c>
      <c r="Q699" s="12"/>
      <c r="R699" s="192" t="str">
        <f t="shared" si="21"/>
        <v>25grams</v>
      </c>
      <c r="S699" s="198">
        <f t="shared" si="22"/>
        <v>175</v>
      </c>
      <c r="T699" s="199" t="str">
        <f t="shared" si="23"/>
        <v>175grams</v>
      </c>
      <c r="U699" s="200">
        <f t="shared" si="24"/>
        <v>91</v>
      </c>
      <c r="V699" s="12"/>
      <c r="W699" s="12"/>
    </row>
    <row r="700" spans="1:23" x14ac:dyDescent="0.3">
      <c r="A700" s="193" t="e">
        <f ca="1"/>
        <v>#NAME?</v>
      </c>
      <c r="B700" s="219" t="s">
        <v>1268</v>
      </c>
      <c r="C700" s="315"/>
      <c r="D700" s="316"/>
      <c r="E700" s="315"/>
      <c r="F700" s="315"/>
      <c r="G700" s="315"/>
      <c r="H700" s="153"/>
      <c r="I700" s="12"/>
      <c r="J700" s="219" t="s">
        <v>1062</v>
      </c>
      <c r="K700" s="12"/>
      <c r="L700" s="291">
        <v>75</v>
      </c>
      <c r="M700" s="292">
        <v>12</v>
      </c>
      <c r="N700" s="293">
        <v>1</v>
      </c>
      <c r="O700" s="219"/>
      <c r="P700" s="219" t="s">
        <v>1064</v>
      </c>
      <c r="Q700" s="12"/>
      <c r="R700" s="192" t="str">
        <f t="shared" si="21"/>
        <v>1jar</v>
      </c>
      <c r="S700" s="198">
        <f t="shared" si="22"/>
        <v>12</v>
      </c>
      <c r="T700" s="199" t="str">
        <f t="shared" si="23"/>
        <v>12jar</v>
      </c>
      <c r="U700" s="200">
        <f t="shared" si="24"/>
        <v>900</v>
      </c>
      <c r="V700" s="12"/>
      <c r="W700" s="12"/>
    </row>
    <row r="701" spans="1:23" x14ac:dyDescent="0.3">
      <c r="A701" s="193" t="e">
        <f ca="1"/>
        <v>#NAME?</v>
      </c>
      <c r="B701" s="46" t="s">
        <v>1269</v>
      </c>
      <c r="C701" s="315"/>
      <c r="D701" s="316"/>
      <c r="E701" s="315"/>
      <c r="F701" s="315"/>
      <c r="G701" s="315"/>
      <c r="H701" s="153"/>
      <c r="I701" s="12"/>
      <c r="J701" s="46" t="s">
        <v>869</v>
      </c>
      <c r="K701" s="12"/>
      <c r="L701" s="288">
        <v>57</v>
      </c>
      <c r="M701" s="289">
        <v>5</v>
      </c>
      <c r="N701" s="290">
        <v>150</v>
      </c>
      <c r="O701" s="46"/>
      <c r="P701" s="46" t="s">
        <v>39</v>
      </c>
      <c r="Q701" s="12"/>
      <c r="R701" s="192" t="str">
        <f t="shared" si="21"/>
        <v>150grams</v>
      </c>
      <c r="S701" s="198">
        <f t="shared" si="22"/>
        <v>750</v>
      </c>
      <c r="T701" s="199" t="str">
        <f t="shared" si="23"/>
        <v>750grams</v>
      </c>
      <c r="U701" s="200">
        <f t="shared" si="24"/>
        <v>285</v>
      </c>
      <c r="V701" s="12"/>
      <c r="W701" s="12"/>
    </row>
    <row r="702" spans="1:23" x14ac:dyDescent="0.3">
      <c r="A702" s="193" t="e">
        <f ca="1"/>
        <v>#NAME?</v>
      </c>
      <c r="B702" s="46" t="s">
        <v>1269</v>
      </c>
      <c r="C702" s="315"/>
      <c r="D702" s="316"/>
      <c r="E702" s="315"/>
      <c r="F702" s="315"/>
      <c r="G702" s="315"/>
      <c r="H702" s="153"/>
      <c r="I702" s="12"/>
      <c r="J702" s="46" t="s">
        <v>1270</v>
      </c>
      <c r="K702" s="12"/>
      <c r="L702" s="288">
        <v>61.7</v>
      </c>
      <c r="M702" s="289">
        <v>11</v>
      </c>
      <c r="N702" s="290">
        <v>250</v>
      </c>
      <c r="O702" s="46"/>
      <c r="P702" s="46" t="s">
        <v>39</v>
      </c>
      <c r="Q702" s="12"/>
      <c r="R702" s="192" t="str">
        <f t="shared" si="21"/>
        <v>250grams</v>
      </c>
      <c r="S702" s="198">
        <f t="shared" si="22"/>
        <v>2750</v>
      </c>
      <c r="T702" s="199" t="str">
        <f t="shared" si="23"/>
        <v>2750grams</v>
      </c>
      <c r="U702" s="200">
        <f t="shared" si="24"/>
        <v>678.7</v>
      </c>
      <c r="V702" s="12"/>
      <c r="W702" s="12"/>
    </row>
    <row r="703" spans="1:23" x14ac:dyDescent="0.3">
      <c r="A703" s="193" t="e">
        <f ca="1"/>
        <v>#NAME?</v>
      </c>
      <c r="B703" s="219" t="s">
        <v>201</v>
      </c>
      <c r="C703" s="315"/>
      <c r="D703" s="316"/>
      <c r="E703" s="315"/>
      <c r="F703" s="315"/>
      <c r="G703" s="315"/>
      <c r="H703" s="153"/>
      <c r="I703" s="12"/>
      <c r="J703" s="46" t="s">
        <v>858</v>
      </c>
      <c r="K703" s="12"/>
      <c r="L703" s="288">
        <v>65</v>
      </c>
      <c r="M703" s="289">
        <v>14</v>
      </c>
      <c r="N703" s="290">
        <v>100</v>
      </c>
      <c r="O703" s="46"/>
      <c r="P703" s="46" t="s">
        <v>92</v>
      </c>
      <c r="Q703" s="12"/>
      <c r="R703" s="192" t="str">
        <f t="shared" si="21"/>
        <v>100pieces</v>
      </c>
      <c r="S703" s="198">
        <f t="shared" si="22"/>
        <v>1400</v>
      </c>
      <c r="T703" s="199" t="str">
        <f t="shared" si="23"/>
        <v>1400pieces</v>
      </c>
      <c r="U703" s="200">
        <f t="shared" si="24"/>
        <v>910</v>
      </c>
      <c r="V703" s="12"/>
      <c r="W703" s="12"/>
    </row>
    <row r="704" spans="1:23" x14ac:dyDescent="0.3">
      <c r="A704" s="193" t="e">
        <f ca="1"/>
        <v>#NAME?</v>
      </c>
      <c r="B704" s="46" t="s">
        <v>201</v>
      </c>
      <c r="C704" s="315"/>
      <c r="D704" s="316"/>
      <c r="E704" s="315"/>
      <c r="F704" s="315"/>
      <c r="G704" s="315"/>
      <c r="H704" s="153"/>
      <c r="I704" s="12"/>
      <c r="J704" s="46" t="s">
        <v>858</v>
      </c>
      <c r="K704" s="12"/>
      <c r="L704" s="288">
        <v>49</v>
      </c>
      <c r="M704" s="289">
        <v>3</v>
      </c>
      <c r="N704" s="290">
        <v>1</v>
      </c>
      <c r="O704" s="46"/>
      <c r="P704" s="46" t="s">
        <v>304</v>
      </c>
      <c r="Q704" s="12"/>
      <c r="R704" s="192" t="str">
        <f t="shared" si="21"/>
        <v>1packs</v>
      </c>
      <c r="S704" s="198">
        <f t="shared" si="22"/>
        <v>3</v>
      </c>
      <c r="T704" s="199" t="str">
        <f t="shared" si="23"/>
        <v>3packs</v>
      </c>
      <c r="U704" s="200">
        <f t="shared" si="24"/>
        <v>147</v>
      </c>
      <c r="V704" s="12"/>
      <c r="W704" s="12"/>
    </row>
    <row r="705" spans="1:23" x14ac:dyDescent="0.3">
      <c r="A705" s="193" t="e">
        <f ca="1"/>
        <v>#NAME?</v>
      </c>
      <c r="B705" s="46" t="s">
        <v>201</v>
      </c>
      <c r="C705" s="315"/>
      <c r="D705" s="316"/>
      <c r="E705" s="315"/>
      <c r="F705" s="315"/>
      <c r="G705" s="315"/>
      <c r="H705" s="153"/>
      <c r="I705" s="12"/>
      <c r="J705" s="46" t="s">
        <v>1199</v>
      </c>
      <c r="K705" s="12"/>
      <c r="L705" s="288">
        <v>45</v>
      </c>
      <c r="M705" s="289">
        <v>2</v>
      </c>
      <c r="N705" s="290">
        <v>1</v>
      </c>
      <c r="O705" s="46"/>
      <c r="P705" s="46" t="s">
        <v>304</v>
      </c>
      <c r="Q705" s="12"/>
      <c r="R705" s="192" t="str">
        <f t="shared" si="21"/>
        <v>1packs</v>
      </c>
      <c r="S705" s="198">
        <f t="shared" si="22"/>
        <v>2</v>
      </c>
      <c r="T705" s="199" t="str">
        <f t="shared" si="23"/>
        <v>2packs</v>
      </c>
      <c r="U705" s="200">
        <f t="shared" si="24"/>
        <v>90</v>
      </c>
      <c r="V705" s="12"/>
      <c r="W705" s="12"/>
    </row>
    <row r="706" spans="1:23" x14ac:dyDescent="0.3">
      <c r="A706" s="193" t="e">
        <f ca="1"/>
        <v>#NAME?</v>
      </c>
      <c r="B706" s="46" t="s">
        <v>201</v>
      </c>
      <c r="C706" s="315"/>
      <c r="D706" s="316"/>
      <c r="E706" s="315"/>
      <c r="F706" s="315"/>
      <c r="G706" s="315"/>
      <c r="H706" s="153"/>
      <c r="I706" s="12"/>
      <c r="J706" s="46" t="s">
        <v>858</v>
      </c>
      <c r="K706" s="12"/>
      <c r="L706" s="288">
        <v>45</v>
      </c>
      <c r="M706" s="289">
        <v>20</v>
      </c>
      <c r="N706" s="290">
        <v>1</v>
      </c>
      <c r="O706" s="46"/>
      <c r="P706" s="46" t="s">
        <v>304</v>
      </c>
      <c r="Q706" s="12"/>
      <c r="R706" s="192" t="str">
        <f t="shared" si="21"/>
        <v>1packs</v>
      </c>
      <c r="S706" s="198">
        <f t="shared" si="22"/>
        <v>20</v>
      </c>
      <c r="T706" s="199" t="str">
        <f t="shared" si="23"/>
        <v>20packs</v>
      </c>
      <c r="U706" s="200">
        <f t="shared" si="24"/>
        <v>900</v>
      </c>
      <c r="V706" s="12"/>
      <c r="W706" s="12"/>
    </row>
    <row r="707" spans="1:23" x14ac:dyDescent="0.3">
      <c r="A707" s="193" t="e">
        <f ca="1"/>
        <v>#NAME?</v>
      </c>
      <c r="B707" s="46" t="s">
        <v>1271</v>
      </c>
      <c r="C707" s="315"/>
      <c r="D707" s="316"/>
      <c r="E707" s="315"/>
      <c r="F707" s="315"/>
      <c r="G707" s="315"/>
      <c r="H707" s="153"/>
      <c r="I707" s="12"/>
      <c r="J707" s="46" t="s">
        <v>1272</v>
      </c>
      <c r="K707" s="12"/>
      <c r="L707" s="288">
        <v>172</v>
      </c>
      <c r="M707" s="289">
        <v>2</v>
      </c>
      <c r="N707" s="290">
        <v>1</v>
      </c>
      <c r="O707" s="46"/>
      <c r="P707" s="46" t="s">
        <v>92</v>
      </c>
      <c r="Q707" s="12"/>
      <c r="R707" s="192" t="str">
        <f t="shared" si="21"/>
        <v>1pieces</v>
      </c>
      <c r="S707" s="198">
        <f t="shared" si="22"/>
        <v>2</v>
      </c>
      <c r="T707" s="199" t="str">
        <f t="shared" si="23"/>
        <v>2pieces</v>
      </c>
      <c r="U707" s="200">
        <f t="shared" si="24"/>
        <v>344</v>
      </c>
      <c r="V707" s="12"/>
      <c r="W707" s="12"/>
    </row>
    <row r="708" spans="1:23" x14ac:dyDescent="0.3">
      <c r="A708" s="193" t="e">
        <f ca="1"/>
        <v>#NAME?</v>
      </c>
      <c r="B708" s="46" t="s">
        <v>1273</v>
      </c>
      <c r="C708" s="315"/>
      <c r="D708" s="316"/>
      <c r="E708" s="315"/>
      <c r="F708" s="315"/>
      <c r="G708" s="315"/>
      <c r="H708" s="153"/>
      <c r="I708" s="12"/>
      <c r="J708" s="170"/>
      <c r="K708" s="12"/>
      <c r="L708" s="288">
        <v>200</v>
      </c>
      <c r="M708" s="289">
        <v>5</v>
      </c>
      <c r="N708" s="290">
        <v>1000</v>
      </c>
      <c r="O708" s="46"/>
      <c r="P708" s="46" t="s">
        <v>39</v>
      </c>
      <c r="Q708" s="12"/>
      <c r="R708" s="192" t="str">
        <f t="shared" si="21"/>
        <v>1000grams</v>
      </c>
      <c r="S708" s="198">
        <f t="shared" si="22"/>
        <v>5000</v>
      </c>
      <c r="T708" s="199" t="str">
        <f t="shared" si="23"/>
        <v>5000grams</v>
      </c>
      <c r="U708" s="200">
        <f t="shared" si="24"/>
        <v>1000</v>
      </c>
      <c r="V708" s="12"/>
      <c r="W708" s="12"/>
    </row>
    <row r="709" spans="1:23" x14ac:dyDescent="0.3">
      <c r="A709" s="193" t="e">
        <f ca="1"/>
        <v>#NAME?</v>
      </c>
      <c r="B709" s="46" t="s">
        <v>1274</v>
      </c>
      <c r="C709" s="315"/>
      <c r="D709" s="316"/>
      <c r="E709" s="315"/>
      <c r="F709" s="315"/>
      <c r="G709" s="315"/>
      <c r="H709" s="153"/>
      <c r="I709" s="12"/>
      <c r="J709" s="170"/>
      <c r="K709" s="12"/>
      <c r="L709" s="288">
        <v>530</v>
      </c>
      <c r="M709" s="289">
        <v>1</v>
      </c>
      <c r="N709" s="290">
        <v>1000</v>
      </c>
      <c r="O709" s="46"/>
      <c r="P709" s="46" t="s">
        <v>39</v>
      </c>
      <c r="Q709" s="12"/>
      <c r="R709" s="192" t="str">
        <f t="shared" si="21"/>
        <v>1000grams</v>
      </c>
      <c r="S709" s="198">
        <f t="shared" si="22"/>
        <v>1000</v>
      </c>
      <c r="T709" s="199" t="str">
        <f t="shared" si="23"/>
        <v>1000grams</v>
      </c>
      <c r="U709" s="200">
        <f t="shared" si="24"/>
        <v>530</v>
      </c>
      <c r="V709" s="12"/>
      <c r="W709" s="12"/>
    </row>
    <row r="710" spans="1:23" x14ac:dyDescent="0.3">
      <c r="A710" s="193" t="e">
        <f ca="1"/>
        <v>#NAME?</v>
      </c>
      <c r="B710" s="219" t="s">
        <v>1275</v>
      </c>
      <c r="C710" s="315"/>
      <c r="D710" s="316"/>
      <c r="E710" s="315"/>
      <c r="F710" s="315"/>
      <c r="G710" s="315"/>
      <c r="H710" s="153"/>
      <c r="I710" s="12"/>
      <c r="J710" s="219" t="s">
        <v>1276</v>
      </c>
      <c r="K710" s="12"/>
      <c r="L710" s="291">
        <v>116.5</v>
      </c>
      <c r="M710" s="292">
        <v>1</v>
      </c>
      <c r="N710" s="293">
        <v>400</v>
      </c>
      <c r="O710" s="219"/>
      <c r="P710" s="219" t="s">
        <v>39</v>
      </c>
      <c r="Q710" s="12"/>
      <c r="R710" s="192" t="str">
        <f t="shared" si="21"/>
        <v>400grams</v>
      </c>
      <c r="S710" s="198">
        <f t="shared" si="22"/>
        <v>400</v>
      </c>
      <c r="T710" s="199" t="str">
        <f t="shared" si="23"/>
        <v>400grams</v>
      </c>
      <c r="U710" s="200">
        <f t="shared" si="24"/>
        <v>116.5</v>
      </c>
      <c r="V710" s="12"/>
      <c r="W710" s="12"/>
    </row>
    <row r="711" spans="1:23" x14ac:dyDescent="0.3">
      <c r="A711" s="193" t="e">
        <f ca="1"/>
        <v>#NAME?</v>
      </c>
      <c r="B711" s="46" t="s">
        <v>1277</v>
      </c>
      <c r="C711" s="315"/>
      <c r="D711" s="316"/>
      <c r="E711" s="315"/>
      <c r="F711" s="315"/>
      <c r="G711" s="315"/>
      <c r="H711" s="153"/>
      <c r="I711" s="12"/>
      <c r="J711" s="46" t="s">
        <v>1102</v>
      </c>
      <c r="K711" s="12"/>
      <c r="L711" s="288">
        <v>153</v>
      </c>
      <c r="M711" s="289">
        <v>1</v>
      </c>
      <c r="N711" s="290">
        <v>240</v>
      </c>
      <c r="O711" s="46"/>
      <c r="P711" s="46" t="s">
        <v>39</v>
      </c>
      <c r="Q711" s="12"/>
      <c r="R711" s="192" t="str">
        <f t="shared" si="21"/>
        <v>240grams</v>
      </c>
      <c r="S711" s="198">
        <f t="shared" si="22"/>
        <v>240</v>
      </c>
      <c r="T711" s="199" t="str">
        <f t="shared" si="23"/>
        <v>240grams</v>
      </c>
      <c r="U711" s="200">
        <f t="shared" si="24"/>
        <v>153</v>
      </c>
      <c r="V711" s="12"/>
      <c r="W711" s="12"/>
    </row>
    <row r="712" spans="1:23" x14ac:dyDescent="0.3">
      <c r="A712" s="193" t="e">
        <f ca="1"/>
        <v>#NAME?</v>
      </c>
      <c r="B712" s="46" t="s">
        <v>1277</v>
      </c>
      <c r="C712" s="315"/>
      <c r="D712" s="316"/>
      <c r="E712" s="315"/>
      <c r="F712" s="315"/>
      <c r="G712" s="315"/>
      <c r="H712" s="153"/>
      <c r="I712" s="12"/>
      <c r="J712" s="46" t="s">
        <v>1102</v>
      </c>
      <c r="K712" s="12"/>
      <c r="L712" s="288">
        <v>235</v>
      </c>
      <c r="M712" s="289">
        <v>1</v>
      </c>
      <c r="N712" s="290">
        <v>397</v>
      </c>
      <c r="O712" s="46"/>
      <c r="P712" s="46" t="s">
        <v>39</v>
      </c>
      <c r="Q712" s="12"/>
      <c r="R712" s="192" t="str">
        <f t="shared" si="21"/>
        <v>397grams</v>
      </c>
      <c r="S712" s="198">
        <f t="shared" si="22"/>
        <v>397</v>
      </c>
      <c r="T712" s="199" t="str">
        <f t="shared" si="23"/>
        <v>397grams</v>
      </c>
      <c r="U712" s="200">
        <f t="shared" si="24"/>
        <v>235</v>
      </c>
      <c r="V712" s="12"/>
      <c r="W712" s="12"/>
    </row>
    <row r="713" spans="1:23" x14ac:dyDescent="0.3">
      <c r="A713" s="193" t="e">
        <f ca="1"/>
        <v>#NAME?</v>
      </c>
      <c r="B713" s="219" t="s">
        <v>1277</v>
      </c>
      <c r="C713" s="315"/>
      <c r="D713" s="316"/>
      <c r="E713" s="315"/>
      <c r="F713" s="315"/>
      <c r="G713" s="315"/>
      <c r="H713" s="153"/>
      <c r="I713" s="12"/>
      <c r="J713" s="46" t="s">
        <v>1102</v>
      </c>
      <c r="K713" s="12"/>
      <c r="L713" s="291">
        <v>201.5</v>
      </c>
      <c r="M713" s="292">
        <v>2</v>
      </c>
      <c r="N713" s="293">
        <v>397</v>
      </c>
      <c r="O713" s="219"/>
      <c r="P713" s="219" t="s">
        <v>39</v>
      </c>
      <c r="Q713" s="12"/>
      <c r="R713" s="192" t="str">
        <f t="shared" si="21"/>
        <v>397grams</v>
      </c>
      <c r="S713" s="198">
        <f t="shared" si="22"/>
        <v>794</v>
      </c>
      <c r="T713" s="199" t="str">
        <f t="shared" si="23"/>
        <v>794grams</v>
      </c>
      <c r="U713" s="200">
        <f t="shared" si="24"/>
        <v>403</v>
      </c>
      <c r="V713" s="12"/>
      <c r="W713" s="12"/>
    </row>
    <row r="714" spans="1:23" x14ac:dyDescent="0.3">
      <c r="A714" s="193" t="e">
        <f ca="1"/>
        <v>#NAME?</v>
      </c>
      <c r="B714" s="219" t="s">
        <v>1277</v>
      </c>
      <c r="C714" s="315"/>
      <c r="D714" s="316"/>
      <c r="E714" s="315"/>
      <c r="F714" s="315"/>
      <c r="G714" s="315"/>
      <c r="H714" s="153"/>
      <c r="I714" s="12"/>
      <c r="J714" s="46" t="s">
        <v>1102</v>
      </c>
      <c r="K714" s="12"/>
      <c r="L714" s="291">
        <v>168</v>
      </c>
      <c r="M714" s="292">
        <v>1</v>
      </c>
      <c r="N714" s="293">
        <v>240</v>
      </c>
      <c r="O714" s="219"/>
      <c r="P714" s="219" t="s">
        <v>39</v>
      </c>
      <c r="Q714" s="12"/>
      <c r="R714" s="192" t="str">
        <f t="shared" si="21"/>
        <v>240grams</v>
      </c>
      <c r="S714" s="198">
        <f t="shared" si="22"/>
        <v>240</v>
      </c>
      <c r="T714" s="199" t="str">
        <f t="shared" si="23"/>
        <v>240grams</v>
      </c>
      <c r="U714" s="200">
        <f t="shared" si="24"/>
        <v>168</v>
      </c>
      <c r="V714" s="12"/>
      <c r="W714" s="12"/>
    </row>
    <row r="715" spans="1:23" x14ac:dyDescent="0.3">
      <c r="A715" s="193" t="e">
        <f ca="1"/>
        <v>#NAME?</v>
      </c>
      <c r="B715" s="46" t="s">
        <v>1278</v>
      </c>
      <c r="C715" s="315"/>
      <c r="D715" s="316"/>
      <c r="E715" s="315"/>
      <c r="F715" s="315"/>
      <c r="G715" s="315"/>
      <c r="H715" s="153"/>
      <c r="I715" s="12"/>
      <c r="J715" s="46" t="s">
        <v>1279</v>
      </c>
      <c r="K715" s="12"/>
      <c r="L715" s="288">
        <v>330</v>
      </c>
      <c r="M715" s="289">
        <v>1</v>
      </c>
      <c r="N715" s="290">
        <v>750</v>
      </c>
      <c r="O715" s="46"/>
      <c r="P715" s="46" t="s">
        <v>213</v>
      </c>
      <c r="Q715" s="12"/>
      <c r="R715" s="192" t="str">
        <f t="shared" si="21"/>
        <v>750kilos</v>
      </c>
      <c r="S715" s="198">
        <f t="shared" si="22"/>
        <v>750</v>
      </c>
      <c r="T715" s="199" t="str">
        <f t="shared" si="23"/>
        <v>750kilos</v>
      </c>
      <c r="U715" s="200">
        <f t="shared" si="24"/>
        <v>330</v>
      </c>
      <c r="V715" s="12"/>
      <c r="W715" s="12"/>
    </row>
    <row r="716" spans="1:23" x14ac:dyDescent="0.3">
      <c r="A716" s="193" t="e">
        <f ca="1"/>
        <v>#NAME?</v>
      </c>
      <c r="B716" s="46" t="s">
        <v>1280</v>
      </c>
      <c r="C716" s="315"/>
      <c r="D716" s="316"/>
      <c r="E716" s="315"/>
      <c r="F716" s="315"/>
      <c r="G716" s="315"/>
      <c r="H716" s="153"/>
      <c r="I716" s="12"/>
      <c r="J716" s="46" t="s">
        <v>1281</v>
      </c>
      <c r="K716" s="12"/>
      <c r="L716" s="288">
        <v>5.5</v>
      </c>
      <c r="M716" s="289">
        <v>7</v>
      </c>
      <c r="N716" s="290">
        <v>40</v>
      </c>
      <c r="O716" s="46"/>
      <c r="P716" s="46" t="s">
        <v>39</v>
      </c>
      <c r="Q716" s="12"/>
      <c r="R716" s="192" t="str">
        <f t="shared" si="21"/>
        <v>40grams</v>
      </c>
      <c r="S716" s="198">
        <f t="shared" si="22"/>
        <v>280</v>
      </c>
      <c r="T716" s="199" t="str">
        <f t="shared" si="23"/>
        <v>280grams</v>
      </c>
      <c r="U716" s="200">
        <f t="shared" si="24"/>
        <v>38.5</v>
      </c>
      <c r="V716" s="12"/>
      <c r="W716" s="12"/>
    </row>
    <row r="717" spans="1:23" x14ac:dyDescent="0.3">
      <c r="A717" s="193" t="e">
        <f ca="1"/>
        <v>#NAME?</v>
      </c>
      <c r="B717" s="46" t="s">
        <v>1282</v>
      </c>
      <c r="C717" s="315"/>
      <c r="D717" s="316"/>
      <c r="E717" s="315"/>
      <c r="F717" s="315"/>
      <c r="G717" s="315"/>
      <c r="H717" s="153"/>
      <c r="I717" s="12"/>
      <c r="J717" s="46" t="s">
        <v>1281</v>
      </c>
      <c r="K717" s="12"/>
      <c r="L717" s="288">
        <v>6</v>
      </c>
      <c r="M717" s="289">
        <v>6</v>
      </c>
      <c r="N717" s="290">
        <v>40</v>
      </c>
      <c r="O717" s="46"/>
      <c r="P717" s="46" t="s">
        <v>39</v>
      </c>
      <c r="Q717" s="12"/>
      <c r="R717" s="192" t="str">
        <f t="shared" si="21"/>
        <v>40grams</v>
      </c>
      <c r="S717" s="198">
        <f t="shared" si="22"/>
        <v>240</v>
      </c>
      <c r="T717" s="199" t="str">
        <f t="shared" si="23"/>
        <v>240grams</v>
      </c>
      <c r="U717" s="200">
        <f t="shared" si="24"/>
        <v>36</v>
      </c>
      <c r="V717" s="12"/>
      <c r="W717" s="12"/>
    </row>
    <row r="718" spans="1:23" x14ac:dyDescent="0.3">
      <c r="A718" s="193" t="e">
        <f ca="1"/>
        <v>#NAME?</v>
      </c>
      <c r="B718" s="46" t="s">
        <v>1283</v>
      </c>
      <c r="C718" s="315"/>
      <c r="D718" s="316"/>
      <c r="E718" s="315"/>
      <c r="F718" s="315"/>
      <c r="G718" s="315"/>
      <c r="H718" s="153"/>
      <c r="I718" s="12"/>
      <c r="J718" s="46" t="s">
        <v>1284</v>
      </c>
      <c r="K718" s="12"/>
      <c r="L718" s="288">
        <v>89</v>
      </c>
      <c r="M718" s="289">
        <v>1</v>
      </c>
      <c r="N718" s="290">
        <v>60</v>
      </c>
      <c r="O718" s="46"/>
      <c r="P718" s="46" t="s">
        <v>32</v>
      </c>
      <c r="Q718" s="12"/>
      <c r="R718" s="192" t="str">
        <f t="shared" si="21"/>
        <v>60ml</v>
      </c>
      <c r="S718" s="198">
        <f t="shared" si="22"/>
        <v>60</v>
      </c>
      <c r="T718" s="199" t="str">
        <f t="shared" si="23"/>
        <v>60ml</v>
      </c>
      <c r="U718" s="200">
        <f t="shared" si="24"/>
        <v>89</v>
      </c>
      <c r="V718" s="12"/>
      <c r="W718" s="12"/>
    </row>
    <row r="719" spans="1:23" x14ac:dyDescent="0.3">
      <c r="A719" s="193" t="e">
        <f ca="1"/>
        <v>#NAME?</v>
      </c>
      <c r="B719" s="219" t="s">
        <v>1283</v>
      </c>
      <c r="C719" s="315"/>
      <c r="D719" s="316"/>
      <c r="E719" s="315"/>
      <c r="F719" s="315"/>
      <c r="G719" s="315"/>
      <c r="H719" s="153"/>
      <c r="I719" s="12"/>
      <c r="J719" s="219" t="s">
        <v>1284</v>
      </c>
      <c r="K719" s="12"/>
      <c r="L719" s="291">
        <v>140</v>
      </c>
      <c r="M719" s="292">
        <v>1</v>
      </c>
      <c r="N719" s="293">
        <v>60</v>
      </c>
      <c r="O719" s="219"/>
      <c r="P719" s="219" t="s">
        <v>32</v>
      </c>
      <c r="Q719" s="12"/>
      <c r="R719" s="192" t="str">
        <f t="shared" si="21"/>
        <v>60ml</v>
      </c>
      <c r="S719" s="198">
        <f t="shared" si="22"/>
        <v>60</v>
      </c>
      <c r="T719" s="199" t="str">
        <f t="shared" si="23"/>
        <v>60ml</v>
      </c>
      <c r="U719" s="200">
        <f t="shared" si="24"/>
        <v>140</v>
      </c>
      <c r="V719" s="12"/>
      <c r="W719" s="12"/>
    </row>
    <row r="720" spans="1:23" x14ac:dyDescent="0.3">
      <c r="A720" s="193" t="e">
        <f ca="1"/>
        <v>#NAME?</v>
      </c>
      <c r="B720" s="46" t="s">
        <v>1285</v>
      </c>
      <c r="C720" s="315"/>
      <c r="D720" s="316"/>
      <c r="E720" s="315"/>
      <c r="F720" s="315"/>
      <c r="G720" s="315"/>
      <c r="H720" s="153"/>
      <c r="I720" s="12"/>
      <c r="J720" s="46" t="s">
        <v>1286</v>
      </c>
      <c r="K720" s="12"/>
      <c r="L720" s="288">
        <v>22</v>
      </c>
      <c r="M720" s="289">
        <v>3</v>
      </c>
      <c r="N720" s="290">
        <v>50</v>
      </c>
      <c r="O720" s="46"/>
      <c r="P720" s="46" t="s">
        <v>39</v>
      </c>
      <c r="Q720" s="12"/>
      <c r="R720" s="192" t="str">
        <f t="shared" si="21"/>
        <v>50grams</v>
      </c>
      <c r="S720" s="198">
        <f t="shared" si="22"/>
        <v>150</v>
      </c>
      <c r="T720" s="199" t="str">
        <f t="shared" si="23"/>
        <v>150grams</v>
      </c>
      <c r="U720" s="200">
        <f t="shared" si="24"/>
        <v>66</v>
      </c>
      <c r="V720" s="12"/>
      <c r="W720" s="12"/>
    </row>
    <row r="721" spans="1:23" x14ac:dyDescent="0.3">
      <c r="A721" s="193" t="e">
        <f ca="1"/>
        <v>#NAME?</v>
      </c>
      <c r="B721" s="46" t="s">
        <v>73</v>
      </c>
      <c r="C721" s="315"/>
      <c r="D721" s="316"/>
      <c r="E721" s="315"/>
      <c r="F721" s="315"/>
      <c r="G721" s="315"/>
      <c r="H721" s="153"/>
      <c r="I721" s="12"/>
      <c r="J721" s="46" t="s">
        <v>38</v>
      </c>
      <c r="K721" s="12"/>
      <c r="L721" s="288">
        <v>45</v>
      </c>
      <c r="M721" s="289">
        <v>20</v>
      </c>
      <c r="N721" s="290">
        <v>400</v>
      </c>
      <c r="O721" s="46"/>
      <c r="P721" s="46" t="s">
        <v>39</v>
      </c>
      <c r="Q721" s="12"/>
      <c r="R721" s="192" t="str">
        <f t="shared" si="21"/>
        <v>400grams</v>
      </c>
      <c r="S721" s="198">
        <f t="shared" si="22"/>
        <v>8000</v>
      </c>
      <c r="T721" s="199" t="str">
        <f t="shared" si="23"/>
        <v>8000grams</v>
      </c>
      <c r="U721" s="200">
        <f t="shared" si="24"/>
        <v>900</v>
      </c>
      <c r="V721" s="12"/>
      <c r="W721" s="12"/>
    </row>
    <row r="722" spans="1:23" x14ac:dyDescent="0.3">
      <c r="A722" s="193" t="e">
        <f ca="1"/>
        <v>#NAME?</v>
      </c>
      <c r="B722" s="46" t="s">
        <v>73</v>
      </c>
      <c r="C722" s="315"/>
      <c r="D722" s="316"/>
      <c r="E722" s="315"/>
      <c r="F722" s="315"/>
      <c r="G722" s="315"/>
      <c r="H722" s="153"/>
      <c r="I722" s="12"/>
      <c r="J722" s="46" t="s">
        <v>38</v>
      </c>
      <c r="K722" s="12"/>
      <c r="L722" s="288">
        <v>66.5</v>
      </c>
      <c r="M722" s="289">
        <v>3</v>
      </c>
      <c r="N722" s="290">
        <v>500</v>
      </c>
      <c r="O722" s="46"/>
      <c r="P722" s="46" t="s">
        <v>39</v>
      </c>
      <c r="Q722" s="12"/>
      <c r="R722" s="192" t="str">
        <f t="shared" si="21"/>
        <v>500grams</v>
      </c>
      <c r="S722" s="198">
        <f t="shared" si="22"/>
        <v>1500</v>
      </c>
      <c r="T722" s="199" t="str">
        <f t="shared" si="23"/>
        <v>1500grams</v>
      </c>
      <c r="U722" s="200">
        <f t="shared" si="24"/>
        <v>199.5</v>
      </c>
      <c r="V722" s="12"/>
      <c r="W722" s="12"/>
    </row>
    <row r="723" spans="1:23" x14ac:dyDescent="0.3">
      <c r="A723" s="193" t="e">
        <f ca="1"/>
        <v>#NAME?</v>
      </c>
      <c r="B723" s="46" t="s">
        <v>73</v>
      </c>
      <c r="C723" s="315"/>
      <c r="D723" s="316"/>
      <c r="E723" s="315"/>
      <c r="F723" s="315"/>
      <c r="G723" s="315"/>
      <c r="H723" s="153"/>
      <c r="I723" s="12"/>
      <c r="J723" s="46" t="s">
        <v>38</v>
      </c>
      <c r="K723" s="12"/>
      <c r="L723" s="288">
        <v>57.4</v>
      </c>
      <c r="M723" s="289">
        <v>3</v>
      </c>
      <c r="N723" s="290">
        <v>500</v>
      </c>
      <c r="O723" s="46"/>
      <c r="P723" s="46" t="s">
        <v>39</v>
      </c>
      <c r="Q723" s="12"/>
      <c r="R723" s="192" t="str">
        <f t="shared" si="21"/>
        <v>500grams</v>
      </c>
      <c r="S723" s="198">
        <f t="shared" si="22"/>
        <v>1500</v>
      </c>
      <c r="T723" s="199" t="str">
        <f t="shared" si="23"/>
        <v>1500grams</v>
      </c>
      <c r="U723" s="200">
        <f t="shared" si="24"/>
        <v>172.2</v>
      </c>
      <c r="V723" s="12"/>
      <c r="W723" s="12"/>
    </row>
    <row r="724" spans="1:23" x14ac:dyDescent="0.3">
      <c r="A724" s="193" t="e">
        <f ca="1"/>
        <v>#NAME?</v>
      </c>
      <c r="B724" s="46" t="s">
        <v>73</v>
      </c>
      <c r="C724" s="315"/>
      <c r="D724" s="316"/>
      <c r="E724" s="315"/>
      <c r="F724" s="315"/>
      <c r="G724" s="315"/>
      <c r="H724" s="153"/>
      <c r="I724" s="12"/>
      <c r="J724" s="46" t="s">
        <v>38</v>
      </c>
      <c r="K724" s="12"/>
      <c r="L724" s="288">
        <v>57.4</v>
      </c>
      <c r="M724" s="289">
        <v>7</v>
      </c>
      <c r="N724" s="290">
        <v>500</v>
      </c>
      <c r="O724" s="46"/>
      <c r="P724" s="46" t="s">
        <v>39</v>
      </c>
      <c r="Q724" s="12"/>
      <c r="R724" s="192" t="str">
        <f t="shared" si="21"/>
        <v>500grams</v>
      </c>
      <c r="S724" s="198">
        <f t="shared" si="22"/>
        <v>3500</v>
      </c>
      <c r="T724" s="199" t="str">
        <f t="shared" si="23"/>
        <v>3500grams</v>
      </c>
      <c r="U724" s="200">
        <f t="shared" si="24"/>
        <v>401.8</v>
      </c>
      <c r="V724" s="12"/>
      <c r="W724" s="12"/>
    </row>
    <row r="725" spans="1:23" x14ac:dyDescent="0.3">
      <c r="A725" s="193" t="e">
        <f ca="1"/>
        <v>#NAME?</v>
      </c>
      <c r="B725" s="46" t="s">
        <v>73</v>
      </c>
      <c r="C725" s="315"/>
      <c r="D725" s="316"/>
      <c r="E725" s="315"/>
      <c r="F725" s="315"/>
      <c r="G725" s="315"/>
      <c r="H725" s="153"/>
      <c r="I725" s="12"/>
      <c r="J725" s="46" t="s">
        <v>38</v>
      </c>
      <c r="K725" s="12"/>
      <c r="L725" s="288">
        <v>59.5</v>
      </c>
      <c r="M725" s="289">
        <v>5</v>
      </c>
      <c r="N725" s="290">
        <v>500</v>
      </c>
      <c r="O725" s="46"/>
      <c r="P725" s="46" t="s">
        <v>39</v>
      </c>
      <c r="Q725" s="12"/>
      <c r="R725" s="192" t="str">
        <f t="shared" si="21"/>
        <v>500grams</v>
      </c>
      <c r="S725" s="198">
        <f t="shared" si="22"/>
        <v>2500</v>
      </c>
      <c r="T725" s="199" t="str">
        <f t="shared" si="23"/>
        <v>2500grams</v>
      </c>
      <c r="U725" s="200">
        <f t="shared" si="24"/>
        <v>297.5</v>
      </c>
      <c r="V725" s="12"/>
      <c r="W725" s="12"/>
    </row>
    <row r="726" spans="1:23" x14ac:dyDescent="0.3">
      <c r="A726" s="193" t="e">
        <f ca="1"/>
        <v>#NAME?</v>
      </c>
      <c r="B726" s="46" t="s">
        <v>73</v>
      </c>
      <c r="C726" s="315"/>
      <c r="D726" s="316"/>
      <c r="E726" s="315"/>
      <c r="F726" s="315"/>
      <c r="G726" s="315"/>
      <c r="H726" s="153"/>
      <c r="I726" s="12"/>
      <c r="J726" s="46" t="s">
        <v>38</v>
      </c>
      <c r="K726" s="12"/>
      <c r="L726" s="288">
        <v>57.4</v>
      </c>
      <c r="M726" s="289">
        <v>8</v>
      </c>
      <c r="N726" s="290">
        <v>500</v>
      </c>
      <c r="O726" s="46"/>
      <c r="P726" s="46" t="s">
        <v>39</v>
      </c>
      <c r="Q726" s="12"/>
      <c r="R726" s="192" t="str">
        <f t="shared" si="21"/>
        <v>500grams</v>
      </c>
      <c r="S726" s="198">
        <f t="shared" si="22"/>
        <v>4000</v>
      </c>
      <c r="T726" s="199" t="str">
        <f t="shared" si="23"/>
        <v>4000grams</v>
      </c>
      <c r="U726" s="200">
        <f t="shared" si="24"/>
        <v>459.2</v>
      </c>
      <c r="V726" s="12"/>
      <c r="W726" s="12"/>
    </row>
    <row r="727" spans="1:23" x14ac:dyDescent="0.3">
      <c r="A727" s="193" t="e">
        <f ca="1"/>
        <v>#NAME?</v>
      </c>
      <c r="B727" s="46" t="s">
        <v>73</v>
      </c>
      <c r="C727" s="315"/>
      <c r="D727" s="316"/>
      <c r="E727" s="315"/>
      <c r="F727" s="315"/>
      <c r="G727" s="315"/>
      <c r="H727" s="153"/>
      <c r="I727" s="12"/>
      <c r="J727" s="46" t="s">
        <v>38</v>
      </c>
      <c r="K727" s="12"/>
      <c r="L727" s="288">
        <v>77</v>
      </c>
      <c r="M727" s="289">
        <v>5</v>
      </c>
      <c r="N727" s="290">
        <v>500</v>
      </c>
      <c r="O727" s="46"/>
      <c r="P727" s="46" t="s">
        <v>39</v>
      </c>
      <c r="Q727" s="12"/>
      <c r="R727" s="192" t="str">
        <f t="shared" si="21"/>
        <v>500grams</v>
      </c>
      <c r="S727" s="198">
        <f t="shared" si="22"/>
        <v>2500</v>
      </c>
      <c r="T727" s="199" t="str">
        <f t="shared" si="23"/>
        <v>2500grams</v>
      </c>
      <c r="U727" s="200">
        <f t="shared" si="24"/>
        <v>385</v>
      </c>
      <c r="V727" s="12"/>
      <c r="W727" s="12"/>
    </row>
    <row r="728" spans="1:23" x14ac:dyDescent="0.3">
      <c r="A728" s="193" t="e">
        <f ca="1"/>
        <v>#NAME?</v>
      </c>
      <c r="B728" s="46" t="s">
        <v>73</v>
      </c>
      <c r="C728" s="315"/>
      <c r="D728" s="316"/>
      <c r="E728" s="315"/>
      <c r="F728" s="315"/>
      <c r="G728" s="315"/>
      <c r="H728" s="153"/>
      <c r="I728" s="12"/>
      <c r="J728" s="46" t="s">
        <v>38</v>
      </c>
      <c r="K728" s="12"/>
      <c r="L728" s="288">
        <v>57.4</v>
      </c>
      <c r="M728" s="289">
        <v>5</v>
      </c>
      <c r="N728" s="290">
        <v>500</v>
      </c>
      <c r="O728" s="46"/>
      <c r="P728" s="46" t="s">
        <v>39</v>
      </c>
      <c r="Q728" s="12"/>
      <c r="R728" s="192" t="str">
        <f t="shared" si="21"/>
        <v>500grams</v>
      </c>
      <c r="S728" s="198">
        <f t="shared" si="22"/>
        <v>2500</v>
      </c>
      <c r="T728" s="199" t="str">
        <f t="shared" si="23"/>
        <v>2500grams</v>
      </c>
      <c r="U728" s="200">
        <f t="shared" si="24"/>
        <v>287</v>
      </c>
      <c r="V728" s="12"/>
      <c r="W728" s="12"/>
    </row>
    <row r="729" spans="1:23" x14ac:dyDescent="0.3">
      <c r="A729" s="193" t="e">
        <f ca="1"/>
        <v>#NAME?</v>
      </c>
      <c r="B729" s="219" t="s">
        <v>73</v>
      </c>
      <c r="C729" s="315"/>
      <c r="D729" s="316"/>
      <c r="E729" s="315"/>
      <c r="F729" s="315"/>
      <c r="G729" s="315"/>
      <c r="H729" s="153"/>
      <c r="I729" s="12"/>
      <c r="J729" s="46" t="s">
        <v>38</v>
      </c>
      <c r="K729" s="12"/>
      <c r="L729" s="291">
        <v>87</v>
      </c>
      <c r="M729" s="292">
        <v>1</v>
      </c>
      <c r="N729" s="293">
        <v>500</v>
      </c>
      <c r="O729" s="219"/>
      <c r="P729" s="219" t="s">
        <v>39</v>
      </c>
      <c r="Q729" s="12"/>
      <c r="R729" s="192" t="str">
        <f t="shared" si="21"/>
        <v>500grams</v>
      </c>
      <c r="S729" s="198">
        <f t="shared" si="22"/>
        <v>500</v>
      </c>
      <c r="T729" s="199" t="str">
        <f t="shared" si="23"/>
        <v>500grams</v>
      </c>
      <c r="U729" s="200">
        <f t="shared" si="24"/>
        <v>87</v>
      </c>
      <c r="V729" s="12"/>
      <c r="W729" s="12"/>
    </row>
    <row r="730" spans="1:23" x14ac:dyDescent="0.3">
      <c r="A730" s="193" t="e">
        <f ca="1"/>
        <v>#NAME?</v>
      </c>
      <c r="B730" s="46" t="s">
        <v>73</v>
      </c>
      <c r="C730" s="315"/>
      <c r="D730" s="316"/>
      <c r="E730" s="315"/>
      <c r="F730" s="315"/>
      <c r="G730" s="315"/>
      <c r="H730" s="153"/>
      <c r="I730" s="12"/>
      <c r="J730" s="46" t="s">
        <v>38</v>
      </c>
      <c r="K730" s="12"/>
      <c r="L730" s="288">
        <v>57.4</v>
      </c>
      <c r="M730" s="289">
        <v>4</v>
      </c>
      <c r="N730" s="290">
        <v>500</v>
      </c>
      <c r="O730" s="46"/>
      <c r="P730" s="46" t="s">
        <v>39</v>
      </c>
      <c r="Q730" s="12"/>
      <c r="R730" s="192" t="str">
        <f t="shared" si="21"/>
        <v>500grams</v>
      </c>
      <c r="S730" s="198">
        <f t="shared" si="22"/>
        <v>2000</v>
      </c>
      <c r="T730" s="199" t="str">
        <f t="shared" si="23"/>
        <v>2000grams</v>
      </c>
      <c r="U730" s="200">
        <f t="shared" si="24"/>
        <v>229.6</v>
      </c>
      <c r="V730" s="12"/>
      <c r="W730" s="12"/>
    </row>
    <row r="731" spans="1:23" x14ac:dyDescent="0.3">
      <c r="A731" s="193" t="e">
        <f ca="1"/>
        <v>#NAME?</v>
      </c>
      <c r="B731" s="46" t="s">
        <v>1287</v>
      </c>
      <c r="C731" s="315"/>
      <c r="D731" s="316"/>
      <c r="E731" s="315"/>
      <c r="F731" s="315"/>
      <c r="G731" s="315"/>
      <c r="H731" s="153"/>
      <c r="I731" s="12"/>
      <c r="J731" s="46" t="s">
        <v>870</v>
      </c>
      <c r="K731" s="12"/>
      <c r="L731" s="288">
        <v>195</v>
      </c>
      <c r="M731" s="289">
        <v>6</v>
      </c>
      <c r="N731" s="290">
        <v>1000</v>
      </c>
      <c r="O731" s="46"/>
      <c r="P731" s="46" t="s">
        <v>213</v>
      </c>
      <c r="Q731" s="12"/>
      <c r="R731" s="192" t="str">
        <f t="shared" si="21"/>
        <v>1000kilos</v>
      </c>
      <c r="S731" s="198">
        <f t="shared" si="22"/>
        <v>6000</v>
      </c>
      <c r="T731" s="199" t="str">
        <f t="shared" si="23"/>
        <v>6000kilos</v>
      </c>
      <c r="U731" s="200">
        <f t="shared" si="24"/>
        <v>1170</v>
      </c>
      <c r="V731" s="12"/>
      <c r="W731" s="12"/>
    </row>
    <row r="732" spans="1:23" x14ac:dyDescent="0.3">
      <c r="A732" s="193" t="e">
        <f ca="1"/>
        <v>#NAME?</v>
      </c>
      <c r="B732" s="46" t="s">
        <v>1288</v>
      </c>
      <c r="C732" s="315"/>
      <c r="D732" s="316"/>
      <c r="E732" s="315"/>
      <c r="F732" s="315"/>
      <c r="G732" s="315"/>
      <c r="H732" s="153"/>
      <c r="I732" s="12"/>
      <c r="J732" s="46" t="s">
        <v>1289</v>
      </c>
      <c r="K732" s="12"/>
      <c r="L732" s="288">
        <v>218</v>
      </c>
      <c r="M732" s="289">
        <v>2</v>
      </c>
      <c r="N732" s="290">
        <v>1000</v>
      </c>
      <c r="O732" s="46"/>
      <c r="P732" s="46" t="s">
        <v>39</v>
      </c>
      <c r="Q732" s="12"/>
      <c r="R732" s="192" t="str">
        <f t="shared" si="21"/>
        <v>1000grams</v>
      </c>
      <c r="S732" s="198">
        <f t="shared" si="22"/>
        <v>2000</v>
      </c>
      <c r="T732" s="199" t="str">
        <f t="shared" si="23"/>
        <v>2000grams</v>
      </c>
      <c r="U732" s="200">
        <f t="shared" si="24"/>
        <v>436</v>
      </c>
      <c r="V732" s="12"/>
      <c r="W732" s="12"/>
    </row>
    <row r="733" spans="1:23" x14ac:dyDescent="0.3">
      <c r="A733" s="193" t="e">
        <f ca="1"/>
        <v>#NAME?</v>
      </c>
      <c r="B733" s="46" t="s">
        <v>1288</v>
      </c>
      <c r="C733" s="315"/>
      <c r="D733" s="316"/>
      <c r="E733" s="315"/>
      <c r="F733" s="315"/>
      <c r="G733" s="315"/>
      <c r="H733" s="153"/>
      <c r="I733" s="12"/>
      <c r="J733" s="46" t="s">
        <v>1290</v>
      </c>
      <c r="K733" s="12"/>
      <c r="L733" s="288">
        <v>289</v>
      </c>
      <c r="M733" s="289">
        <v>1</v>
      </c>
      <c r="N733" s="290">
        <v>1000</v>
      </c>
      <c r="O733" s="46"/>
      <c r="P733" s="46" t="s">
        <v>39</v>
      </c>
      <c r="Q733" s="12"/>
      <c r="R733" s="192" t="str">
        <f t="shared" si="21"/>
        <v>1000grams</v>
      </c>
      <c r="S733" s="198">
        <f t="shared" si="22"/>
        <v>1000</v>
      </c>
      <c r="T733" s="199" t="str">
        <f t="shared" si="23"/>
        <v>1000grams</v>
      </c>
      <c r="U733" s="200">
        <f t="shared" si="24"/>
        <v>289</v>
      </c>
      <c r="V733" s="12"/>
      <c r="W733" s="12"/>
    </row>
    <row r="734" spans="1:23" x14ac:dyDescent="0.3">
      <c r="A734" s="193" t="e">
        <f ca="1"/>
        <v>#NAME?</v>
      </c>
      <c r="B734" s="46" t="s">
        <v>1291</v>
      </c>
      <c r="C734" s="315"/>
      <c r="D734" s="316"/>
      <c r="E734" s="315"/>
      <c r="F734" s="315"/>
      <c r="G734" s="315"/>
      <c r="H734" s="153"/>
      <c r="I734" s="12"/>
      <c r="J734" s="46" t="s">
        <v>870</v>
      </c>
      <c r="K734" s="12"/>
      <c r="L734" s="288">
        <v>215</v>
      </c>
      <c r="M734" s="289">
        <v>2</v>
      </c>
      <c r="N734" s="290">
        <v>1000</v>
      </c>
      <c r="O734" s="46"/>
      <c r="P734" s="46" t="s">
        <v>39</v>
      </c>
      <c r="Q734" s="12"/>
      <c r="R734" s="192" t="str">
        <f t="shared" si="21"/>
        <v>1000grams</v>
      </c>
      <c r="S734" s="198">
        <f t="shared" si="22"/>
        <v>2000</v>
      </c>
      <c r="T734" s="199" t="str">
        <f t="shared" si="23"/>
        <v>2000grams</v>
      </c>
      <c r="U734" s="200">
        <f t="shared" si="24"/>
        <v>430</v>
      </c>
      <c r="V734" s="12"/>
      <c r="W734" s="12"/>
    </row>
    <row r="735" spans="1:23" x14ac:dyDescent="0.3">
      <c r="A735" s="193" t="e">
        <f ca="1"/>
        <v>#NAME?</v>
      </c>
      <c r="B735" s="46" t="s">
        <v>1292</v>
      </c>
      <c r="C735" s="315"/>
      <c r="D735" s="316"/>
      <c r="E735" s="315"/>
      <c r="F735" s="315"/>
      <c r="G735" s="315"/>
      <c r="H735" s="153"/>
      <c r="I735" s="12"/>
      <c r="J735" s="46" t="s">
        <v>870</v>
      </c>
      <c r="K735" s="12"/>
      <c r="L735" s="288">
        <v>189.5</v>
      </c>
      <c r="M735" s="289">
        <v>5</v>
      </c>
      <c r="N735" s="290">
        <v>1000</v>
      </c>
      <c r="O735" s="46"/>
      <c r="P735" s="46" t="s">
        <v>39</v>
      </c>
      <c r="Q735" s="12"/>
      <c r="R735" s="192" t="str">
        <f t="shared" si="21"/>
        <v>1000grams</v>
      </c>
      <c r="S735" s="198">
        <f t="shared" si="22"/>
        <v>5000</v>
      </c>
      <c r="T735" s="199" t="str">
        <f t="shared" si="23"/>
        <v>5000grams</v>
      </c>
      <c r="U735" s="200">
        <f t="shared" si="24"/>
        <v>947.5</v>
      </c>
      <c r="V735" s="12"/>
      <c r="W735" s="12"/>
    </row>
    <row r="736" spans="1:23" x14ac:dyDescent="0.3">
      <c r="A736" s="193" t="e">
        <f ca="1"/>
        <v>#NAME?</v>
      </c>
      <c r="B736" s="46" t="s">
        <v>1292</v>
      </c>
      <c r="C736" s="315"/>
      <c r="D736" s="316"/>
      <c r="E736" s="315"/>
      <c r="F736" s="315"/>
      <c r="G736" s="315"/>
      <c r="H736" s="153"/>
      <c r="I736" s="12"/>
      <c r="J736" s="46" t="s">
        <v>1289</v>
      </c>
      <c r="K736" s="12"/>
      <c r="L736" s="288">
        <v>208</v>
      </c>
      <c r="M736" s="289">
        <v>2</v>
      </c>
      <c r="N736" s="290">
        <v>1000</v>
      </c>
      <c r="O736" s="46"/>
      <c r="P736" s="46" t="s">
        <v>39</v>
      </c>
      <c r="Q736" s="12"/>
      <c r="R736" s="192" t="str">
        <f t="shared" si="21"/>
        <v>1000grams</v>
      </c>
      <c r="S736" s="198">
        <f t="shared" si="22"/>
        <v>2000</v>
      </c>
      <c r="T736" s="199" t="str">
        <f t="shared" si="23"/>
        <v>2000grams</v>
      </c>
      <c r="U736" s="200">
        <f t="shared" si="24"/>
        <v>416</v>
      </c>
      <c r="V736" s="12"/>
      <c r="W736" s="12"/>
    </row>
    <row r="737" spans="1:23" x14ac:dyDescent="0.3">
      <c r="A737" s="193" t="e">
        <f ca="1"/>
        <v>#NAME?</v>
      </c>
      <c r="B737" s="46" t="s">
        <v>1292</v>
      </c>
      <c r="C737" s="315"/>
      <c r="D737" s="316"/>
      <c r="E737" s="315"/>
      <c r="F737" s="315"/>
      <c r="G737" s="315"/>
      <c r="H737" s="153"/>
      <c r="I737" s="12"/>
      <c r="J737" s="46" t="s">
        <v>870</v>
      </c>
      <c r="K737" s="12"/>
      <c r="L737" s="288">
        <v>189</v>
      </c>
      <c r="M737" s="289">
        <v>9</v>
      </c>
      <c r="N737" s="290">
        <v>1000</v>
      </c>
      <c r="O737" s="46"/>
      <c r="P737" s="46" t="s">
        <v>39</v>
      </c>
      <c r="Q737" s="12"/>
      <c r="R737" s="192" t="str">
        <f t="shared" si="21"/>
        <v>1000grams</v>
      </c>
      <c r="S737" s="198">
        <f t="shared" si="22"/>
        <v>9000</v>
      </c>
      <c r="T737" s="199" t="str">
        <f t="shared" si="23"/>
        <v>9000grams</v>
      </c>
      <c r="U737" s="200">
        <f t="shared" si="24"/>
        <v>1701</v>
      </c>
      <c r="V737" s="12"/>
      <c r="W737" s="12"/>
    </row>
    <row r="738" spans="1:23" x14ac:dyDescent="0.3">
      <c r="A738" s="193" t="e">
        <f ca="1"/>
        <v>#NAME?</v>
      </c>
      <c r="B738" s="46" t="s">
        <v>1292</v>
      </c>
      <c r="C738" s="315"/>
      <c r="D738" s="316"/>
      <c r="E738" s="315"/>
      <c r="F738" s="315"/>
      <c r="G738" s="315"/>
      <c r="H738" s="153"/>
      <c r="I738" s="12"/>
      <c r="J738" s="46" t="s">
        <v>870</v>
      </c>
      <c r="K738" s="12"/>
      <c r="L738" s="288">
        <v>205</v>
      </c>
      <c r="M738" s="289">
        <v>1</v>
      </c>
      <c r="N738" s="290">
        <v>1000</v>
      </c>
      <c r="O738" s="46"/>
      <c r="P738" s="46" t="s">
        <v>39</v>
      </c>
      <c r="Q738" s="12"/>
      <c r="R738" s="192" t="str">
        <f t="shared" si="21"/>
        <v>1000grams</v>
      </c>
      <c r="S738" s="198">
        <f t="shared" si="22"/>
        <v>1000</v>
      </c>
      <c r="T738" s="199" t="str">
        <f t="shared" si="23"/>
        <v>1000grams</v>
      </c>
      <c r="U738" s="200">
        <f t="shared" si="24"/>
        <v>205</v>
      </c>
      <c r="V738" s="12"/>
      <c r="W738" s="12"/>
    </row>
    <row r="739" spans="1:23" x14ac:dyDescent="0.3">
      <c r="A739" s="193" t="e">
        <f ca="1"/>
        <v>#NAME?</v>
      </c>
      <c r="B739" s="46" t="s">
        <v>1292</v>
      </c>
      <c r="C739" s="315"/>
      <c r="D739" s="316"/>
      <c r="E739" s="315"/>
      <c r="F739" s="315"/>
      <c r="G739" s="315"/>
      <c r="H739" s="153"/>
      <c r="I739" s="12"/>
      <c r="J739" s="46" t="s">
        <v>870</v>
      </c>
      <c r="K739" s="12"/>
      <c r="L739" s="291">
        <v>175</v>
      </c>
      <c r="M739" s="292">
        <v>1</v>
      </c>
      <c r="N739" s="293">
        <v>1000</v>
      </c>
      <c r="O739" s="219"/>
      <c r="P739" s="219" t="s">
        <v>39</v>
      </c>
      <c r="Q739" s="12"/>
      <c r="R739" s="192" t="str">
        <f t="shared" si="21"/>
        <v>1000grams</v>
      </c>
      <c r="S739" s="198">
        <f t="shared" si="22"/>
        <v>1000</v>
      </c>
      <c r="T739" s="199" t="str">
        <f t="shared" si="23"/>
        <v>1000grams</v>
      </c>
      <c r="U739" s="200">
        <f t="shared" si="24"/>
        <v>175</v>
      </c>
      <c r="V739" s="12"/>
      <c r="W739" s="12"/>
    </row>
    <row r="740" spans="1:23" x14ac:dyDescent="0.3">
      <c r="A740" s="193" t="e">
        <f ca="1"/>
        <v>#NAME?</v>
      </c>
      <c r="B740" s="46" t="s">
        <v>1293</v>
      </c>
      <c r="C740" s="315"/>
      <c r="D740" s="316"/>
      <c r="E740" s="315"/>
      <c r="F740" s="315"/>
      <c r="G740" s="315"/>
      <c r="H740" s="153"/>
      <c r="I740" s="12"/>
      <c r="J740" s="46" t="s">
        <v>870</v>
      </c>
      <c r="K740" s="12"/>
      <c r="L740" s="288">
        <v>195</v>
      </c>
      <c r="M740" s="289">
        <v>5</v>
      </c>
      <c r="N740" s="290">
        <v>1000</v>
      </c>
      <c r="O740" s="46"/>
      <c r="P740" s="46" t="s">
        <v>39</v>
      </c>
      <c r="Q740" s="12"/>
      <c r="R740" s="192" t="str">
        <f t="shared" si="21"/>
        <v>1000grams</v>
      </c>
      <c r="S740" s="198">
        <f t="shared" si="22"/>
        <v>5000</v>
      </c>
      <c r="T740" s="199" t="str">
        <f t="shared" si="23"/>
        <v>5000grams</v>
      </c>
      <c r="U740" s="200">
        <f t="shared" si="24"/>
        <v>975</v>
      </c>
      <c r="V740" s="12"/>
      <c r="W740" s="12"/>
    </row>
    <row r="741" spans="1:23" x14ac:dyDescent="0.3">
      <c r="A741" s="193" t="e">
        <f ca="1"/>
        <v>#NAME?</v>
      </c>
      <c r="B741" s="46" t="s">
        <v>1293</v>
      </c>
      <c r="C741" s="315"/>
      <c r="D741" s="316"/>
      <c r="E741" s="315"/>
      <c r="F741" s="315"/>
      <c r="G741" s="315"/>
      <c r="H741" s="153"/>
      <c r="I741" s="12"/>
      <c r="J741" s="46" t="s">
        <v>870</v>
      </c>
      <c r="K741" s="12"/>
      <c r="L741" s="288">
        <v>215</v>
      </c>
      <c r="M741" s="289">
        <v>3</v>
      </c>
      <c r="N741" s="290">
        <v>1000</v>
      </c>
      <c r="O741" s="46"/>
      <c r="P741" s="46" t="s">
        <v>39</v>
      </c>
      <c r="Q741" s="12"/>
      <c r="R741" s="192" t="str">
        <f t="shared" si="21"/>
        <v>1000grams</v>
      </c>
      <c r="S741" s="198">
        <f t="shared" si="22"/>
        <v>3000</v>
      </c>
      <c r="T741" s="199" t="str">
        <f t="shared" si="23"/>
        <v>3000grams</v>
      </c>
      <c r="U741" s="200">
        <f t="shared" si="24"/>
        <v>645</v>
      </c>
      <c r="V741" s="12"/>
      <c r="W741" s="12"/>
    </row>
    <row r="742" spans="1:23" x14ac:dyDescent="0.3">
      <c r="A742" s="193" t="e">
        <f ca="1"/>
        <v>#NAME?</v>
      </c>
      <c r="B742" s="46" t="s">
        <v>1294</v>
      </c>
      <c r="C742" s="315"/>
      <c r="D742" s="316"/>
      <c r="E742" s="315"/>
      <c r="F742" s="315"/>
      <c r="G742" s="315"/>
      <c r="H742" s="153"/>
      <c r="I742" s="12"/>
      <c r="J742" s="46" t="s">
        <v>1157</v>
      </c>
      <c r="K742" s="12"/>
      <c r="L742" s="288">
        <v>192</v>
      </c>
      <c r="M742" s="289">
        <v>1</v>
      </c>
      <c r="N742" s="290">
        <v>1</v>
      </c>
      <c r="O742" s="46"/>
      <c r="P742" s="46" t="s">
        <v>213</v>
      </c>
      <c r="Q742" s="12"/>
      <c r="R742" s="192" t="str">
        <f t="shared" si="21"/>
        <v>1kilos</v>
      </c>
      <c r="S742" s="198">
        <f t="shared" si="22"/>
        <v>1</v>
      </c>
      <c r="T742" s="199" t="str">
        <f t="shared" si="23"/>
        <v>1kilos</v>
      </c>
      <c r="U742" s="200">
        <f t="shared" si="24"/>
        <v>192</v>
      </c>
      <c r="V742" s="12"/>
      <c r="W742" s="12"/>
    </row>
    <row r="743" spans="1:23" x14ac:dyDescent="0.3">
      <c r="A743" s="193" t="e">
        <f ca="1"/>
        <v>#NAME?</v>
      </c>
      <c r="B743" s="46" t="s">
        <v>1295</v>
      </c>
      <c r="C743" s="315"/>
      <c r="D743" s="316"/>
      <c r="E743" s="315"/>
      <c r="F743" s="315"/>
      <c r="G743" s="315"/>
      <c r="H743" s="153"/>
      <c r="I743" s="12"/>
      <c r="J743" s="46" t="s">
        <v>871</v>
      </c>
      <c r="K743" s="12"/>
      <c r="L743" s="288">
        <v>165</v>
      </c>
      <c r="M743" s="289">
        <v>1</v>
      </c>
      <c r="N743" s="290">
        <v>500</v>
      </c>
      <c r="O743" s="46"/>
      <c r="P743" s="46" t="s">
        <v>39</v>
      </c>
      <c r="Q743" s="12"/>
      <c r="R743" s="192" t="str">
        <f t="shared" si="21"/>
        <v>500grams</v>
      </c>
      <c r="S743" s="198">
        <f t="shared" si="22"/>
        <v>500</v>
      </c>
      <c r="T743" s="199" t="str">
        <f t="shared" si="23"/>
        <v>500grams</v>
      </c>
      <c r="U743" s="200">
        <f t="shared" si="24"/>
        <v>165</v>
      </c>
      <c r="V743" s="12"/>
      <c r="W743" s="12"/>
    </row>
    <row r="744" spans="1:23" x14ac:dyDescent="0.3">
      <c r="A744" s="193" t="e">
        <f ca="1"/>
        <v>#NAME?</v>
      </c>
      <c r="B744" s="46" t="s">
        <v>1296</v>
      </c>
      <c r="C744" s="315"/>
      <c r="D744" s="316"/>
      <c r="E744" s="315"/>
      <c r="F744" s="315"/>
      <c r="G744" s="315"/>
      <c r="H744" s="153"/>
      <c r="I744" s="12"/>
      <c r="J744" s="46" t="s">
        <v>1297</v>
      </c>
      <c r="K744" s="12"/>
      <c r="L744" s="288">
        <v>22</v>
      </c>
      <c r="M744" s="289">
        <v>2</v>
      </c>
      <c r="N744" s="290">
        <v>1</v>
      </c>
      <c r="O744" s="46"/>
      <c r="P744" s="46" t="s">
        <v>304</v>
      </c>
      <c r="Q744" s="12"/>
      <c r="R744" s="192" t="str">
        <f t="shared" si="21"/>
        <v>1packs</v>
      </c>
      <c r="S744" s="198">
        <f t="shared" si="22"/>
        <v>2</v>
      </c>
      <c r="T744" s="199" t="str">
        <f t="shared" si="23"/>
        <v>2packs</v>
      </c>
      <c r="U744" s="200">
        <f t="shared" si="24"/>
        <v>44</v>
      </c>
      <c r="V744" s="12"/>
      <c r="W744" s="12"/>
    </row>
    <row r="745" spans="1:23" x14ac:dyDescent="0.3">
      <c r="A745" s="193" t="e">
        <f ca="1"/>
        <v>#NAME?</v>
      </c>
      <c r="B745" s="46" t="s">
        <v>1296</v>
      </c>
      <c r="C745" s="315"/>
      <c r="D745" s="316"/>
      <c r="E745" s="315"/>
      <c r="F745" s="315"/>
      <c r="G745" s="315"/>
      <c r="H745" s="153"/>
      <c r="I745" s="12"/>
      <c r="J745" s="46" t="s">
        <v>1298</v>
      </c>
      <c r="K745" s="12"/>
      <c r="L745" s="288">
        <v>25</v>
      </c>
      <c r="M745" s="289">
        <v>7</v>
      </c>
      <c r="N745" s="290">
        <v>1</v>
      </c>
      <c r="O745" s="46"/>
      <c r="P745" s="46" t="s">
        <v>304</v>
      </c>
      <c r="Q745" s="12"/>
      <c r="R745" s="192" t="str">
        <f t="shared" si="21"/>
        <v>1packs</v>
      </c>
      <c r="S745" s="198">
        <f t="shared" si="22"/>
        <v>7</v>
      </c>
      <c r="T745" s="199" t="str">
        <f t="shared" si="23"/>
        <v>7packs</v>
      </c>
      <c r="U745" s="200">
        <f t="shared" si="24"/>
        <v>175</v>
      </c>
      <c r="V745" s="12"/>
      <c r="W745" s="12"/>
    </row>
    <row r="746" spans="1:23" x14ac:dyDescent="0.3">
      <c r="A746" s="193" t="e">
        <f ca="1"/>
        <v>#NAME?</v>
      </c>
      <c r="B746" s="219" t="s">
        <v>1299</v>
      </c>
      <c r="C746" s="315"/>
      <c r="D746" s="316"/>
      <c r="E746" s="315"/>
      <c r="F746" s="315"/>
      <c r="G746" s="315"/>
      <c r="H746" s="153"/>
      <c r="I746" s="12"/>
      <c r="J746" s="46" t="s">
        <v>1300</v>
      </c>
      <c r="K746" s="12"/>
      <c r="L746" s="288">
        <v>25</v>
      </c>
      <c r="M746" s="289">
        <v>6</v>
      </c>
      <c r="N746" s="290">
        <v>100</v>
      </c>
      <c r="O746" s="46"/>
      <c r="P746" s="46" t="s">
        <v>92</v>
      </c>
      <c r="Q746" s="12"/>
      <c r="R746" s="192" t="str">
        <f t="shared" si="21"/>
        <v>100pieces</v>
      </c>
      <c r="S746" s="198">
        <f t="shared" si="22"/>
        <v>600</v>
      </c>
      <c r="T746" s="199" t="str">
        <f t="shared" si="23"/>
        <v>600pieces</v>
      </c>
      <c r="U746" s="200">
        <f t="shared" si="24"/>
        <v>150</v>
      </c>
      <c r="V746" s="12"/>
      <c r="W746" s="12"/>
    </row>
    <row r="747" spans="1:23" x14ac:dyDescent="0.3">
      <c r="A747" s="193" t="e">
        <f ca="1"/>
        <v>#NAME?</v>
      </c>
      <c r="B747" s="219" t="s">
        <v>1301</v>
      </c>
      <c r="C747" s="315"/>
      <c r="D747" s="316"/>
      <c r="E747" s="315"/>
      <c r="F747" s="315"/>
      <c r="G747" s="315"/>
      <c r="H747" s="153"/>
      <c r="I747" s="12"/>
      <c r="J747" s="219" t="s">
        <v>719</v>
      </c>
      <c r="K747" s="12"/>
      <c r="L747" s="291">
        <v>21.5</v>
      </c>
      <c r="M747" s="292">
        <v>1</v>
      </c>
      <c r="N747" s="293">
        <v>19</v>
      </c>
      <c r="O747" s="219"/>
      <c r="P747" s="219" t="s">
        <v>39</v>
      </c>
      <c r="Q747" s="12"/>
      <c r="R747" s="192" t="str">
        <f t="shared" si="21"/>
        <v>19grams</v>
      </c>
      <c r="S747" s="198">
        <f t="shared" si="22"/>
        <v>19</v>
      </c>
      <c r="T747" s="199" t="str">
        <f t="shared" si="23"/>
        <v>19grams</v>
      </c>
      <c r="U747" s="200">
        <f t="shared" si="24"/>
        <v>21.5</v>
      </c>
      <c r="V747" s="12"/>
      <c r="W747" s="12"/>
    </row>
    <row r="748" spans="1:23" x14ac:dyDescent="0.3">
      <c r="A748" s="193" t="e">
        <f ca="1"/>
        <v>#NAME?</v>
      </c>
      <c r="B748" s="46" t="s">
        <v>1302</v>
      </c>
      <c r="C748" s="315"/>
      <c r="D748" s="316"/>
      <c r="E748" s="315"/>
      <c r="F748" s="315"/>
      <c r="G748" s="315"/>
      <c r="H748" s="153"/>
      <c r="I748" s="12"/>
      <c r="J748" s="46" t="s">
        <v>1303</v>
      </c>
      <c r="K748" s="12"/>
      <c r="L748" s="288">
        <v>21.65</v>
      </c>
      <c r="M748" s="289">
        <v>8</v>
      </c>
      <c r="N748" s="290">
        <v>40</v>
      </c>
      <c r="O748" s="46"/>
      <c r="P748" s="46" t="s">
        <v>39</v>
      </c>
      <c r="Q748" s="12"/>
      <c r="R748" s="192" t="str">
        <f t="shared" si="21"/>
        <v>40grams</v>
      </c>
      <c r="S748" s="198">
        <f t="shared" si="22"/>
        <v>320</v>
      </c>
      <c r="T748" s="199" t="str">
        <f t="shared" si="23"/>
        <v>320grams</v>
      </c>
      <c r="U748" s="200">
        <f t="shared" si="24"/>
        <v>173.2</v>
      </c>
      <c r="V748" s="12"/>
      <c r="W748" s="12"/>
    </row>
    <row r="749" spans="1:23" x14ac:dyDescent="0.3">
      <c r="A749" s="193" t="e">
        <f ca="1"/>
        <v>#NAME?</v>
      </c>
      <c r="B749" s="46" t="s">
        <v>1302</v>
      </c>
      <c r="C749" s="315"/>
      <c r="D749" s="316"/>
      <c r="E749" s="315"/>
      <c r="F749" s="315"/>
      <c r="G749" s="315"/>
      <c r="H749" s="153"/>
      <c r="I749" s="12"/>
      <c r="J749" s="46" t="s">
        <v>1304</v>
      </c>
      <c r="K749" s="12"/>
      <c r="L749" s="288">
        <v>21.65</v>
      </c>
      <c r="M749" s="289">
        <v>10</v>
      </c>
      <c r="N749" s="290">
        <v>40</v>
      </c>
      <c r="O749" s="46"/>
      <c r="P749" s="46" t="s">
        <v>39</v>
      </c>
      <c r="Q749" s="12"/>
      <c r="R749" s="192" t="str">
        <f t="shared" si="21"/>
        <v>40grams</v>
      </c>
      <c r="S749" s="198">
        <f t="shared" si="22"/>
        <v>400</v>
      </c>
      <c r="T749" s="199" t="str">
        <f t="shared" si="23"/>
        <v>400grams</v>
      </c>
      <c r="U749" s="200">
        <f t="shared" si="24"/>
        <v>216.5</v>
      </c>
      <c r="V749" s="12"/>
      <c r="W749" s="12"/>
    </row>
    <row r="750" spans="1:23" x14ac:dyDescent="0.3">
      <c r="A750" s="193" t="e">
        <f ca="1"/>
        <v>#NAME?</v>
      </c>
      <c r="B750" s="46" t="s">
        <v>1302</v>
      </c>
      <c r="C750" s="315"/>
      <c r="D750" s="316"/>
      <c r="E750" s="315"/>
      <c r="F750" s="315"/>
      <c r="G750" s="315"/>
      <c r="H750" s="153"/>
      <c r="I750" s="12"/>
      <c r="J750" s="46" t="s">
        <v>1305</v>
      </c>
      <c r="K750" s="12"/>
      <c r="L750" s="288">
        <v>21.65</v>
      </c>
      <c r="M750" s="289">
        <v>17</v>
      </c>
      <c r="N750" s="290">
        <v>40</v>
      </c>
      <c r="O750" s="46"/>
      <c r="P750" s="46" t="s">
        <v>39</v>
      </c>
      <c r="Q750" s="12"/>
      <c r="R750" s="192" t="str">
        <f t="shared" si="21"/>
        <v>40grams</v>
      </c>
      <c r="S750" s="198">
        <f t="shared" si="22"/>
        <v>680</v>
      </c>
      <c r="T750" s="199" t="str">
        <f t="shared" si="23"/>
        <v>680grams</v>
      </c>
      <c r="U750" s="200">
        <f t="shared" si="24"/>
        <v>368.04999999999995</v>
      </c>
      <c r="V750" s="12"/>
      <c r="W750" s="12"/>
    </row>
    <row r="751" spans="1:23" x14ac:dyDescent="0.3">
      <c r="A751" s="193" t="e">
        <f ca="1"/>
        <v>#NAME?</v>
      </c>
      <c r="B751" s="46" t="s">
        <v>1302</v>
      </c>
      <c r="C751" s="315"/>
      <c r="D751" s="316"/>
      <c r="E751" s="315"/>
      <c r="F751" s="315"/>
      <c r="G751" s="315"/>
      <c r="H751" s="153"/>
      <c r="I751" s="12"/>
      <c r="J751" s="46" t="s">
        <v>1306</v>
      </c>
      <c r="K751" s="12"/>
      <c r="L751" s="288">
        <v>25.55</v>
      </c>
      <c r="M751" s="289">
        <v>10</v>
      </c>
      <c r="N751" s="290">
        <v>40</v>
      </c>
      <c r="O751" s="46"/>
      <c r="P751" s="46" t="s">
        <v>39</v>
      </c>
      <c r="Q751" s="12"/>
      <c r="R751" s="192" t="str">
        <f t="shared" si="21"/>
        <v>40grams</v>
      </c>
      <c r="S751" s="198">
        <f t="shared" si="22"/>
        <v>400</v>
      </c>
      <c r="T751" s="199" t="str">
        <f t="shared" si="23"/>
        <v>400grams</v>
      </c>
      <c r="U751" s="200">
        <f t="shared" si="24"/>
        <v>255.5</v>
      </c>
      <c r="V751" s="12"/>
      <c r="W751" s="12"/>
    </row>
    <row r="752" spans="1:23" x14ac:dyDescent="0.3">
      <c r="A752" s="193" t="e">
        <f ca="1"/>
        <v>#NAME?</v>
      </c>
      <c r="B752" s="46" t="s">
        <v>1302</v>
      </c>
      <c r="C752" s="315"/>
      <c r="D752" s="316"/>
      <c r="E752" s="315"/>
      <c r="F752" s="315"/>
      <c r="G752" s="315"/>
      <c r="H752" s="153"/>
      <c r="I752" s="12"/>
      <c r="J752" s="46" t="s">
        <v>1307</v>
      </c>
      <c r="K752" s="12"/>
      <c r="L752" s="288">
        <v>21.65</v>
      </c>
      <c r="M752" s="289">
        <v>5</v>
      </c>
      <c r="N752" s="290">
        <v>40</v>
      </c>
      <c r="O752" s="46"/>
      <c r="P752" s="46" t="s">
        <v>39</v>
      </c>
      <c r="Q752" s="12"/>
      <c r="R752" s="192" t="str">
        <f t="shared" si="21"/>
        <v>40grams</v>
      </c>
      <c r="S752" s="198">
        <f t="shared" si="22"/>
        <v>200</v>
      </c>
      <c r="T752" s="199" t="str">
        <f t="shared" si="23"/>
        <v>200grams</v>
      </c>
      <c r="U752" s="200">
        <f t="shared" si="24"/>
        <v>108.25</v>
      </c>
      <c r="V752" s="12"/>
      <c r="W752" s="12"/>
    </row>
    <row r="753" spans="1:23" x14ac:dyDescent="0.3">
      <c r="A753" s="193" t="e">
        <f ca="1"/>
        <v>#NAME?</v>
      </c>
      <c r="B753" s="46" t="s">
        <v>1302</v>
      </c>
      <c r="C753" s="315"/>
      <c r="D753" s="316"/>
      <c r="E753" s="315"/>
      <c r="F753" s="315"/>
      <c r="G753" s="315"/>
      <c r="H753" s="153"/>
      <c r="I753" s="12"/>
      <c r="J753" s="46" t="s">
        <v>1308</v>
      </c>
      <c r="K753" s="12"/>
      <c r="L753" s="288">
        <v>25.55</v>
      </c>
      <c r="M753" s="289">
        <v>7</v>
      </c>
      <c r="N753" s="290">
        <v>40</v>
      </c>
      <c r="O753" s="46"/>
      <c r="P753" s="46" t="s">
        <v>39</v>
      </c>
      <c r="Q753" s="12"/>
      <c r="R753" s="192" t="str">
        <f t="shared" si="21"/>
        <v>40grams</v>
      </c>
      <c r="S753" s="198">
        <f t="shared" si="22"/>
        <v>280</v>
      </c>
      <c r="T753" s="199" t="str">
        <f t="shared" si="23"/>
        <v>280grams</v>
      </c>
      <c r="U753" s="200">
        <f t="shared" si="24"/>
        <v>178.85</v>
      </c>
      <c r="V753" s="12"/>
      <c r="W753" s="12"/>
    </row>
    <row r="754" spans="1:23" x14ac:dyDescent="0.3">
      <c r="A754" s="193" t="e">
        <f ca="1"/>
        <v>#NAME?</v>
      </c>
      <c r="B754" s="46" t="s">
        <v>1302</v>
      </c>
      <c r="C754" s="315"/>
      <c r="D754" s="316"/>
      <c r="E754" s="315"/>
      <c r="F754" s="315"/>
      <c r="G754" s="315"/>
      <c r="H754" s="153"/>
      <c r="I754" s="12"/>
      <c r="J754" s="46" t="s">
        <v>1309</v>
      </c>
      <c r="K754" s="12"/>
      <c r="L754" s="288">
        <v>21.65</v>
      </c>
      <c r="M754" s="289">
        <v>10</v>
      </c>
      <c r="N754" s="290">
        <v>40</v>
      </c>
      <c r="O754" s="46"/>
      <c r="P754" s="46" t="s">
        <v>39</v>
      </c>
      <c r="Q754" s="12"/>
      <c r="R754" s="192" t="str">
        <f t="shared" si="21"/>
        <v>40grams</v>
      </c>
      <c r="S754" s="198">
        <f t="shared" si="22"/>
        <v>400</v>
      </c>
      <c r="T754" s="199" t="str">
        <f t="shared" si="23"/>
        <v>400grams</v>
      </c>
      <c r="U754" s="200">
        <f t="shared" si="24"/>
        <v>216.5</v>
      </c>
      <c r="V754" s="12"/>
      <c r="W754" s="12"/>
    </row>
    <row r="755" spans="1:23" x14ac:dyDescent="0.3">
      <c r="A755" s="193" t="e">
        <f ca="1"/>
        <v>#NAME?</v>
      </c>
      <c r="B755" s="46" t="s">
        <v>1302</v>
      </c>
      <c r="C755" s="315"/>
      <c r="D755" s="316"/>
      <c r="E755" s="315"/>
      <c r="F755" s="315"/>
      <c r="G755" s="315"/>
      <c r="H755" s="153"/>
      <c r="I755" s="12"/>
      <c r="J755" s="46" t="s">
        <v>1310</v>
      </c>
      <c r="K755" s="12"/>
      <c r="L755" s="288">
        <v>21.22</v>
      </c>
      <c r="M755" s="289">
        <v>63</v>
      </c>
      <c r="N755" s="290">
        <v>48</v>
      </c>
      <c r="O755" s="46"/>
      <c r="P755" s="46" t="s">
        <v>39</v>
      </c>
      <c r="Q755" s="12"/>
      <c r="R755" s="192" t="str">
        <f t="shared" si="21"/>
        <v>48grams</v>
      </c>
      <c r="S755" s="198">
        <f t="shared" si="22"/>
        <v>3024</v>
      </c>
      <c r="T755" s="199" t="str">
        <f t="shared" si="23"/>
        <v>3024grams</v>
      </c>
      <c r="U755" s="200">
        <f t="shared" si="24"/>
        <v>1336.86</v>
      </c>
      <c r="V755" s="12"/>
      <c r="W755" s="12"/>
    </row>
    <row r="756" spans="1:23" x14ac:dyDescent="0.3">
      <c r="A756" s="193" t="e">
        <f ca="1"/>
        <v>#NAME?</v>
      </c>
      <c r="B756" s="46" t="s">
        <v>1302</v>
      </c>
      <c r="C756" s="315"/>
      <c r="D756" s="316"/>
      <c r="E756" s="315"/>
      <c r="F756" s="315"/>
      <c r="G756" s="315"/>
      <c r="H756" s="153"/>
      <c r="I756" s="12"/>
      <c r="J756" s="46" t="s">
        <v>1311</v>
      </c>
      <c r="K756" s="12"/>
      <c r="L756" s="288">
        <v>32.6</v>
      </c>
      <c r="M756" s="289">
        <v>10</v>
      </c>
      <c r="N756" s="290">
        <v>60</v>
      </c>
      <c r="O756" s="46"/>
      <c r="P756" s="46" t="s">
        <v>39</v>
      </c>
      <c r="Q756" s="12"/>
      <c r="R756" s="192" t="str">
        <f t="shared" si="21"/>
        <v>60grams</v>
      </c>
      <c r="S756" s="198">
        <f t="shared" si="22"/>
        <v>600</v>
      </c>
      <c r="T756" s="199" t="str">
        <f t="shared" si="23"/>
        <v>600grams</v>
      </c>
      <c r="U756" s="200">
        <f t="shared" si="24"/>
        <v>326</v>
      </c>
      <c r="V756" s="12"/>
      <c r="W756" s="12"/>
    </row>
    <row r="757" spans="1:23" x14ac:dyDescent="0.3">
      <c r="A757" s="193" t="e">
        <f ca="1"/>
        <v>#NAME?</v>
      </c>
      <c r="B757" s="46" t="s">
        <v>1302</v>
      </c>
      <c r="C757" s="315"/>
      <c r="D757" s="316"/>
      <c r="E757" s="315"/>
      <c r="F757" s="315"/>
      <c r="G757" s="315"/>
      <c r="H757" s="153"/>
      <c r="I757" s="12"/>
      <c r="J757" s="46" t="s">
        <v>1312</v>
      </c>
      <c r="K757" s="12"/>
      <c r="L757" s="288">
        <v>21.5</v>
      </c>
      <c r="M757" s="289">
        <v>7</v>
      </c>
      <c r="N757" s="290">
        <v>60</v>
      </c>
      <c r="O757" s="46"/>
      <c r="P757" s="46" t="s">
        <v>39</v>
      </c>
      <c r="Q757" s="12"/>
      <c r="R757" s="192" t="str">
        <f t="shared" si="21"/>
        <v>60grams</v>
      </c>
      <c r="S757" s="198">
        <f t="shared" si="22"/>
        <v>420</v>
      </c>
      <c r="T757" s="199" t="str">
        <f t="shared" si="23"/>
        <v>420grams</v>
      </c>
      <c r="U757" s="200">
        <f t="shared" si="24"/>
        <v>150.5</v>
      </c>
      <c r="V757" s="12"/>
      <c r="W757" s="12"/>
    </row>
    <row r="758" spans="1:23" x14ac:dyDescent="0.3">
      <c r="A758" s="193" t="e">
        <f ca="1"/>
        <v>#NAME?</v>
      </c>
      <c r="B758" s="46" t="s">
        <v>1302</v>
      </c>
      <c r="C758" s="315"/>
      <c r="D758" s="316"/>
      <c r="E758" s="315"/>
      <c r="F758" s="315"/>
      <c r="G758" s="315"/>
      <c r="H758" s="153"/>
      <c r="I758" s="12"/>
      <c r="J758" s="46" t="s">
        <v>1313</v>
      </c>
      <c r="K758" s="12"/>
      <c r="L758" s="288">
        <v>21.03</v>
      </c>
      <c r="M758" s="289">
        <v>32</v>
      </c>
      <c r="N758" s="290">
        <v>40</v>
      </c>
      <c r="O758" s="46"/>
      <c r="P758" s="46" t="s">
        <v>39</v>
      </c>
      <c r="Q758" s="12"/>
      <c r="R758" s="192" t="str">
        <f t="shared" si="21"/>
        <v>40grams</v>
      </c>
      <c r="S758" s="198">
        <f t="shared" si="22"/>
        <v>1280</v>
      </c>
      <c r="T758" s="199" t="str">
        <f t="shared" si="23"/>
        <v>1280grams</v>
      </c>
      <c r="U758" s="200">
        <f t="shared" si="24"/>
        <v>672.96</v>
      </c>
      <c r="V758" s="12"/>
      <c r="W758" s="12"/>
    </row>
    <row r="759" spans="1:23" x14ac:dyDescent="0.3">
      <c r="A759" s="193" t="e">
        <f ca="1"/>
        <v>#NAME?</v>
      </c>
      <c r="B759" s="219" t="s">
        <v>1302</v>
      </c>
      <c r="C759" s="315"/>
      <c r="D759" s="316"/>
      <c r="E759" s="315"/>
      <c r="F759" s="315"/>
      <c r="G759" s="315"/>
      <c r="H759" s="153"/>
      <c r="I759" s="12"/>
      <c r="J759" s="46" t="s">
        <v>1314</v>
      </c>
      <c r="K759" s="12"/>
      <c r="L759" s="288">
        <v>21.22</v>
      </c>
      <c r="M759" s="289">
        <v>37</v>
      </c>
      <c r="N759" s="290">
        <v>40</v>
      </c>
      <c r="O759" s="46"/>
      <c r="P759" s="46" t="s">
        <v>39</v>
      </c>
      <c r="Q759" s="12"/>
      <c r="R759" s="192" t="str">
        <f t="shared" si="21"/>
        <v>40grams</v>
      </c>
      <c r="S759" s="198">
        <f t="shared" si="22"/>
        <v>1480</v>
      </c>
      <c r="T759" s="199" t="str">
        <f t="shared" si="23"/>
        <v>1480grams</v>
      </c>
      <c r="U759" s="200">
        <f t="shared" si="24"/>
        <v>785.14</v>
      </c>
      <c r="V759" s="12"/>
      <c r="W759" s="12"/>
    </row>
    <row r="760" spans="1:23" x14ac:dyDescent="0.3">
      <c r="A760" s="193" t="e">
        <f ca="1"/>
        <v>#NAME?</v>
      </c>
      <c r="B760" s="46" t="s">
        <v>1302</v>
      </c>
      <c r="C760" s="315"/>
      <c r="D760" s="316"/>
      <c r="E760" s="315"/>
      <c r="F760" s="315"/>
      <c r="G760" s="315"/>
      <c r="H760" s="153"/>
      <c r="I760" s="12"/>
      <c r="J760" s="46" t="s">
        <v>1315</v>
      </c>
      <c r="K760" s="12"/>
      <c r="L760" s="288">
        <v>25.3</v>
      </c>
      <c r="M760" s="289">
        <v>36</v>
      </c>
      <c r="N760" s="290">
        <v>40</v>
      </c>
      <c r="O760" s="46"/>
      <c r="P760" s="46" t="s">
        <v>39</v>
      </c>
      <c r="Q760" s="12"/>
      <c r="R760" s="192" t="str">
        <f t="shared" si="21"/>
        <v>40grams</v>
      </c>
      <c r="S760" s="198">
        <f t="shared" si="22"/>
        <v>1440</v>
      </c>
      <c r="T760" s="199" t="str">
        <f t="shared" si="23"/>
        <v>1440grams</v>
      </c>
      <c r="U760" s="200">
        <f t="shared" si="24"/>
        <v>910.80000000000007</v>
      </c>
      <c r="V760" s="12"/>
      <c r="W760" s="12"/>
    </row>
    <row r="761" spans="1:23" x14ac:dyDescent="0.3">
      <c r="A761" s="193" t="e">
        <f ca="1"/>
        <v>#NAME?</v>
      </c>
      <c r="B761" s="219" t="s">
        <v>1316</v>
      </c>
      <c r="C761" s="315"/>
      <c r="D761" s="316"/>
      <c r="E761" s="315"/>
      <c r="F761" s="315"/>
      <c r="G761" s="315"/>
      <c r="H761" s="153"/>
      <c r="I761" s="12"/>
      <c r="J761" s="219" t="s">
        <v>1317</v>
      </c>
      <c r="K761" s="12"/>
      <c r="L761" s="291">
        <v>88.1</v>
      </c>
      <c r="M761" s="292">
        <v>1</v>
      </c>
      <c r="N761" s="293">
        <v>500</v>
      </c>
      <c r="O761" s="219"/>
      <c r="P761" s="219" t="s">
        <v>39</v>
      </c>
      <c r="Q761" s="12"/>
      <c r="R761" s="192" t="str">
        <f t="shared" si="21"/>
        <v>500grams</v>
      </c>
      <c r="S761" s="198">
        <f t="shared" si="22"/>
        <v>500</v>
      </c>
      <c r="T761" s="199" t="str">
        <f t="shared" si="23"/>
        <v>500grams</v>
      </c>
      <c r="U761" s="200">
        <f t="shared" si="24"/>
        <v>88.1</v>
      </c>
      <c r="V761" s="12"/>
      <c r="W761" s="12"/>
    </row>
    <row r="762" spans="1:23" x14ac:dyDescent="0.3">
      <c r="A762" s="193" t="e">
        <f ca="1"/>
        <v>#NAME?</v>
      </c>
      <c r="B762" s="46" t="s">
        <v>1318</v>
      </c>
      <c r="C762" s="315"/>
      <c r="D762" s="316"/>
      <c r="E762" s="315"/>
      <c r="F762" s="315"/>
      <c r="G762" s="315"/>
      <c r="H762" s="153"/>
      <c r="I762" s="12"/>
      <c r="J762" s="46" t="s">
        <v>1319</v>
      </c>
      <c r="K762" s="12"/>
      <c r="L762" s="288">
        <v>10.83</v>
      </c>
      <c r="M762" s="289">
        <v>10</v>
      </c>
      <c r="N762" s="290">
        <v>33</v>
      </c>
      <c r="O762" s="60"/>
      <c r="P762" s="60" t="s">
        <v>39</v>
      </c>
      <c r="Q762" s="12"/>
      <c r="R762" s="192" t="str">
        <f t="shared" si="21"/>
        <v>33grams</v>
      </c>
      <c r="S762" s="198">
        <f t="shared" si="22"/>
        <v>330</v>
      </c>
      <c r="T762" s="199" t="str">
        <f t="shared" si="23"/>
        <v>330grams</v>
      </c>
      <c r="U762" s="200">
        <f t="shared" si="24"/>
        <v>108.3</v>
      </c>
      <c r="V762" s="12"/>
      <c r="W762" s="12"/>
    </row>
    <row r="763" spans="1:23" x14ac:dyDescent="0.3">
      <c r="A763" s="193" t="e">
        <f ca="1"/>
        <v>#NAME?</v>
      </c>
      <c r="B763" s="46" t="s">
        <v>1318</v>
      </c>
      <c r="C763" s="315"/>
      <c r="D763" s="316"/>
      <c r="E763" s="315"/>
      <c r="F763" s="315"/>
      <c r="G763" s="315"/>
      <c r="H763" s="153"/>
      <c r="I763" s="12"/>
      <c r="J763" s="46" t="s">
        <v>1320</v>
      </c>
      <c r="K763" s="12"/>
      <c r="L763" s="288">
        <v>65</v>
      </c>
      <c r="M763" s="289">
        <v>2</v>
      </c>
      <c r="N763" s="290">
        <v>6</v>
      </c>
      <c r="O763" s="46"/>
      <c r="P763" s="46" t="s">
        <v>92</v>
      </c>
      <c r="Q763" s="12"/>
      <c r="R763" s="192" t="str">
        <f t="shared" si="21"/>
        <v>6pieces</v>
      </c>
      <c r="S763" s="198">
        <f t="shared" si="22"/>
        <v>12</v>
      </c>
      <c r="T763" s="199" t="str">
        <f t="shared" si="23"/>
        <v>12pieces</v>
      </c>
      <c r="U763" s="200">
        <f t="shared" si="24"/>
        <v>130</v>
      </c>
      <c r="V763" s="12"/>
      <c r="W763" s="12"/>
    </row>
    <row r="764" spans="1:23" x14ac:dyDescent="0.3">
      <c r="A764" s="193" t="e">
        <f ca="1"/>
        <v>#NAME?</v>
      </c>
      <c r="B764" s="46" t="s">
        <v>1318</v>
      </c>
      <c r="C764" s="315"/>
      <c r="D764" s="316"/>
      <c r="E764" s="315"/>
      <c r="F764" s="315"/>
      <c r="G764" s="315"/>
      <c r="H764" s="153"/>
      <c r="I764" s="12"/>
      <c r="J764" s="46" t="s">
        <v>1320</v>
      </c>
      <c r="K764" s="12"/>
      <c r="L764" s="288">
        <v>65</v>
      </c>
      <c r="M764" s="289">
        <v>1</v>
      </c>
      <c r="N764" s="290">
        <v>6</v>
      </c>
      <c r="O764" s="46"/>
      <c r="P764" s="46" t="s">
        <v>92</v>
      </c>
      <c r="Q764" s="12"/>
      <c r="R764" s="192" t="str">
        <f t="shared" si="21"/>
        <v>6pieces</v>
      </c>
      <c r="S764" s="198">
        <f t="shared" si="22"/>
        <v>6</v>
      </c>
      <c r="T764" s="199" t="str">
        <f t="shared" si="23"/>
        <v>6pieces</v>
      </c>
      <c r="U764" s="200">
        <f t="shared" si="24"/>
        <v>65</v>
      </c>
      <c r="V764" s="12"/>
      <c r="W764" s="12"/>
    </row>
    <row r="765" spans="1:23" x14ac:dyDescent="0.3">
      <c r="A765" s="193" t="e">
        <f ca="1"/>
        <v>#NAME?</v>
      </c>
      <c r="B765" s="46" t="s">
        <v>1318</v>
      </c>
      <c r="C765" s="315"/>
      <c r="D765" s="316"/>
      <c r="E765" s="315"/>
      <c r="F765" s="315"/>
      <c r="G765" s="315"/>
      <c r="H765" s="153"/>
      <c r="I765" s="12"/>
      <c r="J765" s="46" t="s">
        <v>1320</v>
      </c>
      <c r="K765" s="12"/>
      <c r="L765" s="288">
        <v>64.5</v>
      </c>
      <c r="M765" s="289">
        <v>1</v>
      </c>
      <c r="N765" s="290">
        <v>6</v>
      </c>
      <c r="O765" s="46"/>
      <c r="P765" s="46" t="s">
        <v>92</v>
      </c>
      <c r="Q765" s="12"/>
      <c r="R765" s="192" t="str">
        <f t="shared" si="21"/>
        <v>6pieces</v>
      </c>
      <c r="S765" s="198">
        <f t="shared" si="22"/>
        <v>6</v>
      </c>
      <c r="T765" s="199" t="str">
        <f t="shared" si="23"/>
        <v>6pieces</v>
      </c>
      <c r="U765" s="200">
        <f t="shared" si="24"/>
        <v>64.5</v>
      </c>
      <c r="V765" s="12"/>
      <c r="W765" s="12"/>
    </row>
    <row r="766" spans="1:23" x14ac:dyDescent="0.3">
      <c r="A766" s="193" t="e">
        <f ca="1"/>
        <v>#NAME?</v>
      </c>
      <c r="B766" s="46" t="s">
        <v>1321</v>
      </c>
      <c r="C766" s="315"/>
      <c r="D766" s="316"/>
      <c r="E766" s="315"/>
      <c r="F766" s="315"/>
      <c r="G766" s="315"/>
      <c r="H766" s="153"/>
      <c r="I766" s="12"/>
      <c r="J766" s="46" t="s">
        <v>1319</v>
      </c>
      <c r="K766" s="12"/>
      <c r="L766" s="288">
        <v>10.83</v>
      </c>
      <c r="M766" s="289">
        <v>11</v>
      </c>
      <c r="N766" s="290">
        <v>33</v>
      </c>
      <c r="O766" s="46"/>
      <c r="P766" s="46" t="s">
        <v>39</v>
      </c>
      <c r="Q766" s="12"/>
      <c r="R766" s="192" t="str">
        <f t="shared" si="21"/>
        <v>33grams</v>
      </c>
      <c r="S766" s="198">
        <f t="shared" si="22"/>
        <v>363</v>
      </c>
      <c r="T766" s="199" t="str">
        <f t="shared" si="23"/>
        <v>363grams</v>
      </c>
      <c r="U766" s="200">
        <f t="shared" si="24"/>
        <v>119.13</v>
      </c>
      <c r="V766" s="12"/>
      <c r="W766" s="12"/>
    </row>
    <row r="767" spans="1:23" x14ac:dyDescent="0.3">
      <c r="A767" s="193" t="e">
        <f ca="1"/>
        <v>#NAME?</v>
      </c>
      <c r="B767" s="46" t="s">
        <v>1322</v>
      </c>
      <c r="C767" s="315"/>
      <c r="D767" s="316"/>
      <c r="E767" s="315"/>
      <c r="F767" s="315"/>
      <c r="G767" s="315"/>
      <c r="H767" s="153"/>
      <c r="I767" s="12"/>
      <c r="J767" s="46" t="s">
        <v>1323</v>
      </c>
      <c r="K767" s="12"/>
      <c r="L767" s="288">
        <v>71</v>
      </c>
      <c r="M767" s="289">
        <v>1</v>
      </c>
      <c r="N767" s="290">
        <v>13</v>
      </c>
      <c r="O767" s="46"/>
      <c r="P767" s="46" t="s">
        <v>39</v>
      </c>
      <c r="Q767" s="12"/>
      <c r="R767" s="192" t="str">
        <f t="shared" si="21"/>
        <v>13grams</v>
      </c>
      <c r="S767" s="198">
        <f t="shared" si="22"/>
        <v>13</v>
      </c>
      <c r="T767" s="199" t="str">
        <f t="shared" si="23"/>
        <v>13grams</v>
      </c>
      <c r="U767" s="200">
        <f t="shared" si="24"/>
        <v>71</v>
      </c>
      <c r="V767" s="12"/>
      <c r="W767" s="12"/>
    </row>
    <row r="768" spans="1:23" x14ac:dyDescent="0.3">
      <c r="A768" s="193" t="e">
        <f ca="1"/>
        <v>#NAME?</v>
      </c>
      <c r="B768" s="219" t="s">
        <v>1322</v>
      </c>
      <c r="C768" s="315"/>
      <c r="D768" s="316"/>
      <c r="E768" s="315"/>
      <c r="F768" s="315"/>
      <c r="G768" s="315"/>
      <c r="H768" s="153"/>
      <c r="I768" s="12"/>
      <c r="J768" s="219" t="s">
        <v>854</v>
      </c>
      <c r="K768" s="12"/>
      <c r="L768" s="288">
        <v>59.25</v>
      </c>
      <c r="M768" s="289">
        <v>1</v>
      </c>
      <c r="N768" s="290">
        <v>13</v>
      </c>
      <c r="O768" s="46"/>
      <c r="P768" s="46" t="s">
        <v>39</v>
      </c>
      <c r="Q768" s="12"/>
      <c r="R768" s="192" t="str">
        <f t="shared" si="21"/>
        <v>13grams</v>
      </c>
      <c r="S768" s="198">
        <f t="shared" si="22"/>
        <v>13</v>
      </c>
      <c r="T768" s="199" t="str">
        <f t="shared" si="23"/>
        <v>13grams</v>
      </c>
      <c r="U768" s="200">
        <f t="shared" si="24"/>
        <v>59.25</v>
      </c>
      <c r="V768" s="12"/>
      <c r="W768" s="12"/>
    </row>
    <row r="769" spans="1:23" x14ac:dyDescent="0.3">
      <c r="A769" s="193" t="e">
        <f ca="1"/>
        <v>#NAME?</v>
      </c>
      <c r="B769" s="219" t="s">
        <v>1322</v>
      </c>
      <c r="C769" s="315"/>
      <c r="D769" s="316"/>
      <c r="E769" s="315"/>
      <c r="F769" s="315"/>
      <c r="G769" s="315"/>
      <c r="H769" s="153"/>
      <c r="I769" s="12"/>
      <c r="J769" s="219" t="s">
        <v>854</v>
      </c>
      <c r="K769" s="12"/>
      <c r="L769" s="288">
        <v>59.25</v>
      </c>
      <c r="M769" s="289">
        <v>1</v>
      </c>
      <c r="N769" s="290">
        <v>13</v>
      </c>
      <c r="O769" s="46"/>
      <c r="P769" s="46" t="s">
        <v>39</v>
      </c>
      <c r="Q769" s="12"/>
      <c r="R769" s="192" t="str">
        <f t="shared" si="21"/>
        <v>13grams</v>
      </c>
      <c r="S769" s="198">
        <f t="shared" si="22"/>
        <v>13</v>
      </c>
      <c r="T769" s="199" t="str">
        <f t="shared" si="23"/>
        <v>13grams</v>
      </c>
      <c r="U769" s="200">
        <f t="shared" si="24"/>
        <v>59.25</v>
      </c>
      <c r="V769" s="12"/>
      <c r="W769" s="12"/>
    </row>
    <row r="770" spans="1:23" x14ac:dyDescent="0.3">
      <c r="A770" s="193" t="e">
        <f ca="1"/>
        <v>#NAME?</v>
      </c>
      <c r="B770" s="317" t="s">
        <v>1322</v>
      </c>
      <c r="C770" s="315"/>
      <c r="D770" s="316"/>
      <c r="E770" s="315"/>
      <c r="F770" s="315"/>
      <c r="G770" s="315"/>
      <c r="H770" s="153"/>
      <c r="I770" s="12"/>
      <c r="J770" s="219" t="s">
        <v>854</v>
      </c>
      <c r="K770" s="12"/>
      <c r="L770" s="288">
        <v>59.25</v>
      </c>
      <c r="M770" s="289">
        <v>2</v>
      </c>
      <c r="N770" s="290">
        <v>13</v>
      </c>
      <c r="O770" s="46"/>
      <c r="P770" s="46" t="s">
        <v>39</v>
      </c>
      <c r="Q770" s="12"/>
      <c r="R770" s="192" t="str">
        <f t="shared" si="21"/>
        <v>13grams</v>
      </c>
      <c r="S770" s="198">
        <f t="shared" si="22"/>
        <v>26</v>
      </c>
      <c r="T770" s="199" t="str">
        <f t="shared" si="23"/>
        <v>26grams</v>
      </c>
      <c r="U770" s="200">
        <f t="shared" si="24"/>
        <v>118.5</v>
      </c>
      <c r="V770" s="12"/>
      <c r="W770" s="12"/>
    </row>
    <row r="771" spans="1:23" x14ac:dyDescent="0.3">
      <c r="A771" s="193" t="e">
        <f ca="1"/>
        <v>#NAME?</v>
      </c>
      <c r="B771" s="317" t="s">
        <v>1322</v>
      </c>
      <c r="C771" s="315"/>
      <c r="D771" s="316"/>
      <c r="E771" s="315"/>
      <c r="F771" s="315"/>
      <c r="G771" s="315"/>
      <c r="H771" s="153"/>
      <c r="I771" s="12"/>
      <c r="J771" s="219" t="s">
        <v>854</v>
      </c>
      <c r="K771" s="12"/>
      <c r="L771" s="291">
        <v>59.25</v>
      </c>
      <c r="M771" s="292">
        <v>2</v>
      </c>
      <c r="N771" s="293">
        <v>13</v>
      </c>
      <c r="O771" s="219"/>
      <c r="P771" s="219" t="s">
        <v>39</v>
      </c>
      <c r="Q771" s="12"/>
      <c r="R771" s="192" t="str">
        <f t="shared" si="21"/>
        <v>13grams</v>
      </c>
      <c r="S771" s="198">
        <f t="shared" si="22"/>
        <v>26</v>
      </c>
      <c r="T771" s="199" t="str">
        <f t="shared" si="23"/>
        <v>26grams</v>
      </c>
      <c r="U771" s="200">
        <f t="shared" si="24"/>
        <v>118.5</v>
      </c>
      <c r="V771" s="12"/>
      <c r="W771" s="12"/>
    </row>
    <row r="772" spans="1:23" x14ac:dyDescent="0.3">
      <c r="A772" s="193" t="e">
        <f ca="1"/>
        <v>#NAME?</v>
      </c>
      <c r="B772" s="46" t="s">
        <v>640</v>
      </c>
      <c r="C772" s="315"/>
      <c r="D772" s="316"/>
      <c r="E772" s="315"/>
      <c r="F772" s="315"/>
      <c r="G772" s="315"/>
      <c r="H772" s="153"/>
      <c r="I772" s="12"/>
      <c r="J772" s="46" t="s">
        <v>1241</v>
      </c>
      <c r="K772" s="12"/>
      <c r="L772" s="288">
        <v>98</v>
      </c>
      <c r="M772" s="289">
        <v>5</v>
      </c>
      <c r="N772" s="290">
        <v>900</v>
      </c>
      <c r="O772" s="46"/>
      <c r="P772" s="46" t="s">
        <v>39</v>
      </c>
      <c r="Q772" s="12"/>
      <c r="R772" s="192" t="str">
        <f t="shared" si="21"/>
        <v>900grams</v>
      </c>
      <c r="S772" s="198">
        <f t="shared" si="22"/>
        <v>4500</v>
      </c>
      <c r="T772" s="199" t="str">
        <f t="shared" si="23"/>
        <v>4500grams</v>
      </c>
      <c r="U772" s="200">
        <f t="shared" si="24"/>
        <v>490</v>
      </c>
      <c r="V772" s="12"/>
      <c r="W772" s="12"/>
    </row>
    <row r="773" spans="1:23" x14ac:dyDescent="0.3">
      <c r="A773" s="193" t="e">
        <f ca="1"/>
        <v>#NAME?</v>
      </c>
      <c r="B773" s="46" t="s">
        <v>180</v>
      </c>
      <c r="C773" s="315"/>
      <c r="D773" s="316"/>
      <c r="E773" s="315"/>
      <c r="F773" s="315"/>
      <c r="G773" s="315"/>
      <c r="H773" s="153"/>
      <c r="I773" s="12"/>
      <c r="J773" s="46" t="s">
        <v>642</v>
      </c>
      <c r="K773" s="12"/>
      <c r="L773" s="288">
        <v>170.6</v>
      </c>
      <c r="M773" s="289">
        <v>2</v>
      </c>
      <c r="N773" s="290">
        <v>340</v>
      </c>
      <c r="O773" s="46"/>
      <c r="P773" s="46" t="s">
        <v>39</v>
      </c>
      <c r="Q773" s="12"/>
      <c r="R773" s="192" t="str">
        <f t="shared" si="21"/>
        <v>340grams</v>
      </c>
      <c r="S773" s="198">
        <f t="shared" si="22"/>
        <v>680</v>
      </c>
      <c r="T773" s="199" t="str">
        <f t="shared" si="23"/>
        <v>680grams</v>
      </c>
      <c r="U773" s="200">
        <f t="shared" si="24"/>
        <v>341.2</v>
      </c>
      <c r="V773" s="12"/>
      <c r="W773" s="12"/>
    </row>
    <row r="774" spans="1:23" x14ac:dyDescent="0.3">
      <c r="A774" s="193" t="e">
        <f ca="1"/>
        <v>#NAME?</v>
      </c>
      <c r="B774" s="46" t="s">
        <v>180</v>
      </c>
      <c r="C774" s="315"/>
      <c r="D774" s="316"/>
      <c r="E774" s="315"/>
      <c r="F774" s="315"/>
      <c r="G774" s="315"/>
      <c r="H774" s="153"/>
      <c r="I774" s="12"/>
      <c r="J774" s="46" t="s">
        <v>642</v>
      </c>
      <c r="K774" s="12"/>
      <c r="L774" s="291">
        <v>170.6</v>
      </c>
      <c r="M774" s="289">
        <v>2</v>
      </c>
      <c r="N774" s="293">
        <v>340</v>
      </c>
      <c r="O774" s="219"/>
      <c r="P774" s="219" t="s">
        <v>39</v>
      </c>
      <c r="Q774" s="12"/>
      <c r="R774" s="192" t="str">
        <f t="shared" ref="R774:R1028" si="28">CONCATENATE(N774,P774)</f>
        <v>340grams</v>
      </c>
      <c r="S774" s="198">
        <f t="shared" ref="S774:S1028" si="29">M774*N774</f>
        <v>680</v>
      </c>
      <c r="T774" s="199" t="str">
        <f t="shared" ref="T774:T1028" si="30">CONCATENATE(S774,Q774,P774)</f>
        <v>680grams</v>
      </c>
      <c r="U774" s="200">
        <f t="shared" ref="U774:U1028" si="31">L774*M774</f>
        <v>341.2</v>
      </c>
      <c r="V774" s="12"/>
      <c r="W774" s="12"/>
    </row>
    <row r="775" spans="1:23" x14ac:dyDescent="0.3">
      <c r="A775" s="193" t="e">
        <f ca="1"/>
        <v>#NAME?</v>
      </c>
      <c r="B775" s="46" t="s">
        <v>414</v>
      </c>
      <c r="C775" s="315"/>
      <c r="D775" s="316"/>
      <c r="E775" s="315"/>
      <c r="F775" s="315"/>
      <c r="G775" s="315"/>
      <c r="H775" s="153"/>
      <c r="I775" s="12"/>
      <c r="J775" s="46" t="s">
        <v>415</v>
      </c>
      <c r="K775" s="12"/>
      <c r="L775" s="288">
        <v>6.5</v>
      </c>
      <c r="M775" s="289">
        <v>80</v>
      </c>
      <c r="N775" s="290">
        <v>10</v>
      </c>
      <c r="O775" s="46"/>
      <c r="P775" s="46" t="s">
        <v>92</v>
      </c>
      <c r="Q775" s="12"/>
      <c r="R775" s="192" t="str">
        <f t="shared" si="28"/>
        <v>10pieces</v>
      </c>
      <c r="S775" s="198">
        <f t="shared" si="29"/>
        <v>800</v>
      </c>
      <c r="T775" s="199" t="str">
        <f t="shared" si="30"/>
        <v>800pieces</v>
      </c>
      <c r="U775" s="200">
        <f t="shared" si="31"/>
        <v>520</v>
      </c>
      <c r="V775" s="12"/>
      <c r="W775" s="12"/>
    </row>
    <row r="776" spans="1:23" x14ac:dyDescent="0.3">
      <c r="A776" s="193" t="e">
        <f ca="1"/>
        <v>#NAME?</v>
      </c>
      <c r="B776" s="219" t="s">
        <v>1324</v>
      </c>
      <c r="C776" s="315"/>
      <c r="D776" s="316"/>
      <c r="E776" s="315"/>
      <c r="F776" s="315"/>
      <c r="G776" s="315"/>
      <c r="H776" s="153"/>
      <c r="I776" s="12"/>
      <c r="J776" s="219" t="s">
        <v>1325</v>
      </c>
      <c r="K776" s="12"/>
      <c r="L776" s="291">
        <v>285</v>
      </c>
      <c r="M776" s="292">
        <v>2</v>
      </c>
      <c r="N776" s="293">
        <v>1000</v>
      </c>
      <c r="O776" s="219"/>
      <c r="P776" s="219" t="s">
        <v>304</v>
      </c>
      <c r="Q776" s="12"/>
      <c r="R776" s="192" t="str">
        <f t="shared" si="28"/>
        <v>1000packs</v>
      </c>
      <c r="S776" s="198">
        <f t="shared" si="29"/>
        <v>2000</v>
      </c>
      <c r="T776" s="199" t="str">
        <f t="shared" si="30"/>
        <v>2000packs</v>
      </c>
      <c r="U776" s="200">
        <f t="shared" si="31"/>
        <v>570</v>
      </c>
      <c r="V776" s="12"/>
      <c r="W776" s="12"/>
    </row>
    <row r="777" spans="1:23" x14ac:dyDescent="0.3">
      <c r="A777" s="193" t="e">
        <f ca="1"/>
        <v>#NAME?</v>
      </c>
      <c r="B777" s="46" t="s">
        <v>364</v>
      </c>
      <c r="C777" s="315"/>
      <c r="D777" s="316"/>
      <c r="E777" s="315"/>
      <c r="F777" s="315"/>
      <c r="G777" s="315"/>
      <c r="H777" s="153"/>
      <c r="I777" s="12"/>
      <c r="J777" s="46" t="s">
        <v>1326</v>
      </c>
      <c r="K777" s="12"/>
      <c r="L777" s="288">
        <v>80</v>
      </c>
      <c r="M777" s="289">
        <v>3</v>
      </c>
      <c r="N777" s="290">
        <v>5</v>
      </c>
      <c r="O777" s="46"/>
      <c r="P777" s="46" t="s">
        <v>213</v>
      </c>
      <c r="Q777" s="12"/>
      <c r="R777" s="192" t="str">
        <f t="shared" si="28"/>
        <v>5kilos</v>
      </c>
      <c r="S777" s="198">
        <f t="shared" si="29"/>
        <v>15</v>
      </c>
      <c r="T777" s="199" t="str">
        <f t="shared" si="30"/>
        <v>15kilos</v>
      </c>
      <c r="U777" s="200">
        <f t="shared" si="31"/>
        <v>240</v>
      </c>
      <c r="V777" s="12"/>
      <c r="W777" s="12"/>
    </row>
    <row r="778" spans="1:23" x14ac:dyDescent="0.3">
      <c r="A778" s="193" t="e">
        <f ca="1"/>
        <v>#NAME?</v>
      </c>
      <c r="B778" s="46" t="s">
        <v>1327</v>
      </c>
      <c r="C778" s="315"/>
      <c r="D778" s="316"/>
      <c r="E778" s="315"/>
      <c r="F778" s="315"/>
      <c r="G778" s="315"/>
      <c r="H778" s="153"/>
      <c r="I778" s="12"/>
      <c r="J778" s="170"/>
      <c r="K778" s="12"/>
      <c r="L778" s="288">
        <v>55</v>
      </c>
      <c r="M778" s="289">
        <v>7</v>
      </c>
      <c r="N778" s="290">
        <v>1</v>
      </c>
      <c r="O778" s="46"/>
      <c r="P778" s="46" t="s">
        <v>213</v>
      </c>
      <c r="Q778" s="12"/>
      <c r="R778" s="192" t="str">
        <f t="shared" si="28"/>
        <v>1kilos</v>
      </c>
      <c r="S778" s="198">
        <f t="shared" si="29"/>
        <v>7</v>
      </c>
      <c r="T778" s="199" t="str">
        <f t="shared" si="30"/>
        <v>7kilos</v>
      </c>
      <c r="U778" s="200">
        <f t="shared" si="31"/>
        <v>385</v>
      </c>
      <c r="V778" s="12"/>
      <c r="W778" s="12"/>
    </row>
    <row r="779" spans="1:23" x14ac:dyDescent="0.3">
      <c r="A779" s="193" t="e">
        <f ca="1"/>
        <v>#NAME?</v>
      </c>
      <c r="B779" s="46" t="s">
        <v>1327</v>
      </c>
      <c r="C779" s="315"/>
      <c r="D779" s="316"/>
      <c r="E779" s="315"/>
      <c r="F779" s="315"/>
      <c r="G779" s="315"/>
      <c r="H779" s="153"/>
      <c r="I779" s="12"/>
      <c r="J779" s="170"/>
      <c r="K779" s="12"/>
      <c r="L779" s="288">
        <v>20</v>
      </c>
      <c r="M779" s="289">
        <v>29</v>
      </c>
      <c r="N779" s="290">
        <v>1000</v>
      </c>
      <c r="O779" s="46"/>
      <c r="P779" s="46" t="s">
        <v>39</v>
      </c>
      <c r="Q779" s="12"/>
      <c r="R779" s="192" t="str">
        <f t="shared" si="28"/>
        <v>1000grams</v>
      </c>
      <c r="S779" s="198">
        <f t="shared" si="29"/>
        <v>29000</v>
      </c>
      <c r="T779" s="199" t="str">
        <f t="shared" si="30"/>
        <v>29000grams</v>
      </c>
      <c r="U779" s="200">
        <f t="shared" si="31"/>
        <v>580</v>
      </c>
      <c r="V779" s="12"/>
      <c r="W779" s="12"/>
    </row>
    <row r="780" spans="1:23" x14ac:dyDescent="0.3">
      <c r="A780" s="193" t="e">
        <f ca="1"/>
        <v>#NAME?</v>
      </c>
      <c r="B780" s="46" t="s">
        <v>1328</v>
      </c>
      <c r="C780" s="315"/>
      <c r="D780" s="316"/>
      <c r="E780" s="315"/>
      <c r="F780" s="315"/>
      <c r="G780" s="315"/>
      <c r="H780" s="153"/>
      <c r="I780" s="12"/>
      <c r="J780" s="170"/>
      <c r="K780" s="12"/>
      <c r="L780" s="288">
        <v>55</v>
      </c>
      <c r="M780" s="289">
        <v>1</v>
      </c>
      <c r="N780" s="290">
        <v>1000</v>
      </c>
      <c r="O780" s="46"/>
      <c r="P780" s="46" t="s">
        <v>39</v>
      </c>
      <c r="Q780" s="12"/>
      <c r="R780" s="192" t="str">
        <f t="shared" si="28"/>
        <v>1000grams</v>
      </c>
      <c r="S780" s="198">
        <f t="shared" si="29"/>
        <v>1000</v>
      </c>
      <c r="T780" s="199" t="str">
        <f t="shared" si="30"/>
        <v>1000grams</v>
      </c>
      <c r="U780" s="200">
        <f t="shared" si="31"/>
        <v>55</v>
      </c>
      <c r="V780" s="12"/>
      <c r="W780" s="12"/>
    </row>
    <row r="781" spans="1:23" x14ac:dyDescent="0.3">
      <c r="A781" s="193" t="e">
        <f ca="1"/>
        <v>#NAME?</v>
      </c>
      <c r="B781" s="46" t="s">
        <v>1328</v>
      </c>
      <c r="C781" s="315"/>
      <c r="D781" s="316"/>
      <c r="E781" s="315"/>
      <c r="F781" s="315"/>
      <c r="G781" s="315"/>
      <c r="H781" s="153"/>
      <c r="I781" s="12"/>
      <c r="J781" s="46" t="s">
        <v>912</v>
      </c>
      <c r="K781" s="12"/>
      <c r="L781" s="288">
        <v>175</v>
      </c>
      <c r="M781" s="289">
        <v>1</v>
      </c>
      <c r="N781" s="290">
        <v>1000</v>
      </c>
      <c r="O781" s="46"/>
      <c r="P781" s="46" t="s">
        <v>39</v>
      </c>
      <c r="Q781" s="12"/>
      <c r="R781" s="192" t="str">
        <f t="shared" si="28"/>
        <v>1000grams</v>
      </c>
      <c r="S781" s="198">
        <f t="shared" si="29"/>
        <v>1000</v>
      </c>
      <c r="T781" s="199" t="str">
        <f t="shared" si="30"/>
        <v>1000grams</v>
      </c>
      <c r="U781" s="200">
        <f t="shared" si="31"/>
        <v>175</v>
      </c>
      <c r="V781" s="12"/>
      <c r="W781" s="12"/>
    </row>
    <row r="782" spans="1:23" x14ac:dyDescent="0.3">
      <c r="A782" s="193" t="e">
        <f ca="1"/>
        <v>#NAME?</v>
      </c>
      <c r="B782" s="46" t="s">
        <v>1329</v>
      </c>
      <c r="C782" s="315"/>
      <c r="D782" s="316"/>
      <c r="E782" s="315"/>
      <c r="F782" s="315"/>
      <c r="G782" s="315"/>
      <c r="H782" s="153"/>
      <c r="I782" s="12"/>
      <c r="J782" s="170"/>
      <c r="K782" s="12"/>
      <c r="L782" s="288">
        <v>35</v>
      </c>
      <c r="M782" s="289">
        <v>1</v>
      </c>
      <c r="N782" s="290">
        <v>1000</v>
      </c>
      <c r="O782" s="46"/>
      <c r="P782" s="46" t="s">
        <v>39</v>
      </c>
      <c r="Q782" s="12"/>
      <c r="R782" s="192" t="str">
        <f t="shared" si="28"/>
        <v>1000grams</v>
      </c>
      <c r="S782" s="198">
        <f t="shared" si="29"/>
        <v>1000</v>
      </c>
      <c r="T782" s="199" t="str">
        <f t="shared" si="30"/>
        <v>1000grams</v>
      </c>
      <c r="U782" s="200">
        <f t="shared" si="31"/>
        <v>35</v>
      </c>
      <c r="V782" s="12"/>
      <c r="W782" s="12"/>
    </row>
    <row r="783" spans="1:23" x14ac:dyDescent="0.3">
      <c r="A783" s="193" t="e">
        <f ca="1"/>
        <v>#NAME?</v>
      </c>
      <c r="B783" s="46" t="s">
        <v>1330</v>
      </c>
      <c r="C783" s="315"/>
      <c r="D783" s="316"/>
      <c r="E783" s="315"/>
      <c r="F783" s="315"/>
      <c r="G783" s="315"/>
      <c r="H783" s="153"/>
      <c r="I783" s="12"/>
      <c r="J783" s="170"/>
      <c r="K783" s="12"/>
      <c r="L783" s="288">
        <v>10</v>
      </c>
      <c r="M783" s="289">
        <v>1</v>
      </c>
      <c r="N783" s="290">
        <v>1</v>
      </c>
      <c r="O783" s="46"/>
      <c r="P783" s="46" t="s">
        <v>1331</v>
      </c>
      <c r="Q783" s="12"/>
      <c r="R783" s="192" t="str">
        <f t="shared" si="28"/>
        <v>1bundle</v>
      </c>
      <c r="S783" s="198">
        <f t="shared" si="29"/>
        <v>1</v>
      </c>
      <c r="T783" s="199" t="str">
        <f t="shared" si="30"/>
        <v>1bundle</v>
      </c>
      <c r="U783" s="200">
        <f t="shared" si="31"/>
        <v>10</v>
      </c>
      <c r="V783" s="12"/>
      <c r="W783" s="12"/>
    </row>
    <row r="784" spans="1:23" x14ac:dyDescent="0.3">
      <c r="A784" s="193" t="e">
        <f ca="1"/>
        <v>#NAME?</v>
      </c>
      <c r="B784" s="46" t="s">
        <v>1330</v>
      </c>
      <c r="C784" s="315"/>
      <c r="D784" s="316"/>
      <c r="E784" s="315"/>
      <c r="F784" s="315"/>
      <c r="G784" s="315"/>
      <c r="H784" s="153"/>
      <c r="I784" s="12"/>
      <c r="J784" s="46" t="s">
        <v>216</v>
      </c>
      <c r="K784" s="12"/>
      <c r="L784" s="288">
        <v>75</v>
      </c>
      <c r="M784" s="289">
        <v>2</v>
      </c>
      <c r="N784" s="290">
        <v>1000</v>
      </c>
      <c r="O784" s="46"/>
      <c r="P784" s="46" t="s">
        <v>39</v>
      </c>
      <c r="Q784" s="12"/>
      <c r="R784" s="192" t="str">
        <f t="shared" si="28"/>
        <v>1000grams</v>
      </c>
      <c r="S784" s="198">
        <f t="shared" si="29"/>
        <v>2000</v>
      </c>
      <c r="T784" s="199" t="str">
        <f t="shared" si="30"/>
        <v>2000grams</v>
      </c>
      <c r="U784" s="200">
        <f t="shared" si="31"/>
        <v>150</v>
      </c>
      <c r="V784" s="12"/>
      <c r="W784" s="12"/>
    </row>
    <row r="785" spans="1:23" x14ac:dyDescent="0.3">
      <c r="A785" s="193" t="e">
        <f ca="1"/>
        <v>#NAME?</v>
      </c>
      <c r="B785" s="46" t="s">
        <v>1330</v>
      </c>
      <c r="C785" s="315"/>
      <c r="D785" s="316"/>
      <c r="E785" s="315"/>
      <c r="F785" s="315"/>
      <c r="G785" s="315"/>
      <c r="H785" s="153"/>
      <c r="I785" s="12"/>
      <c r="J785" s="46" t="s">
        <v>216</v>
      </c>
      <c r="K785" s="12"/>
      <c r="L785" s="288">
        <v>95</v>
      </c>
      <c r="M785" s="289">
        <v>2</v>
      </c>
      <c r="N785" s="290">
        <v>1</v>
      </c>
      <c r="O785" s="46"/>
      <c r="P785" s="46" t="s">
        <v>1331</v>
      </c>
      <c r="Q785" s="12"/>
      <c r="R785" s="192" t="str">
        <f t="shared" si="28"/>
        <v>1bundle</v>
      </c>
      <c r="S785" s="198">
        <f t="shared" si="29"/>
        <v>2</v>
      </c>
      <c r="T785" s="199" t="str">
        <f t="shared" si="30"/>
        <v>2bundle</v>
      </c>
      <c r="U785" s="200">
        <f t="shared" si="31"/>
        <v>190</v>
      </c>
      <c r="V785" s="12"/>
      <c r="W785" s="12"/>
    </row>
    <row r="786" spans="1:23" x14ac:dyDescent="0.3">
      <c r="A786" s="193" t="e">
        <f ca="1"/>
        <v>#NAME?</v>
      </c>
      <c r="B786" s="46" t="s">
        <v>1332</v>
      </c>
      <c r="C786" s="315"/>
      <c r="D786" s="316"/>
      <c r="E786" s="315"/>
      <c r="F786" s="315"/>
      <c r="G786" s="315"/>
      <c r="H786" s="153"/>
      <c r="I786" s="12"/>
      <c r="J786" s="46" t="s">
        <v>1333</v>
      </c>
      <c r="K786" s="12"/>
      <c r="L786" s="288">
        <v>84.1</v>
      </c>
      <c r="M786" s="289">
        <v>2</v>
      </c>
      <c r="N786" s="290">
        <v>340</v>
      </c>
      <c r="O786" s="46"/>
      <c r="P786" s="46" t="s">
        <v>39</v>
      </c>
      <c r="Q786" s="12"/>
      <c r="R786" s="192" t="str">
        <f t="shared" si="28"/>
        <v>340grams</v>
      </c>
      <c r="S786" s="198">
        <f t="shared" si="29"/>
        <v>680</v>
      </c>
      <c r="T786" s="199" t="str">
        <f t="shared" si="30"/>
        <v>680grams</v>
      </c>
      <c r="U786" s="200">
        <f t="shared" si="31"/>
        <v>168.2</v>
      </c>
      <c r="V786" s="12"/>
      <c r="W786" s="12"/>
    </row>
    <row r="787" spans="1:23" x14ac:dyDescent="0.3">
      <c r="A787" s="193" t="e">
        <f ca="1"/>
        <v>#NAME?</v>
      </c>
      <c r="B787" s="46" t="s">
        <v>1334</v>
      </c>
      <c r="C787" s="315"/>
      <c r="D787" s="316"/>
      <c r="E787" s="315"/>
      <c r="F787" s="315"/>
      <c r="G787" s="315"/>
      <c r="H787" s="153"/>
      <c r="I787" s="12"/>
      <c r="J787" s="46" t="s">
        <v>1335</v>
      </c>
      <c r="K787" s="12"/>
      <c r="L787" s="288">
        <v>340</v>
      </c>
      <c r="M787" s="289">
        <v>2</v>
      </c>
      <c r="N787" s="290">
        <v>500</v>
      </c>
      <c r="O787" s="297"/>
      <c r="P787" s="297" t="s">
        <v>39</v>
      </c>
      <c r="Q787" s="12"/>
      <c r="R787" s="192" t="str">
        <f t="shared" si="28"/>
        <v>500grams</v>
      </c>
      <c r="S787" s="198">
        <f t="shared" si="29"/>
        <v>1000</v>
      </c>
      <c r="T787" s="199" t="str">
        <f t="shared" si="30"/>
        <v>1000grams</v>
      </c>
      <c r="U787" s="200">
        <f t="shared" si="31"/>
        <v>680</v>
      </c>
      <c r="V787" s="12"/>
      <c r="W787" s="12"/>
    </row>
    <row r="788" spans="1:23" x14ac:dyDescent="0.3">
      <c r="A788" s="193" t="e">
        <f ca="1"/>
        <v>#NAME?</v>
      </c>
      <c r="B788" s="46" t="s">
        <v>182</v>
      </c>
      <c r="C788" s="315"/>
      <c r="D788" s="316"/>
      <c r="E788" s="315"/>
      <c r="F788" s="315"/>
      <c r="G788" s="315"/>
      <c r="H788" s="153"/>
      <c r="I788" s="12"/>
      <c r="J788" s="46" t="s">
        <v>865</v>
      </c>
      <c r="K788" s="12"/>
      <c r="L788" s="288">
        <v>42.3</v>
      </c>
      <c r="M788" s="289">
        <v>12</v>
      </c>
      <c r="N788" s="290">
        <v>250</v>
      </c>
      <c r="O788" s="46"/>
      <c r="P788" s="46" t="s">
        <v>39</v>
      </c>
      <c r="Q788" s="12"/>
      <c r="R788" s="192" t="str">
        <f t="shared" si="28"/>
        <v>250grams</v>
      </c>
      <c r="S788" s="198">
        <f t="shared" si="29"/>
        <v>3000</v>
      </c>
      <c r="T788" s="199" t="str">
        <f t="shared" si="30"/>
        <v>3000grams</v>
      </c>
      <c r="U788" s="200">
        <f t="shared" si="31"/>
        <v>507.59999999999997</v>
      </c>
      <c r="V788" s="12"/>
      <c r="W788" s="12"/>
    </row>
    <row r="789" spans="1:23" x14ac:dyDescent="0.3">
      <c r="A789" s="193" t="e">
        <f ca="1"/>
        <v>#NAME?</v>
      </c>
      <c r="B789" s="46" t="s">
        <v>182</v>
      </c>
      <c r="C789" s="315"/>
      <c r="D789" s="316"/>
      <c r="E789" s="315"/>
      <c r="F789" s="315"/>
      <c r="G789" s="315"/>
      <c r="H789" s="153"/>
      <c r="I789" s="12"/>
      <c r="J789" s="46" t="s">
        <v>1336</v>
      </c>
      <c r="K789" s="12"/>
      <c r="L789" s="288">
        <v>40.200000000000003</v>
      </c>
      <c r="M789" s="289">
        <v>5</v>
      </c>
      <c r="N789" s="290">
        <v>250</v>
      </c>
      <c r="O789" s="46"/>
      <c r="P789" s="46" t="s">
        <v>519</v>
      </c>
      <c r="Q789" s="12"/>
      <c r="R789" s="192" t="str">
        <f t="shared" si="28"/>
        <v>250drained weight grams</v>
      </c>
      <c r="S789" s="198">
        <f t="shared" si="29"/>
        <v>1250</v>
      </c>
      <c r="T789" s="199" t="str">
        <f t="shared" si="30"/>
        <v>1250drained weight grams</v>
      </c>
      <c r="U789" s="200">
        <f t="shared" si="31"/>
        <v>201</v>
      </c>
      <c r="V789" s="12"/>
      <c r="W789" s="12"/>
    </row>
    <row r="790" spans="1:23" x14ac:dyDescent="0.3">
      <c r="A790" s="193" t="e">
        <f ca="1"/>
        <v>#NAME?</v>
      </c>
      <c r="B790" s="46" t="s">
        <v>182</v>
      </c>
      <c r="C790" s="315"/>
      <c r="D790" s="316"/>
      <c r="E790" s="315"/>
      <c r="F790" s="315"/>
      <c r="G790" s="315"/>
      <c r="H790" s="153"/>
      <c r="I790" s="12"/>
      <c r="J790" s="46" t="s">
        <v>1336</v>
      </c>
      <c r="K790" s="12"/>
      <c r="L790" s="291">
        <v>40.200000000000003</v>
      </c>
      <c r="M790" s="289">
        <v>5</v>
      </c>
      <c r="N790" s="293">
        <v>250</v>
      </c>
      <c r="O790" s="318"/>
      <c r="P790" s="318" t="s">
        <v>519</v>
      </c>
      <c r="Q790" s="12"/>
      <c r="R790" s="192" t="str">
        <f t="shared" si="28"/>
        <v>250drained weight grams</v>
      </c>
      <c r="S790" s="198">
        <f t="shared" si="29"/>
        <v>1250</v>
      </c>
      <c r="T790" s="199" t="str">
        <f t="shared" si="30"/>
        <v>1250drained weight grams</v>
      </c>
      <c r="U790" s="200">
        <f t="shared" si="31"/>
        <v>201</v>
      </c>
      <c r="V790" s="12"/>
      <c r="W790" s="12"/>
    </row>
    <row r="791" spans="1:23" x14ac:dyDescent="0.3">
      <c r="A791" s="193" t="e">
        <f ca="1"/>
        <v>#NAME?</v>
      </c>
      <c r="B791" s="46" t="s">
        <v>182</v>
      </c>
      <c r="C791" s="315"/>
      <c r="D791" s="316"/>
      <c r="E791" s="315"/>
      <c r="F791" s="315"/>
      <c r="G791" s="315"/>
      <c r="H791" s="153"/>
      <c r="I791" s="12"/>
      <c r="J791" s="46" t="s">
        <v>1337</v>
      </c>
      <c r="K791" s="12"/>
      <c r="L791" s="288">
        <v>56.2</v>
      </c>
      <c r="M791" s="289">
        <v>26</v>
      </c>
      <c r="N791" s="290">
        <v>260</v>
      </c>
      <c r="O791" s="46"/>
      <c r="P791" s="46" t="s">
        <v>39</v>
      </c>
      <c r="Q791" s="12"/>
      <c r="R791" s="192" t="str">
        <f t="shared" si="28"/>
        <v>260grams</v>
      </c>
      <c r="S791" s="198">
        <f t="shared" si="29"/>
        <v>6760</v>
      </c>
      <c r="T791" s="199" t="str">
        <f t="shared" si="30"/>
        <v>6760grams</v>
      </c>
      <c r="U791" s="200">
        <f t="shared" si="31"/>
        <v>1461.2</v>
      </c>
      <c r="V791" s="12"/>
      <c r="W791" s="12"/>
    </row>
    <row r="792" spans="1:23" x14ac:dyDescent="0.3">
      <c r="A792" s="193" t="e">
        <f ca="1"/>
        <v>#NAME?</v>
      </c>
      <c r="B792" s="46" t="s">
        <v>182</v>
      </c>
      <c r="C792" s="315"/>
      <c r="D792" s="316"/>
      <c r="E792" s="315"/>
      <c r="F792" s="315"/>
      <c r="G792" s="315"/>
      <c r="H792" s="153"/>
      <c r="I792" s="12"/>
      <c r="J792" s="46" t="s">
        <v>1338</v>
      </c>
      <c r="K792" s="12"/>
      <c r="L792" s="288">
        <v>50</v>
      </c>
      <c r="M792" s="289">
        <v>3</v>
      </c>
      <c r="N792" s="290">
        <v>223</v>
      </c>
      <c r="O792" s="60"/>
      <c r="P792" s="60" t="s">
        <v>39</v>
      </c>
      <c r="Q792" s="12"/>
      <c r="R792" s="192" t="str">
        <f t="shared" si="28"/>
        <v>223grams</v>
      </c>
      <c r="S792" s="198">
        <f t="shared" si="29"/>
        <v>669</v>
      </c>
      <c r="T792" s="199" t="str">
        <f t="shared" si="30"/>
        <v>669grams</v>
      </c>
      <c r="U792" s="200">
        <f t="shared" si="31"/>
        <v>150</v>
      </c>
      <c r="V792" s="12"/>
      <c r="W792" s="12"/>
    </row>
    <row r="793" spans="1:23" x14ac:dyDescent="0.3">
      <c r="A793" s="193" t="e">
        <f ca="1"/>
        <v>#NAME?</v>
      </c>
      <c r="B793" s="219" t="s">
        <v>182</v>
      </c>
      <c r="C793" s="315"/>
      <c r="D793" s="316"/>
      <c r="E793" s="315"/>
      <c r="F793" s="315"/>
      <c r="G793" s="315"/>
      <c r="H793" s="153"/>
      <c r="I793" s="12"/>
      <c r="J793" s="219" t="s">
        <v>1336</v>
      </c>
      <c r="K793" s="12"/>
      <c r="L793" s="291">
        <v>42.5</v>
      </c>
      <c r="M793" s="303">
        <v>1</v>
      </c>
      <c r="N793" s="293">
        <v>425</v>
      </c>
      <c r="O793" s="219"/>
      <c r="P793" s="219" t="s">
        <v>39</v>
      </c>
      <c r="Q793" s="12"/>
      <c r="R793" s="192" t="str">
        <f t="shared" si="28"/>
        <v>425grams</v>
      </c>
      <c r="S793" s="198">
        <f t="shared" si="29"/>
        <v>425</v>
      </c>
      <c r="T793" s="199" t="str">
        <f t="shared" si="30"/>
        <v>425grams</v>
      </c>
      <c r="U793" s="200">
        <f t="shared" si="31"/>
        <v>42.5</v>
      </c>
      <c r="V793" s="12"/>
      <c r="W793" s="12"/>
    </row>
    <row r="794" spans="1:23" x14ac:dyDescent="0.3">
      <c r="A794" s="193" t="e">
        <f ca="1"/>
        <v>#NAME?</v>
      </c>
      <c r="B794" s="46" t="s">
        <v>1339</v>
      </c>
      <c r="C794" s="315"/>
      <c r="D794" s="316"/>
      <c r="E794" s="315"/>
      <c r="F794" s="315"/>
      <c r="G794" s="315"/>
      <c r="H794" s="153"/>
      <c r="I794" s="12"/>
      <c r="J794" s="46" t="s">
        <v>1340</v>
      </c>
      <c r="K794" s="12"/>
      <c r="L794" s="288">
        <v>106.75</v>
      </c>
      <c r="M794" s="289">
        <v>10</v>
      </c>
      <c r="N794" s="290">
        <v>1</v>
      </c>
      <c r="O794" s="46"/>
      <c r="P794" s="46" t="s">
        <v>200</v>
      </c>
      <c r="Q794" s="12"/>
      <c r="R794" s="192" t="str">
        <f t="shared" si="28"/>
        <v>1gal</v>
      </c>
      <c r="S794" s="198">
        <f t="shared" si="29"/>
        <v>10</v>
      </c>
      <c r="T794" s="199" t="str">
        <f t="shared" si="30"/>
        <v>10gal</v>
      </c>
      <c r="U794" s="200">
        <f t="shared" si="31"/>
        <v>1067.5</v>
      </c>
      <c r="V794" s="12"/>
      <c r="W794" s="12"/>
    </row>
    <row r="795" spans="1:23" x14ac:dyDescent="0.3">
      <c r="A795" s="193" t="e">
        <f ca="1"/>
        <v>#NAME?</v>
      </c>
      <c r="B795" s="46" t="s">
        <v>1339</v>
      </c>
      <c r="C795" s="315"/>
      <c r="D795" s="316"/>
      <c r="E795" s="315"/>
      <c r="F795" s="315"/>
      <c r="G795" s="315"/>
      <c r="H795" s="153"/>
      <c r="I795" s="12"/>
      <c r="J795" s="46" t="s">
        <v>1069</v>
      </c>
      <c r="K795" s="12"/>
      <c r="L795" s="288">
        <v>76</v>
      </c>
      <c r="M795" s="289">
        <v>6</v>
      </c>
      <c r="N795" s="290">
        <v>1</v>
      </c>
      <c r="O795" s="46"/>
      <c r="P795" s="46" t="s">
        <v>200</v>
      </c>
      <c r="Q795" s="12"/>
      <c r="R795" s="192" t="str">
        <f t="shared" si="28"/>
        <v>1gal</v>
      </c>
      <c r="S795" s="198">
        <f t="shared" si="29"/>
        <v>6</v>
      </c>
      <c r="T795" s="199" t="str">
        <f t="shared" si="30"/>
        <v>6gal</v>
      </c>
      <c r="U795" s="200">
        <f t="shared" si="31"/>
        <v>456</v>
      </c>
      <c r="V795" s="12"/>
      <c r="W795" s="12"/>
    </row>
    <row r="796" spans="1:23" x14ac:dyDescent="0.3">
      <c r="A796" s="193" t="e">
        <f ca="1"/>
        <v>#NAME?</v>
      </c>
      <c r="B796" s="46" t="s">
        <v>223</v>
      </c>
      <c r="C796" s="315"/>
      <c r="D796" s="316"/>
      <c r="E796" s="315"/>
      <c r="F796" s="315"/>
      <c r="G796" s="315"/>
      <c r="H796" s="153"/>
      <c r="I796" s="12"/>
      <c r="J796" s="46" t="s">
        <v>224</v>
      </c>
      <c r="K796" s="12"/>
      <c r="L796" s="288">
        <v>120</v>
      </c>
      <c r="M796" s="289">
        <v>3</v>
      </c>
      <c r="N796" s="290">
        <v>1000</v>
      </c>
      <c r="O796" s="46"/>
      <c r="P796" s="46" t="s">
        <v>39</v>
      </c>
      <c r="Q796" s="12"/>
      <c r="R796" s="192" t="str">
        <f t="shared" si="28"/>
        <v>1000grams</v>
      </c>
      <c r="S796" s="198">
        <f t="shared" si="29"/>
        <v>3000</v>
      </c>
      <c r="T796" s="199" t="str">
        <f t="shared" si="30"/>
        <v>3000grams</v>
      </c>
      <c r="U796" s="200">
        <f t="shared" si="31"/>
        <v>360</v>
      </c>
      <c r="V796" s="12"/>
      <c r="W796" s="12"/>
    </row>
    <row r="797" spans="1:23" x14ac:dyDescent="0.3">
      <c r="A797" s="193" t="e">
        <f ca="1"/>
        <v>#NAME?</v>
      </c>
      <c r="B797" s="46" t="s">
        <v>223</v>
      </c>
      <c r="C797" s="315"/>
      <c r="D797" s="316"/>
      <c r="E797" s="315"/>
      <c r="F797" s="315"/>
      <c r="G797" s="315"/>
      <c r="H797" s="153"/>
      <c r="I797" s="12"/>
      <c r="J797" s="46" t="s">
        <v>1341</v>
      </c>
      <c r="K797" s="12"/>
      <c r="L797" s="288">
        <v>120</v>
      </c>
      <c r="M797" s="289">
        <v>3</v>
      </c>
      <c r="N797" s="290">
        <v>1000</v>
      </c>
      <c r="O797" s="46"/>
      <c r="P797" s="46" t="s">
        <v>39</v>
      </c>
      <c r="Q797" s="12"/>
      <c r="R797" s="192" t="str">
        <f t="shared" si="28"/>
        <v>1000grams</v>
      </c>
      <c r="S797" s="198">
        <f t="shared" si="29"/>
        <v>3000</v>
      </c>
      <c r="T797" s="199" t="str">
        <f t="shared" si="30"/>
        <v>3000grams</v>
      </c>
      <c r="U797" s="200">
        <f t="shared" si="31"/>
        <v>360</v>
      </c>
      <c r="V797" s="12"/>
      <c r="W797" s="12"/>
    </row>
    <row r="798" spans="1:23" x14ac:dyDescent="0.3">
      <c r="A798" s="193" t="e">
        <f ca="1"/>
        <v>#NAME?</v>
      </c>
      <c r="B798" s="46" t="s">
        <v>223</v>
      </c>
      <c r="C798" s="315"/>
      <c r="D798" s="316"/>
      <c r="E798" s="315"/>
      <c r="F798" s="315"/>
      <c r="G798" s="315"/>
      <c r="H798" s="153"/>
      <c r="I798" s="12"/>
      <c r="J798" s="46" t="s">
        <v>1098</v>
      </c>
      <c r="K798" s="12"/>
      <c r="L798" s="288">
        <v>55</v>
      </c>
      <c r="M798" s="289">
        <v>2</v>
      </c>
      <c r="N798" s="290">
        <v>2000</v>
      </c>
      <c r="O798" s="46"/>
      <c r="P798" s="46" t="s">
        <v>39</v>
      </c>
      <c r="Q798" s="12"/>
      <c r="R798" s="192" t="str">
        <f t="shared" si="28"/>
        <v>2000grams</v>
      </c>
      <c r="S798" s="198">
        <f t="shared" si="29"/>
        <v>4000</v>
      </c>
      <c r="T798" s="199" t="str">
        <f t="shared" si="30"/>
        <v>4000grams</v>
      </c>
      <c r="U798" s="200">
        <f t="shared" si="31"/>
        <v>110</v>
      </c>
      <c r="V798" s="12"/>
      <c r="W798" s="12"/>
    </row>
    <row r="799" spans="1:23" x14ac:dyDescent="0.3">
      <c r="A799" s="193" t="e">
        <f ca="1"/>
        <v>#NAME?</v>
      </c>
      <c r="B799" s="46" t="s">
        <v>223</v>
      </c>
      <c r="C799" s="315"/>
      <c r="D799" s="316"/>
      <c r="E799" s="315"/>
      <c r="F799" s="315"/>
      <c r="G799" s="315"/>
      <c r="H799" s="153"/>
      <c r="I799" s="12"/>
      <c r="J799" s="46" t="s">
        <v>1236</v>
      </c>
      <c r="K799" s="12"/>
      <c r="L799" s="288">
        <v>56.35</v>
      </c>
      <c r="M799" s="289">
        <v>9</v>
      </c>
      <c r="N799" s="290">
        <v>220</v>
      </c>
      <c r="O799" s="46"/>
      <c r="P799" s="46" t="s">
        <v>39</v>
      </c>
      <c r="Q799" s="12"/>
      <c r="R799" s="192" t="str">
        <f t="shared" si="28"/>
        <v>220grams</v>
      </c>
      <c r="S799" s="198">
        <f t="shared" si="29"/>
        <v>1980</v>
      </c>
      <c r="T799" s="199" t="str">
        <f t="shared" si="30"/>
        <v>1980grams</v>
      </c>
      <c r="U799" s="200">
        <f t="shared" si="31"/>
        <v>507.15000000000003</v>
      </c>
      <c r="V799" s="12"/>
      <c r="W799" s="12"/>
    </row>
    <row r="800" spans="1:23" x14ac:dyDescent="0.3">
      <c r="A800" s="193" t="e">
        <f ca="1"/>
        <v>#NAME?</v>
      </c>
      <c r="B800" s="46" t="s">
        <v>1342</v>
      </c>
      <c r="C800" s="315"/>
      <c r="D800" s="316"/>
      <c r="E800" s="315"/>
      <c r="F800" s="315"/>
      <c r="G800" s="315"/>
      <c r="H800" s="153"/>
      <c r="I800" s="12"/>
      <c r="J800" s="170"/>
      <c r="K800" s="12"/>
      <c r="L800" s="288">
        <v>200</v>
      </c>
      <c r="M800" s="289">
        <v>5</v>
      </c>
      <c r="N800" s="290">
        <v>1000</v>
      </c>
      <c r="O800" s="46"/>
      <c r="P800" s="46" t="s">
        <v>39</v>
      </c>
      <c r="Q800" s="12"/>
      <c r="R800" s="192" t="str">
        <f t="shared" si="28"/>
        <v>1000grams</v>
      </c>
      <c r="S800" s="198">
        <f t="shared" si="29"/>
        <v>5000</v>
      </c>
      <c r="T800" s="199" t="str">
        <f t="shared" si="30"/>
        <v>5000grams</v>
      </c>
      <c r="U800" s="200">
        <f t="shared" si="31"/>
        <v>1000</v>
      </c>
      <c r="V800" s="12"/>
      <c r="W800" s="12"/>
    </row>
    <row r="801" spans="1:23" x14ac:dyDescent="0.3">
      <c r="A801" s="193" t="e">
        <f ca="1"/>
        <v>#NAME?</v>
      </c>
      <c r="B801" s="46" t="s">
        <v>1343</v>
      </c>
      <c r="C801" s="315"/>
      <c r="D801" s="316"/>
      <c r="E801" s="315"/>
      <c r="F801" s="315"/>
      <c r="G801" s="315"/>
      <c r="H801" s="153"/>
      <c r="I801" s="12"/>
      <c r="J801" s="170"/>
      <c r="K801" s="12"/>
      <c r="L801" s="288">
        <v>70</v>
      </c>
      <c r="M801" s="289">
        <v>1</v>
      </c>
      <c r="N801" s="290">
        <v>1000</v>
      </c>
      <c r="O801" s="46"/>
      <c r="P801" s="46" t="s">
        <v>39</v>
      </c>
      <c r="Q801" s="12"/>
      <c r="R801" s="192" t="str">
        <f t="shared" si="28"/>
        <v>1000grams</v>
      </c>
      <c r="S801" s="198">
        <f t="shared" si="29"/>
        <v>1000</v>
      </c>
      <c r="T801" s="199" t="str">
        <f t="shared" si="30"/>
        <v>1000grams</v>
      </c>
      <c r="U801" s="200">
        <f t="shared" si="31"/>
        <v>70</v>
      </c>
      <c r="V801" s="12"/>
      <c r="W801" s="12"/>
    </row>
    <row r="802" spans="1:23" x14ac:dyDescent="0.3">
      <c r="A802" s="193" t="e">
        <f ca="1"/>
        <v>#NAME?</v>
      </c>
      <c r="B802" s="46" t="s">
        <v>1343</v>
      </c>
      <c r="C802" s="315"/>
      <c r="D802" s="316"/>
      <c r="E802" s="315"/>
      <c r="F802" s="315"/>
      <c r="G802" s="315"/>
      <c r="H802" s="153"/>
      <c r="I802" s="12"/>
      <c r="J802" s="46" t="s">
        <v>216</v>
      </c>
      <c r="K802" s="12"/>
      <c r="L802" s="288">
        <v>46</v>
      </c>
      <c r="M802" s="289">
        <v>2</v>
      </c>
      <c r="N802" s="290">
        <v>1000</v>
      </c>
      <c r="O802" s="46"/>
      <c r="P802" s="46" t="s">
        <v>39</v>
      </c>
      <c r="Q802" s="12"/>
      <c r="R802" s="192" t="str">
        <f t="shared" si="28"/>
        <v>1000grams</v>
      </c>
      <c r="S802" s="198">
        <f t="shared" si="29"/>
        <v>2000</v>
      </c>
      <c r="T802" s="199" t="str">
        <f t="shared" si="30"/>
        <v>2000grams</v>
      </c>
      <c r="U802" s="200">
        <f t="shared" si="31"/>
        <v>92</v>
      </c>
      <c r="V802" s="12"/>
      <c r="W802" s="12"/>
    </row>
    <row r="803" spans="1:23" x14ac:dyDescent="0.3">
      <c r="A803" s="193" t="e">
        <f ca="1"/>
        <v>#NAME?</v>
      </c>
      <c r="B803" s="219" t="s">
        <v>1344</v>
      </c>
      <c r="C803" s="315"/>
      <c r="D803" s="316"/>
      <c r="E803" s="315"/>
      <c r="F803" s="315"/>
      <c r="G803" s="315"/>
      <c r="H803" s="153"/>
      <c r="I803" s="12"/>
      <c r="J803" s="170"/>
      <c r="K803" s="12"/>
      <c r="L803" s="288">
        <v>95</v>
      </c>
      <c r="M803" s="289">
        <v>2</v>
      </c>
      <c r="N803" s="290">
        <v>1</v>
      </c>
      <c r="O803" s="46"/>
      <c r="P803" s="46" t="s">
        <v>213</v>
      </c>
      <c r="Q803" s="12"/>
      <c r="R803" s="192" t="str">
        <f t="shared" si="28"/>
        <v>1kilos</v>
      </c>
      <c r="S803" s="198">
        <f t="shared" si="29"/>
        <v>2</v>
      </c>
      <c r="T803" s="199" t="str">
        <f t="shared" si="30"/>
        <v>2kilos</v>
      </c>
      <c r="U803" s="200">
        <f t="shared" si="31"/>
        <v>190</v>
      </c>
      <c r="V803" s="12"/>
      <c r="W803" s="12"/>
    </row>
    <row r="804" spans="1:23" x14ac:dyDescent="0.3">
      <c r="A804" s="193" t="e">
        <f ca="1"/>
        <v>#NAME?</v>
      </c>
      <c r="B804" s="46" t="s">
        <v>1344</v>
      </c>
      <c r="C804" s="315"/>
      <c r="D804" s="316"/>
      <c r="E804" s="315"/>
      <c r="F804" s="315"/>
      <c r="G804" s="315"/>
      <c r="H804" s="153"/>
      <c r="I804" s="12"/>
      <c r="J804" s="170"/>
      <c r="K804" s="12"/>
      <c r="L804" s="288">
        <v>110</v>
      </c>
      <c r="M804" s="289">
        <v>2</v>
      </c>
      <c r="N804" s="290">
        <v>1000</v>
      </c>
      <c r="O804" s="46"/>
      <c r="P804" s="46" t="s">
        <v>39</v>
      </c>
      <c r="Q804" s="12"/>
      <c r="R804" s="192" t="str">
        <f t="shared" si="28"/>
        <v>1000grams</v>
      </c>
      <c r="S804" s="198">
        <f t="shared" si="29"/>
        <v>2000</v>
      </c>
      <c r="T804" s="199" t="str">
        <f t="shared" si="30"/>
        <v>2000grams</v>
      </c>
      <c r="U804" s="200">
        <f t="shared" si="31"/>
        <v>220</v>
      </c>
      <c r="V804" s="12"/>
      <c r="W804" s="12"/>
    </row>
    <row r="805" spans="1:23" x14ac:dyDescent="0.3">
      <c r="A805" s="193" t="e">
        <f ca="1"/>
        <v>#NAME?</v>
      </c>
      <c r="B805" s="46" t="s">
        <v>1344</v>
      </c>
      <c r="C805" s="315"/>
      <c r="D805" s="316"/>
      <c r="E805" s="315"/>
      <c r="F805" s="315"/>
      <c r="G805" s="315"/>
      <c r="H805" s="153"/>
      <c r="I805" s="12"/>
      <c r="J805" s="170"/>
      <c r="K805" s="12"/>
      <c r="L805" s="288">
        <v>50</v>
      </c>
      <c r="M805" s="289">
        <v>10</v>
      </c>
      <c r="N805" s="290">
        <v>1000</v>
      </c>
      <c r="O805" s="46"/>
      <c r="P805" s="46" t="s">
        <v>39</v>
      </c>
      <c r="Q805" s="12"/>
      <c r="R805" s="192" t="str">
        <f t="shared" si="28"/>
        <v>1000grams</v>
      </c>
      <c r="S805" s="198">
        <f t="shared" si="29"/>
        <v>10000</v>
      </c>
      <c r="T805" s="199" t="str">
        <f t="shared" si="30"/>
        <v>10000grams</v>
      </c>
      <c r="U805" s="200">
        <f t="shared" si="31"/>
        <v>500</v>
      </c>
      <c r="V805" s="12"/>
      <c r="W805" s="12"/>
    </row>
    <row r="806" spans="1:23" x14ac:dyDescent="0.3">
      <c r="A806" s="193" t="e">
        <f ca="1"/>
        <v>#NAME?</v>
      </c>
      <c r="B806" s="46" t="s">
        <v>1345</v>
      </c>
      <c r="C806" s="315"/>
      <c r="D806" s="316"/>
      <c r="E806" s="315"/>
      <c r="F806" s="315"/>
      <c r="G806" s="315"/>
      <c r="H806" s="153"/>
      <c r="I806" s="12"/>
      <c r="J806" s="46" t="s">
        <v>1346</v>
      </c>
      <c r="K806" s="12"/>
      <c r="L806" s="288">
        <v>130</v>
      </c>
      <c r="M806" s="289">
        <v>1</v>
      </c>
      <c r="N806" s="290">
        <v>340</v>
      </c>
      <c r="O806" s="46"/>
      <c r="P806" s="46" t="s">
        <v>39</v>
      </c>
      <c r="Q806" s="12"/>
      <c r="R806" s="192" t="str">
        <f t="shared" si="28"/>
        <v>340grams</v>
      </c>
      <c r="S806" s="198">
        <f t="shared" si="29"/>
        <v>340</v>
      </c>
      <c r="T806" s="199" t="str">
        <f t="shared" si="30"/>
        <v>340grams</v>
      </c>
      <c r="U806" s="200">
        <f t="shared" si="31"/>
        <v>130</v>
      </c>
      <c r="V806" s="12"/>
      <c r="W806" s="12"/>
    </row>
    <row r="807" spans="1:23" x14ac:dyDescent="0.3">
      <c r="A807" s="193" t="e">
        <f ca="1"/>
        <v>#NAME?</v>
      </c>
      <c r="B807" s="219" t="s">
        <v>75</v>
      </c>
      <c r="C807" s="315"/>
      <c r="D807" s="316"/>
      <c r="E807" s="315"/>
      <c r="F807" s="315"/>
      <c r="G807" s="315"/>
      <c r="H807" s="153"/>
      <c r="I807" s="12"/>
      <c r="J807" s="219" t="s">
        <v>1347</v>
      </c>
      <c r="K807" s="12"/>
      <c r="L807" s="291">
        <v>860</v>
      </c>
      <c r="M807" s="292">
        <v>1</v>
      </c>
      <c r="N807" s="293">
        <v>6800</v>
      </c>
      <c r="O807" s="219"/>
      <c r="P807" s="219" t="s">
        <v>39</v>
      </c>
      <c r="Q807" s="12"/>
      <c r="R807" s="192" t="str">
        <f t="shared" si="28"/>
        <v>6800grams</v>
      </c>
      <c r="S807" s="198">
        <f t="shared" si="29"/>
        <v>6800</v>
      </c>
      <c r="T807" s="199" t="str">
        <f t="shared" si="30"/>
        <v>6800grams</v>
      </c>
      <c r="U807" s="200">
        <f t="shared" si="31"/>
        <v>860</v>
      </c>
      <c r="V807" s="12"/>
      <c r="W807" s="12"/>
    </row>
    <row r="808" spans="1:23" x14ac:dyDescent="0.3">
      <c r="A808" s="193" t="e">
        <f ca="1"/>
        <v>#NAME?</v>
      </c>
      <c r="B808" s="46" t="s">
        <v>1348</v>
      </c>
      <c r="C808" s="315"/>
      <c r="D808" s="316"/>
      <c r="E808" s="315"/>
      <c r="F808" s="315"/>
      <c r="G808" s="315"/>
      <c r="H808" s="153"/>
      <c r="I808" s="12"/>
      <c r="J808" s="46" t="s">
        <v>1349</v>
      </c>
      <c r="K808" s="12"/>
      <c r="L808" s="288">
        <v>129</v>
      </c>
      <c r="M808" s="289">
        <v>2</v>
      </c>
      <c r="N808" s="290">
        <v>454</v>
      </c>
      <c r="O808" s="46"/>
      <c r="P808" s="46" t="s">
        <v>39</v>
      </c>
      <c r="Q808" s="12"/>
      <c r="R808" s="192" t="str">
        <f t="shared" si="28"/>
        <v>454grams</v>
      </c>
      <c r="S808" s="198">
        <f t="shared" si="29"/>
        <v>908</v>
      </c>
      <c r="T808" s="199" t="str">
        <f t="shared" si="30"/>
        <v>908grams</v>
      </c>
      <c r="U808" s="200">
        <f t="shared" si="31"/>
        <v>258</v>
      </c>
      <c r="V808" s="12"/>
      <c r="W808" s="12"/>
    </row>
    <row r="809" spans="1:23" x14ac:dyDescent="0.3">
      <c r="A809" s="193" t="e">
        <f ca="1"/>
        <v>#NAME?</v>
      </c>
      <c r="B809" s="46" t="s">
        <v>1348</v>
      </c>
      <c r="C809" s="315"/>
      <c r="D809" s="316"/>
      <c r="E809" s="315"/>
      <c r="F809" s="315"/>
      <c r="G809" s="315"/>
      <c r="H809" s="153"/>
      <c r="I809" s="12"/>
      <c r="J809" s="46" t="s">
        <v>963</v>
      </c>
      <c r="K809" s="12"/>
      <c r="L809" s="288">
        <v>143.5</v>
      </c>
      <c r="M809" s="289">
        <v>2</v>
      </c>
      <c r="N809" s="290">
        <v>500</v>
      </c>
      <c r="O809" s="46"/>
      <c r="P809" s="46" t="s">
        <v>39</v>
      </c>
      <c r="Q809" s="12"/>
      <c r="R809" s="192" t="str">
        <f t="shared" si="28"/>
        <v>500grams</v>
      </c>
      <c r="S809" s="198">
        <f t="shared" si="29"/>
        <v>1000</v>
      </c>
      <c r="T809" s="199" t="str">
        <f t="shared" si="30"/>
        <v>1000grams</v>
      </c>
      <c r="U809" s="200">
        <f t="shared" si="31"/>
        <v>287</v>
      </c>
      <c r="V809" s="12"/>
      <c r="W809" s="12"/>
    </row>
    <row r="810" spans="1:23" x14ac:dyDescent="0.3">
      <c r="A810" s="193" t="e">
        <f ca="1"/>
        <v>#NAME?</v>
      </c>
      <c r="B810" s="46" t="s">
        <v>1348</v>
      </c>
      <c r="C810" s="315"/>
      <c r="D810" s="316"/>
      <c r="E810" s="315"/>
      <c r="F810" s="315"/>
      <c r="G810" s="315"/>
      <c r="H810" s="153"/>
      <c r="I810" s="12"/>
      <c r="J810" s="219" t="s">
        <v>1349</v>
      </c>
      <c r="K810" s="12"/>
      <c r="L810" s="291">
        <v>137</v>
      </c>
      <c r="M810" s="292">
        <v>1</v>
      </c>
      <c r="N810" s="293">
        <v>454</v>
      </c>
      <c r="O810" s="219"/>
      <c r="P810" s="219" t="s">
        <v>39</v>
      </c>
      <c r="Q810" s="12"/>
      <c r="R810" s="192" t="str">
        <f t="shared" si="28"/>
        <v>454grams</v>
      </c>
      <c r="S810" s="198">
        <f t="shared" si="29"/>
        <v>454</v>
      </c>
      <c r="T810" s="199" t="str">
        <f t="shared" si="30"/>
        <v>454grams</v>
      </c>
      <c r="U810" s="200">
        <f t="shared" si="31"/>
        <v>137</v>
      </c>
      <c r="V810" s="12"/>
      <c r="W810" s="12"/>
    </row>
    <row r="811" spans="1:23" x14ac:dyDescent="0.3">
      <c r="A811" s="193" t="e">
        <f ca="1"/>
        <v>#NAME?</v>
      </c>
      <c r="B811" s="46" t="s">
        <v>1348</v>
      </c>
      <c r="C811" s="315"/>
      <c r="D811" s="316"/>
      <c r="E811" s="315"/>
      <c r="F811" s="315"/>
      <c r="G811" s="315"/>
      <c r="H811" s="153"/>
      <c r="I811" s="12"/>
      <c r="J811" s="46" t="s">
        <v>963</v>
      </c>
      <c r="K811" s="12"/>
      <c r="L811" s="288">
        <v>117.5</v>
      </c>
      <c r="M811" s="289">
        <v>1</v>
      </c>
      <c r="N811" s="290">
        <v>500</v>
      </c>
      <c r="O811" s="46"/>
      <c r="P811" s="46" t="s">
        <v>39</v>
      </c>
      <c r="Q811" s="12"/>
      <c r="R811" s="192" t="str">
        <f t="shared" si="28"/>
        <v>500grams</v>
      </c>
      <c r="S811" s="198">
        <f t="shared" si="29"/>
        <v>500</v>
      </c>
      <c r="T811" s="199" t="str">
        <f t="shared" si="30"/>
        <v>500grams</v>
      </c>
      <c r="U811" s="200">
        <f t="shared" si="31"/>
        <v>117.5</v>
      </c>
      <c r="V811" s="12"/>
      <c r="W811" s="12"/>
    </row>
    <row r="812" spans="1:23" x14ac:dyDescent="0.3">
      <c r="A812" s="193" t="e">
        <f ca="1"/>
        <v>#NAME?</v>
      </c>
      <c r="B812" s="46" t="s">
        <v>656</v>
      </c>
      <c r="C812" s="315"/>
      <c r="D812" s="316"/>
      <c r="E812" s="315"/>
      <c r="F812" s="315"/>
      <c r="G812" s="315"/>
      <c r="H812" s="153"/>
      <c r="I812" s="12"/>
      <c r="J812" s="46" t="s">
        <v>962</v>
      </c>
      <c r="K812" s="12"/>
      <c r="L812" s="288">
        <v>400</v>
      </c>
      <c r="M812" s="289">
        <v>0</v>
      </c>
      <c r="N812" s="290">
        <v>1</v>
      </c>
      <c r="O812" s="46"/>
      <c r="P812" s="46" t="s">
        <v>213</v>
      </c>
      <c r="Q812" s="12"/>
      <c r="R812" s="192" t="str">
        <f t="shared" si="28"/>
        <v>1kilos</v>
      </c>
      <c r="S812" s="198">
        <f t="shared" si="29"/>
        <v>0</v>
      </c>
      <c r="T812" s="199" t="str">
        <f t="shared" si="30"/>
        <v>0kilos</v>
      </c>
      <c r="U812" s="200">
        <f t="shared" si="31"/>
        <v>0</v>
      </c>
      <c r="V812" s="12"/>
      <c r="W812" s="12"/>
    </row>
    <row r="813" spans="1:23" x14ac:dyDescent="0.3">
      <c r="A813" s="193" t="e">
        <f ca="1"/>
        <v>#NAME?</v>
      </c>
      <c r="B813" s="46" t="s">
        <v>656</v>
      </c>
      <c r="C813" s="315"/>
      <c r="D813" s="316"/>
      <c r="E813" s="315"/>
      <c r="F813" s="315"/>
      <c r="G813" s="315"/>
      <c r="H813" s="153"/>
      <c r="I813" s="12"/>
      <c r="J813" s="46" t="s">
        <v>851</v>
      </c>
      <c r="K813" s="12"/>
      <c r="L813" s="288">
        <v>125</v>
      </c>
      <c r="M813" s="289">
        <v>1</v>
      </c>
      <c r="N813" s="290">
        <v>250</v>
      </c>
      <c r="O813" s="297"/>
      <c r="P813" s="297" t="s">
        <v>39</v>
      </c>
      <c r="Q813" s="12"/>
      <c r="R813" s="192" t="str">
        <f t="shared" si="28"/>
        <v>250grams</v>
      </c>
      <c r="S813" s="198">
        <f t="shared" si="29"/>
        <v>250</v>
      </c>
      <c r="T813" s="199" t="str">
        <f t="shared" si="30"/>
        <v>250grams</v>
      </c>
      <c r="U813" s="200">
        <f t="shared" si="31"/>
        <v>125</v>
      </c>
      <c r="V813" s="12"/>
      <c r="W813" s="12"/>
    </row>
    <row r="814" spans="1:23" x14ac:dyDescent="0.3">
      <c r="A814" s="193" t="e">
        <f ca="1"/>
        <v>#NAME?</v>
      </c>
      <c r="B814" s="46" t="s">
        <v>656</v>
      </c>
      <c r="C814" s="315"/>
      <c r="D814" s="316"/>
      <c r="E814" s="315"/>
      <c r="F814" s="315"/>
      <c r="G814" s="315"/>
      <c r="H814" s="153"/>
      <c r="I814" s="12"/>
      <c r="J814" s="46" t="s">
        <v>790</v>
      </c>
      <c r="K814" s="12"/>
      <c r="L814" s="288">
        <v>98</v>
      </c>
      <c r="M814" s="289">
        <v>1</v>
      </c>
      <c r="N814" s="290">
        <v>1000</v>
      </c>
      <c r="O814" s="46"/>
      <c r="P814" s="46" t="s">
        <v>39</v>
      </c>
      <c r="Q814" s="12"/>
      <c r="R814" s="192" t="str">
        <f t="shared" si="28"/>
        <v>1000grams</v>
      </c>
      <c r="S814" s="198">
        <f t="shared" si="29"/>
        <v>1000</v>
      </c>
      <c r="T814" s="199" t="str">
        <f t="shared" si="30"/>
        <v>1000grams</v>
      </c>
      <c r="U814" s="200">
        <f t="shared" si="31"/>
        <v>98</v>
      </c>
      <c r="V814" s="12"/>
      <c r="W814" s="12"/>
    </row>
    <row r="815" spans="1:23" x14ac:dyDescent="0.3">
      <c r="A815" s="193" t="e">
        <f ca="1"/>
        <v>#NAME?</v>
      </c>
      <c r="B815" s="46" t="s">
        <v>259</v>
      </c>
      <c r="C815" s="315"/>
      <c r="D815" s="316"/>
      <c r="E815" s="315"/>
      <c r="F815" s="315"/>
      <c r="G815" s="315"/>
      <c r="H815" s="153"/>
      <c r="I815" s="12"/>
      <c r="J815" s="46" t="s">
        <v>260</v>
      </c>
      <c r="K815" s="12"/>
      <c r="L815" s="288">
        <v>48.7</v>
      </c>
      <c r="M815" s="289">
        <v>1</v>
      </c>
      <c r="N815" s="290">
        <v>550</v>
      </c>
      <c r="O815" s="46"/>
      <c r="P815" s="46" t="s">
        <v>39</v>
      </c>
      <c r="Q815" s="12"/>
      <c r="R815" s="192" t="str">
        <f t="shared" si="28"/>
        <v>550grams</v>
      </c>
      <c r="S815" s="198">
        <f t="shared" si="29"/>
        <v>550</v>
      </c>
      <c r="T815" s="199" t="str">
        <f t="shared" si="30"/>
        <v>550grams</v>
      </c>
      <c r="U815" s="200">
        <f t="shared" si="31"/>
        <v>48.7</v>
      </c>
      <c r="V815" s="12"/>
      <c r="W815" s="12"/>
    </row>
    <row r="816" spans="1:23" x14ac:dyDescent="0.3">
      <c r="A816" s="193" t="e">
        <f ca="1"/>
        <v>#NAME?</v>
      </c>
      <c r="B816" s="46" t="s">
        <v>259</v>
      </c>
      <c r="C816" s="315"/>
      <c r="D816" s="316"/>
      <c r="E816" s="315"/>
      <c r="F816" s="315"/>
      <c r="G816" s="315"/>
      <c r="H816" s="153"/>
      <c r="I816" s="12"/>
      <c r="J816" s="46" t="s">
        <v>1350</v>
      </c>
      <c r="K816" s="12"/>
      <c r="L816" s="288">
        <v>35.1</v>
      </c>
      <c r="M816" s="289">
        <v>1</v>
      </c>
      <c r="N816" s="290">
        <v>325</v>
      </c>
      <c r="O816" s="46"/>
      <c r="P816" s="46" t="s">
        <v>39</v>
      </c>
      <c r="Q816" s="12"/>
      <c r="R816" s="192" t="str">
        <f t="shared" si="28"/>
        <v>325grams</v>
      </c>
      <c r="S816" s="198">
        <f t="shared" si="29"/>
        <v>325</v>
      </c>
      <c r="T816" s="199" t="str">
        <f t="shared" si="30"/>
        <v>325grams</v>
      </c>
      <c r="U816" s="200">
        <f t="shared" si="31"/>
        <v>35.1</v>
      </c>
      <c r="V816" s="12"/>
      <c r="W816" s="12"/>
    </row>
    <row r="817" spans="1:23" x14ac:dyDescent="0.3">
      <c r="A817" s="193" t="e">
        <f ca="1"/>
        <v>#NAME?</v>
      </c>
      <c r="B817" s="46" t="s">
        <v>259</v>
      </c>
      <c r="C817" s="315"/>
      <c r="D817" s="316"/>
      <c r="E817" s="315"/>
      <c r="F817" s="315"/>
      <c r="G817" s="315"/>
      <c r="H817" s="153"/>
      <c r="I817" s="12"/>
      <c r="J817" s="46" t="s">
        <v>260</v>
      </c>
      <c r="K817" s="12"/>
      <c r="L817" s="288">
        <v>48.7</v>
      </c>
      <c r="M817" s="289">
        <v>1</v>
      </c>
      <c r="N817" s="290">
        <v>550</v>
      </c>
      <c r="O817" s="46"/>
      <c r="P817" s="46" t="s">
        <v>39</v>
      </c>
      <c r="Q817" s="12"/>
      <c r="R817" s="192" t="str">
        <f t="shared" si="28"/>
        <v>550grams</v>
      </c>
      <c r="S817" s="198">
        <f t="shared" si="29"/>
        <v>550</v>
      </c>
      <c r="T817" s="199" t="str">
        <f t="shared" si="30"/>
        <v>550grams</v>
      </c>
      <c r="U817" s="200">
        <f t="shared" si="31"/>
        <v>48.7</v>
      </c>
      <c r="V817" s="12"/>
      <c r="W817" s="12"/>
    </row>
    <row r="818" spans="1:23" x14ac:dyDescent="0.3">
      <c r="A818" s="193" t="e">
        <f ca="1"/>
        <v>#NAME?</v>
      </c>
      <c r="B818" s="46" t="s">
        <v>259</v>
      </c>
      <c r="C818" s="315"/>
      <c r="D818" s="316"/>
      <c r="E818" s="315"/>
      <c r="F818" s="315"/>
      <c r="G818" s="315"/>
      <c r="H818" s="153"/>
      <c r="I818" s="12"/>
      <c r="J818" s="46" t="s">
        <v>1351</v>
      </c>
      <c r="K818" s="12"/>
      <c r="L818" s="288">
        <v>77.3</v>
      </c>
      <c r="M818" s="289">
        <v>5</v>
      </c>
      <c r="N818" s="290">
        <v>1000</v>
      </c>
      <c r="O818" s="46"/>
      <c r="P818" s="46" t="s">
        <v>213</v>
      </c>
      <c r="Q818" s="12"/>
      <c r="R818" s="192" t="str">
        <f t="shared" si="28"/>
        <v>1000kilos</v>
      </c>
      <c r="S818" s="198">
        <f t="shared" si="29"/>
        <v>5000</v>
      </c>
      <c r="T818" s="199" t="str">
        <f t="shared" si="30"/>
        <v>5000kilos</v>
      </c>
      <c r="U818" s="200">
        <f t="shared" si="31"/>
        <v>386.5</v>
      </c>
      <c r="V818" s="12"/>
      <c r="W818" s="12"/>
    </row>
    <row r="819" spans="1:23" x14ac:dyDescent="0.3">
      <c r="A819" s="193" t="e">
        <f ca="1"/>
        <v>#NAME?</v>
      </c>
      <c r="B819" s="46" t="s">
        <v>259</v>
      </c>
      <c r="C819" s="315"/>
      <c r="D819" s="316"/>
      <c r="E819" s="315"/>
      <c r="F819" s="315"/>
      <c r="G819" s="315"/>
      <c r="H819" s="153"/>
      <c r="I819" s="12"/>
      <c r="J819" s="46" t="s">
        <v>1352</v>
      </c>
      <c r="K819" s="12"/>
      <c r="L819" s="288">
        <v>251</v>
      </c>
      <c r="M819" s="289">
        <v>4</v>
      </c>
      <c r="N819" s="290">
        <v>1</v>
      </c>
      <c r="O819" s="46"/>
      <c r="P819" s="46" t="s">
        <v>200</v>
      </c>
      <c r="Q819" s="12"/>
      <c r="R819" s="192" t="str">
        <f t="shared" si="28"/>
        <v>1gal</v>
      </c>
      <c r="S819" s="198">
        <f t="shared" si="29"/>
        <v>4</v>
      </c>
      <c r="T819" s="199" t="str">
        <f t="shared" si="30"/>
        <v>4gal</v>
      </c>
      <c r="U819" s="200">
        <f t="shared" si="31"/>
        <v>1004</v>
      </c>
      <c r="V819" s="12"/>
      <c r="W819" s="12"/>
    </row>
    <row r="820" spans="1:23" x14ac:dyDescent="0.3">
      <c r="A820" s="193" t="e">
        <f ca="1"/>
        <v>#NAME?</v>
      </c>
      <c r="B820" s="219" t="s">
        <v>259</v>
      </c>
      <c r="C820" s="315"/>
      <c r="D820" s="316"/>
      <c r="E820" s="315"/>
      <c r="F820" s="315"/>
      <c r="G820" s="315"/>
      <c r="H820" s="153"/>
      <c r="I820" s="12"/>
      <c r="J820" s="219" t="s">
        <v>260</v>
      </c>
      <c r="K820" s="12"/>
      <c r="L820" s="291">
        <v>48.7</v>
      </c>
      <c r="M820" s="292">
        <v>1</v>
      </c>
      <c r="N820" s="293">
        <v>550</v>
      </c>
      <c r="O820" s="219"/>
      <c r="P820" s="219" t="s">
        <v>39</v>
      </c>
      <c r="Q820" s="12"/>
      <c r="R820" s="192" t="str">
        <f t="shared" si="28"/>
        <v>550grams</v>
      </c>
      <c r="S820" s="198">
        <f t="shared" si="29"/>
        <v>550</v>
      </c>
      <c r="T820" s="199" t="str">
        <f t="shared" si="30"/>
        <v>550grams</v>
      </c>
      <c r="U820" s="200">
        <f t="shared" si="31"/>
        <v>48.7</v>
      </c>
      <c r="V820" s="12"/>
      <c r="W820" s="12"/>
    </row>
    <row r="821" spans="1:23" x14ac:dyDescent="0.3">
      <c r="A821" s="193" t="e">
        <f ca="1"/>
        <v>#NAME?</v>
      </c>
      <c r="B821" s="46" t="s">
        <v>259</v>
      </c>
      <c r="C821" s="315"/>
      <c r="D821" s="316"/>
      <c r="E821" s="315"/>
      <c r="F821" s="315"/>
      <c r="G821" s="315"/>
      <c r="H821" s="153"/>
      <c r="I821" s="12"/>
      <c r="J821" s="46" t="s">
        <v>1351</v>
      </c>
      <c r="K821" s="12"/>
      <c r="L821" s="288">
        <v>36.25</v>
      </c>
      <c r="M821" s="289">
        <v>4</v>
      </c>
      <c r="N821" s="290">
        <v>325</v>
      </c>
      <c r="O821" s="46"/>
      <c r="P821" s="46" t="s">
        <v>39</v>
      </c>
      <c r="Q821" s="12"/>
      <c r="R821" s="192" t="str">
        <f t="shared" si="28"/>
        <v>325grams</v>
      </c>
      <c r="S821" s="198">
        <f t="shared" si="29"/>
        <v>1300</v>
      </c>
      <c r="T821" s="199" t="str">
        <f t="shared" si="30"/>
        <v>1300grams</v>
      </c>
      <c r="U821" s="200">
        <f t="shared" si="31"/>
        <v>145</v>
      </c>
      <c r="V821" s="12"/>
      <c r="W821" s="12"/>
    </row>
    <row r="822" spans="1:23" x14ac:dyDescent="0.3">
      <c r="A822" s="193" t="e">
        <f ca="1"/>
        <v>#NAME?</v>
      </c>
      <c r="B822" s="46" t="s">
        <v>259</v>
      </c>
      <c r="C822" s="315"/>
      <c r="D822" s="316"/>
      <c r="E822" s="315"/>
      <c r="F822" s="315"/>
      <c r="G822" s="315"/>
      <c r="H822" s="153"/>
      <c r="I822" s="12"/>
      <c r="J822" s="46" t="s">
        <v>1351</v>
      </c>
      <c r="K822" s="12"/>
      <c r="L822" s="288">
        <v>48.7</v>
      </c>
      <c r="M822" s="289">
        <v>1</v>
      </c>
      <c r="N822" s="290">
        <v>4</v>
      </c>
      <c r="O822" s="46"/>
      <c r="P822" s="46" t="s">
        <v>773</v>
      </c>
      <c r="Q822" s="12"/>
      <c r="R822" s="192" t="str">
        <f t="shared" si="28"/>
        <v>4liters</v>
      </c>
      <c r="S822" s="198">
        <f t="shared" si="29"/>
        <v>4</v>
      </c>
      <c r="T822" s="199" t="str">
        <f t="shared" si="30"/>
        <v>4liters</v>
      </c>
      <c r="U822" s="200">
        <f t="shared" si="31"/>
        <v>48.7</v>
      </c>
      <c r="V822" s="12"/>
      <c r="W822" s="12"/>
    </row>
    <row r="823" spans="1:23" x14ac:dyDescent="0.3">
      <c r="A823" s="193" t="e">
        <f ca="1"/>
        <v>#NAME?</v>
      </c>
      <c r="B823" s="46" t="s">
        <v>1353</v>
      </c>
      <c r="C823" s="315"/>
      <c r="D823" s="316"/>
      <c r="E823" s="315"/>
      <c r="F823" s="315"/>
      <c r="G823" s="315"/>
      <c r="H823" s="153"/>
      <c r="I823" s="12"/>
      <c r="J823" s="170"/>
      <c r="K823" s="12"/>
      <c r="L823" s="288">
        <v>25</v>
      </c>
      <c r="M823" s="289">
        <v>4</v>
      </c>
      <c r="N823" s="290">
        <v>1</v>
      </c>
      <c r="O823" s="46"/>
      <c r="P823" s="46" t="s">
        <v>92</v>
      </c>
      <c r="Q823" s="12"/>
      <c r="R823" s="192" t="str">
        <f t="shared" si="28"/>
        <v>1pieces</v>
      </c>
      <c r="S823" s="198">
        <f t="shared" si="29"/>
        <v>4</v>
      </c>
      <c r="T823" s="199" t="str">
        <f t="shared" si="30"/>
        <v>4pieces</v>
      </c>
      <c r="U823" s="200">
        <f t="shared" si="31"/>
        <v>100</v>
      </c>
      <c r="V823" s="12"/>
      <c r="W823" s="12"/>
    </row>
    <row r="824" spans="1:23" x14ac:dyDescent="0.3">
      <c r="A824" s="193" t="e">
        <f ca="1"/>
        <v>#NAME?</v>
      </c>
      <c r="B824" s="46" t="s">
        <v>1353</v>
      </c>
      <c r="C824" s="315"/>
      <c r="D824" s="316"/>
      <c r="E824" s="315"/>
      <c r="F824" s="315"/>
      <c r="G824" s="315"/>
      <c r="H824" s="153"/>
      <c r="I824" s="12"/>
      <c r="J824" s="46" t="s">
        <v>1354</v>
      </c>
      <c r="K824" s="12"/>
      <c r="L824" s="288">
        <v>25</v>
      </c>
      <c r="M824" s="289">
        <v>2</v>
      </c>
      <c r="N824" s="290">
        <v>1000</v>
      </c>
      <c r="O824" s="46"/>
      <c r="P824" s="46" t="s">
        <v>39</v>
      </c>
      <c r="Q824" s="12"/>
      <c r="R824" s="192" t="str">
        <f t="shared" si="28"/>
        <v>1000grams</v>
      </c>
      <c r="S824" s="198">
        <f t="shared" si="29"/>
        <v>2000</v>
      </c>
      <c r="T824" s="199" t="str">
        <f t="shared" si="30"/>
        <v>2000grams</v>
      </c>
      <c r="U824" s="200">
        <f t="shared" si="31"/>
        <v>50</v>
      </c>
      <c r="V824" s="12"/>
      <c r="W824" s="12"/>
    </row>
    <row r="825" spans="1:23" x14ac:dyDescent="0.3">
      <c r="A825" s="193" t="e">
        <f ca="1"/>
        <v>#NAME?</v>
      </c>
      <c r="B825" s="46" t="s">
        <v>1353</v>
      </c>
      <c r="C825" s="315"/>
      <c r="D825" s="316"/>
      <c r="E825" s="315"/>
      <c r="F825" s="315"/>
      <c r="G825" s="315"/>
      <c r="H825" s="153"/>
      <c r="I825" s="12"/>
      <c r="J825" s="170"/>
      <c r="K825" s="12"/>
      <c r="L825" s="288">
        <v>28</v>
      </c>
      <c r="M825" s="289">
        <v>1</v>
      </c>
      <c r="N825" s="290">
        <v>1</v>
      </c>
      <c r="O825" s="46"/>
      <c r="P825" s="46" t="s">
        <v>92</v>
      </c>
      <c r="Q825" s="12"/>
      <c r="R825" s="192" t="str">
        <f t="shared" si="28"/>
        <v>1pieces</v>
      </c>
      <c r="S825" s="198">
        <f t="shared" si="29"/>
        <v>1</v>
      </c>
      <c r="T825" s="199" t="str">
        <f t="shared" si="30"/>
        <v>1pieces</v>
      </c>
      <c r="U825" s="200">
        <f t="shared" si="31"/>
        <v>28</v>
      </c>
      <c r="V825" s="12"/>
      <c r="W825" s="12"/>
    </row>
    <row r="826" spans="1:23" x14ac:dyDescent="0.3">
      <c r="A826" s="193" t="e">
        <f ca="1"/>
        <v>#NAME?</v>
      </c>
      <c r="B826" s="46" t="s">
        <v>1355</v>
      </c>
      <c r="C826" s="315"/>
      <c r="D826" s="316"/>
      <c r="E826" s="315"/>
      <c r="F826" s="315"/>
      <c r="G826" s="315"/>
      <c r="H826" s="153"/>
      <c r="I826" s="12"/>
      <c r="J826" s="46" t="s">
        <v>30</v>
      </c>
      <c r="K826" s="12"/>
      <c r="L826" s="288">
        <v>180</v>
      </c>
      <c r="M826" s="289">
        <v>12</v>
      </c>
      <c r="N826" s="290">
        <v>200</v>
      </c>
      <c r="O826" s="46"/>
      <c r="P826" s="46" t="s">
        <v>39</v>
      </c>
      <c r="Q826" s="12"/>
      <c r="R826" s="192" t="str">
        <f t="shared" si="28"/>
        <v>200grams</v>
      </c>
      <c r="S826" s="198">
        <f t="shared" si="29"/>
        <v>2400</v>
      </c>
      <c r="T826" s="199" t="str">
        <f t="shared" si="30"/>
        <v>2400grams</v>
      </c>
      <c r="U826" s="200">
        <f t="shared" si="31"/>
        <v>2160</v>
      </c>
      <c r="V826" s="12"/>
      <c r="W826" s="12"/>
    </row>
    <row r="827" spans="1:23" x14ac:dyDescent="0.3">
      <c r="A827" s="193" t="e">
        <f ca="1"/>
        <v>#NAME?</v>
      </c>
      <c r="B827" s="46" t="s">
        <v>1356</v>
      </c>
      <c r="C827" s="315"/>
      <c r="D827" s="316"/>
      <c r="E827" s="315"/>
      <c r="F827" s="315"/>
      <c r="G827" s="315"/>
      <c r="H827" s="153"/>
      <c r="I827" s="12"/>
      <c r="J827" s="46" t="s">
        <v>30</v>
      </c>
      <c r="K827" s="12"/>
      <c r="L827" s="288">
        <v>180</v>
      </c>
      <c r="M827" s="289">
        <v>24</v>
      </c>
      <c r="N827" s="290">
        <v>200</v>
      </c>
      <c r="O827" s="46"/>
      <c r="P827" s="46" t="s">
        <v>39</v>
      </c>
      <c r="Q827" s="12"/>
      <c r="R827" s="192" t="str">
        <f t="shared" si="28"/>
        <v>200grams</v>
      </c>
      <c r="S827" s="198">
        <f t="shared" si="29"/>
        <v>4800</v>
      </c>
      <c r="T827" s="199" t="str">
        <f t="shared" si="30"/>
        <v>4800grams</v>
      </c>
      <c r="U827" s="200">
        <f t="shared" si="31"/>
        <v>4320</v>
      </c>
      <c r="V827" s="12"/>
      <c r="W827" s="12"/>
    </row>
    <row r="828" spans="1:23" x14ac:dyDescent="0.3">
      <c r="A828" s="193" t="e">
        <f ca="1"/>
        <v>#NAME?</v>
      </c>
      <c r="B828" s="46" t="s">
        <v>1357</v>
      </c>
      <c r="C828" s="315"/>
      <c r="D828" s="316"/>
      <c r="E828" s="315"/>
      <c r="F828" s="315"/>
      <c r="G828" s="315"/>
      <c r="H828" s="153"/>
      <c r="I828" s="12"/>
      <c r="J828" s="46" t="s">
        <v>216</v>
      </c>
      <c r="K828" s="12"/>
      <c r="L828" s="288">
        <v>250</v>
      </c>
      <c r="M828" s="289">
        <v>0</v>
      </c>
      <c r="N828" s="290">
        <v>1000</v>
      </c>
      <c r="O828" s="46"/>
      <c r="P828" s="46" t="s">
        <v>39</v>
      </c>
      <c r="Q828" s="12"/>
      <c r="R828" s="192" t="str">
        <f t="shared" si="28"/>
        <v>1000grams</v>
      </c>
      <c r="S828" s="198">
        <f t="shared" si="29"/>
        <v>0</v>
      </c>
      <c r="T828" s="199" t="str">
        <f t="shared" si="30"/>
        <v>0grams</v>
      </c>
      <c r="U828" s="200">
        <f t="shared" si="31"/>
        <v>0</v>
      </c>
      <c r="V828" s="12"/>
      <c r="W828" s="12"/>
    </row>
    <row r="829" spans="1:23" x14ac:dyDescent="0.3">
      <c r="A829" s="193" t="e">
        <f ca="1"/>
        <v>#NAME?</v>
      </c>
      <c r="B829" s="46" t="s">
        <v>1357</v>
      </c>
      <c r="C829" s="315"/>
      <c r="D829" s="316"/>
      <c r="E829" s="315"/>
      <c r="F829" s="315"/>
      <c r="G829" s="315"/>
      <c r="H829" s="153"/>
      <c r="I829" s="12"/>
      <c r="J829" s="46" t="s">
        <v>216</v>
      </c>
      <c r="K829" s="12"/>
      <c r="L829" s="288">
        <v>195</v>
      </c>
      <c r="M829" s="289">
        <v>1</v>
      </c>
      <c r="N829" s="290">
        <v>1000</v>
      </c>
      <c r="O829" s="46"/>
      <c r="P829" s="46" t="s">
        <v>39</v>
      </c>
      <c r="Q829" s="12"/>
      <c r="R829" s="192" t="str">
        <f t="shared" si="28"/>
        <v>1000grams</v>
      </c>
      <c r="S829" s="198">
        <f t="shared" si="29"/>
        <v>1000</v>
      </c>
      <c r="T829" s="199" t="str">
        <f t="shared" si="30"/>
        <v>1000grams</v>
      </c>
      <c r="U829" s="200">
        <f t="shared" si="31"/>
        <v>195</v>
      </c>
      <c r="V829" s="12"/>
      <c r="W829" s="12"/>
    </row>
    <row r="830" spans="1:23" x14ac:dyDescent="0.3">
      <c r="A830" s="193" t="e">
        <f ca="1"/>
        <v>#NAME?</v>
      </c>
      <c r="B830" s="46" t="s">
        <v>1358</v>
      </c>
      <c r="C830" s="315"/>
      <c r="D830" s="316"/>
      <c r="E830" s="315"/>
      <c r="F830" s="315"/>
      <c r="G830" s="315"/>
      <c r="H830" s="153"/>
      <c r="I830" s="12"/>
      <c r="J830" s="46" t="s">
        <v>1359</v>
      </c>
      <c r="K830" s="12"/>
      <c r="L830" s="288">
        <v>320</v>
      </c>
      <c r="M830" s="289">
        <v>0</v>
      </c>
      <c r="N830" s="290">
        <v>1</v>
      </c>
      <c r="O830" s="60"/>
      <c r="P830" s="60" t="s">
        <v>773</v>
      </c>
      <c r="Q830" s="12"/>
      <c r="R830" s="192" t="str">
        <f t="shared" si="28"/>
        <v>1liters</v>
      </c>
      <c r="S830" s="198">
        <f t="shared" si="29"/>
        <v>0</v>
      </c>
      <c r="T830" s="199" t="str">
        <f t="shared" si="30"/>
        <v>0liters</v>
      </c>
      <c r="U830" s="200">
        <f t="shared" si="31"/>
        <v>0</v>
      </c>
      <c r="V830" s="12"/>
      <c r="W830" s="12"/>
    </row>
    <row r="831" spans="1:23" x14ac:dyDescent="0.3">
      <c r="A831" s="193" t="e">
        <f ca="1"/>
        <v>#NAME?</v>
      </c>
      <c r="B831" s="219" t="s">
        <v>1360</v>
      </c>
      <c r="C831" s="315"/>
      <c r="D831" s="316"/>
      <c r="E831" s="315"/>
      <c r="F831" s="315"/>
      <c r="G831" s="315"/>
      <c r="H831" s="153"/>
      <c r="I831" s="12"/>
      <c r="J831" s="219" t="s">
        <v>1361</v>
      </c>
      <c r="K831" s="12"/>
      <c r="L831" s="291">
        <v>310</v>
      </c>
      <c r="M831" s="292">
        <v>1</v>
      </c>
      <c r="N831" s="293">
        <v>1800</v>
      </c>
      <c r="O831" s="219"/>
      <c r="P831" s="219" t="s">
        <v>32</v>
      </c>
      <c r="Q831" s="12"/>
      <c r="R831" s="192" t="str">
        <f t="shared" si="28"/>
        <v>1800ml</v>
      </c>
      <c r="S831" s="198">
        <f t="shared" si="29"/>
        <v>1800</v>
      </c>
      <c r="T831" s="199" t="str">
        <f t="shared" si="30"/>
        <v>1800ml</v>
      </c>
      <c r="U831" s="200">
        <f t="shared" si="31"/>
        <v>310</v>
      </c>
      <c r="V831" s="12"/>
      <c r="W831" s="12"/>
    </row>
    <row r="832" spans="1:23" x14ac:dyDescent="0.3">
      <c r="A832" s="193" t="e">
        <f ca="1"/>
        <v>#NAME?</v>
      </c>
      <c r="B832" s="46" t="s">
        <v>77</v>
      </c>
      <c r="C832" s="315"/>
      <c r="D832" s="316"/>
      <c r="E832" s="315"/>
      <c r="F832" s="315"/>
      <c r="G832" s="315"/>
      <c r="H832" s="153"/>
      <c r="I832" s="12"/>
      <c r="J832" s="46" t="s">
        <v>1362</v>
      </c>
      <c r="K832" s="12"/>
      <c r="L832" s="288">
        <v>65</v>
      </c>
      <c r="M832" s="289">
        <v>1</v>
      </c>
      <c r="N832" s="290">
        <v>350</v>
      </c>
      <c r="O832" s="46"/>
      <c r="P832" s="46" t="s">
        <v>32</v>
      </c>
      <c r="Q832" s="12"/>
      <c r="R832" s="192" t="str">
        <f t="shared" si="28"/>
        <v>350ml</v>
      </c>
      <c r="S832" s="198">
        <f t="shared" si="29"/>
        <v>350</v>
      </c>
      <c r="T832" s="199" t="str">
        <f t="shared" si="30"/>
        <v>350ml</v>
      </c>
      <c r="U832" s="200">
        <f t="shared" si="31"/>
        <v>65</v>
      </c>
      <c r="V832" s="12"/>
      <c r="W832" s="12"/>
    </row>
    <row r="833" spans="1:23" x14ac:dyDescent="0.3">
      <c r="A833" s="193" t="e">
        <f ca="1"/>
        <v>#NAME?</v>
      </c>
      <c r="B833" s="46" t="s">
        <v>1363</v>
      </c>
      <c r="C833" s="315"/>
      <c r="D833" s="316"/>
      <c r="E833" s="315"/>
      <c r="F833" s="315"/>
      <c r="G833" s="315"/>
      <c r="H833" s="153"/>
      <c r="I833" s="12"/>
      <c r="J833" s="170"/>
      <c r="K833" s="12"/>
      <c r="L833" s="288">
        <v>45</v>
      </c>
      <c r="M833" s="289">
        <v>1</v>
      </c>
      <c r="N833" s="290">
        <v>350</v>
      </c>
      <c r="O833" s="46"/>
      <c r="P833" s="46" t="s">
        <v>32</v>
      </c>
      <c r="Q833" s="12"/>
      <c r="R833" s="192" t="str">
        <f t="shared" si="28"/>
        <v>350ml</v>
      </c>
      <c r="S833" s="198">
        <f t="shared" si="29"/>
        <v>350</v>
      </c>
      <c r="T833" s="199" t="str">
        <f t="shared" si="30"/>
        <v>350ml</v>
      </c>
      <c r="U833" s="200">
        <f t="shared" si="31"/>
        <v>45</v>
      </c>
      <c r="V833" s="12"/>
      <c r="W833" s="12"/>
    </row>
    <row r="834" spans="1:23" x14ac:dyDescent="0.3">
      <c r="A834" s="193" t="e">
        <f ca="1"/>
        <v>#NAME?</v>
      </c>
      <c r="B834" s="46" t="s">
        <v>1364</v>
      </c>
      <c r="C834" s="315"/>
      <c r="D834" s="316"/>
      <c r="E834" s="315"/>
      <c r="F834" s="315"/>
      <c r="G834" s="315"/>
      <c r="H834" s="153"/>
      <c r="I834" s="12"/>
      <c r="J834" s="46" t="s">
        <v>854</v>
      </c>
      <c r="K834" s="12"/>
      <c r="L834" s="288">
        <v>22</v>
      </c>
      <c r="M834" s="289">
        <v>2</v>
      </c>
      <c r="N834" s="290">
        <v>1</v>
      </c>
      <c r="O834" s="46"/>
      <c r="P834" s="46" t="s">
        <v>92</v>
      </c>
      <c r="Q834" s="12"/>
      <c r="R834" s="192" t="str">
        <f t="shared" si="28"/>
        <v>1pieces</v>
      </c>
      <c r="S834" s="198">
        <f t="shared" si="29"/>
        <v>2</v>
      </c>
      <c r="T834" s="199" t="str">
        <f t="shared" si="30"/>
        <v>2pieces</v>
      </c>
      <c r="U834" s="200">
        <f t="shared" si="31"/>
        <v>44</v>
      </c>
      <c r="V834" s="12"/>
      <c r="W834" s="12"/>
    </row>
    <row r="835" spans="1:23" x14ac:dyDescent="0.3">
      <c r="A835" s="193" t="e">
        <f ca="1"/>
        <v>#NAME?</v>
      </c>
      <c r="B835" s="219" t="s">
        <v>1365</v>
      </c>
      <c r="C835" s="315"/>
      <c r="D835" s="316"/>
      <c r="E835" s="315"/>
      <c r="F835" s="315"/>
      <c r="G835" s="315"/>
      <c r="H835" s="153"/>
      <c r="I835" s="12"/>
      <c r="J835" s="219" t="s">
        <v>1366</v>
      </c>
      <c r="K835" s="12"/>
      <c r="L835" s="291">
        <v>100</v>
      </c>
      <c r="M835" s="292">
        <v>1</v>
      </c>
      <c r="N835" s="293">
        <v>1000</v>
      </c>
      <c r="O835" s="219"/>
      <c r="P835" s="219" t="s">
        <v>32</v>
      </c>
      <c r="Q835" s="12"/>
      <c r="R835" s="192" t="str">
        <f t="shared" si="28"/>
        <v>1000ml</v>
      </c>
      <c r="S835" s="198">
        <f t="shared" si="29"/>
        <v>1000</v>
      </c>
      <c r="T835" s="199" t="str">
        <f t="shared" si="30"/>
        <v>1000ml</v>
      </c>
      <c r="U835" s="200">
        <f t="shared" si="31"/>
        <v>100</v>
      </c>
      <c r="V835" s="12"/>
      <c r="W835" s="12"/>
    </row>
    <row r="836" spans="1:23" x14ac:dyDescent="0.3">
      <c r="A836" s="193" t="e">
        <f ca="1"/>
        <v>#NAME?</v>
      </c>
      <c r="B836" s="46" t="s">
        <v>1367</v>
      </c>
      <c r="C836" s="315"/>
      <c r="D836" s="316"/>
      <c r="E836" s="315"/>
      <c r="F836" s="315"/>
      <c r="G836" s="315"/>
      <c r="H836" s="153"/>
      <c r="I836" s="12"/>
      <c r="J836" s="46" t="s">
        <v>987</v>
      </c>
      <c r="K836" s="12"/>
      <c r="L836" s="288">
        <v>318</v>
      </c>
      <c r="M836" s="289">
        <v>0</v>
      </c>
      <c r="N836" s="290">
        <v>1</v>
      </c>
      <c r="O836" s="46"/>
      <c r="P836" s="46" t="s">
        <v>773</v>
      </c>
      <c r="Q836" s="12"/>
      <c r="R836" s="192" t="str">
        <f t="shared" si="28"/>
        <v>1liters</v>
      </c>
      <c r="S836" s="198">
        <f t="shared" si="29"/>
        <v>0</v>
      </c>
      <c r="T836" s="199" t="str">
        <f t="shared" si="30"/>
        <v>0liters</v>
      </c>
      <c r="U836" s="200">
        <f t="shared" si="31"/>
        <v>0</v>
      </c>
      <c r="V836" s="12"/>
      <c r="W836" s="12"/>
    </row>
    <row r="837" spans="1:23" x14ac:dyDescent="0.3">
      <c r="A837" s="193" t="e">
        <f ca="1"/>
        <v>#NAME?</v>
      </c>
      <c r="B837" s="46" t="s">
        <v>660</v>
      </c>
      <c r="C837" s="315"/>
      <c r="D837" s="316"/>
      <c r="E837" s="315"/>
      <c r="F837" s="315"/>
      <c r="G837" s="315"/>
      <c r="H837" s="153"/>
      <c r="I837" s="12"/>
      <c r="J837" s="46" t="s">
        <v>262</v>
      </c>
      <c r="K837" s="12"/>
      <c r="L837" s="288">
        <v>301.8</v>
      </c>
      <c r="M837" s="289">
        <v>1</v>
      </c>
      <c r="N837" s="290">
        <v>1000</v>
      </c>
      <c r="O837" s="46"/>
      <c r="P837" s="46" t="s">
        <v>32</v>
      </c>
      <c r="Q837" s="12"/>
      <c r="R837" s="192" t="str">
        <f t="shared" si="28"/>
        <v>1000ml</v>
      </c>
      <c r="S837" s="198">
        <f t="shared" si="29"/>
        <v>1000</v>
      </c>
      <c r="T837" s="199" t="str">
        <f t="shared" si="30"/>
        <v>1000ml</v>
      </c>
      <c r="U837" s="200">
        <f t="shared" si="31"/>
        <v>301.8</v>
      </c>
      <c r="V837" s="12"/>
      <c r="W837" s="12"/>
    </row>
    <row r="838" spans="1:23" x14ac:dyDescent="0.3">
      <c r="A838" s="193" t="e">
        <f ca="1"/>
        <v>#NAME?</v>
      </c>
      <c r="B838" s="46" t="s">
        <v>184</v>
      </c>
      <c r="C838" s="315"/>
      <c r="D838" s="316"/>
      <c r="E838" s="315"/>
      <c r="F838" s="315"/>
      <c r="G838" s="315"/>
      <c r="H838" s="153"/>
      <c r="I838" s="12"/>
      <c r="J838" s="46" t="s">
        <v>1368</v>
      </c>
      <c r="K838" s="12"/>
      <c r="L838" s="288">
        <v>22.9</v>
      </c>
      <c r="M838" s="289">
        <v>6</v>
      </c>
      <c r="N838" s="290">
        <v>85</v>
      </c>
      <c r="O838" s="46"/>
      <c r="P838" s="46" t="s">
        <v>39</v>
      </c>
      <c r="Q838" s="12"/>
      <c r="R838" s="192" t="str">
        <f t="shared" si="28"/>
        <v>85grams</v>
      </c>
      <c r="S838" s="198">
        <f t="shared" si="29"/>
        <v>510</v>
      </c>
      <c r="T838" s="199" t="str">
        <f t="shared" si="30"/>
        <v>510grams</v>
      </c>
      <c r="U838" s="200">
        <f t="shared" si="31"/>
        <v>137.39999999999998</v>
      </c>
      <c r="V838" s="12"/>
      <c r="W838" s="12"/>
    </row>
    <row r="839" spans="1:23" x14ac:dyDescent="0.3">
      <c r="A839" s="193" t="e">
        <f ca="1"/>
        <v>#NAME?</v>
      </c>
      <c r="B839" s="46" t="s">
        <v>184</v>
      </c>
      <c r="C839" s="315"/>
      <c r="D839" s="316"/>
      <c r="E839" s="315"/>
      <c r="F839" s="315"/>
      <c r="G839" s="315"/>
      <c r="H839" s="153"/>
      <c r="I839" s="12"/>
      <c r="J839" s="46" t="s">
        <v>1250</v>
      </c>
      <c r="K839" s="12"/>
      <c r="L839" s="288">
        <v>23.7</v>
      </c>
      <c r="M839" s="289">
        <v>10</v>
      </c>
      <c r="N839" s="290">
        <v>85</v>
      </c>
      <c r="O839" s="46"/>
      <c r="P839" s="46" t="s">
        <v>39</v>
      </c>
      <c r="Q839" s="12"/>
      <c r="R839" s="192" t="str">
        <f t="shared" si="28"/>
        <v>85grams</v>
      </c>
      <c r="S839" s="198">
        <f t="shared" si="29"/>
        <v>850</v>
      </c>
      <c r="T839" s="199" t="str">
        <f t="shared" si="30"/>
        <v>850grams</v>
      </c>
      <c r="U839" s="200">
        <f t="shared" si="31"/>
        <v>237</v>
      </c>
      <c r="V839" s="12"/>
      <c r="W839" s="12"/>
    </row>
    <row r="840" spans="1:23" x14ac:dyDescent="0.3">
      <c r="A840" s="193" t="e">
        <f ca="1"/>
        <v>#NAME?</v>
      </c>
      <c r="B840" s="46" t="s">
        <v>184</v>
      </c>
      <c r="C840" s="315"/>
      <c r="D840" s="316"/>
      <c r="E840" s="315"/>
      <c r="F840" s="315"/>
      <c r="G840" s="315"/>
      <c r="H840" s="153"/>
      <c r="I840" s="12"/>
      <c r="J840" s="46" t="s">
        <v>1369</v>
      </c>
      <c r="K840" s="12"/>
      <c r="L840" s="288">
        <v>25</v>
      </c>
      <c r="M840" s="289">
        <v>3</v>
      </c>
      <c r="N840" s="290">
        <v>85</v>
      </c>
      <c r="O840" s="46"/>
      <c r="P840" s="46" t="s">
        <v>39</v>
      </c>
      <c r="Q840" s="12"/>
      <c r="R840" s="192" t="str">
        <f t="shared" si="28"/>
        <v>85grams</v>
      </c>
      <c r="S840" s="198">
        <f t="shared" si="29"/>
        <v>255</v>
      </c>
      <c r="T840" s="199" t="str">
        <f t="shared" si="30"/>
        <v>255grams</v>
      </c>
      <c r="U840" s="200">
        <f t="shared" si="31"/>
        <v>75</v>
      </c>
      <c r="V840" s="12"/>
      <c r="W840" s="12"/>
    </row>
    <row r="841" spans="1:23" x14ac:dyDescent="0.3">
      <c r="A841" s="193" t="e">
        <f ca="1"/>
        <v>#NAME?</v>
      </c>
      <c r="B841" s="219" t="s">
        <v>184</v>
      </c>
      <c r="C841" s="315"/>
      <c r="D841" s="316"/>
      <c r="E841" s="315"/>
      <c r="F841" s="315"/>
      <c r="G841" s="315"/>
      <c r="H841" s="153"/>
      <c r="I841" s="12"/>
      <c r="J841" s="46" t="s">
        <v>1370</v>
      </c>
      <c r="K841" s="12"/>
      <c r="L841" s="288">
        <v>23.7</v>
      </c>
      <c r="M841" s="289">
        <v>4</v>
      </c>
      <c r="N841" s="290">
        <v>85</v>
      </c>
      <c r="O841" s="46"/>
      <c r="P841" s="46" t="s">
        <v>39</v>
      </c>
      <c r="Q841" s="12"/>
      <c r="R841" s="192" t="str">
        <f t="shared" si="28"/>
        <v>85grams</v>
      </c>
      <c r="S841" s="198">
        <f t="shared" si="29"/>
        <v>340</v>
      </c>
      <c r="T841" s="199" t="str">
        <f t="shared" si="30"/>
        <v>340grams</v>
      </c>
      <c r="U841" s="200">
        <f t="shared" si="31"/>
        <v>94.8</v>
      </c>
      <c r="V841" s="12"/>
      <c r="W841" s="12"/>
    </row>
    <row r="842" spans="1:23" x14ac:dyDescent="0.3">
      <c r="A842" s="193" t="e">
        <f ca="1"/>
        <v>#NAME?</v>
      </c>
      <c r="B842" s="46" t="s">
        <v>184</v>
      </c>
      <c r="C842" s="315"/>
      <c r="D842" s="316"/>
      <c r="E842" s="315"/>
      <c r="F842" s="315"/>
      <c r="G842" s="315"/>
      <c r="H842" s="153"/>
      <c r="I842" s="12"/>
      <c r="J842" s="46" t="s">
        <v>1370</v>
      </c>
      <c r="K842" s="12"/>
      <c r="L842" s="288">
        <v>25</v>
      </c>
      <c r="M842" s="289">
        <v>15</v>
      </c>
      <c r="N842" s="290">
        <v>85</v>
      </c>
      <c r="O842" s="46"/>
      <c r="P842" s="46" t="s">
        <v>39</v>
      </c>
      <c r="Q842" s="12"/>
      <c r="R842" s="192" t="str">
        <f t="shared" si="28"/>
        <v>85grams</v>
      </c>
      <c r="S842" s="198">
        <f t="shared" si="29"/>
        <v>1275</v>
      </c>
      <c r="T842" s="199" t="str">
        <f t="shared" si="30"/>
        <v>1275grams</v>
      </c>
      <c r="U842" s="200">
        <f t="shared" si="31"/>
        <v>375</v>
      </c>
      <c r="V842" s="12"/>
      <c r="W842" s="12"/>
    </row>
    <row r="843" spans="1:23" x14ac:dyDescent="0.3">
      <c r="A843" s="193" t="e">
        <f ca="1"/>
        <v>#NAME?</v>
      </c>
      <c r="B843" s="219" t="s">
        <v>184</v>
      </c>
      <c r="C843" s="315"/>
      <c r="D843" s="316"/>
      <c r="E843" s="315"/>
      <c r="F843" s="315"/>
      <c r="G843" s="315"/>
      <c r="H843" s="153"/>
      <c r="I843" s="12"/>
      <c r="J843" s="219" t="s">
        <v>1369</v>
      </c>
      <c r="K843" s="12"/>
      <c r="L843" s="291">
        <v>27.2</v>
      </c>
      <c r="M843" s="292">
        <v>19</v>
      </c>
      <c r="N843" s="293">
        <v>85</v>
      </c>
      <c r="O843" s="219"/>
      <c r="P843" s="219" t="s">
        <v>39</v>
      </c>
      <c r="Q843" s="12"/>
      <c r="R843" s="192" t="str">
        <f t="shared" si="28"/>
        <v>85grams</v>
      </c>
      <c r="S843" s="198">
        <f t="shared" si="29"/>
        <v>1615</v>
      </c>
      <c r="T843" s="199" t="str">
        <f t="shared" si="30"/>
        <v>1615grams</v>
      </c>
      <c r="U843" s="200">
        <f t="shared" si="31"/>
        <v>516.79999999999995</v>
      </c>
      <c r="V843" s="12"/>
      <c r="W843" s="12"/>
    </row>
    <row r="844" spans="1:23" x14ac:dyDescent="0.3">
      <c r="A844" s="193" t="e">
        <f ca="1"/>
        <v>#NAME?</v>
      </c>
      <c r="B844" s="46" t="s">
        <v>1371</v>
      </c>
      <c r="C844" s="315"/>
      <c r="D844" s="316"/>
      <c r="E844" s="315"/>
      <c r="F844" s="315"/>
      <c r="G844" s="315"/>
      <c r="H844" s="153"/>
      <c r="I844" s="12"/>
      <c r="J844" s="46" t="s">
        <v>1372</v>
      </c>
      <c r="K844" s="12"/>
      <c r="L844" s="288">
        <v>50</v>
      </c>
      <c r="M844" s="289">
        <v>3</v>
      </c>
      <c r="N844" s="290">
        <v>500</v>
      </c>
      <c r="O844" s="46"/>
      <c r="P844" s="46" t="s">
        <v>39</v>
      </c>
      <c r="Q844" s="12"/>
      <c r="R844" s="192" t="str">
        <f t="shared" si="28"/>
        <v>500grams</v>
      </c>
      <c r="S844" s="198">
        <f t="shared" si="29"/>
        <v>1500</v>
      </c>
      <c r="T844" s="199" t="str">
        <f t="shared" si="30"/>
        <v>1500grams</v>
      </c>
      <c r="U844" s="200">
        <f t="shared" si="31"/>
        <v>150</v>
      </c>
      <c r="V844" s="12"/>
      <c r="W844" s="12"/>
    </row>
    <row r="845" spans="1:23" x14ac:dyDescent="0.3">
      <c r="A845" s="193" t="e">
        <f ca="1"/>
        <v>#NAME?</v>
      </c>
      <c r="B845" s="46" t="s">
        <v>1373</v>
      </c>
      <c r="C845" s="315"/>
      <c r="D845" s="316"/>
      <c r="E845" s="315"/>
      <c r="F845" s="315"/>
      <c r="G845" s="315"/>
      <c r="H845" s="153"/>
      <c r="I845" s="12"/>
      <c r="J845" s="170"/>
      <c r="K845" s="12"/>
      <c r="L845" s="288">
        <v>47</v>
      </c>
      <c r="M845" s="289">
        <v>2</v>
      </c>
      <c r="N845" s="290">
        <v>800</v>
      </c>
      <c r="O845" s="46"/>
      <c r="P845" s="46" t="s">
        <v>39</v>
      </c>
      <c r="Q845" s="12"/>
      <c r="R845" s="192" t="str">
        <f t="shared" si="28"/>
        <v>800grams</v>
      </c>
      <c r="S845" s="198">
        <f t="shared" si="29"/>
        <v>1600</v>
      </c>
      <c r="T845" s="199" t="str">
        <f t="shared" si="30"/>
        <v>1600grams</v>
      </c>
      <c r="U845" s="200">
        <f t="shared" si="31"/>
        <v>94</v>
      </c>
      <c r="V845" s="12"/>
      <c r="W845" s="12"/>
    </row>
    <row r="846" spans="1:23" x14ac:dyDescent="0.3">
      <c r="A846" s="193" t="e">
        <f ca="1"/>
        <v>#NAME?</v>
      </c>
      <c r="B846" s="46" t="s">
        <v>1374</v>
      </c>
      <c r="C846" s="315"/>
      <c r="D846" s="316"/>
      <c r="E846" s="315"/>
      <c r="F846" s="315"/>
      <c r="G846" s="315"/>
      <c r="H846" s="153"/>
      <c r="I846" s="12"/>
      <c r="J846" s="170"/>
      <c r="K846" s="12"/>
      <c r="L846" s="288">
        <v>4497</v>
      </c>
      <c r="M846" s="289">
        <v>1</v>
      </c>
      <c r="N846" s="290">
        <v>50</v>
      </c>
      <c r="O846" s="46"/>
      <c r="P846" s="46" t="s">
        <v>213</v>
      </c>
      <c r="Q846" s="12"/>
      <c r="R846" s="192" t="str">
        <f t="shared" si="28"/>
        <v>50kilos</v>
      </c>
      <c r="S846" s="198">
        <f t="shared" si="29"/>
        <v>50</v>
      </c>
      <c r="T846" s="199" t="str">
        <f t="shared" si="30"/>
        <v>50kilos</v>
      </c>
      <c r="U846" s="200">
        <f t="shared" si="31"/>
        <v>4497</v>
      </c>
      <c r="V846" s="12"/>
      <c r="W846" s="12"/>
    </row>
    <row r="847" spans="1:23" x14ac:dyDescent="0.3">
      <c r="A847" s="193" t="e">
        <f ca="1"/>
        <v>#NAME?</v>
      </c>
      <c r="B847" s="219" t="s">
        <v>1374</v>
      </c>
      <c r="C847" s="315"/>
      <c r="D847" s="316"/>
      <c r="E847" s="315"/>
      <c r="F847" s="315"/>
      <c r="G847" s="315"/>
      <c r="H847" s="153"/>
      <c r="I847" s="12"/>
      <c r="J847" s="219" t="s">
        <v>1375</v>
      </c>
      <c r="K847" s="12"/>
      <c r="L847" s="291">
        <v>4134</v>
      </c>
      <c r="M847" s="292">
        <v>3</v>
      </c>
      <c r="N847" s="293">
        <v>1</v>
      </c>
      <c r="O847" s="219"/>
      <c r="P847" s="219" t="s">
        <v>1376</v>
      </c>
      <c r="Q847" s="12"/>
      <c r="R847" s="192" t="str">
        <f t="shared" si="28"/>
        <v>1cylinder</v>
      </c>
      <c r="S847" s="198">
        <f t="shared" si="29"/>
        <v>3</v>
      </c>
      <c r="T847" s="199" t="str">
        <f t="shared" si="30"/>
        <v>3cylinder</v>
      </c>
      <c r="U847" s="200">
        <f t="shared" si="31"/>
        <v>12402</v>
      </c>
      <c r="V847" s="12"/>
      <c r="W847" s="12"/>
    </row>
    <row r="848" spans="1:23" x14ac:dyDescent="0.3">
      <c r="A848" s="193" t="e">
        <f ca="1"/>
        <v>#NAME?</v>
      </c>
      <c r="B848" s="46" t="s">
        <v>1377</v>
      </c>
      <c r="C848" s="315"/>
      <c r="D848" s="316"/>
      <c r="E848" s="315"/>
      <c r="F848" s="315"/>
      <c r="G848" s="315"/>
      <c r="H848" s="153"/>
      <c r="I848" s="12"/>
      <c r="J848" s="170"/>
      <c r="K848" s="12"/>
      <c r="L848" s="288">
        <v>20</v>
      </c>
      <c r="M848" s="289">
        <v>15</v>
      </c>
      <c r="N848" s="290">
        <v>1000</v>
      </c>
      <c r="O848" s="46"/>
      <c r="P848" s="46" t="s">
        <v>39</v>
      </c>
      <c r="Q848" s="12"/>
      <c r="R848" s="192" t="str">
        <f t="shared" si="28"/>
        <v>1000grams</v>
      </c>
      <c r="S848" s="198">
        <f t="shared" si="29"/>
        <v>15000</v>
      </c>
      <c r="T848" s="199" t="str">
        <f t="shared" si="30"/>
        <v>15000grams</v>
      </c>
      <c r="U848" s="200">
        <f t="shared" si="31"/>
        <v>300</v>
      </c>
      <c r="V848" s="12"/>
      <c r="W848" s="12"/>
    </row>
    <row r="849" spans="1:23" x14ac:dyDescent="0.3">
      <c r="A849" s="193" t="e">
        <f ca="1"/>
        <v>#NAME?</v>
      </c>
      <c r="B849" s="46" t="s">
        <v>1378</v>
      </c>
      <c r="C849" s="315"/>
      <c r="D849" s="316"/>
      <c r="E849" s="315"/>
      <c r="F849" s="315"/>
      <c r="G849" s="315"/>
      <c r="H849" s="153"/>
      <c r="I849" s="12"/>
      <c r="J849" s="46" t="s">
        <v>1379</v>
      </c>
      <c r="K849" s="12"/>
      <c r="L849" s="288">
        <v>55.2</v>
      </c>
      <c r="M849" s="289">
        <v>1</v>
      </c>
      <c r="N849" s="290">
        <v>10</v>
      </c>
      <c r="O849" s="46"/>
      <c r="P849" s="46" t="s">
        <v>92</v>
      </c>
      <c r="Q849" s="12"/>
      <c r="R849" s="192" t="str">
        <f t="shared" si="28"/>
        <v>10pieces</v>
      </c>
      <c r="S849" s="198">
        <f t="shared" si="29"/>
        <v>10</v>
      </c>
      <c r="T849" s="199" t="str">
        <f t="shared" si="30"/>
        <v>10pieces</v>
      </c>
      <c r="U849" s="200">
        <f t="shared" si="31"/>
        <v>55.2</v>
      </c>
      <c r="V849" s="12"/>
      <c r="W849" s="12"/>
    </row>
    <row r="850" spans="1:23" x14ac:dyDescent="0.3">
      <c r="A850" s="193" t="e">
        <f ca="1"/>
        <v>#NAME?</v>
      </c>
      <c r="B850" s="46" t="s">
        <v>1380</v>
      </c>
      <c r="C850" s="315"/>
      <c r="D850" s="316"/>
      <c r="E850" s="315"/>
      <c r="F850" s="315"/>
      <c r="G850" s="315"/>
      <c r="H850" s="153"/>
      <c r="I850" s="12"/>
      <c r="J850" s="170"/>
      <c r="K850" s="12"/>
      <c r="L850" s="288">
        <v>20</v>
      </c>
      <c r="M850" s="289">
        <v>21</v>
      </c>
      <c r="N850" s="290">
        <v>1000</v>
      </c>
      <c r="O850" s="46"/>
      <c r="P850" s="46" t="s">
        <v>39</v>
      </c>
      <c r="Q850" s="12"/>
      <c r="R850" s="192" t="str">
        <f t="shared" si="28"/>
        <v>1000grams</v>
      </c>
      <c r="S850" s="198">
        <f t="shared" si="29"/>
        <v>21000</v>
      </c>
      <c r="T850" s="199" t="str">
        <f t="shared" si="30"/>
        <v>21000grams</v>
      </c>
      <c r="U850" s="200">
        <f t="shared" si="31"/>
        <v>420</v>
      </c>
      <c r="V850" s="12"/>
      <c r="W850" s="12"/>
    </row>
    <row r="851" spans="1:23" x14ac:dyDescent="0.3">
      <c r="A851" s="193" t="e">
        <f ca="1"/>
        <v>#NAME?</v>
      </c>
      <c r="B851" s="46" t="s">
        <v>1380</v>
      </c>
      <c r="C851" s="315"/>
      <c r="D851" s="316"/>
      <c r="E851" s="315"/>
      <c r="F851" s="315"/>
      <c r="G851" s="315"/>
      <c r="H851" s="153"/>
      <c r="I851" s="12"/>
      <c r="J851" s="170"/>
      <c r="K851" s="12"/>
      <c r="L851" s="288">
        <v>1</v>
      </c>
      <c r="M851" s="289">
        <v>900</v>
      </c>
      <c r="N851" s="290">
        <v>1</v>
      </c>
      <c r="O851" s="46"/>
      <c r="P851" s="46" t="s">
        <v>92</v>
      </c>
      <c r="Q851" s="12"/>
      <c r="R851" s="192" t="str">
        <f t="shared" si="28"/>
        <v>1pieces</v>
      </c>
      <c r="S851" s="198">
        <f t="shared" si="29"/>
        <v>900</v>
      </c>
      <c r="T851" s="199" t="str">
        <f t="shared" si="30"/>
        <v>900pieces</v>
      </c>
      <c r="U851" s="200">
        <f t="shared" si="31"/>
        <v>900</v>
      </c>
      <c r="V851" s="12"/>
      <c r="W851" s="12"/>
    </row>
    <row r="852" spans="1:23" x14ac:dyDescent="0.3">
      <c r="A852" s="193" t="e">
        <f ca="1"/>
        <v>#NAME?</v>
      </c>
      <c r="B852" s="46" t="s">
        <v>1380</v>
      </c>
      <c r="C852" s="315"/>
      <c r="D852" s="316"/>
      <c r="E852" s="315"/>
      <c r="F852" s="315"/>
      <c r="G852" s="315"/>
      <c r="H852" s="153"/>
      <c r="I852" s="12"/>
      <c r="J852" s="46" t="s">
        <v>912</v>
      </c>
      <c r="K852" s="12"/>
      <c r="L852" s="288">
        <v>180</v>
      </c>
      <c r="M852" s="289">
        <v>1</v>
      </c>
      <c r="N852" s="290">
        <v>1000</v>
      </c>
      <c r="O852" s="46"/>
      <c r="P852" s="46" t="s">
        <v>39</v>
      </c>
      <c r="Q852" s="12"/>
      <c r="R852" s="192" t="str">
        <f t="shared" si="28"/>
        <v>1000grams</v>
      </c>
      <c r="S852" s="198">
        <f t="shared" si="29"/>
        <v>1000</v>
      </c>
      <c r="T852" s="199" t="str">
        <f t="shared" si="30"/>
        <v>1000grams</v>
      </c>
      <c r="U852" s="200">
        <f t="shared" si="31"/>
        <v>180</v>
      </c>
      <c r="V852" s="12"/>
      <c r="W852" s="12"/>
    </row>
    <row r="853" spans="1:23" x14ac:dyDescent="0.3">
      <c r="A853" s="193" t="e">
        <f ca="1"/>
        <v>#NAME?</v>
      </c>
      <c r="B853" s="46" t="s">
        <v>1380</v>
      </c>
      <c r="C853" s="315"/>
      <c r="D853" s="316"/>
      <c r="E853" s="315"/>
      <c r="F853" s="315"/>
      <c r="G853" s="315"/>
      <c r="H853" s="153"/>
      <c r="I853" s="12"/>
      <c r="J853" s="46" t="s">
        <v>912</v>
      </c>
      <c r="K853" s="12"/>
      <c r="L853" s="288">
        <v>42</v>
      </c>
      <c r="M853" s="289">
        <v>6</v>
      </c>
      <c r="N853" s="290">
        <v>200</v>
      </c>
      <c r="O853" s="46"/>
      <c r="P853" s="46" t="s">
        <v>39</v>
      </c>
      <c r="Q853" s="12"/>
      <c r="R853" s="192" t="str">
        <f t="shared" si="28"/>
        <v>200grams</v>
      </c>
      <c r="S853" s="198">
        <f t="shared" si="29"/>
        <v>1200</v>
      </c>
      <c r="T853" s="199" t="str">
        <f t="shared" si="30"/>
        <v>1200grams</v>
      </c>
      <c r="U853" s="200">
        <f t="shared" si="31"/>
        <v>252</v>
      </c>
      <c r="V853" s="12"/>
      <c r="W853" s="12"/>
    </row>
    <row r="854" spans="1:23" x14ac:dyDescent="0.3">
      <c r="A854" s="193" t="e">
        <f ca="1"/>
        <v>#NAME?</v>
      </c>
      <c r="B854" s="46" t="s">
        <v>1381</v>
      </c>
      <c r="C854" s="315"/>
      <c r="D854" s="316"/>
      <c r="E854" s="315"/>
      <c r="F854" s="315"/>
      <c r="G854" s="315"/>
      <c r="H854" s="153"/>
      <c r="I854" s="12"/>
      <c r="J854" s="46" t="s">
        <v>1382</v>
      </c>
      <c r="K854" s="12"/>
      <c r="L854" s="288">
        <v>45</v>
      </c>
      <c r="M854" s="289">
        <v>1</v>
      </c>
      <c r="N854" s="290">
        <v>1</v>
      </c>
      <c r="O854" s="46"/>
      <c r="P854" s="46" t="s">
        <v>304</v>
      </c>
      <c r="Q854" s="12"/>
      <c r="R854" s="192" t="str">
        <f t="shared" si="28"/>
        <v>1packs</v>
      </c>
      <c r="S854" s="198">
        <f t="shared" si="29"/>
        <v>1</v>
      </c>
      <c r="T854" s="199" t="str">
        <f t="shared" si="30"/>
        <v>1packs</v>
      </c>
      <c r="U854" s="200">
        <f t="shared" si="31"/>
        <v>45</v>
      </c>
      <c r="V854" s="12"/>
      <c r="W854" s="12"/>
    </row>
    <row r="855" spans="1:23" x14ac:dyDescent="0.3">
      <c r="A855" s="193" t="e">
        <f ca="1"/>
        <v>#NAME?</v>
      </c>
      <c r="B855" s="219" t="s">
        <v>1381</v>
      </c>
      <c r="C855" s="315"/>
      <c r="D855" s="316"/>
      <c r="E855" s="315"/>
      <c r="F855" s="315"/>
      <c r="G855" s="315"/>
      <c r="H855" s="153"/>
      <c r="I855" s="12"/>
      <c r="J855" s="219" t="s">
        <v>1383</v>
      </c>
      <c r="K855" s="12"/>
      <c r="L855" s="291">
        <v>1.8</v>
      </c>
      <c r="M855" s="292">
        <v>50</v>
      </c>
      <c r="N855" s="293">
        <v>1</v>
      </c>
      <c r="O855" s="219"/>
      <c r="P855" s="219" t="s">
        <v>92</v>
      </c>
      <c r="Q855" s="12"/>
      <c r="R855" s="192" t="str">
        <f t="shared" si="28"/>
        <v>1pieces</v>
      </c>
      <c r="S855" s="198">
        <f t="shared" si="29"/>
        <v>50</v>
      </c>
      <c r="T855" s="199" t="str">
        <f t="shared" si="30"/>
        <v>50pieces</v>
      </c>
      <c r="U855" s="200">
        <f t="shared" si="31"/>
        <v>90</v>
      </c>
      <c r="V855" s="12"/>
      <c r="W855" s="12"/>
    </row>
    <row r="856" spans="1:23" x14ac:dyDescent="0.3">
      <c r="A856" s="193" t="e">
        <f ca="1"/>
        <v>#NAME?</v>
      </c>
      <c r="B856" s="46" t="s">
        <v>1384</v>
      </c>
      <c r="C856" s="315"/>
      <c r="D856" s="316"/>
      <c r="E856" s="315"/>
      <c r="F856" s="315"/>
      <c r="G856" s="315"/>
      <c r="H856" s="153"/>
      <c r="I856" s="12"/>
      <c r="J856" s="46" t="s">
        <v>301</v>
      </c>
      <c r="K856" s="12"/>
      <c r="L856" s="288">
        <v>25</v>
      </c>
      <c r="M856" s="289">
        <v>2</v>
      </c>
      <c r="N856" s="290">
        <v>1</v>
      </c>
      <c r="O856" s="46"/>
      <c r="P856" s="46" t="s">
        <v>304</v>
      </c>
      <c r="Q856" s="12"/>
      <c r="R856" s="192" t="str">
        <f t="shared" si="28"/>
        <v>1packs</v>
      </c>
      <c r="S856" s="198">
        <f t="shared" si="29"/>
        <v>2</v>
      </c>
      <c r="T856" s="199" t="str">
        <f t="shared" si="30"/>
        <v>2packs</v>
      </c>
      <c r="U856" s="200">
        <f t="shared" si="31"/>
        <v>50</v>
      </c>
      <c r="V856" s="12"/>
      <c r="W856" s="12"/>
    </row>
    <row r="857" spans="1:23" x14ac:dyDescent="0.3">
      <c r="A857" s="193" t="e">
        <f ca="1"/>
        <v>#NAME?</v>
      </c>
      <c r="B857" s="46" t="s">
        <v>186</v>
      </c>
      <c r="C857" s="315"/>
      <c r="D857" s="316"/>
      <c r="E857" s="315"/>
      <c r="F857" s="315"/>
      <c r="G857" s="315"/>
      <c r="H857" s="153"/>
      <c r="I857" s="12"/>
      <c r="J857" s="46" t="s">
        <v>1385</v>
      </c>
      <c r="K857" s="12"/>
      <c r="L857" s="288">
        <v>185</v>
      </c>
      <c r="M857" s="289">
        <v>2</v>
      </c>
      <c r="N857" s="290">
        <v>340</v>
      </c>
      <c r="O857" s="46"/>
      <c r="P857" s="46" t="s">
        <v>39</v>
      </c>
      <c r="Q857" s="12"/>
      <c r="R857" s="192" t="str">
        <f t="shared" si="28"/>
        <v>340grams</v>
      </c>
      <c r="S857" s="198">
        <f t="shared" si="29"/>
        <v>680</v>
      </c>
      <c r="T857" s="199" t="str">
        <f t="shared" si="30"/>
        <v>680grams</v>
      </c>
      <c r="U857" s="200">
        <f t="shared" si="31"/>
        <v>370</v>
      </c>
      <c r="V857" s="12"/>
      <c r="W857" s="12"/>
    </row>
    <row r="858" spans="1:23" x14ac:dyDescent="0.3">
      <c r="A858" s="193" t="e">
        <f ca="1"/>
        <v>#NAME?</v>
      </c>
      <c r="B858" s="46" t="s">
        <v>186</v>
      </c>
      <c r="C858" s="315"/>
      <c r="D858" s="316"/>
      <c r="E858" s="315"/>
      <c r="F858" s="315"/>
      <c r="G858" s="315"/>
      <c r="H858" s="153"/>
      <c r="I858" s="12"/>
      <c r="J858" s="46" t="s">
        <v>1386</v>
      </c>
      <c r="K858" s="12"/>
      <c r="L858" s="288">
        <v>109.9</v>
      </c>
      <c r="M858" s="289">
        <v>5</v>
      </c>
      <c r="N858" s="290">
        <v>340</v>
      </c>
      <c r="O858" s="46"/>
      <c r="P858" s="46" t="s">
        <v>39</v>
      </c>
      <c r="Q858" s="12"/>
      <c r="R858" s="192" t="str">
        <f t="shared" si="28"/>
        <v>340grams</v>
      </c>
      <c r="S858" s="198">
        <f t="shared" si="29"/>
        <v>1700</v>
      </c>
      <c r="T858" s="199" t="str">
        <f t="shared" si="30"/>
        <v>1700grams</v>
      </c>
      <c r="U858" s="200">
        <f t="shared" si="31"/>
        <v>549.5</v>
      </c>
      <c r="V858" s="12"/>
      <c r="W858" s="12"/>
    </row>
    <row r="859" spans="1:23" x14ac:dyDescent="0.3">
      <c r="A859" s="193" t="e">
        <f ca="1"/>
        <v>#NAME?</v>
      </c>
      <c r="B859" s="46" t="s">
        <v>186</v>
      </c>
      <c r="C859" s="315"/>
      <c r="D859" s="316"/>
      <c r="E859" s="315"/>
      <c r="F859" s="315"/>
      <c r="G859" s="315"/>
      <c r="H859" s="153"/>
      <c r="I859" s="12"/>
      <c r="J859" s="46" t="s">
        <v>1387</v>
      </c>
      <c r="K859" s="12"/>
      <c r="L859" s="288">
        <v>218</v>
      </c>
      <c r="M859" s="289">
        <v>11</v>
      </c>
      <c r="N859" s="290">
        <v>340</v>
      </c>
      <c r="O859" s="46"/>
      <c r="P859" s="46" t="s">
        <v>39</v>
      </c>
      <c r="Q859" s="12"/>
      <c r="R859" s="192" t="str">
        <f t="shared" si="28"/>
        <v>340grams</v>
      </c>
      <c r="S859" s="198">
        <f t="shared" si="29"/>
        <v>3740</v>
      </c>
      <c r="T859" s="199" t="str">
        <f t="shared" si="30"/>
        <v>3740grams</v>
      </c>
      <c r="U859" s="200">
        <f t="shared" si="31"/>
        <v>2398</v>
      </c>
      <c r="V859" s="12"/>
      <c r="W859" s="12"/>
    </row>
    <row r="860" spans="1:23" x14ac:dyDescent="0.3">
      <c r="A860" s="193" t="e">
        <f ca="1"/>
        <v>#NAME?</v>
      </c>
      <c r="B860" s="46" t="s">
        <v>186</v>
      </c>
      <c r="C860" s="315"/>
      <c r="D860" s="316"/>
      <c r="E860" s="315"/>
      <c r="F860" s="315"/>
      <c r="G860" s="315"/>
      <c r="H860" s="153"/>
      <c r="I860" s="12"/>
      <c r="J860" s="46" t="s">
        <v>1388</v>
      </c>
      <c r="K860" s="12"/>
      <c r="L860" s="288">
        <v>208</v>
      </c>
      <c r="M860" s="289">
        <v>2</v>
      </c>
      <c r="N860" s="290">
        <v>340</v>
      </c>
      <c r="O860" s="46"/>
      <c r="P860" s="46" t="s">
        <v>39</v>
      </c>
      <c r="Q860" s="12"/>
      <c r="R860" s="192" t="str">
        <f t="shared" si="28"/>
        <v>340grams</v>
      </c>
      <c r="S860" s="198">
        <f t="shared" si="29"/>
        <v>680</v>
      </c>
      <c r="T860" s="199" t="str">
        <f t="shared" si="30"/>
        <v>680grams</v>
      </c>
      <c r="U860" s="200">
        <f t="shared" si="31"/>
        <v>416</v>
      </c>
      <c r="V860" s="12"/>
      <c r="W860" s="12"/>
    </row>
    <row r="861" spans="1:23" x14ac:dyDescent="0.3">
      <c r="A861" s="193" t="e">
        <f ca="1"/>
        <v>#NAME?</v>
      </c>
      <c r="B861" s="46" t="s">
        <v>662</v>
      </c>
      <c r="C861" s="315"/>
      <c r="D861" s="316"/>
      <c r="E861" s="315"/>
      <c r="F861" s="315"/>
      <c r="G861" s="315"/>
      <c r="H861" s="153"/>
      <c r="I861" s="12"/>
      <c r="J861" s="46" t="s">
        <v>1389</v>
      </c>
      <c r="K861" s="12"/>
      <c r="L861" s="288">
        <v>144.80000000000001</v>
      </c>
      <c r="M861" s="289">
        <v>4</v>
      </c>
      <c r="N861" s="290">
        <v>340</v>
      </c>
      <c r="O861" s="46"/>
      <c r="P861" s="46" t="s">
        <v>39</v>
      </c>
      <c r="Q861" s="12"/>
      <c r="R861" s="192" t="str">
        <f t="shared" si="28"/>
        <v>340grams</v>
      </c>
      <c r="S861" s="198">
        <f t="shared" si="29"/>
        <v>1360</v>
      </c>
      <c r="T861" s="199" t="str">
        <f t="shared" si="30"/>
        <v>1360grams</v>
      </c>
      <c r="U861" s="200">
        <f t="shared" si="31"/>
        <v>579.20000000000005</v>
      </c>
      <c r="V861" s="12"/>
      <c r="W861" s="12"/>
    </row>
    <row r="862" spans="1:23" x14ac:dyDescent="0.3">
      <c r="A862" s="193" t="e">
        <f ca="1"/>
        <v>#NAME?</v>
      </c>
      <c r="B862" s="46" t="s">
        <v>662</v>
      </c>
      <c r="C862" s="315"/>
      <c r="D862" s="316"/>
      <c r="E862" s="315"/>
      <c r="F862" s="315"/>
      <c r="G862" s="315"/>
      <c r="H862" s="153"/>
      <c r="I862" s="12"/>
      <c r="J862" s="46" t="s">
        <v>1390</v>
      </c>
      <c r="K862" s="12"/>
      <c r="L862" s="288">
        <v>89.8</v>
      </c>
      <c r="M862" s="289">
        <v>17</v>
      </c>
      <c r="N862" s="290">
        <v>340</v>
      </c>
      <c r="O862" s="46"/>
      <c r="P862" s="46" t="s">
        <v>39</v>
      </c>
      <c r="Q862" s="12"/>
      <c r="R862" s="192" t="str">
        <f t="shared" si="28"/>
        <v>340grams</v>
      </c>
      <c r="S862" s="198">
        <f t="shared" si="29"/>
        <v>5780</v>
      </c>
      <c r="T862" s="199" t="str">
        <f t="shared" si="30"/>
        <v>5780grams</v>
      </c>
      <c r="U862" s="200">
        <f t="shared" si="31"/>
        <v>1526.6</v>
      </c>
      <c r="V862" s="12"/>
      <c r="W862" s="12"/>
    </row>
    <row r="863" spans="1:23" x14ac:dyDescent="0.3">
      <c r="A863" s="193" t="e">
        <f ca="1"/>
        <v>#NAME?</v>
      </c>
      <c r="B863" s="46" t="s">
        <v>662</v>
      </c>
      <c r="C863" s="315"/>
      <c r="D863" s="316"/>
      <c r="E863" s="315"/>
      <c r="F863" s="315"/>
      <c r="G863" s="315"/>
      <c r="H863" s="153"/>
      <c r="I863" s="12"/>
      <c r="J863" s="46" t="s">
        <v>1391</v>
      </c>
      <c r="K863" s="12"/>
      <c r="L863" s="288">
        <v>115.1</v>
      </c>
      <c r="M863" s="289">
        <v>8</v>
      </c>
      <c r="N863" s="290">
        <v>397</v>
      </c>
      <c r="O863" s="46"/>
      <c r="P863" s="46" t="s">
        <v>39</v>
      </c>
      <c r="Q863" s="12"/>
      <c r="R863" s="192" t="str">
        <f t="shared" si="28"/>
        <v>397grams</v>
      </c>
      <c r="S863" s="198">
        <f t="shared" si="29"/>
        <v>3176</v>
      </c>
      <c r="T863" s="199" t="str">
        <f t="shared" si="30"/>
        <v>3176grams</v>
      </c>
      <c r="U863" s="200">
        <f t="shared" si="31"/>
        <v>920.8</v>
      </c>
      <c r="V863" s="12"/>
      <c r="W863" s="12"/>
    </row>
    <row r="864" spans="1:23" x14ac:dyDescent="0.3">
      <c r="A864" s="193" t="e">
        <f ca="1"/>
        <v>#NAME?</v>
      </c>
      <c r="B864" s="46" t="s">
        <v>662</v>
      </c>
      <c r="C864" s="315"/>
      <c r="D864" s="316"/>
      <c r="E864" s="315"/>
      <c r="F864" s="315"/>
      <c r="G864" s="315"/>
      <c r="H864" s="153"/>
      <c r="I864" s="12"/>
      <c r="J864" s="46" t="s">
        <v>1392</v>
      </c>
      <c r="K864" s="12"/>
      <c r="L864" s="288">
        <v>142.30000000000001</v>
      </c>
      <c r="M864" s="289">
        <v>6</v>
      </c>
      <c r="N864" s="290">
        <v>340</v>
      </c>
      <c r="O864" s="46"/>
      <c r="P864" s="46" t="s">
        <v>39</v>
      </c>
      <c r="Q864" s="12"/>
      <c r="R864" s="192" t="str">
        <f t="shared" si="28"/>
        <v>340grams</v>
      </c>
      <c r="S864" s="198">
        <f t="shared" si="29"/>
        <v>2040</v>
      </c>
      <c r="T864" s="199" t="str">
        <f t="shared" si="30"/>
        <v>2040grams</v>
      </c>
      <c r="U864" s="200">
        <f t="shared" si="31"/>
        <v>853.80000000000007</v>
      </c>
      <c r="V864" s="12"/>
      <c r="W864" s="12"/>
    </row>
    <row r="865" spans="1:23" x14ac:dyDescent="0.3">
      <c r="A865" s="193" t="e">
        <f ca="1"/>
        <v>#NAME?</v>
      </c>
      <c r="B865" s="219" t="s">
        <v>662</v>
      </c>
      <c r="C865" s="315"/>
      <c r="D865" s="316"/>
      <c r="E865" s="315"/>
      <c r="F865" s="315"/>
      <c r="G865" s="315"/>
      <c r="H865" s="153"/>
      <c r="I865" s="12"/>
      <c r="J865" s="46" t="s">
        <v>1393</v>
      </c>
      <c r="K865" s="12"/>
      <c r="L865" s="288">
        <v>88.8</v>
      </c>
      <c r="M865" s="289">
        <v>2</v>
      </c>
      <c r="N865" s="290">
        <v>350</v>
      </c>
      <c r="O865" s="46"/>
      <c r="P865" s="46" t="s">
        <v>39</v>
      </c>
      <c r="Q865" s="12"/>
      <c r="R865" s="192" t="str">
        <f t="shared" si="28"/>
        <v>350grams</v>
      </c>
      <c r="S865" s="198">
        <f t="shared" si="29"/>
        <v>700</v>
      </c>
      <c r="T865" s="199" t="str">
        <f t="shared" si="30"/>
        <v>700grams</v>
      </c>
      <c r="U865" s="200">
        <f t="shared" si="31"/>
        <v>177.6</v>
      </c>
      <c r="V865" s="12"/>
      <c r="W865" s="12"/>
    </row>
    <row r="866" spans="1:23" x14ac:dyDescent="0.3">
      <c r="A866" s="193" t="e">
        <f ca="1"/>
        <v>#NAME?</v>
      </c>
      <c r="B866" s="46" t="s">
        <v>1394</v>
      </c>
      <c r="C866" s="315"/>
      <c r="D866" s="316"/>
      <c r="E866" s="315"/>
      <c r="F866" s="315"/>
      <c r="G866" s="315"/>
      <c r="H866" s="153"/>
      <c r="I866" s="12"/>
      <c r="J866" s="46" t="s">
        <v>870</v>
      </c>
      <c r="K866" s="12"/>
      <c r="L866" s="288">
        <v>85.1</v>
      </c>
      <c r="M866" s="289">
        <v>8</v>
      </c>
      <c r="N866" s="290">
        <v>350</v>
      </c>
      <c r="O866" s="46"/>
      <c r="P866" s="46" t="s">
        <v>39</v>
      </c>
      <c r="Q866" s="12"/>
      <c r="R866" s="192" t="str">
        <f t="shared" si="28"/>
        <v>350grams</v>
      </c>
      <c r="S866" s="198">
        <f t="shared" si="29"/>
        <v>2800</v>
      </c>
      <c r="T866" s="199" t="str">
        <f t="shared" si="30"/>
        <v>2800grams</v>
      </c>
      <c r="U866" s="200">
        <f t="shared" si="31"/>
        <v>680.8</v>
      </c>
      <c r="V866" s="12"/>
      <c r="W866" s="12"/>
    </row>
    <row r="867" spans="1:23" x14ac:dyDescent="0.3">
      <c r="A867" s="193" t="e">
        <f ca="1"/>
        <v>#NAME?</v>
      </c>
      <c r="B867" s="46" t="s">
        <v>1394</v>
      </c>
      <c r="C867" s="315"/>
      <c r="D867" s="316"/>
      <c r="E867" s="315"/>
      <c r="F867" s="315"/>
      <c r="G867" s="315"/>
      <c r="H867" s="153"/>
      <c r="I867" s="12"/>
      <c r="J867" s="46" t="s">
        <v>1368</v>
      </c>
      <c r="K867" s="12"/>
      <c r="L867" s="288">
        <v>82.5</v>
      </c>
      <c r="M867" s="289">
        <v>6</v>
      </c>
      <c r="N867" s="290">
        <v>350</v>
      </c>
      <c r="O867" s="46"/>
      <c r="P867" s="46" t="s">
        <v>39</v>
      </c>
      <c r="Q867" s="12"/>
      <c r="R867" s="192" t="str">
        <f t="shared" si="28"/>
        <v>350grams</v>
      </c>
      <c r="S867" s="198">
        <f t="shared" si="29"/>
        <v>2100</v>
      </c>
      <c r="T867" s="199" t="str">
        <f t="shared" si="30"/>
        <v>2100grams</v>
      </c>
      <c r="U867" s="200">
        <f t="shared" si="31"/>
        <v>495</v>
      </c>
      <c r="V867" s="12"/>
      <c r="W867" s="12"/>
    </row>
    <row r="868" spans="1:23" x14ac:dyDescent="0.3">
      <c r="A868" s="193" t="e">
        <f ca="1"/>
        <v>#NAME?</v>
      </c>
      <c r="B868" s="46" t="s">
        <v>1394</v>
      </c>
      <c r="C868" s="315"/>
      <c r="D868" s="316"/>
      <c r="E868" s="315"/>
      <c r="F868" s="315"/>
      <c r="G868" s="315"/>
      <c r="H868" s="153"/>
      <c r="I868" s="12"/>
      <c r="J868" s="46" t="s">
        <v>1395</v>
      </c>
      <c r="K868" s="12"/>
      <c r="L868" s="288">
        <v>85.1</v>
      </c>
      <c r="M868" s="289">
        <v>1</v>
      </c>
      <c r="N868" s="290">
        <v>350</v>
      </c>
      <c r="O868" s="46"/>
      <c r="P868" s="46" t="s">
        <v>39</v>
      </c>
      <c r="Q868" s="12"/>
      <c r="R868" s="192" t="str">
        <f t="shared" si="28"/>
        <v>350grams</v>
      </c>
      <c r="S868" s="198">
        <f t="shared" si="29"/>
        <v>350</v>
      </c>
      <c r="T868" s="199" t="str">
        <f t="shared" si="30"/>
        <v>350grams</v>
      </c>
      <c r="U868" s="200">
        <f t="shared" si="31"/>
        <v>85.1</v>
      </c>
      <c r="V868" s="12"/>
      <c r="W868" s="12"/>
    </row>
    <row r="869" spans="1:23" x14ac:dyDescent="0.3">
      <c r="A869" s="193" t="e">
        <f ca="1"/>
        <v>#NAME?</v>
      </c>
      <c r="B869" s="46" t="s">
        <v>664</v>
      </c>
      <c r="C869" s="315"/>
      <c r="D869" s="316"/>
      <c r="E869" s="315"/>
      <c r="F869" s="315"/>
      <c r="G869" s="315"/>
      <c r="H869" s="153"/>
      <c r="I869" s="12"/>
      <c r="J869" s="170"/>
      <c r="K869" s="12"/>
      <c r="L869" s="288">
        <v>140</v>
      </c>
      <c r="M869" s="289">
        <v>1</v>
      </c>
      <c r="N869" s="290">
        <v>1</v>
      </c>
      <c r="O869" s="46"/>
      <c r="P869" s="46" t="s">
        <v>213</v>
      </c>
      <c r="Q869" s="12"/>
      <c r="R869" s="192" t="str">
        <f t="shared" si="28"/>
        <v>1kilos</v>
      </c>
      <c r="S869" s="198">
        <f t="shared" si="29"/>
        <v>1</v>
      </c>
      <c r="T869" s="199" t="str">
        <f t="shared" si="30"/>
        <v>1kilos</v>
      </c>
      <c r="U869" s="200">
        <f t="shared" si="31"/>
        <v>140</v>
      </c>
      <c r="V869" s="12"/>
      <c r="W869" s="12"/>
    </row>
    <row r="870" spans="1:23" x14ac:dyDescent="0.3">
      <c r="A870" s="193" t="e">
        <f ca="1"/>
        <v>#NAME?</v>
      </c>
      <c r="B870" s="46" t="s">
        <v>1396</v>
      </c>
      <c r="C870" s="315"/>
      <c r="D870" s="316"/>
      <c r="E870" s="315"/>
      <c r="F870" s="315"/>
      <c r="G870" s="315"/>
      <c r="H870" s="153"/>
      <c r="I870" s="12"/>
      <c r="J870" s="46" t="s">
        <v>1397</v>
      </c>
      <c r="K870" s="12"/>
      <c r="L870" s="288">
        <v>106.5</v>
      </c>
      <c r="M870" s="289">
        <v>1</v>
      </c>
      <c r="N870" s="290">
        <v>230</v>
      </c>
      <c r="O870" s="46"/>
      <c r="P870" s="46" t="s">
        <v>519</v>
      </c>
      <c r="Q870" s="12"/>
      <c r="R870" s="192" t="str">
        <f t="shared" si="28"/>
        <v>230drained weight grams</v>
      </c>
      <c r="S870" s="198">
        <f t="shared" si="29"/>
        <v>230</v>
      </c>
      <c r="T870" s="199" t="str">
        <f t="shared" si="30"/>
        <v>230drained weight grams</v>
      </c>
      <c r="U870" s="200">
        <f t="shared" si="31"/>
        <v>106.5</v>
      </c>
      <c r="V870" s="12"/>
      <c r="W870" s="12"/>
    </row>
    <row r="871" spans="1:23" x14ac:dyDescent="0.3">
      <c r="A871" s="193" t="e">
        <f ca="1"/>
        <v>#NAME?</v>
      </c>
      <c r="B871" s="46" t="s">
        <v>665</v>
      </c>
      <c r="C871" s="315"/>
      <c r="D871" s="316"/>
      <c r="E871" s="315"/>
      <c r="F871" s="315"/>
      <c r="G871" s="315"/>
      <c r="H871" s="153"/>
      <c r="I871" s="12"/>
      <c r="J871" s="46" t="s">
        <v>865</v>
      </c>
      <c r="K871" s="12"/>
      <c r="L871" s="288">
        <v>106.5</v>
      </c>
      <c r="M871" s="289">
        <v>2</v>
      </c>
      <c r="N871" s="290">
        <v>230</v>
      </c>
      <c r="O871" s="46"/>
      <c r="P871" s="46" t="s">
        <v>39</v>
      </c>
      <c r="Q871" s="12"/>
      <c r="R871" s="192" t="str">
        <f t="shared" si="28"/>
        <v>230grams</v>
      </c>
      <c r="S871" s="198">
        <f t="shared" si="29"/>
        <v>460</v>
      </c>
      <c r="T871" s="199" t="str">
        <f t="shared" si="30"/>
        <v>460grams</v>
      </c>
      <c r="U871" s="200">
        <f t="shared" si="31"/>
        <v>213</v>
      </c>
      <c r="V871" s="12"/>
      <c r="W871" s="12"/>
    </row>
    <row r="872" spans="1:23" x14ac:dyDescent="0.3">
      <c r="A872" s="193" t="e">
        <f ca="1"/>
        <v>#NAME?</v>
      </c>
      <c r="B872" s="46" t="s">
        <v>665</v>
      </c>
      <c r="C872" s="315"/>
      <c r="D872" s="316"/>
      <c r="E872" s="315"/>
      <c r="F872" s="315"/>
      <c r="G872" s="315"/>
      <c r="H872" s="153"/>
      <c r="I872" s="12"/>
      <c r="J872" s="46" t="s">
        <v>1398</v>
      </c>
      <c r="K872" s="12"/>
      <c r="L872" s="288">
        <v>138.5</v>
      </c>
      <c r="M872" s="289">
        <v>1</v>
      </c>
      <c r="N872" s="290">
        <v>565</v>
      </c>
      <c r="O872" s="46"/>
      <c r="P872" s="46" t="s">
        <v>39</v>
      </c>
      <c r="Q872" s="12"/>
      <c r="R872" s="192" t="str">
        <f t="shared" si="28"/>
        <v>565grams</v>
      </c>
      <c r="S872" s="198">
        <f t="shared" si="29"/>
        <v>565</v>
      </c>
      <c r="T872" s="199" t="str">
        <f t="shared" si="30"/>
        <v>565grams</v>
      </c>
      <c r="U872" s="200">
        <f t="shared" si="31"/>
        <v>138.5</v>
      </c>
      <c r="V872" s="12"/>
      <c r="W872" s="12"/>
    </row>
    <row r="873" spans="1:23" x14ac:dyDescent="0.3">
      <c r="A873" s="193" t="e">
        <f ca="1"/>
        <v>#NAME?</v>
      </c>
      <c r="B873" s="46" t="s">
        <v>665</v>
      </c>
      <c r="C873" s="315"/>
      <c r="D873" s="316"/>
      <c r="E873" s="315"/>
      <c r="F873" s="315"/>
      <c r="G873" s="315"/>
      <c r="H873" s="153"/>
      <c r="I873" s="12"/>
      <c r="J873" s="46" t="s">
        <v>865</v>
      </c>
      <c r="K873" s="12"/>
      <c r="L873" s="288">
        <v>80.25</v>
      </c>
      <c r="M873" s="289">
        <v>1</v>
      </c>
      <c r="N873" s="290">
        <v>565</v>
      </c>
      <c r="O873" s="46"/>
      <c r="P873" s="46" t="s">
        <v>39</v>
      </c>
      <c r="Q873" s="12"/>
      <c r="R873" s="192" t="str">
        <f t="shared" si="28"/>
        <v>565grams</v>
      </c>
      <c r="S873" s="198">
        <f t="shared" si="29"/>
        <v>565</v>
      </c>
      <c r="T873" s="199" t="str">
        <f t="shared" si="30"/>
        <v>565grams</v>
      </c>
      <c r="U873" s="200">
        <f t="shared" si="31"/>
        <v>80.25</v>
      </c>
      <c r="V873" s="12"/>
      <c r="W873" s="12"/>
    </row>
    <row r="874" spans="1:23" x14ac:dyDescent="0.3">
      <c r="A874" s="193" t="e">
        <f ca="1"/>
        <v>#NAME?</v>
      </c>
      <c r="B874" s="46" t="s">
        <v>1399</v>
      </c>
      <c r="C874" s="315"/>
      <c r="D874" s="316"/>
      <c r="E874" s="315"/>
      <c r="F874" s="315"/>
      <c r="G874" s="315"/>
      <c r="H874" s="153"/>
      <c r="I874" s="12"/>
      <c r="J874" s="46" t="s">
        <v>1227</v>
      </c>
      <c r="K874" s="12"/>
      <c r="L874" s="288">
        <v>35</v>
      </c>
      <c r="M874" s="289">
        <v>1</v>
      </c>
      <c r="N874" s="290">
        <v>375</v>
      </c>
      <c r="O874" s="46"/>
      <c r="P874" s="46" t="s">
        <v>32</v>
      </c>
      <c r="Q874" s="12"/>
      <c r="R874" s="192" t="str">
        <f t="shared" si="28"/>
        <v>375ml</v>
      </c>
      <c r="S874" s="198">
        <f t="shared" si="29"/>
        <v>375</v>
      </c>
      <c r="T874" s="199" t="str">
        <f t="shared" si="30"/>
        <v>375ml</v>
      </c>
      <c r="U874" s="200">
        <f t="shared" si="31"/>
        <v>35</v>
      </c>
      <c r="V874" s="12"/>
      <c r="W874" s="12"/>
    </row>
    <row r="875" spans="1:23" x14ac:dyDescent="0.3">
      <c r="A875" s="193" t="e">
        <f ca="1"/>
        <v>#NAME?</v>
      </c>
      <c r="B875" s="46" t="s">
        <v>1400</v>
      </c>
      <c r="C875" s="315"/>
      <c r="D875" s="316"/>
      <c r="E875" s="315"/>
      <c r="F875" s="315"/>
      <c r="G875" s="315"/>
      <c r="H875" s="153"/>
      <c r="I875" s="12"/>
      <c r="J875" s="46" t="s">
        <v>1401</v>
      </c>
      <c r="K875" s="12"/>
      <c r="L875" s="288">
        <v>154</v>
      </c>
      <c r="M875" s="289">
        <v>1</v>
      </c>
      <c r="N875" s="290">
        <v>340</v>
      </c>
      <c r="O875" s="46"/>
      <c r="P875" s="46" t="s">
        <v>39</v>
      </c>
      <c r="Q875" s="12"/>
      <c r="R875" s="192" t="str">
        <f t="shared" si="28"/>
        <v>340grams</v>
      </c>
      <c r="S875" s="198">
        <f t="shared" si="29"/>
        <v>340</v>
      </c>
      <c r="T875" s="199" t="str">
        <f t="shared" si="30"/>
        <v>340grams</v>
      </c>
      <c r="U875" s="200">
        <f t="shared" si="31"/>
        <v>154</v>
      </c>
      <c r="V875" s="12"/>
      <c r="W875" s="12"/>
    </row>
    <row r="876" spans="1:23" x14ac:dyDescent="0.3">
      <c r="A876" s="193" t="e">
        <f ca="1"/>
        <v>#NAME?</v>
      </c>
      <c r="B876" s="46" t="s">
        <v>1402</v>
      </c>
      <c r="C876" s="315"/>
      <c r="D876" s="316"/>
      <c r="E876" s="315"/>
      <c r="F876" s="315"/>
      <c r="G876" s="315"/>
      <c r="H876" s="153"/>
      <c r="I876" s="12"/>
      <c r="J876" s="46" t="s">
        <v>1349</v>
      </c>
      <c r="K876" s="12"/>
      <c r="L876" s="288">
        <v>296.7</v>
      </c>
      <c r="M876" s="289">
        <v>1</v>
      </c>
      <c r="N876" s="290">
        <v>1</v>
      </c>
      <c r="O876" s="46"/>
      <c r="P876" s="46" t="s">
        <v>213</v>
      </c>
      <c r="Q876" s="12"/>
      <c r="R876" s="192" t="str">
        <f t="shared" si="28"/>
        <v>1kilos</v>
      </c>
      <c r="S876" s="198">
        <f t="shared" si="29"/>
        <v>1</v>
      </c>
      <c r="T876" s="199" t="str">
        <f t="shared" si="30"/>
        <v>1kilos</v>
      </c>
      <c r="U876" s="200">
        <f t="shared" si="31"/>
        <v>296.7</v>
      </c>
      <c r="V876" s="12"/>
      <c r="W876" s="12"/>
    </row>
    <row r="877" spans="1:23" x14ac:dyDescent="0.3">
      <c r="A877" s="193" t="e">
        <f ca="1"/>
        <v>#NAME?</v>
      </c>
      <c r="B877" s="46" t="s">
        <v>1402</v>
      </c>
      <c r="C877" s="315"/>
      <c r="D877" s="316"/>
      <c r="E877" s="315"/>
      <c r="F877" s="315"/>
      <c r="G877" s="315"/>
      <c r="H877" s="153"/>
      <c r="I877" s="12"/>
      <c r="J877" s="46" t="s">
        <v>1349</v>
      </c>
      <c r="K877" s="12"/>
      <c r="L877" s="288">
        <v>380</v>
      </c>
      <c r="M877" s="289">
        <v>5</v>
      </c>
      <c r="N877" s="290">
        <v>5</v>
      </c>
      <c r="O877" s="46"/>
      <c r="P877" s="46" t="s">
        <v>213</v>
      </c>
      <c r="Q877" s="12"/>
      <c r="R877" s="192" t="str">
        <f t="shared" si="28"/>
        <v>5kilos</v>
      </c>
      <c r="S877" s="198">
        <f t="shared" si="29"/>
        <v>25</v>
      </c>
      <c r="T877" s="199" t="str">
        <f t="shared" si="30"/>
        <v>25kilos</v>
      </c>
      <c r="U877" s="200">
        <f t="shared" si="31"/>
        <v>1900</v>
      </c>
      <c r="V877" s="12"/>
      <c r="W877" s="12"/>
    </row>
    <row r="878" spans="1:23" x14ac:dyDescent="0.3">
      <c r="A878" s="193" t="e">
        <f ca="1"/>
        <v>#NAME?</v>
      </c>
      <c r="B878" s="46" t="s">
        <v>1402</v>
      </c>
      <c r="C878" s="315"/>
      <c r="D878" s="316"/>
      <c r="E878" s="315"/>
      <c r="F878" s="315"/>
      <c r="G878" s="315"/>
      <c r="H878" s="153"/>
      <c r="I878" s="12"/>
      <c r="J878" s="46" t="s">
        <v>1349</v>
      </c>
      <c r="K878" s="12"/>
      <c r="L878" s="288">
        <v>59.34</v>
      </c>
      <c r="M878" s="289">
        <v>8</v>
      </c>
      <c r="N878" s="290">
        <v>5000</v>
      </c>
      <c r="O878" s="46"/>
      <c r="P878" s="46" t="s">
        <v>39</v>
      </c>
      <c r="Q878" s="12"/>
      <c r="R878" s="192" t="str">
        <f t="shared" si="28"/>
        <v>5000grams</v>
      </c>
      <c r="S878" s="198">
        <f t="shared" si="29"/>
        <v>40000</v>
      </c>
      <c r="T878" s="199" t="str">
        <f t="shared" si="30"/>
        <v>40000grams</v>
      </c>
      <c r="U878" s="200">
        <f t="shared" si="31"/>
        <v>474.72</v>
      </c>
      <c r="V878" s="12"/>
      <c r="W878" s="12"/>
    </row>
    <row r="879" spans="1:23" x14ac:dyDescent="0.3">
      <c r="A879" s="193" t="e">
        <f ca="1"/>
        <v>#NAME?</v>
      </c>
      <c r="B879" s="46" t="s">
        <v>1402</v>
      </c>
      <c r="C879" s="315"/>
      <c r="D879" s="316"/>
      <c r="E879" s="315"/>
      <c r="F879" s="315"/>
      <c r="G879" s="315"/>
      <c r="H879" s="153"/>
      <c r="I879" s="12"/>
      <c r="J879" s="46" t="s">
        <v>1349</v>
      </c>
      <c r="K879" s="12"/>
      <c r="L879" s="288">
        <v>40</v>
      </c>
      <c r="M879" s="289">
        <v>5</v>
      </c>
      <c r="N879" s="290">
        <v>500</v>
      </c>
      <c r="O879" s="46"/>
      <c r="P879" s="46" t="s">
        <v>39</v>
      </c>
      <c r="Q879" s="12"/>
      <c r="R879" s="192" t="str">
        <f t="shared" si="28"/>
        <v>500grams</v>
      </c>
      <c r="S879" s="198">
        <f t="shared" si="29"/>
        <v>2500</v>
      </c>
      <c r="T879" s="199" t="str">
        <f t="shared" si="30"/>
        <v>2500grams</v>
      </c>
      <c r="U879" s="200">
        <f t="shared" si="31"/>
        <v>200</v>
      </c>
      <c r="V879" s="12"/>
      <c r="W879" s="12"/>
    </row>
    <row r="880" spans="1:23" x14ac:dyDescent="0.3">
      <c r="A880" s="193" t="e">
        <f ca="1"/>
        <v>#NAME?</v>
      </c>
      <c r="B880" s="46" t="s">
        <v>1402</v>
      </c>
      <c r="C880" s="315"/>
      <c r="D880" s="316"/>
      <c r="E880" s="315"/>
      <c r="F880" s="315"/>
      <c r="G880" s="315"/>
      <c r="H880" s="153"/>
      <c r="I880" s="12"/>
      <c r="J880" s="46" t="s">
        <v>1349</v>
      </c>
      <c r="K880" s="12"/>
      <c r="L880" s="288">
        <v>80</v>
      </c>
      <c r="M880" s="289">
        <v>5</v>
      </c>
      <c r="N880" s="290">
        <v>500</v>
      </c>
      <c r="O880" s="46"/>
      <c r="P880" s="46" t="s">
        <v>39</v>
      </c>
      <c r="Q880" s="12"/>
      <c r="R880" s="192" t="str">
        <f t="shared" si="28"/>
        <v>500grams</v>
      </c>
      <c r="S880" s="198">
        <f t="shared" si="29"/>
        <v>2500</v>
      </c>
      <c r="T880" s="199" t="str">
        <f t="shared" si="30"/>
        <v>2500grams</v>
      </c>
      <c r="U880" s="200">
        <f t="shared" si="31"/>
        <v>400</v>
      </c>
      <c r="V880" s="12"/>
      <c r="W880" s="12"/>
    </row>
    <row r="881" spans="1:23" x14ac:dyDescent="0.3">
      <c r="A881" s="193" t="e">
        <f ca="1"/>
        <v>#NAME?</v>
      </c>
      <c r="B881" s="219" t="s">
        <v>1402</v>
      </c>
      <c r="C881" s="315"/>
      <c r="D881" s="316"/>
      <c r="E881" s="315"/>
      <c r="F881" s="315"/>
      <c r="G881" s="315"/>
      <c r="H881" s="153"/>
      <c r="I881" s="12"/>
      <c r="J881" s="219" t="s">
        <v>1349</v>
      </c>
      <c r="K881" s="12"/>
      <c r="L881" s="291">
        <v>62</v>
      </c>
      <c r="M881" s="292">
        <v>7</v>
      </c>
      <c r="N881" s="293">
        <v>500</v>
      </c>
      <c r="O881" s="219"/>
      <c r="P881" s="219" t="s">
        <v>39</v>
      </c>
      <c r="Q881" s="12"/>
      <c r="R881" s="192" t="str">
        <f t="shared" si="28"/>
        <v>500grams</v>
      </c>
      <c r="S881" s="198">
        <f t="shared" si="29"/>
        <v>3500</v>
      </c>
      <c r="T881" s="199" t="str">
        <f t="shared" si="30"/>
        <v>3500grams</v>
      </c>
      <c r="U881" s="200">
        <f t="shared" si="31"/>
        <v>434</v>
      </c>
      <c r="V881" s="12"/>
      <c r="W881" s="12"/>
    </row>
    <row r="882" spans="1:23" x14ac:dyDescent="0.3">
      <c r="A882" s="193" t="e">
        <f ca="1"/>
        <v>#NAME?</v>
      </c>
      <c r="B882" s="46" t="s">
        <v>1403</v>
      </c>
      <c r="C882" s="315"/>
      <c r="D882" s="316"/>
      <c r="E882" s="315"/>
      <c r="F882" s="315"/>
      <c r="G882" s="315"/>
      <c r="H882" s="153"/>
      <c r="I882" s="12"/>
      <c r="J882" s="46" t="s">
        <v>1404</v>
      </c>
      <c r="K882" s="12"/>
      <c r="L882" s="288">
        <v>87</v>
      </c>
      <c r="M882" s="289">
        <v>1</v>
      </c>
      <c r="N882" s="290">
        <v>1000</v>
      </c>
      <c r="O882" s="46"/>
      <c r="P882" s="46" t="s">
        <v>39</v>
      </c>
      <c r="Q882" s="12"/>
      <c r="R882" s="192" t="str">
        <f t="shared" si="28"/>
        <v>1000grams</v>
      </c>
      <c r="S882" s="198">
        <f t="shared" si="29"/>
        <v>1000</v>
      </c>
      <c r="T882" s="199" t="str">
        <f t="shared" si="30"/>
        <v>1000grams</v>
      </c>
      <c r="U882" s="200">
        <f t="shared" si="31"/>
        <v>87</v>
      </c>
      <c r="V882" s="12"/>
      <c r="W882" s="12"/>
    </row>
    <row r="883" spans="1:23" x14ac:dyDescent="0.3">
      <c r="A883" s="193" t="e">
        <f ca="1"/>
        <v>#NAME?</v>
      </c>
      <c r="B883" s="46" t="s">
        <v>1403</v>
      </c>
      <c r="C883" s="315"/>
      <c r="D883" s="316"/>
      <c r="E883" s="315"/>
      <c r="F883" s="315"/>
      <c r="G883" s="315"/>
      <c r="H883" s="153"/>
      <c r="I883" s="12"/>
      <c r="J883" s="46" t="s">
        <v>1405</v>
      </c>
      <c r="K883" s="12"/>
      <c r="L883" s="288">
        <v>39.700000000000003</v>
      </c>
      <c r="M883" s="289">
        <v>2</v>
      </c>
      <c r="N883" s="290">
        <v>400</v>
      </c>
      <c r="O883" s="46"/>
      <c r="P883" s="46" t="s">
        <v>39</v>
      </c>
      <c r="Q883" s="12"/>
      <c r="R883" s="192" t="str">
        <f t="shared" si="28"/>
        <v>400grams</v>
      </c>
      <c r="S883" s="198">
        <f t="shared" si="29"/>
        <v>800</v>
      </c>
      <c r="T883" s="199" t="str">
        <f t="shared" si="30"/>
        <v>800grams</v>
      </c>
      <c r="U883" s="200">
        <f t="shared" si="31"/>
        <v>79.400000000000006</v>
      </c>
      <c r="V883" s="12"/>
      <c r="W883" s="12"/>
    </row>
    <row r="884" spans="1:23" x14ac:dyDescent="0.3">
      <c r="A884" s="193" t="e">
        <f ca="1"/>
        <v>#NAME?</v>
      </c>
      <c r="B884" s="46" t="s">
        <v>1406</v>
      </c>
      <c r="C884" s="315"/>
      <c r="D884" s="316"/>
      <c r="E884" s="315"/>
      <c r="F884" s="315"/>
      <c r="G884" s="315"/>
      <c r="H884" s="153"/>
      <c r="I884" s="12"/>
      <c r="J884" s="46" t="s">
        <v>1407</v>
      </c>
      <c r="K884" s="12"/>
      <c r="L884" s="288">
        <v>73.5</v>
      </c>
      <c r="M884" s="289">
        <v>1</v>
      </c>
      <c r="N884" s="290">
        <v>425</v>
      </c>
      <c r="O884" s="46"/>
      <c r="P884" s="46" t="s">
        <v>39</v>
      </c>
      <c r="Q884" s="12"/>
      <c r="R884" s="192" t="str">
        <f t="shared" si="28"/>
        <v>425grams</v>
      </c>
      <c r="S884" s="198">
        <f t="shared" si="29"/>
        <v>425</v>
      </c>
      <c r="T884" s="199" t="str">
        <f t="shared" si="30"/>
        <v>425grams</v>
      </c>
      <c r="U884" s="200">
        <f t="shared" si="31"/>
        <v>73.5</v>
      </c>
      <c r="V884" s="12"/>
      <c r="W884" s="12"/>
    </row>
    <row r="885" spans="1:23" x14ac:dyDescent="0.3">
      <c r="A885" s="193" t="e">
        <f ca="1"/>
        <v>#NAME?</v>
      </c>
      <c r="B885" s="46" t="s">
        <v>1406</v>
      </c>
      <c r="C885" s="315"/>
      <c r="D885" s="316"/>
      <c r="E885" s="315"/>
      <c r="F885" s="315"/>
      <c r="G885" s="315"/>
      <c r="H885" s="153"/>
      <c r="I885" s="12"/>
      <c r="J885" s="46" t="s">
        <v>1408</v>
      </c>
      <c r="K885" s="12"/>
      <c r="L885" s="288">
        <v>64.400000000000006</v>
      </c>
      <c r="M885" s="289">
        <v>5</v>
      </c>
      <c r="N885" s="290">
        <v>425</v>
      </c>
      <c r="O885" s="46"/>
      <c r="P885" s="46" t="s">
        <v>39</v>
      </c>
      <c r="Q885" s="12"/>
      <c r="R885" s="192" t="str">
        <f t="shared" si="28"/>
        <v>425grams</v>
      </c>
      <c r="S885" s="198">
        <f t="shared" si="29"/>
        <v>2125</v>
      </c>
      <c r="T885" s="199" t="str">
        <f t="shared" si="30"/>
        <v>2125grams</v>
      </c>
      <c r="U885" s="200">
        <f t="shared" si="31"/>
        <v>322</v>
      </c>
      <c r="V885" s="12"/>
      <c r="W885" s="12"/>
    </row>
    <row r="886" spans="1:23" x14ac:dyDescent="0.3">
      <c r="A886" s="193" t="e">
        <f ca="1"/>
        <v>#NAME?</v>
      </c>
      <c r="B886" s="46" t="s">
        <v>1406</v>
      </c>
      <c r="C886" s="315"/>
      <c r="D886" s="316"/>
      <c r="E886" s="315"/>
      <c r="F886" s="315"/>
      <c r="G886" s="315"/>
      <c r="H886" s="153"/>
      <c r="I886" s="12"/>
      <c r="J886" s="46" t="s">
        <v>1409</v>
      </c>
      <c r="K886" s="12"/>
      <c r="L886" s="288">
        <v>73.599999999999994</v>
      </c>
      <c r="M886" s="289">
        <v>6</v>
      </c>
      <c r="N886" s="290">
        <v>425</v>
      </c>
      <c r="O886" s="46"/>
      <c r="P886" s="46" t="s">
        <v>39</v>
      </c>
      <c r="Q886" s="12"/>
      <c r="R886" s="192" t="str">
        <f t="shared" si="28"/>
        <v>425grams</v>
      </c>
      <c r="S886" s="198">
        <f t="shared" si="29"/>
        <v>2550</v>
      </c>
      <c r="T886" s="199" t="str">
        <f t="shared" si="30"/>
        <v>2550grams</v>
      </c>
      <c r="U886" s="200">
        <f t="shared" si="31"/>
        <v>441.59999999999997</v>
      </c>
      <c r="V886" s="12"/>
      <c r="W886" s="12"/>
    </row>
    <row r="887" spans="1:23" x14ac:dyDescent="0.3">
      <c r="A887" s="193" t="e">
        <f ca="1"/>
        <v>#NAME?</v>
      </c>
      <c r="B887" s="46" t="s">
        <v>188</v>
      </c>
      <c r="C887" s="315"/>
      <c r="D887" s="316"/>
      <c r="E887" s="315"/>
      <c r="F887" s="315"/>
      <c r="G887" s="315"/>
      <c r="H887" s="153"/>
      <c r="I887" s="12"/>
      <c r="J887" s="46" t="s">
        <v>1410</v>
      </c>
      <c r="K887" s="12"/>
      <c r="L887" s="288">
        <v>67.400000000000006</v>
      </c>
      <c r="M887" s="289">
        <v>10</v>
      </c>
      <c r="N887" s="290">
        <v>425</v>
      </c>
      <c r="O887" s="46"/>
      <c r="P887" s="46" t="s">
        <v>39</v>
      </c>
      <c r="Q887" s="12"/>
      <c r="R887" s="192" t="str">
        <f t="shared" si="28"/>
        <v>425grams</v>
      </c>
      <c r="S887" s="198">
        <f t="shared" si="29"/>
        <v>4250</v>
      </c>
      <c r="T887" s="199" t="str">
        <f t="shared" si="30"/>
        <v>4250grams</v>
      </c>
      <c r="U887" s="200">
        <f t="shared" si="31"/>
        <v>674</v>
      </c>
      <c r="V887" s="12"/>
      <c r="W887" s="12"/>
    </row>
    <row r="888" spans="1:23" x14ac:dyDescent="0.3">
      <c r="A888" s="193" t="e">
        <f ca="1"/>
        <v>#NAME?</v>
      </c>
      <c r="B888" s="219" t="s">
        <v>188</v>
      </c>
      <c r="C888" s="315"/>
      <c r="D888" s="316"/>
      <c r="E888" s="315"/>
      <c r="F888" s="315"/>
      <c r="G888" s="315"/>
      <c r="H888" s="153"/>
      <c r="I888" s="12"/>
      <c r="J888" s="46" t="s">
        <v>189</v>
      </c>
      <c r="K888" s="12"/>
      <c r="L888" s="288">
        <v>73.599999999999994</v>
      </c>
      <c r="M888" s="289">
        <v>9</v>
      </c>
      <c r="N888" s="290">
        <v>425</v>
      </c>
      <c r="O888" s="46"/>
      <c r="P888" s="46" t="s">
        <v>39</v>
      </c>
      <c r="Q888" s="12"/>
      <c r="R888" s="192" t="str">
        <f t="shared" si="28"/>
        <v>425grams</v>
      </c>
      <c r="S888" s="198">
        <f t="shared" si="29"/>
        <v>3825</v>
      </c>
      <c r="T888" s="199" t="str">
        <f t="shared" si="30"/>
        <v>3825grams</v>
      </c>
      <c r="U888" s="200">
        <f t="shared" si="31"/>
        <v>662.4</v>
      </c>
      <c r="V888" s="12"/>
      <c r="W888" s="12"/>
    </row>
    <row r="889" spans="1:23" x14ac:dyDescent="0.3">
      <c r="A889" s="193" t="e">
        <f ca="1"/>
        <v>#NAME?</v>
      </c>
      <c r="B889" s="46" t="s">
        <v>188</v>
      </c>
      <c r="C889" s="315"/>
      <c r="D889" s="316"/>
      <c r="E889" s="315"/>
      <c r="F889" s="315"/>
      <c r="G889" s="315"/>
      <c r="H889" s="153"/>
      <c r="I889" s="12"/>
      <c r="J889" s="46" t="s">
        <v>189</v>
      </c>
      <c r="K889" s="12"/>
      <c r="L889" s="288">
        <v>73.599999999999994</v>
      </c>
      <c r="M889" s="289">
        <v>7</v>
      </c>
      <c r="N889" s="290">
        <v>425</v>
      </c>
      <c r="O889" s="46"/>
      <c r="P889" s="46" t="s">
        <v>39</v>
      </c>
      <c r="Q889" s="12"/>
      <c r="R889" s="192" t="str">
        <f t="shared" si="28"/>
        <v>425grams</v>
      </c>
      <c r="S889" s="198">
        <f t="shared" si="29"/>
        <v>2975</v>
      </c>
      <c r="T889" s="199" t="str">
        <f t="shared" si="30"/>
        <v>2975grams</v>
      </c>
      <c r="U889" s="200">
        <f t="shared" si="31"/>
        <v>515.19999999999993</v>
      </c>
      <c r="V889" s="12"/>
      <c r="W889" s="12"/>
    </row>
    <row r="890" spans="1:23" x14ac:dyDescent="0.3">
      <c r="A890" s="193" t="e">
        <f ca="1"/>
        <v>#NAME?</v>
      </c>
      <c r="B890" s="46" t="s">
        <v>188</v>
      </c>
      <c r="C890" s="315"/>
      <c r="D890" s="316"/>
      <c r="E890" s="315"/>
      <c r="F890" s="315"/>
      <c r="G890" s="315"/>
      <c r="H890" s="153"/>
      <c r="I890" s="12"/>
      <c r="J890" s="46" t="s">
        <v>1408</v>
      </c>
      <c r="K890" s="12"/>
      <c r="L890" s="288">
        <v>72</v>
      </c>
      <c r="M890" s="289">
        <v>10</v>
      </c>
      <c r="N890" s="290">
        <v>425</v>
      </c>
      <c r="O890" s="46"/>
      <c r="P890" s="46" t="s">
        <v>39</v>
      </c>
      <c r="Q890" s="12"/>
      <c r="R890" s="192" t="str">
        <f t="shared" si="28"/>
        <v>425grams</v>
      </c>
      <c r="S890" s="198">
        <f t="shared" si="29"/>
        <v>4250</v>
      </c>
      <c r="T890" s="199" t="str">
        <f t="shared" si="30"/>
        <v>4250grams</v>
      </c>
      <c r="U890" s="200">
        <f t="shared" si="31"/>
        <v>720</v>
      </c>
      <c r="V890" s="12"/>
      <c r="W890" s="12"/>
    </row>
    <row r="891" spans="1:23" x14ac:dyDescent="0.3">
      <c r="A891" s="193" t="e">
        <f ca="1"/>
        <v>#NAME?</v>
      </c>
      <c r="B891" s="46" t="s">
        <v>188</v>
      </c>
      <c r="C891" s="315"/>
      <c r="D891" s="316"/>
      <c r="E891" s="315"/>
      <c r="F891" s="315"/>
      <c r="G891" s="315"/>
      <c r="H891" s="153"/>
      <c r="I891" s="12"/>
      <c r="J891" s="46" t="s">
        <v>1411</v>
      </c>
      <c r="K891" s="12"/>
      <c r="L891" s="288">
        <v>73.099999999999994</v>
      </c>
      <c r="M891" s="289">
        <v>3</v>
      </c>
      <c r="N891" s="290">
        <v>425</v>
      </c>
      <c r="O891" s="46"/>
      <c r="P891" s="46" t="s">
        <v>39</v>
      </c>
      <c r="Q891" s="12"/>
      <c r="R891" s="192" t="str">
        <f t="shared" si="28"/>
        <v>425grams</v>
      </c>
      <c r="S891" s="198">
        <f t="shared" si="29"/>
        <v>1275</v>
      </c>
      <c r="T891" s="199" t="str">
        <f t="shared" si="30"/>
        <v>1275grams</v>
      </c>
      <c r="U891" s="200">
        <f t="shared" si="31"/>
        <v>219.29999999999998</v>
      </c>
      <c r="V891" s="12"/>
      <c r="W891" s="12"/>
    </row>
    <row r="892" spans="1:23" x14ac:dyDescent="0.3">
      <c r="A892" s="193" t="e">
        <f ca="1"/>
        <v>#NAME?</v>
      </c>
      <c r="B892" s="46" t="s">
        <v>263</v>
      </c>
      <c r="C892" s="315"/>
      <c r="D892" s="316"/>
      <c r="E892" s="315"/>
      <c r="F892" s="315"/>
      <c r="G892" s="315"/>
      <c r="H892" s="153"/>
      <c r="I892" s="12"/>
      <c r="J892" s="46" t="s">
        <v>1412</v>
      </c>
      <c r="K892" s="12"/>
      <c r="L892" s="288">
        <v>4.91</v>
      </c>
      <c r="M892" s="289">
        <v>48</v>
      </c>
      <c r="N892" s="290">
        <v>8</v>
      </c>
      <c r="O892" s="46"/>
      <c r="P892" s="46" t="s">
        <v>39</v>
      </c>
      <c r="Q892" s="12"/>
      <c r="R892" s="192" t="str">
        <f t="shared" si="28"/>
        <v>8grams</v>
      </c>
      <c r="S892" s="198">
        <f t="shared" si="29"/>
        <v>384</v>
      </c>
      <c r="T892" s="199" t="str">
        <f t="shared" si="30"/>
        <v>384grams</v>
      </c>
      <c r="U892" s="200">
        <f t="shared" si="31"/>
        <v>235.68</v>
      </c>
      <c r="V892" s="12"/>
      <c r="W892" s="12"/>
    </row>
    <row r="893" spans="1:23" x14ac:dyDescent="0.3">
      <c r="A893" s="193" t="e">
        <f ca="1"/>
        <v>#NAME?</v>
      </c>
      <c r="B893" s="219" t="s">
        <v>263</v>
      </c>
      <c r="C893" s="315"/>
      <c r="D893" s="316"/>
      <c r="E893" s="315"/>
      <c r="F893" s="315"/>
      <c r="G893" s="315"/>
      <c r="H893" s="153"/>
      <c r="I893" s="12"/>
      <c r="J893" s="46" t="s">
        <v>1412</v>
      </c>
      <c r="K893" s="12"/>
      <c r="L893" s="288">
        <v>63</v>
      </c>
      <c r="M893" s="289">
        <v>1</v>
      </c>
      <c r="N893" s="290">
        <v>150</v>
      </c>
      <c r="O893" s="46"/>
      <c r="P893" s="46" t="s">
        <v>39</v>
      </c>
      <c r="Q893" s="12"/>
      <c r="R893" s="192" t="str">
        <f t="shared" si="28"/>
        <v>150grams</v>
      </c>
      <c r="S893" s="198">
        <f t="shared" si="29"/>
        <v>150</v>
      </c>
      <c r="T893" s="199" t="str">
        <f t="shared" si="30"/>
        <v>150grams</v>
      </c>
      <c r="U893" s="200">
        <f t="shared" si="31"/>
        <v>63</v>
      </c>
      <c r="V893" s="12"/>
      <c r="W893" s="12"/>
    </row>
    <row r="894" spans="1:23" x14ac:dyDescent="0.3">
      <c r="A894" s="193" t="e">
        <f ca="1"/>
        <v>#NAME?</v>
      </c>
      <c r="B894" s="46" t="s">
        <v>263</v>
      </c>
      <c r="C894" s="315"/>
      <c r="D894" s="316"/>
      <c r="E894" s="315"/>
      <c r="F894" s="315"/>
      <c r="G894" s="315"/>
      <c r="H894" s="153"/>
      <c r="I894" s="12"/>
      <c r="J894" s="46" t="s">
        <v>1412</v>
      </c>
      <c r="K894" s="12"/>
      <c r="L894" s="288">
        <v>71.7</v>
      </c>
      <c r="M894" s="289">
        <v>7</v>
      </c>
      <c r="N894" s="290">
        <v>150</v>
      </c>
      <c r="O894" s="46"/>
      <c r="P894" s="46" t="s">
        <v>39</v>
      </c>
      <c r="Q894" s="12"/>
      <c r="R894" s="192" t="str">
        <f t="shared" si="28"/>
        <v>150grams</v>
      </c>
      <c r="S894" s="198">
        <f t="shared" si="29"/>
        <v>1050</v>
      </c>
      <c r="T894" s="199" t="str">
        <f t="shared" si="30"/>
        <v>1050grams</v>
      </c>
      <c r="U894" s="200">
        <f t="shared" si="31"/>
        <v>501.90000000000003</v>
      </c>
      <c r="V894" s="12"/>
      <c r="W894" s="12"/>
    </row>
    <row r="895" spans="1:23" x14ac:dyDescent="0.3">
      <c r="A895" s="193" t="e">
        <f ca="1"/>
        <v>#NAME?</v>
      </c>
      <c r="B895" s="46" t="s">
        <v>263</v>
      </c>
      <c r="C895" s="315"/>
      <c r="D895" s="316"/>
      <c r="E895" s="315"/>
      <c r="F895" s="315"/>
      <c r="G895" s="315"/>
      <c r="H895" s="153"/>
      <c r="I895" s="12"/>
      <c r="J895" s="46" t="s">
        <v>1412</v>
      </c>
      <c r="K895" s="12"/>
      <c r="L895" s="288">
        <v>4.92</v>
      </c>
      <c r="M895" s="289">
        <v>700</v>
      </c>
      <c r="N895" s="290">
        <v>8</v>
      </c>
      <c r="O895" s="46"/>
      <c r="P895" s="46" t="s">
        <v>39</v>
      </c>
      <c r="Q895" s="12"/>
      <c r="R895" s="192" t="str">
        <f t="shared" si="28"/>
        <v>8grams</v>
      </c>
      <c r="S895" s="198">
        <f t="shared" si="29"/>
        <v>5600</v>
      </c>
      <c r="T895" s="199" t="str">
        <f t="shared" si="30"/>
        <v>5600grams</v>
      </c>
      <c r="U895" s="200">
        <f t="shared" si="31"/>
        <v>3444</v>
      </c>
      <c r="V895" s="12"/>
      <c r="W895" s="12"/>
    </row>
    <row r="896" spans="1:23" x14ac:dyDescent="0.3">
      <c r="A896" s="193" t="e">
        <f ca="1"/>
        <v>#NAME?</v>
      </c>
      <c r="B896" s="46" t="s">
        <v>263</v>
      </c>
      <c r="C896" s="315"/>
      <c r="D896" s="316"/>
      <c r="E896" s="315"/>
      <c r="F896" s="315"/>
      <c r="G896" s="315"/>
      <c r="H896" s="153"/>
      <c r="I896" s="12"/>
      <c r="J896" s="46" t="s">
        <v>1412</v>
      </c>
      <c r="K896" s="12"/>
      <c r="L896" s="288">
        <v>71.709999999999994</v>
      </c>
      <c r="M896" s="289">
        <v>4</v>
      </c>
      <c r="N896" s="290">
        <v>150</v>
      </c>
      <c r="O896" s="46"/>
      <c r="P896" s="46" t="s">
        <v>39</v>
      </c>
      <c r="Q896" s="12"/>
      <c r="R896" s="192" t="str">
        <f t="shared" si="28"/>
        <v>150grams</v>
      </c>
      <c r="S896" s="198">
        <f t="shared" si="29"/>
        <v>600</v>
      </c>
      <c r="T896" s="199" t="str">
        <f t="shared" si="30"/>
        <v>600grams</v>
      </c>
      <c r="U896" s="200">
        <f t="shared" si="31"/>
        <v>286.83999999999997</v>
      </c>
      <c r="V896" s="12"/>
      <c r="W896" s="12"/>
    </row>
    <row r="897" spans="1:23" x14ac:dyDescent="0.3">
      <c r="A897" s="193" t="e">
        <f ca="1"/>
        <v>#NAME?</v>
      </c>
      <c r="B897" s="219" t="s">
        <v>263</v>
      </c>
      <c r="C897" s="315"/>
      <c r="D897" s="316"/>
      <c r="E897" s="315"/>
      <c r="F897" s="315"/>
      <c r="G897" s="315"/>
      <c r="H897" s="153"/>
      <c r="I897" s="12"/>
      <c r="J897" s="46" t="s">
        <v>1412</v>
      </c>
      <c r="K897" s="12"/>
      <c r="L897" s="291">
        <v>74.5</v>
      </c>
      <c r="M897" s="292">
        <v>1</v>
      </c>
      <c r="N897" s="293">
        <v>150</v>
      </c>
      <c r="O897" s="219"/>
      <c r="P897" s="219" t="s">
        <v>39</v>
      </c>
      <c r="Q897" s="12"/>
      <c r="R897" s="192" t="str">
        <f t="shared" si="28"/>
        <v>150grams</v>
      </c>
      <c r="S897" s="198">
        <f t="shared" si="29"/>
        <v>150</v>
      </c>
      <c r="T897" s="199" t="str">
        <f t="shared" si="30"/>
        <v>150grams</v>
      </c>
      <c r="U897" s="200">
        <f t="shared" si="31"/>
        <v>74.5</v>
      </c>
      <c r="V897" s="12"/>
      <c r="W897" s="12"/>
    </row>
    <row r="898" spans="1:23" x14ac:dyDescent="0.3">
      <c r="A898" s="193" t="e">
        <f ca="1"/>
        <v>#NAME?</v>
      </c>
      <c r="B898" s="46" t="s">
        <v>263</v>
      </c>
      <c r="C898" s="315"/>
      <c r="D898" s="316"/>
      <c r="E898" s="315"/>
      <c r="F898" s="315"/>
      <c r="G898" s="315"/>
      <c r="H898" s="153"/>
      <c r="I898" s="12"/>
      <c r="J898" s="46" t="s">
        <v>1412</v>
      </c>
      <c r="K898" s="12"/>
      <c r="L898" s="288">
        <v>71.7</v>
      </c>
      <c r="M898" s="289">
        <v>2</v>
      </c>
      <c r="N898" s="290">
        <v>150</v>
      </c>
      <c r="O898" s="46"/>
      <c r="P898" s="46" t="s">
        <v>39</v>
      </c>
      <c r="Q898" s="12"/>
      <c r="R898" s="192" t="str">
        <f t="shared" si="28"/>
        <v>150grams</v>
      </c>
      <c r="S898" s="198">
        <f t="shared" si="29"/>
        <v>300</v>
      </c>
      <c r="T898" s="199" t="str">
        <f t="shared" si="30"/>
        <v>300grams</v>
      </c>
      <c r="U898" s="200">
        <f t="shared" si="31"/>
        <v>143.4</v>
      </c>
      <c r="V898" s="12"/>
      <c r="W898" s="12"/>
    </row>
    <row r="899" spans="1:23" x14ac:dyDescent="0.3">
      <c r="A899" s="193" t="e">
        <f ca="1"/>
        <v>#NAME?</v>
      </c>
      <c r="B899" s="46" t="s">
        <v>1413</v>
      </c>
      <c r="C899" s="315"/>
      <c r="D899" s="316"/>
      <c r="E899" s="315"/>
      <c r="F899" s="315"/>
      <c r="G899" s="315"/>
      <c r="H899" s="153"/>
      <c r="I899" s="12"/>
      <c r="J899" s="46" t="s">
        <v>1372</v>
      </c>
      <c r="K899" s="12"/>
      <c r="L899" s="288">
        <v>90</v>
      </c>
      <c r="M899" s="289">
        <v>3</v>
      </c>
      <c r="N899" s="290">
        <v>1</v>
      </c>
      <c r="O899" s="46"/>
      <c r="P899" s="46" t="s">
        <v>213</v>
      </c>
      <c r="Q899" s="12"/>
      <c r="R899" s="192" t="str">
        <f t="shared" si="28"/>
        <v>1kilos</v>
      </c>
      <c r="S899" s="198">
        <f t="shared" si="29"/>
        <v>3</v>
      </c>
      <c r="T899" s="199" t="str">
        <f t="shared" si="30"/>
        <v>3kilos</v>
      </c>
      <c r="U899" s="200">
        <f t="shared" si="31"/>
        <v>270</v>
      </c>
      <c r="V899" s="12"/>
      <c r="W899" s="12"/>
    </row>
    <row r="900" spans="1:23" x14ac:dyDescent="0.3">
      <c r="A900" s="193" t="e">
        <f ca="1"/>
        <v>#NAME?</v>
      </c>
      <c r="B900" s="46" t="s">
        <v>366</v>
      </c>
      <c r="C900" s="315"/>
      <c r="D900" s="316"/>
      <c r="E900" s="315"/>
      <c r="F900" s="315"/>
      <c r="G900" s="315"/>
      <c r="H900" s="153"/>
      <c r="I900" s="12"/>
      <c r="J900" s="170"/>
      <c r="K900" s="12"/>
      <c r="L900" s="288">
        <v>85</v>
      </c>
      <c r="M900" s="289">
        <v>4</v>
      </c>
      <c r="N900" s="290">
        <v>1</v>
      </c>
      <c r="O900" s="46"/>
      <c r="P900" s="46" t="s">
        <v>213</v>
      </c>
      <c r="Q900" s="12"/>
      <c r="R900" s="192" t="str">
        <f t="shared" si="28"/>
        <v>1kilos</v>
      </c>
      <c r="S900" s="198">
        <f t="shared" si="29"/>
        <v>4</v>
      </c>
      <c r="T900" s="199" t="str">
        <f t="shared" si="30"/>
        <v>4kilos</v>
      </c>
      <c r="U900" s="200">
        <f t="shared" si="31"/>
        <v>340</v>
      </c>
      <c r="V900" s="12"/>
      <c r="W900" s="12"/>
    </row>
    <row r="901" spans="1:23" x14ac:dyDescent="0.3">
      <c r="A901" s="193" t="e">
        <f ca="1"/>
        <v>#NAME?</v>
      </c>
      <c r="B901" s="46" t="s">
        <v>366</v>
      </c>
      <c r="C901" s="315"/>
      <c r="D901" s="316"/>
      <c r="E901" s="315"/>
      <c r="F901" s="315"/>
      <c r="G901" s="315"/>
      <c r="H901" s="153"/>
      <c r="I901" s="12"/>
      <c r="J901" s="46" t="s">
        <v>1335</v>
      </c>
      <c r="K901" s="12"/>
      <c r="L901" s="288">
        <v>100</v>
      </c>
      <c r="M901" s="289">
        <v>1</v>
      </c>
      <c r="N901" s="290">
        <v>1</v>
      </c>
      <c r="O901" s="297"/>
      <c r="P901" s="297" t="s">
        <v>213</v>
      </c>
      <c r="Q901" s="12"/>
      <c r="R901" s="192" t="str">
        <f t="shared" si="28"/>
        <v>1kilos</v>
      </c>
      <c r="S901" s="198">
        <f t="shared" si="29"/>
        <v>1</v>
      </c>
      <c r="T901" s="199" t="str">
        <f t="shared" si="30"/>
        <v>1kilos</v>
      </c>
      <c r="U901" s="200">
        <f t="shared" si="31"/>
        <v>100</v>
      </c>
      <c r="V901" s="12"/>
      <c r="W901" s="12"/>
    </row>
    <row r="902" spans="1:23" x14ac:dyDescent="0.3">
      <c r="A902" s="193" t="e">
        <f ca="1"/>
        <v>#NAME?</v>
      </c>
      <c r="B902" s="46" t="s">
        <v>366</v>
      </c>
      <c r="C902" s="315"/>
      <c r="D902" s="316"/>
      <c r="E902" s="315"/>
      <c r="F902" s="315"/>
      <c r="G902" s="315"/>
      <c r="H902" s="153"/>
      <c r="I902" s="12"/>
      <c r="J902" s="46" t="s">
        <v>1335</v>
      </c>
      <c r="K902" s="12"/>
      <c r="L902" s="288">
        <v>85</v>
      </c>
      <c r="M902" s="289">
        <v>4</v>
      </c>
      <c r="N902" s="290">
        <v>1</v>
      </c>
      <c r="O902" s="297"/>
      <c r="P902" s="297" t="s">
        <v>213</v>
      </c>
      <c r="Q902" s="12"/>
      <c r="R902" s="192" t="str">
        <f t="shared" si="28"/>
        <v>1kilos</v>
      </c>
      <c r="S902" s="198">
        <f t="shared" si="29"/>
        <v>4</v>
      </c>
      <c r="T902" s="199" t="str">
        <f t="shared" si="30"/>
        <v>4kilos</v>
      </c>
      <c r="U902" s="200">
        <f t="shared" si="31"/>
        <v>340</v>
      </c>
      <c r="V902" s="12"/>
      <c r="W902" s="12"/>
    </row>
    <row r="903" spans="1:23" x14ac:dyDescent="0.3">
      <c r="A903" s="193" t="e">
        <f ca="1"/>
        <v>#NAME?</v>
      </c>
      <c r="B903" s="46" t="s">
        <v>366</v>
      </c>
      <c r="C903" s="315"/>
      <c r="D903" s="316"/>
      <c r="E903" s="315"/>
      <c r="F903" s="315"/>
      <c r="G903" s="315"/>
      <c r="H903" s="153"/>
      <c r="I903" s="12"/>
      <c r="J903" s="46" t="s">
        <v>867</v>
      </c>
      <c r="K903" s="12"/>
      <c r="L903" s="288">
        <v>120</v>
      </c>
      <c r="M903" s="289">
        <v>3</v>
      </c>
      <c r="N903" s="290">
        <v>1000</v>
      </c>
      <c r="O903" s="46"/>
      <c r="P903" s="46" t="s">
        <v>39</v>
      </c>
      <c r="Q903" s="12"/>
      <c r="R903" s="192" t="str">
        <f t="shared" si="28"/>
        <v>1000grams</v>
      </c>
      <c r="S903" s="198">
        <f t="shared" si="29"/>
        <v>3000</v>
      </c>
      <c r="T903" s="199" t="str">
        <f t="shared" si="30"/>
        <v>3000grams</v>
      </c>
      <c r="U903" s="200">
        <f t="shared" si="31"/>
        <v>360</v>
      </c>
      <c r="V903" s="12"/>
      <c r="W903" s="12"/>
    </row>
    <row r="904" spans="1:23" x14ac:dyDescent="0.3">
      <c r="A904" s="193" t="e">
        <f ca="1"/>
        <v>#NAME?</v>
      </c>
      <c r="B904" s="219" t="s">
        <v>366</v>
      </c>
      <c r="C904" s="315"/>
      <c r="D904" s="316"/>
      <c r="E904" s="315"/>
      <c r="F904" s="315"/>
      <c r="G904" s="315"/>
      <c r="H904" s="153"/>
      <c r="I904" s="12"/>
      <c r="J904" s="219" t="s">
        <v>1414</v>
      </c>
      <c r="K904" s="12"/>
      <c r="L904" s="291">
        <v>85</v>
      </c>
      <c r="M904" s="292">
        <v>2</v>
      </c>
      <c r="N904" s="293">
        <v>1</v>
      </c>
      <c r="O904" s="219"/>
      <c r="P904" s="219" t="s">
        <v>213</v>
      </c>
      <c r="Q904" s="12"/>
      <c r="R904" s="192" t="str">
        <f t="shared" si="28"/>
        <v>1kilos</v>
      </c>
      <c r="S904" s="198">
        <f t="shared" si="29"/>
        <v>2</v>
      </c>
      <c r="T904" s="199" t="str">
        <f t="shared" si="30"/>
        <v>2kilos</v>
      </c>
      <c r="U904" s="200">
        <f t="shared" si="31"/>
        <v>170</v>
      </c>
      <c r="V904" s="12"/>
      <c r="W904" s="12"/>
    </row>
    <row r="905" spans="1:23" x14ac:dyDescent="0.3">
      <c r="A905" s="193" t="e">
        <f ca="1"/>
        <v>#NAME?</v>
      </c>
      <c r="B905" s="46" t="s">
        <v>1415</v>
      </c>
      <c r="C905" s="315"/>
      <c r="D905" s="316"/>
      <c r="E905" s="315"/>
      <c r="F905" s="315"/>
      <c r="G905" s="315"/>
      <c r="H905" s="153"/>
      <c r="I905" s="12"/>
      <c r="J905" s="170"/>
      <c r="K905" s="12"/>
      <c r="L905" s="288">
        <v>35</v>
      </c>
      <c r="M905" s="289">
        <v>1</v>
      </c>
      <c r="N905" s="290">
        <v>1000</v>
      </c>
      <c r="O905" s="46"/>
      <c r="P905" s="46" t="s">
        <v>39</v>
      </c>
      <c r="Q905" s="12"/>
      <c r="R905" s="192" t="str">
        <f t="shared" si="28"/>
        <v>1000grams</v>
      </c>
      <c r="S905" s="198">
        <f t="shared" si="29"/>
        <v>1000</v>
      </c>
      <c r="T905" s="199" t="str">
        <f t="shared" si="30"/>
        <v>1000grams</v>
      </c>
      <c r="U905" s="200">
        <f t="shared" si="31"/>
        <v>35</v>
      </c>
      <c r="V905" s="12"/>
      <c r="W905" s="12"/>
    </row>
    <row r="906" spans="1:23" x14ac:dyDescent="0.3">
      <c r="A906" s="193" t="e">
        <f ca="1"/>
        <v>#NAME?</v>
      </c>
      <c r="B906" s="46" t="s">
        <v>1416</v>
      </c>
      <c r="C906" s="315"/>
      <c r="D906" s="316"/>
      <c r="E906" s="315"/>
      <c r="F906" s="315"/>
      <c r="G906" s="315"/>
      <c r="H906" s="153"/>
      <c r="I906" s="12"/>
      <c r="J906" s="46" t="s">
        <v>1417</v>
      </c>
      <c r="K906" s="12"/>
      <c r="L906" s="311">
        <v>47</v>
      </c>
      <c r="M906" s="289">
        <v>1</v>
      </c>
      <c r="N906" s="290">
        <v>1000</v>
      </c>
      <c r="O906" s="46"/>
      <c r="P906" s="46" t="s">
        <v>39</v>
      </c>
      <c r="Q906" s="12"/>
      <c r="R906" s="192" t="str">
        <f t="shared" si="28"/>
        <v>1000grams</v>
      </c>
      <c r="S906" s="198">
        <f t="shared" si="29"/>
        <v>1000</v>
      </c>
      <c r="T906" s="199" t="str">
        <f t="shared" si="30"/>
        <v>1000grams</v>
      </c>
      <c r="U906" s="200">
        <f t="shared" si="31"/>
        <v>47</v>
      </c>
      <c r="V906" s="12"/>
      <c r="W906" s="12"/>
    </row>
    <row r="907" spans="1:23" x14ac:dyDescent="0.3">
      <c r="A907" s="193" t="e">
        <f ca="1"/>
        <v>#NAME?</v>
      </c>
      <c r="B907" s="46" t="s">
        <v>1418</v>
      </c>
      <c r="C907" s="315"/>
      <c r="D907" s="316"/>
      <c r="E907" s="315"/>
      <c r="F907" s="315"/>
      <c r="G907" s="315"/>
      <c r="H907" s="153"/>
      <c r="I907" s="12"/>
      <c r="J907" s="170"/>
      <c r="K907" s="12"/>
      <c r="L907" s="288">
        <v>100</v>
      </c>
      <c r="M907" s="289">
        <v>1</v>
      </c>
      <c r="N907" s="290">
        <v>1000</v>
      </c>
      <c r="O907" s="46"/>
      <c r="P907" s="46" t="s">
        <v>39</v>
      </c>
      <c r="Q907" s="12"/>
      <c r="R907" s="192" t="str">
        <f t="shared" si="28"/>
        <v>1000grams</v>
      </c>
      <c r="S907" s="198">
        <f t="shared" si="29"/>
        <v>1000</v>
      </c>
      <c r="T907" s="199" t="str">
        <f t="shared" si="30"/>
        <v>1000grams</v>
      </c>
      <c r="U907" s="200">
        <f t="shared" si="31"/>
        <v>100</v>
      </c>
      <c r="V907" s="12"/>
      <c r="W907" s="12"/>
    </row>
    <row r="908" spans="1:23" x14ac:dyDescent="0.3">
      <c r="A908" s="193" t="e">
        <f ca="1"/>
        <v>#NAME?</v>
      </c>
      <c r="B908" s="46" t="s">
        <v>79</v>
      </c>
      <c r="C908" s="315"/>
      <c r="D908" s="316"/>
      <c r="E908" s="315"/>
      <c r="F908" s="315"/>
      <c r="G908" s="315"/>
      <c r="H908" s="153"/>
      <c r="I908" s="12"/>
      <c r="J908" s="46" t="s">
        <v>1157</v>
      </c>
      <c r="K908" s="12"/>
      <c r="L908" s="288">
        <v>317.8</v>
      </c>
      <c r="M908" s="289">
        <v>1</v>
      </c>
      <c r="N908" s="290">
        <v>1000</v>
      </c>
      <c r="O908" s="46"/>
      <c r="P908" s="46" t="s">
        <v>39</v>
      </c>
      <c r="Q908" s="12"/>
      <c r="R908" s="192" t="str">
        <f t="shared" si="28"/>
        <v>1000grams</v>
      </c>
      <c r="S908" s="198">
        <f t="shared" si="29"/>
        <v>1000</v>
      </c>
      <c r="T908" s="199" t="str">
        <f t="shared" si="30"/>
        <v>1000grams</v>
      </c>
      <c r="U908" s="200">
        <f t="shared" si="31"/>
        <v>317.8</v>
      </c>
      <c r="V908" s="12"/>
      <c r="W908" s="12"/>
    </row>
    <row r="909" spans="1:23" x14ac:dyDescent="0.3">
      <c r="A909" s="193" t="e">
        <f ca="1"/>
        <v>#NAME?</v>
      </c>
      <c r="B909" s="46" t="s">
        <v>79</v>
      </c>
      <c r="C909" s="315"/>
      <c r="D909" s="316"/>
      <c r="E909" s="315"/>
      <c r="F909" s="315"/>
      <c r="G909" s="315"/>
      <c r="H909" s="153"/>
      <c r="I909" s="12"/>
      <c r="J909" s="46" t="s">
        <v>1157</v>
      </c>
      <c r="K909" s="12"/>
      <c r="L909" s="288">
        <v>517.45000000000005</v>
      </c>
      <c r="M909" s="289">
        <v>1</v>
      </c>
      <c r="N909" s="290">
        <v>2</v>
      </c>
      <c r="O909" s="46"/>
      <c r="P909" s="46" t="s">
        <v>213</v>
      </c>
      <c r="Q909" s="12"/>
      <c r="R909" s="192" t="str">
        <f t="shared" si="28"/>
        <v>2kilos</v>
      </c>
      <c r="S909" s="198">
        <f t="shared" si="29"/>
        <v>2</v>
      </c>
      <c r="T909" s="199" t="str">
        <f t="shared" si="30"/>
        <v>2kilos</v>
      </c>
      <c r="U909" s="200">
        <f t="shared" si="31"/>
        <v>517.45000000000005</v>
      </c>
      <c r="V909" s="12"/>
      <c r="W909" s="12"/>
    </row>
    <row r="910" spans="1:23" x14ac:dyDescent="0.3">
      <c r="A910" s="193" t="e">
        <f ca="1"/>
        <v>#NAME?</v>
      </c>
      <c r="B910" s="46" t="s">
        <v>79</v>
      </c>
      <c r="C910" s="315"/>
      <c r="D910" s="316"/>
      <c r="E910" s="315"/>
      <c r="F910" s="315"/>
      <c r="G910" s="315"/>
      <c r="H910" s="153"/>
      <c r="I910" s="12"/>
      <c r="J910" s="46" t="s">
        <v>538</v>
      </c>
      <c r="K910" s="12"/>
      <c r="L910" s="288">
        <v>317.8</v>
      </c>
      <c r="M910" s="289">
        <v>1</v>
      </c>
      <c r="N910" s="290">
        <v>1000</v>
      </c>
      <c r="O910" s="46"/>
      <c r="P910" s="46" t="s">
        <v>39</v>
      </c>
      <c r="Q910" s="12"/>
      <c r="R910" s="192" t="str">
        <f t="shared" si="28"/>
        <v>1000grams</v>
      </c>
      <c r="S910" s="198">
        <f t="shared" si="29"/>
        <v>1000</v>
      </c>
      <c r="T910" s="199" t="str">
        <f t="shared" si="30"/>
        <v>1000grams</v>
      </c>
      <c r="U910" s="200">
        <f t="shared" si="31"/>
        <v>317.8</v>
      </c>
      <c r="V910" s="12"/>
      <c r="W910" s="12"/>
    </row>
    <row r="911" spans="1:23" x14ac:dyDescent="0.3">
      <c r="A911" s="193" t="e">
        <f ca="1"/>
        <v>#NAME?</v>
      </c>
      <c r="B911" s="46" t="s">
        <v>79</v>
      </c>
      <c r="C911" s="315"/>
      <c r="D911" s="316"/>
      <c r="E911" s="315"/>
      <c r="F911" s="315"/>
      <c r="G911" s="315"/>
      <c r="H911" s="153"/>
      <c r="I911" s="12"/>
      <c r="J911" s="46" t="s">
        <v>1419</v>
      </c>
      <c r="K911" s="12"/>
      <c r="L911" s="288">
        <v>65</v>
      </c>
      <c r="M911" s="289">
        <v>2</v>
      </c>
      <c r="N911" s="290">
        <v>200</v>
      </c>
      <c r="O911" s="46"/>
      <c r="P911" s="46" t="s">
        <v>39</v>
      </c>
      <c r="Q911" s="12"/>
      <c r="R911" s="192" t="str">
        <f t="shared" si="28"/>
        <v>200grams</v>
      </c>
      <c r="S911" s="198">
        <f t="shared" si="29"/>
        <v>400</v>
      </c>
      <c r="T911" s="199" t="str">
        <f t="shared" si="30"/>
        <v>400grams</v>
      </c>
      <c r="U911" s="200">
        <f t="shared" si="31"/>
        <v>130</v>
      </c>
      <c r="V911" s="12"/>
      <c r="W911" s="12"/>
    </row>
    <row r="912" spans="1:23" x14ac:dyDescent="0.3">
      <c r="A912" s="193" t="e">
        <f ca="1"/>
        <v>#NAME?</v>
      </c>
      <c r="B912" s="46" t="s">
        <v>79</v>
      </c>
      <c r="C912" s="315"/>
      <c r="D912" s="316"/>
      <c r="E912" s="315"/>
      <c r="F912" s="315"/>
      <c r="G912" s="315"/>
      <c r="H912" s="153"/>
      <c r="I912" s="12"/>
      <c r="J912" s="46" t="s">
        <v>792</v>
      </c>
      <c r="K912" s="12"/>
      <c r="L912" s="288">
        <v>90</v>
      </c>
      <c r="M912" s="289">
        <v>0</v>
      </c>
      <c r="N912" s="290">
        <v>1</v>
      </c>
      <c r="O912" s="46"/>
      <c r="P912" s="46" t="s">
        <v>213</v>
      </c>
      <c r="Q912" s="12"/>
      <c r="R912" s="192" t="str">
        <f t="shared" si="28"/>
        <v>1kilos</v>
      </c>
      <c r="S912" s="198">
        <f t="shared" si="29"/>
        <v>0</v>
      </c>
      <c r="T912" s="199" t="str">
        <f t="shared" si="30"/>
        <v>0kilos</v>
      </c>
      <c r="U912" s="200">
        <f t="shared" si="31"/>
        <v>0</v>
      </c>
      <c r="V912" s="12"/>
      <c r="W912" s="12"/>
    </row>
    <row r="913" spans="1:23" x14ac:dyDescent="0.3">
      <c r="A913" s="193" t="e">
        <f ca="1"/>
        <v>#NAME?</v>
      </c>
      <c r="B913" s="46" t="s">
        <v>79</v>
      </c>
      <c r="C913" s="315"/>
      <c r="D913" s="316"/>
      <c r="E913" s="315"/>
      <c r="F913" s="315"/>
      <c r="G913" s="315"/>
      <c r="H913" s="153"/>
      <c r="I913" s="12"/>
      <c r="J913" s="46" t="s">
        <v>1420</v>
      </c>
      <c r="K913" s="12"/>
      <c r="L913" s="288">
        <v>47</v>
      </c>
      <c r="M913" s="289">
        <v>1</v>
      </c>
      <c r="N913" s="290">
        <v>200</v>
      </c>
      <c r="O913" s="46"/>
      <c r="P913" s="46" t="s">
        <v>39</v>
      </c>
      <c r="Q913" s="12"/>
      <c r="R913" s="192" t="str">
        <f t="shared" si="28"/>
        <v>200grams</v>
      </c>
      <c r="S913" s="198">
        <f t="shared" si="29"/>
        <v>200</v>
      </c>
      <c r="T913" s="199" t="str">
        <f t="shared" si="30"/>
        <v>200grams</v>
      </c>
      <c r="U913" s="200">
        <f t="shared" si="31"/>
        <v>47</v>
      </c>
      <c r="V913" s="12"/>
      <c r="W913" s="12"/>
    </row>
    <row r="914" spans="1:23" x14ac:dyDescent="0.3">
      <c r="A914" s="193" t="e">
        <f ca="1"/>
        <v>#NAME?</v>
      </c>
      <c r="B914" s="46" t="s">
        <v>79</v>
      </c>
      <c r="C914" s="315"/>
      <c r="D914" s="316"/>
      <c r="E914" s="315"/>
      <c r="F914" s="315"/>
      <c r="G914" s="315"/>
      <c r="H914" s="153"/>
      <c r="I914" s="12"/>
      <c r="J914" s="46" t="s">
        <v>1157</v>
      </c>
      <c r="K914" s="12"/>
      <c r="L914" s="288">
        <v>299.2</v>
      </c>
      <c r="M914" s="289">
        <v>2</v>
      </c>
      <c r="N914" s="290">
        <v>1</v>
      </c>
      <c r="O914" s="46"/>
      <c r="P914" s="46" t="s">
        <v>213</v>
      </c>
      <c r="Q914" s="12"/>
      <c r="R914" s="192" t="str">
        <f t="shared" si="28"/>
        <v>1kilos</v>
      </c>
      <c r="S914" s="198">
        <f t="shared" si="29"/>
        <v>2</v>
      </c>
      <c r="T914" s="199" t="str">
        <f t="shared" si="30"/>
        <v>2kilos</v>
      </c>
      <c r="U914" s="200">
        <f t="shared" si="31"/>
        <v>598.4</v>
      </c>
      <c r="V914" s="12"/>
      <c r="W914" s="12"/>
    </row>
    <row r="915" spans="1:23" x14ac:dyDescent="0.3">
      <c r="A915" s="193" t="e">
        <f ca="1"/>
        <v>#NAME?</v>
      </c>
      <c r="B915" s="219" t="s">
        <v>79</v>
      </c>
      <c r="C915" s="315"/>
      <c r="D915" s="316"/>
      <c r="E915" s="315"/>
      <c r="F915" s="315"/>
      <c r="G915" s="315"/>
      <c r="H915" s="153"/>
      <c r="I915" s="12"/>
      <c r="J915" s="219" t="s">
        <v>1421</v>
      </c>
      <c r="K915" s="12"/>
      <c r="L915" s="291">
        <v>49.09</v>
      </c>
      <c r="M915" s="292">
        <v>9</v>
      </c>
      <c r="N915" s="293">
        <v>500</v>
      </c>
      <c r="O915" s="219"/>
      <c r="P915" s="219" t="s">
        <v>39</v>
      </c>
      <c r="Q915" s="12"/>
      <c r="R915" s="192" t="str">
        <f t="shared" si="28"/>
        <v>500grams</v>
      </c>
      <c r="S915" s="198">
        <f t="shared" si="29"/>
        <v>4500</v>
      </c>
      <c r="T915" s="199" t="str">
        <f t="shared" si="30"/>
        <v>4500grams</v>
      </c>
      <c r="U915" s="200">
        <f t="shared" si="31"/>
        <v>441.81000000000006</v>
      </c>
      <c r="V915" s="12"/>
      <c r="W915" s="12"/>
    </row>
    <row r="916" spans="1:23" x14ac:dyDescent="0.3">
      <c r="A916" s="193" t="e">
        <f ca="1"/>
        <v>#NAME?</v>
      </c>
      <c r="B916" s="219" t="s">
        <v>1422</v>
      </c>
      <c r="C916" s="315"/>
      <c r="D916" s="316"/>
      <c r="E916" s="315"/>
      <c r="F916" s="315"/>
      <c r="G916" s="315"/>
      <c r="H916" s="153"/>
      <c r="I916" s="12"/>
      <c r="J916" s="219" t="s">
        <v>854</v>
      </c>
      <c r="K916" s="12"/>
      <c r="L916" s="291">
        <v>57.1</v>
      </c>
      <c r="M916" s="292">
        <v>2</v>
      </c>
      <c r="N916" s="293">
        <v>7</v>
      </c>
      <c r="O916" s="219"/>
      <c r="P916" s="219" t="s">
        <v>39</v>
      </c>
      <c r="Q916" s="12"/>
      <c r="R916" s="192" t="str">
        <f t="shared" si="28"/>
        <v>7grams</v>
      </c>
      <c r="S916" s="198">
        <f t="shared" si="29"/>
        <v>14</v>
      </c>
      <c r="T916" s="199" t="str">
        <f t="shared" si="30"/>
        <v>14grams</v>
      </c>
      <c r="U916" s="200">
        <f t="shared" si="31"/>
        <v>114.2</v>
      </c>
      <c r="V916" s="12"/>
      <c r="W916" s="12"/>
    </row>
    <row r="917" spans="1:23" x14ac:dyDescent="0.3">
      <c r="A917" s="193" t="e">
        <f ca="1"/>
        <v>#NAME?</v>
      </c>
      <c r="B917" s="219" t="s">
        <v>1423</v>
      </c>
      <c r="C917" s="315"/>
      <c r="D917" s="316"/>
      <c r="E917" s="315"/>
      <c r="F917" s="315"/>
      <c r="G917" s="315"/>
      <c r="H917" s="153"/>
      <c r="I917" s="12"/>
      <c r="J917" s="219" t="s">
        <v>1424</v>
      </c>
      <c r="K917" s="12"/>
      <c r="L917" s="291">
        <v>24.6</v>
      </c>
      <c r="M917" s="292">
        <v>8</v>
      </c>
      <c r="N917" s="293">
        <v>84</v>
      </c>
      <c r="O917" s="219"/>
      <c r="P917" s="219" t="s">
        <v>39</v>
      </c>
      <c r="Q917" s="12"/>
      <c r="R917" s="192" t="str">
        <f t="shared" si="28"/>
        <v>84grams</v>
      </c>
      <c r="S917" s="198">
        <f t="shared" si="29"/>
        <v>672</v>
      </c>
      <c r="T917" s="199" t="str">
        <f t="shared" si="30"/>
        <v>672grams</v>
      </c>
      <c r="U917" s="200">
        <f t="shared" si="31"/>
        <v>196.8</v>
      </c>
      <c r="V917" s="12"/>
      <c r="W917" s="12"/>
    </row>
    <row r="918" spans="1:23" x14ac:dyDescent="0.3">
      <c r="A918" s="193" t="e">
        <f ca="1"/>
        <v>#NAME?</v>
      </c>
      <c r="B918" s="46" t="s">
        <v>673</v>
      </c>
      <c r="C918" s="315"/>
      <c r="D918" s="316"/>
      <c r="E918" s="315"/>
      <c r="F918" s="315"/>
      <c r="G918" s="315"/>
      <c r="H918" s="153"/>
      <c r="I918" s="12"/>
      <c r="J918" s="46" t="s">
        <v>1425</v>
      </c>
      <c r="K918" s="12"/>
      <c r="L918" s="288">
        <v>11.9</v>
      </c>
      <c r="M918" s="289">
        <v>13</v>
      </c>
      <c r="N918" s="290">
        <v>24</v>
      </c>
      <c r="O918" s="46"/>
      <c r="P918" s="46" t="s">
        <v>39</v>
      </c>
      <c r="Q918" s="12"/>
      <c r="R918" s="192" t="str">
        <f t="shared" si="28"/>
        <v>24grams</v>
      </c>
      <c r="S918" s="198">
        <f t="shared" si="29"/>
        <v>312</v>
      </c>
      <c r="T918" s="199" t="str">
        <f t="shared" si="30"/>
        <v>312grams</v>
      </c>
      <c r="U918" s="200">
        <f t="shared" si="31"/>
        <v>154.70000000000002</v>
      </c>
      <c r="V918" s="12"/>
      <c r="W918" s="12"/>
    </row>
    <row r="919" spans="1:23" x14ac:dyDescent="0.3">
      <c r="A919" s="193" t="e">
        <f ca="1"/>
        <v>#NAME?</v>
      </c>
      <c r="B919" s="46" t="s">
        <v>1426</v>
      </c>
      <c r="C919" s="315"/>
      <c r="D919" s="316"/>
      <c r="E919" s="315"/>
      <c r="F919" s="315"/>
      <c r="G919" s="315"/>
      <c r="H919" s="153"/>
      <c r="I919" s="12"/>
      <c r="J919" s="46" t="s">
        <v>1427</v>
      </c>
      <c r="K919" s="12"/>
      <c r="L919" s="288">
        <v>11</v>
      </c>
      <c r="M919" s="289">
        <v>9</v>
      </c>
      <c r="N919" s="290">
        <v>27</v>
      </c>
      <c r="O919" s="297"/>
      <c r="P919" s="297" t="s">
        <v>32</v>
      </c>
      <c r="Q919" s="12"/>
      <c r="R919" s="192" t="str">
        <f t="shared" si="28"/>
        <v>27ml</v>
      </c>
      <c r="S919" s="198">
        <f t="shared" si="29"/>
        <v>243</v>
      </c>
      <c r="T919" s="199" t="str">
        <f t="shared" si="30"/>
        <v>243ml</v>
      </c>
      <c r="U919" s="200">
        <f t="shared" si="31"/>
        <v>99</v>
      </c>
      <c r="V919" s="12"/>
      <c r="W919" s="12"/>
    </row>
    <row r="920" spans="1:23" x14ac:dyDescent="0.3">
      <c r="A920" s="193" t="e">
        <f ca="1"/>
        <v>#NAME?</v>
      </c>
      <c r="B920" s="46" t="s">
        <v>1426</v>
      </c>
      <c r="C920" s="315"/>
      <c r="D920" s="316"/>
      <c r="E920" s="315"/>
      <c r="F920" s="315"/>
      <c r="G920" s="315"/>
      <c r="H920" s="153"/>
      <c r="I920" s="12"/>
      <c r="J920" s="46" t="s">
        <v>1428</v>
      </c>
      <c r="K920" s="12"/>
      <c r="L920" s="288">
        <v>428</v>
      </c>
      <c r="M920" s="289">
        <v>2</v>
      </c>
      <c r="N920" s="290">
        <v>3500</v>
      </c>
      <c r="O920" s="297"/>
      <c r="P920" s="297" t="s">
        <v>32</v>
      </c>
      <c r="Q920" s="12"/>
      <c r="R920" s="192" t="str">
        <f t="shared" si="28"/>
        <v>3500ml</v>
      </c>
      <c r="S920" s="198">
        <f t="shared" si="29"/>
        <v>7000</v>
      </c>
      <c r="T920" s="199" t="str">
        <f t="shared" si="30"/>
        <v>7000ml</v>
      </c>
      <c r="U920" s="200">
        <f t="shared" si="31"/>
        <v>856</v>
      </c>
      <c r="V920" s="12"/>
      <c r="W920" s="12"/>
    </row>
    <row r="921" spans="1:23" x14ac:dyDescent="0.3">
      <c r="A921" s="193" t="e">
        <f ca="1"/>
        <v>#NAME?</v>
      </c>
      <c r="B921" s="46" t="s">
        <v>1426</v>
      </c>
      <c r="C921" s="315"/>
      <c r="D921" s="316"/>
      <c r="E921" s="315"/>
      <c r="F921" s="315"/>
      <c r="G921" s="315"/>
      <c r="H921" s="153"/>
      <c r="I921" s="12"/>
      <c r="J921" s="46" t="s">
        <v>1428</v>
      </c>
      <c r="K921" s="12"/>
      <c r="L921" s="288">
        <v>435</v>
      </c>
      <c r="M921" s="289">
        <v>1</v>
      </c>
      <c r="N921" s="290">
        <v>3500</v>
      </c>
      <c r="O921" s="297"/>
      <c r="P921" s="297" t="s">
        <v>32</v>
      </c>
      <c r="Q921" s="12"/>
      <c r="R921" s="192" t="str">
        <f t="shared" si="28"/>
        <v>3500ml</v>
      </c>
      <c r="S921" s="198">
        <f t="shared" si="29"/>
        <v>3500</v>
      </c>
      <c r="T921" s="199" t="str">
        <f t="shared" si="30"/>
        <v>3500ml</v>
      </c>
      <c r="U921" s="200">
        <f t="shared" si="31"/>
        <v>435</v>
      </c>
      <c r="V921" s="12"/>
      <c r="W921" s="12"/>
    </row>
    <row r="922" spans="1:23" x14ac:dyDescent="0.3">
      <c r="A922" s="193" t="e">
        <f ca="1"/>
        <v>#NAME?</v>
      </c>
      <c r="B922" s="46" t="s">
        <v>1426</v>
      </c>
      <c r="C922" s="315"/>
      <c r="D922" s="316"/>
      <c r="E922" s="315"/>
      <c r="F922" s="315"/>
      <c r="G922" s="315"/>
      <c r="H922" s="153"/>
      <c r="I922" s="12"/>
      <c r="J922" s="46" t="s">
        <v>1428</v>
      </c>
      <c r="K922" s="12"/>
      <c r="L922" s="288">
        <v>490.7</v>
      </c>
      <c r="M922" s="289">
        <v>3</v>
      </c>
      <c r="N922" s="290">
        <v>3500</v>
      </c>
      <c r="O922" s="46"/>
      <c r="P922" s="46" t="s">
        <v>32</v>
      </c>
      <c r="Q922" s="12"/>
      <c r="R922" s="192" t="str">
        <f t="shared" si="28"/>
        <v>3500ml</v>
      </c>
      <c r="S922" s="198">
        <f t="shared" si="29"/>
        <v>10500</v>
      </c>
      <c r="T922" s="199" t="str">
        <f t="shared" si="30"/>
        <v>10500ml</v>
      </c>
      <c r="U922" s="200">
        <f t="shared" si="31"/>
        <v>1472.1</v>
      </c>
      <c r="V922" s="12"/>
      <c r="W922" s="12"/>
    </row>
    <row r="923" spans="1:23" x14ac:dyDescent="0.3">
      <c r="A923" s="193" t="e">
        <f ca="1"/>
        <v>#NAME?</v>
      </c>
      <c r="B923" s="46" t="s">
        <v>1426</v>
      </c>
      <c r="C923" s="315"/>
      <c r="D923" s="316"/>
      <c r="E923" s="315"/>
      <c r="F923" s="315"/>
      <c r="G923" s="315"/>
      <c r="H923" s="153"/>
      <c r="I923" s="12"/>
      <c r="J923" s="46" t="s">
        <v>1428</v>
      </c>
      <c r="K923" s="12"/>
      <c r="L923" s="288">
        <v>420</v>
      </c>
      <c r="M923" s="289">
        <v>4</v>
      </c>
      <c r="N923" s="290">
        <v>3500</v>
      </c>
      <c r="O923" s="46"/>
      <c r="P923" s="46" t="s">
        <v>32</v>
      </c>
      <c r="Q923" s="12"/>
      <c r="R923" s="192" t="str">
        <f t="shared" si="28"/>
        <v>3500ml</v>
      </c>
      <c r="S923" s="198">
        <f t="shared" si="29"/>
        <v>14000</v>
      </c>
      <c r="T923" s="199" t="str">
        <f t="shared" si="30"/>
        <v>14000ml</v>
      </c>
      <c r="U923" s="200">
        <f t="shared" si="31"/>
        <v>1680</v>
      </c>
      <c r="V923" s="12"/>
      <c r="W923" s="12"/>
    </row>
    <row r="924" spans="1:23" x14ac:dyDescent="0.3">
      <c r="A924" s="193" t="e">
        <f ca="1"/>
        <v>#NAME?</v>
      </c>
      <c r="B924" s="46" t="s">
        <v>1426</v>
      </c>
      <c r="C924" s="315"/>
      <c r="D924" s="316"/>
      <c r="E924" s="315"/>
      <c r="F924" s="315"/>
      <c r="G924" s="315"/>
      <c r="H924" s="153"/>
      <c r="I924" s="12"/>
      <c r="J924" s="46" t="s">
        <v>1427</v>
      </c>
      <c r="K924" s="12"/>
      <c r="L924" s="288">
        <v>1217</v>
      </c>
      <c r="M924" s="289">
        <v>2</v>
      </c>
      <c r="N924" s="290">
        <v>3500</v>
      </c>
      <c r="O924" s="297"/>
      <c r="P924" s="297" t="s">
        <v>32</v>
      </c>
      <c r="Q924" s="12"/>
      <c r="R924" s="192" t="str">
        <f t="shared" si="28"/>
        <v>3500ml</v>
      </c>
      <c r="S924" s="198">
        <f t="shared" si="29"/>
        <v>7000</v>
      </c>
      <c r="T924" s="199" t="str">
        <f t="shared" si="30"/>
        <v>7000ml</v>
      </c>
      <c r="U924" s="200">
        <f t="shared" si="31"/>
        <v>2434</v>
      </c>
      <c r="V924" s="12"/>
      <c r="W924" s="12"/>
    </row>
    <row r="925" spans="1:23" x14ac:dyDescent="0.3">
      <c r="A925" s="193" t="e">
        <f ca="1"/>
        <v>#NAME?</v>
      </c>
      <c r="B925" s="46" t="s">
        <v>1429</v>
      </c>
      <c r="C925" s="315"/>
      <c r="D925" s="316"/>
      <c r="E925" s="315"/>
      <c r="F925" s="315"/>
      <c r="G925" s="315"/>
      <c r="H925" s="153"/>
      <c r="I925" s="12"/>
      <c r="J925" s="46" t="s">
        <v>1430</v>
      </c>
      <c r="K925" s="12"/>
      <c r="L925" s="288">
        <v>7.33</v>
      </c>
      <c r="M925" s="289">
        <v>370</v>
      </c>
      <c r="N925" s="319"/>
      <c r="O925" s="46"/>
      <c r="P925" s="46" t="s">
        <v>92</v>
      </c>
      <c r="Q925" s="12"/>
      <c r="R925" s="192" t="str">
        <f t="shared" si="28"/>
        <v>pieces</v>
      </c>
      <c r="S925" s="198">
        <f t="shared" si="29"/>
        <v>0</v>
      </c>
      <c r="T925" s="199" t="str">
        <f t="shared" si="30"/>
        <v>0pieces</v>
      </c>
      <c r="U925" s="200">
        <f t="shared" si="31"/>
        <v>2712.1</v>
      </c>
      <c r="V925" s="12"/>
      <c r="W925" s="12"/>
    </row>
    <row r="926" spans="1:23" x14ac:dyDescent="0.3">
      <c r="A926" s="193" t="e">
        <f ca="1"/>
        <v>#NAME?</v>
      </c>
      <c r="B926" s="46" t="s">
        <v>1429</v>
      </c>
      <c r="C926" s="315"/>
      <c r="D926" s="316"/>
      <c r="E926" s="315"/>
      <c r="F926" s="315"/>
      <c r="G926" s="315"/>
      <c r="H926" s="153"/>
      <c r="I926" s="12"/>
      <c r="J926" s="46" t="s">
        <v>1431</v>
      </c>
      <c r="K926" s="12"/>
      <c r="L926" s="288">
        <v>7.9</v>
      </c>
      <c r="M926" s="289">
        <v>250</v>
      </c>
      <c r="N926" s="319"/>
      <c r="O926" s="46"/>
      <c r="P926" s="46" t="s">
        <v>92</v>
      </c>
      <c r="Q926" s="12"/>
      <c r="R926" s="192" t="str">
        <f t="shared" si="28"/>
        <v>pieces</v>
      </c>
      <c r="S926" s="198">
        <f t="shared" si="29"/>
        <v>0</v>
      </c>
      <c r="T926" s="199" t="str">
        <f t="shared" si="30"/>
        <v>0pieces</v>
      </c>
      <c r="U926" s="200">
        <f t="shared" si="31"/>
        <v>1975</v>
      </c>
      <c r="V926" s="12"/>
      <c r="W926" s="12"/>
    </row>
    <row r="927" spans="1:23" x14ac:dyDescent="0.3">
      <c r="A927" s="193" t="e">
        <f ca="1"/>
        <v>#NAME?</v>
      </c>
      <c r="B927" s="46" t="s">
        <v>1432</v>
      </c>
      <c r="C927" s="315"/>
      <c r="D927" s="316"/>
      <c r="E927" s="315"/>
      <c r="F927" s="315"/>
      <c r="G927" s="315"/>
      <c r="H927" s="153"/>
      <c r="I927" s="12"/>
      <c r="J927" s="46" t="s">
        <v>1368</v>
      </c>
      <c r="K927" s="12"/>
      <c r="L927" s="288">
        <v>31</v>
      </c>
      <c r="M927" s="289">
        <v>4</v>
      </c>
      <c r="N927" s="290">
        <v>210</v>
      </c>
      <c r="O927" s="46"/>
      <c r="P927" s="46" t="s">
        <v>39</v>
      </c>
      <c r="Q927" s="12"/>
      <c r="R927" s="192" t="str">
        <f t="shared" si="28"/>
        <v>210grams</v>
      </c>
      <c r="S927" s="198">
        <f t="shared" si="29"/>
        <v>840</v>
      </c>
      <c r="T927" s="199" t="str">
        <f t="shared" si="30"/>
        <v>840grams</v>
      </c>
      <c r="U927" s="200">
        <f t="shared" si="31"/>
        <v>124</v>
      </c>
      <c r="V927" s="12"/>
      <c r="W927" s="12"/>
    </row>
    <row r="928" spans="1:23" x14ac:dyDescent="0.3">
      <c r="A928" s="193" t="e">
        <f ca="1"/>
        <v>#NAME?</v>
      </c>
      <c r="B928" s="46" t="s">
        <v>1432</v>
      </c>
      <c r="C928" s="315"/>
      <c r="D928" s="316"/>
      <c r="E928" s="315"/>
      <c r="F928" s="315"/>
      <c r="G928" s="315"/>
      <c r="H928" s="153"/>
      <c r="I928" s="12"/>
      <c r="J928" s="46" t="s">
        <v>910</v>
      </c>
      <c r="K928" s="12"/>
      <c r="L928" s="288">
        <v>31.9</v>
      </c>
      <c r="M928" s="289">
        <v>8</v>
      </c>
      <c r="N928" s="290">
        <v>250</v>
      </c>
      <c r="O928" s="46"/>
      <c r="P928" s="46" t="s">
        <v>39</v>
      </c>
      <c r="Q928" s="12"/>
      <c r="R928" s="192" t="str">
        <f t="shared" si="28"/>
        <v>250grams</v>
      </c>
      <c r="S928" s="198">
        <f t="shared" si="29"/>
        <v>2000</v>
      </c>
      <c r="T928" s="199" t="str">
        <f t="shared" si="30"/>
        <v>2000grams</v>
      </c>
      <c r="U928" s="200">
        <f t="shared" si="31"/>
        <v>255.2</v>
      </c>
      <c r="V928" s="12"/>
      <c r="W928" s="12"/>
    </row>
    <row r="929" spans="1:23" x14ac:dyDescent="0.3">
      <c r="A929" s="193" t="e">
        <f ca="1"/>
        <v>#NAME?</v>
      </c>
      <c r="B929" s="46" t="s">
        <v>1432</v>
      </c>
      <c r="C929" s="315"/>
      <c r="D929" s="316"/>
      <c r="E929" s="315"/>
      <c r="F929" s="315"/>
      <c r="G929" s="315"/>
      <c r="H929" s="153"/>
      <c r="I929" s="12"/>
      <c r="J929" s="46" t="s">
        <v>910</v>
      </c>
      <c r="K929" s="12"/>
      <c r="L929" s="288">
        <v>31.9</v>
      </c>
      <c r="M929" s="289">
        <v>8</v>
      </c>
      <c r="N929" s="290">
        <v>250</v>
      </c>
      <c r="O929" s="46"/>
      <c r="P929" s="46" t="s">
        <v>39</v>
      </c>
      <c r="Q929" s="12"/>
      <c r="R929" s="192" t="str">
        <f t="shared" si="28"/>
        <v>250grams</v>
      </c>
      <c r="S929" s="198">
        <f t="shared" si="29"/>
        <v>2000</v>
      </c>
      <c r="T929" s="199" t="str">
        <f t="shared" si="30"/>
        <v>2000grams</v>
      </c>
      <c r="U929" s="200">
        <f t="shared" si="31"/>
        <v>255.2</v>
      </c>
      <c r="V929" s="12"/>
      <c r="W929" s="12"/>
    </row>
    <row r="930" spans="1:23" x14ac:dyDescent="0.3">
      <c r="A930" s="193" t="e">
        <f ca="1"/>
        <v>#NAME?</v>
      </c>
      <c r="B930" s="46" t="s">
        <v>1432</v>
      </c>
      <c r="C930" s="315"/>
      <c r="D930" s="316"/>
      <c r="E930" s="315"/>
      <c r="F930" s="315"/>
      <c r="G930" s="315"/>
      <c r="H930" s="153"/>
      <c r="I930" s="12"/>
      <c r="J930" s="46" t="s">
        <v>910</v>
      </c>
      <c r="K930" s="12"/>
      <c r="L930" s="288">
        <v>35.75</v>
      </c>
      <c r="M930" s="289">
        <v>10</v>
      </c>
      <c r="N930" s="290">
        <v>250</v>
      </c>
      <c r="O930" s="46"/>
      <c r="P930" s="46" t="s">
        <v>39</v>
      </c>
      <c r="Q930" s="12"/>
      <c r="R930" s="192" t="str">
        <f t="shared" si="28"/>
        <v>250grams</v>
      </c>
      <c r="S930" s="198">
        <f t="shared" si="29"/>
        <v>2500</v>
      </c>
      <c r="T930" s="199" t="str">
        <f t="shared" si="30"/>
        <v>2500grams</v>
      </c>
      <c r="U930" s="200">
        <f t="shared" si="31"/>
        <v>357.5</v>
      </c>
      <c r="V930" s="12"/>
      <c r="W930" s="12"/>
    </row>
    <row r="931" spans="1:23" x14ac:dyDescent="0.3">
      <c r="A931" s="193" t="e">
        <f ca="1"/>
        <v>#NAME?</v>
      </c>
      <c r="B931" s="46" t="s">
        <v>1433</v>
      </c>
      <c r="C931" s="315"/>
      <c r="D931" s="316"/>
      <c r="E931" s="315"/>
      <c r="F931" s="315"/>
      <c r="G931" s="315"/>
      <c r="H931" s="153"/>
      <c r="I931" s="12"/>
      <c r="J931" s="219" t="s">
        <v>854</v>
      </c>
      <c r="K931" s="12"/>
      <c r="L931" s="288">
        <v>89</v>
      </c>
      <c r="M931" s="289">
        <v>1</v>
      </c>
      <c r="N931" s="290">
        <v>60</v>
      </c>
      <c r="O931" s="46"/>
      <c r="P931" s="46" t="s">
        <v>39</v>
      </c>
      <c r="Q931" s="12"/>
      <c r="R931" s="192" t="str">
        <f t="shared" si="28"/>
        <v>60grams</v>
      </c>
      <c r="S931" s="198">
        <f t="shared" si="29"/>
        <v>60</v>
      </c>
      <c r="T931" s="199" t="str">
        <f t="shared" si="30"/>
        <v>60grams</v>
      </c>
      <c r="U931" s="200">
        <f t="shared" si="31"/>
        <v>89</v>
      </c>
      <c r="V931" s="12"/>
      <c r="W931" s="12"/>
    </row>
    <row r="932" spans="1:23" x14ac:dyDescent="0.3">
      <c r="A932" s="193" t="e">
        <f ca="1"/>
        <v>#NAME?</v>
      </c>
      <c r="B932" s="46" t="s">
        <v>1434</v>
      </c>
      <c r="C932" s="315"/>
      <c r="D932" s="316"/>
      <c r="E932" s="315"/>
      <c r="F932" s="315"/>
      <c r="G932" s="315"/>
      <c r="H932" s="153"/>
      <c r="I932" s="12"/>
      <c r="J932" s="170"/>
      <c r="K932" s="12"/>
      <c r="L932" s="288">
        <v>80</v>
      </c>
      <c r="M932" s="289">
        <v>5</v>
      </c>
      <c r="N932" s="290">
        <v>1000</v>
      </c>
      <c r="O932" s="46"/>
      <c r="P932" s="46" t="s">
        <v>39</v>
      </c>
      <c r="Q932" s="12"/>
      <c r="R932" s="192" t="str">
        <f t="shared" si="28"/>
        <v>1000grams</v>
      </c>
      <c r="S932" s="198">
        <f t="shared" si="29"/>
        <v>5000</v>
      </c>
      <c r="T932" s="199" t="str">
        <f t="shared" si="30"/>
        <v>5000grams</v>
      </c>
      <c r="U932" s="200">
        <f t="shared" si="31"/>
        <v>400</v>
      </c>
      <c r="V932" s="12"/>
      <c r="W932" s="12"/>
    </row>
    <row r="933" spans="1:23" x14ac:dyDescent="0.3">
      <c r="A933" s="193" t="e">
        <f ca="1"/>
        <v>#NAME?</v>
      </c>
      <c r="B933" s="46" t="s">
        <v>1435</v>
      </c>
      <c r="C933" s="315"/>
      <c r="D933" s="316"/>
      <c r="E933" s="315"/>
      <c r="F933" s="315"/>
      <c r="G933" s="315"/>
      <c r="H933" s="153"/>
      <c r="I933" s="12"/>
      <c r="J933" s="219" t="s">
        <v>1436</v>
      </c>
      <c r="K933" s="12"/>
      <c r="L933" s="291">
        <v>2.99</v>
      </c>
      <c r="M933" s="292">
        <v>10</v>
      </c>
      <c r="N933" s="293">
        <v>1</v>
      </c>
      <c r="O933" s="219"/>
      <c r="P933" s="219" t="s">
        <v>92</v>
      </c>
      <c r="Q933" s="12"/>
      <c r="R933" s="192" t="str">
        <f t="shared" si="28"/>
        <v>1pieces</v>
      </c>
      <c r="S933" s="198">
        <f t="shared" si="29"/>
        <v>10</v>
      </c>
      <c r="T933" s="199" t="str">
        <f t="shared" si="30"/>
        <v>10pieces</v>
      </c>
      <c r="U933" s="200">
        <f t="shared" si="31"/>
        <v>29.900000000000002</v>
      </c>
      <c r="V933" s="12"/>
      <c r="W933" s="12"/>
    </row>
    <row r="934" spans="1:23" x14ac:dyDescent="0.3">
      <c r="A934" s="193" t="e">
        <f ca="1"/>
        <v>#NAME?</v>
      </c>
      <c r="B934" s="46" t="s">
        <v>1435</v>
      </c>
      <c r="C934" s="315"/>
      <c r="D934" s="316"/>
      <c r="E934" s="315"/>
      <c r="F934" s="315"/>
      <c r="G934" s="315"/>
      <c r="H934" s="153"/>
      <c r="I934" s="12"/>
      <c r="J934" s="219" t="s">
        <v>1436</v>
      </c>
      <c r="K934" s="12"/>
      <c r="L934" s="291">
        <v>12</v>
      </c>
      <c r="M934" s="292">
        <v>120</v>
      </c>
      <c r="N934" s="293">
        <v>1</v>
      </c>
      <c r="O934" s="219"/>
      <c r="P934" s="219" t="s">
        <v>92</v>
      </c>
      <c r="Q934" s="12"/>
      <c r="R934" s="192" t="str">
        <f t="shared" si="28"/>
        <v>1pieces</v>
      </c>
      <c r="S934" s="198">
        <f t="shared" si="29"/>
        <v>120</v>
      </c>
      <c r="T934" s="199" t="str">
        <f t="shared" si="30"/>
        <v>120pieces</v>
      </c>
      <c r="U934" s="200">
        <f t="shared" si="31"/>
        <v>1440</v>
      </c>
      <c r="V934" s="12"/>
      <c r="W934" s="12"/>
    </row>
    <row r="935" spans="1:23" x14ac:dyDescent="0.3">
      <c r="A935" s="193" t="e">
        <f ca="1"/>
        <v>#NAME?</v>
      </c>
      <c r="B935" s="46" t="s">
        <v>1435</v>
      </c>
      <c r="C935" s="315"/>
      <c r="D935" s="316"/>
      <c r="E935" s="315"/>
      <c r="F935" s="315"/>
      <c r="G935" s="315"/>
      <c r="H935" s="153"/>
      <c r="I935" s="12"/>
      <c r="J935" s="219" t="s">
        <v>1437</v>
      </c>
      <c r="K935" s="12"/>
      <c r="L935" s="291">
        <v>6.16</v>
      </c>
      <c r="M935" s="292">
        <v>20</v>
      </c>
      <c r="N935" s="293">
        <v>1</v>
      </c>
      <c r="O935" s="219"/>
      <c r="P935" s="219" t="s">
        <v>92</v>
      </c>
      <c r="Q935" s="12"/>
      <c r="R935" s="192" t="str">
        <f t="shared" si="28"/>
        <v>1pieces</v>
      </c>
      <c r="S935" s="198">
        <f t="shared" si="29"/>
        <v>20</v>
      </c>
      <c r="T935" s="199" t="str">
        <f t="shared" si="30"/>
        <v>20pieces</v>
      </c>
      <c r="U935" s="200">
        <f t="shared" si="31"/>
        <v>123.2</v>
      </c>
      <c r="V935" s="12"/>
      <c r="W935" s="12"/>
    </row>
    <row r="936" spans="1:23" x14ac:dyDescent="0.3">
      <c r="A936" s="193" t="e">
        <f ca="1"/>
        <v>#NAME?</v>
      </c>
      <c r="B936" s="46" t="s">
        <v>1435</v>
      </c>
      <c r="C936" s="315"/>
      <c r="D936" s="316"/>
      <c r="E936" s="315"/>
      <c r="F936" s="315"/>
      <c r="G936" s="315"/>
      <c r="H936" s="153"/>
      <c r="I936" s="12"/>
      <c r="J936" s="46" t="s">
        <v>1438</v>
      </c>
      <c r="K936" s="12"/>
      <c r="L936" s="288">
        <v>36.5</v>
      </c>
      <c r="M936" s="289">
        <v>4</v>
      </c>
      <c r="N936" s="290">
        <v>1</v>
      </c>
      <c r="O936" s="46"/>
      <c r="P936" s="46" t="s">
        <v>304</v>
      </c>
      <c r="Q936" s="12"/>
      <c r="R936" s="192" t="str">
        <f t="shared" si="28"/>
        <v>1packs</v>
      </c>
      <c r="S936" s="198">
        <f t="shared" si="29"/>
        <v>4</v>
      </c>
      <c r="T936" s="199" t="str">
        <f t="shared" si="30"/>
        <v>4packs</v>
      </c>
      <c r="U936" s="200">
        <f t="shared" si="31"/>
        <v>146</v>
      </c>
      <c r="V936" s="12"/>
      <c r="W936" s="12"/>
    </row>
    <row r="937" spans="1:23" x14ac:dyDescent="0.3">
      <c r="A937" s="193" t="e">
        <f ca="1"/>
        <v>#NAME?</v>
      </c>
      <c r="B937" s="46" t="s">
        <v>1435</v>
      </c>
      <c r="C937" s="315"/>
      <c r="D937" s="316"/>
      <c r="E937" s="315"/>
      <c r="F937" s="315"/>
      <c r="G937" s="315"/>
      <c r="H937" s="153"/>
      <c r="I937" s="12"/>
      <c r="J937" s="46" t="s">
        <v>1439</v>
      </c>
      <c r="K937" s="12"/>
      <c r="L937" s="288">
        <v>3.65</v>
      </c>
      <c r="M937" s="289">
        <v>15</v>
      </c>
      <c r="N937" s="290">
        <v>10</v>
      </c>
      <c r="O937" s="46"/>
      <c r="P937" s="46" t="s">
        <v>92</v>
      </c>
      <c r="Q937" s="12"/>
      <c r="R937" s="192" t="str">
        <f t="shared" si="28"/>
        <v>10pieces</v>
      </c>
      <c r="S937" s="198">
        <f t="shared" si="29"/>
        <v>150</v>
      </c>
      <c r="T937" s="199" t="str">
        <f t="shared" si="30"/>
        <v>150pieces</v>
      </c>
      <c r="U937" s="200">
        <f t="shared" si="31"/>
        <v>54.75</v>
      </c>
      <c r="V937" s="12"/>
      <c r="W937" s="12"/>
    </row>
    <row r="938" spans="1:23" x14ac:dyDescent="0.3">
      <c r="A938" s="193" t="e">
        <f ca="1"/>
        <v>#NAME?</v>
      </c>
      <c r="B938" s="46" t="s">
        <v>1435</v>
      </c>
      <c r="C938" s="315"/>
      <c r="D938" s="316"/>
      <c r="E938" s="315"/>
      <c r="F938" s="315"/>
      <c r="G938" s="315"/>
      <c r="H938" s="153"/>
      <c r="I938" s="12"/>
      <c r="J938" s="219" t="s">
        <v>1440</v>
      </c>
      <c r="K938" s="12"/>
      <c r="L938" s="291">
        <v>3.46</v>
      </c>
      <c r="M938" s="292">
        <v>100</v>
      </c>
      <c r="N938" s="293">
        <v>1</v>
      </c>
      <c r="O938" s="219"/>
      <c r="P938" s="219" t="s">
        <v>92</v>
      </c>
      <c r="Q938" s="12"/>
      <c r="R938" s="192" t="str">
        <f t="shared" si="28"/>
        <v>1pieces</v>
      </c>
      <c r="S938" s="198">
        <f t="shared" si="29"/>
        <v>100</v>
      </c>
      <c r="T938" s="199" t="str">
        <f t="shared" si="30"/>
        <v>100pieces</v>
      </c>
      <c r="U938" s="200">
        <f t="shared" si="31"/>
        <v>346</v>
      </c>
      <c r="V938" s="12"/>
      <c r="W938" s="12"/>
    </row>
    <row r="939" spans="1:23" x14ac:dyDescent="0.3">
      <c r="A939" s="193" t="e">
        <f ca="1"/>
        <v>#NAME?</v>
      </c>
      <c r="B939" s="46" t="s">
        <v>1435</v>
      </c>
      <c r="C939" s="315"/>
      <c r="D939" s="316"/>
      <c r="E939" s="315"/>
      <c r="F939" s="315"/>
      <c r="G939" s="315"/>
      <c r="H939" s="153"/>
      <c r="I939" s="12"/>
      <c r="J939" s="46" t="s">
        <v>1441</v>
      </c>
      <c r="K939" s="12"/>
      <c r="L939" s="288">
        <v>2.6</v>
      </c>
      <c r="M939" s="289">
        <v>13</v>
      </c>
      <c r="N939" s="290">
        <v>10</v>
      </c>
      <c r="O939" s="46"/>
      <c r="P939" s="46" t="s">
        <v>92</v>
      </c>
      <c r="Q939" s="12"/>
      <c r="R939" s="192" t="str">
        <f t="shared" si="28"/>
        <v>10pieces</v>
      </c>
      <c r="S939" s="198">
        <f t="shared" si="29"/>
        <v>130</v>
      </c>
      <c r="T939" s="199" t="str">
        <f t="shared" si="30"/>
        <v>130pieces</v>
      </c>
      <c r="U939" s="200">
        <f t="shared" si="31"/>
        <v>33.800000000000004</v>
      </c>
      <c r="V939" s="12"/>
      <c r="W939" s="12"/>
    </row>
    <row r="940" spans="1:23" x14ac:dyDescent="0.3">
      <c r="A940" s="193" t="e">
        <f ca="1"/>
        <v>#NAME?</v>
      </c>
      <c r="B940" s="46" t="s">
        <v>1435</v>
      </c>
      <c r="C940" s="315"/>
      <c r="D940" s="316"/>
      <c r="E940" s="315"/>
      <c r="F940" s="315"/>
      <c r="G940" s="315"/>
      <c r="H940" s="153"/>
      <c r="I940" s="12"/>
      <c r="J940" s="219" t="s">
        <v>1442</v>
      </c>
      <c r="K940" s="12"/>
      <c r="L940" s="291">
        <v>9.1999999999999993</v>
      </c>
      <c r="M940" s="292">
        <v>77</v>
      </c>
      <c r="N940" s="293">
        <v>1</v>
      </c>
      <c r="O940" s="219"/>
      <c r="P940" s="219" t="s">
        <v>92</v>
      </c>
      <c r="Q940" s="12"/>
      <c r="R940" s="192" t="str">
        <f t="shared" si="28"/>
        <v>1pieces</v>
      </c>
      <c r="S940" s="198">
        <f t="shared" si="29"/>
        <v>77</v>
      </c>
      <c r="T940" s="199" t="str">
        <f t="shared" si="30"/>
        <v>77pieces</v>
      </c>
      <c r="U940" s="200">
        <f t="shared" si="31"/>
        <v>708.4</v>
      </c>
      <c r="V940" s="12"/>
      <c r="W940" s="12"/>
    </row>
    <row r="941" spans="1:23" x14ac:dyDescent="0.3">
      <c r="A941" s="193" t="e">
        <f ca="1"/>
        <v>#NAME?</v>
      </c>
      <c r="B941" s="46" t="s">
        <v>1435</v>
      </c>
      <c r="C941" s="315"/>
      <c r="D941" s="316"/>
      <c r="E941" s="315"/>
      <c r="F941" s="315"/>
      <c r="G941" s="315"/>
      <c r="H941" s="153"/>
      <c r="I941" s="12"/>
      <c r="J941" s="219" t="s">
        <v>1443</v>
      </c>
      <c r="K941" s="12"/>
      <c r="L941" s="291">
        <v>10</v>
      </c>
      <c r="M941" s="292">
        <v>48</v>
      </c>
      <c r="N941" s="293">
        <v>1</v>
      </c>
      <c r="O941" s="219"/>
      <c r="P941" s="219" t="s">
        <v>92</v>
      </c>
      <c r="Q941" s="12"/>
      <c r="R941" s="192" t="str">
        <f t="shared" si="28"/>
        <v>1pieces</v>
      </c>
      <c r="S941" s="198">
        <f t="shared" si="29"/>
        <v>48</v>
      </c>
      <c r="T941" s="199" t="str">
        <f t="shared" si="30"/>
        <v>48pieces</v>
      </c>
      <c r="U941" s="200">
        <f t="shared" si="31"/>
        <v>480</v>
      </c>
      <c r="V941" s="12"/>
      <c r="W941" s="12"/>
    </row>
    <row r="942" spans="1:23" x14ac:dyDescent="0.3">
      <c r="A942" s="193" t="e">
        <f ca="1"/>
        <v>#NAME?</v>
      </c>
      <c r="B942" s="46" t="s">
        <v>1435</v>
      </c>
      <c r="C942" s="315"/>
      <c r="D942" s="316"/>
      <c r="E942" s="315"/>
      <c r="F942" s="315"/>
      <c r="G942" s="315"/>
      <c r="H942" s="153"/>
      <c r="I942" s="12"/>
      <c r="J942" s="219" t="s">
        <v>1444</v>
      </c>
      <c r="K942" s="12"/>
      <c r="L942" s="291">
        <v>10.199999999999999</v>
      </c>
      <c r="M942" s="292">
        <v>130</v>
      </c>
      <c r="N942" s="293">
        <v>1</v>
      </c>
      <c r="O942" s="219"/>
      <c r="P942" s="219" t="s">
        <v>92</v>
      </c>
      <c r="Q942" s="12"/>
      <c r="R942" s="192" t="str">
        <f t="shared" si="28"/>
        <v>1pieces</v>
      </c>
      <c r="S942" s="198">
        <f t="shared" si="29"/>
        <v>130</v>
      </c>
      <c r="T942" s="199" t="str">
        <f t="shared" si="30"/>
        <v>130pieces</v>
      </c>
      <c r="U942" s="200">
        <f t="shared" si="31"/>
        <v>1326</v>
      </c>
      <c r="V942" s="12"/>
      <c r="W942" s="12"/>
    </row>
    <row r="943" spans="1:23" x14ac:dyDescent="0.3">
      <c r="A943" s="193" t="e">
        <f ca="1"/>
        <v>#NAME?</v>
      </c>
      <c r="B943" s="46" t="s">
        <v>1435</v>
      </c>
      <c r="C943" s="315"/>
      <c r="D943" s="316"/>
      <c r="E943" s="315"/>
      <c r="F943" s="315"/>
      <c r="G943" s="315"/>
      <c r="H943" s="153"/>
      <c r="I943" s="12"/>
      <c r="J943" s="46" t="s">
        <v>1445</v>
      </c>
      <c r="K943" s="12"/>
      <c r="L943" s="288">
        <v>7</v>
      </c>
      <c r="M943" s="289">
        <v>10</v>
      </c>
      <c r="N943" s="290">
        <v>1</v>
      </c>
      <c r="O943" s="46"/>
      <c r="P943" s="46" t="s">
        <v>92</v>
      </c>
      <c r="Q943" s="12"/>
      <c r="R943" s="192" t="str">
        <f t="shared" si="28"/>
        <v>1pieces</v>
      </c>
      <c r="S943" s="198">
        <f t="shared" si="29"/>
        <v>10</v>
      </c>
      <c r="T943" s="199" t="str">
        <f t="shared" si="30"/>
        <v>10pieces</v>
      </c>
      <c r="U943" s="200">
        <f t="shared" si="31"/>
        <v>70</v>
      </c>
      <c r="V943" s="12"/>
      <c r="W943" s="12"/>
    </row>
    <row r="944" spans="1:23" x14ac:dyDescent="0.3">
      <c r="A944" s="193" t="e">
        <f ca="1"/>
        <v>#NAME?</v>
      </c>
      <c r="B944" s="46" t="s">
        <v>1446</v>
      </c>
      <c r="C944" s="315"/>
      <c r="D944" s="316"/>
      <c r="E944" s="315"/>
      <c r="F944" s="315"/>
      <c r="G944" s="315"/>
      <c r="H944" s="153"/>
      <c r="I944" s="12"/>
      <c r="J944" s="46" t="s">
        <v>1447</v>
      </c>
      <c r="K944" s="12"/>
      <c r="L944" s="288">
        <v>10</v>
      </c>
      <c r="M944" s="289">
        <v>5</v>
      </c>
      <c r="N944" s="290">
        <v>1</v>
      </c>
      <c r="O944" s="46"/>
      <c r="P944" s="46" t="s">
        <v>92</v>
      </c>
      <c r="Q944" s="12"/>
      <c r="R944" s="192" t="str">
        <f t="shared" si="28"/>
        <v>1pieces</v>
      </c>
      <c r="S944" s="198">
        <f t="shared" si="29"/>
        <v>5</v>
      </c>
      <c r="T944" s="199" t="str">
        <f t="shared" si="30"/>
        <v>5pieces</v>
      </c>
      <c r="U944" s="200">
        <f t="shared" si="31"/>
        <v>50</v>
      </c>
      <c r="V944" s="12"/>
      <c r="W944" s="12"/>
    </row>
    <row r="945" spans="1:23" x14ac:dyDescent="0.3">
      <c r="A945" s="193" t="e">
        <f ca="1"/>
        <v>#NAME?</v>
      </c>
      <c r="B945" s="46" t="s">
        <v>1446</v>
      </c>
      <c r="C945" s="315"/>
      <c r="D945" s="316"/>
      <c r="E945" s="315"/>
      <c r="F945" s="315"/>
      <c r="G945" s="315"/>
      <c r="H945" s="153"/>
      <c r="I945" s="12"/>
      <c r="J945" s="46" t="s">
        <v>1448</v>
      </c>
      <c r="K945" s="12"/>
      <c r="L945" s="288">
        <v>3.65</v>
      </c>
      <c r="M945" s="289">
        <v>50</v>
      </c>
      <c r="N945" s="290">
        <v>1</v>
      </c>
      <c r="O945" s="46"/>
      <c r="P945" s="46" t="s">
        <v>92</v>
      </c>
      <c r="Q945" s="12"/>
      <c r="R945" s="192" t="str">
        <f t="shared" si="28"/>
        <v>1pieces</v>
      </c>
      <c r="S945" s="198">
        <f t="shared" si="29"/>
        <v>50</v>
      </c>
      <c r="T945" s="199" t="str">
        <f t="shared" si="30"/>
        <v>50pieces</v>
      </c>
      <c r="U945" s="200">
        <f t="shared" si="31"/>
        <v>182.5</v>
      </c>
      <c r="V945" s="12"/>
      <c r="W945" s="12"/>
    </row>
    <row r="946" spans="1:23" x14ac:dyDescent="0.3">
      <c r="A946" s="193" t="e">
        <f ca="1"/>
        <v>#NAME?</v>
      </c>
      <c r="B946" s="46" t="s">
        <v>1446</v>
      </c>
      <c r="C946" s="315"/>
      <c r="D946" s="316"/>
      <c r="E946" s="315"/>
      <c r="F946" s="315"/>
      <c r="G946" s="315"/>
      <c r="H946" s="153"/>
      <c r="I946" s="12"/>
      <c r="J946" s="46" t="s">
        <v>1449</v>
      </c>
      <c r="K946" s="12"/>
      <c r="L946" s="288">
        <v>4.45</v>
      </c>
      <c r="M946" s="289">
        <v>90</v>
      </c>
      <c r="N946" s="290">
        <v>1</v>
      </c>
      <c r="O946" s="46"/>
      <c r="P946" s="46" t="s">
        <v>92</v>
      </c>
      <c r="Q946" s="12"/>
      <c r="R946" s="192" t="str">
        <f t="shared" si="28"/>
        <v>1pieces</v>
      </c>
      <c r="S946" s="198">
        <f t="shared" si="29"/>
        <v>90</v>
      </c>
      <c r="T946" s="199" t="str">
        <f t="shared" si="30"/>
        <v>90pieces</v>
      </c>
      <c r="U946" s="200">
        <f t="shared" si="31"/>
        <v>400.5</v>
      </c>
      <c r="V946" s="12"/>
      <c r="W946" s="12"/>
    </row>
    <row r="947" spans="1:23" x14ac:dyDescent="0.3">
      <c r="A947" s="193" t="e">
        <f ca="1"/>
        <v>#NAME?</v>
      </c>
      <c r="B947" s="46" t="s">
        <v>1446</v>
      </c>
      <c r="C947" s="315"/>
      <c r="D947" s="316"/>
      <c r="E947" s="315"/>
      <c r="F947" s="315"/>
      <c r="G947" s="315"/>
      <c r="H947" s="153"/>
      <c r="I947" s="12"/>
      <c r="J947" s="46" t="s">
        <v>1449</v>
      </c>
      <c r="K947" s="12"/>
      <c r="L947" s="288">
        <v>4.95</v>
      </c>
      <c r="M947" s="289">
        <v>180</v>
      </c>
      <c r="N947" s="290">
        <v>1</v>
      </c>
      <c r="O947" s="46"/>
      <c r="P947" s="46" t="s">
        <v>92</v>
      </c>
      <c r="Q947" s="12"/>
      <c r="R947" s="192" t="str">
        <f t="shared" si="28"/>
        <v>1pieces</v>
      </c>
      <c r="S947" s="198">
        <f t="shared" si="29"/>
        <v>180</v>
      </c>
      <c r="T947" s="199" t="str">
        <f t="shared" si="30"/>
        <v>180pieces</v>
      </c>
      <c r="U947" s="200">
        <f t="shared" si="31"/>
        <v>891</v>
      </c>
      <c r="V947" s="12"/>
      <c r="W947" s="12"/>
    </row>
    <row r="948" spans="1:23" x14ac:dyDescent="0.3">
      <c r="A948" s="193" t="e">
        <f ca="1"/>
        <v>#NAME?</v>
      </c>
      <c r="B948" s="46" t="s">
        <v>1446</v>
      </c>
      <c r="C948" s="315"/>
      <c r="D948" s="316"/>
      <c r="E948" s="315"/>
      <c r="F948" s="315"/>
      <c r="G948" s="315"/>
      <c r="H948" s="153"/>
      <c r="I948" s="12"/>
      <c r="J948" s="46" t="s">
        <v>1450</v>
      </c>
      <c r="K948" s="12"/>
      <c r="L948" s="288">
        <v>2.5</v>
      </c>
      <c r="M948" s="289">
        <v>561</v>
      </c>
      <c r="N948" s="290">
        <v>1</v>
      </c>
      <c r="O948" s="46"/>
      <c r="P948" s="46" t="s">
        <v>92</v>
      </c>
      <c r="Q948" s="12"/>
      <c r="R948" s="192" t="str">
        <f t="shared" si="28"/>
        <v>1pieces</v>
      </c>
      <c r="S948" s="198">
        <f t="shared" si="29"/>
        <v>561</v>
      </c>
      <c r="T948" s="199" t="str">
        <f t="shared" si="30"/>
        <v>561pieces</v>
      </c>
      <c r="U948" s="200">
        <f t="shared" si="31"/>
        <v>1402.5</v>
      </c>
      <c r="V948" s="12"/>
      <c r="W948" s="12"/>
    </row>
    <row r="949" spans="1:23" x14ac:dyDescent="0.3">
      <c r="A949" s="193" t="e">
        <f ca="1"/>
        <v>#NAME?</v>
      </c>
      <c r="B949" s="46" t="s">
        <v>1446</v>
      </c>
      <c r="C949" s="315"/>
      <c r="D949" s="316"/>
      <c r="E949" s="315"/>
      <c r="F949" s="315"/>
      <c r="G949" s="315"/>
      <c r="H949" s="153"/>
      <c r="I949" s="12"/>
      <c r="J949" s="46" t="s">
        <v>1451</v>
      </c>
      <c r="K949" s="12"/>
      <c r="L949" s="288">
        <v>2.96</v>
      </c>
      <c r="M949" s="289">
        <v>567</v>
      </c>
      <c r="N949" s="290">
        <v>1</v>
      </c>
      <c r="O949" s="46"/>
      <c r="P949" s="46" t="s">
        <v>92</v>
      </c>
      <c r="Q949" s="12"/>
      <c r="R949" s="192" t="str">
        <f t="shared" si="28"/>
        <v>1pieces</v>
      </c>
      <c r="S949" s="198">
        <f t="shared" si="29"/>
        <v>567</v>
      </c>
      <c r="T949" s="199" t="str">
        <f t="shared" si="30"/>
        <v>567pieces</v>
      </c>
      <c r="U949" s="200">
        <f t="shared" si="31"/>
        <v>1678.32</v>
      </c>
      <c r="V949" s="12"/>
      <c r="W949" s="12"/>
    </row>
    <row r="950" spans="1:23" x14ac:dyDescent="0.3">
      <c r="A950" s="193" t="e">
        <f ca="1"/>
        <v>#NAME?</v>
      </c>
      <c r="B950" s="46" t="s">
        <v>1452</v>
      </c>
      <c r="C950" s="315"/>
      <c r="D950" s="316"/>
      <c r="E950" s="315"/>
      <c r="F950" s="315"/>
      <c r="G950" s="315"/>
      <c r="H950" s="153"/>
      <c r="I950" s="12"/>
      <c r="J950" s="170"/>
      <c r="K950" s="12"/>
      <c r="L950" s="288">
        <v>36</v>
      </c>
      <c r="M950" s="289">
        <v>6</v>
      </c>
      <c r="N950" s="290">
        <v>1</v>
      </c>
      <c r="O950" s="46"/>
      <c r="P950" s="46" t="s">
        <v>213</v>
      </c>
      <c r="Q950" s="12"/>
      <c r="R950" s="192" t="str">
        <f t="shared" si="28"/>
        <v>1kilos</v>
      </c>
      <c r="S950" s="198">
        <f t="shared" si="29"/>
        <v>6</v>
      </c>
      <c r="T950" s="199" t="str">
        <f t="shared" si="30"/>
        <v>6kilos</v>
      </c>
      <c r="U950" s="200">
        <f t="shared" si="31"/>
        <v>216</v>
      </c>
      <c r="V950" s="12"/>
      <c r="W950" s="12"/>
    </row>
    <row r="951" spans="1:23" x14ac:dyDescent="0.3">
      <c r="A951" s="193" t="e">
        <f ca="1"/>
        <v>#NAME?</v>
      </c>
      <c r="B951" s="219" t="s">
        <v>1453</v>
      </c>
      <c r="C951" s="315"/>
      <c r="D951" s="316"/>
      <c r="E951" s="315"/>
      <c r="F951" s="315"/>
      <c r="G951" s="315"/>
      <c r="H951" s="153"/>
      <c r="I951" s="12"/>
      <c r="J951" s="219" t="s">
        <v>1454</v>
      </c>
      <c r="K951" s="12"/>
      <c r="L951" s="291">
        <v>38</v>
      </c>
      <c r="M951" s="292">
        <v>98</v>
      </c>
      <c r="N951" s="293">
        <v>250</v>
      </c>
      <c r="O951" s="219"/>
      <c r="P951" s="219" t="s">
        <v>32</v>
      </c>
      <c r="Q951" s="12"/>
      <c r="R951" s="192" t="str">
        <f t="shared" si="28"/>
        <v>250ml</v>
      </c>
      <c r="S951" s="198">
        <f t="shared" si="29"/>
        <v>24500</v>
      </c>
      <c r="T951" s="199" t="str">
        <f t="shared" si="30"/>
        <v>24500ml</v>
      </c>
      <c r="U951" s="200">
        <f t="shared" si="31"/>
        <v>3724</v>
      </c>
      <c r="V951" s="12"/>
      <c r="W951" s="12"/>
    </row>
    <row r="952" spans="1:23" x14ac:dyDescent="0.3">
      <c r="A952" s="193" t="e">
        <f ca="1"/>
        <v>#NAME?</v>
      </c>
      <c r="B952" s="219" t="s">
        <v>1453</v>
      </c>
      <c r="C952" s="315"/>
      <c r="D952" s="316"/>
      <c r="E952" s="315"/>
      <c r="F952" s="315"/>
      <c r="G952" s="315"/>
      <c r="H952" s="153"/>
      <c r="I952" s="12"/>
      <c r="J952" s="46" t="s">
        <v>1455</v>
      </c>
      <c r="K952" s="12"/>
      <c r="L952" s="288">
        <v>99</v>
      </c>
      <c r="M952" s="289">
        <v>1</v>
      </c>
      <c r="N952" s="290">
        <v>1</v>
      </c>
      <c r="O952" s="46"/>
      <c r="P952" s="46" t="s">
        <v>773</v>
      </c>
      <c r="Q952" s="12"/>
      <c r="R952" s="192" t="str">
        <f t="shared" si="28"/>
        <v>1liters</v>
      </c>
      <c r="S952" s="198">
        <f t="shared" si="29"/>
        <v>1</v>
      </c>
      <c r="T952" s="199" t="str">
        <f t="shared" si="30"/>
        <v>1liters</v>
      </c>
      <c r="U952" s="200">
        <f t="shared" si="31"/>
        <v>99</v>
      </c>
      <c r="V952" s="12"/>
      <c r="W952" s="12"/>
    </row>
    <row r="953" spans="1:23" x14ac:dyDescent="0.3">
      <c r="A953" s="193" t="e">
        <f ca="1"/>
        <v>#NAME?</v>
      </c>
      <c r="B953" s="46" t="s">
        <v>1456</v>
      </c>
      <c r="C953" s="315"/>
      <c r="D953" s="316"/>
      <c r="E953" s="315"/>
      <c r="F953" s="315"/>
      <c r="G953" s="315"/>
      <c r="H953" s="153"/>
      <c r="I953" s="12"/>
      <c r="J953" s="46" t="s">
        <v>125</v>
      </c>
      <c r="K953" s="12"/>
      <c r="L953" s="288">
        <v>12.9</v>
      </c>
      <c r="M953" s="289">
        <v>34</v>
      </c>
      <c r="N953" s="290">
        <v>33</v>
      </c>
      <c r="O953" s="46"/>
      <c r="P953" s="46" t="s">
        <v>39</v>
      </c>
      <c r="Q953" s="12"/>
      <c r="R953" s="192" t="str">
        <f t="shared" si="28"/>
        <v>33grams</v>
      </c>
      <c r="S953" s="198">
        <f t="shared" si="29"/>
        <v>1122</v>
      </c>
      <c r="T953" s="199" t="str">
        <f t="shared" si="30"/>
        <v>1122grams</v>
      </c>
      <c r="U953" s="200">
        <f t="shared" si="31"/>
        <v>438.6</v>
      </c>
      <c r="V953" s="12"/>
      <c r="W953" s="12"/>
    </row>
    <row r="954" spans="1:23" x14ac:dyDescent="0.3">
      <c r="A954" s="193" t="e">
        <f ca="1"/>
        <v>#NAME?</v>
      </c>
      <c r="B954" s="219" t="s">
        <v>1456</v>
      </c>
      <c r="C954" s="315"/>
      <c r="D954" s="316"/>
      <c r="E954" s="315"/>
      <c r="F954" s="315"/>
      <c r="G954" s="315"/>
      <c r="H954" s="153"/>
      <c r="I954" s="12"/>
      <c r="J954" s="219" t="s">
        <v>1457</v>
      </c>
      <c r="K954" s="12"/>
      <c r="L954" s="291">
        <v>11.1</v>
      </c>
      <c r="M954" s="292">
        <v>1</v>
      </c>
      <c r="N954" s="293">
        <v>1</v>
      </c>
      <c r="O954" s="219"/>
      <c r="P954" s="219" t="s">
        <v>39</v>
      </c>
      <c r="Q954" s="12"/>
      <c r="R954" s="192" t="str">
        <f t="shared" si="28"/>
        <v>1grams</v>
      </c>
      <c r="S954" s="198">
        <f t="shared" si="29"/>
        <v>1</v>
      </c>
      <c r="T954" s="199" t="str">
        <f t="shared" si="30"/>
        <v>1grams</v>
      </c>
      <c r="U954" s="200">
        <f t="shared" si="31"/>
        <v>11.1</v>
      </c>
      <c r="V954" s="12"/>
      <c r="W954" s="12"/>
    </row>
    <row r="955" spans="1:23" x14ac:dyDescent="0.3">
      <c r="A955" s="193" t="e">
        <f ca="1"/>
        <v>#NAME?</v>
      </c>
      <c r="B955" s="219" t="s">
        <v>1456</v>
      </c>
      <c r="C955" s="315"/>
      <c r="D955" s="316"/>
      <c r="E955" s="315"/>
      <c r="F955" s="315"/>
      <c r="G955" s="315"/>
      <c r="H955" s="153"/>
      <c r="I955" s="12"/>
      <c r="J955" s="219" t="s">
        <v>1457</v>
      </c>
      <c r="K955" s="12"/>
      <c r="L955" s="288">
        <v>11.1</v>
      </c>
      <c r="M955" s="289">
        <v>33</v>
      </c>
      <c r="N955" s="290">
        <v>33</v>
      </c>
      <c r="O955" s="46"/>
      <c r="P955" s="46" t="s">
        <v>39</v>
      </c>
      <c r="Q955" s="12"/>
      <c r="R955" s="192" t="str">
        <f t="shared" si="28"/>
        <v>33grams</v>
      </c>
      <c r="S955" s="198">
        <f t="shared" si="29"/>
        <v>1089</v>
      </c>
      <c r="T955" s="199" t="str">
        <f t="shared" si="30"/>
        <v>1089grams</v>
      </c>
      <c r="U955" s="200">
        <f t="shared" si="31"/>
        <v>366.3</v>
      </c>
      <c r="V955" s="12"/>
      <c r="W955" s="12"/>
    </row>
    <row r="956" spans="1:23" x14ac:dyDescent="0.3">
      <c r="A956" s="193" t="e">
        <f ca="1"/>
        <v>#NAME?</v>
      </c>
      <c r="B956" s="46" t="s">
        <v>1456</v>
      </c>
      <c r="C956" s="315"/>
      <c r="D956" s="316"/>
      <c r="E956" s="315"/>
      <c r="F956" s="315"/>
      <c r="G956" s="315"/>
      <c r="H956" s="153"/>
      <c r="I956" s="12"/>
      <c r="J956" s="219" t="s">
        <v>1457</v>
      </c>
      <c r="K956" s="12"/>
      <c r="L956" s="288">
        <v>11.1</v>
      </c>
      <c r="M956" s="289">
        <v>296</v>
      </c>
      <c r="N956" s="290">
        <v>33</v>
      </c>
      <c r="O956" s="46"/>
      <c r="P956" s="46" t="s">
        <v>39</v>
      </c>
      <c r="Q956" s="12"/>
      <c r="R956" s="192" t="str">
        <f t="shared" si="28"/>
        <v>33grams</v>
      </c>
      <c r="S956" s="198">
        <f t="shared" si="29"/>
        <v>9768</v>
      </c>
      <c r="T956" s="199" t="str">
        <f t="shared" si="30"/>
        <v>9768grams</v>
      </c>
      <c r="U956" s="200">
        <f t="shared" si="31"/>
        <v>3285.6</v>
      </c>
      <c r="V956" s="12"/>
      <c r="W956" s="12"/>
    </row>
    <row r="957" spans="1:23" x14ac:dyDescent="0.3">
      <c r="A957" s="193" t="e">
        <f ca="1"/>
        <v>#NAME?</v>
      </c>
      <c r="B957" s="46" t="s">
        <v>1458</v>
      </c>
      <c r="C957" s="315"/>
      <c r="D957" s="316"/>
      <c r="E957" s="315"/>
      <c r="F957" s="315"/>
      <c r="G957" s="315"/>
      <c r="H957" s="153"/>
      <c r="I957" s="12"/>
      <c r="J957" s="219" t="s">
        <v>1457</v>
      </c>
      <c r="K957" s="12"/>
      <c r="L957" s="288">
        <v>11.1</v>
      </c>
      <c r="M957" s="289">
        <v>2</v>
      </c>
      <c r="N957" s="290">
        <v>33</v>
      </c>
      <c r="O957" s="46"/>
      <c r="P957" s="46" t="s">
        <v>39</v>
      </c>
      <c r="Q957" s="12"/>
      <c r="R957" s="192" t="str">
        <f t="shared" si="28"/>
        <v>33grams</v>
      </c>
      <c r="S957" s="198">
        <f t="shared" si="29"/>
        <v>66</v>
      </c>
      <c r="T957" s="199" t="str">
        <f t="shared" si="30"/>
        <v>66grams</v>
      </c>
      <c r="U957" s="200">
        <f t="shared" si="31"/>
        <v>22.2</v>
      </c>
      <c r="V957" s="12"/>
      <c r="W957" s="12"/>
    </row>
    <row r="958" spans="1:23" x14ac:dyDescent="0.3">
      <c r="A958" s="193" t="e">
        <f ca="1"/>
        <v>#NAME?</v>
      </c>
      <c r="B958" s="219" t="s">
        <v>1459</v>
      </c>
      <c r="C958" s="315"/>
      <c r="D958" s="316"/>
      <c r="E958" s="315"/>
      <c r="F958" s="315"/>
      <c r="G958" s="315"/>
      <c r="H958" s="153"/>
      <c r="I958" s="12"/>
      <c r="J958" s="219" t="s">
        <v>1457</v>
      </c>
      <c r="K958" s="12"/>
      <c r="L958" s="291">
        <v>27.5</v>
      </c>
      <c r="M958" s="292">
        <v>9</v>
      </c>
      <c r="N958" s="293">
        <v>200</v>
      </c>
      <c r="O958" s="219"/>
      <c r="P958" s="219" t="s">
        <v>32</v>
      </c>
      <c r="Q958" s="12"/>
      <c r="R958" s="192" t="str">
        <f t="shared" si="28"/>
        <v>200ml</v>
      </c>
      <c r="S958" s="198">
        <f t="shared" si="29"/>
        <v>1800</v>
      </c>
      <c r="T958" s="199" t="str">
        <f t="shared" si="30"/>
        <v>1800ml</v>
      </c>
      <c r="U958" s="200">
        <f t="shared" si="31"/>
        <v>247.5</v>
      </c>
      <c r="V958" s="12"/>
      <c r="W958" s="12"/>
    </row>
    <row r="959" spans="1:23" x14ac:dyDescent="0.3">
      <c r="A959" s="193" t="e">
        <f ca="1"/>
        <v>#NAME?</v>
      </c>
      <c r="B959" s="46" t="s">
        <v>103</v>
      </c>
      <c r="C959" s="315"/>
      <c r="D959" s="316"/>
      <c r="E959" s="315"/>
      <c r="F959" s="315"/>
      <c r="G959" s="315"/>
      <c r="H959" s="153"/>
      <c r="I959" s="12"/>
      <c r="J959" s="46" t="s">
        <v>1460</v>
      </c>
      <c r="K959" s="12"/>
      <c r="L959" s="288">
        <v>10.16</v>
      </c>
      <c r="M959" s="289">
        <v>154</v>
      </c>
      <c r="N959" s="290">
        <v>500</v>
      </c>
      <c r="O959" s="61"/>
      <c r="P959" s="61" t="s">
        <v>32</v>
      </c>
      <c r="Q959" s="12"/>
      <c r="R959" s="192" t="str">
        <f t="shared" si="28"/>
        <v>500ml</v>
      </c>
      <c r="S959" s="198">
        <f t="shared" si="29"/>
        <v>77000</v>
      </c>
      <c r="T959" s="199" t="str">
        <f t="shared" si="30"/>
        <v>77000ml</v>
      </c>
      <c r="U959" s="200">
        <f t="shared" si="31"/>
        <v>1564.64</v>
      </c>
      <c r="V959" s="12"/>
      <c r="W959" s="12"/>
    </row>
    <row r="960" spans="1:23" x14ac:dyDescent="0.3">
      <c r="A960" s="193" t="e">
        <f ca="1"/>
        <v>#NAME?</v>
      </c>
      <c r="B960" s="46" t="s">
        <v>103</v>
      </c>
      <c r="C960" s="315"/>
      <c r="D960" s="316"/>
      <c r="E960" s="315"/>
      <c r="F960" s="315"/>
      <c r="G960" s="315"/>
      <c r="H960" s="153"/>
      <c r="I960" s="12"/>
      <c r="J960" s="46" t="s">
        <v>1460</v>
      </c>
      <c r="K960" s="12"/>
      <c r="L960" s="288">
        <v>7.72</v>
      </c>
      <c r="M960" s="289">
        <v>65</v>
      </c>
      <c r="N960" s="290">
        <v>350</v>
      </c>
      <c r="O960" s="61"/>
      <c r="P960" s="61" t="s">
        <v>32</v>
      </c>
      <c r="Q960" s="12"/>
      <c r="R960" s="192" t="str">
        <f t="shared" si="28"/>
        <v>350ml</v>
      </c>
      <c r="S960" s="198">
        <f t="shared" si="29"/>
        <v>22750</v>
      </c>
      <c r="T960" s="199" t="str">
        <f t="shared" si="30"/>
        <v>22750ml</v>
      </c>
      <c r="U960" s="200">
        <f t="shared" si="31"/>
        <v>501.8</v>
      </c>
      <c r="V960" s="12"/>
      <c r="W960" s="12"/>
    </row>
    <row r="961" spans="1:23" x14ac:dyDescent="0.3">
      <c r="A961" s="193" t="e">
        <f ca="1"/>
        <v>#NAME?</v>
      </c>
      <c r="B961" s="46" t="s">
        <v>103</v>
      </c>
      <c r="C961" s="315"/>
      <c r="D961" s="316"/>
      <c r="E961" s="315"/>
      <c r="F961" s="315"/>
      <c r="G961" s="315"/>
      <c r="H961" s="153"/>
      <c r="I961" s="12"/>
      <c r="J961" s="46" t="s">
        <v>1461</v>
      </c>
      <c r="K961" s="12"/>
      <c r="L961" s="288">
        <v>39</v>
      </c>
      <c r="M961" s="289">
        <v>49</v>
      </c>
      <c r="N961" s="290">
        <v>330</v>
      </c>
      <c r="O961" s="61"/>
      <c r="P961" s="61" t="s">
        <v>32</v>
      </c>
      <c r="Q961" s="12"/>
      <c r="R961" s="192" t="str">
        <f t="shared" si="28"/>
        <v>330ml</v>
      </c>
      <c r="S961" s="198">
        <f t="shared" si="29"/>
        <v>16170</v>
      </c>
      <c r="T961" s="199" t="str">
        <f t="shared" si="30"/>
        <v>16170ml</v>
      </c>
      <c r="U961" s="200">
        <f t="shared" si="31"/>
        <v>1911</v>
      </c>
      <c r="V961" s="12"/>
      <c r="W961" s="12"/>
    </row>
    <row r="962" spans="1:23" x14ac:dyDescent="0.3">
      <c r="A962" s="193" t="e">
        <f ca="1"/>
        <v>#NAME?</v>
      </c>
      <c r="B962" s="46" t="s">
        <v>103</v>
      </c>
      <c r="C962" s="315"/>
      <c r="D962" s="316"/>
      <c r="E962" s="315"/>
      <c r="F962" s="315"/>
      <c r="G962" s="315"/>
      <c r="H962" s="153"/>
      <c r="I962" s="12"/>
      <c r="J962" s="46" t="s">
        <v>1460</v>
      </c>
      <c r="K962" s="12"/>
      <c r="L962" s="288">
        <v>10.16</v>
      </c>
      <c r="M962" s="289">
        <v>24</v>
      </c>
      <c r="N962" s="290">
        <v>500</v>
      </c>
      <c r="O962" s="61"/>
      <c r="P962" s="61" t="s">
        <v>32</v>
      </c>
      <c r="Q962" s="12"/>
      <c r="R962" s="192" t="str">
        <f t="shared" si="28"/>
        <v>500ml</v>
      </c>
      <c r="S962" s="198">
        <f t="shared" si="29"/>
        <v>12000</v>
      </c>
      <c r="T962" s="199" t="str">
        <f t="shared" si="30"/>
        <v>12000ml</v>
      </c>
      <c r="U962" s="200">
        <f t="shared" si="31"/>
        <v>243.84</v>
      </c>
      <c r="V962" s="12"/>
      <c r="W962" s="12"/>
    </row>
    <row r="963" spans="1:23" x14ac:dyDescent="0.3">
      <c r="A963" s="193" t="e">
        <f ca="1"/>
        <v>#NAME?</v>
      </c>
      <c r="B963" s="46" t="s">
        <v>103</v>
      </c>
      <c r="C963" s="315"/>
      <c r="D963" s="316"/>
      <c r="E963" s="315"/>
      <c r="F963" s="315"/>
      <c r="G963" s="315"/>
      <c r="H963" s="153"/>
      <c r="I963" s="12"/>
      <c r="J963" s="46" t="s">
        <v>1462</v>
      </c>
      <c r="K963" s="12"/>
      <c r="L963" s="288">
        <v>90</v>
      </c>
      <c r="M963" s="289">
        <v>11</v>
      </c>
      <c r="N963" s="290">
        <v>250</v>
      </c>
      <c r="O963" s="61"/>
      <c r="P963" s="61" t="s">
        <v>32</v>
      </c>
      <c r="Q963" s="12"/>
      <c r="R963" s="192" t="str">
        <f t="shared" si="28"/>
        <v>250ml</v>
      </c>
      <c r="S963" s="198">
        <f t="shared" si="29"/>
        <v>2750</v>
      </c>
      <c r="T963" s="199" t="str">
        <f t="shared" si="30"/>
        <v>2750ml</v>
      </c>
      <c r="U963" s="200">
        <f t="shared" si="31"/>
        <v>990</v>
      </c>
      <c r="V963" s="12"/>
      <c r="W963" s="12"/>
    </row>
    <row r="964" spans="1:23" x14ac:dyDescent="0.3">
      <c r="A964" s="193" t="e">
        <f ca="1"/>
        <v>#NAME?</v>
      </c>
      <c r="B964" s="46" t="s">
        <v>103</v>
      </c>
      <c r="C964" s="315"/>
      <c r="D964" s="316"/>
      <c r="E964" s="315"/>
      <c r="F964" s="315"/>
      <c r="G964" s="315"/>
      <c r="H964" s="153"/>
      <c r="I964" s="12"/>
      <c r="J964" s="46" t="s">
        <v>1462</v>
      </c>
      <c r="K964" s="12"/>
      <c r="L964" s="288">
        <v>114</v>
      </c>
      <c r="M964" s="289">
        <v>6</v>
      </c>
      <c r="N964" s="290">
        <v>500</v>
      </c>
      <c r="O964" s="61"/>
      <c r="P964" s="61" t="s">
        <v>32</v>
      </c>
      <c r="Q964" s="12"/>
      <c r="R964" s="192" t="str">
        <f t="shared" si="28"/>
        <v>500ml</v>
      </c>
      <c r="S964" s="198">
        <f t="shared" si="29"/>
        <v>3000</v>
      </c>
      <c r="T964" s="199" t="str">
        <f t="shared" si="30"/>
        <v>3000ml</v>
      </c>
      <c r="U964" s="200">
        <f t="shared" si="31"/>
        <v>684</v>
      </c>
      <c r="V964" s="12"/>
      <c r="W964" s="12"/>
    </row>
    <row r="965" spans="1:23" x14ac:dyDescent="0.3">
      <c r="A965" s="193" t="e">
        <f ca="1"/>
        <v>#NAME?</v>
      </c>
      <c r="B965" s="46" t="s">
        <v>103</v>
      </c>
      <c r="C965" s="315"/>
      <c r="D965" s="316"/>
      <c r="E965" s="315"/>
      <c r="F965" s="315"/>
      <c r="G965" s="315"/>
      <c r="H965" s="153"/>
      <c r="I965" s="12"/>
      <c r="J965" s="46" t="s">
        <v>1462</v>
      </c>
      <c r="K965" s="12"/>
      <c r="L965" s="288">
        <v>85</v>
      </c>
      <c r="M965" s="289">
        <v>27</v>
      </c>
      <c r="N965" s="290">
        <v>250</v>
      </c>
      <c r="O965" s="61"/>
      <c r="P965" s="61" t="s">
        <v>32</v>
      </c>
      <c r="Q965" s="12"/>
      <c r="R965" s="192" t="str">
        <f t="shared" si="28"/>
        <v>250ml</v>
      </c>
      <c r="S965" s="198">
        <f t="shared" si="29"/>
        <v>6750</v>
      </c>
      <c r="T965" s="199" t="str">
        <f t="shared" si="30"/>
        <v>6750ml</v>
      </c>
      <c r="U965" s="200">
        <f t="shared" si="31"/>
        <v>2295</v>
      </c>
      <c r="V965" s="12"/>
      <c r="W965" s="12"/>
    </row>
    <row r="966" spans="1:23" x14ac:dyDescent="0.3">
      <c r="A966" s="193" t="e">
        <f ca="1"/>
        <v>#NAME?</v>
      </c>
      <c r="B966" s="46" t="s">
        <v>103</v>
      </c>
      <c r="C966" s="315"/>
      <c r="D966" s="316"/>
      <c r="E966" s="315"/>
      <c r="F966" s="315"/>
      <c r="G966" s="315"/>
      <c r="H966" s="153"/>
      <c r="I966" s="12"/>
      <c r="J966" s="46" t="s">
        <v>1460</v>
      </c>
      <c r="K966" s="12"/>
      <c r="L966" s="288">
        <v>7.72</v>
      </c>
      <c r="M966" s="289">
        <v>75</v>
      </c>
      <c r="N966" s="290">
        <v>350</v>
      </c>
      <c r="O966" s="61"/>
      <c r="P966" s="61" t="s">
        <v>32</v>
      </c>
      <c r="Q966" s="12"/>
      <c r="R966" s="192" t="str">
        <f t="shared" si="28"/>
        <v>350ml</v>
      </c>
      <c r="S966" s="198">
        <f t="shared" si="29"/>
        <v>26250</v>
      </c>
      <c r="T966" s="199" t="str">
        <f t="shared" si="30"/>
        <v>26250ml</v>
      </c>
      <c r="U966" s="200">
        <f t="shared" si="31"/>
        <v>579</v>
      </c>
      <c r="V966" s="12"/>
      <c r="W966" s="12"/>
    </row>
    <row r="967" spans="1:23" x14ac:dyDescent="0.3">
      <c r="A967" s="193" t="e">
        <f ca="1"/>
        <v>#NAME?</v>
      </c>
      <c r="B967" s="46" t="s">
        <v>103</v>
      </c>
      <c r="C967" s="315"/>
      <c r="D967" s="316"/>
      <c r="E967" s="315"/>
      <c r="F967" s="315"/>
      <c r="G967" s="315"/>
      <c r="H967" s="153"/>
      <c r="I967" s="12"/>
      <c r="J967" s="46" t="s">
        <v>1463</v>
      </c>
      <c r="K967" s="12"/>
      <c r="L967" s="288">
        <v>9.08</v>
      </c>
      <c r="M967" s="289">
        <v>243</v>
      </c>
      <c r="N967" s="290">
        <v>350</v>
      </c>
      <c r="O967" s="61"/>
      <c r="P967" s="61" t="s">
        <v>32</v>
      </c>
      <c r="Q967" s="12"/>
      <c r="R967" s="192" t="str">
        <f t="shared" si="28"/>
        <v>350ml</v>
      </c>
      <c r="S967" s="198">
        <f t="shared" si="29"/>
        <v>85050</v>
      </c>
      <c r="T967" s="199" t="str">
        <f t="shared" si="30"/>
        <v>85050ml</v>
      </c>
      <c r="U967" s="200">
        <f t="shared" si="31"/>
        <v>2206.44</v>
      </c>
      <c r="V967" s="12"/>
      <c r="W967" s="12"/>
    </row>
    <row r="968" spans="1:23" x14ac:dyDescent="0.3">
      <c r="A968" s="193" t="e">
        <f ca="1"/>
        <v>#NAME?</v>
      </c>
      <c r="B968" s="46" t="s">
        <v>103</v>
      </c>
      <c r="C968" s="315"/>
      <c r="D968" s="316"/>
      <c r="E968" s="315"/>
      <c r="F968" s="315"/>
      <c r="G968" s="315"/>
      <c r="H968" s="153"/>
      <c r="I968" s="12"/>
      <c r="J968" s="46" t="s">
        <v>1463</v>
      </c>
      <c r="K968" s="12"/>
      <c r="L968" s="288">
        <v>7.85</v>
      </c>
      <c r="M968" s="289">
        <v>420</v>
      </c>
      <c r="N968" s="290">
        <v>500</v>
      </c>
      <c r="O968" s="61"/>
      <c r="P968" s="61" t="s">
        <v>32</v>
      </c>
      <c r="Q968" s="12"/>
      <c r="R968" s="192" t="str">
        <f t="shared" si="28"/>
        <v>500ml</v>
      </c>
      <c r="S968" s="198">
        <f t="shared" si="29"/>
        <v>210000</v>
      </c>
      <c r="T968" s="199" t="str">
        <f t="shared" si="30"/>
        <v>210000ml</v>
      </c>
      <c r="U968" s="200">
        <f t="shared" si="31"/>
        <v>3297</v>
      </c>
      <c r="V968" s="12"/>
      <c r="W968" s="12"/>
    </row>
    <row r="969" spans="1:23" x14ac:dyDescent="0.3">
      <c r="A969" s="193" t="e">
        <f ca="1"/>
        <v>#NAME?</v>
      </c>
      <c r="B969" s="219" t="s">
        <v>103</v>
      </c>
      <c r="C969" s="315"/>
      <c r="D969" s="316"/>
      <c r="E969" s="315"/>
      <c r="F969" s="315"/>
      <c r="G969" s="315"/>
      <c r="H969" s="153"/>
      <c r="I969" s="12"/>
      <c r="J969" s="219" t="s">
        <v>1464</v>
      </c>
      <c r="K969" s="12"/>
      <c r="L969" s="291">
        <v>10.42</v>
      </c>
      <c r="M969" s="292">
        <v>99</v>
      </c>
      <c r="N969" s="293">
        <v>500</v>
      </c>
      <c r="O969" s="209"/>
      <c r="P969" s="209" t="s">
        <v>32</v>
      </c>
      <c r="Q969" s="12"/>
      <c r="R969" s="192" t="str">
        <f t="shared" si="28"/>
        <v>500ml</v>
      </c>
      <c r="S969" s="198">
        <f t="shared" si="29"/>
        <v>49500</v>
      </c>
      <c r="T969" s="199" t="str">
        <f t="shared" si="30"/>
        <v>49500ml</v>
      </c>
      <c r="U969" s="200">
        <f t="shared" si="31"/>
        <v>1031.58</v>
      </c>
      <c r="V969" s="12"/>
      <c r="W969" s="12"/>
    </row>
    <row r="970" spans="1:23" x14ac:dyDescent="0.3">
      <c r="A970" s="193" t="e">
        <f ca="1"/>
        <v>#NAME?</v>
      </c>
      <c r="B970" s="46" t="s">
        <v>1465</v>
      </c>
      <c r="C970" s="315"/>
      <c r="D970" s="316"/>
      <c r="E970" s="315"/>
      <c r="F970" s="315"/>
      <c r="G970" s="315"/>
      <c r="H970" s="153"/>
      <c r="I970" s="12"/>
      <c r="J970" s="46" t="s">
        <v>1463</v>
      </c>
      <c r="K970" s="12"/>
      <c r="L970" s="288">
        <v>9.9</v>
      </c>
      <c r="M970" s="289">
        <v>411</v>
      </c>
      <c r="N970" s="290">
        <v>500</v>
      </c>
      <c r="O970" s="61"/>
      <c r="P970" s="61" t="s">
        <v>32</v>
      </c>
      <c r="Q970" s="12"/>
      <c r="R970" s="192" t="str">
        <f t="shared" si="28"/>
        <v>500ml</v>
      </c>
      <c r="S970" s="198">
        <f t="shared" si="29"/>
        <v>205500</v>
      </c>
      <c r="T970" s="199" t="str">
        <f t="shared" si="30"/>
        <v>205500ml</v>
      </c>
      <c r="U970" s="200">
        <f t="shared" si="31"/>
        <v>4068.9</v>
      </c>
      <c r="V970" s="12"/>
      <c r="W970" s="12"/>
    </row>
    <row r="971" spans="1:23" x14ac:dyDescent="0.3">
      <c r="A971" s="193" t="e">
        <f ca="1"/>
        <v>#NAME?</v>
      </c>
      <c r="B971" s="46" t="s">
        <v>1465</v>
      </c>
      <c r="C971" s="315"/>
      <c r="D971" s="316"/>
      <c r="E971" s="315"/>
      <c r="F971" s="315"/>
      <c r="G971" s="315"/>
      <c r="H971" s="153"/>
      <c r="I971" s="12"/>
      <c r="J971" s="46" t="s">
        <v>1463</v>
      </c>
      <c r="K971" s="12"/>
      <c r="L971" s="288">
        <v>9.9</v>
      </c>
      <c r="M971" s="289">
        <v>455</v>
      </c>
      <c r="N971" s="290">
        <v>500</v>
      </c>
      <c r="O971" s="61"/>
      <c r="P971" s="61" t="s">
        <v>32</v>
      </c>
      <c r="Q971" s="12"/>
      <c r="R971" s="192" t="str">
        <f t="shared" si="28"/>
        <v>500ml</v>
      </c>
      <c r="S971" s="198">
        <f t="shared" si="29"/>
        <v>227500</v>
      </c>
      <c r="T971" s="199" t="str">
        <f t="shared" si="30"/>
        <v>227500ml</v>
      </c>
      <c r="U971" s="200">
        <f t="shared" si="31"/>
        <v>4504.5</v>
      </c>
      <c r="V971" s="12"/>
      <c r="W971" s="12"/>
    </row>
    <row r="972" spans="1:23" x14ac:dyDescent="0.3">
      <c r="A972" s="193" t="e">
        <f ca="1"/>
        <v>#NAME?</v>
      </c>
      <c r="B972" s="46" t="s">
        <v>103</v>
      </c>
      <c r="C972" s="315"/>
      <c r="D972" s="316"/>
      <c r="E972" s="315"/>
      <c r="F972" s="315"/>
      <c r="G972" s="315"/>
      <c r="H972" s="153"/>
      <c r="I972" s="12"/>
      <c r="J972" s="46" t="s">
        <v>1460</v>
      </c>
      <c r="K972" s="12"/>
      <c r="L972" s="288">
        <v>7.72</v>
      </c>
      <c r="M972" s="289">
        <v>85</v>
      </c>
      <c r="N972" s="290">
        <v>350</v>
      </c>
      <c r="O972" s="61"/>
      <c r="P972" s="61" t="s">
        <v>32</v>
      </c>
      <c r="Q972" s="12"/>
      <c r="R972" s="192" t="str">
        <f t="shared" si="28"/>
        <v>350ml</v>
      </c>
      <c r="S972" s="198">
        <f t="shared" si="29"/>
        <v>29750</v>
      </c>
      <c r="T972" s="199" t="str">
        <f t="shared" si="30"/>
        <v>29750ml</v>
      </c>
      <c r="U972" s="200">
        <f t="shared" si="31"/>
        <v>656.19999999999993</v>
      </c>
      <c r="V972" s="12"/>
      <c r="W972" s="12"/>
    </row>
    <row r="973" spans="1:23" x14ac:dyDescent="0.3">
      <c r="A973" s="193" t="e">
        <f ca="1"/>
        <v>#NAME?</v>
      </c>
      <c r="B973" s="309" t="s">
        <v>103</v>
      </c>
      <c r="C973" s="315"/>
      <c r="D973" s="316"/>
      <c r="E973" s="315"/>
      <c r="F973" s="315"/>
      <c r="G973" s="315"/>
      <c r="H973" s="153"/>
      <c r="I973" s="12"/>
      <c r="J973" s="46" t="s">
        <v>1461</v>
      </c>
      <c r="K973" s="12"/>
      <c r="L973" s="288">
        <v>75</v>
      </c>
      <c r="M973" s="289">
        <v>2</v>
      </c>
      <c r="N973" s="290">
        <v>1</v>
      </c>
      <c r="O973" s="61"/>
      <c r="P973" s="61" t="s">
        <v>773</v>
      </c>
      <c r="Q973" s="12"/>
      <c r="R973" s="192" t="str">
        <f t="shared" si="28"/>
        <v>1liters</v>
      </c>
      <c r="S973" s="198">
        <f t="shared" si="29"/>
        <v>2</v>
      </c>
      <c r="T973" s="199" t="str">
        <f t="shared" si="30"/>
        <v>2liters</v>
      </c>
      <c r="U973" s="200">
        <f t="shared" si="31"/>
        <v>150</v>
      </c>
      <c r="V973" s="12"/>
      <c r="W973" s="12"/>
    </row>
    <row r="974" spans="1:23" x14ac:dyDescent="0.3">
      <c r="A974" s="193" t="e">
        <f ca="1"/>
        <v>#NAME?</v>
      </c>
      <c r="B974" s="320" t="s">
        <v>327</v>
      </c>
      <c r="C974" s="315"/>
      <c r="D974" s="316"/>
      <c r="E974" s="315"/>
      <c r="F974" s="315"/>
      <c r="G974" s="315"/>
      <c r="H974" s="153"/>
      <c r="I974" s="12"/>
      <c r="J974" s="46" t="s">
        <v>1056</v>
      </c>
      <c r="K974" s="12"/>
      <c r="L974" s="288">
        <v>23.6</v>
      </c>
      <c r="M974" s="289">
        <v>8</v>
      </c>
      <c r="N974" s="290">
        <v>100</v>
      </c>
      <c r="O974" s="46"/>
      <c r="P974" s="46" t="s">
        <v>39</v>
      </c>
      <c r="Q974" s="12"/>
      <c r="R974" s="192" t="str">
        <f t="shared" si="28"/>
        <v>100grams</v>
      </c>
      <c r="S974" s="198">
        <f t="shared" si="29"/>
        <v>800</v>
      </c>
      <c r="T974" s="199" t="str">
        <f t="shared" si="30"/>
        <v>800grams</v>
      </c>
      <c r="U974" s="200">
        <f t="shared" si="31"/>
        <v>188.8</v>
      </c>
      <c r="V974" s="12"/>
      <c r="W974" s="12"/>
    </row>
    <row r="975" spans="1:23" x14ac:dyDescent="0.3">
      <c r="A975" s="193" t="e">
        <f ca="1"/>
        <v>#NAME?</v>
      </c>
      <c r="B975" s="320" t="s">
        <v>327</v>
      </c>
      <c r="C975" s="315"/>
      <c r="D975" s="316"/>
      <c r="E975" s="315"/>
      <c r="F975" s="315"/>
      <c r="G975" s="315"/>
      <c r="H975" s="153"/>
      <c r="I975" s="12"/>
      <c r="J975" s="46" t="s">
        <v>1056</v>
      </c>
      <c r="K975" s="12"/>
      <c r="L975" s="288">
        <v>236.7</v>
      </c>
      <c r="M975" s="289">
        <v>1</v>
      </c>
      <c r="N975" s="290">
        <v>1</v>
      </c>
      <c r="O975" s="46"/>
      <c r="P975" s="46" t="s">
        <v>1466</v>
      </c>
      <c r="Q975" s="12"/>
      <c r="R975" s="192" t="str">
        <f t="shared" si="28"/>
        <v>1kl</v>
      </c>
      <c r="S975" s="198">
        <f t="shared" si="29"/>
        <v>1</v>
      </c>
      <c r="T975" s="199" t="str">
        <f t="shared" si="30"/>
        <v>1kl</v>
      </c>
      <c r="U975" s="200">
        <f t="shared" si="31"/>
        <v>236.7</v>
      </c>
      <c r="V975" s="12"/>
      <c r="W975" s="12"/>
    </row>
    <row r="976" spans="1:23" x14ac:dyDescent="0.3">
      <c r="A976" s="193" t="e">
        <f ca="1"/>
        <v>#NAME?</v>
      </c>
      <c r="B976" s="310" t="s">
        <v>327</v>
      </c>
      <c r="C976" s="315"/>
      <c r="D976" s="316"/>
      <c r="E976" s="315"/>
      <c r="F976" s="315"/>
      <c r="G976" s="315"/>
      <c r="H976" s="153"/>
      <c r="I976" s="12"/>
      <c r="J976" s="46" t="s">
        <v>1467</v>
      </c>
      <c r="K976" s="12"/>
      <c r="L976" s="288">
        <v>20</v>
      </c>
      <c r="M976" s="289">
        <v>4</v>
      </c>
      <c r="N976" s="290">
        <v>100</v>
      </c>
      <c r="O976" s="46"/>
      <c r="P976" s="46" t="s">
        <v>39</v>
      </c>
      <c r="Q976" s="12"/>
      <c r="R976" s="192" t="str">
        <f t="shared" si="28"/>
        <v>100grams</v>
      </c>
      <c r="S976" s="198">
        <f t="shared" si="29"/>
        <v>400</v>
      </c>
      <c r="T976" s="199" t="str">
        <f t="shared" si="30"/>
        <v>400grams</v>
      </c>
      <c r="U976" s="200">
        <f t="shared" si="31"/>
        <v>80</v>
      </c>
      <c r="V976" s="12"/>
      <c r="W976" s="12"/>
    </row>
    <row r="977" spans="1:23" x14ac:dyDescent="0.3">
      <c r="A977" s="193" t="e">
        <f ca="1"/>
        <v>#NAME?</v>
      </c>
      <c r="B977" s="46" t="s">
        <v>327</v>
      </c>
      <c r="C977" s="315"/>
      <c r="D977" s="316"/>
      <c r="E977" s="315"/>
      <c r="F977" s="315"/>
      <c r="G977" s="315"/>
      <c r="H977" s="153"/>
      <c r="I977" s="12"/>
      <c r="J977" s="46" t="s">
        <v>1468</v>
      </c>
      <c r="K977" s="12"/>
      <c r="L977" s="311">
        <v>125</v>
      </c>
      <c r="M977" s="289">
        <v>2</v>
      </c>
      <c r="N977" s="290">
        <v>1</v>
      </c>
      <c r="O977" s="46"/>
      <c r="P977" s="46" t="s">
        <v>213</v>
      </c>
      <c r="Q977" s="12"/>
      <c r="R977" s="192" t="str">
        <f t="shared" si="28"/>
        <v>1kilos</v>
      </c>
      <c r="S977" s="198">
        <f t="shared" si="29"/>
        <v>2</v>
      </c>
      <c r="T977" s="199" t="str">
        <f t="shared" si="30"/>
        <v>2kilos</v>
      </c>
      <c r="U977" s="200">
        <f t="shared" si="31"/>
        <v>250</v>
      </c>
      <c r="V977" s="12"/>
      <c r="W977" s="12"/>
    </row>
    <row r="978" spans="1:23" x14ac:dyDescent="0.3">
      <c r="A978" s="193" t="e">
        <f ca="1"/>
        <v>#NAME?</v>
      </c>
      <c r="B978" s="46" t="s">
        <v>327</v>
      </c>
      <c r="C978" s="315"/>
      <c r="D978" s="316"/>
      <c r="E978" s="315"/>
      <c r="F978" s="315"/>
      <c r="G978" s="315"/>
      <c r="H978" s="153"/>
      <c r="I978" s="12"/>
      <c r="J978" s="46" t="s">
        <v>867</v>
      </c>
      <c r="K978" s="12"/>
      <c r="L978" s="288">
        <v>120</v>
      </c>
      <c r="M978" s="289">
        <v>1</v>
      </c>
      <c r="N978" s="290">
        <v>1</v>
      </c>
      <c r="O978" s="46"/>
      <c r="P978" s="46" t="s">
        <v>213</v>
      </c>
      <c r="Q978" s="12"/>
      <c r="R978" s="192" t="str">
        <f t="shared" si="28"/>
        <v>1kilos</v>
      </c>
      <c r="S978" s="198">
        <f t="shared" si="29"/>
        <v>1</v>
      </c>
      <c r="T978" s="199" t="str">
        <f t="shared" si="30"/>
        <v>1kilos</v>
      </c>
      <c r="U978" s="200">
        <f t="shared" si="31"/>
        <v>120</v>
      </c>
      <c r="V978" s="12"/>
      <c r="W978" s="12"/>
    </row>
    <row r="979" spans="1:23" x14ac:dyDescent="0.3">
      <c r="A979" s="193" t="e">
        <f ca="1"/>
        <v>#NAME?</v>
      </c>
      <c r="B979" s="46" t="s">
        <v>1469</v>
      </c>
      <c r="C979" s="315"/>
      <c r="D979" s="316"/>
      <c r="E979" s="315"/>
      <c r="F979" s="315"/>
      <c r="G979" s="315"/>
      <c r="H979" s="153"/>
      <c r="I979" s="12"/>
      <c r="J979" s="46" t="s">
        <v>1470</v>
      </c>
      <c r="K979" s="12"/>
      <c r="L979" s="288">
        <v>50</v>
      </c>
      <c r="M979" s="289">
        <v>3</v>
      </c>
      <c r="N979" s="290">
        <v>400</v>
      </c>
      <c r="O979" s="46"/>
      <c r="P979" s="46" t="s">
        <v>39</v>
      </c>
      <c r="Q979" s="12"/>
      <c r="R979" s="192" t="str">
        <f t="shared" si="28"/>
        <v>400grams</v>
      </c>
      <c r="S979" s="198">
        <f t="shared" si="29"/>
        <v>1200</v>
      </c>
      <c r="T979" s="199" t="str">
        <f t="shared" si="30"/>
        <v>1200grams</v>
      </c>
      <c r="U979" s="200">
        <f t="shared" si="31"/>
        <v>150</v>
      </c>
      <c r="V979" s="12"/>
      <c r="W979" s="12"/>
    </row>
    <row r="980" spans="1:23" x14ac:dyDescent="0.3">
      <c r="A980" s="193" t="e">
        <f ca="1"/>
        <v>#NAME?</v>
      </c>
      <c r="B980" s="46" t="s">
        <v>454</v>
      </c>
      <c r="C980" s="315"/>
      <c r="D980" s="316"/>
      <c r="E980" s="315"/>
      <c r="F980" s="315"/>
      <c r="G980" s="315"/>
      <c r="H980" s="153"/>
      <c r="I980" s="12"/>
      <c r="J980" s="170"/>
      <c r="K980" s="12"/>
      <c r="L980" s="288">
        <v>85</v>
      </c>
      <c r="M980" s="289">
        <v>2</v>
      </c>
      <c r="N980" s="290">
        <v>1</v>
      </c>
      <c r="O980" s="46"/>
      <c r="P980" s="46" t="s">
        <v>213</v>
      </c>
      <c r="Q980" s="12"/>
      <c r="R980" s="192" t="str">
        <f t="shared" si="28"/>
        <v>1kilos</v>
      </c>
      <c r="S980" s="198">
        <f t="shared" si="29"/>
        <v>2</v>
      </c>
      <c r="T980" s="199" t="str">
        <f t="shared" si="30"/>
        <v>2kilos</v>
      </c>
      <c r="U980" s="200">
        <f t="shared" si="31"/>
        <v>170</v>
      </c>
      <c r="V980" s="12"/>
      <c r="W980" s="12"/>
    </row>
    <row r="981" spans="1:23" x14ac:dyDescent="0.3">
      <c r="A981" s="193" t="e">
        <f ca="1"/>
        <v>#NAME?</v>
      </c>
      <c r="B981" s="46" t="s">
        <v>454</v>
      </c>
      <c r="C981" s="315"/>
      <c r="D981" s="316"/>
      <c r="E981" s="315"/>
      <c r="F981" s="315"/>
      <c r="G981" s="315"/>
      <c r="H981" s="153"/>
      <c r="I981" s="12"/>
      <c r="J981" s="46" t="s">
        <v>1191</v>
      </c>
      <c r="K981" s="12"/>
      <c r="L981" s="288">
        <v>88</v>
      </c>
      <c r="M981" s="289">
        <v>6</v>
      </c>
      <c r="N981" s="290">
        <v>1</v>
      </c>
      <c r="O981" s="46"/>
      <c r="P981" s="46" t="s">
        <v>213</v>
      </c>
      <c r="Q981" s="12"/>
      <c r="R981" s="192" t="str">
        <f t="shared" si="28"/>
        <v>1kilos</v>
      </c>
      <c r="S981" s="198">
        <f t="shared" si="29"/>
        <v>6</v>
      </c>
      <c r="T981" s="199" t="str">
        <f t="shared" si="30"/>
        <v>6kilos</v>
      </c>
      <c r="U981" s="200">
        <f t="shared" si="31"/>
        <v>528</v>
      </c>
      <c r="V981" s="12"/>
      <c r="W981" s="12"/>
    </row>
    <row r="982" spans="1:23" x14ac:dyDescent="0.3">
      <c r="A982" s="193" t="e">
        <f ca="1"/>
        <v>#NAME?</v>
      </c>
      <c r="B982" s="46" t="s">
        <v>454</v>
      </c>
      <c r="C982" s="315"/>
      <c r="D982" s="316"/>
      <c r="E982" s="315"/>
      <c r="F982" s="315"/>
      <c r="G982" s="315"/>
      <c r="H982" s="153"/>
      <c r="I982" s="12"/>
      <c r="J982" s="170"/>
      <c r="K982" s="12"/>
      <c r="L982" s="288">
        <v>90</v>
      </c>
      <c r="M982" s="289">
        <v>1</v>
      </c>
      <c r="N982" s="290">
        <v>1</v>
      </c>
      <c r="O982" s="46"/>
      <c r="P982" s="46" t="s">
        <v>213</v>
      </c>
      <c r="Q982" s="12"/>
      <c r="R982" s="192" t="str">
        <f t="shared" si="28"/>
        <v>1kilos</v>
      </c>
      <c r="S982" s="198">
        <f t="shared" si="29"/>
        <v>1</v>
      </c>
      <c r="T982" s="199" t="str">
        <f t="shared" si="30"/>
        <v>1kilos</v>
      </c>
      <c r="U982" s="200">
        <f t="shared" si="31"/>
        <v>90</v>
      </c>
      <c r="V982" s="12"/>
      <c r="W982" s="12"/>
    </row>
    <row r="983" spans="1:23" x14ac:dyDescent="0.3">
      <c r="A983" s="193" t="e">
        <f ca="1"/>
        <v>#NAME?</v>
      </c>
      <c r="B983" s="46" t="s">
        <v>454</v>
      </c>
      <c r="C983" s="315"/>
      <c r="D983" s="316"/>
      <c r="E983" s="315"/>
      <c r="F983" s="315"/>
      <c r="G983" s="315"/>
      <c r="H983" s="153"/>
      <c r="I983" s="12"/>
      <c r="J983" s="170"/>
      <c r="K983" s="12"/>
      <c r="L983" s="288">
        <v>100</v>
      </c>
      <c r="M983" s="289">
        <v>7</v>
      </c>
      <c r="N983" s="290">
        <v>1</v>
      </c>
      <c r="O983" s="46"/>
      <c r="P983" s="46" t="s">
        <v>213</v>
      </c>
      <c r="Q983" s="12"/>
      <c r="R983" s="192" t="str">
        <f t="shared" si="28"/>
        <v>1kilos</v>
      </c>
      <c r="S983" s="198">
        <f t="shared" si="29"/>
        <v>7</v>
      </c>
      <c r="T983" s="199" t="str">
        <f t="shared" si="30"/>
        <v>7kilos</v>
      </c>
      <c r="U983" s="200">
        <f t="shared" si="31"/>
        <v>700</v>
      </c>
      <c r="V983" s="12"/>
      <c r="W983" s="12"/>
    </row>
    <row r="984" spans="1:23" x14ac:dyDescent="0.3">
      <c r="A984" s="193" t="e">
        <f ca="1"/>
        <v>#NAME?</v>
      </c>
      <c r="B984" s="46" t="s">
        <v>454</v>
      </c>
      <c r="C984" s="315"/>
      <c r="D984" s="316"/>
      <c r="E984" s="315"/>
      <c r="F984" s="315"/>
      <c r="G984" s="315"/>
      <c r="H984" s="153"/>
      <c r="I984" s="12"/>
      <c r="J984" s="170"/>
      <c r="K984" s="12"/>
      <c r="L984" s="288">
        <v>95</v>
      </c>
      <c r="M984" s="289">
        <v>1</v>
      </c>
      <c r="N984" s="290">
        <v>1</v>
      </c>
      <c r="O984" s="46"/>
      <c r="P984" s="46" t="s">
        <v>213</v>
      </c>
      <c r="Q984" s="12"/>
      <c r="R984" s="192" t="str">
        <f t="shared" si="28"/>
        <v>1kilos</v>
      </c>
      <c r="S984" s="198">
        <f t="shared" si="29"/>
        <v>1</v>
      </c>
      <c r="T984" s="199" t="str">
        <f t="shared" si="30"/>
        <v>1kilos</v>
      </c>
      <c r="U984" s="200">
        <f t="shared" si="31"/>
        <v>95</v>
      </c>
      <c r="V984" s="12"/>
      <c r="W984" s="12"/>
    </row>
    <row r="985" spans="1:23" x14ac:dyDescent="0.3">
      <c r="A985" s="193" t="e">
        <f ca="1"/>
        <v>#NAME?</v>
      </c>
      <c r="B985" s="46" t="s">
        <v>454</v>
      </c>
      <c r="C985" s="315"/>
      <c r="D985" s="316"/>
      <c r="E985" s="315"/>
      <c r="F985" s="315"/>
      <c r="G985" s="315"/>
      <c r="H985" s="153"/>
      <c r="I985" s="12"/>
      <c r="J985" s="215"/>
      <c r="K985" s="12"/>
      <c r="L985" s="291">
        <v>130</v>
      </c>
      <c r="M985" s="292">
        <v>1</v>
      </c>
      <c r="N985" s="290">
        <v>1</v>
      </c>
      <c r="O985" s="46"/>
      <c r="P985" s="46" t="s">
        <v>213</v>
      </c>
      <c r="Q985" s="12"/>
      <c r="R985" s="192" t="str">
        <f t="shared" si="28"/>
        <v>1kilos</v>
      </c>
      <c r="S985" s="198">
        <f t="shared" si="29"/>
        <v>1</v>
      </c>
      <c r="T985" s="199" t="str">
        <f t="shared" si="30"/>
        <v>1kilos</v>
      </c>
      <c r="U985" s="200">
        <f t="shared" si="31"/>
        <v>130</v>
      </c>
      <c r="V985" s="12"/>
      <c r="W985" s="12"/>
    </row>
    <row r="986" spans="1:23" x14ac:dyDescent="0.3">
      <c r="A986" s="193" t="e">
        <f ca="1"/>
        <v>#NAME?</v>
      </c>
      <c r="B986" s="46" t="s">
        <v>454</v>
      </c>
      <c r="C986" s="315"/>
      <c r="D986" s="316"/>
      <c r="E986" s="315"/>
      <c r="F986" s="315"/>
      <c r="G986" s="315"/>
      <c r="H986" s="153"/>
      <c r="I986" s="12"/>
      <c r="J986" s="46" t="s">
        <v>1471</v>
      </c>
      <c r="K986" s="12"/>
      <c r="L986" s="288">
        <v>100</v>
      </c>
      <c r="M986" s="289">
        <v>7</v>
      </c>
      <c r="N986" s="290">
        <v>1</v>
      </c>
      <c r="O986" s="46"/>
      <c r="P986" s="46" t="s">
        <v>213</v>
      </c>
      <c r="Q986" s="12"/>
      <c r="R986" s="192" t="str">
        <f t="shared" si="28"/>
        <v>1kilos</v>
      </c>
      <c r="S986" s="198">
        <f t="shared" si="29"/>
        <v>7</v>
      </c>
      <c r="T986" s="199" t="str">
        <f t="shared" si="30"/>
        <v>7kilos</v>
      </c>
      <c r="U986" s="200">
        <f t="shared" si="31"/>
        <v>700</v>
      </c>
      <c r="V986" s="12"/>
      <c r="W986" s="12"/>
    </row>
    <row r="987" spans="1:23" x14ac:dyDescent="0.3">
      <c r="A987" s="193" t="e">
        <f ca="1"/>
        <v>#NAME?</v>
      </c>
      <c r="B987" s="46" t="s">
        <v>203</v>
      </c>
      <c r="C987" s="315"/>
      <c r="D987" s="316"/>
      <c r="E987" s="315"/>
      <c r="F987" s="315"/>
      <c r="G987" s="315"/>
      <c r="H987" s="153"/>
      <c r="I987" s="12"/>
      <c r="J987" s="46" t="s">
        <v>1472</v>
      </c>
      <c r="K987" s="12"/>
      <c r="L987" s="288">
        <v>77.45</v>
      </c>
      <c r="M987" s="289">
        <v>6</v>
      </c>
      <c r="N987" s="290">
        <v>1</v>
      </c>
      <c r="O987" s="60"/>
      <c r="P987" s="60" t="s">
        <v>92</v>
      </c>
      <c r="Q987" s="12"/>
      <c r="R987" s="192" t="str">
        <f t="shared" si="28"/>
        <v>1pieces</v>
      </c>
      <c r="S987" s="198">
        <f t="shared" si="29"/>
        <v>6</v>
      </c>
      <c r="T987" s="199" t="str">
        <f t="shared" si="30"/>
        <v>6pieces</v>
      </c>
      <c r="U987" s="200">
        <f t="shared" si="31"/>
        <v>464.70000000000005</v>
      </c>
      <c r="V987" s="12"/>
      <c r="W987" s="12"/>
    </row>
    <row r="988" spans="1:23" x14ac:dyDescent="0.3">
      <c r="A988" s="193" t="e">
        <f ca="1"/>
        <v>#NAME?</v>
      </c>
      <c r="B988" s="46" t="s">
        <v>203</v>
      </c>
      <c r="C988" s="315"/>
      <c r="D988" s="316"/>
      <c r="E988" s="315"/>
      <c r="F988" s="315"/>
      <c r="G988" s="315"/>
      <c r="H988" s="153"/>
      <c r="I988" s="12"/>
      <c r="J988" s="46" t="s">
        <v>1472</v>
      </c>
      <c r="K988" s="12"/>
      <c r="L988" s="288">
        <v>110</v>
      </c>
      <c r="M988" s="289">
        <v>6</v>
      </c>
      <c r="N988" s="290">
        <v>1</v>
      </c>
      <c r="O988" s="46"/>
      <c r="P988" s="46" t="s">
        <v>92</v>
      </c>
      <c r="Q988" s="12"/>
      <c r="R988" s="192" t="str">
        <f t="shared" si="28"/>
        <v>1pieces</v>
      </c>
      <c r="S988" s="198">
        <f t="shared" si="29"/>
        <v>6</v>
      </c>
      <c r="T988" s="199" t="str">
        <f t="shared" si="30"/>
        <v>6pieces</v>
      </c>
      <c r="U988" s="200">
        <f t="shared" si="31"/>
        <v>660</v>
      </c>
      <c r="V988" s="12"/>
      <c r="W988" s="12"/>
    </row>
    <row r="989" spans="1:23" x14ac:dyDescent="0.3">
      <c r="A989" s="193" t="e">
        <f ca="1"/>
        <v>#NAME?</v>
      </c>
      <c r="B989" s="46" t="s">
        <v>203</v>
      </c>
      <c r="C989" s="315"/>
      <c r="D989" s="316"/>
      <c r="E989" s="315"/>
      <c r="F989" s="315"/>
      <c r="G989" s="315"/>
      <c r="H989" s="153"/>
      <c r="I989" s="12"/>
      <c r="J989" s="170"/>
      <c r="K989" s="12"/>
      <c r="L989" s="288">
        <v>120</v>
      </c>
      <c r="M989" s="289">
        <v>1</v>
      </c>
      <c r="N989" s="290">
        <v>1</v>
      </c>
      <c r="O989" s="46"/>
      <c r="P989" s="46" t="s">
        <v>92</v>
      </c>
      <c r="Q989" s="12"/>
      <c r="R989" s="192" t="str">
        <f t="shared" si="28"/>
        <v>1pieces</v>
      </c>
      <c r="S989" s="198">
        <f t="shared" si="29"/>
        <v>1</v>
      </c>
      <c r="T989" s="199" t="str">
        <f t="shared" si="30"/>
        <v>1pieces</v>
      </c>
      <c r="U989" s="200">
        <f t="shared" si="31"/>
        <v>120</v>
      </c>
      <c r="V989" s="12"/>
      <c r="W989" s="12"/>
    </row>
    <row r="990" spans="1:23" x14ac:dyDescent="0.3">
      <c r="A990" s="193" t="e">
        <f ca="1"/>
        <v>#NAME?</v>
      </c>
      <c r="B990" s="46" t="s">
        <v>694</v>
      </c>
      <c r="C990" s="315"/>
      <c r="D990" s="316"/>
      <c r="E990" s="315"/>
      <c r="F990" s="315"/>
      <c r="G990" s="315"/>
      <c r="H990" s="153"/>
      <c r="I990" s="12"/>
      <c r="J990" s="46" t="s">
        <v>865</v>
      </c>
      <c r="K990" s="12"/>
      <c r="L990" s="288">
        <v>38.5</v>
      </c>
      <c r="M990" s="289">
        <v>3</v>
      </c>
      <c r="N990" s="290">
        <v>156</v>
      </c>
      <c r="O990" s="46"/>
      <c r="P990" s="46" t="s">
        <v>39</v>
      </c>
      <c r="Q990" s="12"/>
      <c r="R990" s="192" t="str">
        <f t="shared" si="28"/>
        <v>156grams</v>
      </c>
      <c r="S990" s="198">
        <f t="shared" si="29"/>
        <v>468</v>
      </c>
      <c r="T990" s="199" t="str">
        <f t="shared" si="30"/>
        <v>468grams</v>
      </c>
      <c r="U990" s="200">
        <f t="shared" si="31"/>
        <v>115.5</v>
      </c>
      <c r="V990" s="12"/>
      <c r="W990" s="12"/>
    </row>
    <row r="991" spans="1:23" x14ac:dyDescent="0.3">
      <c r="A991" s="193" t="e">
        <f ca="1"/>
        <v>#NAME?</v>
      </c>
      <c r="B991" s="46" t="s">
        <v>694</v>
      </c>
      <c r="C991" s="315"/>
      <c r="D991" s="316"/>
      <c r="E991" s="315"/>
      <c r="F991" s="315"/>
      <c r="G991" s="315"/>
      <c r="H991" s="153"/>
      <c r="I991" s="12"/>
      <c r="J991" s="46" t="s">
        <v>865</v>
      </c>
      <c r="K991" s="12"/>
      <c r="L991" s="288">
        <v>47.9</v>
      </c>
      <c r="M991" s="289">
        <v>12</v>
      </c>
      <c r="N991" s="290">
        <v>156</v>
      </c>
      <c r="O991" s="46"/>
      <c r="P991" s="46" t="s">
        <v>39</v>
      </c>
      <c r="Q991" s="12"/>
      <c r="R991" s="192" t="str">
        <f t="shared" si="28"/>
        <v>156grams</v>
      </c>
      <c r="S991" s="198">
        <f t="shared" si="29"/>
        <v>1872</v>
      </c>
      <c r="T991" s="199" t="str">
        <f t="shared" si="30"/>
        <v>1872grams</v>
      </c>
      <c r="U991" s="200">
        <f t="shared" si="31"/>
        <v>574.79999999999995</v>
      </c>
      <c r="V991" s="12"/>
      <c r="W991" s="12"/>
    </row>
    <row r="992" spans="1:23" x14ac:dyDescent="0.3">
      <c r="A992" s="193" t="e">
        <f ca="1"/>
        <v>#NAME?</v>
      </c>
      <c r="B992" s="46" t="s">
        <v>694</v>
      </c>
      <c r="C992" s="315"/>
      <c r="D992" s="316"/>
      <c r="E992" s="315"/>
      <c r="F992" s="315"/>
      <c r="G992" s="315"/>
      <c r="H992" s="153"/>
      <c r="I992" s="12"/>
      <c r="J992" s="46" t="s">
        <v>865</v>
      </c>
      <c r="K992" s="12"/>
      <c r="L992" s="288">
        <v>61</v>
      </c>
      <c r="M992" s="289">
        <v>1</v>
      </c>
      <c r="N992" s="290">
        <v>230</v>
      </c>
      <c r="O992" s="46"/>
      <c r="P992" s="46" t="s">
        <v>519</v>
      </c>
      <c r="Q992" s="12"/>
      <c r="R992" s="192" t="str">
        <f t="shared" si="28"/>
        <v>230drained weight grams</v>
      </c>
      <c r="S992" s="198">
        <f t="shared" si="29"/>
        <v>230</v>
      </c>
      <c r="T992" s="199" t="str">
        <f t="shared" si="30"/>
        <v>230drained weight grams</v>
      </c>
      <c r="U992" s="200">
        <f t="shared" si="31"/>
        <v>61</v>
      </c>
      <c r="V992" s="12"/>
      <c r="W992" s="12"/>
    </row>
    <row r="993" spans="1:23" x14ac:dyDescent="0.3">
      <c r="A993" s="193" t="e">
        <f ca="1"/>
        <v>#NAME?</v>
      </c>
      <c r="B993" s="46" t="s">
        <v>695</v>
      </c>
      <c r="C993" s="315"/>
      <c r="D993" s="316"/>
      <c r="E993" s="315"/>
      <c r="F993" s="315"/>
      <c r="G993" s="315"/>
      <c r="H993" s="153"/>
      <c r="I993" s="12"/>
      <c r="J993" s="46" t="s">
        <v>865</v>
      </c>
      <c r="K993" s="12"/>
      <c r="L993" s="288">
        <v>63.8</v>
      </c>
      <c r="M993" s="289">
        <v>10</v>
      </c>
      <c r="N993" s="290">
        <v>200</v>
      </c>
      <c r="O993" s="46"/>
      <c r="P993" s="46" t="s">
        <v>519</v>
      </c>
      <c r="Q993" s="12"/>
      <c r="R993" s="192" t="str">
        <f t="shared" si="28"/>
        <v>200drained weight grams</v>
      </c>
      <c r="S993" s="198">
        <f t="shared" si="29"/>
        <v>2000</v>
      </c>
      <c r="T993" s="199" t="str">
        <f t="shared" si="30"/>
        <v>2000drained weight grams</v>
      </c>
      <c r="U993" s="200">
        <f t="shared" si="31"/>
        <v>638</v>
      </c>
      <c r="V993" s="12"/>
      <c r="W993" s="12"/>
    </row>
    <row r="994" spans="1:23" x14ac:dyDescent="0.3">
      <c r="A994" s="193" t="e">
        <f ca="1"/>
        <v>#NAME?</v>
      </c>
      <c r="B994" s="46" t="s">
        <v>1473</v>
      </c>
      <c r="C994" s="315"/>
      <c r="D994" s="316"/>
      <c r="E994" s="315"/>
      <c r="F994" s="315"/>
      <c r="G994" s="315"/>
      <c r="H994" s="153"/>
      <c r="I994" s="12"/>
      <c r="J994" s="46" t="s">
        <v>854</v>
      </c>
      <c r="K994" s="12"/>
      <c r="L994" s="288">
        <v>95.5</v>
      </c>
      <c r="M994" s="289">
        <v>1</v>
      </c>
      <c r="N994" s="290">
        <v>200</v>
      </c>
      <c r="O994" s="46"/>
      <c r="P994" s="46" t="s">
        <v>39</v>
      </c>
      <c r="Q994" s="12"/>
      <c r="R994" s="192" t="str">
        <f t="shared" si="28"/>
        <v>200grams</v>
      </c>
      <c r="S994" s="198">
        <f t="shared" si="29"/>
        <v>200</v>
      </c>
      <c r="T994" s="199" t="str">
        <f t="shared" si="30"/>
        <v>200grams</v>
      </c>
      <c r="U994" s="200">
        <f t="shared" si="31"/>
        <v>95.5</v>
      </c>
      <c r="V994" s="12"/>
      <c r="W994" s="12"/>
    </row>
    <row r="995" spans="1:23" x14ac:dyDescent="0.3">
      <c r="A995" s="193" t="e">
        <f ca="1"/>
        <v>#NAME?</v>
      </c>
      <c r="B995" s="46" t="s">
        <v>1473</v>
      </c>
      <c r="C995" s="315"/>
      <c r="D995" s="316"/>
      <c r="E995" s="315"/>
      <c r="F995" s="315"/>
      <c r="G995" s="315"/>
      <c r="H995" s="153"/>
      <c r="I995" s="12"/>
      <c r="J995" s="46" t="s">
        <v>854</v>
      </c>
      <c r="K995" s="12"/>
      <c r="L995" s="288">
        <v>79</v>
      </c>
      <c r="M995" s="289">
        <v>1</v>
      </c>
      <c r="N995" s="290">
        <v>200</v>
      </c>
      <c r="O995" s="46"/>
      <c r="P995" s="46" t="s">
        <v>39</v>
      </c>
      <c r="Q995" s="12"/>
      <c r="R995" s="192" t="str">
        <f t="shared" si="28"/>
        <v>200grams</v>
      </c>
      <c r="S995" s="198">
        <f t="shared" si="29"/>
        <v>200</v>
      </c>
      <c r="T995" s="199" t="str">
        <f t="shared" si="30"/>
        <v>200grams</v>
      </c>
      <c r="U995" s="200">
        <f t="shared" si="31"/>
        <v>79</v>
      </c>
      <c r="V995" s="12"/>
      <c r="W995" s="12"/>
    </row>
    <row r="996" spans="1:23" x14ac:dyDescent="0.3">
      <c r="A996" s="193" t="e">
        <f ca="1"/>
        <v>#NAME?</v>
      </c>
      <c r="B996" s="46" t="s">
        <v>1474</v>
      </c>
      <c r="C996" s="315"/>
      <c r="D996" s="316"/>
      <c r="E996" s="315"/>
      <c r="F996" s="315"/>
      <c r="G996" s="315"/>
      <c r="H996" s="153"/>
      <c r="I996" s="12"/>
      <c r="J996" s="307" t="s">
        <v>1475</v>
      </c>
      <c r="K996" s="12"/>
      <c r="L996" s="288">
        <v>180</v>
      </c>
      <c r="M996" s="289">
        <v>1</v>
      </c>
      <c r="N996" s="290">
        <v>896</v>
      </c>
      <c r="O996" s="46"/>
      <c r="P996" s="46" t="s">
        <v>39</v>
      </c>
      <c r="Q996" s="12"/>
      <c r="R996" s="192" t="str">
        <f t="shared" si="28"/>
        <v>896grams</v>
      </c>
      <c r="S996" s="198">
        <f t="shared" si="29"/>
        <v>896</v>
      </c>
      <c r="T996" s="199" t="str">
        <f t="shared" si="30"/>
        <v>896grams</v>
      </c>
      <c r="U996" s="200">
        <f t="shared" si="31"/>
        <v>180</v>
      </c>
      <c r="V996" s="12"/>
      <c r="W996" s="12"/>
    </row>
    <row r="997" spans="1:23" x14ac:dyDescent="0.3">
      <c r="A997" s="193" t="e">
        <f ca="1"/>
        <v>#NAME?</v>
      </c>
      <c r="B997" s="46" t="s">
        <v>1476</v>
      </c>
      <c r="C997" s="315"/>
      <c r="D997" s="316"/>
      <c r="E997" s="315"/>
      <c r="F997" s="315"/>
      <c r="G997" s="315"/>
      <c r="H997" s="153"/>
      <c r="I997" s="12"/>
      <c r="J997" s="46" t="s">
        <v>1272</v>
      </c>
      <c r="K997" s="12"/>
      <c r="L997" s="288">
        <v>49.75</v>
      </c>
      <c r="M997" s="289">
        <v>6</v>
      </c>
      <c r="N997" s="290">
        <v>1</v>
      </c>
      <c r="O997" s="46"/>
      <c r="P997" s="46" t="s">
        <v>92</v>
      </c>
      <c r="Q997" s="12"/>
      <c r="R997" s="192" t="str">
        <f t="shared" si="28"/>
        <v>1pieces</v>
      </c>
      <c r="S997" s="198">
        <f t="shared" si="29"/>
        <v>6</v>
      </c>
      <c r="T997" s="199" t="str">
        <f t="shared" si="30"/>
        <v>6pieces</v>
      </c>
      <c r="U997" s="200">
        <f t="shared" si="31"/>
        <v>298.5</v>
      </c>
      <c r="V997" s="12"/>
      <c r="W997" s="12"/>
    </row>
    <row r="998" spans="1:23" x14ac:dyDescent="0.3">
      <c r="A998" s="193" t="e">
        <f ca="1"/>
        <v>#NAME?</v>
      </c>
      <c r="B998" s="46" t="s">
        <v>1477</v>
      </c>
      <c r="C998" s="315"/>
      <c r="D998" s="316"/>
      <c r="E998" s="315"/>
      <c r="F998" s="315"/>
      <c r="G998" s="315"/>
      <c r="H998" s="153"/>
      <c r="I998" s="12"/>
      <c r="J998" s="170"/>
      <c r="K998" s="12"/>
      <c r="L998" s="288">
        <v>60</v>
      </c>
      <c r="M998" s="289">
        <v>1</v>
      </c>
      <c r="N998" s="290">
        <v>1</v>
      </c>
      <c r="O998" s="46"/>
      <c r="P998" s="46" t="s">
        <v>213</v>
      </c>
      <c r="Q998" s="12"/>
      <c r="R998" s="192" t="str">
        <f t="shared" si="28"/>
        <v>1kilos</v>
      </c>
      <c r="S998" s="198">
        <f t="shared" si="29"/>
        <v>1</v>
      </c>
      <c r="T998" s="199" t="str">
        <f t="shared" si="30"/>
        <v>1kilos</v>
      </c>
      <c r="U998" s="200">
        <f t="shared" si="31"/>
        <v>60</v>
      </c>
      <c r="V998" s="12"/>
      <c r="W998" s="12"/>
    </row>
    <row r="999" spans="1:23" x14ac:dyDescent="0.3">
      <c r="A999" s="193" t="e">
        <f ca="1"/>
        <v>#NAME?</v>
      </c>
      <c r="B999" s="219" t="s">
        <v>1478</v>
      </c>
      <c r="C999" s="315"/>
      <c r="D999" s="316"/>
      <c r="E999" s="315"/>
      <c r="F999" s="315"/>
      <c r="G999" s="315"/>
      <c r="H999" s="153"/>
      <c r="I999" s="12"/>
      <c r="J999" s="219" t="s">
        <v>854</v>
      </c>
      <c r="K999" s="12"/>
      <c r="L999" s="288">
        <v>105</v>
      </c>
      <c r="M999" s="289">
        <v>1</v>
      </c>
      <c r="N999" s="290">
        <v>37</v>
      </c>
      <c r="O999" s="46"/>
      <c r="P999" s="46" t="s">
        <v>39</v>
      </c>
      <c r="Q999" s="12"/>
      <c r="R999" s="192" t="str">
        <f t="shared" si="28"/>
        <v>37grams</v>
      </c>
      <c r="S999" s="198">
        <f t="shared" si="29"/>
        <v>37</v>
      </c>
      <c r="T999" s="199" t="str">
        <f t="shared" si="30"/>
        <v>37grams</v>
      </c>
      <c r="U999" s="200">
        <f t="shared" si="31"/>
        <v>105</v>
      </c>
      <c r="V999" s="12"/>
      <c r="W999" s="12"/>
    </row>
    <row r="1000" spans="1:23" x14ac:dyDescent="0.3">
      <c r="A1000" s="193" t="e">
        <f ca="1"/>
        <v>#NAME?</v>
      </c>
      <c r="B1000" s="219" t="s">
        <v>1478</v>
      </c>
      <c r="C1000" s="315"/>
      <c r="D1000" s="316"/>
      <c r="E1000" s="315"/>
      <c r="F1000" s="315"/>
      <c r="G1000" s="315"/>
      <c r="H1000" s="153"/>
      <c r="I1000" s="12"/>
      <c r="J1000" s="219" t="s">
        <v>854</v>
      </c>
      <c r="K1000" s="12"/>
      <c r="L1000" s="291">
        <v>125.25</v>
      </c>
      <c r="M1000" s="292">
        <v>2</v>
      </c>
      <c r="N1000" s="293">
        <v>37</v>
      </c>
      <c r="O1000" s="219"/>
      <c r="P1000" s="219" t="s">
        <v>39</v>
      </c>
      <c r="Q1000" s="12"/>
      <c r="R1000" s="192" t="str">
        <f t="shared" si="28"/>
        <v>37grams</v>
      </c>
      <c r="S1000" s="198">
        <f t="shared" si="29"/>
        <v>74</v>
      </c>
      <c r="T1000" s="199" t="str">
        <f t="shared" si="30"/>
        <v>74grams</v>
      </c>
      <c r="U1000" s="200">
        <f t="shared" si="31"/>
        <v>250.5</v>
      </c>
      <c r="V1000" s="12"/>
      <c r="W1000" s="12"/>
    </row>
    <row r="1001" spans="1:23" x14ac:dyDescent="0.3">
      <c r="A1001" s="193" t="e">
        <f ca="1"/>
        <v>#NAME?</v>
      </c>
      <c r="B1001" s="46" t="s">
        <v>1479</v>
      </c>
      <c r="C1001" s="315"/>
      <c r="D1001" s="316"/>
      <c r="E1001" s="315"/>
      <c r="F1001" s="315"/>
      <c r="G1001" s="315"/>
      <c r="H1001" s="153"/>
      <c r="I1001" s="12"/>
      <c r="J1001" s="170"/>
      <c r="K1001" s="12"/>
      <c r="L1001" s="288">
        <v>55</v>
      </c>
      <c r="M1001" s="289">
        <v>1</v>
      </c>
      <c r="N1001" s="290">
        <v>1</v>
      </c>
      <c r="O1001" s="46"/>
      <c r="P1001" s="46" t="s">
        <v>213</v>
      </c>
      <c r="Q1001" s="12"/>
      <c r="R1001" s="192" t="str">
        <f t="shared" si="28"/>
        <v>1kilos</v>
      </c>
      <c r="S1001" s="198">
        <f t="shared" si="29"/>
        <v>1</v>
      </c>
      <c r="T1001" s="199" t="str">
        <f t="shared" si="30"/>
        <v>1kilos</v>
      </c>
      <c r="U1001" s="200">
        <f t="shared" si="31"/>
        <v>55</v>
      </c>
      <c r="V1001" s="12"/>
      <c r="W1001" s="12"/>
    </row>
    <row r="1002" spans="1:23" x14ac:dyDescent="0.3">
      <c r="A1002" s="193" t="e">
        <f ca="1"/>
        <v>#NAME?</v>
      </c>
      <c r="B1002" s="46" t="s">
        <v>1479</v>
      </c>
      <c r="C1002" s="315"/>
      <c r="D1002" s="316"/>
      <c r="E1002" s="315"/>
      <c r="F1002" s="315"/>
      <c r="G1002" s="315"/>
      <c r="H1002" s="153"/>
      <c r="I1002" s="12"/>
      <c r="J1002" s="170"/>
      <c r="K1002" s="12"/>
      <c r="L1002" s="288">
        <v>120</v>
      </c>
      <c r="M1002" s="289">
        <v>0</v>
      </c>
      <c r="N1002" s="290">
        <v>1</v>
      </c>
      <c r="O1002" s="46"/>
      <c r="P1002" s="46" t="s">
        <v>213</v>
      </c>
      <c r="Q1002" s="12"/>
      <c r="R1002" s="192" t="str">
        <f t="shared" si="28"/>
        <v>1kilos</v>
      </c>
      <c r="S1002" s="198">
        <f t="shared" si="29"/>
        <v>0</v>
      </c>
      <c r="T1002" s="199" t="str">
        <f t="shared" si="30"/>
        <v>0kilos</v>
      </c>
      <c r="U1002" s="200">
        <f t="shared" si="31"/>
        <v>0</v>
      </c>
      <c r="V1002" s="12"/>
      <c r="W1002" s="12"/>
    </row>
    <row r="1003" spans="1:23" x14ac:dyDescent="0.3">
      <c r="A1003" s="193" t="e">
        <f ca="1"/>
        <v>#NAME?</v>
      </c>
      <c r="B1003" s="46" t="s">
        <v>1479</v>
      </c>
      <c r="C1003" s="315"/>
      <c r="D1003" s="316"/>
      <c r="E1003" s="315"/>
      <c r="F1003" s="315"/>
      <c r="G1003" s="315"/>
      <c r="H1003" s="153"/>
      <c r="I1003" s="12"/>
      <c r="J1003" s="170"/>
      <c r="K1003" s="12"/>
      <c r="L1003" s="288">
        <v>50</v>
      </c>
      <c r="M1003" s="289">
        <v>2</v>
      </c>
      <c r="N1003" s="290">
        <v>1</v>
      </c>
      <c r="O1003" s="46"/>
      <c r="P1003" s="46" t="s">
        <v>213</v>
      </c>
      <c r="Q1003" s="12"/>
      <c r="R1003" s="192" t="str">
        <f t="shared" si="28"/>
        <v>1kilos</v>
      </c>
      <c r="S1003" s="198">
        <f t="shared" si="29"/>
        <v>2</v>
      </c>
      <c r="T1003" s="199" t="str">
        <f t="shared" si="30"/>
        <v>2kilos</v>
      </c>
      <c r="U1003" s="200">
        <f t="shared" si="31"/>
        <v>100</v>
      </c>
      <c r="V1003" s="12"/>
      <c r="W1003" s="12"/>
    </row>
    <row r="1004" spans="1:23" x14ac:dyDescent="0.3">
      <c r="A1004" s="193" t="e">
        <f ca="1"/>
        <v>#NAME?</v>
      </c>
      <c r="B1004" s="46" t="s">
        <v>1479</v>
      </c>
      <c r="C1004" s="315"/>
      <c r="D1004" s="316"/>
      <c r="E1004" s="315"/>
      <c r="F1004" s="315"/>
      <c r="G1004" s="315"/>
      <c r="H1004" s="153"/>
      <c r="I1004" s="12"/>
      <c r="J1004" s="215"/>
      <c r="K1004" s="12"/>
      <c r="L1004" s="291">
        <v>105</v>
      </c>
      <c r="M1004" s="292">
        <v>1</v>
      </c>
      <c r="N1004" s="290">
        <v>1</v>
      </c>
      <c r="O1004" s="46"/>
      <c r="P1004" s="46" t="s">
        <v>213</v>
      </c>
      <c r="Q1004" s="12"/>
      <c r="R1004" s="192" t="str">
        <f t="shared" si="28"/>
        <v>1kilos</v>
      </c>
      <c r="S1004" s="198">
        <f t="shared" si="29"/>
        <v>1</v>
      </c>
      <c r="T1004" s="199" t="str">
        <f t="shared" si="30"/>
        <v>1kilos</v>
      </c>
      <c r="U1004" s="200">
        <f t="shared" si="31"/>
        <v>105</v>
      </c>
      <c r="V1004" s="12"/>
      <c r="W1004" s="12"/>
    </row>
    <row r="1005" spans="1:23" x14ac:dyDescent="0.3">
      <c r="A1005" s="193" t="e">
        <f ca="1"/>
        <v>#NAME?</v>
      </c>
      <c r="B1005" s="46" t="s">
        <v>1479</v>
      </c>
      <c r="C1005" s="315"/>
      <c r="D1005" s="316"/>
      <c r="E1005" s="315"/>
      <c r="F1005" s="315"/>
      <c r="G1005" s="315"/>
      <c r="H1005" s="153"/>
      <c r="I1005" s="12"/>
      <c r="J1005" s="46" t="s">
        <v>1480</v>
      </c>
      <c r="K1005" s="12"/>
      <c r="L1005" s="288">
        <v>60</v>
      </c>
      <c r="M1005" s="289">
        <v>1</v>
      </c>
      <c r="N1005" s="290">
        <v>1</v>
      </c>
      <c r="O1005" s="46"/>
      <c r="P1005" s="46" t="s">
        <v>213</v>
      </c>
      <c r="Q1005" s="12"/>
      <c r="R1005" s="192" t="str">
        <f t="shared" si="28"/>
        <v>1kilos</v>
      </c>
      <c r="S1005" s="198">
        <f t="shared" si="29"/>
        <v>1</v>
      </c>
      <c r="T1005" s="199" t="str">
        <f t="shared" si="30"/>
        <v>1kilos</v>
      </c>
      <c r="U1005" s="200">
        <f t="shared" si="31"/>
        <v>60</v>
      </c>
      <c r="V1005" s="12"/>
      <c r="W1005" s="12"/>
    </row>
    <row r="1006" spans="1:23" x14ac:dyDescent="0.3">
      <c r="A1006" s="193" t="e">
        <f ca="1"/>
        <v>#NAME?</v>
      </c>
      <c r="B1006" s="46" t="s">
        <v>1481</v>
      </c>
      <c r="C1006" s="315"/>
      <c r="D1006" s="316"/>
      <c r="E1006" s="315"/>
      <c r="F1006" s="315"/>
      <c r="G1006" s="315"/>
      <c r="H1006" s="153"/>
      <c r="I1006" s="12"/>
      <c r="J1006" s="46" t="s">
        <v>963</v>
      </c>
      <c r="K1006" s="12"/>
      <c r="L1006" s="288">
        <v>294</v>
      </c>
      <c r="M1006" s="289">
        <v>1</v>
      </c>
      <c r="N1006" s="290">
        <v>500</v>
      </c>
      <c r="O1006" s="46"/>
      <c r="P1006" s="46" t="s">
        <v>39</v>
      </c>
      <c r="Q1006" s="12"/>
      <c r="R1006" s="192" t="str">
        <f t="shared" si="28"/>
        <v>500grams</v>
      </c>
      <c r="S1006" s="198">
        <f t="shared" si="29"/>
        <v>500</v>
      </c>
      <c r="T1006" s="199" t="str">
        <f t="shared" si="30"/>
        <v>500grams</v>
      </c>
      <c r="U1006" s="200">
        <f t="shared" si="31"/>
        <v>294</v>
      </c>
      <c r="V1006" s="12"/>
      <c r="W1006" s="12"/>
    </row>
    <row r="1007" spans="1:23" x14ac:dyDescent="0.3">
      <c r="A1007" s="193" t="e">
        <f ca="1"/>
        <v>#NAME?</v>
      </c>
      <c r="B1007" s="46" t="s">
        <v>1481</v>
      </c>
      <c r="C1007" s="315"/>
      <c r="D1007" s="316"/>
      <c r="E1007" s="315"/>
      <c r="F1007" s="315"/>
      <c r="G1007" s="315"/>
      <c r="H1007" s="153"/>
      <c r="I1007" s="12"/>
      <c r="J1007" s="46" t="s">
        <v>963</v>
      </c>
      <c r="K1007" s="12"/>
      <c r="L1007" s="288">
        <v>534.75</v>
      </c>
      <c r="M1007" s="289">
        <v>1</v>
      </c>
      <c r="N1007" s="290">
        <v>500</v>
      </c>
      <c r="O1007" s="60"/>
      <c r="P1007" s="60" t="s">
        <v>32</v>
      </c>
      <c r="Q1007" s="12"/>
      <c r="R1007" s="192" t="str">
        <f t="shared" si="28"/>
        <v>500ml</v>
      </c>
      <c r="S1007" s="198">
        <f t="shared" si="29"/>
        <v>500</v>
      </c>
      <c r="T1007" s="199" t="str">
        <f t="shared" si="30"/>
        <v>500ml</v>
      </c>
      <c r="U1007" s="200">
        <f t="shared" si="31"/>
        <v>534.75</v>
      </c>
      <c r="V1007" s="12"/>
      <c r="W1007" s="12"/>
    </row>
    <row r="1008" spans="1:23" x14ac:dyDescent="0.3">
      <c r="A1008" s="193" t="e">
        <f ca="1"/>
        <v>#NAME?</v>
      </c>
      <c r="B1008" s="219" t="s">
        <v>1481</v>
      </c>
      <c r="C1008" s="315"/>
      <c r="D1008" s="316"/>
      <c r="E1008" s="315"/>
      <c r="F1008" s="315"/>
      <c r="G1008" s="315"/>
      <c r="H1008" s="153"/>
      <c r="I1008" s="12"/>
      <c r="J1008" s="219" t="s">
        <v>880</v>
      </c>
      <c r="K1008" s="12"/>
      <c r="L1008" s="291">
        <v>244.5</v>
      </c>
      <c r="M1008" s="292">
        <v>1</v>
      </c>
      <c r="N1008" s="293">
        <v>250</v>
      </c>
      <c r="O1008" s="219"/>
      <c r="P1008" s="219" t="s">
        <v>32</v>
      </c>
      <c r="Q1008" s="12"/>
      <c r="R1008" s="192" t="str">
        <f t="shared" si="28"/>
        <v>250ml</v>
      </c>
      <c r="S1008" s="198">
        <f t="shared" si="29"/>
        <v>250</v>
      </c>
      <c r="T1008" s="199" t="str">
        <f t="shared" si="30"/>
        <v>250ml</v>
      </c>
      <c r="U1008" s="200">
        <f t="shared" si="31"/>
        <v>244.5</v>
      </c>
      <c r="V1008" s="12"/>
      <c r="W1008" s="12"/>
    </row>
    <row r="1009" spans="1:23" x14ac:dyDescent="0.3">
      <c r="A1009" s="193" t="e">
        <f ca="1"/>
        <v>#NAME?</v>
      </c>
      <c r="B1009" s="46" t="s">
        <v>703</v>
      </c>
      <c r="C1009" s="315"/>
      <c r="D1009" s="316"/>
      <c r="E1009" s="315"/>
      <c r="F1009" s="315"/>
      <c r="G1009" s="315"/>
      <c r="H1009" s="153"/>
      <c r="I1009" s="12"/>
      <c r="J1009" s="46" t="s">
        <v>963</v>
      </c>
      <c r="K1009" s="12"/>
      <c r="L1009" s="288">
        <v>279.7</v>
      </c>
      <c r="M1009" s="289">
        <v>1</v>
      </c>
      <c r="N1009" s="290">
        <v>250</v>
      </c>
      <c r="O1009" s="46"/>
      <c r="P1009" s="46" t="s">
        <v>32</v>
      </c>
      <c r="Q1009" s="12"/>
      <c r="R1009" s="192" t="str">
        <f t="shared" si="28"/>
        <v>250ml</v>
      </c>
      <c r="S1009" s="198">
        <f t="shared" si="29"/>
        <v>250</v>
      </c>
      <c r="T1009" s="199" t="str">
        <f t="shared" si="30"/>
        <v>250ml</v>
      </c>
      <c r="U1009" s="200">
        <f t="shared" si="31"/>
        <v>279.7</v>
      </c>
      <c r="V1009" s="12"/>
      <c r="W1009" s="12"/>
    </row>
    <row r="1010" spans="1:23" x14ac:dyDescent="0.3">
      <c r="A1010" s="193" t="e">
        <f ca="1"/>
        <v>#NAME?</v>
      </c>
      <c r="B1010" s="46" t="s">
        <v>703</v>
      </c>
      <c r="C1010" s="315"/>
      <c r="D1010" s="316"/>
      <c r="E1010" s="315"/>
      <c r="F1010" s="315"/>
      <c r="G1010" s="315"/>
      <c r="H1010" s="153"/>
      <c r="I1010" s="12"/>
      <c r="J1010" s="46" t="s">
        <v>963</v>
      </c>
      <c r="K1010" s="12"/>
      <c r="L1010" s="288">
        <v>263.5</v>
      </c>
      <c r="M1010" s="289">
        <v>1</v>
      </c>
      <c r="N1010" s="290">
        <v>250</v>
      </c>
      <c r="O1010" s="46"/>
      <c r="P1010" s="46" t="s">
        <v>32</v>
      </c>
      <c r="Q1010" s="12"/>
      <c r="R1010" s="192" t="str">
        <f t="shared" si="28"/>
        <v>250ml</v>
      </c>
      <c r="S1010" s="198">
        <f t="shared" si="29"/>
        <v>250</v>
      </c>
      <c r="T1010" s="199" t="str">
        <f t="shared" si="30"/>
        <v>250ml</v>
      </c>
      <c r="U1010" s="200">
        <f t="shared" si="31"/>
        <v>263.5</v>
      </c>
      <c r="V1010" s="12"/>
      <c r="W1010" s="12"/>
    </row>
    <row r="1011" spans="1:23" x14ac:dyDescent="0.3">
      <c r="A1011" s="193" t="e">
        <f ca="1"/>
        <v>#NAME?</v>
      </c>
      <c r="B1011" s="46" t="s">
        <v>703</v>
      </c>
      <c r="C1011" s="315"/>
      <c r="D1011" s="316"/>
      <c r="E1011" s="315"/>
      <c r="F1011" s="315"/>
      <c r="G1011" s="315"/>
      <c r="H1011" s="153"/>
      <c r="I1011" s="12"/>
      <c r="J1011" s="46" t="s">
        <v>963</v>
      </c>
      <c r="K1011" s="12"/>
      <c r="L1011" s="288">
        <v>290</v>
      </c>
      <c r="M1011" s="289">
        <v>4</v>
      </c>
      <c r="N1011" s="290">
        <v>250</v>
      </c>
      <c r="O1011" s="46"/>
      <c r="P1011" s="46" t="s">
        <v>39</v>
      </c>
      <c r="Q1011" s="12"/>
      <c r="R1011" s="192" t="str">
        <f t="shared" si="28"/>
        <v>250grams</v>
      </c>
      <c r="S1011" s="198">
        <f t="shared" si="29"/>
        <v>1000</v>
      </c>
      <c r="T1011" s="199" t="str">
        <f t="shared" si="30"/>
        <v>1000grams</v>
      </c>
      <c r="U1011" s="200">
        <f t="shared" si="31"/>
        <v>1160</v>
      </c>
      <c r="V1011" s="12"/>
      <c r="W1011" s="12"/>
    </row>
    <row r="1012" spans="1:23" x14ac:dyDescent="0.3">
      <c r="A1012" s="193" t="e">
        <f ca="1"/>
        <v>#NAME?</v>
      </c>
      <c r="B1012" s="219" t="s">
        <v>703</v>
      </c>
      <c r="C1012" s="315"/>
      <c r="D1012" s="316"/>
      <c r="E1012" s="315"/>
      <c r="F1012" s="315"/>
      <c r="G1012" s="315"/>
      <c r="H1012" s="153"/>
      <c r="I1012" s="12"/>
      <c r="J1012" s="219" t="s">
        <v>963</v>
      </c>
      <c r="K1012" s="12"/>
      <c r="L1012" s="291">
        <v>279.10000000000002</v>
      </c>
      <c r="M1012" s="292">
        <v>1</v>
      </c>
      <c r="N1012" s="293">
        <v>250</v>
      </c>
      <c r="O1012" s="219"/>
      <c r="P1012" s="219" t="s">
        <v>32</v>
      </c>
      <c r="Q1012" s="12"/>
      <c r="R1012" s="192" t="str">
        <f t="shared" si="28"/>
        <v>250ml</v>
      </c>
      <c r="S1012" s="198">
        <f t="shared" si="29"/>
        <v>250</v>
      </c>
      <c r="T1012" s="199" t="str">
        <f t="shared" si="30"/>
        <v>250ml</v>
      </c>
      <c r="U1012" s="200">
        <f t="shared" si="31"/>
        <v>279.10000000000002</v>
      </c>
      <c r="V1012" s="12"/>
      <c r="W1012" s="12"/>
    </row>
    <row r="1013" spans="1:23" x14ac:dyDescent="0.3">
      <c r="A1013" s="193" t="e">
        <f ca="1"/>
        <v>#NAME?</v>
      </c>
      <c r="B1013" s="46" t="s">
        <v>1482</v>
      </c>
      <c r="C1013" s="315"/>
      <c r="D1013" s="316"/>
      <c r="E1013" s="315"/>
      <c r="F1013" s="315"/>
      <c r="G1013" s="315"/>
      <c r="H1013" s="153"/>
      <c r="I1013" s="12"/>
      <c r="J1013" s="170"/>
      <c r="K1013" s="12"/>
      <c r="L1013" s="288">
        <v>100</v>
      </c>
      <c r="M1013" s="289">
        <v>0</v>
      </c>
      <c r="N1013" s="290">
        <v>1</v>
      </c>
      <c r="O1013" s="60"/>
      <c r="P1013" s="60" t="s">
        <v>213</v>
      </c>
      <c r="Q1013" s="12"/>
      <c r="R1013" s="192" t="str">
        <f t="shared" si="28"/>
        <v>1kilos</v>
      </c>
      <c r="S1013" s="198">
        <f t="shared" si="29"/>
        <v>0</v>
      </c>
      <c r="T1013" s="199" t="str">
        <f t="shared" si="30"/>
        <v>0kilos</v>
      </c>
      <c r="U1013" s="200">
        <f t="shared" si="31"/>
        <v>0</v>
      </c>
      <c r="V1013" s="12"/>
      <c r="W1013" s="12"/>
    </row>
    <row r="1014" spans="1:23" x14ac:dyDescent="0.3">
      <c r="A1014" s="193" t="e">
        <f ca="1"/>
        <v>#NAME?</v>
      </c>
      <c r="B1014" s="46" t="s">
        <v>1482</v>
      </c>
      <c r="C1014" s="315"/>
      <c r="D1014" s="316"/>
      <c r="E1014" s="315"/>
      <c r="F1014" s="315"/>
      <c r="G1014" s="315"/>
      <c r="H1014" s="153"/>
      <c r="I1014" s="12"/>
      <c r="J1014" s="170"/>
      <c r="K1014" s="12"/>
      <c r="L1014" s="288">
        <v>110</v>
      </c>
      <c r="M1014" s="289">
        <v>0</v>
      </c>
      <c r="N1014" s="290">
        <v>1</v>
      </c>
      <c r="O1014" s="46"/>
      <c r="P1014" s="46" t="s">
        <v>213</v>
      </c>
      <c r="Q1014" s="12"/>
      <c r="R1014" s="192" t="str">
        <f t="shared" si="28"/>
        <v>1kilos</v>
      </c>
      <c r="S1014" s="198">
        <f t="shared" si="29"/>
        <v>0</v>
      </c>
      <c r="T1014" s="199" t="str">
        <f t="shared" si="30"/>
        <v>0kilos</v>
      </c>
      <c r="U1014" s="200">
        <f t="shared" si="31"/>
        <v>0</v>
      </c>
      <c r="V1014" s="12"/>
      <c r="W1014" s="12"/>
    </row>
    <row r="1015" spans="1:23" x14ac:dyDescent="0.3">
      <c r="A1015" s="193" t="e">
        <f ca="1"/>
        <v>#NAME?</v>
      </c>
      <c r="B1015" s="219" t="s">
        <v>1483</v>
      </c>
      <c r="C1015" s="315"/>
      <c r="D1015" s="316"/>
      <c r="E1015" s="315"/>
      <c r="F1015" s="315"/>
      <c r="G1015" s="315"/>
      <c r="H1015" s="153"/>
      <c r="I1015" s="12"/>
      <c r="J1015" s="219" t="s">
        <v>1074</v>
      </c>
      <c r="K1015" s="12"/>
      <c r="L1015" s="291">
        <v>14.35</v>
      </c>
      <c r="M1015" s="292">
        <v>1</v>
      </c>
      <c r="N1015" s="293">
        <v>30</v>
      </c>
      <c r="O1015" s="219"/>
      <c r="P1015" s="219" t="s">
        <v>39</v>
      </c>
      <c r="Q1015" s="12"/>
      <c r="R1015" s="192" t="str">
        <f t="shared" si="28"/>
        <v>30grams</v>
      </c>
      <c r="S1015" s="198">
        <f t="shared" si="29"/>
        <v>30</v>
      </c>
      <c r="T1015" s="199" t="str">
        <f t="shared" si="30"/>
        <v>30grams</v>
      </c>
      <c r="U1015" s="200">
        <f t="shared" si="31"/>
        <v>14.35</v>
      </c>
      <c r="V1015" s="12"/>
      <c r="W1015" s="12"/>
    </row>
    <row r="1016" spans="1:23" x14ac:dyDescent="0.3">
      <c r="A1016" s="193" t="e">
        <f ca="1"/>
        <v>#NAME?</v>
      </c>
      <c r="B1016" s="46" t="s">
        <v>1484</v>
      </c>
      <c r="C1016" s="315"/>
      <c r="D1016" s="316"/>
      <c r="E1016" s="315"/>
      <c r="F1016" s="315"/>
      <c r="G1016" s="315"/>
      <c r="H1016" s="153"/>
      <c r="I1016" s="12"/>
      <c r="J1016" s="170"/>
      <c r="K1016" s="12"/>
      <c r="L1016" s="288">
        <v>95</v>
      </c>
      <c r="M1016" s="289">
        <v>1</v>
      </c>
      <c r="N1016" s="290">
        <v>1</v>
      </c>
      <c r="O1016" s="46"/>
      <c r="P1016" s="46" t="s">
        <v>213</v>
      </c>
      <c r="Q1016" s="12"/>
      <c r="R1016" s="192" t="str">
        <f t="shared" si="28"/>
        <v>1kilos</v>
      </c>
      <c r="S1016" s="198">
        <f t="shared" si="29"/>
        <v>1</v>
      </c>
      <c r="T1016" s="199" t="str">
        <f t="shared" si="30"/>
        <v>1kilos</v>
      </c>
      <c r="U1016" s="200">
        <f t="shared" si="31"/>
        <v>95</v>
      </c>
      <c r="V1016" s="12"/>
      <c r="W1016" s="12"/>
    </row>
    <row r="1017" spans="1:23" x14ac:dyDescent="0.3">
      <c r="A1017" s="193" t="e">
        <f ca="1"/>
        <v>#NAME?</v>
      </c>
      <c r="B1017" s="46" t="s">
        <v>1484</v>
      </c>
      <c r="C1017" s="315"/>
      <c r="D1017" s="316"/>
      <c r="E1017" s="315"/>
      <c r="F1017" s="315"/>
      <c r="G1017" s="315"/>
      <c r="H1017" s="153"/>
      <c r="I1017" s="12"/>
      <c r="J1017" s="170"/>
      <c r="K1017" s="12"/>
      <c r="L1017" s="288">
        <v>280</v>
      </c>
      <c r="M1017" s="289">
        <v>1</v>
      </c>
      <c r="N1017" s="290">
        <v>1</v>
      </c>
      <c r="O1017" s="46"/>
      <c r="P1017" s="46" t="s">
        <v>213</v>
      </c>
      <c r="Q1017" s="12"/>
      <c r="R1017" s="192" t="str">
        <f t="shared" si="28"/>
        <v>1kilos</v>
      </c>
      <c r="S1017" s="198">
        <f t="shared" si="29"/>
        <v>1</v>
      </c>
      <c r="T1017" s="199" t="str">
        <f t="shared" si="30"/>
        <v>1kilos</v>
      </c>
      <c r="U1017" s="200">
        <f t="shared" si="31"/>
        <v>280</v>
      </c>
      <c r="V1017" s="12"/>
      <c r="W1017" s="12"/>
    </row>
    <row r="1018" spans="1:23" x14ac:dyDescent="0.3">
      <c r="A1018" s="193" t="e">
        <f ca="1"/>
        <v>#NAME?</v>
      </c>
      <c r="B1018" s="167" t="s">
        <v>705</v>
      </c>
      <c r="C1018" s="315"/>
      <c r="D1018" s="316"/>
      <c r="E1018" s="315"/>
      <c r="F1018" s="315"/>
      <c r="G1018" s="315"/>
      <c r="H1018" s="153"/>
      <c r="I1018" s="12"/>
      <c r="J1018" s="46" t="s">
        <v>912</v>
      </c>
      <c r="K1018" s="12"/>
      <c r="L1018" s="288">
        <v>110</v>
      </c>
      <c r="M1018" s="289">
        <v>1</v>
      </c>
      <c r="N1018" s="290">
        <v>1</v>
      </c>
      <c r="O1018" s="46"/>
      <c r="P1018" s="46" t="s">
        <v>213</v>
      </c>
      <c r="Q1018" s="12"/>
      <c r="R1018" s="192" t="str">
        <f t="shared" si="28"/>
        <v>1kilos</v>
      </c>
      <c r="S1018" s="198">
        <f t="shared" si="29"/>
        <v>1</v>
      </c>
      <c r="T1018" s="199" t="str">
        <f t="shared" si="30"/>
        <v>1kilos</v>
      </c>
      <c r="U1018" s="200">
        <f t="shared" si="31"/>
        <v>110</v>
      </c>
      <c r="V1018" s="12"/>
      <c r="W1018" s="12"/>
    </row>
    <row r="1019" spans="1:23" x14ac:dyDescent="0.3">
      <c r="A1019" s="193" t="e">
        <f ca="1"/>
        <v>#NAME?</v>
      </c>
      <c r="B1019" s="167" t="s">
        <v>705</v>
      </c>
      <c r="C1019" s="315"/>
      <c r="D1019" s="316"/>
      <c r="E1019" s="315"/>
      <c r="F1019" s="315"/>
      <c r="G1019" s="315"/>
      <c r="H1019" s="153"/>
      <c r="I1019" s="12"/>
      <c r="J1019" s="170"/>
      <c r="K1019" s="12"/>
      <c r="L1019" s="288">
        <v>85</v>
      </c>
      <c r="M1019" s="289">
        <v>2</v>
      </c>
      <c r="N1019" s="290">
        <v>1</v>
      </c>
      <c r="O1019" s="46"/>
      <c r="P1019" s="46" t="s">
        <v>213</v>
      </c>
      <c r="Q1019" s="12"/>
      <c r="R1019" s="192" t="str">
        <f t="shared" si="28"/>
        <v>1kilos</v>
      </c>
      <c r="S1019" s="198">
        <f t="shared" si="29"/>
        <v>2</v>
      </c>
      <c r="T1019" s="199" t="str">
        <f t="shared" si="30"/>
        <v>2kilos</v>
      </c>
      <c r="U1019" s="200">
        <f t="shared" si="31"/>
        <v>170</v>
      </c>
      <c r="V1019" s="12"/>
      <c r="W1019" s="12"/>
    </row>
    <row r="1020" spans="1:23" x14ac:dyDescent="0.3">
      <c r="A1020" s="193" t="e">
        <f ca="1"/>
        <v>#NAME?</v>
      </c>
      <c r="B1020" s="46" t="s">
        <v>705</v>
      </c>
      <c r="C1020" s="315"/>
      <c r="D1020" s="316"/>
      <c r="E1020" s="315"/>
      <c r="F1020" s="315"/>
      <c r="G1020" s="315"/>
      <c r="H1020" s="153"/>
      <c r="I1020" s="12"/>
      <c r="J1020" s="170"/>
      <c r="K1020" s="12"/>
      <c r="L1020" s="288">
        <v>140</v>
      </c>
      <c r="M1020" s="289">
        <v>2</v>
      </c>
      <c r="N1020" s="290">
        <v>1</v>
      </c>
      <c r="O1020" s="46"/>
      <c r="P1020" s="46" t="s">
        <v>213</v>
      </c>
      <c r="Q1020" s="12"/>
      <c r="R1020" s="192" t="str">
        <f t="shared" si="28"/>
        <v>1kilos</v>
      </c>
      <c r="S1020" s="198">
        <f t="shared" si="29"/>
        <v>2</v>
      </c>
      <c r="T1020" s="199" t="str">
        <f t="shared" si="30"/>
        <v>2kilos</v>
      </c>
      <c r="U1020" s="200">
        <f t="shared" si="31"/>
        <v>280</v>
      </c>
      <c r="V1020" s="12"/>
      <c r="W1020" s="12"/>
    </row>
    <row r="1021" spans="1:23" x14ac:dyDescent="0.3">
      <c r="A1021" s="193" t="e">
        <f ca="1"/>
        <v>#NAME?</v>
      </c>
      <c r="B1021" s="219" t="s">
        <v>1485</v>
      </c>
      <c r="C1021" s="315"/>
      <c r="D1021" s="316"/>
      <c r="E1021" s="315"/>
      <c r="F1021" s="315"/>
      <c r="G1021" s="315"/>
      <c r="H1021" s="153"/>
      <c r="I1021" s="12"/>
      <c r="J1021" s="219" t="s">
        <v>1486</v>
      </c>
      <c r="K1021" s="12"/>
      <c r="L1021" s="291">
        <v>135</v>
      </c>
      <c r="M1021" s="292">
        <v>1</v>
      </c>
      <c r="N1021" s="293">
        <v>320</v>
      </c>
      <c r="O1021" s="219"/>
      <c r="P1021" s="219" t="s">
        <v>39</v>
      </c>
      <c r="Q1021" s="12"/>
      <c r="R1021" s="192" t="str">
        <f t="shared" si="28"/>
        <v>320grams</v>
      </c>
      <c r="S1021" s="198">
        <f t="shared" si="29"/>
        <v>320</v>
      </c>
      <c r="T1021" s="199" t="str">
        <f t="shared" si="30"/>
        <v>320grams</v>
      </c>
      <c r="U1021" s="200">
        <f t="shared" si="31"/>
        <v>135</v>
      </c>
      <c r="V1021" s="12"/>
      <c r="W1021" s="12"/>
    </row>
    <row r="1022" spans="1:23" x14ac:dyDescent="0.3">
      <c r="A1022" s="193" t="e">
        <f ca="1"/>
        <v>#NAME?</v>
      </c>
      <c r="B1022" s="46" t="s">
        <v>1487</v>
      </c>
      <c r="C1022" s="315"/>
      <c r="D1022" s="316"/>
      <c r="E1022" s="315"/>
      <c r="F1022" s="315"/>
      <c r="G1022" s="315"/>
      <c r="H1022" s="153"/>
      <c r="I1022" s="12"/>
      <c r="J1022" s="170"/>
      <c r="K1022" s="12"/>
      <c r="L1022" s="288">
        <v>45</v>
      </c>
      <c r="M1022" s="289">
        <v>8</v>
      </c>
      <c r="N1022" s="290">
        <v>1</v>
      </c>
      <c r="O1022" s="46"/>
      <c r="P1022" s="46" t="s">
        <v>92</v>
      </c>
      <c r="Q1022" s="12"/>
      <c r="R1022" s="192" t="str">
        <f t="shared" si="28"/>
        <v>1pieces</v>
      </c>
      <c r="S1022" s="198">
        <f t="shared" si="29"/>
        <v>8</v>
      </c>
      <c r="T1022" s="199" t="str">
        <f t="shared" si="30"/>
        <v>8pieces</v>
      </c>
      <c r="U1022" s="200">
        <f t="shared" si="31"/>
        <v>360</v>
      </c>
      <c r="V1022" s="12"/>
      <c r="W1022" s="12"/>
    </row>
    <row r="1023" spans="1:23" x14ac:dyDescent="0.3">
      <c r="A1023" s="193" t="e">
        <f ca="1"/>
        <v>#NAME?</v>
      </c>
      <c r="B1023" s="219" t="s">
        <v>1488</v>
      </c>
      <c r="C1023" s="315"/>
      <c r="D1023" s="316"/>
      <c r="E1023" s="315"/>
      <c r="F1023" s="315"/>
      <c r="G1023" s="315"/>
      <c r="H1023" s="153"/>
      <c r="I1023" s="12"/>
      <c r="J1023" s="219" t="s">
        <v>1074</v>
      </c>
      <c r="K1023" s="12"/>
      <c r="L1023" s="291">
        <v>21.1</v>
      </c>
      <c r="M1023" s="292">
        <v>3</v>
      </c>
      <c r="N1023" s="293">
        <v>10</v>
      </c>
      <c r="O1023" s="219"/>
      <c r="P1023" s="219" t="s">
        <v>39</v>
      </c>
      <c r="Q1023" s="12"/>
      <c r="R1023" s="192" t="str">
        <f t="shared" si="28"/>
        <v>10grams</v>
      </c>
      <c r="S1023" s="198">
        <f t="shared" si="29"/>
        <v>30</v>
      </c>
      <c r="T1023" s="199" t="str">
        <f t="shared" si="30"/>
        <v>30grams</v>
      </c>
      <c r="U1023" s="200">
        <f t="shared" si="31"/>
        <v>63.300000000000004</v>
      </c>
      <c r="V1023" s="12"/>
      <c r="W1023" s="12"/>
    </row>
    <row r="1024" spans="1:23" x14ac:dyDescent="0.3">
      <c r="A1024" s="193" t="e">
        <f ca="1"/>
        <v>#NAME?</v>
      </c>
      <c r="B1024" s="46" t="s">
        <v>1489</v>
      </c>
      <c r="C1024" s="315"/>
      <c r="D1024" s="316"/>
      <c r="E1024" s="315"/>
      <c r="F1024" s="315"/>
      <c r="G1024" s="315"/>
      <c r="H1024" s="153"/>
      <c r="I1024" s="12"/>
      <c r="J1024" s="46" t="s">
        <v>363</v>
      </c>
      <c r="K1024" s="12"/>
      <c r="L1024" s="288">
        <v>160</v>
      </c>
      <c r="M1024" s="289">
        <v>2</v>
      </c>
      <c r="N1024" s="321">
        <v>2.2999999999999998</v>
      </c>
      <c r="O1024" s="46"/>
      <c r="P1024" s="46" t="s">
        <v>213</v>
      </c>
      <c r="Q1024" s="12"/>
      <c r="R1024" s="192" t="str">
        <f t="shared" si="28"/>
        <v>2.3kilos</v>
      </c>
      <c r="S1024" s="198">
        <f t="shared" si="29"/>
        <v>4.5999999999999996</v>
      </c>
      <c r="T1024" s="199" t="str">
        <f t="shared" si="30"/>
        <v>4.6kilos</v>
      </c>
      <c r="U1024" s="200">
        <f t="shared" si="31"/>
        <v>320</v>
      </c>
      <c r="V1024" s="12"/>
      <c r="W1024" s="12"/>
    </row>
    <row r="1025" spans="1:23" x14ac:dyDescent="0.3">
      <c r="A1025" s="193" t="e">
        <f ca="1"/>
        <v>#NAME?</v>
      </c>
      <c r="B1025" s="46" t="s">
        <v>1489</v>
      </c>
      <c r="C1025" s="315"/>
      <c r="D1025" s="316"/>
      <c r="E1025" s="315"/>
      <c r="F1025" s="315"/>
      <c r="G1025" s="315"/>
      <c r="H1025" s="153"/>
      <c r="I1025" s="12"/>
      <c r="J1025" s="46" t="s">
        <v>907</v>
      </c>
      <c r="K1025" s="12"/>
      <c r="L1025" s="288">
        <v>240</v>
      </c>
      <c r="M1025" s="289">
        <v>17</v>
      </c>
      <c r="N1025" s="290">
        <v>1</v>
      </c>
      <c r="O1025" s="46"/>
      <c r="P1025" s="46" t="s">
        <v>213</v>
      </c>
      <c r="Q1025" s="12"/>
      <c r="R1025" s="192" t="str">
        <f t="shared" si="28"/>
        <v>1kilos</v>
      </c>
      <c r="S1025" s="198">
        <f t="shared" si="29"/>
        <v>17</v>
      </c>
      <c r="T1025" s="199" t="str">
        <f t="shared" si="30"/>
        <v>17kilos</v>
      </c>
      <c r="U1025" s="200">
        <f t="shared" si="31"/>
        <v>4080</v>
      </c>
      <c r="V1025" s="12"/>
      <c r="W1025" s="12"/>
    </row>
    <row r="1026" spans="1:23" x14ac:dyDescent="0.3">
      <c r="A1026" s="193" t="e">
        <f ca="1"/>
        <v>#NAME?</v>
      </c>
      <c r="B1026" s="46" t="s">
        <v>279</v>
      </c>
      <c r="C1026" s="315"/>
      <c r="D1026" s="316"/>
      <c r="E1026" s="315"/>
      <c r="F1026" s="315"/>
      <c r="G1026" s="315"/>
      <c r="H1026" s="153"/>
      <c r="I1026" s="12"/>
      <c r="J1026" s="46" t="s">
        <v>1069</v>
      </c>
      <c r="K1026" s="12"/>
      <c r="L1026" s="288">
        <v>199</v>
      </c>
      <c r="M1026" s="289">
        <v>7</v>
      </c>
      <c r="N1026" s="290">
        <v>3500</v>
      </c>
      <c r="O1026" s="46"/>
      <c r="P1026" s="46" t="s">
        <v>32</v>
      </c>
      <c r="Q1026" s="12"/>
      <c r="R1026" s="192" t="str">
        <f t="shared" si="28"/>
        <v>3500ml</v>
      </c>
      <c r="S1026" s="198">
        <f t="shared" si="29"/>
        <v>24500</v>
      </c>
      <c r="T1026" s="199" t="str">
        <f t="shared" si="30"/>
        <v>24500ml</v>
      </c>
      <c r="U1026" s="200">
        <f t="shared" si="31"/>
        <v>1393</v>
      </c>
      <c r="V1026" s="12"/>
      <c r="W1026" s="12"/>
    </row>
    <row r="1027" spans="1:23" x14ac:dyDescent="0.3">
      <c r="A1027" s="193" t="e">
        <f ca="1"/>
        <v>#NAME?</v>
      </c>
      <c r="B1027" s="46" t="s">
        <v>279</v>
      </c>
      <c r="C1027" s="315"/>
      <c r="D1027" s="316"/>
      <c r="E1027" s="315"/>
      <c r="F1027" s="315"/>
      <c r="G1027" s="315"/>
      <c r="H1027" s="153"/>
      <c r="I1027" s="12"/>
      <c r="J1027" s="46" t="s">
        <v>897</v>
      </c>
      <c r="K1027" s="12"/>
      <c r="L1027" s="288">
        <v>103.6</v>
      </c>
      <c r="M1027" s="289">
        <v>1</v>
      </c>
      <c r="N1027" s="290">
        <v>405</v>
      </c>
      <c r="O1027" s="46"/>
      <c r="P1027" s="46" t="s">
        <v>39</v>
      </c>
      <c r="Q1027" s="12"/>
      <c r="R1027" s="192" t="str">
        <f t="shared" si="28"/>
        <v>405grams</v>
      </c>
      <c r="S1027" s="198">
        <f t="shared" si="29"/>
        <v>405</v>
      </c>
      <c r="T1027" s="199" t="str">
        <f t="shared" si="30"/>
        <v>405grams</v>
      </c>
      <c r="U1027" s="200">
        <f t="shared" si="31"/>
        <v>103.6</v>
      </c>
      <c r="V1027" s="12"/>
      <c r="W1027" s="12"/>
    </row>
    <row r="1028" spans="1:23" x14ac:dyDescent="0.3">
      <c r="A1028" s="193" t="e">
        <f ca="1"/>
        <v>#NAME?</v>
      </c>
      <c r="B1028" s="46" t="s">
        <v>279</v>
      </c>
      <c r="C1028" s="315"/>
      <c r="D1028" s="316"/>
      <c r="E1028" s="315"/>
      <c r="F1028" s="315"/>
      <c r="G1028" s="315"/>
      <c r="H1028" s="153"/>
      <c r="I1028" s="12"/>
      <c r="J1028" s="46" t="s">
        <v>897</v>
      </c>
      <c r="K1028" s="12"/>
      <c r="L1028" s="288">
        <v>186</v>
      </c>
      <c r="M1028" s="289">
        <v>1</v>
      </c>
      <c r="N1028" s="290">
        <v>765</v>
      </c>
      <c r="O1028" s="46"/>
      <c r="P1028" s="46" t="s">
        <v>39</v>
      </c>
      <c r="Q1028" s="12"/>
      <c r="R1028" s="192" t="str">
        <f t="shared" si="28"/>
        <v>765grams</v>
      </c>
      <c r="S1028" s="198">
        <f t="shared" si="29"/>
        <v>765</v>
      </c>
      <c r="T1028" s="199" t="str">
        <f t="shared" si="30"/>
        <v>765grams</v>
      </c>
      <c r="U1028" s="200">
        <f t="shared" si="31"/>
        <v>186</v>
      </c>
      <c r="V1028" s="12"/>
      <c r="W1028" s="12"/>
    </row>
    <row r="1029" spans="1:23" x14ac:dyDescent="0.3">
      <c r="A1029" s="193" t="e">
        <f ca="1"/>
        <v>#NAME?</v>
      </c>
      <c r="B1029" s="46" t="s">
        <v>279</v>
      </c>
      <c r="C1029" s="315"/>
      <c r="D1029" s="316"/>
      <c r="E1029" s="315"/>
      <c r="F1029" s="315"/>
      <c r="G1029" s="315"/>
      <c r="H1029" s="153"/>
      <c r="I1029" s="12"/>
      <c r="J1029" s="46" t="s">
        <v>1069</v>
      </c>
      <c r="K1029" s="12"/>
      <c r="L1029" s="288">
        <v>200</v>
      </c>
      <c r="M1029" s="289">
        <v>2</v>
      </c>
      <c r="N1029" s="290">
        <v>3500</v>
      </c>
      <c r="O1029" s="46"/>
      <c r="P1029" s="46" t="s">
        <v>200</v>
      </c>
      <c r="Q1029" s="12"/>
      <c r="R1029" s="192" t="str">
        <f t="shared" ref="R1029:R1283" si="32">CONCATENATE(N1029,P1029)</f>
        <v>3500gal</v>
      </c>
      <c r="S1029" s="198">
        <f t="shared" ref="S1029:S1283" si="33">M1029*N1029</f>
        <v>7000</v>
      </c>
      <c r="T1029" s="199" t="str">
        <f t="shared" ref="T1029:T1283" si="34">CONCATENATE(S1029,Q1029,P1029)</f>
        <v>7000gal</v>
      </c>
      <c r="U1029" s="200">
        <f t="shared" ref="U1029:U1283" si="35">L1029*M1029</f>
        <v>400</v>
      </c>
      <c r="V1029" s="12"/>
      <c r="W1029" s="12"/>
    </row>
    <row r="1030" spans="1:23" x14ac:dyDescent="0.3">
      <c r="A1030" s="193" t="e">
        <f ca="1"/>
        <v>#NAME?</v>
      </c>
      <c r="B1030" s="46" t="s">
        <v>279</v>
      </c>
      <c r="C1030" s="315"/>
      <c r="D1030" s="316"/>
      <c r="E1030" s="315"/>
      <c r="F1030" s="315"/>
      <c r="G1030" s="315"/>
      <c r="H1030" s="153"/>
      <c r="I1030" s="12"/>
      <c r="J1030" s="46" t="s">
        <v>1490</v>
      </c>
      <c r="K1030" s="12"/>
      <c r="L1030" s="288">
        <v>165</v>
      </c>
      <c r="M1030" s="289">
        <v>5</v>
      </c>
      <c r="N1030" s="290">
        <v>2270</v>
      </c>
      <c r="O1030" s="46"/>
      <c r="P1030" s="46" t="s">
        <v>39</v>
      </c>
      <c r="Q1030" s="12"/>
      <c r="R1030" s="192" t="str">
        <f t="shared" si="32"/>
        <v>2270grams</v>
      </c>
      <c r="S1030" s="198">
        <f t="shared" si="33"/>
        <v>11350</v>
      </c>
      <c r="T1030" s="199" t="str">
        <f t="shared" si="34"/>
        <v>11350grams</v>
      </c>
      <c r="U1030" s="200">
        <f t="shared" si="35"/>
        <v>825</v>
      </c>
      <c r="V1030" s="12"/>
      <c r="W1030" s="12"/>
    </row>
    <row r="1031" spans="1:23" x14ac:dyDescent="0.3">
      <c r="A1031" s="193" t="e">
        <f ca="1"/>
        <v>#NAME?</v>
      </c>
      <c r="B1031" s="219" t="s">
        <v>279</v>
      </c>
      <c r="C1031" s="315"/>
      <c r="D1031" s="316"/>
      <c r="E1031" s="315"/>
      <c r="F1031" s="315"/>
      <c r="G1031" s="315"/>
      <c r="H1031" s="153"/>
      <c r="I1031" s="12"/>
      <c r="J1031" s="219" t="s">
        <v>897</v>
      </c>
      <c r="K1031" s="12"/>
      <c r="L1031" s="291">
        <v>721.7</v>
      </c>
      <c r="M1031" s="292">
        <v>1</v>
      </c>
      <c r="N1031" s="322">
        <v>4.2</v>
      </c>
      <c r="O1031" s="219"/>
      <c r="P1031" s="219" t="s">
        <v>213</v>
      </c>
      <c r="Q1031" s="12"/>
      <c r="R1031" s="192" t="str">
        <f t="shared" si="32"/>
        <v>4.2kilos</v>
      </c>
      <c r="S1031" s="198">
        <f t="shared" si="33"/>
        <v>4.2</v>
      </c>
      <c r="T1031" s="199" t="str">
        <f t="shared" si="34"/>
        <v>4.2kilos</v>
      </c>
      <c r="U1031" s="200">
        <f t="shared" si="35"/>
        <v>721.7</v>
      </c>
      <c r="V1031" s="12"/>
      <c r="W1031" s="12"/>
    </row>
    <row r="1032" spans="1:23" x14ac:dyDescent="0.3">
      <c r="A1032" s="193" t="e">
        <f ca="1"/>
        <v>#NAME?</v>
      </c>
      <c r="B1032" s="46" t="s">
        <v>1491</v>
      </c>
      <c r="C1032" s="315"/>
      <c r="D1032" s="316"/>
      <c r="E1032" s="315"/>
      <c r="F1032" s="315"/>
      <c r="G1032" s="315"/>
      <c r="H1032" s="153"/>
      <c r="I1032" s="12"/>
      <c r="J1032" s="170"/>
      <c r="K1032" s="12"/>
      <c r="L1032" s="288">
        <v>250</v>
      </c>
      <c r="M1032" s="289">
        <v>2</v>
      </c>
      <c r="N1032" s="290">
        <v>1</v>
      </c>
      <c r="O1032" s="46"/>
      <c r="P1032" s="46" t="s">
        <v>213</v>
      </c>
      <c r="Q1032" s="12"/>
      <c r="R1032" s="192" t="str">
        <f t="shared" si="32"/>
        <v>1kilos</v>
      </c>
      <c r="S1032" s="198">
        <f t="shared" si="33"/>
        <v>2</v>
      </c>
      <c r="T1032" s="199" t="str">
        <f t="shared" si="34"/>
        <v>2kilos</v>
      </c>
      <c r="U1032" s="200">
        <f t="shared" si="35"/>
        <v>500</v>
      </c>
      <c r="V1032" s="12"/>
      <c r="W1032" s="12"/>
    </row>
    <row r="1033" spans="1:23" x14ac:dyDescent="0.3">
      <c r="A1033" s="193" t="e">
        <f ca="1"/>
        <v>#NAME?</v>
      </c>
      <c r="B1033" s="46" t="s">
        <v>1491</v>
      </c>
      <c r="C1033" s="315"/>
      <c r="D1033" s="316"/>
      <c r="E1033" s="315"/>
      <c r="F1033" s="315"/>
      <c r="G1033" s="315"/>
      <c r="H1033" s="153"/>
      <c r="I1033" s="12"/>
      <c r="J1033" s="170"/>
      <c r="K1033" s="12"/>
      <c r="L1033" s="288">
        <v>48</v>
      </c>
      <c r="M1033" s="289">
        <v>9</v>
      </c>
      <c r="N1033" s="290">
        <v>1000</v>
      </c>
      <c r="O1033" s="46"/>
      <c r="P1033" s="46" t="s">
        <v>39</v>
      </c>
      <c r="Q1033" s="12"/>
      <c r="R1033" s="192" t="str">
        <f t="shared" si="32"/>
        <v>1000grams</v>
      </c>
      <c r="S1033" s="198">
        <f t="shared" si="33"/>
        <v>9000</v>
      </c>
      <c r="T1033" s="199" t="str">
        <f t="shared" si="34"/>
        <v>9000grams</v>
      </c>
      <c r="U1033" s="200">
        <f t="shared" si="35"/>
        <v>432</v>
      </c>
      <c r="V1033" s="12"/>
      <c r="W1033" s="12"/>
    </row>
    <row r="1034" spans="1:23" x14ac:dyDescent="0.3">
      <c r="A1034" s="193" t="e">
        <f ca="1"/>
        <v>#NAME?</v>
      </c>
      <c r="B1034" s="46" t="s">
        <v>1492</v>
      </c>
      <c r="C1034" s="315"/>
      <c r="D1034" s="316"/>
      <c r="E1034" s="315"/>
      <c r="F1034" s="315"/>
      <c r="G1034" s="315"/>
      <c r="H1034" s="153"/>
      <c r="I1034" s="12"/>
      <c r="J1034" s="170"/>
      <c r="K1034" s="12"/>
      <c r="L1034" s="288">
        <v>80</v>
      </c>
      <c r="M1034" s="289">
        <v>1</v>
      </c>
      <c r="N1034" s="290">
        <v>1000</v>
      </c>
      <c r="O1034" s="46"/>
      <c r="P1034" s="46" t="s">
        <v>39</v>
      </c>
      <c r="Q1034" s="12"/>
      <c r="R1034" s="192" t="str">
        <f t="shared" si="32"/>
        <v>1000grams</v>
      </c>
      <c r="S1034" s="198">
        <f t="shared" si="33"/>
        <v>1000</v>
      </c>
      <c r="T1034" s="199" t="str">
        <f t="shared" si="34"/>
        <v>1000grams</v>
      </c>
      <c r="U1034" s="200">
        <f t="shared" si="35"/>
        <v>80</v>
      </c>
      <c r="V1034" s="12"/>
      <c r="W1034" s="12"/>
    </row>
    <row r="1035" spans="1:23" x14ac:dyDescent="0.3">
      <c r="A1035" s="193" t="e">
        <f ca="1"/>
        <v>#NAME?</v>
      </c>
      <c r="B1035" s="46" t="s">
        <v>708</v>
      </c>
      <c r="C1035" s="315"/>
      <c r="D1035" s="316"/>
      <c r="E1035" s="315"/>
      <c r="F1035" s="315"/>
      <c r="G1035" s="315"/>
      <c r="H1035" s="153"/>
      <c r="I1035" s="12"/>
      <c r="J1035" s="46" t="s">
        <v>919</v>
      </c>
      <c r="K1035" s="12"/>
      <c r="L1035" s="288">
        <v>42.5</v>
      </c>
      <c r="M1035" s="289">
        <v>4</v>
      </c>
      <c r="N1035" s="290">
        <v>500</v>
      </c>
      <c r="O1035" s="46"/>
      <c r="P1035" s="46" t="s">
        <v>39</v>
      </c>
      <c r="Q1035" s="12"/>
      <c r="R1035" s="192" t="str">
        <f t="shared" si="32"/>
        <v>500grams</v>
      </c>
      <c r="S1035" s="198">
        <f t="shared" si="33"/>
        <v>2000</v>
      </c>
      <c r="T1035" s="199" t="str">
        <f t="shared" si="34"/>
        <v>2000grams</v>
      </c>
      <c r="U1035" s="200">
        <f t="shared" si="35"/>
        <v>170</v>
      </c>
      <c r="V1035" s="12"/>
      <c r="W1035" s="12"/>
    </row>
    <row r="1036" spans="1:23" x14ac:dyDescent="0.3">
      <c r="A1036" s="193" t="e">
        <f ca="1"/>
        <v>#NAME?</v>
      </c>
      <c r="B1036" s="46" t="s">
        <v>708</v>
      </c>
      <c r="C1036" s="315"/>
      <c r="D1036" s="316"/>
      <c r="E1036" s="315"/>
      <c r="F1036" s="315"/>
      <c r="G1036" s="315"/>
      <c r="H1036" s="153"/>
      <c r="I1036" s="12"/>
      <c r="J1036" s="46" t="s">
        <v>919</v>
      </c>
      <c r="K1036" s="12"/>
      <c r="L1036" s="288">
        <v>42.2</v>
      </c>
      <c r="M1036" s="289">
        <v>14</v>
      </c>
      <c r="N1036" s="290">
        <v>500</v>
      </c>
      <c r="O1036" s="46"/>
      <c r="P1036" s="46" t="s">
        <v>39</v>
      </c>
      <c r="Q1036" s="12"/>
      <c r="R1036" s="192" t="str">
        <f t="shared" si="32"/>
        <v>500grams</v>
      </c>
      <c r="S1036" s="198">
        <f t="shared" si="33"/>
        <v>7000</v>
      </c>
      <c r="T1036" s="199" t="str">
        <f t="shared" si="34"/>
        <v>7000grams</v>
      </c>
      <c r="U1036" s="200">
        <f t="shared" si="35"/>
        <v>590.80000000000007</v>
      </c>
      <c r="V1036" s="12"/>
      <c r="W1036" s="12"/>
    </row>
    <row r="1037" spans="1:23" x14ac:dyDescent="0.3">
      <c r="A1037" s="193" t="e">
        <f ca="1"/>
        <v>#NAME?</v>
      </c>
      <c r="B1037" s="46" t="s">
        <v>708</v>
      </c>
      <c r="C1037" s="315"/>
      <c r="D1037" s="316"/>
      <c r="E1037" s="315"/>
      <c r="F1037" s="315"/>
      <c r="G1037" s="315"/>
      <c r="H1037" s="153"/>
      <c r="I1037" s="12"/>
      <c r="J1037" s="46" t="s">
        <v>919</v>
      </c>
      <c r="K1037" s="12"/>
      <c r="L1037" s="288">
        <v>42.2</v>
      </c>
      <c r="M1037" s="289">
        <v>12</v>
      </c>
      <c r="N1037" s="290">
        <v>454</v>
      </c>
      <c r="O1037" s="46"/>
      <c r="P1037" s="46" t="s">
        <v>39</v>
      </c>
      <c r="Q1037" s="12"/>
      <c r="R1037" s="192" t="str">
        <f t="shared" si="32"/>
        <v>454grams</v>
      </c>
      <c r="S1037" s="198">
        <f t="shared" si="33"/>
        <v>5448</v>
      </c>
      <c r="T1037" s="199" t="str">
        <f t="shared" si="34"/>
        <v>5448grams</v>
      </c>
      <c r="U1037" s="200">
        <f t="shared" si="35"/>
        <v>506.40000000000003</v>
      </c>
      <c r="V1037" s="12"/>
      <c r="W1037" s="12"/>
    </row>
    <row r="1038" spans="1:23" x14ac:dyDescent="0.3">
      <c r="A1038" s="193" t="e">
        <f ca="1"/>
        <v>#NAME?</v>
      </c>
      <c r="B1038" s="46" t="s">
        <v>708</v>
      </c>
      <c r="C1038" s="315"/>
      <c r="D1038" s="316"/>
      <c r="E1038" s="315"/>
      <c r="F1038" s="315"/>
      <c r="G1038" s="315"/>
      <c r="H1038" s="153"/>
      <c r="I1038" s="12"/>
      <c r="J1038" s="46" t="s">
        <v>919</v>
      </c>
      <c r="K1038" s="12"/>
      <c r="L1038" s="288">
        <v>42.2</v>
      </c>
      <c r="M1038" s="289">
        <v>4</v>
      </c>
      <c r="N1038" s="290">
        <v>500</v>
      </c>
      <c r="O1038" s="46"/>
      <c r="P1038" s="46" t="s">
        <v>39</v>
      </c>
      <c r="Q1038" s="12"/>
      <c r="R1038" s="192" t="str">
        <f t="shared" si="32"/>
        <v>500grams</v>
      </c>
      <c r="S1038" s="198">
        <f t="shared" si="33"/>
        <v>2000</v>
      </c>
      <c r="T1038" s="199" t="str">
        <f t="shared" si="34"/>
        <v>2000grams</v>
      </c>
      <c r="U1038" s="200">
        <f t="shared" si="35"/>
        <v>168.8</v>
      </c>
      <c r="V1038" s="12"/>
      <c r="W1038" s="12"/>
    </row>
    <row r="1039" spans="1:23" x14ac:dyDescent="0.3">
      <c r="A1039" s="193" t="e">
        <f ca="1"/>
        <v>#NAME?</v>
      </c>
      <c r="B1039" s="46" t="s">
        <v>708</v>
      </c>
      <c r="C1039" s="315"/>
      <c r="D1039" s="316"/>
      <c r="E1039" s="315"/>
      <c r="F1039" s="315"/>
      <c r="G1039" s="315"/>
      <c r="H1039" s="153"/>
      <c r="I1039" s="12"/>
      <c r="J1039" s="46" t="s">
        <v>919</v>
      </c>
      <c r="K1039" s="12"/>
      <c r="L1039" s="288">
        <v>42.2</v>
      </c>
      <c r="M1039" s="289">
        <v>7</v>
      </c>
      <c r="N1039" s="290">
        <v>500</v>
      </c>
      <c r="O1039" s="46"/>
      <c r="P1039" s="46" t="s">
        <v>39</v>
      </c>
      <c r="Q1039" s="12"/>
      <c r="R1039" s="192" t="str">
        <f t="shared" si="32"/>
        <v>500grams</v>
      </c>
      <c r="S1039" s="198">
        <f t="shared" si="33"/>
        <v>3500</v>
      </c>
      <c r="T1039" s="199" t="str">
        <f t="shared" si="34"/>
        <v>3500grams</v>
      </c>
      <c r="U1039" s="200">
        <f t="shared" si="35"/>
        <v>295.40000000000003</v>
      </c>
      <c r="V1039" s="12"/>
      <c r="W1039" s="12"/>
    </row>
    <row r="1040" spans="1:23" x14ac:dyDescent="0.3">
      <c r="A1040" s="193" t="e">
        <f ca="1"/>
        <v>#NAME?</v>
      </c>
      <c r="B1040" s="46" t="s">
        <v>708</v>
      </c>
      <c r="C1040" s="315"/>
      <c r="D1040" s="316"/>
      <c r="E1040" s="315"/>
      <c r="F1040" s="315"/>
      <c r="G1040" s="315"/>
      <c r="H1040" s="153"/>
      <c r="I1040" s="12"/>
      <c r="J1040" s="46" t="s">
        <v>919</v>
      </c>
      <c r="K1040" s="12"/>
      <c r="L1040" s="288">
        <v>45</v>
      </c>
      <c r="M1040" s="289">
        <v>1</v>
      </c>
      <c r="N1040" s="290">
        <v>500</v>
      </c>
      <c r="O1040" s="46"/>
      <c r="P1040" s="46" t="s">
        <v>39</v>
      </c>
      <c r="Q1040" s="12"/>
      <c r="R1040" s="192" t="str">
        <f t="shared" si="32"/>
        <v>500grams</v>
      </c>
      <c r="S1040" s="198">
        <f t="shared" si="33"/>
        <v>500</v>
      </c>
      <c r="T1040" s="199" t="str">
        <f t="shared" si="34"/>
        <v>500grams</v>
      </c>
      <c r="U1040" s="200">
        <f t="shared" si="35"/>
        <v>45</v>
      </c>
      <c r="V1040" s="12"/>
      <c r="W1040" s="12"/>
    </row>
    <row r="1041" spans="1:23" x14ac:dyDescent="0.3">
      <c r="A1041" s="193" t="e">
        <f ca="1"/>
        <v>#NAME?</v>
      </c>
      <c r="B1041" s="219" t="s">
        <v>708</v>
      </c>
      <c r="C1041" s="315"/>
      <c r="D1041" s="316"/>
      <c r="E1041" s="315"/>
      <c r="F1041" s="315"/>
      <c r="G1041" s="315"/>
      <c r="H1041" s="153"/>
      <c r="I1041" s="12"/>
      <c r="J1041" s="219" t="s">
        <v>919</v>
      </c>
      <c r="K1041" s="12"/>
      <c r="L1041" s="291">
        <v>43.5</v>
      </c>
      <c r="M1041" s="292">
        <v>19</v>
      </c>
      <c r="N1041" s="293">
        <v>500</v>
      </c>
      <c r="O1041" s="219"/>
      <c r="P1041" s="219" t="s">
        <v>39</v>
      </c>
      <c r="Q1041" s="12"/>
      <c r="R1041" s="192" t="str">
        <f t="shared" si="32"/>
        <v>500grams</v>
      </c>
      <c r="S1041" s="198">
        <f t="shared" si="33"/>
        <v>9500</v>
      </c>
      <c r="T1041" s="199" t="str">
        <f t="shared" si="34"/>
        <v>9500grams</v>
      </c>
      <c r="U1041" s="200">
        <f t="shared" si="35"/>
        <v>826.5</v>
      </c>
      <c r="V1041" s="12"/>
      <c r="W1041" s="12"/>
    </row>
    <row r="1042" spans="1:23" x14ac:dyDescent="0.3">
      <c r="A1042" s="193" t="e">
        <f ca="1"/>
        <v>#NAME?</v>
      </c>
      <c r="B1042" s="46" t="s">
        <v>708</v>
      </c>
      <c r="C1042" s="315"/>
      <c r="D1042" s="316"/>
      <c r="E1042" s="315"/>
      <c r="F1042" s="315"/>
      <c r="G1042" s="315"/>
      <c r="H1042" s="153"/>
      <c r="I1042" s="12"/>
      <c r="J1042" s="46" t="s">
        <v>919</v>
      </c>
      <c r="K1042" s="12"/>
      <c r="L1042" s="288">
        <v>42.2</v>
      </c>
      <c r="M1042" s="289">
        <v>5</v>
      </c>
      <c r="N1042" s="290">
        <v>500</v>
      </c>
      <c r="O1042" s="46"/>
      <c r="P1042" s="46" t="s">
        <v>39</v>
      </c>
      <c r="Q1042" s="12"/>
      <c r="R1042" s="192" t="str">
        <f t="shared" si="32"/>
        <v>500grams</v>
      </c>
      <c r="S1042" s="198">
        <f t="shared" si="33"/>
        <v>2500</v>
      </c>
      <c r="T1042" s="199" t="str">
        <f t="shared" si="34"/>
        <v>2500grams</v>
      </c>
      <c r="U1042" s="200">
        <f t="shared" si="35"/>
        <v>211</v>
      </c>
      <c r="V1042" s="12"/>
      <c r="W1042" s="12"/>
    </row>
    <row r="1043" spans="1:23" x14ac:dyDescent="0.3">
      <c r="A1043" s="193" t="e">
        <f ca="1"/>
        <v>#NAME?</v>
      </c>
      <c r="B1043" s="46" t="s">
        <v>1493</v>
      </c>
      <c r="C1043" s="315"/>
      <c r="D1043" s="316"/>
      <c r="E1043" s="315"/>
      <c r="F1043" s="315"/>
      <c r="G1043" s="315"/>
      <c r="H1043" s="153"/>
      <c r="I1043" s="12"/>
      <c r="J1043" s="46" t="s">
        <v>854</v>
      </c>
      <c r="K1043" s="12"/>
      <c r="L1043" s="288">
        <v>42</v>
      </c>
      <c r="M1043" s="289">
        <v>3</v>
      </c>
      <c r="N1043" s="290">
        <v>30</v>
      </c>
      <c r="O1043" s="46"/>
      <c r="P1043" s="46" t="s">
        <v>32</v>
      </c>
      <c r="Q1043" s="12"/>
      <c r="R1043" s="192" t="str">
        <f t="shared" si="32"/>
        <v>30ml</v>
      </c>
      <c r="S1043" s="198">
        <f t="shared" si="33"/>
        <v>90</v>
      </c>
      <c r="T1043" s="199" t="str">
        <f t="shared" si="34"/>
        <v>90ml</v>
      </c>
      <c r="U1043" s="200">
        <f t="shared" si="35"/>
        <v>126</v>
      </c>
      <c r="V1043" s="12"/>
      <c r="W1043" s="12"/>
    </row>
    <row r="1044" spans="1:23" x14ac:dyDescent="0.3">
      <c r="A1044" s="193" t="e">
        <f ca="1"/>
        <v>#NAME?</v>
      </c>
      <c r="B1044" s="46" t="s">
        <v>1494</v>
      </c>
      <c r="C1044" s="315"/>
      <c r="D1044" s="316"/>
      <c r="E1044" s="315"/>
      <c r="F1044" s="315"/>
      <c r="G1044" s="315"/>
      <c r="H1044" s="153"/>
      <c r="I1044" s="12"/>
      <c r="J1044" s="46" t="s">
        <v>1495</v>
      </c>
      <c r="K1044" s="12"/>
      <c r="L1044" s="288">
        <v>26.5</v>
      </c>
      <c r="M1044" s="289">
        <v>1</v>
      </c>
      <c r="N1044" s="290">
        <v>1</v>
      </c>
      <c r="O1044" s="46"/>
      <c r="P1044" s="46" t="s">
        <v>304</v>
      </c>
      <c r="Q1044" s="12"/>
      <c r="R1044" s="192" t="str">
        <f t="shared" si="32"/>
        <v>1packs</v>
      </c>
      <c r="S1044" s="198">
        <f t="shared" si="33"/>
        <v>1</v>
      </c>
      <c r="T1044" s="199" t="str">
        <f t="shared" si="34"/>
        <v>1packs</v>
      </c>
      <c r="U1044" s="200">
        <f t="shared" si="35"/>
        <v>26.5</v>
      </c>
      <c r="V1044" s="12"/>
      <c r="W1044" s="12"/>
    </row>
    <row r="1045" spans="1:23" x14ac:dyDescent="0.3">
      <c r="A1045" s="193" t="e">
        <f ca="1"/>
        <v>#NAME?</v>
      </c>
      <c r="B1045" s="46" t="s">
        <v>1494</v>
      </c>
      <c r="C1045" s="315"/>
      <c r="D1045" s="316"/>
      <c r="E1045" s="315"/>
      <c r="F1045" s="315"/>
      <c r="G1045" s="315"/>
      <c r="H1045" s="153"/>
      <c r="I1045" s="12"/>
      <c r="J1045" s="46" t="s">
        <v>1496</v>
      </c>
      <c r="K1045" s="12"/>
      <c r="L1045" s="288">
        <v>17.079999999999998</v>
      </c>
      <c r="M1045" s="289">
        <v>3</v>
      </c>
      <c r="N1045" s="290">
        <v>22</v>
      </c>
      <c r="O1045" s="46"/>
      <c r="P1045" s="46" t="s">
        <v>304</v>
      </c>
      <c r="Q1045" s="12"/>
      <c r="R1045" s="192" t="str">
        <f t="shared" si="32"/>
        <v>22packs</v>
      </c>
      <c r="S1045" s="198">
        <f t="shared" si="33"/>
        <v>66</v>
      </c>
      <c r="T1045" s="199" t="str">
        <f t="shared" si="34"/>
        <v>66packs</v>
      </c>
      <c r="U1045" s="200">
        <f t="shared" si="35"/>
        <v>51.239999999999995</v>
      </c>
      <c r="V1045" s="12"/>
      <c r="W1045" s="12"/>
    </row>
    <row r="1046" spans="1:23" x14ac:dyDescent="0.3">
      <c r="A1046" s="193" t="e">
        <f ca="1"/>
        <v>#NAME?</v>
      </c>
      <c r="B1046" s="219" t="s">
        <v>1494</v>
      </c>
      <c r="C1046" s="315"/>
      <c r="D1046" s="316"/>
      <c r="E1046" s="315"/>
      <c r="F1046" s="315"/>
      <c r="G1046" s="315"/>
      <c r="H1046" s="153"/>
      <c r="I1046" s="12"/>
      <c r="J1046" s="46" t="s">
        <v>1495</v>
      </c>
      <c r="K1046" s="12"/>
      <c r="L1046" s="288">
        <v>2.69</v>
      </c>
      <c r="M1046" s="289">
        <v>50</v>
      </c>
      <c r="N1046" s="290">
        <v>1</v>
      </c>
      <c r="O1046" s="46"/>
      <c r="P1046" s="46" t="s">
        <v>92</v>
      </c>
      <c r="Q1046" s="12"/>
      <c r="R1046" s="192" t="str">
        <f t="shared" si="32"/>
        <v>1pieces</v>
      </c>
      <c r="S1046" s="198">
        <f t="shared" si="33"/>
        <v>50</v>
      </c>
      <c r="T1046" s="199" t="str">
        <f t="shared" si="34"/>
        <v>50pieces</v>
      </c>
      <c r="U1046" s="200">
        <f t="shared" si="35"/>
        <v>134.5</v>
      </c>
      <c r="V1046" s="12"/>
      <c r="W1046" s="12"/>
    </row>
    <row r="1047" spans="1:23" x14ac:dyDescent="0.3">
      <c r="A1047" s="193" t="e">
        <f ca="1"/>
        <v>#NAME?</v>
      </c>
      <c r="B1047" s="46" t="s">
        <v>1497</v>
      </c>
      <c r="C1047" s="315"/>
      <c r="D1047" s="316"/>
      <c r="E1047" s="315"/>
      <c r="F1047" s="315"/>
      <c r="G1047" s="315"/>
      <c r="H1047" s="153"/>
      <c r="I1047" s="12"/>
      <c r="J1047" s="46" t="s">
        <v>1004</v>
      </c>
      <c r="K1047" s="12"/>
      <c r="L1047" s="288">
        <v>2</v>
      </c>
      <c r="M1047" s="289">
        <v>164</v>
      </c>
      <c r="N1047" s="290">
        <v>1</v>
      </c>
      <c r="O1047" s="46"/>
      <c r="P1047" s="46" t="s">
        <v>92</v>
      </c>
      <c r="Q1047" s="12"/>
      <c r="R1047" s="192" t="str">
        <f t="shared" si="32"/>
        <v>1pieces</v>
      </c>
      <c r="S1047" s="198">
        <f t="shared" si="33"/>
        <v>164</v>
      </c>
      <c r="T1047" s="199" t="str">
        <f t="shared" si="34"/>
        <v>164pieces</v>
      </c>
      <c r="U1047" s="200">
        <f t="shared" si="35"/>
        <v>328</v>
      </c>
      <c r="V1047" s="12"/>
      <c r="W1047" s="12"/>
    </row>
    <row r="1048" spans="1:23" x14ac:dyDescent="0.3">
      <c r="A1048" s="193" t="e">
        <f ca="1"/>
        <v>#NAME?</v>
      </c>
      <c r="B1048" s="46" t="s">
        <v>1498</v>
      </c>
      <c r="C1048" s="315"/>
      <c r="D1048" s="316"/>
      <c r="E1048" s="315"/>
      <c r="F1048" s="315"/>
      <c r="G1048" s="315"/>
      <c r="H1048" s="153"/>
      <c r="I1048" s="12"/>
      <c r="J1048" s="170"/>
      <c r="K1048" s="12"/>
      <c r="L1048" s="288">
        <v>70</v>
      </c>
      <c r="M1048" s="289">
        <v>2</v>
      </c>
      <c r="N1048" s="290">
        <v>1000</v>
      </c>
      <c r="O1048" s="46"/>
      <c r="P1048" s="46" t="s">
        <v>39</v>
      </c>
      <c r="Q1048" s="12"/>
      <c r="R1048" s="192" t="str">
        <f t="shared" si="32"/>
        <v>1000grams</v>
      </c>
      <c r="S1048" s="198">
        <f t="shared" si="33"/>
        <v>2000</v>
      </c>
      <c r="T1048" s="199" t="str">
        <f t="shared" si="34"/>
        <v>2000grams</v>
      </c>
      <c r="U1048" s="200">
        <f t="shared" si="35"/>
        <v>140</v>
      </c>
      <c r="V1048" s="12"/>
      <c r="W1048" s="12"/>
    </row>
    <row r="1049" spans="1:23" x14ac:dyDescent="0.3">
      <c r="A1049" s="193" t="e">
        <f ca="1"/>
        <v>#NAME?</v>
      </c>
      <c r="B1049" s="46" t="s">
        <v>1499</v>
      </c>
      <c r="C1049" s="315"/>
      <c r="D1049" s="316"/>
      <c r="E1049" s="315"/>
      <c r="F1049" s="315"/>
      <c r="G1049" s="315"/>
      <c r="H1049" s="153"/>
      <c r="I1049" s="12"/>
      <c r="J1049" s="46" t="s">
        <v>1500</v>
      </c>
      <c r="K1049" s="12"/>
      <c r="L1049" s="288">
        <v>250</v>
      </c>
      <c r="M1049" s="289">
        <v>3</v>
      </c>
      <c r="N1049" s="290">
        <v>50</v>
      </c>
      <c r="O1049" s="46"/>
      <c r="P1049" s="46" t="s">
        <v>92</v>
      </c>
      <c r="Q1049" s="12"/>
      <c r="R1049" s="192" t="str">
        <f t="shared" si="32"/>
        <v>50pieces</v>
      </c>
      <c r="S1049" s="198">
        <f t="shared" si="33"/>
        <v>150</v>
      </c>
      <c r="T1049" s="199" t="str">
        <f t="shared" si="34"/>
        <v>150pieces</v>
      </c>
      <c r="U1049" s="200">
        <f t="shared" si="35"/>
        <v>750</v>
      </c>
      <c r="V1049" s="12"/>
      <c r="W1049" s="12"/>
    </row>
    <row r="1050" spans="1:23" x14ac:dyDescent="0.3">
      <c r="A1050" s="193" t="e">
        <f ca="1"/>
        <v>#NAME?</v>
      </c>
      <c r="B1050" s="46" t="s">
        <v>1499</v>
      </c>
      <c r="C1050" s="315"/>
      <c r="D1050" s="316"/>
      <c r="E1050" s="315"/>
      <c r="F1050" s="315"/>
      <c r="G1050" s="315"/>
      <c r="H1050" s="153"/>
      <c r="I1050" s="12"/>
      <c r="J1050" s="170"/>
      <c r="K1050" s="12"/>
      <c r="L1050" s="288">
        <v>5</v>
      </c>
      <c r="M1050" s="289">
        <v>140</v>
      </c>
      <c r="N1050" s="290">
        <v>1</v>
      </c>
      <c r="O1050" s="46"/>
      <c r="P1050" s="46" t="s">
        <v>92</v>
      </c>
      <c r="Q1050" s="12"/>
      <c r="R1050" s="192" t="str">
        <f t="shared" si="32"/>
        <v>1pieces</v>
      </c>
      <c r="S1050" s="198">
        <f t="shared" si="33"/>
        <v>140</v>
      </c>
      <c r="T1050" s="199" t="str">
        <f t="shared" si="34"/>
        <v>140pieces</v>
      </c>
      <c r="U1050" s="200">
        <f t="shared" si="35"/>
        <v>700</v>
      </c>
      <c r="V1050" s="12"/>
      <c r="W1050" s="12"/>
    </row>
    <row r="1051" spans="1:23" x14ac:dyDescent="0.3">
      <c r="A1051" s="193" t="e">
        <f ca="1"/>
        <v>#NAME?</v>
      </c>
      <c r="B1051" s="46" t="s">
        <v>1499</v>
      </c>
      <c r="C1051" s="315"/>
      <c r="D1051" s="316"/>
      <c r="E1051" s="315"/>
      <c r="F1051" s="315"/>
      <c r="G1051" s="315"/>
      <c r="H1051" s="153"/>
      <c r="I1051" s="12"/>
      <c r="J1051" s="219" t="s">
        <v>1501</v>
      </c>
      <c r="K1051" s="12"/>
      <c r="L1051" s="291">
        <v>4.3</v>
      </c>
      <c r="M1051" s="292">
        <v>109</v>
      </c>
      <c r="N1051" s="293">
        <v>1</v>
      </c>
      <c r="O1051" s="219"/>
      <c r="P1051" s="219" t="s">
        <v>92</v>
      </c>
      <c r="Q1051" s="12"/>
      <c r="R1051" s="192" t="str">
        <f t="shared" si="32"/>
        <v>1pieces</v>
      </c>
      <c r="S1051" s="198">
        <f t="shared" si="33"/>
        <v>109</v>
      </c>
      <c r="T1051" s="199" t="str">
        <f t="shared" si="34"/>
        <v>109pieces</v>
      </c>
      <c r="U1051" s="200">
        <f t="shared" si="35"/>
        <v>468.7</v>
      </c>
      <c r="V1051" s="12"/>
      <c r="W1051" s="12"/>
    </row>
    <row r="1052" spans="1:23" x14ac:dyDescent="0.3">
      <c r="A1052" s="193" t="e">
        <f ca="1"/>
        <v>#NAME?</v>
      </c>
      <c r="B1052" s="219" t="s">
        <v>1502</v>
      </c>
      <c r="C1052" s="315"/>
      <c r="D1052" s="316"/>
      <c r="E1052" s="315"/>
      <c r="F1052" s="315"/>
      <c r="G1052" s="315"/>
      <c r="H1052" s="153"/>
      <c r="I1052" s="12"/>
      <c r="J1052" s="219" t="s">
        <v>1501</v>
      </c>
      <c r="K1052" s="12"/>
      <c r="L1052" s="291">
        <v>5.8</v>
      </c>
      <c r="M1052" s="292">
        <v>44</v>
      </c>
      <c r="N1052" s="293">
        <v>1</v>
      </c>
      <c r="O1052" s="219"/>
      <c r="P1052" s="219" t="s">
        <v>92</v>
      </c>
      <c r="Q1052" s="12"/>
      <c r="R1052" s="192" t="str">
        <f t="shared" si="32"/>
        <v>1pieces</v>
      </c>
      <c r="S1052" s="198">
        <f t="shared" si="33"/>
        <v>44</v>
      </c>
      <c r="T1052" s="199" t="str">
        <f t="shared" si="34"/>
        <v>44pieces</v>
      </c>
      <c r="U1052" s="200">
        <f t="shared" si="35"/>
        <v>255.2</v>
      </c>
      <c r="V1052" s="12"/>
      <c r="W1052" s="12"/>
    </row>
    <row r="1053" spans="1:23" x14ac:dyDescent="0.3">
      <c r="A1053" s="193" t="e">
        <f ca="1"/>
        <v>#NAME?</v>
      </c>
      <c r="B1053" s="46" t="s">
        <v>1503</v>
      </c>
      <c r="C1053" s="315"/>
      <c r="D1053" s="316"/>
      <c r="E1053" s="315"/>
      <c r="F1053" s="315"/>
      <c r="G1053" s="315"/>
      <c r="H1053" s="153"/>
      <c r="I1053" s="12"/>
      <c r="J1053" s="170"/>
      <c r="K1053" s="12"/>
      <c r="L1053" s="288">
        <v>8.8000000000000007</v>
      </c>
      <c r="M1053" s="289">
        <v>39</v>
      </c>
      <c r="N1053" s="290">
        <v>1</v>
      </c>
      <c r="O1053" s="46"/>
      <c r="P1053" s="46" t="s">
        <v>92</v>
      </c>
      <c r="Q1053" s="12"/>
      <c r="R1053" s="192" t="str">
        <f t="shared" si="32"/>
        <v>1pieces</v>
      </c>
      <c r="S1053" s="198">
        <f t="shared" si="33"/>
        <v>39</v>
      </c>
      <c r="T1053" s="199" t="str">
        <f t="shared" si="34"/>
        <v>39pieces</v>
      </c>
      <c r="U1053" s="200">
        <f t="shared" si="35"/>
        <v>343.20000000000005</v>
      </c>
      <c r="V1053" s="12"/>
      <c r="W1053" s="12"/>
    </row>
    <row r="1054" spans="1:23" x14ac:dyDescent="0.3">
      <c r="A1054" s="193" t="e">
        <f ca="1"/>
        <v>#NAME?</v>
      </c>
      <c r="B1054" s="46" t="s">
        <v>1504</v>
      </c>
      <c r="C1054" s="315"/>
      <c r="D1054" s="316"/>
      <c r="E1054" s="315"/>
      <c r="F1054" s="315"/>
      <c r="G1054" s="315"/>
      <c r="H1054" s="153"/>
      <c r="I1054" s="12"/>
      <c r="J1054" s="46" t="s">
        <v>1505</v>
      </c>
      <c r="K1054" s="12"/>
      <c r="L1054" s="288">
        <v>125</v>
      </c>
      <c r="M1054" s="289">
        <v>2</v>
      </c>
      <c r="N1054" s="290">
        <v>1</v>
      </c>
      <c r="O1054" s="46"/>
      <c r="P1054" s="46" t="s">
        <v>304</v>
      </c>
      <c r="Q1054" s="12"/>
      <c r="R1054" s="192" t="str">
        <f t="shared" si="32"/>
        <v>1packs</v>
      </c>
      <c r="S1054" s="198">
        <f t="shared" si="33"/>
        <v>2</v>
      </c>
      <c r="T1054" s="199" t="str">
        <f t="shared" si="34"/>
        <v>2packs</v>
      </c>
      <c r="U1054" s="200">
        <f t="shared" si="35"/>
        <v>250</v>
      </c>
      <c r="V1054" s="12"/>
      <c r="W1054" s="12"/>
    </row>
    <row r="1055" spans="1:23" x14ac:dyDescent="0.3">
      <c r="A1055" s="193" t="e">
        <f ca="1"/>
        <v>#NAME?</v>
      </c>
      <c r="B1055" s="46" t="s">
        <v>1506</v>
      </c>
      <c r="C1055" s="315"/>
      <c r="D1055" s="316"/>
      <c r="E1055" s="315"/>
      <c r="F1055" s="315"/>
      <c r="G1055" s="315"/>
      <c r="H1055" s="153"/>
      <c r="I1055" s="12"/>
      <c r="J1055" s="46" t="s">
        <v>858</v>
      </c>
      <c r="K1055" s="12"/>
      <c r="L1055" s="288">
        <v>1.72</v>
      </c>
      <c r="M1055" s="289">
        <v>75</v>
      </c>
      <c r="N1055" s="290">
        <v>1</v>
      </c>
      <c r="O1055" s="46"/>
      <c r="P1055" s="46" t="s">
        <v>92</v>
      </c>
      <c r="Q1055" s="12"/>
      <c r="R1055" s="192" t="str">
        <f t="shared" si="32"/>
        <v>1pieces</v>
      </c>
      <c r="S1055" s="198">
        <f t="shared" si="33"/>
        <v>75</v>
      </c>
      <c r="T1055" s="199" t="str">
        <f t="shared" si="34"/>
        <v>75pieces</v>
      </c>
      <c r="U1055" s="200">
        <f t="shared" si="35"/>
        <v>129</v>
      </c>
      <c r="V1055" s="12"/>
      <c r="W1055" s="12"/>
    </row>
    <row r="1056" spans="1:23" x14ac:dyDescent="0.3">
      <c r="A1056" s="193" t="e">
        <f ca="1"/>
        <v>#NAME?</v>
      </c>
      <c r="B1056" s="46" t="s">
        <v>1506</v>
      </c>
      <c r="C1056" s="315"/>
      <c r="D1056" s="316"/>
      <c r="E1056" s="315"/>
      <c r="F1056" s="315"/>
      <c r="G1056" s="315"/>
      <c r="H1056" s="153"/>
      <c r="I1056" s="12"/>
      <c r="J1056" s="46" t="s">
        <v>1507</v>
      </c>
      <c r="K1056" s="12"/>
      <c r="L1056" s="288">
        <v>100</v>
      </c>
      <c r="M1056" s="289">
        <v>9</v>
      </c>
      <c r="N1056" s="290">
        <v>50</v>
      </c>
      <c r="O1056" s="46"/>
      <c r="P1056" s="46" t="s">
        <v>92</v>
      </c>
      <c r="Q1056" s="12"/>
      <c r="R1056" s="192" t="str">
        <f t="shared" si="32"/>
        <v>50pieces</v>
      </c>
      <c r="S1056" s="198">
        <f t="shared" si="33"/>
        <v>450</v>
      </c>
      <c r="T1056" s="199" t="str">
        <f t="shared" si="34"/>
        <v>450pieces</v>
      </c>
      <c r="U1056" s="200">
        <f t="shared" si="35"/>
        <v>900</v>
      </c>
      <c r="V1056" s="12"/>
      <c r="W1056" s="12"/>
    </row>
    <row r="1057" spans="1:23" x14ac:dyDescent="0.3">
      <c r="A1057" s="193" t="e">
        <f ca="1"/>
        <v>#NAME?</v>
      </c>
      <c r="B1057" s="46" t="s">
        <v>1508</v>
      </c>
      <c r="C1057" s="315"/>
      <c r="D1057" s="316"/>
      <c r="E1057" s="315"/>
      <c r="F1057" s="315"/>
      <c r="G1057" s="315"/>
      <c r="H1057" s="153"/>
      <c r="I1057" s="12"/>
      <c r="J1057" s="46" t="s">
        <v>858</v>
      </c>
      <c r="K1057" s="12"/>
      <c r="L1057" s="288">
        <v>0.95</v>
      </c>
      <c r="M1057" s="289">
        <v>25</v>
      </c>
      <c r="N1057" s="290">
        <v>1</v>
      </c>
      <c r="O1057" s="46"/>
      <c r="P1057" s="46" t="s">
        <v>92</v>
      </c>
      <c r="Q1057" s="12"/>
      <c r="R1057" s="192" t="str">
        <f t="shared" si="32"/>
        <v>1pieces</v>
      </c>
      <c r="S1057" s="198">
        <f t="shared" si="33"/>
        <v>25</v>
      </c>
      <c r="T1057" s="199" t="str">
        <f t="shared" si="34"/>
        <v>25pieces</v>
      </c>
      <c r="U1057" s="200">
        <f t="shared" si="35"/>
        <v>23.75</v>
      </c>
      <c r="V1057" s="12"/>
      <c r="W1057" s="12"/>
    </row>
    <row r="1058" spans="1:23" x14ac:dyDescent="0.3">
      <c r="A1058" s="193" t="e">
        <f ca="1"/>
        <v>#NAME?</v>
      </c>
      <c r="B1058" s="219" t="s">
        <v>1509</v>
      </c>
      <c r="C1058" s="315"/>
      <c r="D1058" s="316"/>
      <c r="E1058" s="315"/>
      <c r="F1058" s="315"/>
      <c r="G1058" s="315"/>
      <c r="H1058" s="153"/>
      <c r="I1058" s="12"/>
      <c r="J1058" s="46" t="s">
        <v>858</v>
      </c>
      <c r="K1058" s="12"/>
      <c r="L1058" s="288">
        <v>1.1399999999999999</v>
      </c>
      <c r="M1058" s="289">
        <v>275</v>
      </c>
      <c r="N1058" s="290">
        <v>1</v>
      </c>
      <c r="O1058" s="46"/>
      <c r="P1058" s="46" t="s">
        <v>92</v>
      </c>
      <c r="Q1058" s="12"/>
      <c r="R1058" s="192" t="str">
        <f t="shared" si="32"/>
        <v>1pieces</v>
      </c>
      <c r="S1058" s="198">
        <f t="shared" si="33"/>
        <v>275</v>
      </c>
      <c r="T1058" s="199" t="str">
        <f t="shared" si="34"/>
        <v>275pieces</v>
      </c>
      <c r="U1058" s="200">
        <f t="shared" si="35"/>
        <v>313.5</v>
      </c>
      <c r="V1058" s="12"/>
      <c r="W1058" s="12"/>
    </row>
    <row r="1059" spans="1:23" x14ac:dyDescent="0.3">
      <c r="A1059" s="193" t="e">
        <f ca="1"/>
        <v>#NAME?</v>
      </c>
      <c r="B1059" s="46" t="s">
        <v>1509</v>
      </c>
      <c r="C1059" s="315"/>
      <c r="D1059" s="316"/>
      <c r="E1059" s="315"/>
      <c r="F1059" s="315"/>
      <c r="G1059" s="315"/>
      <c r="H1059" s="153"/>
      <c r="I1059" s="12"/>
      <c r="J1059" s="46" t="s">
        <v>1507</v>
      </c>
      <c r="K1059" s="12"/>
      <c r="L1059" s="288">
        <v>1</v>
      </c>
      <c r="M1059" s="289">
        <v>709</v>
      </c>
      <c r="N1059" s="290">
        <v>50</v>
      </c>
      <c r="O1059" s="46"/>
      <c r="P1059" s="46" t="s">
        <v>92</v>
      </c>
      <c r="Q1059" s="12"/>
      <c r="R1059" s="192" t="str">
        <f t="shared" si="32"/>
        <v>50pieces</v>
      </c>
      <c r="S1059" s="198">
        <f t="shared" si="33"/>
        <v>35450</v>
      </c>
      <c r="T1059" s="199" t="str">
        <f t="shared" si="34"/>
        <v>35450pieces</v>
      </c>
      <c r="U1059" s="200">
        <f t="shared" si="35"/>
        <v>709</v>
      </c>
      <c r="V1059" s="12"/>
      <c r="W1059" s="12"/>
    </row>
    <row r="1060" spans="1:23" x14ac:dyDescent="0.3">
      <c r="A1060" s="193" t="e">
        <f ca="1"/>
        <v>#NAME?</v>
      </c>
      <c r="B1060" s="46" t="s">
        <v>1509</v>
      </c>
      <c r="C1060" s="315"/>
      <c r="D1060" s="316"/>
      <c r="E1060" s="315"/>
      <c r="F1060" s="315"/>
      <c r="G1060" s="315"/>
      <c r="H1060" s="153"/>
      <c r="I1060" s="12"/>
      <c r="J1060" s="215"/>
      <c r="K1060" s="12"/>
      <c r="L1060" s="291">
        <v>0.76</v>
      </c>
      <c r="M1060" s="292">
        <v>239</v>
      </c>
      <c r="N1060" s="293">
        <v>1</v>
      </c>
      <c r="O1060" s="219"/>
      <c r="P1060" s="219" t="s">
        <v>92</v>
      </c>
      <c r="Q1060" s="12"/>
      <c r="R1060" s="192" t="str">
        <f t="shared" si="32"/>
        <v>1pieces</v>
      </c>
      <c r="S1060" s="198">
        <f t="shared" si="33"/>
        <v>239</v>
      </c>
      <c r="T1060" s="199" t="str">
        <f t="shared" si="34"/>
        <v>239pieces</v>
      </c>
      <c r="U1060" s="200">
        <f t="shared" si="35"/>
        <v>181.64000000000001</v>
      </c>
      <c r="V1060" s="12"/>
      <c r="W1060" s="12"/>
    </row>
    <row r="1061" spans="1:23" x14ac:dyDescent="0.3">
      <c r="A1061" s="193" t="e">
        <f ca="1"/>
        <v>#NAME?</v>
      </c>
      <c r="B1061" s="46" t="s">
        <v>1509</v>
      </c>
      <c r="C1061" s="315"/>
      <c r="D1061" s="316"/>
      <c r="E1061" s="315"/>
      <c r="F1061" s="315"/>
      <c r="G1061" s="315"/>
      <c r="H1061" s="153"/>
      <c r="I1061" s="12"/>
      <c r="J1061" s="170"/>
      <c r="K1061" s="12"/>
      <c r="L1061" s="288">
        <v>1.25</v>
      </c>
      <c r="M1061" s="289">
        <v>1870</v>
      </c>
      <c r="N1061" s="290">
        <v>1</v>
      </c>
      <c r="O1061" s="46"/>
      <c r="P1061" s="46" t="s">
        <v>92</v>
      </c>
      <c r="Q1061" s="12"/>
      <c r="R1061" s="192" t="str">
        <f t="shared" si="32"/>
        <v>1pieces</v>
      </c>
      <c r="S1061" s="198">
        <f t="shared" si="33"/>
        <v>1870</v>
      </c>
      <c r="T1061" s="199" t="str">
        <f t="shared" si="34"/>
        <v>1870pieces</v>
      </c>
      <c r="U1061" s="200">
        <f t="shared" si="35"/>
        <v>2337.5</v>
      </c>
      <c r="V1061" s="12"/>
      <c r="W1061" s="12"/>
    </row>
    <row r="1062" spans="1:23" x14ac:dyDescent="0.3">
      <c r="A1062" s="193" t="e">
        <f ca="1"/>
        <v>#NAME?</v>
      </c>
      <c r="B1062" s="46" t="s">
        <v>1509</v>
      </c>
      <c r="C1062" s="315"/>
      <c r="D1062" s="316"/>
      <c r="E1062" s="315"/>
      <c r="F1062" s="315"/>
      <c r="G1062" s="315"/>
      <c r="H1062" s="153"/>
      <c r="I1062" s="12"/>
      <c r="J1062" s="46" t="s">
        <v>991</v>
      </c>
      <c r="K1062" s="12"/>
      <c r="L1062" s="288">
        <v>70</v>
      </c>
      <c r="M1062" s="289">
        <v>11</v>
      </c>
      <c r="N1062" s="290">
        <v>100</v>
      </c>
      <c r="O1062" s="46"/>
      <c r="P1062" s="46" t="s">
        <v>92</v>
      </c>
      <c r="Q1062" s="12"/>
      <c r="R1062" s="192" t="str">
        <f t="shared" si="32"/>
        <v>100pieces</v>
      </c>
      <c r="S1062" s="198">
        <f t="shared" si="33"/>
        <v>1100</v>
      </c>
      <c r="T1062" s="199" t="str">
        <f t="shared" si="34"/>
        <v>1100pieces</v>
      </c>
      <c r="U1062" s="200">
        <f t="shared" si="35"/>
        <v>770</v>
      </c>
      <c r="V1062" s="12"/>
      <c r="W1062" s="12"/>
    </row>
    <row r="1063" spans="1:23" x14ac:dyDescent="0.3">
      <c r="A1063" s="193" t="e">
        <f ca="1"/>
        <v>#NAME?</v>
      </c>
      <c r="B1063" s="46" t="s">
        <v>1510</v>
      </c>
      <c r="C1063" s="315"/>
      <c r="D1063" s="316"/>
      <c r="E1063" s="315"/>
      <c r="F1063" s="315"/>
      <c r="G1063" s="315"/>
      <c r="H1063" s="153"/>
      <c r="I1063" s="12"/>
      <c r="J1063" s="46" t="s">
        <v>1507</v>
      </c>
      <c r="K1063" s="12"/>
      <c r="L1063" s="288">
        <v>3</v>
      </c>
      <c r="M1063" s="289">
        <v>200</v>
      </c>
      <c r="N1063" s="290">
        <v>1</v>
      </c>
      <c r="O1063" s="46"/>
      <c r="P1063" s="46" t="s">
        <v>92</v>
      </c>
      <c r="Q1063" s="12"/>
      <c r="R1063" s="192" t="str">
        <f t="shared" si="32"/>
        <v>1pieces</v>
      </c>
      <c r="S1063" s="198">
        <f t="shared" si="33"/>
        <v>200</v>
      </c>
      <c r="T1063" s="199" t="str">
        <f t="shared" si="34"/>
        <v>200pieces</v>
      </c>
      <c r="U1063" s="200">
        <f t="shared" si="35"/>
        <v>600</v>
      </c>
      <c r="V1063" s="12"/>
      <c r="W1063" s="12"/>
    </row>
    <row r="1064" spans="1:23" x14ac:dyDescent="0.3">
      <c r="A1064" s="193" t="e">
        <f ca="1"/>
        <v>#NAME?</v>
      </c>
      <c r="B1064" s="46" t="s">
        <v>1510</v>
      </c>
      <c r="C1064" s="315"/>
      <c r="D1064" s="316"/>
      <c r="E1064" s="315"/>
      <c r="F1064" s="315"/>
      <c r="G1064" s="315"/>
      <c r="H1064" s="153"/>
      <c r="I1064" s="12"/>
      <c r="J1064" s="46" t="s">
        <v>1507</v>
      </c>
      <c r="K1064" s="12"/>
      <c r="L1064" s="288">
        <v>200</v>
      </c>
      <c r="M1064" s="289">
        <v>2</v>
      </c>
      <c r="N1064" s="290">
        <v>50</v>
      </c>
      <c r="O1064" s="46"/>
      <c r="P1064" s="46" t="s">
        <v>92</v>
      </c>
      <c r="Q1064" s="12"/>
      <c r="R1064" s="192" t="str">
        <f t="shared" si="32"/>
        <v>50pieces</v>
      </c>
      <c r="S1064" s="198">
        <f t="shared" si="33"/>
        <v>100</v>
      </c>
      <c r="T1064" s="199" t="str">
        <f t="shared" si="34"/>
        <v>100pieces</v>
      </c>
      <c r="U1064" s="200">
        <f t="shared" si="35"/>
        <v>400</v>
      </c>
      <c r="V1064" s="12"/>
      <c r="W1064" s="12"/>
    </row>
    <row r="1065" spans="1:23" x14ac:dyDescent="0.3">
      <c r="A1065" s="193" t="e">
        <f ca="1"/>
        <v>#NAME?</v>
      </c>
      <c r="B1065" s="219" t="s">
        <v>1511</v>
      </c>
      <c r="C1065" s="315"/>
      <c r="D1065" s="316"/>
      <c r="E1065" s="315"/>
      <c r="F1065" s="315"/>
      <c r="G1065" s="315"/>
      <c r="H1065" s="153"/>
      <c r="I1065" s="12"/>
      <c r="J1065" s="215"/>
      <c r="K1065" s="12"/>
      <c r="L1065" s="291">
        <v>3.74</v>
      </c>
      <c r="M1065" s="292">
        <v>126</v>
      </c>
      <c r="N1065" s="293">
        <v>1</v>
      </c>
      <c r="O1065" s="219"/>
      <c r="P1065" s="219" t="s">
        <v>304</v>
      </c>
      <c r="Q1065" s="12"/>
      <c r="R1065" s="192" t="str">
        <f t="shared" si="32"/>
        <v>1packs</v>
      </c>
      <c r="S1065" s="198">
        <f t="shared" si="33"/>
        <v>126</v>
      </c>
      <c r="T1065" s="199" t="str">
        <f t="shared" si="34"/>
        <v>126packs</v>
      </c>
      <c r="U1065" s="200">
        <f t="shared" si="35"/>
        <v>471.24</v>
      </c>
      <c r="V1065" s="12"/>
      <c r="W1065" s="12"/>
    </row>
    <row r="1066" spans="1:23" x14ac:dyDescent="0.3">
      <c r="A1066" s="193" t="e">
        <f ca="1"/>
        <v>#NAME?</v>
      </c>
      <c r="B1066" s="46" t="s">
        <v>1512</v>
      </c>
      <c r="C1066" s="315"/>
      <c r="D1066" s="316"/>
      <c r="E1066" s="315"/>
      <c r="F1066" s="315"/>
      <c r="G1066" s="315"/>
      <c r="H1066" s="153"/>
      <c r="I1066" s="12"/>
      <c r="J1066" s="170"/>
      <c r="K1066" s="12"/>
      <c r="L1066" s="288">
        <v>1.89</v>
      </c>
      <c r="M1066" s="289">
        <v>53</v>
      </c>
      <c r="N1066" s="290">
        <v>1</v>
      </c>
      <c r="O1066" s="46"/>
      <c r="P1066" s="46" t="s">
        <v>92</v>
      </c>
      <c r="Q1066" s="12"/>
      <c r="R1066" s="192" t="str">
        <f t="shared" si="32"/>
        <v>1pieces</v>
      </c>
      <c r="S1066" s="198">
        <f t="shared" si="33"/>
        <v>53</v>
      </c>
      <c r="T1066" s="199" t="str">
        <f t="shared" si="34"/>
        <v>53pieces</v>
      </c>
      <c r="U1066" s="200">
        <f t="shared" si="35"/>
        <v>100.17</v>
      </c>
      <c r="V1066" s="12"/>
      <c r="W1066" s="12"/>
    </row>
    <row r="1067" spans="1:23" x14ac:dyDescent="0.3">
      <c r="A1067" s="193" t="e">
        <f ca="1"/>
        <v>#NAME?</v>
      </c>
      <c r="B1067" s="46" t="s">
        <v>1513</v>
      </c>
      <c r="C1067" s="315"/>
      <c r="D1067" s="316"/>
      <c r="E1067" s="315"/>
      <c r="F1067" s="315"/>
      <c r="G1067" s="315"/>
      <c r="H1067" s="153"/>
      <c r="I1067" s="12"/>
      <c r="J1067" s="46" t="s">
        <v>991</v>
      </c>
      <c r="K1067" s="12"/>
      <c r="L1067" s="288">
        <v>37.5</v>
      </c>
      <c r="M1067" s="289">
        <v>4</v>
      </c>
      <c r="N1067" s="290">
        <v>1</v>
      </c>
      <c r="O1067" s="46"/>
      <c r="P1067" s="46" t="s">
        <v>304</v>
      </c>
      <c r="Q1067" s="12"/>
      <c r="R1067" s="192" t="str">
        <f t="shared" si="32"/>
        <v>1packs</v>
      </c>
      <c r="S1067" s="198">
        <f t="shared" si="33"/>
        <v>4</v>
      </c>
      <c r="T1067" s="199" t="str">
        <f t="shared" si="34"/>
        <v>4packs</v>
      </c>
      <c r="U1067" s="200">
        <f t="shared" si="35"/>
        <v>150</v>
      </c>
      <c r="V1067" s="12"/>
      <c r="W1067" s="12"/>
    </row>
    <row r="1068" spans="1:23" x14ac:dyDescent="0.3">
      <c r="A1068" s="193" t="e">
        <f ca="1"/>
        <v>#NAME?</v>
      </c>
      <c r="B1068" s="46" t="s">
        <v>1514</v>
      </c>
      <c r="C1068" s="315"/>
      <c r="D1068" s="316"/>
      <c r="E1068" s="315"/>
      <c r="F1068" s="315"/>
      <c r="G1068" s="315"/>
      <c r="H1068" s="153"/>
      <c r="I1068" s="12"/>
      <c r="J1068" s="46" t="s">
        <v>1515</v>
      </c>
      <c r="K1068" s="12"/>
      <c r="L1068" s="288">
        <v>0.5</v>
      </c>
      <c r="M1068" s="289">
        <v>200</v>
      </c>
      <c r="N1068" s="290">
        <v>40</v>
      </c>
      <c r="O1068" s="46"/>
      <c r="P1068" s="46" t="s">
        <v>92</v>
      </c>
      <c r="Q1068" s="12"/>
      <c r="R1068" s="192" t="str">
        <f t="shared" si="32"/>
        <v>40pieces</v>
      </c>
      <c r="S1068" s="198">
        <f t="shared" si="33"/>
        <v>8000</v>
      </c>
      <c r="T1068" s="199" t="str">
        <f t="shared" si="34"/>
        <v>8000pieces</v>
      </c>
      <c r="U1068" s="200">
        <f t="shared" si="35"/>
        <v>100</v>
      </c>
      <c r="V1068" s="12"/>
      <c r="W1068" s="12"/>
    </row>
    <row r="1069" spans="1:23" x14ac:dyDescent="0.3">
      <c r="A1069" s="193" t="e">
        <f ca="1"/>
        <v>#NAME?</v>
      </c>
      <c r="B1069" s="46" t="s">
        <v>1516</v>
      </c>
      <c r="C1069" s="315"/>
      <c r="D1069" s="316"/>
      <c r="E1069" s="315"/>
      <c r="F1069" s="315"/>
      <c r="G1069" s="315"/>
      <c r="H1069" s="153"/>
      <c r="I1069" s="12"/>
      <c r="J1069" s="170"/>
      <c r="K1069" s="12"/>
      <c r="L1069" s="288">
        <v>1.1599999999999999</v>
      </c>
      <c r="M1069" s="289">
        <v>250</v>
      </c>
      <c r="N1069" s="290">
        <v>1</v>
      </c>
      <c r="O1069" s="46"/>
      <c r="P1069" s="46" t="s">
        <v>92</v>
      </c>
      <c r="Q1069" s="12"/>
      <c r="R1069" s="192" t="str">
        <f t="shared" si="32"/>
        <v>1pieces</v>
      </c>
      <c r="S1069" s="198">
        <f t="shared" si="33"/>
        <v>250</v>
      </c>
      <c r="T1069" s="199" t="str">
        <f t="shared" si="34"/>
        <v>250pieces</v>
      </c>
      <c r="U1069" s="200">
        <f t="shared" si="35"/>
        <v>290</v>
      </c>
      <c r="V1069" s="12"/>
      <c r="W1069" s="12"/>
    </row>
    <row r="1070" spans="1:23" x14ac:dyDescent="0.3">
      <c r="A1070" s="193" t="e">
        <f ca="1"/>
        <v>#NAME?</v>
      </c>
      <c r="B1070" s="46" t="s">
        <v>1517</v>
      </c>
      <c r="C1070" s="315"/>
      <c r="D1070" s="316"/>
      <c r="E1070" s="315"/>
      <c r="F1070" s="315"/>
      <c r="G1070" s="315"/>
      <c r="H1070" s="153"/>
      <c r="I1070" s="12"/>
      <c r="J1070" s="46" t="s">
        <v>858</v>
      </c>
      <c r="K1070" s="12"/>
      <c r="L1070" s="288">
        <v>40.799999999999997</v>
      </c>
      <c r="M1070" s="289">
        <v>4</v>
      </c>
      <c r="N1070" s="290">
        <v>1</v>
      </c>
      <c r="O1070" s="46"/>
      <c r="P1070" s="46" t="s">
        <v>304</v>
      </c>
      <c r="Q1070" s="12"/>
      <c r="R1070" s="192" t="str">
        <f t="shared" si="32"/>
        <v>1packs</v>
      </c>
      <c r="S1070" s="198">
        <f t="shared" si="33"/>
        <v>4</v>
      </c>
      <c r="T1070" s="199" t="str">
        <f t="shared" si="34"/>
        <v>4packs</v>
      </c>
      <c r="U1070" s="200">
        <f t="shared" si="35"/>
        <v>163.19999999999999</v>
      </c>
      <c r="V1070" s="12"/>
      <c r="W1070" s="12"/>
    </row>
    <row r="1071" spans="1:23" x14ac:dyDescent="0.3">
      <c r="A1071" s="193" t="e">
        <f ca="1"/>
        <v>#NAME?</v>
      </c>
      <c r="B1071" s="219" t="s">
        <v>1518</v>
      </c>
      <c r="C1071" s="315"/>
      <c r="D1071" s="316"/>
      <c r="E1071" s="315"/>
      <c r="F1071" s="315"/>
      <c r="G1071" s="315"/>
      <c r="H1071" s="153"/>
      <c r="I1071" s="12"/>
      <c r="J1071" s="215"/>
      <c r="K1071" s="12"/>
      <c r="L1071" s="291">
        <v>45</v>
      </c>
      <c r="M1071" s="292">
        <v>1</v>
      </c>
      <c r="N1071" s="293">
        <v>50</v>
      </c>
      <c r="O1071" s="219"/>
      <c r="P1071" s="219" t="s">
        <v>39</v>
      </c>
      <c r="Q1071" s="12"/>
      <c r="R1071" s="192" t="str">
        <f t="shared" si="32"/>
        <v>50grams</v>
      </c>
      <c r="S1071" s="198">
        <f t="shared" si="33"/>
        <v>50</v>
      </c>
      <c r="T1071" s="199" t="str">
        <f t="shared" si="34"/>
        <v>50grams</v>
      </c>
      <c r="U1071" s="200">
        <f t="shared" si="35"/>
        <v>45</v>
      </c>
      <c r="V1071" s="12"/>
      <c r="W1071" s="12"/>
    </row>
    <row r="1072" spans="1:23" x14ac:dyDescent="0.3">
      <c r="A1072" s="193" t="e">
        <f ca="1"/>
        <v>#NAME?</v>
      </c>
      <c r="B1072" s="46" t="s">
        <v>1519</v>
      </c>
      <c r="C1072" s="315"/>
      <c r="D1072" s="316"/>
      <c r="E1072" s="315"/>
      <c r="F1072" s="315"/>
      <c r="G1072" s="315"/>
      <c r="H1072" s="153"/>
      <c r="I1072" s="12"/>
      <c r="J1072" s="46" t="s">
        <v>1520</v>
      </c>
      <c r="K1072" s="12"/>
      <c r="L1072" s="288">
        <v>265</v>
      </c>
      <c r="M1072" s="289">
        <v>0</v>
      </c>
      <c r="N1072" s="290">
        <v>227</v>
      </c>
      <c r="O1072" s="46"/>
      <c r="P1072" s="46" t="s">
        <v>39</v>
      </c>
      <c r="Q1072" s="12"/>
      <c r="R1072" s="192" t="str">
        <f t="shared" si="32"/>
        <v>227grams</v>
      </c>
      <c r="S1072" s="198">
        <f t="shared" si="33"/>
        <v>0</v>
      </c>
      <c r="T1072" s="199" t="str">
        <f t="shared" si="34"/>
        <v>0grams</v>
      </c>
      <c r="U1072" s="200">
        <f t="shared" si="35"/>
        <v>0</v>
      </c>
      <c r="V1072" s="12"/>
      <c r="W1072" s="12"/>
    </row>
    <row r="1073" spans="1:23" x14ac:dyDescent="0.3">
      <c r="A1073" s="193" t="e">
        <f ca="1"/>
        <v>#NAME?</v>
      </c>
      <c r="B1073" s="46" t="s">
        <v>1521</v>
      </c>
      <c r="C1073" s="315"/>
      <c r="D1073" s="316"/>
      <c r="E1073" s="315"/>
      <c r="F1073" s="315"/>
      <c r="G1073" s="315"/>
      <c r="H1073" s="153"/>
      <c r="I1073" s="12"/>
      <c r="J1073" s="46" t="s">
        <v>1004</v>
      </c>
      <c r="K1073" s="12"/>
      <c r="L1073" s="288">
        <v>5</v>
      </c>
      <c r="M1073" s="289">
        <v>25</v>
      </c>
      <c r="N1073" s="290">
        <v>1</v>
      </c>
      <c r="O1073" s="46"/>
      <c r="P1073" s="46" t="s">
        <v>92</v>
      </c>
      <c r="Q1073" s="12"/>
      <c r="R1073" s="192" t="str">
        <f t="shared" si="32"/>
        <v>1pieces</v>
      </c>
      <c r="S1073" s="198">
        <f t="shared" si="33"/>
        <v>25</v>
      </c>
      <c r="T1073" s="199" t="str">
        <f t="shared" si="34"/>
        <v>25pieces</v>
      </c>
      <c r="U1073" s="200">
        <f t="shared" si="35"/>
        <v>125</v>
      </c>
      <c r="V1073" s="12"/>
      <c r="W1073" s="12"/>
    </row>
    <row r="1074" spans="1:23" x14ac:dyDescent="0.3">
      <c r="A1074" s="193" t="e">
        <f ca="1"/>
        <v>#NAME?</v>
      </c>
      <c r="B1074" s="46" t="s">
        <v>1522</v>
      </c>
      <c r="C1074" s="315"/>
      <c r="D1074" s="316"/>
      <c r="E1074" s="315"/>
      <c r="F1074" s="315"/>
      <c r="G1074" s="315"/>
      <c r="H1074" s="153"/>
      <c r="I1074" s="12"/>
      <c r="J1074" s="170"/>
      <c r="K1074" s="12"/>
      <c r="L1074" s="288">
        <v>50</v>
      </c>
      <c r="M1074" s="289">
        <v>2</v>
      </c>
      <c r="N1074" s="290">
        <v>1</v>
      </c>
      <c r="O1074" s="46"/>
      <c r="P1074" s="46" t="s">
        <v>213</v>
      </c>
      <c r="Q1074" s="12"/>
      <c r="R1074" s="192" t="str">
        <f t="shared" si="32"/>
        <v>1kilos</v>
      </c>
      <c r="S1074" s="198">
        <f t="shared" si="33"/>
        <v>2</v>
      </c>
      <c r="T1074" s="199" t="str">
        <f t="shared" si="34"/>
        <v>2kilos</v>
      </c>
      <c r="U1074" s="200">
        <f t="shared" si="35"/>
        <v>100</v>
      </c>
      <c r="V1074" s="12"/>
      <c r="W1074" s="12"/>
    </row>
    <row r="1075" spans="1:23" x14ac:dyDescent="0.3">
      <c r="A1075" s="193" t="e">
        <f ca="1"/>
        <v>#NAME?</v>
      </c>
      <c r="B1075" s="46" t="s">
        <v>1523</v>
      </c>
      <c r="C1075" s="315"/>
      <c r="D1075" s="316"/>
      <c r="E1075" s="315"/>
      <c r="F1075" s="315"/>
      <c r="G1075" s="315"/>
      <c r="H1075" s="153"/>
      <c r="I1075" s="12"/>
      <c r="J1075" s="46" t="s">
        <v>865</v>
      </c>
      <c r="K1075" s="12"/>
      <c r="L1075" s="288">
        <v>113</v>
      </c>
      <c r="M1075" s="289">
        <v>1</v>
      </c>
      <c r="N1075" s="290">
        <v>825</v>
      </c>
      <c r="O1075" s="46"/>
      <c r="P1075" s="46" t="s">
        <v>39</v>
      </c>
      <c r="Q1075" s="12"/>
      <c r="R1075" s="192" t="str">
        <f t="shared" si="32"/>
        <v>825grams</v>
      </c>
      <c r="S1075" s="198">
        <f t="shared" si="33"/>
        <v>825</v>
      </c>
      <c r="T1075" s="199" t="str">
        <f t="shared" si="34"/>
        <v>825grams</v>
      </c>
      <c r="U1075" s="200">
        <f t="shared" si="35"/>
        <v>113</v>
      </c>
      <c r="V1075" s="12"/>
      <c r="W1075" s="12"/>
    </row>
    <row r="1076" spans="1:23" x14ac:dyDescent="0.3">
      <c r="A1076" s="193" t="e">
        <f ca="1"/>
        <v>#NAME?</v>
      </c>
      <c r="B1076" s="46" t="s">
        <v>1523</v>
      </c>
      <c r="C1076" s="315"/>
      <c r="D1076" s="316"/>
      <c r="E1076" s="315"/>
      <c r="F1076" s="315"/>
      <c r="G1076" s="315"/>
      <c r="H1076" s="153"/>
      <c r="I1076" s="12"/>
      <c r="J1076" s="46" t="s">
        <v>1241</v>
      </c>
      <c r="K1076" s="12"/>
      <c r="L1076" s="288">
        <v>139</v>
      </c>
      <c r="M1076" s="289">
        <v>1</v>
      </c>
      <c r="N1076" s="290">
        <v>825</v>
      </c>
      <c r="O1076" s="46"/>
      <c r="P1076" s="46" t="s">
        <v>39</v>
      </c>
      <c r="Q1076" s="12"/>
      <c r="R1076" s="192" t="str">
        <f t="shared" si="32"/>
        <v>825grams</v>
      </c>
      <c r="S1076" s="198">
        <f t="shared" si="33"/>
        <v>825</v>
      </c>
      <c r="T1076" s="199" t="str">
        <f t="shared" si="34"/>
        <v>825grams</v>
      </c>
      <c r="U1076" s="200">
        <f t="shared" si="35"/>
        <v>139</v>
      </c>
      <c r="V1076" s="12"/>
      <c r="W1076" s="12"/>
    </row>
    <row r="1077" spans="1:23" x14ac:dyDescent="0.3">
      <c r="A1077" s="193" t="e">
        <f ca="1"/>
        <v>#NAME?</v>
      </c>
      <c r="B1077" s="46" t="s">
        <v>710</v>
      </c>
      <c r="C1077" s="315"/>
      <c r="D1077" s="316"/>
      <c r="E1077" s="315"/>
      <c r="F1077" s="315"/>
      <c r="G1077" s="315"/>
      <c r="H1077" s="153"/>
      <c r="I1077" s="12"/>
      <c r="J1077" s="46" t="s">
        <v>1524</v>
      </c>
      <c r="K1077" s="12"/>
      <c r="L1077" s="288">
        <v>180</v>
      </c>
      <c r="M1077" s="289">
        <v>2</v>
      </c>
      <c r="N1077" s="290">
        <v>2</v>
      </c>
      <c r="O1077" s="46"/>
      <c r="P1077" s="46" t="s">
        <v>213</v>
      </c>
      <c r="Q1077" s="12"/>
      <c r="R1077" s="192" t="str">
        <f t="shared" si="32"/>
        <v>2kilos</v>
      </c>
      <c r="S1077" s="198">
        <f t="shared" si="33"/>
        <v>4</v>
      </c>
      <c r="T1077" s="199" t="str">
        <f t="shared" si="34"/>
        <v>4kilos</v>
      </c>
      <c r="U1077" s="200">
        <f t="shared" si="35"/>
        <v>360</v>
      </c>
      <c r="V1077" s="12"/>
      <c r="W1077" s="12"/>
    </row>
    <row r="1078" spans="1:23" x14ac:dyDescent="0.3">
      <c r="A1078" s="193" t="e">
        <f ca="1"/>
        <v>#NAME?</v>
      </c>
      <c r="B1078" s="219" t="s">
        <v>710</v>
      </c>
      <c r="C1078" s="315"/>
      <c r="D1078" s="316"/>
      <c r="E1078" s="315"/>
      <c r="F1078" s="315"/>
      <c r="G1078" s="315"/>
      <c r="H1078" s="153"/>
      <c r="I1078" s="12"/>
      <c r="J1078" s="219" t="s">
        <v>1525</v>
      </c>
      <c r="K1078" s="12"/>
      <c r="L1078" s="291">
        <v>221.3</v>
      </c>
      <c r="M1078" s="292">
        <v>1</v>
      </c>
      <c r="N1078" s="293">
        <v>504</v>
      </c>
      <c r="O1078" s="219"/>
      <c r="P1078" s="219" t="s">
        <v>39</v>
      </c>
      <c r="Q1078" s="12"/>
      <c r="R1078" s="192" t="str">
        <f t="shared" si="32"/>
        <v>504grams</v>
      </c>
      <c r="S1078" s="198">
        <f t="shared" si="33"/>
        <v>504</v>
      </c>
      <c r="T1078" s="199" t="str">
        <f t="shared" si="34"/>
        <v>504grams</v>
      </c>
      <c r="U1078" s="200">
        <f t="shared" si="35"/>
        <v>221.3</v>
      </c>
      <c r="V1078" s="12"/>
      <c r="W1078" s="12"/>
    </row>
    <row r="1079" spans="1:23" x14ac:dyDescent="0.3">
      <c r="A1079" s="193" t="e">
        <f ca="1"/>
        <v>#NAME?</v>
      </c>
      <c r="B1079" s="46" t="s">
        <v>710</v>
      </c>
      <c r="C1079" s="315"/>
      <c r="D1079" s="316"/>
      <c r="E1079" s="315"/>
      <c r="F1079" s="315"/>
      <c r="G1079" s="315"/>
      <c r="H1079" s="153"/>
      <c r="I1079" s="12"/>
      <c r="J1079" s="46" t="s">
        <v>1524</v>
      </c>
      <c r="K1079" s="12"/>
      <c r="L1079" s="288">
        <v>230</v>
      </c>
      <c r="M1079" s="289">
        <v>2</v>
      </c>
      <c r="N1079" s="290">
        <v>1800</v>
      </c>
      <c r="O1079" s="46"/>
      <c r="P1079" s="46" t="s">
        <v>39</v>
      </c>
      <c r="Q1079" s="12"/>
      <c r="R1079" s="192" t="str">
        <f t="shared" si="32"/>
        <v>1800grams</v>
      </c>
      <c r="S1079" s="198">
        <f t="shared" si="33"/>
        <v>3600</v>
      </c>
      <c r="T1079" s="199" t="str">
        <f t="shared" si="34"/>
        <v>3600grams</v>
      </c>
      <c r="U1079" s="200">
        <f t="shared" si="35"/>
        <v>460</v>
      </c>
      <c r="V1079" s="12"/>
      <c r="W1079" s="12"/>
    </row>
    <row r="1080" spans="1:23" x14ac:dyDescent="0.3">
      <c r="A1080" s="193" t="e">
        <f ca="1"/>
        <v>#NAME?</v>
      </c>
      <c r="B1080" s="219" t="s">
        <v>1526</v>
      </c>
      <c r="C1080" s="315"/>
      <c r="D1080" s="316"/>
      <c r="E1080" s="315"/>
      <c r="F1080" s="315"/>
      <c r="G1080" s="315"/>
      <c r="H1080" s="153"/>
      <c r="I1080" s="12"/>
      <c r="J1080" s="215"/>
      <c r="K1080" s="12"/>
      <c r="L1080" s="291">
        <v>6</v>
      </c>
      <c r="M1080" s="292">
        <v>130</v>
      </c>
      <c r="N1080" s="293">
        <v>10</v>
      </c>
      <c r="O1080" s="219"/>
      <c r="P1080" s="219" t="s">
        <v>304</v>
      </c>
      <c r="Q1080" s="12"/>
      <c r="R1080" s="192" t="str">
        <f t="shared" si="32"/>
        <v>10packs</v>
      </c>
      <c r="S1080" s="198">
        <f t="shared" si="33"/>
        <v>1300</v>
      </c>
      <c r="T1080" s="199" t="str">
        <f t="shared" si="34"/>
        <v>1300packs</v>
      </c>
      <c r="U1080" s="200">
        <f t="shared" si="35"/>
        <v>780</v>
      </c>
      <c r="V1080" s="12"/>
      <c r="W1080" s="12"/>
    </row>
    <row r="1081" spans="1:23" x14ac:dyDescent="0.3">
      <c r="A1081" s="193" t="e">
        <f ca="1"/>
        <v>#NAME?</v>
      </c>
      <c r="B1081" s="46" t="s">
        <v>1526</v>
      </c>
      <c r="C1081" s="315"/>
      <c r="D1081" s="316"/>
      <c r="E1081" s="315"/>
      <c r="F1081" s="315"/>
      <c r="G1081" s="315"/>
      <c r="H1081" s="153"/>
      <c r="I1081" s="12"/>
      <c r="J1081" s="46" t="s">
        <v>1527</v>
      </c>
      <c r="K1081" s="12"/>
      <c r="L1081" s="288">
        <v>38</v>
      </c>
      <c r="M1081" s="289">
        <v>4</v>
      </c>
      <c r="N1081" s="290">
        <v>100</v>
      </c>
      <c r="O1081" s="46"/>
      <c r="P1081" s="46" t="s">
        <v>39</v>
      </c>
      <c r="Q1081" s="12"/>
      <c r="R1081" s="192" t="str">
        <f t="shared" si="32"/>
        <v>100grams</v>
      </c>
      <c r="S1081" s="198">
        <f t="shared" si="33"/>
        <v>400</v>
      </c>
      <c r="T1081" s="199" t="str">
        <f t="shared" si="34"/>
        <v>400grams</v>
      </c>
      <c r="U1081" s="200">
        <f t="shared" si="35"/>
        <v>152</v>
      </c>
      <c r="V1081" s="12"/>
      <c r="W1081" s="12"/>
    </row>
    <row r="1082" spans="1:23" x14ac:dyDescent="0.3">
      <c r="A1082" s="193" t="e">
        <f ca="1"/>
        <v>#NAME?</v>
      </c>
      <c r="B1082" s="46" t="s">
        <v>1528</v>
      </c>
      <c r="C1082" s="315"/>
      <c r="D1082" s="316"/>
      <c r="E1082" s="315"/>
      <c r="F1082" s="315"/>
      <c r="G1082" s="315"/>
      <c r="H1082" s="153"/>
      <c r="I1082" s="12"/>
      <c r="J1082" s="46" t="s">
        <v>1066</v>
      </c>
      <c r="K1082" s="12"/>
      <c r="L1082" s="288">
        <v>35.18</v>
      </c>
      <c r="M1082" s="289">
        <v>24</v>
      </c>
      <c r="N1082" s="290">
        <v>80</v>
      </c>
      <c r="O1082" s="46"/>
      <c r="P1082" s="46" t="s">
        <v>39</v>
      </c>
      <c r="Q1082" s="12"/>
      <c r="R1082" s="192" t="str">
        <f t="shared" si="32"/>
        <v>80grams</v>
      </c>
      <c r="S1082" s="198">
        <f t="shared" si="33"/>
        <v>1920</v>
      </c>
      <c r="T1082" s="199" t="str">
        <f t="shared" si="34"/>
        <v>1920grams</v>
      </c>
      <c r="U1082" s="200">
        <f t="shared" si="35"/>
        <v>844.31999999999994</v>
      </c>
      <c r="V1082" s="12"/>
      <c r="W1082" s="12"/>
    </row>
    <row r="1083" spans="1:23" x14ac:dyDescent="0.3">
      <c r="A1083" s="193" t="e">
        <f ca="1"/>
        <v>#NAME?</v>
      </c>
      <c r="B1083" s="46" t="s">
        <v>1528</v>
      </c>
      <c r="C1083" s="315"/>
      <c r="D1083" s="316"/>
      <c r="E1083" s="315"/>
      <c r="F1083" s="315"/>
      <c r="G1083" s="315"/>
      <c r="H1083" s="153"/>
      <c r="I1083" s="12"/>
      <c r="J1083" s="46" t="s">
        <v>1529</v>
      </c>
      <c r="K1083" s="12"/>
      <c r="L1083" s="288">
        <v>234.75</v>
      </c>
      <c r="M1083" s="289">
        <v>1</v>
      </c>
      <c r="N1083" s="290">
        <v>120</v>
      </c>
      <c r="O1083" s="46"/>
      <c r="P1083" s="46" t="s">
        <v>39</v>
      </c>
      <c r="Q1083" s="12"/>
      <c r="R1083" s="192" t="str">
        <f t="shared" si="32"/>
        <v>120grams</v>
      </c>
      <c r="S1083" s="198">
        <f t="shared" si="33"/>
        <v>120</v>
      </c>
      <c r="T1083" s="199" t="str">
        <f t="shared" si="34"/>
        <v>120grams</v>
      </c>
      <c r="U1083" s="200">
        <f t="shared" si="35"/>
        <v>234.75</v>
      </c>
      <c r="V1083" s="12"/>
      <c r="W1083" s="12"/>
    </row>
    <row r="1084" spans="1:23" x14ac:dyDescent="0.3">
      <c r="A1084" s="193" t="e">
        <f ca="1"/>
        <v>#NAME?</v>
      </c>
      <c r="B1084" s="219" t="s">
        <v>1530</v>
      </c>
      <c r="C1084" s="315"/>
      <c r="D1084" s="316"/>
      <c r="E1084" s="315"/>
      <c r="F1084" s="315"/>
      <c r="G1084" s="315"/>
      <c r="H1084" s="153"/>
      <c r="I1084" s="12"/>
      <c r="J1084" s="219" t="s">
        <v>1062</v>
      </c>
      <c r="K1084" s="12"/>
      <c r="L1084" s="291">
        <v>125</v>
      </c>
      <c r="M1084" s="292">
        <v>17</v>
      </c>
      <c r="N1084" s="293">
        <v>1</v>
      </c>
      <c r="O1084" s="219"/>
      <c r="P1084" s="219" t="s">
        <v>1064</v>
      </c>
      <c r="Q1084" s="12"/>
      <c r="R1084" s="192" t="str">
        <f t="shared" si="32"/>
        <v>1jar</v>
      </c>
      <c r="S1084" s="198">
        <f t="shared" si="33"/>
        <v>17</v>
      </c>
      <c r="T1084" s="199" t="str">
        <f t="shared" si="34"/>
        <v>17jar</v>
      </c>
      <c r="U1084" s="200">
        <f t="shared" si="35"/>
        <v>2125</v>
      </c>
      <c r="V1084" s="12"/>
      <c r="W1084" s="12"/>
    </row>
    <row r="1085" spans="1:23" x14ac:dyDescent="0.3">
      <c r="A1085" s="193" t="e">
        <f ca="1"/>
        <v>#NAME?</v>
      </c>
      <c r="B1085" s="219" t="s">
        <v>1531</v>
      </c>
      <c r="C1085" s="315"/>
      <c r="D1085" s="316"/>
      <c r="E1085" s="315"/>
      <c r="F1085" s="315"/>
      <c r="G1085" s="315"/>
      <c r="H1085" s="153"/>
      <c r="I1085" s="12"/>
      <c r="J1085" s="219" t="s">
        <v>1062</v>
      </c>
      <c r="K1085" s="12"/>
      <c r="L1085" s="291">
        <v>35</v>
      </c>
      <c r="M1085" s="292">
        <v>1</v>
      </c>
      <c r="N1085" s="293">
        <v>1</v>
      </c>
      <c r="O1085" s="219"/>
      <c r="P1085" s="219" t="s">
        <v>1064</v>
      </c>
      <c r="Q1085" s="12"/>
      <c r="R1085" s="192" t="str">
        <f t="shared" si="32"/>
        <v>1jar</v>
      </c>
      <c r="S1085" s="198">
        <f t="shared" si="33"/>
        <v>1</v>
      </c>
      <c r="T1085" s="199" t="str">
        <f t="shared" si="34"/>
        <v>1jar</v>
      </c>
      <c r="U1085" s="200">
        <f t="shared" si="35"/>
        <v>35</v>
      </c>
      <c r="V1085" s="12"/>
      <c r="W1085" s="12"/>
    </row>
    <row r="1086" spans="1:23" x14ac:dyDescent="0.3">
      <c r="A1086" s="193" t="e">
        <f ca="1"/>
        <v>#NAME?</v>
      </c>
      <c r="B1086" s="46" t="s">
        <v>1532</v>
      </c>
      <c r="C1086" s="315"/>
      <c r="D1086" s="316"/>
      <c r="E1086" s="315"/>
      <c r="F1086" s="315"/>
      <c r="G1086" s="315"/>
      <c r="H1086" s="153"/>
      <c r="I1086" s="12"/>
      <c r="J1086" s="170"/>
      <c r="K1086" s="12"/>
      <c r="L1086" s="288">
        <v>75</v>
      </c>
      <c r="M1086" s="289">
        <v>1</v>
      </c>
      <c r="N1086" s="290">
        <v>1</v>
      </c>
      <c r="O1086" s="46"/>
      <c r="P1086" s="46" t="s">
        <v>213</v>
      </c>
      <c r="Q1086" s="12"/>
      <c r="R1086" s="192" t="str">
        <f t="shared" si="32"/>
        <v>1kilos</v>
      </c>
      <c r="S1086" s="198">
        <f t="shared" si="33"/>
        <v>1</v>
      </c>
      <c r="T1086" s="199" t="str">
        <f t="shared" si="34"/>
        <v>1kilos</v>
      </c>
      <c r="U1086" s="200">
        <f t="shared" si="35"/>
        <v>75</v>
      </c>
      <c r="V1086" s="12"/>
      <c r="W1086" s="12"/>
    </row>
    <row r="1087" spans="1:23" x14ac:dyDescent="0.3">
      <c r="A1087" s="193" t="e">
        <f ca="1"/>
        <v>#NAME?</v>
      </c>
      <c r="B1087" s="46" t="s">
        <v>1532</v>
      </c>
      <c r="C1087" s="315"/>
      <c r="D1087" s="316"/>
      <c r="E1087" s="315"/>
      <c r="F1087" s="315"/>
      <c r="G1087" s="315"/>
      <c r="H1087" s="153"/>
      <c r="I1087" s="12"/>
      <c r="J1087" s="170"/>
      <c r="K1087" s="12"/>
      <c r="L1087" s="288">
        <v>100</v>
      </c>
      <c r="M1087" s="289">
        <v>1</v>
      </c>
      <c r="N1087" s="290">
        <v>1</v>
      </c>
      <c r="O1087" s="46"/>
      <c r="P1087" s="46" t="s">
        <v>213</v>
      </c>
      <c r="Q1087" s="12"/>
      <c r="R1087" s="192" t="str">
        <f t="shared" si="32"/>
        <v>1kilos</v>
      </c>
      <c r="S1087" s="198">
        <f t="shared" si="33"/>
        <v>1</v>
      </c>
      <c r="T1087" s="199" t="str">
        <f t="shared" si="34"/>
        <v>1kilos</v>
      </c>
      <c r="U1087" s="200">
        <f t="shared" si="35"/>
        <v>100</v>
      </c>
      <c r="V1087" s="12"/>
      <c r="W1087" s="12"/>
    </row>
    <row r="1088" spans="1:23" x14ac:dyDescent="0.3">
      <c r="A1088" s="193" t="e">
        <f ca="1"/>
        <v>#NAME?</v>
      </c>
      <c r="B1088" s="46" t="s">
        <v>1532</v>
      </c>
      <c r="C1088" s="315"/>
      <c r="D1088" s="316"/>
      <c r="E1088" s="315"/>
      <c r="F1088" s="315"/>
      <c r="G1088" s="315"/>
      <c r="H1088" s="153"/>
      <c r="I1088" s="12"/>
      <c r="J1088" s="170"/>
      <c r="K1088" s="12"/>
      <c r="L1088" s="288">
        <v>50</v>
      </c>
      <c r="M1088" s="289">
        <v>1</v>
      </c>
      <c r="N1088" s="290">
        <v>1</v>
      </c>
      <c r="O1088" s="46"/>
      <c r="P1088" s="46" t="s">
        <v>213</v>
      </c>
      <c r="Q1088" s="12"/>
      <c r="R1088" s="192" t="str">
        <f t="shared" si="32"/>
        <v>1kilos</v>
      </c>
      <c r="S1088" s="198">
        <f t="shared" si="33"/>
        <v>1</v>
      </c>
      <c r="T1088" s="199" t="str">
        <f t="shared" si="34"/>
        <v>1kilos</v>
      </c>
      <c r="U1088" s="200">
        <f t="shared" si="35"/>
        <v>50</v>
      </c>
      <c r="V1088" s="12"/>
      <c r="W1088" s="12"/>
    </row>
    <row r="1089" spans="1:23" x14ac:dyDescent="0.3">
      <c r="A1089" s="193" t="e">
        <f ca="1"/>
        <v>#NAME?</v>
      </c>
      <c r="B1089" s="46" t="s">
        <v>1533</v>
      </c>
      <c r="C1089" s="315"/>
      <c r="D1089" s="316"/>
      <c r="E1089" s="315"/>
      <c r="F1089" s="315"/>
      <c r="G1089" s="315"/>
      <c r="H1089" s="153"/>
      <c r="I1089" s="12"/>
      <c r="J1089" s="170"/>
      <c r="K1089" s="12"/>
      <c r="L1089" s="288">
        <v>50</v>
      </c>
      <c r="M1089" s="289">
        <v>2</v>
      </c>
      <c r="N1089" s="290">
        <v>1</v>
      </c>
      <c r="O1089" s="46"/>
      <c r="P1089" s="46" t="s">
        <v>213</v>
      </c>
      <c r="Q1089" s="12"/>
      <c r="R1089" s="192" t="str">
        <f t="shared" si="32"/>
        <v>1kilos</v>
      </c>
      <c r="S1089" s="198">
        <f t="shared" si="33"/>
        <v>2</v>
      </c>
      <c r="T1089" s="199" t="str">
        <f t="shared" si="34"/>
        <v>2kilos</v>
      </c>
      <c r="U1089" s="200">
        <f t="shared" si="35"/>
        <v>100</v>
      </c>
      <c r="V1089" s="12"/>
      <c r="W1089" s="12"/>
    </row>
    <row r="1090" spans="1:23" x14ac:dyDescent="0.3">
      <c r="A1090" s="193" t="e">
        <f ca="1"/>
        <v>#NAME?</v>
      </c>
      <c r="B1090" s="46" t="s">
        <v>1533</v>
      </c>
      <c r="C1090" s="315"/>
      <c r="D1090" s="316"/>
      <c r="E1090" s="315"/>
      <c r="F1090" s="315"/>
      <c r="G1090" s="315"/>
      <c r="H1090" s="153"/>
      <c r="I1090" s="12"/>
      <c r="J1090" s="170"/>
      <c r="K1090" s="12"/>
      <c r="L1090" s="288">
        <v>80</v>
      </c>
      <c r="M1090" s="289">
        <v>1</v>
      </c>
      <c r="N1090" s="290">
        <v>1</v>
      </c>
      <c r="O1090" s="46"/>
      <c r="P1090" s="46" t="s">
        <v>213</v>
      </c>
      <c r="Q1090" s="12"/>
      <c r="R1090" s="192" t="str">
        <f t="shared" si="32"/>
        <v>1kilos</v>
      </c>
      <c r="S1090" s="198">
        <f t="shared" si="33"/>
        <v>1</v>
      </c>
      <c r="T1090" s="199" t="str">
        <f t="shared" si="34"/>
        <v>1kilos</v>
      </c>
      <c r="U1090" s="200">
        <f t="shared" si="35"/>
        <v>80</v>
      </c>
      <c r="V1090" s="12"/>
      <c r="W1090" s="12"/>
    </row>
    <row r="1091" spans="1:23" x14ac:dyDescent="0.3">
      <c r="A1091" s="193" t="e">
        <f ca="1"/>
        <v>#NAME?</v>
      </c>
      <c r="B1091" s="46" t="s">
        <v>1534</v>
      </c>
      <c r="C1091" s="315"/>
      <c r="D1091" s="316"/>
      <c r="E1091" s="315"/>
      <c r="F1091" s="315"/>
      <c r="G1091" s="315"/>
      <c r="H1091" s="153"/>
      <c r="I1091" s="12"/>
      <c r="J1091" s="46" t="s">
        <v>1349</v>
      </c>
      <c r="K1091" s="12"/>
      <c r="L1091" s="288">
        <v>75</v>
      </c>
      <c r="M1091" s="289">
        <v>2</v>
      </c>
      <c r="N1091" s="290">
        <v>1</v>
      </c>
      <c r="O1091" s="46"/>
      <c r="P1091" s="46" t="s">
        <v>213</v>
      </c>
      <c r="Q1091" s="12"/>
      <c r="R1091" s="192" t="str">
        <f t="shared" si="32"/>
        <v>1kilos</v>
      </c>
      <c r="S1091" s="198">
        <f t="shared" si="33"/>
        <v>2</v>
      </c>
      <c r="T1091" s="199" t="str">
        <f t="shared" si="34"/>
        <v>2kilos</v>
      </c>
      <c r="U1091" s="200">
        <f t="shared" si="35"/>
        <v>150</v>
      </c>
      <c r="V1091" s="12"/>
      <c r="W1091" s="12"/>
    </row>
    <row r="1092" spans="1:23" x14ac:dyDescent="0.3">
      <c r="A1092" s="193" t="e">
        <f ca="1"/>
        <v>#NAME?</v>
      </c>
      <c r="B1092" s="46" t="s">
        <v>1534</v>
      </c>
      <c r="C1092" s="315"/>
      <c r="D1092" s="316"/>
      <c r="E1092" s="315"/>
      <c r="F1092" s="315"/>
      <c r="G1092" s="315"/>
      <c r="H1092" s="153"/>
      <c r="I1092" s="12"/>
      <c r="J1092" s="46" t="s">
        <v>1349</v>
      </c>
      <c r="K1092" s="12"/>
      <c r="L1092" s="288">
        <v>80</v>
      </c>
      <c r="M1092" s="289">
        <v>1</v>
      </c>
      <c r="N1092" s="290">
        <v>1</v>
      </c>
      <c r="O1092" s="46"/>
      <c r="P1092" s="46" t="s">
        <v>213</v>
      </c>
      <c r="Q1092" s="12"/>
      <c r="R1092" s="192" t="str">
        <f t="shared" si="32"/>
        <v>1kilos</v>
      </c>
      <c r="S1092" s="198">
        <f t="shared" si="33"/>
        <v>1</v>
      </c>
      <c r="T1092" s="199" t="str">
        <f t="shared" si="34"/>
        <v>1kilos</v>
      </c>
      <c r="U1092" s="200">
        <f t="shared" si="35"/>
        <v>80</v>
      </c>
      <c r="V1092" s="12"/>
      <c r="W1092" s="12"/>
    </row>
    <row r="1093" spans="1:23" x14ac:dyDescent="0.3">
      <c r="A1093" s="193" t="e">
        <f ca="1"/>
        <v>#NAME?</v>
      </c>
      <c r="B1093" s="219" t="s">
        <v>1534</v>
      </c>
      <c r="C1093" s="315"/>
      <c r="D1093" s="316"/>
      <c r="E1093" s="315"/>
      <c r="F1093" s="315"/>
      <c r="G1093" s="315"/>
      <c r="H1093" s="153"/>
      <c r="I1093" s="12"/>
      <c r="J1093" s="219" t="s">
        <v>1219</v>
      </c>
      <c r="K1093" s="12"/>
      <c r="L1093" s="291">
        <v>46</v>
      </c>
      <c r="M1093" s="292">
        <v>2</v>
      </c>
      <c r="N1093" s="290">
        <v>1</v>
      </c>
      <c r="O1093" s="46"/>
      <c r="P1093" s="46" t="s">
        <v>213</v>
      </c>
      <c r="Q1093" s="12"/>
      <c r="R1093" s="192" t="str">
        <f t="shared" si="32"/>
        <v>1kilos</v>
      </c>
      <c r="S1093" s="198">
        <f t="shared" si="33"/>
        <v>2</v>
      </c>
      <c r="T1093" s="199" t="str">
        <f t="shared" si="34"/>
        <v>2kilos</v>
      </c>
      <c r="U1093" s="200">
        <f t="shared" si="35"/>
        <v>92</v>
      </c>
      <c r="V1093" s="12"/>
      <c r="W1093" s="12"/>
    </row>
    <row r="1094" spans="1:23" x14ac:dyDescent="0.3">
      <c r="A1094" s="193" t="e">
        <f ca="1"/>
        <v>#NAME?</v>
      </c>
      <c r="B1094" s="46" t="s">
        <v>1535</v>
      </c>
      <c r="C1094" s="315"/>
      <c r="D1094" s="316"/>
      <c r="E1094" s="315"/>
      <c r="F1094" s="315"/>
      <c r="G1094" s="315"/>
      <c r="H1094" s="153"/>
      <c r="I1094" s="12"/>
      <c r="J1094" s="170"/>
      <c r="K1094" s="12"/>
      <c r="L1094" s="288">
        <v>60</v>
      </c>
      <c r="M1094" s="289">
        <v>4</v>
      </c>
      <c r="N1094" s="290">
        <v>1</v>
      </c>
      <c r="O1094" s="46"/>
      <c r="P1094" s="46" t="s">
        <v>213</v>
      </c>
      <c r="Q1094" s="12"/>
      <c r="R1094" s="192" t="str">
        <f t="shared" si="32"/>
        <v>1kilos</v>
      </c>
      <c r="S1094" s="198">
        <f t="shared" si="33"/>
        <v>4</v>
      </c>
      <c r="T1094" s="199" t="str">
        <f t="shared" si="34"/>
        <v>4kilos</v>
      </c>
      <c r="U1094" s="200">
        <f t="shared" si="35"/>
        <v>240</v>
      </c>
      <c r="V1094" s="12"/>
      <c r="W1094" s="12"/>
    </row>
    <row r="1095" spans="1:23" x14ac:dyDescent="0.3">
      <c r="A1095" s="193" t="e">
        <f ca="1"/>
        <v>#NAME?</v>
      </c>
      <c r="B1095" s="46" t="s">
        <v>1536</v>
      </c>
      <c r="C1095" s="315"/>
      <c r="D1095" s="316"/>
      <c r="E1095" s="315"/>
      <c r="F1095" s="315"/>
      <c r="G1095" s="315"/>
      <c r="H1095" s="153"/>
      <c r="I1095" s="12"/>
      <c r="J1095" s="46" t="s">
        <v>959</v>
      </c>
      <c r="K1095" s="12"/>
      <c r="L1095" s="288">
        <v>45</v>
      </c>
      <c r="M1095" s="289">
        <v>1</v>
      </c>
      <c r="N1095" s="290">
        <v>100</v>
      </c>
      <c r="O1095" s="46"/>
      <c r="P1095" s="46" t="s">
        <v>39</v>
      </c>
      <c r="Q1095" s="12"/>
      <c r="R1095" s="192" t="str">
        <f t="shared" si="32"/>
        <v>100grams</v>
      </c>
      <c r="S1095" s="198">
        <f t="shared" si="33"/>
        <v>100</v>
      </c>
      <c r="T1095" s="199" t="str">
        <f t="shared" si="34"/>
        <v>100grams</v>
      </c>
      <c r="U1095" s="200">
        <f t="shared" si="35"/>
        <v>45</v>
      </c>
      <c r="V1095" s="12"/>
      <c r="W1095" s="12"/>
    </row>
    <row r="1096" spans="1:23" x14ac:dyDescent="0.3">
      <c r="A1096" s="193" t="e">
        <f ca="1"/>
        <v>#NAME?</v>
      </c>
      <c r="B1096" s="46" t="s">
        <v>1537</v>
      </c>
      <c r="C1096" s="315"/>
      <c r="D1096" s="316"/>
      <c r="E1096" s="315"/>
      <c r="F1096" s="315"/>
      <c r="G1096" s="315"/>
      <c r="H1096" s="153"/>
      <c r="I1096" s="12"/>
      <c r="J1096" s="46" t="s">
        <v>959</v>
      </c>
      <c r="K1096" s="12"/>
      <c r="L1096" s="288">
        <v>57.7</v>
      </c>
      <c r="M1096" s="289">
        <v>1</v>
      </c>
      <c r="N1096" s="290">
        <v>135</v>
      </c>
      <c r="O1096" s="46"/>
      <c r="P1096" s="46" t="s">
        <v>39</v>
      </c>
      <c r="Q1096" s="12"/>
      <c r="R1096" s="192" t="str">
        <f t="shared" si="32"/>
        <v>135grams</v>
      </c>
      <c r="S1096" s="198">
        <f t="shared" si="33"/>
        <v>135</v>
      </c>
      <c r="T1096" s="199" t="str">
        <f t="shared" si="34"/>
        <v>135grams</v>
      </c>
      <c r="U1096" s="200">
        <f t="shared" si="35"/>
        <v>57.7</v>
      </c>
      <c r="V1096" s="12"/>
      <c r="W1096" s="12"/>
    </row>
    <row r="1097" spans="1:23" x14ac:dyDescent="0.3">
      <c r="A1097" s="193" t="e">
        <f ca="1"/>
        <v>#NAME?</v>
      </c>
      <c r="B1097" s="219" t="s">
        <v>1538</v>
      </c>
      <c r="C1097" s="315"/>
      <c r="D1097" s="316"/>
      <c r="E1097" s="315"/>
      <c r="F1097" s="315"/>
      <c r="G1097" s="315"/>
      <c r="H1097" s="153"/>
      <c r="I1097" s="12"/>
      <c r="J1097" s="219" t="s">
        <v>1062</v>
      </c>
      <c r="K1097" s="12"/>
      <c r="L1097" s="291">
        <v>125</v>
      </c>
      <c r="M1097" s="292">
        <v>6</v>
      </c>
      <c r="N1097" s="293">
        <v>1</v>
      </c>
      <c r="O1097" s="219"/>
      <c r="P1097" s="219" t="s">
        <v>1064</v>
      </c>
      <c r="Q1097" s="12"/>
      <c r="R1097" s="192" t="str">
        <f t="shared" si="32"/>
        <v>1jar</v>
      </c>
      <c r="S1097" s="198">
        <f t="shared" si="33"/>
        <v>6</v>
      </c>
      <c r="T1097" s="199" t="str">
        <f t="shared" si="34"/>
        <v>6jar</v>
      </c>
      <c r="U1097" s="200">
        <f t="shared" si="35"/>
        <v>750</v>
      </c>
      <c r="V1097" s="12"/>
      <c r="W1097" s="12"/>
    </row>
    <row r="1098" spans="1:23" x14ac:dyDescent="0.3">
      <c r="A1098" s="193" t="e">
        <f ca="1"/>
        <v>#NAME?</v>
      </c>
      <c r="B1098" s="219" t="s">
        <v>1539</v>
      </c>
      <c r="C1098" s="315"/>
      <c r="D1098" s="316"/>
      <c r="E1098" s="315"/>
      <c r="F1098" s="315"/>
      <c r="G1098" s="315"/>
      <c r="H1098" s="153"/>
      <c r="I1098" s="12"/>
      <c r="J1098" s="219" t="s">
        <v>1486</v>
      </c>
      <c r="K1098" s="12"/>
      <c r="L1098" s="291">
        <v>135</v>
      </c>
      <c r="M1098" s="292">
        <v>1</v>
      </c>
      <c r="N1098" s="293">
        <v>320</v>
      </c>
      <c r="O1098" s="219"/>
      <c r="P1098" s="219" t="s">
        <v>39</v>
      </c>
      <c r="Q1098" s="12"/>
      <c r="R1098" s="192" t="str">
        <f t="shared" si="32"/>
        <v>320grams</v>
      </c>
      <c r="S1098" s="198">
        <f t="shared" si="33"/>
        <v>320</v>
      </c>
      <c r="T1098" s="199" t="str">
        <f t="shared" si="34"/>
        <v>320grams</v>
      </c>
      <c r="U1098" s="200">
        <f t="shared" si="35"/>
        <v>135</v>
      </c>
      <c r="V1098" s="12"/>
      <c r="W1098" s="12"/>
    </row>
    <row r="1099" spans="1:23" x14ac:dyDescent="0.3">
      <c r="A1099" s="193" t="e">
        <f ca="1"/>
        <v>#NAME?</v>
      </c>
      <c r="B1099" s="219" t="s">
        <v>1540</v>
      </c>
      <c r="C1099" s="315"/>
      <c r="D1099" s="316"/>
      <c r="E1099" s="315"/>
      <c r="F1099" s="315"/>
      <c r="G1099" s="315"/>
      <c r="H1099" s="153"/>
      <c r="I1099" s="12"/>
      <c r="J1099" s="219" t="s">
        <v>1241</v>
      </c>
      <c r="K1099" s="12"/>
      <c r="L1099" s="291">
        <v>38.5</v>
      </c>
      <c r="M1099" s="323">
        <v>2</v>
      </c>
      <c r="N1099" s="293">
        <v>137</v>
      </c>
      <c r="O1099" s="219"/>
      <c r="P1099" s="219" t="s">
        <v>519</v>
      </c>
      <c r="Q1099" s="12"/>
      <c r="R1099" s="192" t="str">
        <f t="shared" si="32"/>
        <v>137drained weight grams</v>
      </c>
      <c r="S1099" s="198">
        <f t="shared" si="33"/>
        <v>274</v>
      </c>
      <c r="T1099" s="199" t="str">
        <f t="shared" si="34"/>
        <v>274drained weight grams</v>
      </c>
      <c r="U1099" s="200">
        <f t="shared" si="35"/>
        <v>77</v>
      </c>
      <c r="V1099" s="12"/>
      <c r="W1099" s="12"/>
    </row>
    <row r="1100" spans="1:23" x14ac:dyDescent="0.3">
      <c r="A1100" s="193" t="e">
        <f ca="1"/>
        <v>#NAME?</v>
      </c>
      <c r="B1100" s="46" t="s">
        <v>723</v>
      </c>
      <c r="C1100" s="315"/>
      <c r="D1100" s="316"/>
      <c r="E1100" s="315"/>
      <c r="F1100" s="315"/>
      <c r="G1100" s="315"/>
      <c r="H1100" s="153"/>
      <c r="I1100" s="12"/>
      <c r="J1100" s="46" t="s">
        <v>1241</v>
      </c>
      <c r="K1100" s="12"/>
      <c r="L1100" s="288">
        <v>16.2</v>
      </c>
      <c r="M1100" s="289">
        <v>5</v>
      </c>
      <c r="N1100" s="290">
        <v>112</v>
      </c>
      <c r="O1100" s="46"/>
      <c r="P1100" s="46" t="s">
        <v>39</v>
      </c>
      <c r="Q1100" s="12"/>
      <c r="R1100" s="192" t="str">
        <f t="shared" si="32"/>
        <v>112grams</v>
      </c>
      <c r="S1100" s="198">
        <f t="shared" si="33"/>
        <v>560</v>
      </c>
      <c r="T1100" s="199" t="str">
        <f t="shared" si="34"/>
        <v>560grams</v>
      </c>
      <c r="U1100" s="200">
        <f t="shared" si="35"/>
        <v>81</v>
      </c>
      <c r="V1100" s="12"/>
      <c r="W1100" s="12"/>
    </row>
    <row r="1101" spans="1:23" x14ac:dyDescent="0.3">
      <c r="A1101" s="193" t="e">
        <f ca="1"/>
        <v>#NAME?</v>
      </c>
      <c r="B1101" s="46" t="s">
        <v>723</v>
      </c>
      <c r="C1101" s="315"/>
      <c r="D1101" s="316"/>
      <c r="E1101" s="315"/>
      <c r="F1101" s="315"/>
      <c r="G1101" s="315"/>
      <c r="H1101" s="153"/>
      <c r="I1101" s="12"/>
      <c r="J1101" s="46" t="s">
        <v>1241</v>
      </c>
      <c r="K1101" s="12"/>
      <c r="L1101" s="288">
        <v>29.2</v>
      </c>
      <c r="M1101" s="289">
        <v>12</v>
      </c>
      <c r="N1101" s="290">
        <v>112</v>
      </c>
      <c r="O1101" s="324"/>
      <c r="P1101" s="324" t="s">
        <v>519</v>
      </c>
      <c r="Q1101" s="12"/>
      <c r="R1101" s="192" t="str">
        <f t="shared" si="32"/>
        <v>112drained weight grams</v>
      </c>
      <c r="S1101" s="198">
        <f t="shared" si="33"/>
        <v>1344</v>
      </c>
      <c r="T1101" s="199" t="str">
        <f t="shared" si="34"/>
        <v>1344drained weight grams</v>
      </c>
      <c r="U1101" s="200">
        <f t="shared" si="35"/>
        <v>350.4</v>
      </c>
      <c r="V1101" s="12"/>
      <c r="W1101" s="12"/>
    </row>
    <row r="1102" spans="1:23" x14ac:dyDescent="0.3">
      <c r="A1102" s="193" t="e">
        <f ca="1"/>
        <v>#NAME?</v>
      </c>
      <c r="B1102" s="46" t="s">
        <v>723</v>
      </c>
      <c r="C1102" s="315"/>
      <c r="D1102" s="316"/>
      <c r="E1102" s="315"/>
      <c r="F1102" s="315"/>
      <c r="G1102" s="315"/>
      <c r="H1102" s="153"/>
      <c r="I1102" s="12"/>
      <c r="J1102" s="46" t="s">
        <v>1241</v>
      </c>
      <c r="K1102" s="12"/>
      <c r="L1102" s="288">
        <v>78</v>
      </c>
      <c r="M1102" s="289">
        <v>4</v>
      </c>
      <c r="N1102" s="290">
        <v>257</v>
      </c>
      <c r="O1102" s="46"/>
      <c r="P1102" s="46" t="s">
        <v>39</v>
      </c>
      <c r="Q1102" s="12"/>
      <c r="R1102" s="192" t="str">
        <f t="shared" si="32"/>
        <v>257grams</v>
      </c>
      <c r="S1102" s="198">
        <f t="shared" si="33"/>
        <v>1028</v>
      </c>
      <c r="T1102" s="199" t="str">
        <f t="shared" si="34"/>
        <v>1028grams</v>
      </c>
      <c r="U1102" s="200">
        <f t="shared" si="35"/>
        <v>312</v>
      </c>
      <c r="V1102" s="12"/>
      <c r="W1102" s="12"/>
    </row>
    <row r="1103" spans="1:23" x14ac:dyDescent="0.3">
      <c r="A1103" s="193" t="e">
        <f ca="1"/>
        <v>#NAME?</v>
      </c>
      <c r="B1103" s="219" t="s">
        <v>723</v>
      </c>
      <c r="C1103" s="315"/>
      <c r="D1103" s="316"/>
      <c r="E1103" s="315"/>
      <c r="F1103" s="315"/>
      <c r="G1103" s="315"/>
      <c r="H1103" s="153"/>
      <c r="I1103" s="12"/>
      <c r="J1103" s="219" t="s">
        <v>1241</v>
      </c>
      <c r="K1103" s="12"/>
      <c r="L1103" s="291">
        <v>40.5</v>
      </c>
      <c r="M1103" s="323">
        <v>1</v>
      </c>
      <c r="N1103" s="293">
        <v>137</v>
      </c>
      <c r="O1103" s="324"/>
      <c r="P1103" s="324" t="s">
        <v>519</v>
      </c>
      <c r="Q1103" s="12"/>
      <c r="R1103" s="192" t="str">
        <f t="shared" si="32"/>
        <v>137drained weight grams</v>
      </c>
      <c r="S1103" s="198">
        <f t="shared" si="33"/>
        <v>137</v>
      </c>
      <c r="T1103" s="199" t="str">
        <f t="shared" si="34"/>
        <v>137drained weight grams</v>
      </c>
      <c r="U1103" s="200">
        <f t="shared" si="35"/>
        <v>40.5</v>
      </c>
      <c r="V1103" s="12"/>
      <c r="W1103" s="12"/>
    </row>
    <row r="1104" spans="1:23" x14ac:dyDescent="0.3">
      <c r="A1104" s="193" t="e">
        <f ca="1"/>
        <v>#NAME?</v>
      </c>
      <c r="B1104" s="46" t="s">
        <v>1541</v>
      </c>
      <c r="C1104" s="315"/>
      <c r="D1104" s="316"/>
      <c r="E1104" s="315"/>
      <c r="F1104" s="315"/>
      <c r="G1104" s="315"/>
      <c r="H1104" s="153"/>
      <c r="I1104" s="12"/>
      <c r="J1104" s="46" t="s">
        <v>1372</v>
      </c>
      <c r="K1104" s="12"/>
      <c r="L1104" s="288">
        <v>160</v>
      </c>
      <c r="M1104" s="289">
        <v>1</v>
      </c>
      <c r="N1104" s="290">
        <v>1</v>
      </c>
      <c r="O1104" s="46"/>
      <c r="P1104" s="46" t="s">
        <v>773</v>
      </c>
      <c r="Q1104" s="12"/>
      <c r="R1104" s="192" t="str">
        <f t="shared" si="32"/>
        <v>1liters</v>
      </c>
      <c r="S1104" s="198">
        <f t="shared" si="33"/>
        <v>1</v>
      </c>
      <c r="T1104" s="199" t="str">
        <f t="shared" si="34"/>
        <v>1liters</v>
      </c>
      <c r="U1104" s="200">
        <f t="shared" si="35"/>
        <v>160</v>
      </c>
      <c r="V1104" s="12"/>
      <c r="W1104" s="12"/>
    </row>
    <row r="1105" spans="1:23" x14ac:dyDescent="0.3">
      <c r="A1105" s="193" t="e">
        <f ca="1"/>
        <v>#NAME?</v>
      </c>
      <c r="B1105" s="46" t="s">
        <v>296</v>
      </c>
      <c r="C1105" s="315"/>
      <c r="D1105" s="316"/>
      <c r="E1105" s="315"/>
      <c r="F1105" s="315"/>
      <c r="G1105" s="315"/>
      <c r="H1105" s="153"/>
      <c r="I1105" s="12"/>
      <c r="J1105" s="170"/>
      <c r="K1105" s="12"/>
      <c r="L1105" s="288">
        <v>700</v>
      </c>
      <c r="M1105" s="289">
        <v>3</v>
      </c>
      <c r="N1105" s="290">
        <v>1</v>
      </c>
      <c r="O1105" s="46"/>
      <c r="P1105" s="46" t="s">
        <v>213</v>
      </c>
      <c r="Q1105" s="12"/>
      <c r="R1105" s="192" t="str">
        <f t="shared" si="32"/>
        <v>1kilos</v>
      </c>
      <c r="S1105" s="198">
        <f t="shared" si="33"/>
        <v>3</v>
      </c>
      <c r="T1105" s="199" t="str">
        <f t="shared" si="34"/>
        <v>3kilos</v>
      </c>
      <c r="U1105" s="200">
        <f t="shared" si="35"/>
        <v>2100</v>
      </c>
      <c r="V1105" s="12"/>
      <c r="W1105" s="12"/>
    </row>
    <row r="1106" spans="1:23" x14ac:dyDescent="0.3">
      <c r="A1106" s="193" t="e">
        <f ca="1"/>
        <v>#NAME?</v>
      </c>
      <c r="B1106" s="46" t="s">
        <v>296</v>
      </c>
      <c r="C1106" s="315"/>
      <c r="D1106" s="316"/>
      <c r="E1106" s="315"/>
      <c r="F1106" s="315"/>
      <c r="G1106" s="315"/>
      <c r="H1106" s="153"/>
      <c r="I1106" s="12"/>
      <c r="J1106" s="170"/>
      <c r="K1106" s="12"/>
      <c r="L1106" s="288">
        <v>600</v>
      </c>
      <c r="M1106" s="289">
        <v>2</v>
      </c>
      <c r="N1106" s="290">
        <v>1</v>
      </c>
      <c r="O1106" s="46"/>
      <c r="P1106" s="46" t="s">
        <v>213</v>
      </c>
      <c r="Q1106" s="12"/>
      <c r="R1106" s="192" t="str">
        <f t="shared" si="32"/>
        <v>1kilos</v>
      </c>
      <c r="S1106" s="198">
        <f t="shared" si="33"/>
        <v>2</v>
      </c>
      <c r="T1106" s="199" t="str">
        <f t="shared" si="34"/>
        <v>2kilos</v>
      </c>
      <c r="U1106" s="200">
        <f t="shared" si="35"/>
        <v>1200</v>
      </c>
      <c r="V1106" s="12"/>
      <c r="W1106" s="12"/>
    </row>
    <row r="1107" spans="1:23" x14ac:dyDescent="0.3">
      <c r="A1107" s="193" t="e">
        <f ca="1"/>
        <v>#NAME?</v>
      </c>
      <c r="B1107" s="46" t="s">
        <v>296</v>
      </c>
      <c r="C1107" s="315"/>
      <c r="D1107" s="316"/>
      <c r="E1107" s="315"/>
      <c r="F1107" s="315"/>
      <c r="G1107" s="315"/>
      <c r="H1107" s="153"/>
      <c r="I1107" s="12"/>
      <c r="J1107" s="170"/>
      <c r="K1107" s="12"/>
      <c r="L1107" s="288">
        <v>700</v>
      </c>
      <c r="M1107" s="289">
        <v>1</v>
      </c>
      <c r="N1107" s="290">
        <v>1</v>
      </c>
      <c r="O1107" s="46"/>
      <c r="P1107" s="46" t="s">
        <v>213</v>
      </c>
      <c r="Q1107" s="12"/>
      <c r="R1107" s="192" t="str">
        <f t="shared" si="32"/>
        <v>1kilos</v>
      </c>
      <c r="S1107" s="198">
        <f t="shared" si="33"/>
        <v>1</v>
      </c>
      <c r="T1107" s="199" t="str">
        <f t="shared" si="34"/>
        <v>1kilos</v>
      </c>
      <c r="U1107" s="200">
        <f t="shared" si="35"/>
        <v>700</v>
      </c>
      <c r="V1107" s="12"/>
      <c r="W1107" s="12"/>
    </row>
    <row r="1108" spans="1:23" x14ac:dyDescent="0.3">
      <c r="A1108" s="193" t="e">
        <f ca="1"/>
        <v>#NAME?</v>
      </c>
      <c r="B1108" s="46" t="s">
        <v>1542</v>
      </c>
      <c r="C1108" s="315"/>
      <c r="D1108" s="316"/>
      <c r="E1108" s="315"/>
      <c r="F1108" s="315"/>
      <c r="G1108" s="315"/>
      <c r="H1108" s="153"/>
      <c r="I1108" s="12"/>
      <c r="J1108" s="46" t="s">
        <v>1543</v>
      </c>
      <c r="K1108" s="12"/>
      <c r="L1108" s="288">
        <v>148</v>
      </c>
      <c r="M1108" s="289">
        <v>2</v>
      </c>
      <c r="N1108" s="290">
        <v>400</v>
      </c>
      <c r="O1108" s="46"/>
      <c r="P1108" s="46" t="s">
        <v>39</v>
      </c>
      <c r="Q1108" s="12"/>
      <c r="R1108" s="192" t="str">
        <f t="shared" si="32"/>
        <v>400grams</v>
      </c>
      <c r="S1108" s="198">
        <f t="shared" si="33"/>
        <v>800</v>
      </c>
      <c r="T1108" s="199" t="str">
        <f t="shared" si="34"/>
        <v>800grams</v>
      </c>
      <c r="U1108" s="200">
        <f t="shared" si="35"/>
        <v>296</v>
      </c>
      <c r="V1108" s="12"/>
      <c r="W1108" s="12"/>
    </row>
    <row r="1109" spans="1:23" x14ac:dyDescent="0.3">
      <c r="A1109" s="193" t="e">
        <f ca="1"/>
        <v>#NAME?</v>
      </c>
      <c r="B1109" s="46" t="s">
        <v>1544</v>
      </c>
      <c r="C1109" s="315"/>
      <c r="D1109" s="316"/>
      <c r="E1109" s="315"/>
      <c r="F1109" s="315"/>
      <c r="G1109" s="315"/>
      <c r="H1109" s="153"/>
      <c r="I1109" s="12"/>
      <c r="J1109" s="170"/>
      <c r="K1109" s="12"/>
      <c r="L1109" s="288">
        <v>180</v>
      </c>
      <c r="M1109" s="289">
        <v>1</v>
      </c>
      <c r="N1109" s="290">
        <v>1</v>
      </c>
      <c r="O1109" s="46"/>
      <c r="P1109" s="46" t="s">
        <v>213</v>
      </c>
      <c r="Q1109" s="12"/>
      <c r="R1109" s="192" t="str">
        <f t="shared" si="32"/>
        <v>1kilos</v>
      </c>
      <c r="S1109" s="198">
        <f t="shared" si="33"/>
        <v>1</v>
      </c>
      <c r="T1109" s="199" t="str">
        <f t="shared" si="34"/>
        <v>1kilos</v>
      </c>
      <c r="U1109" s="200">
        <f t="shared" si="35"/>
        <v>180</v>
      </c>
      <c r="V1109" s="12"/>
      <c r="W1109" s="12"/>
    </row>
    <row r="1110" spans="1:23" x14ac:dyDescent="0.3">
      <c r="A1110" s="193" t="e">
        <f ca="1"/>
        <v>#NAME?</v>
      </c>
      <c r="B1110" s="219" t="s">
        <v>1545</v>
      </c>
      <c r="C1110" s="315"/>
      <c r="D1110" s="316"/>
      <c r="E1110" s="315"/>
      <c r="F1110" s="315"/>
      <c r="G1110" s="315"/>
      <c r="H1110" s="153"/>
      <c r="I1110" s="12"/>
      <c r="J1110" s="170"/>
      <c r="K1110" s="12"/>
      <c r="L1110" s="288">
        <v>100</v>
      </c>
      <c r="M1110" s="289">
        <v>1</v>
      </c>
      <c r="N1110" s="290">
        <v>1</v>
      </c>
      <c r="O1110" s="46"/>
      <c r="P1110" s="46" t="s">
        <v>213</v>
      </c>
      <c r="Q1110" s="12"/>
      <c r="R1110" s="192" t="str">
        <f t="shared" si="32"/>
        <v>1kilos</v>
      </c>
      <c r="S1110" s="198">
        <f t="shared" si="33"/>
        <v>1</v>
      </c>
      <c r="T1110" s="199" t="str">
        <f t="shared" si="34"/>
        <v>1kilos</v>
      </c>
      <c r="U1110" s="200">
        <f t="shared" si="35"/>
        <v>100</v>
      </c>
      <c r="V1110" s="12"/>
      <c r="W1110" s="12"/>
    </row>
    <row r="1111" spans="1:23" x14ac:dyDescent="0.3">
      <c r="A1111" s="193" t="e">
        <f ca="1"/>
        <v>#NAME?</v>
      </c>
      <c r="B1111" s="46" t="s">
        <v>1545</v>
      </c>
      <c r="C1111" s="315"/>
      <c r="D1111" s="316"/>
      <c r="E1111" s="315"/>
      <c r="F1111" s="315"/>
      <c r="G1111" s="315"/>
      <c r="H1111" s="153"/>
      <c r="I1111" s="12"/>
      <c r="J1111" s="46" t="s">
        <v>216</v>
      </c>
      <c r="K1111" s="12"/>
      <c r="L1111" s="288">
        <v>80</v>
      </c>
      <c r="M1111" s="289">
        <v>1</v>
      </c>
      <c r="N1111" s="290">
        <v>1</v>
      </c>
      <c r="O1111" s="46"/>
      <c r="P1111" s="46" t="s">
        <v>213</v>
      </c>
      <c r="Q1111" s="12"/>
      <c r="R1111" s="192" t="str">
        <f t="shared" si="32"/>
        <v>1kilos</v>
      </c>
      <c r="S1111" s="198">
        <f t="shared" si="33"/>
        <v>1</v>
      </c>
      <c r="T1111" s="199" t="str">
        <f t="shared" si="34"/>
        <v>1kilos</v>
      </c>
      <c r="U1111" s="200">
        <f t="shared" si="35"/>
        <v>80</v>
      </c>
      <c r="V1111" s="12"/>
      <c r="W1111" s="12"/>
    </row>
    <row r="1112" spans="1:23" x14ac:dyDescent="0.3">
      <c r="A1112" s="193" t="e">
        <f ca="1"/>
        <v>#NAME?</v>
      </c>
      <c r="B1112" s="46" t="s">
        <v>1546</v>
      </c>
      <c r="C1112" s="315"/>
      <c r="D1112" s="316"/>
      <c r="E1112" s="315"/>
      <c r="F1112" s="315"/>
      <c r="G1112" s="315"/>
      <c r="H1112" s="153"/>
      <c r="I1112" s="12"/>
      <c r="J1112" s="219" t="s">
        <v>854</v>
      </c>
      <c r="K1112" s="12"/>
      <c r="L1112" s="288">
        <v>72</v>
      </c>
      <c r="M1112" s="289">
        <v>1</v>
      </c>
      <c r="N1112" s="290">
        <v>14</v>
      </c>
      <c r="O1112" s="46"/>
      <c r="P1112" s="46" t="s">
        <v>39</v>
      </c>
      <c r="Q1112" s="12"/>
      <c r="R1112" s="192" t="str">
        <f t="shared" si="32"/>
        <v>14grams</v>
      </c>
      <c r="S1112" s="198">
        <f t="shared" si="33"/>
        <v>14</v>
      </c>
      <c r="T1112" s="199" t="str">
        <f t="shared" si="34"/>
        <v>14grams</v>
      </c>
      <c r="U1112" s="200">
        <f t="shared" si="35"/>
        <v>72</v>
      </c>
      <c r="V1112" s="12"/>
      <c r="W1112" s="12"/>
    </row>
    <row r="1113" spans="1:23" x14ac:dyDescent="0.3">
      <c r="A1113" s="193" t="e">
        <f ca="1"/>
        <v>#NAME?</v>
      </c>
      <c r="B1113" s="46" t="s">
        <v>1547</v>
      </c>
      <c r="C1113" s="315"/>
      <c r="D1113" s="316"/>
      <c r="E1113" s="315"/>
      <c r="F1113" s="315"/>
      <c r="G1113" s="315"/>
      <c r="H1113" s="153"/>
      <c r="I1113" s="12"/>
      <c r="J1113" s="46" t="s">
        <v>1548</v>
      </c>
      <c r="K1113" s="12"/>
      <c r="L1113" s="288">
        <v>264</v>
      </c>
      <c r="M1113" s="289">
        <v>1</v>
      </c>
      <c r="N1113" s="290">
        <v>100</v>
      </c>
      <c r="O1113" s="46"/>
      <c r="P1113" s="46" t="s">
        <v>92</v>
      </c>
      <c r="Q1113" s="12"/>
      <c r="R1113" s="192" t="str">
        <f t="shared" si="32"/>
        <v>100pieces</v>
      </c>
      <c r="S1113" s="198">
        <f t="shared" si="33"/>
        <v>100</v>
      </c>
      <c r="T1113" s="199" t="str">
        <f t="shared" si="34"/>
        <v>100pieces</v>
      </c>
      <c r="U1113" s="200">
        <f t="shared" si="35"/>
        <v>264</v>
      </c>
      <c r="V1113" s="12"/>
      <c r="W1113" s="12"/>
    </row>
    <row r="1114" spans="1:23" x14ac:dyDescent="0.3">
      <c r="A1114" s="193" t="e">
        <f ca="1"/>
        <v>#NAME?</v>
      </c>
      <c r="B1114" s="46" t="s">
        <v>1547</v>
      </c>
      <c r="C1114" s="315"/>
      <c r="D1114" s="316"/>
      <c r="E1114" s="315"/>
      <c r="F1114" s="315"/>
      <c r="G1114" s="315"/>
      <c r="H1114" s="153"/>
      <c r="I1114" s="12"/>
      <c r="J1114" s="46" t="s">
        <v>1549</v>
      </c>
      <c r="K1114" s="12"/>
      <c r="L1114" s="288">
        <v>100</v>
      </c>
      <c r="M1114" s="289">
        <v>8</v>
      </c>
      <c r="N1114" s="290">
        <v>50</v>
      </c>
      <c r="O1114" s="46"/>
      <c r="P1114" s="46" t="s">
        <v>92</v>
      </c>
      <c r="Q1114" s="12"/>
      <c r="R1114" s="192" t="str">
        <f t="shared" si="32"/>
        <v>50pieces</v>
      </c>
      <c r="S1114" s="198">
        <f t="shared" si="33"/>
        <v>400</v>
      </c>
      <c r="T1114" s="199" t="str">
        <f t="shared" si="34"/>
        <v>400pieces</v>
      </c>
      <c r="U1114" s="200">
        <f t="shared" si="35"/>
        <v>800</v>
      </c>
      <c r="V1114" s="12"/>
      <c r="W1114" s="12"/>
    </row>
    <row r="1115" spans="1:23" x14ac:dyDescent="0.3">
      <c r="A1115" s="193" t="e">
        <f ca="1"/>
        <v>#NAME?</v>
      </c>
      <c r="B1115" s="219" t="s">
        <v>1550</v>
      </c>
      <c r="C1115" s="315"/>
      <c r="D1115" s="316"/>
      <c r="E1115" s="315"/>
      <c r="F1115" s="315"/>
      <c r="G1115" s="315"/>
      <c r="H1115" s="153"/>
      <c r="I1115" s="12"/>
      <c r="J1115" s="46" t="s">
        <v>1551</v>
      </c>
      <c r="K1115" s="12"/>
      <c r="L1115" s="288">
        <v>12</v>
      </c>
      <c r="M1115" s="289">
        <v>2</v>
      </c>
      <c r="N1115" s="290">
        <v>100</v>
      </c>
      <c r="O1115" s="46"/>
      <c r="P1115" s="46" t="s">
        <v>92</v>
      </c>
      <c r="Q1115" s="12"/>
      <c r="R1115" s="192" t="str">
        <f t="shared" si="32"/>
        <v>100pieces</v>
      </c>
      <c r="S1115" s="198">
        <f t="shared" si="33"/>
        <v>200</v>
      </c>
      <c r="T1115" s="199" t="str">
        <f t="shared" si="34"/>
        <v>200pieces</v>
      </c>
      <c r="U1115" s="200">
        <f t="shared" si="35"/>
        <v>24</v>
      </c>
      <c r="V1115" s="12"/>
      <c r="W1115" s="12"/>
    </row>
    <row r="1116" spans="1:23" x14ac:dyDescent="0.3">
      <c r="A1116" s="193" t="e">
        <f ca="1"/>
        <v>#NAME?</v>
      </c>
      <c r="B1116" s="46" t="s">
        <v>1550</v>
      </c>
      <c r="C1116" s="315"/>
      <c r="D1116" s="316"/>
      <c r="E1116" s="315"/>
      <c r="F1116" s="315"/>
      <c r="G1116" s="315"/>
      <c r="H1116" s="153"/>
      <c r="I1116" s="12"/>
      <c r="J1116" s="46" t="s">
        <v>1551</v>
      </c>
      <c r="K1116" s="12"/>
      <c r="L1116" s="288">
        <v>92.7</v>
      </c>
      <c r="M1116" s="289">
        <v>2</v>
      </c>
      <c r="N1116" s="290">
        <v>1</v>
      </c>
      <c r="O1116" s="46"/>
      <c r="P1116" s="46" t="s">
        <v>304</v>
      </c>
      <c r="Q1116" s="12"/>
      <c r="R1116" s="192" t="str">
        <f t="shared" si="32"/>
        <v>1packs</v>
      </c>
      <c r="S1116" s="198">
        <f t="shared" si="33"/>
        <v>2</v>
      </c>
      <c r="T1116" s="199" t="str">
        <f t="shared" si="34"/>
        <v>2packs</v>
      </c>
      <c r="U1116" s="200">
        <f t="shared" si="35"/>
        <v>185.4</v>
      </c>
      <c r="V1116" s="12"/>
      <c r="W1116" s="12"/>
    </row>
    <row r="1117" spans="1:23" x14ac:dyDescent="0.3">
      <c r="A1117" s="193" t="e">
        <f ca="1"/>
        <v>#NAME?</v>
      </c>
      <c r="B1117" s="46" t="s">
        <v>1550</v>
      </c>
      <c r="C1117" s="315"/>
      <c r="D1117" s="316"/>
      <c r="E1117" s="315"/>
      <c r="F1117" s="315"/>
      <c r="G1117" s="315"/>
      <c r="H1117" s="153"/>
      <c r="I1117" s="12"/>
      <c r="J1117" s="46" t="s">
        <v>1552</v>
      </c>
      <c r="K1117" s="12"/>
      <c r="L1117" s="288">
        <v>9.02</v>
      </c>
      <c r="M1117" s="289">
        <v>32</v>
      </c>
      <c r="N1117" s="290">
        <v>1</v>
      </c>
      <c r="O1117" s="46"/>
      <c r="P1117" s="46" t="s">
        <v>304</v>
      </c>
      <c r="Q1117" s="12"/>
      <c r="R1117" s="192" t="str">
        <f t="shared" si="32"/>
        <v>1packs</v>
      </c>
      <c r="S1117" s="198">
        <f t="shared" si="33"/>
        <v>32</v>
      </c>
      <c r="T1117" s="199" t="str">
        <f t="shared" si="34"/>
        <v>32packs</v>
      </c>
      <c r="U1117" s="200">
        <f t="shared" si="35"/>
        <v>288.64</v>
      </c>
      <c r="V1117" s="12"/>
      <c r="W1117" s="12"/>
    </row>
    <row r="1118" spans="1:23" x14ac:dyDescent="0.3">
      <c r="A1118" s="193" t="e">
        <f ca="1"/>
        <v>#NAME?</v>
      </c>
      <c r="B1118" s="219" t="s">
        <v>1553</v>
      </c>
      <c r="C1118" s="315"/>
      <c r="D1118" s="316"/>
      <c r="E1118" s="315"/>
      <c r="F1118" s="315"/>
      <c r="G1118" s="315"/>
      <c r="H1118" s="153"/>
      <c r="I1118" s="12"/>
      <c r="J1118" s="219" t="s">
        <v>1554</v>
      </c>
      <c r="K1118" s="12"/>
      <c r="L1118" s="291">
        <v>30</v>
      </c>
      <c r="M1118" s="292">
        <v>50</v>
      </c>
      <c r="N1118" s="293">
        <v>1</v>
      </c>
      <c r="O1118" s="219"/>
      <c r="P1118" s="219" t="s">
        <v>92</v>
      </c>
      <c r="Q1118" s="12"/>
      <c r="R1118" s="192" t="str">
        <f t="shared" si="32"/>
        <v>1pieces</v>
      </c>
      <c r="S1118" s="198">
        <f t="shared" si="33"/>
        <v>50</v>
      </c>
      <c r="T1118" s="199" t="str">
        <f t="shared" si="34"/>
        <v>50pieces</v>
      </c>
      <c r="U1118" s="200">
        <f t="shared" si="35"/>
        <v>1500</v>
      </c>
      <c r="V1118" s="12"/>
      <c r="W1118" s="12"/>
    </row>
    <row r="1119" spans="1:23" x14ac:dyDescent="0.3">
      <c r="A1119" s="193" t="e">
        <f ca="1"/>
        <v>#NAME?</v>
      </c>
      <c r="B1119" s="46" t="s">
        <v>1555</v>
      </c>
      <c r="C1119" s="315"/>
      <c r="D1119" s="316"/>
      <c r="E1119" s="315"/>
      <c r="F1119" s="315"/>
      <c r="G1119" s="315"/>
      <c r="H1119" s="153"/>
      <c r="I1119" s="12"/>
      <c r="J1119" s="170"/>
      <c r="K1119" s="12"/>
      <c r="L1119" s="288">
        <v>220</v>
      </c>
      <c r="M1119" s="289">
        <v>14</v>
      </c>
      <c r="N1119" s="290">
        <v>1</v>
      </c>
      <c r="O1119" s="46"/>
      <c r="P1119" s="46" t="s">
        <v>213</v>
      </c>
      <c r="Q1119" s="12"/>
      <c r="R1119" s="192" t="str">
        <f t="shared" si="32"/>
        <v>1kilos</v>
      </c>
      <c r="S1119" s="198">
        <f t="shared" si="33"/>
        <v>14</v>
      </c>
      <c r="T1119" s="199" t="str">
        <f t="shared" si="34"/>
        <v>14kilos</v>
      </c>
      <c r="U1119" s="200">
        <f t="shared" si="35"/>
        <v>3080</v>
      </c>
      <c r="V1119" s="12"/>
      <c r="W1119" s="12"/>
    </row>
    <row r="1120" spans="1:23" x14ac:dyDescent="0.3">
      <c r="A1120" s="193" t="e">
        <f ca="1"/>
        <v>#NAME?</v>
      </c>
      <c r="B1120" s="46" t="s">
        <v>1556</v>
      </c>
      <c r="C1120" s="315"/>
      <c r="D1120" s="316"/>
      <c r="E1120" s="315"/>
      <c r="F1120" s="315"/>
      <c r="G1120" s="315"/>
      <c r="H1120" s="153"/>
      <c r="I1120" s="12"/>
      <c r="J1120" s="170"/>
      <c r="K1120" s="12"/>
      <c r="L1120" s="288">
        <v>275</v>
      </c>
      <c r="M1120" s="289">
        <v>87</v>
      </c>
      <c r="N1120" s="290">
        <v>1</v>
      </c>
      <c r="O1120" s="46"/>
      <c r="P1120" s="46" t="s">
        <v>213</v>
      </c>
      <c r="Q1120" s="12"/>
      <c r="R1120" s="192" t="str">
        <f t="shared" si="32"/>
        <v>1kilos</v>
      </c>
      <c r="S1120" s="198">
        <f t="shared" si="33"/>
        <v>87</v>
      </c>
      <c r="T1120" s="199" t="str">
        <f t="shared" si="34"/>
        <v>87kilos</v>
      </c>
      <c r="U1120" s="200">
        <f t="shared" si="35"/>
        <v>23925</v>
      </c>
      <c r="V1120" s="12"/>
      <c r="W1120" s="12"/>
    </row>
    <row r="1121" spans="1:23" x14ac:dyDescent="0.3">
      <c r="A1121" s="193" t="e">
        <f ca="1"/>
        <v>#NAME?</v>
      </c>
      <c r="B1121" s="46" t="s">
        <v>1557</v>
      </c>
      <c r="C1121" s="315"/>
      <c r="D1121" s="316"/>
      <c r="E1121" s="315"/>
      <c r="F1121" s="315"/>
      <c r="G1121" s="315"/>
      <c r="H1121" s="153"/>
      <c r="I1121" s="12"/>
      <c r="J1121" s="170"/>
      <c r="K1121" s="12"/>
      <c r="L1121" s="288">
        <v>289</v>
      </c>
      <c r="M1121" s="289">
        <v>11</v>
      </c>
      <c r="N1121" s="290">
        <v>1</v>
      </c>
      <c r="O1121" s="46"/>
      <c r="P1121" s="46" t="s">
        <v>213</v>
      </c>
      <c r="Q1121" s="12"/>
      <c r="R1121" s="192" t="str">
        <f t="shared" si="32"/>
        <v>1kilos</v>
      </c>
      <c r="S1121" s="198">
        <f t="shared" si="33"/>
        <v>11</v>
      </c>
      <c r="T1121" s="199" t="str">
        <f t="shared" si="34"/>
        <v>11kilos</v>
      </c>
      <c r="U1121" s="200">
        <f t="shared" si="35"/>
        <v>3179</v>
      </c>
      <c r="V1121" s="12"/>
      <c r="W1121" s="12"/>
    </row>
    <row r="1122" spans="1:23" x14ac:dyDescent="0.3">
      <c r="A1122" s="193" t="e">
        <f ca="1"/>
        <v>#NAME?</v>
      </c>
      <c r="B1122" s="46" t="s">
        <v>1558</v>
      </c>
      <c r="C1122" s="315"/>
      <c r="D1122" s="316"/>
      <c r="E1122" s="315"/>
      <c r="F1122" s="315"/>
      <c r="G1122" s="315"/>
      <c r="H1122" s="153"/>
      <c r="I1122" s="12"/>
      <c r="J1122" s="170"/>
      <c r="K1122" s="12"/>
      <c r="L1122" s="288">
        <v>190</v>
      </c>
      <c r="M1122" s="289">
        <v>5</v>
      </c>
      <c r="N1122" s="290">
        <v>1</v>
      </c>
      <c r="O1122" s="46"/>
      <c r="P1122" s="46" t="s">
        <v>213</v>
      </c>
      <c r="Q1122" s="12"/>
      <c r="R1122" s="192" t="str">
        <f t="shared" si="32"/>
        <v>1kilos</v>
      </c>
      <c r="S1122" s="198">
        <f t="shared" si="33"/>
        <v>5</v>
      </c>
      <c r="T1122" s="199" t="str">
        <f t="shared" si="34"/>
        <v>5kilos</v>
      </c>
      <c r="U1122" s="200">
        <f t="shared" si="35"/>
        <v>950</v>
      </c>
      <c r="V1122" s="12"/>
      <c r="W1122" s="12"/>
    </row>
    <row r="1123" spans="1:23" x14ac:dyDescent="0.3">
      <c r="A1123" s="193" t="e">
        <f ca="1"/>
        <v>#NAME?</v>
      </c>
      <c r="B1123" s="219" t="s">
        <v>1559</v>
      </c>
      <c r="C1123" s="315"/>
      <c r="D1123" s="316"/>
      <c r="E1123" s="315"/>
      <c r="F1123" s="315"/>
      <c r="G1123" s="315"/>
      <c r="H1123" s="153"/>
      <c r="I1123" s="12"/>
      <c r="J1123" s="170"/>
      <c r="K1123" s="12"/>
      <c r="L1123" s="288">
        <v>320</v>
      </c>
      <c r="M1123" s="289">
        <v>5</v>
      </c>
      <c r="N1123" s="290">
        <v>1000</v>
      </c>
      <c r="O1123" s="46"/>
      <c r="P1123" s="46" t="s">
        <v>39</v>
      </c>
      <c r="Q1123" s="12"/>
      <c r="R1123" s="192" t="str">
        <f t="shared" si="32"/>
        <v>1000grams</v>
      </c>
      <c r="S1123" s="198">
        <f t="shared" si="33"/>
        <v>5000</v>
      </c>
      <c r="T1123" s="199" t="str">
        <f t="shared" si="34"/>
        <v>5000grams</v>
      </c>
      <c r="U1123" s="200">
        <f t="shared" si="35"/>
        <v>1600</v>
      </c>
      <c r="V1123" s="12"/>
      <c r="W1123" s="12"/>
    </row>
    <row r="1124" spans="1:23" x14ac:dyDescent="0.3">
      <c r="A1124" s="193" t="e">
        <f ca="1"/>
        <v>#NAME?</v>
      </c>
      <c r="B1124" s="219" t="s">
        <v>1559</v>
      </c>
      <c r="C1124" s="315"/>
      <c r="D1124" s="316"/>
      <c r="E1124" s="315"/>
      <c r="F1124" s="315"/>
      <c r="G1124" s="315"/>
      <c r="H1124" s="153"/>
      <c r="I1124" s="12"/>
      <c r="J1124" s="170"/>
      <c r="K1124" s="12"/>
      <c r="L1124" s="288">
        <v>340</v>
      </c>
      <c r="M1124" s="289">
        <v>5</v>
      </c>
      <c r="N1124" s="290">
        <v>1000</v>
      </c>
      <c r="O1124" s="46"/>
      <c r="P1124" s="46" t="s">
        <v>39</v>
      </c>
      <c r="Q1124" s="12"/>
      <c r="R1124" s="192" t="str">
        <f t="shared" si="32"/>
        <v>1000grams</v>
      </c>
      <c r="S1124" s="198">
        <f t="shared" si="33"/>
        <v>5000</v>
      </c>
      <c r="T1124" s="199" t="str">
        <f t="shared" si="34"/>
        <v>5000grams</v>
      </c>
      <c r="U1124" s="200">
        <f t="shared" si="35"/>
        <v>1700</v>
      </c>
      <c r="V1124" s="12"/>
      <c r="W1124" s="12"/>
    </row>
    <row r="1125" spans="1:23" x14ac:dyDescent="0.3">
      <c r="A1125" s="193" t="e">
        <f ca="1"/>
        <v>#NAME?</v>
      </c>
      <c r="B1125" s="325" t="s">
        <v>1559</v>
      </c>
      <c r="C1125" s="315"/>
      <c r="D1125" s="316"/>
      <c r="E1125" s="315"/>
      <c r="F1125" s="315"/>
      <c r="G1125" s="315"/>
      <c r="H1125" s="153"/>
      <c r="I1125" s="12"/>
      <c r="J1125" s="215"/>
      <c r="K1125" s="12"/>
      <c r="L1125" s="291">
        <v>300</v>
      </c>
      <c r="M1125" s="292">
        <v>4</v>
      </c>
      <c r="N1125" s="293">
        <v>1</v>
      </c>
      <c r="O1125" s="219"/>
      <c r="P1125" s="219" t="s">
        <v>213</v>
      </c>
      <c r="Q1125" s="12"/>
      <c r="R1125" s="192" t="str">
        <f t="shared" si="32"/>
        <v>1kilos</v>
      </c>
      <c r="S1125" s="198">
        <f t="shared" si="33"/>
        <v>4</v>
      </c>
      <c r="T1125" s="199" t="str">
        <f t="shared" si="34"/>
        <v>4kilos</v>
      </c>
      <c r="U1125" s="200">
        <f t="shared" si="35"/>
        <v>1200</v>
      </c>
      <c r="V1125" s="12"/>
      <c r="W1125" s="12"/>
    </row>
    <row r="1126" spans="1:23" x14ac:dyDescent="0.3">
      <c r="A1126" s="193" t="e">
        <f ca="1"/>
        <v>#NAME?</v>
      </c>
      <c r="B1126" s="46" t="s">
        <v>1560</v>
      </c>
      <c r="C1126" s="315"/>
      <c r="D1126" s="316"/>
      <c r="E1126" s="315"/>
      <c r="F1126" s="315"/>
      <c r="G1126" s="315"/>
      <c r="H1126" s="153"/>
      <c r="I1126" s="12"/>
      <c r="J1126" s="170"/>
      <c r="K1126" s="12"/>
      <c r="L1126" s="288">
        <v>175</v>
      </c>
      <c r="M1126" s="289">
        <v>20</v>
      </c>
      <c r="N1126" s="290">
        <v>1</v>
      </c>
      <c r="O1126" s="46"/>
      <c r="P1126" s="46" t="s">
        <v>213</v>
      </c>
      <c r="Q1126" s="12"/>
      <c r="R1126" s="192" t="str">
        <f t="shared" si="32"/>
        <v>1kilos</v>
      </c>
      <c r="S1126" s="198">
        <f t="shared" si="33"/>
        <v>20</v>
      </c>
      <c r="T1126" s="199" t="str">
        <f t="shared" si="34"/>
        <v>20kilos</v>
      </c>
      <c r="U1126" s="200">
        <f t="shared" si="35"/>
        <v>3500</v>
      </c>
      <c r="V1126" s="12"/>
      <c r="W1126" s="12"/>
    </row>
    <row r="1127" spans="1:23" x14ac:dyDescent="0.3">
      <c r="A1127" s="193" t="e">
        <f ca="1"/>
        <v>#NAME?</v>
      </c>
      <c r="B1127" s="46" t="s">
        <v>1561</v>
      </c>
      <c r="C1127" s="315"/>
      <c r="D1127" s="316"/>
      <c r="E1127" s="315"/>
      <c r="F1127" s="315"/>
      <c r="G1127" s="315"/>
      <c r="H1127" s="153"/>
      <c r="I1127" s="12"/>
      <c r="J1127" s="170"/>
      <c r="K1127" s="12"/>
      <c r="L1127" s="288">
        <v>225</v>
      </c>
      <c r="M1127" s="289">
        <v>31</v>
      </c>
      <c r="N1127" s="290">
        <v>1</v>
      </c>
      <c r="O1127" s="46"/>
      <c r="P1127" s="46" t="s">
        <v>213</v>
      </c>
      <c r="Q1127" s="12"/>
      <c r="R1127" s="192" t="str">
        <f t="shared" si="32"/>
        <v>1kilos</v>
      </c>
      <c r="S1127" s="198">
        <f t="shared" si="33"/>
        <v>31</v>
      </c>
      <c r="T1127" s="199" t="str">
        <f t="shared" si="34"/>
        <v>31kilos</v>
      </c>
      <c r="U1127" s="200">
        <f t="shared" si="35"/>
        <v>6975</v>
      </c>
      <c r="V1127" s="12"/>
      <c r="W1127" s="12"/>
    </row>
    <row r="1128" spans="1:23" x14ac:dyDescent="0.3">
      <c r="A1128" s="193" t="e">
        <f ca="1"/>
        <v>#NAME?</v>
      </c>
      <c r="B1128" s="46" t="s">
        <v>1561</v>
      </c>
      <c r="C1128" s="315"/>
      <c r="D1128" s="316"/>
      <c r="E1128" s="315"/>
      <c r="F1128" s="315"/>
      <c r="G1128" s="315"/>
      <c r="H1128" s="153"/>
      <c r="I1128" s="12"/>
      <c r="J1128" s="170"/>
      <c r="K1128" s="12"/>
      <c r="L1128" s="288">
        <v>215</v>
      </c>
      <c r="M1128" s="289">
        <v>76</v>
      </c>
      <c r="N1128" s="290">
        <v>1</v>
      </c>
      <c r="O1128" s="46"/>
      <c r="P1128" s="46" t="s">
        <v>213</v>
      </c>
      <c r="Q1128" s="12"/>
      <c r="R1128" s="192" t="str">
        <f t="shared" si="32"/>
        <v>1kilos</v>
      </c>
      <c r="S1128" s="198">
        <f t="shared" si="33"/>
        <v>76</v>
      </c>
      <c r="T1128" s="199" t="str">
        <f t="shared" si="34"/>
        <v>76kilos</v>
      </c>
      <c r="U1128" s="200">
        <f t="shared" si="35"/>
        <v>16340</v>
      </c>
      <c r="V1128" s="12"/>
      <c r="W1128" s="12"/>
    </row>
    <row r="1129" spans="1:23" x14ac:dyDescent="0.3">
      <c r="A1129" s="193" t="e">
        <f ca="1"/>
        <v>#NAME?</v>
      </c>
      <c r="B1129" s="46" t="s">
        <v>1561</v>
      </c>
      <c r="C1129" s="315"/>
      <c r="D1129" s="316"/>
      <c r="E1129" s="315"/>
      <c r="F1129" s="315"/>
      <c r="G1129" s="315"/>
      <c r="H1129" s="153"/>
      <c r="I1129" s="12"/>
      <c r="J1129" s="170"/>
      <c r="K1129" s="12"/>
      <c r="L1129" s="288">
        <v>221</v>
      </c>
      <c r="M1129" s="289">
        <v>60</v>
      </c>
      <c r="N1129" s="290">
        <v>1</v>
      </c>
      <c r="O1129" s="46"/>
      <c r="P1129" s="46" t="s">
        <v>213</v>
      </c>
      <c r="Q1129" s="12"/>
      <c r="R1129" s="192" t="str">
        <f t="shared" si="32"/>
        <v>1kilos</v>
      </c>
      <c r="S1129" s="198">
        <f t="shared" si="33"/>
        <v>60</v>
      </c>
      <c r="T1129" s="199" t="str">
        <f t="shared" si="34"/>
        <v>60kilos</v>
      </c>
      <c r="U1129" s="200">
        <f t="shared" si="35"/>
        <v>13260</v>
      </c>
      <c r="V1129" s="12"/>
      <c r="W1129" s="12"/>
    </row>
    <row r="1130" spans="1:23" x14ac:dyDescent="0.3">
      <c r="A1130" s="193" t="e">
        <f ca="1"/>
        <v>#NAME?</v>
      </c>
      <c r="B1130" s="46" t="s">
        <v>1561</v>
      </c>
      <c r="C1130" s="315"/>
      <c r="D1130" s="316"/>
      <c r="E1130" s="315"/>
      <c r="F1130" s="315"/>
      <c r="G1130" s="315"/>
      <c r="H1130" s="153"/>
      <c r="I1130" s="12"/>
      <c r="J1130" s="170"/>
      <c r="K1130" s="12"/>
      <c r="L1130" s="288">
        <v>218</v>
      </c>
      <c r="M1130" s="289">
        <v>49</v>
      </c>
      <c r="N1130" s="290">
        <v>1</v>
      </c>
      <c r="O1130" s="46"/>
      <c r="P1130" s="46" t="s">
        <v>213</v>
      </c>
      <c r="Q1130" s="12"/>
      <c r="R1130" s="192" t="str">
        <f t="shared" si="32"/>
        <v>1kilos</v>
      </c>
      <c r="S1130" s="198">
        <f t="shared" si="33"/>
        <v>49</v>
      </c>
      <c r="T1130" s="199" t="str">
        <f t="shared" si="34"/>
        <v>49kilos</v>
      </c>
      <c r="U1130" s="200">
        <f t="shared" si="35"/>
        <v>10682</v>
      </c>
      <c r="V1130" s="12"/>
      <c r="W1130" s="12"/>
    </row>
    <row r="1131" spans="1:23" x14ac:dyDescent="0.3">
      <c r="A1131" s="193" t="e">
        <f ca="1"/>
        <v>#NAME?</v>
      </c>
      <c r="B1131" s="46" t="s">
        <v>1561</v>
      </c>
      <c r="C1131" s="315"/>
      <c r="D1131" s="316"/>
      <c r="E1131" s="315"/>
      <c r="F1131" s="315"/>
      <c r="G1131" s="315"/>
      <c r="H1131" s="153"/>
      <c r="I1131" s="12"/>
      <c r="J1131" s="170"/>
      <c r="K1131" s="12"/>
      <c r="L1131" s="288">
        <v>320</v>
      </c>
      <c r="M1131" s="289">
        <v>47</v>
      </c>
      <c r="N1131" s="290">
        <v>1000</v>
      </c>
      <c r="O1131" s="46"/>
      <c r="P1131" s="46" t="s">
        <v>39</v>
      </c>
      <c r="Q1131" s="12"/>
      <c r="R1131" s="192" t="str">
        <f t="shared" si="32"/>
        <v>1000grams</v>
      </c>
      <c r="S1131" s="198">
        <f t="shared" si="33"/>
        <v>47000</v>
      </c>
      <c r="T1131" s="199" t="str">
        <f t="shared" si="34"/>
        <v>47000grams</v>
      </c>
      <c r="U1131" s="200">
        <f t="shared" si="35"/>
        <v>15040</v>
      </c>
      <c r="V1131" s="12"/>
      <c r="W1131" s="12"/>
    </row>
    <row r="1132" spans="1:23" x14ac:dyDescent="0.3">
      <c r="A1132" s="193" t="e">
        <f ca="1"/>
        <v>#NAME?</v>
      </c>
      <c r="B1132" s="46" t="s">
        <v>1562</v>
      </c>
      <c r="C1132" s="315"/>
      <c r="D1132" s="316"/>
      <c r="E1132" s="315"/>
      <c r="F1132" s="315"/>
      <c r="G1132" s="315"/>
      <c r="H1132" s="153"/>
      <c r="I1132" s="12"/>
      <c r="J1132" s="170"/>
      <c r="K1132" s="12"/>
      <c r="L1132" s="288">
        <v>340</v>
      </c>
      <c r="M1132" s="289">
        <v>17</v>
      </c>
      <c r="N1132" s="290">
        <v>1000</v>
      </c>
      <c r="O1132" s="46"/>
      <c r="P1132" s="46" t="s">
        <v>39</v>
      </c>
      <c r="Q1132" s="12"/>
      <c r="R1132" s="192" t="str">
        <f t="shared" si="32"/>
        <v>1000grams</v>
      </c>
      <c r="S1132" s="198">
        <f t="shared" si="33"/>
        <v>17000</v>
      </c>
      <c r="T1132" s="199" t="str">
        <f t="shared" si="34"/>
        <v>17000grams</v>
      </c>
      <c r="U1132" s="200">
        <f t="shared" si="35"/>
        <v>5780</v>
      </c>
      <c r="V1132" s="12"/>
      <c r="W1132" s="12"/>
    </row>
    <row r="1133" spans="1:23" x14ac:dyDescent="0.3">
      <c r="A1133" s="193" t="e">
        <f ca="1"/>
        <v>#NAME?</v>
      </c>
      <c r="B1133" s="46" t="s">
        <v>1562</v>
      </c>
      <c r="C1133" s="315"/>
      <c r="D1133" s="316"/>
      <c r="E1133" s="315"/>
      <c r="F1133" s="315"/>
      <c r="G1133" s="315"/>
      <c r="H1133" s="153"/>
      <c r="I1133" s="12"/>
      <c r="J1133" s="46" t="s">
        <v>1098</v>
      </c>
      <c r="K1133" s="12"/>
      <c r="L1133" s="288">
        <v>235</v>
      </c>
      <c r="M1133" s="289">
        <v>15</v>
      </c>
      <c r="N1133" s="290">
        <v>1000</v>
      </c>
      <c r="O1133" s="46"/>
      <c r="P1133" s="46" t="s">
        <v>213</v>
      </c>
      <c r="Q1133" s="12"/>
      <c r="R1133" s="192" t="str">
        <f t="shared" si="32"/>
        <v>1000kilos</v>
      </c>
      <c r="S1133" s="198">
        <f t="shared" si="33"/>
        <v>15000</v>
      </c>
      <c r="T1133" s="199" t="str">
        <f t="shared" si="34"/>
        <v>15000kilos</v>
      </c>
      <c r="U1133" s="200">
        <f t="shared" si="35"/>
        <v>3525</v>
      </c>
      <c r="V1133" s="12"/>
      <c r="W1133" s="12"/>
    </row>
    <row r="1134" spans="1:23" x14ac:dyDescent="0.3">
      <c r="A1134" s="193" t="e">
        <f ca="1"/>
        <v>#NAME?</v>
      </c>
      <c r="B1134" s="46" t="s">
        <v>1563</v>
      </c>
      <c r="C1134" s="315"/>
      <c r="D1134" s="316"/>
      <c r="E1134" s="315"/>
      <c r="F1134" s="315"/>
      <c r="G1134" s="315"/>
      <c r="H1134" s="153"/>
      <c r="I1134" s="12"/>
      <c r="J1134" s="170"/>
      <c r="K1134" s="12"/>
      <c r="L1134" s="288">
        <v>270</v>
      </c>
      <c r="M1134" s="289">
        <v>17</v>
      </c>
      <c r="N1134" s="290">
        <v>1</v>
      </c>
      <c r="O1134" s="46"/>
      <c r="P1134" s="46" t="s">
        <v>213</v>
      </c>
      <c r="Q1134" s="12"/>
      <c r="R1134" s="192" t="str">
        <f t="shared" si="32"/>
        <v>1kilos</v>
      </c>
      <c r="S1134" s="198">
        <f t="shared" si="33"/>
        <v>17</v>
      </c>
      <c r="T1134" s="199" t="str">
        <f t="shared" si="34"/>
        <v>17kilos</v>
      </c>
      <c r="U1134" s="200">
        <f t="shared" si="35"/>
        <v>4590</v>
      </c>
      <c r="V1134" s="12"/>
      <c r="W1134" s="12"/>
    </row>
    <row r="1135" spans="1:23" x14ac:dyDescent="0.3">
      <c r="A1135" s="193" t="e">
        <f ca="1"/>
        <v>#NAME?</v>
      </c>
      <c r="B1135" s="46" t="s">
        <v>1563</v>
      </c>
      <c r="C1135" s="315"/>
      <c r="D1135" s="316"/>
      <c r="E1135" s="315"/>
      <c r="F1135" s="315"/>
      <c r="G1135" s="315"/>
      <c r="H1135" s="153"/>
      <c r="I1135" s="12"/>
      <c r="J1135" s="170"/>
      <c r="K1135" s="12"/>
      <c r="L1135" s="288">
        <v>270</v>
      </c>
      <c r="M1135" s="289">
        <v>25</v>
      </c>
      <c r="N1135" s="290">
        <v>1</v>
      </c>
      <c r="O1135" s="46"/>
      <c r="P1135" s="46" t="s">
        <v>213</v>
      </c>
      <c r="Q1135" s="12"/>
      <c r="R1135" s="192" t="str">
        <f t="shared" si="32"/>
        <v>1kilos</v>
      </c>
      <c r="S1135" s="198">
        <f t="shared" si="33"/>
        <v>25</v>
      </c>
      <c r="T1135" s="199" t="str">
        <f t="shared" si="34"/>
        <v>25kilos</v>
      </c>
      <c r="U1135" s="200">
        <f t="shared" si="35"/>
        <v>6750</v>
      </c>
      <c r="V1135" s="12"/>
      <c r="W1135" s="12"/>
    </row>
    <row r="1136" spans="1:23" x14ac:dyDescent="0.3">
      <c r="A1136" s="193" t="e">
        <f ca="1"/>
        <v>#NAME?</v>
      </c>
      <c r="B1136" s="46" t="s">
        <v>1563</v>
      </c>
      <c r="C1136" s="315"/>
      <c r="D1136" s="316"/>
      <c r="E1136" s="315"/>
      <c r="F1136" s="315"/>
      <c r="G1136" s="315"/>
      <c r="H1136" s="153"/>
      <c r="I1136" s="12"/>
      <c r="J1136" s="170"/>
      <c r="K1136" s="12"/>
      <c r="L1136" s="288">
        <v>277</v>
      </c>
      <c r="M1136" s="289">
        <v>46</v>
      </c>
      <c r="N1136" s="290">
        <v>1</v>
      </c>
      <c r="O1136" s="46"/>
      <c r="P1136" s="46" t="s">
        <v>213</v>
      </c>
      <c r="Q1136" s="12"/>
      <c r="R1136" s="192" t="str">
        <f t="shared" si="32"/>
        <v>1kilos</v>
      </c>
      <c r="S1136" s="198">
        <f t="shared" si="33"/>
        <v>46</v>
      </c>
      <c r="T1136" s="199" t="str">
        <f t="shared" si="34"/>
        <v>46kilos</v>
      </c>
      <c r="U1136" s="200">
        <f t="shared" si="35"/>
        <v>12742</v>
      </c>
      <c r="V1136" s="12"/>
      <c r="W1136" s="12"/>
    </row>
    <row r="1137" spans="1:23" x14ac:dyDescent="0.3">
      <c r="A1137" s="193" t="e">
        <f ca="1"/>
        <v>#NAME?</v>
      </c>
      <c r="B1137" s="46" t="s">
        <v>1563</v>
      </c>
      <c r="C1137" s="315"/>
      <c r="D1137" s="316"/>
      <c r="E1137" s="315"/>
      <c r="F1137" s="315"/>
      <c r="G1137" s="315"/>
      <c r="H1137" s="153"/>
      <c r="I1137" s="12"/>
      <c r="J1137" s="170"/>
      <c r="K1137" s="12"/>
      <c r="L1137" s="288">
        <v>300</v>
      </c>
      <c r="M1137" s="289">
        <v>5</v>
      </c>
      <c r="N1137" s="290">
        <v>1000</v>
      </c>
      <c r="O1137" s="46"/>
      <c r="P1137" s="46" t="s">
        <v>39</v>
      </c>
      <c r="Q1137" s="12"/>
      <c r="R1137" s="192" t="str">
        <f t="shared" si="32"/>
        <v>1000grams</v>
      </c>
      <c r="S1137" s="198">
        <f t="shared" si="33"/>
        <v>5000</v>
      </c>
      <c r="T1137" s="199" t="str">
        <f t="shared" si="34"/>
        <v>5000grams</v>
      </c>
      <c r="U1137" s="200">
        <f t="shared" si="35"/>
        <v>1500</v>
      </c>
      <c r="V1137" s="12"/>
      <c r="W1137" s="12"/>
    </row>
    <row r="1138" spans="1:23" x14ac:dyDescent="0.3">
      <c r="A1138" s="193" t="e">
        <f ca="1"/>
        <v>#NAME?</v>
      </c>
      <c r="B1138" s="46" t="s">
        <v>1563</v>
      </c>
      <c r="C1138" s="315"/>
      <c r="D1138" s="316"/>
      <c r="E1138" s="315"/>
      <c r="F1138" s="315"/>
      <c r="G1138" s="315"/>
      <c r="H1138" s="153"/>
      <c r="I1138" s="12"/>
      <c r="J1138" s="170"/>
      <c r="K1138" s="12"/>
      <c r="L1138" s="288">
        <v>440</v>
      </c>
      <c r="M1138" s="289">
        <v>11</v>
      </c>
      <c r="N1138" s="290">
        <v>1000</v>
      </c>
      <c r="O1138" s="46"/>
      <c r="P1138" s="46" t="s">
        <v>39</v>
      </c>
      <c r="Q1138" s="12"/>
      <c r="R1138" s="192" t="str">
        <f t="shared" si="32"/>
        <v>1000grams</v>
      </c>
      <c r="S1138" s="198">
        <f t="shared" si="33"/>
        <v>11000</v>
      </c>
      <c r="T1138" s="199" t="str">
        <f t="shared" si="34"/>
        <v>11000grams</v>
      </c>
      <c r="U1138" s="200">
        <f t="shared" si="35"/>
        <v>4840</v>
      </c>
      <c r="V1138" s="12"/>
      <c r="W1138" s="12"/>
    </row>
    <row r="1139" spans="1:23" x14ac:dyDescent="0.3">
      <c r="A1139" s="193" t="e">
        <f ca="1"/>
        <v>#NAME?</v>
      </c>
      <c r="B1139" s="46" t="s">
        <v>1563</v>
      </c>
      <c r="C1139" s="315"/>
      <c r="D1139" s="316"/>
      <c r="E1139" s="315"/>
      <c r="F1139" s="315"/>
      <c r="G1139" s="315"/>
      <c r="H1139" s="153"/>
      <c r="I1139" s="12"/>
      <c r="J1139" s="46" t="s">
        <v>1098</v>
      </c>
      <c r="K1139" s="12"/>
      <c r="L1139" s="288">
        <v>289</v>
      </c>
      <c r="M1139" s="289">
        <v>25</v>
      </c>
      <c r="N1139" s="290">
        <v>1000</v>
      </c>
      <c r="O1139" s="46"/>
      <c r="P1139" s="46" t="s">
        <v>213</v>
      </c>
      <c r="Q1139" s="12"/>
      <c r="R1139" s="192" t="str">
        <f t="shared" si="32"/>
        <v>1000kilos</v>
      </c>
      <c r="S1139" s="198">
        <f t="shared" si="33"/>
        <v>25000</v>
      </c>
      <c r="T1139" s="199" t="str">
        <f t="shared" si="34"/>
        <v>25000kilos</v>
      </c>
      <c r="U1139" s="200">
        <f t="shared" si="35"/>
        <v>7225</v>
      </c>
      <c r="V1139" s="12"/>
      <c r="W1139" s="12"/>
    </row>
    <row r="1140" spans="1:23" x14ac:dyDescent="0.3">
      <c r="A1140" s="193" t="e">
        <f ca="1"/>
        <v>#NAME?</v>
      </c>
      <c r="B1140" s="46" t="s">
        <v>1564</v>
      </c>
      <c r="C1140" s="315"/>
      <c r="D1140" s="316"/>
      <c r="E1140" s="315"/>
      <c r="F1140" s="315"/>
      <c r="G1140" s="315"/>
      <c r="H1140" s="153"/>
      <c r="I1140" s="12"/>
      <c r="J1140" s="170"/>
      <c r="K1140" s="12"/>
      <c r="L1140" s="288">
        <v>190</v>
      </c>
      <c r="M1140" s="289">
        <v>9</v>
      </c>
      <c r="N1140" s="290">
        <v>1000</v>
      </c>
      <c r="O1140" s="46"/>
      <c r="P1140" s="46" t="s">
        <v>39</v>
      </c>
      <c r="Q1140" s="12"/>
      <c r="R1140" s="192" t="str">
        <f t="shared" si="32"/>
        <v>1000grams</v>
      </c>
      <c r="S1140" s="198">
        <f t="shared" si="33"/>
        <v>9000</v>
      </c>
      <c r="T1140" s="199" t="str">
        <f t="shared" si="34"/>
        <v>9000grams</v>
      </c>
      <c r="U1140" s="200">
        <f t="shared" si="35"/>
        <v>1710</v>
      </c>
      <c r="V1140" s="12"/>
      <c r="W1140" s="12"/>
    </row>
    <row r="1141" spans="1:23" x14ac:dyDescent="0.3">
      <c r="A1141" s="193" t="e">
        <f ca="1"/>
        <v>#NAME?</v>
      </c>
      <c r="B1141" s="46" t="s">
        <v>1564</v>
      </c>
      <c r="C1141" s="315"/>
      <c r="D1141" s="316"/>
      <c r="E1141" s="315"/>
      <c r="F1141" s="315"/>
      <c r="G1141" s="315"/>
      <c r="H1141" s="153"/>
      <c r="I1141" s="12"/>
      <c r="J1141" s="170"/>
      <c r="K1141" s="12"/>
      <c r="L1141" s="288">
        <v>240</v>
      </c>
      <c r="M1141" s="289">
        <v>1</v>
      </c>
      <c r="N1141" s="290">
        <v>1000</v>
      </c>
      <c r="O1141" s="46"/>
      <c r="P1141" s="46" t="s">
        <v>39</v>
      </c>
      <c r="Q1141" s="12"/>
      <c r="R1141" s="192" t="str">
        <f t="shared" si="32"/>
        <v>1000grams</v>
      </c>
      <c r="S1141" s="198">
        <f t="shared" si="33"/>
        <v>1000</v>
      </c>
      <c r="T1141" s="199" t="str">
        <f t="shared" si="34"/>
        <v>1000grams</v>
      </c>
      <c r="U1141" s="200">
        <f t="shared" si="35"/>
        <v>240</v>
      </c>
      <c r="V1141" s="12"/>
      <c r="W1141" s="12"/>
    </row>
    <row r="1142" spans="1:23" x14ac:dyDescent="0.3">
      <c r="A1142" s="193" t="e">
        <f ca="1"/>
        <v>#NAME?</v>
      </c>
      <c r="B1142" s="46" t="s">
        <v>1565</v>
      </c>
      <c r="C1142" s="315"/>
      <c r="D1142" s="316"/>
      <c r="E1142" s="315"/>
      <c r="F1142" s="315"/>
      <c r="G1142" s="315"/>
      <c r="H1142" s="153"/>
      <c r="I1142" s="12"/>
      <c r="J1142" s="170"/>
      <c r="K1142" s="12"/>
      <c r="L1142" s="288">
        <v>280</v>
      </c>
      <c r="M1142" s="289">
        <v>10</v>
      </c>
      <c r="N1142" s="290">
        <v>1000</v>
      </c>
      <c r="O1142" s="46"/>
      <c r="P1142" s="46" t="s">
        <v>39</v>
      </c>
      <c r="Q1142" s="12"/>
      <c r="R1142" s="192" t="str">
        <f t="shared" si="32"/>
        <v>1000grams</v>
      </c>
      <c r="S1142" s="198">
        <f t="shared" si="33"/>
        <v>10000</v>
      </c>
      <c r="T1142" s="199" t="str">
        <f t="shared" si="34"/>
        <v>10000grams</v>
      </c>
      <c r="U1142" s="200">
        <f t="shared" si="35"/>
        <v>2800</v>
      </c>
      <c r="V1142" s="12"/>
      <c r="W1142" s="12"/>
    </row>
    <row r="1143" spans="1:23" x14ac:dyDescent="0.3">
      <c r="A1143" s="193" t="e">
        <f ca="1"/>
        <v>#NAME?</v>
      </c>
      <c r="B1143" s="46" t="s">
        <v>1566</v>
      </c>
      <c r="C1143" s="315"/>
      <c r="D1143" s="316"/>
      <c r="E1143" s="315"/>
      <c r="F1143" s="315"/>
      <c r="G1143" s="315"/>
      <c r="H1143" s="153"/>
      <c r="I1143" s="12"/>
      <c r="J1143" s="170"/>
      <c r="K1143" s="12"/>
      <c r="L1143" s="288">
        <v>320</v>
      </c>
      <c r="M1143" s="289">
        <v>10</v>
      </c>
      <c r="N1143" s="290">
        <v>1000</v>
      </c>
      <c r="O1143" s="46"/>
      <c r="P1143" s="46" t="s">
        <v>213</v>
      </c>
      <c r="Q1143" s="12"/>
      <c r="R1143" s="192" t="str">
        <f t="shared" si="32"/>
        <v>1000kilos</v>
      </c>
      <c r="S1143" s="198">
        <f t="shared" si="33"/>
        <v>10000</v>
      </c>
      <c r="T1143" s="199" t="str">
        <f t="shared" si="34"/>
        <v>10000kilos</v>
      </c>
      <c r="U1143" s="200">
        <f t="shared" si="35"/>
        <v>3200</v>
      </c>
      <c r="V1143" s="12"/>
      <c r="W1143" s="12"/>
    </row>
    <row r="1144" spans="1:23" x14ac:dyDescent="0.3">
      <c r="A1144" s="193" t="e">
        <f ca="1"/>
        <v>#NAME?</v>
      </c>
      <c r="B1144" s="219" t="s">
        <v>1566</v>
      </c>
      <c r="C1144" s="315"/>
      <c r="D1144" s="316"/>
      <c r="E1144" s="315"/>
      <c r="F1144" s="315"/>
      <c r="G1144" s="315"/>
      <c r="H1144" s="153"/>
      <c r="I1144" s="12"/>
      <c r="J1144" s="326"/>
      <c r="K1144" s="12"/>
      <c r="L1144" s="291">
        <v>290</v>
      </c>
      <c r="M1144" s="292">
        <v>5</v>
      </c>
      <c r="N1144" s="293">
        <v>1</v>
      </c>
      <c r="O1144" s="219"/>
      <c r="P1144" s="219" t="s">
        <v>213</v>
      </c>
      <c r="Q1144" s="12"/>
      <c r="R1144" s="192" t="str">
        <f t="shared" si="32"/>
        <v>1kilos</v>
      </c>
      <c r="S1144" s="198">
        <f t="shared" si="33"/>
        <v>5</v>
      </c>
      <c r="T1144" s="199" t="str">
        <f t="shared" si="34"/>
        <v>5kilos</v>
      </c>
      <c r="U1144" s="200">
        <f t="shared" si="35"/>
        <v>1450</v>
      </c>
      <c r="V1144" s="12"/>
      <c r="W1144" s="12"/>
    </row>
    <row r="1145" spans="1:23" x14ac:dyDescent="0.3">
      <c r="A1145" s="193" t="e">
        <f ca="1"/>
        <v>#NAME?</v>
      </c>
      <c r="B1145" s="46" t="s">
        <v>1567</v>
      </c>
      <c r="C1145" s="315"/>
      <c r="D1145" s="316"/>
      <c r="E1145" s="315"/>
      <c r="F1145" s="315"/>
      <c r="G1145" s="315"/>
      <c r="H1145" s="153"/>
      <c r="I1145" s="12"/>
      <c r="J1145" s="170"/>
      <c r="K1145" s="12"/>
      <c r="L1145" s="288">
        <v>340</v>
      </c>
      <c r="M1145" s="289">
        <v>10</v>
      </c>
      <c r="N1145" s="290">
        <v>1000</v>
      </c>
      <c r="O1145" s="46"/>
      <c r="P1145" s="46" t="s">
        <v>39</v>
      </c>
      <c r="Q1145" s="12"/>
      <c r="R1145" s="192" t="str">
        <f t="shared" si="32"/>
        <v>1000grams</v>
      </c>
      <c r="S1145" s="198">
        <f t="shared" si="33"/>
        <v>10000</v>
      </c>
      <c r="T1145" s="199" t="str">
        <f t="shared" si="34"/>
        <v>10000grams</v>
      </c>
      <c r="U1145" s="200">
        <f t="shared" si="35"/>
        <v>3400</v>
      </c>
      <c r="V1145" s="12"/>
      <c r="W1145" s="12"/>
    </row>
    <row r="1146" spans="1:23" x14ac:dyDescent="0.3">
      <c r="A1146" s="193" t="e">
        <f ca="1"/>
        <v>#NAME?</v>
      </c>
      <c r="B1146" s="46" t="s">
        <v>1568</v>
      </c>
      <c r="C1146" s="315"/>
      <c r="D1146" s="316"/>
      <c r="E1146" s="315"/>
      <c r="F1146" s="315"/>
      <c r="G1146" s="315"/>
      <c r="H1146" s="153"/>
      <c r="I1146" s="12"/>
      <c r="J1146" s="170"/>
      <c r="K1146" s="12"/>
      <c r="L1146" s="288">
        <v>140</v>
      </c>
      <c r="M1146" s="289">
        <v>1</v>
      </c>
      <c r="N1146" s="290">
        <v>1000</v>
      </c>
      <c r="O1146" s="46"/>
      <c r="P1146" s="46" t="s">
        <v>39</v>
      </c>
      <c r="Q1146" s="12"/>
      <c r="R1146" s="192" t="str">
        <f t="shared" si="32"/>
        <v>1000grams</v>
      </c>
      <c r="S1146" s="198">
        <f t="shared" si="33"/>
        <v>1000</v>
      </c>
      <c r="T1146" s="199" t="str">
        <f t="shared" si="34"/>
        <v>1000grams</v>
      </c>
      <c r="U1146" s="200">
        <f t="shared" si="35"/>
        <v>140</v>
      </c>
      <c r="V1146" s="12"/>
      <c r="W1146" s="12"/>
    </row>
    <row r="1147" spans="1:23" x14ac:dyDescent="0.3">
      <c r="A1147" s="193" t="e">
        <f ca="1"/>
        <v>#NAME?</v>
      </c>
      <c r="B1147" s="219" t="s">
        <v>1568</v>
      </c>
      <c r="C1147" s="315"/>
      <c r="D1147" s="316"/>
      <c r="E1147" s="315"/>
      <c r="F1147" s="315"/>
      <c r="G1147" s="315"/>
      <c r="H1147" s="153"/>
      <c r="I1147" s="12"/>
      <c r="J1147" s="219" t="s">
        <v>1569</v>
      </c>
      <c r="K1147" s="12"/>
      <c r="L1147" s="291">
        <v>240</v>
      </c>
      <c r="M1147" s="292">
        <v>7</v>
      </c>
      <c r="N1147" s="293">
        <v>1000</v>
      </c>
      <c r="O1147" s="219"/>
      <c r="P1147" s="219" t="s">
        <v>39</v>
      </c>
      <c r="Q1147" s="12"/>
      <c r="R1147" s="192" t="str">
        <f t="shared" si="32"/>
        <v>1000grams</v>
      </c>
      <c r="S1147" s="198">
        <f t="shared" si="33"/>
        <v>7000</v>
      </c>
      <c r="T1147" s="199" t="str">
        <f t="shared" si="34"/>
        <v>7000grams</v>
      </c>
      <c r="U1147" s="200">
        <f t="shared" si="35"/>
        <v>1680</v>
      </c>
      <c r="V1147" s="12"/>
      <c r="W1147" s="12"/>
    </row>
    <row r="1148" spans="1:23" x14ac:dyDescent="0.3">
      <c r="A1148" s="193" t="e">
        <f ca="1"/>
        <v>#NAME?</v>
      </c>
      <c r="B1148" s="219" t="s">
        <v>731</v>
      </c>
      <c r="C1148" s="315"/>
      <c r="D1148" s="316"/>
      <c r="E1148" s="315"/>
      <c r="F1148" s="315"/>
      <c r="G1148" s="315"/>
      <c r="H1148" s="153"/>
      <c r="I1148" s="12"/>
      <c r="J1148" s="46" t="s">
        <v>218</v>
      </c>
      <c r="K1148" s="12"/>
      <c r="L1148" s="288">
        <v>78</v>
      </c>
      <c r="M1148" s="289">
        <v>3</v>
      </c>
      <c r="N1148" s="290">
        <v>250</v>
      </c>
      <c r="O1148" s="46"/>
      <c r="P1148" s="46" t="s">
        <v>39</v>
      </c>
      <c r="Q1148" s="12"/>
      <c r="R1148" s="192" t="str">
        <f t="shared" si="32"/>
        <v>250grams</v>
      </c>
      <c r="S1148" s="198">
        <f t="shared" si="33"/>
        <v>750</v>
      </c>
      <c r="T1148" s="199" t="str">
        <f t="shared" si="34"/>
        <v>750grams</v>
      </c>
      <c r="U1148" s="200">
        <f t="shared" si="35"/>
        <v>234</v>
      </c>
      <c r="V1148" s="12"/>
      <c r="W1148" s="12"/>
    </row>
    <row r="1149" spans="1:23" x14ac:dyDescent="0.3">
      <c r="A1149" s="193" t="e">
        <f ca="1"/>
        <v>#NAME?</v>
      </c>
      <c r="B1149" s="46" t="s">
        <v>731</v>
      </c>
      <c r="C1149" s="315"/>
      <c r="D1149" s="316"/>
      <c r="E1149" s="315"/>
      <c r="F1149" s="315"/>
      <c r="G1149" s="315"/>
      <c r="H1149" s="153"/>
      <c r="I1149" s="12"/>
      <c r="J1149" s="46" t="s">
        <v>1098</v>
      </c>
      <c r="K1149" s="12"/>
      <c r="L1149" s="288">
        <v>165</v>
      </c>
      <c r="M1149" s="289">
        <v>3</v>
      </c>
      <c r="N1149" s="290">
        <v>1000</v>
      </c>
      <c r="O1149" s="60"/>
      <c r="P1149" s="60" t="s">
        <v>213</v>
      </c>
      <c r="Q1149" s="12"/>
      <c r="R1149" s="192" t="str">
        <f t="shared" si="32"/>
        <v>1000kilos</v>
      </c>
      <c r="S1149" s="198">
        <f t="shared" si="33"/>
        <v>3000</v>
      </c>
      <c r="T1149" s="199" t="str">
        <f t="shared" si="34"/>
        <v>3000kilos</v>
      </c>
      <c r="U1149" s="200">
        <f t="shared" si="35"/>
        <v>495</v>
      </c>
      <c r="V1149" s="12"/>
      <c r="W1149" s="12"/>
    </row>
    <row r="1150" spans="1:23" x14ac:dyDescent="0.3">
      <c r="A1150" s="193" t="e">
        <f ca="1"/>
        <v>#NAME?</v>
      </c>
      <c r="B1150" s="46" t="s">
        <v>456</v>
      </c>
      <c r="C1150" s="315"/>
      <c r="D1150" s="316"/>
      <c r="E1150" s="315"/>
      <c r="F1150" s="315"/>
      <c r="G1150" s="315"/>
      <c r="H1150" s="153"/>
      <c r="I1150" s="12"/>
      <c r="J1150" s="170"/>
      <c r="K1150" s="12"/>
      <c r="L1150" s="288">
        <v>120</v>
      </c>
      <c r="M1150" s="289">
        <v>2</v>
      </c>
      <c r="N1150" s="290">
        <v>1</v>
      </c>
      <c r="O1150" s="46"/>
      <c r="P1150" s="46" t="s">
        <v>213</v>
      </c>
      <c r="Q1150" s="12"/>
      <c r="R1150" s="192" t="str">
        <f t="shared" si="32"/>
        <v>1kilos</v>
      </c>
      <c r="S1150" s="198">
        <f t="shared" si="33"/>
        <v>2</v>
      </c>
      <c r="T1150" s="199" t="str">
        <f t="shared" si="34"/>
        <v>2kilos</v>
      </c>
      <c r="U1150" s="200">
        <f t="shared" si="35"/>
        <v>240</v>
      </c>
      <c r="V1150" s="12"/>
      <c r="W1150" s="12"/>
    </row>
    <row r="1151" spans="1:23" x14ac:dyDescent="0.3">
      <c r="A1151" s="193" t="e">
        <f ca="1"/>
        <v>#NAME?</v>
      </c>
      <c r="B1151" s="46" t="s">
        <v>456</v>
      </c>
      <c r="C1151" s="315"/>
      <c r="D1151" s="316"/>
      <c r="E1151" s="315"/>
      <c r="F1151" s="315"/>
      <c r="G1151" s="315"/>
      <c r="H1151" s="153"/>
      <c r="I1151" s="12"/>
      <c r="J1151" s="46" t="s">
        <v>216</v>
      </c>
      <c r="K1151" s="12"/>
      <c r="L1151" s="288">
        <v>160</v>
      </c>
      <c r="M1151" s="289">
        <v>4</v>
      </c>
      <c r="N1151" s="290">
        <v>1</v>
      </c>
      <c r="O1151" s="46"/>
      <c r="P1151" s="46" t="s">
        <v>213</v>
      </c>
      <c r="Q1151" s="12"/>
      <c r="R1151" s="192" t="str">
        <f t="shared" si="32"/>
        <v>1kilos</v>
      </c>
      <c r="S1151" s="198">
        <f t="shared" si="33"/>
        <v>4</v>
      </c>
      <c r="T1151" s="199" t="str">
        <f t="shared" si="34"/>
        <v>4kilos</v>
      </c>
      <c r="U1151" s="200">
        <f t="shared" si="35"/>
        <v>640</v>
      </c>
      <c r="V1151" s="12"/>
      <c r="W1151" s="12"/>
    </row>
    <row r="1152" spans="1:23" x14ac:dyDescent="0.3">
      <c r="A1152" s="193" t="e">
        <f ca="1"/>
        <v>#NAME?</v>
      </c>
      <c r="B1152" s="46" t="s">
        <v>456</v>
      </c>
      <c r="C1152" s="315"/>
      <c r="D1152" s="316"/>
      <c r="E1152" s="315"/>
      <c r="F1152" s="315"/>
      <c r="G1152" s="315"/>
      <c r="H1152" s="153"/>
      <c r="I1152" s="12"/>
      <c r="J1152" s="46" t="s">
        <v>216</v>
      </c>
      <c r="K1152" s="12"/>
      <c r="L1152" s="288">
        <v>140</v>
      </c>
      <c r="M1152" s="289">
        <v>3</v>
      </c>
      <c r="N1152" s="290">
        <v>1</v>
      </c>
      <c r="O1152" s="46"/>
      <c r="P1152" s="46" t="s">
        <v>213</v>
      </c>
      <c r="Q1152" s="12"/>
      <c r="R1152" s="192" t="str">
        <f t="shared" si="32"/>
        <v>1kilos</v>
      </c>
      <c r="S1152" s="198">
        <f t="shared" si="33"/>
        <v>3</v>
      </c>
      <c r="T1152" s="199" t="str">
        <f t="shared" si="34"/>
        <v>3kilos</v>
      </c>
      <c r="U1152" s="200">
        <f t="shared" si="35"/>
        <v>420</v>
      </c>
      <c r="V1152" s="12"/>
      <c r="W1152" s="12"/>
    </row>
    <row r="1153" spans="1:23" x14ac:dyDescent="0.3">
      <c r="A1153" s="193" t="e">
        <f ca="1"/>
        <v>#NAME?</v>
      </c>
      <c r="B1153" s="219" t="s">
        <v>456</v>
      </c>
      <c r="C1153" s="315"/>
      <c r="D1153" s="316"/>
      <c r="E1153" s="315"/>
      <c r="F1153" s="315"/>
      <c r="G1153" s="315"/>
      <c r="H1153" s="153"/>
      <c r="I1153" s="12"/>
      <c r="J1153" s="219" t="s">
        <v>216</v>
      </c>
      <c r="K1153" s="12"/>
      <c r="L1153" s="291">
        <v>180</v>
      </c>
      <c r="M1153" s="292">
        <v>2</v>
      </c>
      <c r="N1153" s="290">
        <v>1</v>
      </c>
      <c r="O1153" s="46"/>
      <c r="P1153" s="46" t="s">
        <v>213</v>
      </c>
      <c r="Q1153" s="12"/>
      <c r="R1153" s="192" t="str">
        <f t="shared" si="32"/>
        <v>1kilos</v>
      </c>
      <c r="S1153" s="198">
        <f t="shared" si="33"/>
        <v>2</v>
      </c>
      <c r="T1153" s="199" t="str">
        <f t="shared" si="34"/>
        <v>2kilos</v>
      </c>
      <c r="U1153" s="200">
        <f t="shared" si="35"/>
        <v>360</v>
      </c>
      <c r="V1153" s="12"/>
      <c r="W1153" s="12"/>
    </row>
    <row r="1154" spans="1:23" x14ac:dyDescent="0.3">
      <c r="A1154" s="193" t="e">
        <f ca="1"/>
        <v>#NAME?</v>
      </c>
      <c r="B1154" s="46" t="s">
        <v>456</v>
      </c>
      <c r="C1154" s="315"/>
      <c r="D1154" s="316"/>
      <c r="E1154" s="315"/>
      <c r="F1154" s="315"/>
      <c r="G1154" s="315"/>
      <c r="H1154" s="153"/>
      <c r="I1154" s="12"/>
      <c r="J1154" s="46" t="s">
        <v>912</v>
      </c>
      <c r="K1154" s="12"/>
      <c r="L1154" s="288">
        <v>160</v>
      </c>
      <c r="M1154" s="289">
        <v>1</v>
      </c>
      <c r="N1154" s="290">
        <v>1</v>
      </c>
      <c r="O1154" s="46"/>
      <c r="P1154" s="46" t="s">
        <v>213</v>
      </c>
      <c r="Q1154" s="12"/>
      <c r="R1154" s="192" t="str">
        <f t="shared" si="32"/>
        <v>1kilos</v>
      </c>
      <c r="S1154" s="198">
        <f t="shared" si="33"/>
        <v>1</v>
      </c>
      <c r="T1154" s="199" t="str">
        <f t="shared" si="34"/>
        <v>1kilos</v>
      </c>
      <c r="U1154" s="200">
        <f t="shared" si="35"/>
        <v>160</v>
      </c>
      <c r="V1154" s="12"/>
      <c r="W1154" s="12"/>
    </row>
    <row r="1155" spans="1:23" x14ac:dyDescent="0.3">
      <c r="A1155" s="193" t="e">
        <f ca="1"/>
        <v>#NAME?</v>
      </c>
      <c r="B1155" s="46" t="s">
        <v>1570</v>
      </c>
      <c r="C1155" s="315"/>
      <c r="D1155" s="316"/>
      <c r="E1155" s="315"/>
      <c r="F1155" s="315"/>
      <c r="G1155" s="315"/>
      <c r="H1155" s="153"/>
      <c r="I1155" s="12"/>
      <c r="J1155" s="46" t="s">
        <v>1571</v>
      </c>
      <c r="K1155" s="12"/>
      <c r="L1155" s="288">
        <v>168.75</v>
      </c>
      <c r="M1155" s="289">
        <v>15</v>
      </c>
      <c r="N1155" s="290">
        <v>200</v>
      </c>
      <c r="O1155" s="46"/>
      <c r="P1155" s="46" t="s">
        <v>39</v>
      </c>
      <c r="Q1155" s="12"/>
      <c r="R1155" s="192" t="str">
        <f t="shared" si="32"/>
        <v>200grams</v>
      </c>
      <c r="S1155" s="198">
        <f t="shared" si="33"/>
        <v>3000</v>
      </c>
      <c r="T1155" s="199" t="str">
        <f t="shared" si="34"/>
        <v>3000grams</v>
      </c>
      <c r="U1155" s="200">
        <f t="shared" si="35"/>
        <v>2531.25</v>
      </c>
      <c r="V1155" s="12"/>
      <c r="W1155" s="12"/>
    </row>
    <row r="1156" spans="1:23" x14ac:dyDescent="0.3">
      <c r="A1156" s="193" t="e">
        <f ca="1"/>
        <v>#NAME?</v>
      </c>
      <c r="B1156" s="46" t="s">
        <v>1570</v>
      </c>
      <c r="C1156" s="315"/>
      <c r="D1156" s="316"/>
      <c r="E1156" s="315"/>
      <c r="F1156" s="315"/>
      <c r="G1156" s="315"/>
      <c r="H1156" s="153"/>
      <c r="I1156" s="12"/>
      <c r="J1156" s="46" t="s">
        <v>1572</v>
      </c>
      <c r="K1156" s="12"/>
      <c r="L1156" s="288">
        <v>162.32</v>
      </c>
      <c r="M1156" s="289">
        <v>8</v>
      </c>
      <c r="N1156" s="290">
        <v>200</v>
      </c>
      <c r="O1156" s="46"/>
      <c r="P1156" s="46" t="s">
        <v>39</v>
      </c>
      <c r="Q1156" s="12"/>
      <c r="R1156" s="192" t="str">
        <f t="shared" si="32"/>
        <v>200grams</v>
      </c>
      <c r="S1156" s="198">
        <f t="shared" si="33"/>
        <v>1600</v>
      </c>
      <c r="T1156" s="199" t="str">
        <f t="shared" si="34"/>
        <v>1600grams</v>
      </c>
      <c r="U1156" s="200">
        <f t="shared" si="35"/>
        <v>1298.56</v>
      </c>
      <c r="V1156" s="12"/>
      <c r="W1156" s="12"/>
    </row>
    <row r="1157" spans="1:23" x14ac:dyDescent="0.3">
      <c r="A1157" s="193" t="e">
        <f ca="1"/>
        <v>#NAME?</v>
      </c>
      <c r="B1157" s="46" t="s">
        <v>1570</v>
      </c>
      <c r="C1157" s="315"/>
      <c r="D1157" s="316"/>
      <c r="E1157" s="315"/>
      <c r="F1157" s="315"/>
      <c r="G1157" s="315"/>
      <c r="H1157" s="153"/>
      <c r="I1157" s="12"/>
      <c r="J1157" s="46" t="s">
        <v>1573</v>
      </c>
      <c r="K1157" s="12"/>
      <c r="L1157" s="288">
        <v>162.32</v>
      </c>
      <c r="M1157" s="289">
        <v>7</v>
      </c>
      <c r="N1157" s="290">
        <v>200</v>
      </c>
      <c r="O1157" s="46"/>
      <c r="P1157" s="46" t="s">
        <v>39</v>
      </c>
      <c r="Q1157" s="12"/>
      <c r="R1157" s="192" t="str">
        <f t="shared" si="32"/>
        <v>200grams</v>
      </c>
      <c r="S1157" s="198">
        <f t="shared" si="33"/>
        <v>1400</v>
      </c>
      <c r="T1157" s="199" t="str">
        <f t="shared" si="34"/>
        <v>1400grams</v>
      </c>
      <c r="U1157" s="200">
        <f t="shared" si="35"/>
        <v>1136.24</v>
      </c>
      <c r="V1157" s="12"/>
      <c r="W1157" s="12"/>
    </row>
    <row r="1158" spans="1:23" x14ac:dyDescent="0.3">
      <c r="A1158" s="193" t="e">
        <f ca="1"/>
        <v>#NAME?</v>
      </c>
      <c r="B1158" s="46" t="s">
        <v>1570</v>
      </c>
      <c r="C1158" s="315"/>
      <c r="D1158" s="316"/>
      <c r="E1158" s="315"/>
      <c r="F1158" s="315"/>
      <c r="G1158" s="315"/>
      <c r="H1158" s="153"/>
      <c r="I1158" s="12"/>
      <c r="J1158" s="46" t="s">
        <v>1574</v>
      </c>
      <c r="K1158" s="12"/>
      <c r="L1158" s="288">
        <v>162.32</v>
      </c>
      <c r="M1158" s="289">
        <v>11</v>
      </c>
      <c r="N1158" s="290">
        <v>200</v>
      </c>
      <c r="O1158" s="46"/>
      <c r="P1158" s="46" t="s">
        <v>39</v>
      </c>
      <c r="Q1158" s="12"/>
      <c r="R1158" s="192" t="str">
        <f t="shared" si="32"/>
        <v>200grams</v>
      </c>
      <c r="S1158" s="198">
        <f t="shared" si="33"/>
        <v>2200</v>
      </c>
      <c r="T1158" s="199" t="str">
        <f t="shared" si="34"/>
        <v>2200grams</v>
      </c>
      <c r="U1158" s="200">
        <f t="shared" si="35"/>
        <v>1785.52</v>
      </c>
      <c r="V1158" s="12"/>
      <c r="W1158" s="12"/>
    </row>
    <row r="1159" spans="1:23" x14ac:dyDescent="0.3">
      <c r="A1159" s="193" t="e">
        <f ca="1"/>
        <v>#NAME?</v>
      </c>
      <c r="B1159" s="46" t="s">
        <v>1570</v>
      </c>
      <c r="C1159" s="315"/>
      <c r="D1159" s="316"/>
      <c r="E1159" s="315"/>
      <c r="F1159" s="315"/>
      <c r="G1159" s="315"/>
      <c r="H1159" s="153"/>
      <c r="I1159" s="12"/>
      <c r="J1159" s="46" t="s">
        <v>1575</v>
      </c>
      <c r="K1159" s="12"/>
      <c r="L1159" s="288">
        <v>167.95</v>
      </c>
      <c r="M1159" s="289">
        <v>12</v>
      </c>
      <c r="N1159" s="290">
        <v>200</v>
      </c>
      <c r="O1159" s="46"/>
      <c r="P1159" s="46" t="s">
        <v>39</v>
      </c>
      <c r="Q1159" s="12"/>
      <c r="R1159" s="192" t="str">
        <f t="shared" si="32"/>
        <v>200grams</v>
      </c>
      <c r="S1159" s="198">
        <f t="shared" si="33"/>
        <v>2400</v>
      </c>
      <c r="T1159" s="199" t="str">
        <f t="shared" si="34"/>
        <v>2400grams</v>
      </c>
      <c r="U1159" s="200">
        <f t="shared" si="35"/>
        <v>2015.3999999999999</v>
      </c>
      <c r="V1159" s="12"/>
      <c r="W1159" s="12"/>
    </row>
    <row r="1160" spans="1:23" x14ac:dyDescent="0.3">
      <c r="A1160" s="193" t="e">
        <f ca="1"/>
        <v>#NAME?</v>
      </c>
      <c r="B1160" s="219" t="s">
        <v>1576</v>
      </c>
      <c r="C1160" s="315"/>
      <c r="D1160" s="316"/>
      <c r="E1160" s="315"/>
      <c r="F1160" s="315"/>
      <c r="G1160" s="315"/>
      <c r="H1160" s="153"/>
      <c r="I1160" s="12"/>
      <c r="J1160" s="46" t="s">
        <v>1577</v>
      </c>
      <c r="K1160" s="12"/>
      <c r="L1160" s="288">
        <v>20</v>
      </c>
      <c r="M1160" s="289">
        <v>2</v>
      </c>
      <c r="N1160" s="290">
        <v>19</v>
      </c>
      <c r="O1160" s="46"/>
      <c r="P1160" s="46" t="s">
        <v>39</v>
      </c>
      <c r="Q1160" s="12"/>
      <c r="R1160" s="192" t="str">
        <f t="shared" si="32"/>
        <v>19grams</v>
      </c>
      <c r="S1160" s="198">
        <f t="shared" si="33"/>
        <v>38</v>
      </c>
      <c r="T1160" s="199" t="str">
        <f t="shared" si="34"/>
        <v>38grams</v>
      </c>
      <c r="U1160" s="200">
        <f t="shared" si="35"/>
        <v>40</v>
      </c>
      <c r="V1160" s="12"/>
      <c r="W1160" s="12"/>
    </row>
    <row r="1161" spans="1:23" x14ac:dyDescent="0.3">
      <c r="A1161" s="193" t="e">
        <f ca="1"/>
        <v>#NAME?</v>
      </c>
      <c r="B1161" s="219" t="s">
        <v>1576</v>
      </c>
      <c r="C1161" s="315"/>
      <c r="D1161" s="316"/>
      <c r="E1161" s="315"/>
      <c r="F1161" s="315"/>
      <c r="G1161" s="315"/>
      <c r="H1161" s="153"/>
      <c r="I1161" s="12"/>
      <c r="J1161" s="46" t="s">
        <v>1577</v>
      </c>
      <c r="K1161" s="12"/>
      <c r="L1161" s="291">
        <v>19</v>
      </c>
      <c r="M1161" s="292">
        <v>2</v>
      </c>
      <c r="N1161" s="293">
        <v>19</v>
      </c>
      <c r="O1161" s="219"/>
      <c r="P1161" s="219" t="s">
        <v>39</v>
      </c>
      <c r="Q1161" s="12"/>
      <c r="R1161" s="192" t="str">
        <f t="shared" si="32"/>
        <v>19grams</v>
      </c>
      <c r="S1161" s="198">
        <f t="shared" si="33"/>
        <v>38</v>
      </c>
      <c r="T1161" s="199" t="str">
        <f t="shared" si="34"/>
        <v>38grams</v>
      </c>
      <c r="U1161" s="200">
        <f t="shared" si="35"/>
        <v>38</v>
      </c>
      <c r="V1161" s="12"/>
      <c r="W1161" s="12"/>
    </row>
    <row r="1162" spans="1:23" x14ac:dyDescent="0.3">
      <c r="A1162" s="193" t="e">
        <f ca="1"/>
        <v>#NAME?</v>
      </c>
      <c r="B1162" s="219" t="s">
        <v>1578</v>
      </c>
      <c r="C1162" s="315"/>
      <c r="D1162" s="316"/>
      <c r="E1162" s="315"/>
      <c r="F1162" s="315"/>
      <c r="G1162" s="315"/>
      <c r="H1162" s="153"/>
      <c r="I1162" s="12"/>
      <c r="J1162" s="46" t="s">
        <v>1577</v>
      </c>
      <c r="K1162" s="12"/>
      <c r="L1162" s="291">
        <v>20.5</v>
      </c>
      <c r="M1162" s="292">
        <v>1</v>
      </c>
      <c r="N1162" s="293">
        <v>19</v>
      </c>
      <c r="O1162" s="219"/>
      <c r="P1162" s="219" t="s">
        <v>39</v>
      </c>
      <c r="Q1162" s="12"/>
      <c r="R1162" s="192" t="str">
        <f t="shared" si="32"/>
        <v>19grams</v>
      </c>
      <c r="S1162" s="198">
        <f t="shared" si="33"/>
        <v>19</v>
      </c>
      <c r="T1162" s="199" t="str">
        <f t="shared" si="34"/>
        <v>19grams</v>
      </c>
      <c r="U1162" s="200">
        <f t="shared" si="35"/>
        <v>20.5</v>
      </c>
      <c r="V1162" s="12"/>
      <c r="W1162" s="12"/>
    </row>
    <row r="1163" spans="1:23" x14ac:dyDescent="0.3">
      <c r="A1163" s="193" t="e">
        <f ca="1"/>
        <v>#NAME?</v>
      </c>
      <c r="B1163" s="46" t="s">
        <v>1579</v>
      </c>
      <c r="C1163" s="315"/>
      <c r="D1163" s="316"/>
      <c r="E1163" s="315"/>
      <c r="F1163" s="315"/>
      <c r="G1163" s="315"/>
      <c r="H1163" s="153"/>
      <c r="I1163" s="12"/>
      <c r="J1163" s="46" t="s">
        <v>1577</v>
      </c>
      <c r="K1163" s="12"/>
      <c r="L1163" s="288">
        <v>20.3</v>
      </c>
      <c r="M1163" s="289">
        <v>56</v>
      </c>
      <c r="N1163" s="290">
        <v>19</v>
      </c>
      <c r="O1163" s="46"/>
      <c r="P1163" s="46" t="s">
        <v>39</v>
      </c>
      <c r="Q1163" s="12"/>
      <c r="R1163" s="192" t="str">
        <f t="shared" si="32"/>
        <v>19grams</v>
      </c>
      <c r="S1163" s="198">
        <f t="shared" si="33"/>
        <v>1064</v>
      </c>
      <c r="T1163" s="199" t="str">
        <f t="shared" si="34"/>
        <v>1064grams</v>
      </c>
      <c r="U1163" s="200">
        <f t="shared" si="35"/>
        <v>1136.8</v>
      </c>
      <c r="V1163" s="12"/>
      <c r="W1163" s="12"/>
    </row>
    <row r="1164" spans="1:23" x14ac:dyDescent="0.3">
      <c r="A1164" s="193" t="e">
        <f ca="1"/>
        <v>#NAME?</v>
      </c>
      <c r="B1164" s="46" t="s">
        <v>1580</v>
      </c>
      <c r="C1164" s="315"/>
      <c r="D1164" s="316"/>
      <c r="E1164" s="315"/>
      <c r="F1164" s="315"/>
      <c r="G1164" s="315"/>
      <c r="H1164" s="153"/>
      <c r="I1164" s="12"/>
      <c r="J1164" s="46" t="s">
        <v>1577</v>
      </c>
      <c r="K1164" s="12"/>
      <c r="L1164" s="288">
        <v>19</v>
      </c>
      <c r="M1164" s="289">
        <v>32</v>
      </c>
      <c r="N1164" s="290">
        <v>19</v>
      </c>
      <c r="O1164" s="46"/>
      <c r="P1164" s="46" t="s">
        <v>39</v>
      </c>
      <c r="Q1164" s="12"/>
      <c r="R1164" s="192" t="str">
        <f t="shared" si="32"/>
        <v>19grams</v>
      </c>
      <c r="S1164" s="198">
        <f t="shared" si="33"/>
        <v>608</v>
      </c>
      <c r="T1164" s="199" t="str">
        <f t="shared" si="34"/>
        <v>608grams</v>
      </c>
      <c r="U1164" s="200">
        <f t="shared" si="35"/>
        <v>608</v>
      </c>
      <c r="V1164" s="12"/>
      <c r="W1164" s="12"/>
    </row>
    <row r="1165" spans="1:23" x14ac:dyDescent="0.3">
      <c r="A1165" s="193" t="e">
        <f ca="1"/>
        <v>#NAME?</v>
      </c>
      <c r="B1165" s="219" t="s">
        <v>1581</v>
      </c>
      <c r="C1165" s="315"/>
      <c r="D1165" s="316"/>
      <c r="E1165" s="315"/>
      <c r="F1165" s="315"/>
      <c r="G1165" s="315"/>
      <c r="H1165" s="153"/>
      <c r="I1165" s="12"/>
      <c r="J1165" s="46" t="s">
        <v>1577</v>
      </c>
      <c r="K1165" s="12"/>
      <c r="L1165" s="291">
        <v>20.5</v>
      </c>
      <c r="M1165" s="292">
        <v>4</v>
      </c>
      <c r="N1165" s="293">
        <v>19</v>
      </c>
      <c r="O1165" s="219"/>
      <c r="P1165" s="219" t="s">
        <v>39</v>
      </c>
      <c r="Q1165" s="12"/>
      <c r="R1165" s="192" t="str">
        <f t="shared" si="32"/>
        <v>19grams</v>
      </c>
      <c r="S1165" s="198">
        <f t="shared" si="33"/>
        <v>76</v>
      </c>
      <c r="T1165" s="199" t="str">
        <f t="shared" si="34"/>
        <v>76grams</v>
      </c>
      <c r="U1165" s="200">
        <f t="shared" si="35"/>
        <v>82</v>
      </c>
      <c r="V1165" s="12"/>
      <c r="W1165" s="12"/>
    </row>
    <row r="1166" spans="1:23" x14ac:dyDescent="0.3">
      <c r="A1166" s="193" t="e">
        <f ca="1"/>
        <v>#NAME?</v>
      </c>
      <c r="B1166" s="46" t="s">
        <v>738</v>
      </c>
      <c r="C1166" s="315"/>
      <c r="D1166" s="316"/>
      <c r="E1166" s="315"/>
      <c r="F1166" s="315"/>
      <c r="G1166" s="315"/>
      <c r="H1166" s="153"/>
      <c r="I1166" s="12"/>
      <c r="J1166" s="170"/>
      <c r="K1166" s="12"/>
      <c r="L1166" s="288">
        <v>280</v>
      </c>
      <c r="M1166" s="289">
        <v>3</v>
      </c>
      <c r="N1166" s="290">
        <v>1</v>
      </c>
      <c r="O1166" s="46"/>
      <c r="P1166" s="46" t="s">
        <v>213</v>
      </c>
      <c r="Q1166" s="12"/>
      <c r="R1166" s="192" t="str">
        <f t="shared" si="32"/>
        <v>1kilos</v>
      </c>
      <c r="S1166" s="198">
        <f t="shared" si="33"/>
        <v>3</v>
      </c>
      <c r="T1166" s="199" t="str">
        <f t="shared" si="34"/>
        <v>3kilos</v>
      </c>
      <c r="U1166" s="200">
        <f t="shared" si="35"/>
        <v>840</v>
      </c>
      <c r="V1166" s="12"/>
      <c r="W1166" s="12"/>
    </row>
    <row r="1167" spans="1:23" x14ac:dyDescent="0.3">
      <c r="A1167" s="193" t="e">
        <f ca="1"/>
        <v>#NAME?</v>
      </c>
      <c r="B1167" s="46" t="s">
        <v>743</v>
      </c>
      <c r="C1167" s="315"/>
      <c r="D1167" s="316"/>
      <c r="E1167" s="315"/>
      <c r="F1167" s="315"/>
      <c r="G1167" s="315"/>
      <c r="H1167" s="153"/>
      <c r="I1167" s="12"/>
      <c r="J1167" s="46" t="s">
        <v>1582</v>
      </c>
      <c r="K1167" s="12"/>
      <c r="L1167" s="288">
        <v>51.1</v>
      </c>
      <c r="M1167" s="289">
        <v>1</v>
      </c>
      <c r="N1167" s="290">
        <v>100</v>
      </c>
      <c r="O1167" s="46"/>
      <c r="P1167" s="46" t="s">
        <v>39</v>
      </c>
      <c r="Q1167" s="12"/>
      <c r="R1167" s="192" t="str">
        <f t="shared" si="32"/>
        <v>100grams</v>
      </c>
      <c r="S1167" s="198">
        <f t="shared" si="33"/>
        <v>100</v>
      </c>
      <c r="T1167" s="199" t="str">
        <f t="shared" si="34"/>
        <v>100grams</v>
      </c>
      <c r="U1167" s="200">
        <f t="shared" si="35"/>
        <v>51.1</v>
      </c>
      <c r="V1167" s="12"/>
      <c r="W1167" s="12"/>
    </row>
    <row r="1168" spans="1:23" x14ac:dyDescent="0.3">
      <c r="A1168" s="193" t="e">
        <f ca="1"/>
        <v>#NAME?</v>
      </c>
      <c r="B1168" s="46" t="s">
        <v>743</v>
      </c>
      <c r="C1168" s="315"/>
      <c r="D1168" s="316"/>
      <c r="E1168" s="315"/>
      <c r="F1168" s="315"/>
      <c r="G1168" s="315"/>
      <c r="H1168" s="153"/>
      <c r="I1168" s="12"/>
      <c r="J1168" s="46" t="s">
        <v>1582</v>
      </c>
      <c r="K1168" s="12"/>
      <c r="L1168" s="288">
        <v>51.1</v>
      </c>
      <c r="M1168" s="289">
        <v>2</v>
      </c>
      <c r="N1168" s="290">
        <v>100</v>
      </c>
      <c r="O1168" s="46"/>
      <c r="P1168" s="46" t="s">
        <v>39</v>
      </c>
      <c r="Q1168" s="12"/>
      <c r="R1168" s="192" t="str">
        <f t="shared" si="32"/>
        <v>100grams</v>
      </c>
      <c r="S1168" s="198">
        <f t="shared" si="33"/>
        <v>200</v>
      </c>
      <c r="T1168" s="199" t="str">
        <f t="shared" si="34"/>
        <v>200grams</v>
      </c>
      <c r="U1168" s="200">
        <f t="shared" si="35"/>
        <v>102.2</v>
      </c>
      <c r="V1168" s="12"/>
      <c r="W1168" s="12"/>
    </row>
    <row r="1169" spans="1:23" x14ac:dyDescent="0.3">
      <c r="A1169" s="193" t="e">
        <f ca="1"/>
        <v>#NAME?</v>
      </c>
      <c r="B1169" s="46" t="s">
        <v>743</v>
      </c>
      <c r="C1169" s="315"/>
      <c r="D1169" s="316"/>
      <c r="E1169" s="315"/>
      <c r="F1169" s="315"/>
      <c r="G1169" s="315"/>
      <c r="H1169" s="153"/>
      <c r="I1169" s="12"/>
      <c r="J1169" s="46" t="s">
        <v>959</v>
      </c>
      <c r="K1169" s="12"/>
      <c r="L1169" s="288">
        <v>49</v>
      </c>
      <c r="M1169" s="289">
        <v>2</v>
      </c>
      <c r="N1169" s="290">
        <v>100</v>
      </c>
      <c r="O1169" s="46"/>
      <c r="P1169" s="46" t="s">
        <v>39</v>
      </c>
      <c r="Q1169" s="12"/>
      <c r="R1169" s="192" t="str">
        <f t="shared" si="32"/>
        <v>100grams</v>
      </c>
      <c r="S1169" s="198">
        <f t="shared" si="33"/>
        <v>200</v>
      </c>
      <c r="T1169" s="199" t="str">
        <f t="shared" si="34"/>
        <v>200grams</v>
      </c>
      <c r="U1169" s="200">
        <f t="shared" si="35"/>
        <v>98</v>
      </c>
      <c r="V1169" s="12"/>
      <c r="W1169" s="12"/>
    </row>
    <row r="1170" spans="1:23" x14ac:dyDescent="0.3">
      <c r="A1170" s="193" t="e">
        <f ca="1"/>
        <v>#NAME?</v>
      </c>
      <c r="B1170" s="46" t="s">
        <v>743</v>
      </c>
      <c r="C1170" s="315"/>
      <c r="D1170" s="316"/>
      <c r="E1170" s="315"/>
      <c r="F1170" s="315"/>
      <c r="G1170" s="315"/>
      <c r="H1170" s="153"/>
      <c r="I1170" s="12"/>
      <c r="J1170" s="46" t="s">
        <v>1286</v>
      </c>
      <c r="K1170" s="12"/>
      <c r="L1170" s="288">
        <v>48</v>
      </c>
      <c r="M1170" s="289">
        <v>7</v>
      </c>
      <c r="N1170" s="290">
        <v>100</v>
      </c>
      <c r="O1170" s="46"/>
      <c r="P1170" s="46" t="s">
        <v>39</v>
      </c>
      <c r="Q1170" s="12"/>
      <c r="R1170" s="192" t="str">
        <f t="shared" si="32"/>
        <v>100grams</v>
      </c>
      <c r="S1170" s="198">
        <f t="shared" si="33"/>
        <v>700</v>
      </c>
      <c r="T1170" s="199" t="str">
        <f t="shared" si="34"/>
        <v>700grams</v>
      </c>
      <c r="U1170" s="200">
        <f t="shared" si="35"/>
        <v>336</v>
      </c>
      <c r="V1170" s="12"/>
      <c r="W1170" s="12"/>
    </row>
    <row r="1171" spans="1:23" x14ac:dyDescent="0.3">
      <c r="A1171" s="193" t="e">
        <f ca="1"/>
        <v>#NAME?</v>
      </c>
      <c r="B1171" s="219" t="s">
        <v>743</v>
      </c>
      <c r="C1171" s="315"/>
      <c r="D1171" s="316"/>
      <c r="E1171" s="315"/>
      <c r="F1171" s="315"/>
      <c r="G1171" s="315"/>
      <c r="H1171" s="153"/>
      <c r="I1171" s="12"/>
      <c r="J1171" s="46" t="s">
        <v>959</v>
      </c>
      <c r="K1171" s="12"/>
      <c r="L1171" s="291">
        <v>48.8</v>
      </c>
      <c r="M1171" s="292">
        <v>9</v>
      </c>
      <c r="N1171" s="293">
        <v>100</v>
      </c>
      <c r="O1171" s="219"/>
      <c r="P1171" s="219" t="s">
        <v>39</v>
      </c>
      <c r="Q1171" s="12"/>
      <c r="R1171" s="192" t="str">
        <f t="shared" si="32"/>
        <v>100grams</v>
      </c>
      <c r="S1171" s="198">
        <f t="shared" si="33"/>
        <v>900</v>
      </c>
      <c r="T1171" s="199" t="str">
        <f t="shared" si="34"/>
        <v>900grams</v>
      </c>
      <c r="U1171" s="200">
        <f t="shared" si="35"/>
        <v>439.2</v>
      </c>
      <c r="V1171" s="12"/>
      <c r="W1171" s="12"/>
    </row>
    <row r="1172" spans="1:23" x14ac:dyDescent="0.3">
      <c r="A1172" s="193" t="e">
        <f ca="1"/>
        <v>#NAME?</v>
      </c>
      <c r="B1172" s="46" t="s">
        <v>745</v>
      </c>
      <c r="C1172" s="315"/>
      <c r="D1172" s="316"/>
      <c r="E1172" s="315"/>
      <c r="F1172" s="315"/>
      <c r="G1172" s="315"/>
      <c r="H1172" s="153"/>
      <c r="I1172" s="12"/>
      <c r="J1172" s="170"/>
      <c r="K1172" s="12"/>
      <c r="L1172" s="288">
        <v>125</v>
      </c>
      <c r="M1172" s="289">
        <v>1</v>
      </c>
      <c r="N1172" s="290">
        <v>1</v>
      </c>
      <c r="O1172" s="46"/>
      <c r="P1172" s="46" t="s">
        <v>213</v>
      </c>
      <c r="Q1172" s="12"/>
      <c r="R1172" s="192" t="str">
        <f t="shared" si="32"/>
        <v>1kilos</v>
      </c>
      <c r="S1172" s="198">
        <f t="shared" si="33"/>
        <v>1</v>
      </c>
      <c r="T1172" s="199" t="str">
        <f t="shared" si="34"/>
        <v>1kilos</v>
      </c>
      <c r="U1172" s="200">
        <f t="shared" si="35"/>
        <v>125</v>
      </c>
      <c r="V1172" s="12"/>
      <c r="W1172" s="12"/>
    </row>
    <row r="1173" spans="1:23" x14ac:dyDescent="0.3">
      <c r="A1173" s="193" t="e">
        <f ca="1"/>
        <v>#NAME?</v>
      </c>
      <c r="B1173" s="46" t="s">
        <v>1583</v>
      </c>
      <c r="C1173" s="315"/>
      <c r="D1173" s="316"/>
      <c r="E1173" s="315"/>
      <c r="F1173" s="315"/>
      <c r="G1173" s="315"/>
      <c r="H1173" s="153"/>
      <c r="I1173" s="12"/>
      <c r="J1173" s="46" t="s">
        <v>1584</v>
      </c>
      <c r="K1173" s="12"/>
      <c r="L1173" s="288">
        <v>25.8</v>
      </c>
      <c r="M1173" s="289">
        <v>8</v>
      </c>
      <c r="N1173" s="290">
        <v>1</v>
      </c>
      <c r="O1173" s="46"/>
      <c r="P1173" s="46" t="s">
        <v>92</v>
      </c>
      <c r="Q1173" s="12"/>
      <c r="R1173" s="192" t="str">
        <f t="shared" si="32"/>
        <v>1pieces</v>
      </c>
      <c r="S1173" s="198">
        <f t="shared" si="33"/>
        <v>8</v>
      </c>
      <c r="T1173" s="199" t="str">
        <f t="shared" si="34"/>
        <v>8pieces</v>
      </c>
      <c r="U1173" s="200">
        <f t="shared" si="35"/>
        <v>206.4</v>
      </c>
      <c r="V1173" s="12"/>
      <c r="W1173" s="12"/>
    </row>
    <row r="1174" spans="1:23" x14ac:dyDescent="0.3">
      <c r="A1174" s="193" t="e">
        <f ca="1"/>
        <v>#NAME?</v>
      </c>
      <c r="B1174" s="46" t="s">
        <v>315</v>
      </c>
      <c r="C1174" s="315"/>
      <c r="D1174" s="316"/>
      <c r="E1174" s="315"/>
      <c r="F1174" s="315"/>
      <c r="G1174" s="315"/>
      <c r="H1174" s="153"/>
      <c r="I1174" s="12"/>
      <c r="J1174" s="170"/>
      <c r="K1174" s="12"/>
      <c r="L1174" s="288">
        <v>56.4</v>
      </c>
      <c r="M1174" s="289">
        <v>1</v>
      </c>
      <c r="N1174" s="290">
        <v>430</v>
      </c>
      <c r="O1174" s="46"/>
      <c r="P1174" s="46" t="s">
        <v>32</v>
      </c>
      <c r="Q1174" s="12"/>
      <c r="R1174" s="192" t="str">
        <f t="shared" si="32"/>
        <v>430ml</v>
      </c>
      <c r="S1174" s="198">
        <f t="shared" si="33"/>
        <v>430</v>
      </c>
      <c r="T1174" s="199" t="str">
        <f t="shared" si="34"/>
        <v>430ml</v>
      </c>
      <c r="U1174" s="200">
        <f t="shared" si="35"/>
        <v>56.4</v>
      </c>
      <c r="V1174" s="12"/>
      <c r="W1174" s="12"/>
    </row>
    <row r="1175" spans="1:23" x14ac:dyDescent="0.3">
      <c r="A1175" s="193" t="e">
        <f ca="1"/>
        <v>#NAME?</v>
      </c>
      <c r="B1175" s="219" t="s">
        <v>315</v>
      </c>
      <c r="C1175" s="315"/>
      <c r="D1175" s="316"/>
      <c r="E1175" s="315"/>
      <c r="F1175" s="315"/>
      <c r="G1175" s="315"/>
      <c r="H1175" s="153"/>
      <c r="I1175" s="12"/>
      <c r="J1175" s="215"/>
      <c r="K1175" s="12"/>
      <c r="L1175" s="291">
        <v>55.55</v>
      </c>
      <c r="M1175" s="292">
        <v>2</v>
      </c>
      <c r="N1175" s="293">
        <v>490</v>
      </c>
      <c r="O1175" s="219"/>
      <c r="P1175" s="219" t="s">
        <v>32</v>
      </c>
      <c r="Q1175" s="12"/>
      <c r="R1175" s="192" t="str">
        <f t="shared" si="32"/>
        <v>490ml</v>
      </c>
      <c r="S1175" s="198">
        <f t="shared" si="33"/>
        <v>980</v>
      </c>
      <c r="T1175" s="199" t="str">
        <f t="shared" si="34"/>
        <v>980ml</v>
      </c>
      <c r="U1175" s="200">
        <f t="shared" si="35"/>
        <v>111.1</v>
      </c>
      <c r="V1175" s="12"/>
      <c r="W1175" s="12"/>
    </row>
    <row r="1176" spans="1:23" x14ac:dyDescent="0.3">
      <c r="A1176" s="193" t="e">
        <f ca="1"/>
        <v>#NAME?</v>
      </c>
      <c r="B1176" s="219" t="s">
        <v>748</v>
      </c>
      <c r="C1176" s="315"/>
      <c r="D1176" s="316"/>
      <c r="E1176" s="315"/>
      <c r="F1176" s="315"/>
      <c r="G1176" s="315"/>
      <c r="H1176" s="153"/>
      <c r="I1176" s="12"/>
      <c r="J1176" s="219" t="s">
        <v>881</v>
      </c>
      <c r="K1176" s="12"/>
      <c r="L1176" s="291">
        <v>139</v>
      </c>
      <c r="M1176" s="292">
        <v>1</v>
      </c>
      <c r="N1176" s="293">
        <v>185</v>
      </c>
      <c r="O1176" s="219"/>
      <c r="P1176" s="219" t="s">
        <v>39</v>
      </c>
      <c r="Q1176" s="12"/>
      <c r="R1176" s="192" t="str">
        <f t="shared" si="32"/>
        <v>185grams</v>
      </c>
      <c r="S1176" s="198">
        <f t="shared" si="33"/>
        <v>185</v>
      </c>
      <c r="T1176" s="199" t="str">
        <f t="shared" si="34"/>
        <v>185grams</v>
      </c>
      <c r="U1176" s="200">
        <f t="shared" si="35"/>
        <v>139</v>
      </c>
      <c r="V1176" s="12"/>
      <c r="W1176" s="12"/>
    </row>
    <row r="1177" spans="1:23" x14ac:dyDescent="0.3">
      <c r="A1177" s="193" t="e">
        <f ca="1"/>
        <v>#NAME?</v>
      </c>
      <c r="B1177" s="219" t="s">
        <v>1585</v>
      </c>
      <c r="C1177" s="315"/>
      <c r="D1177" s="316"/>
      <c r="E1177" s="315"/>
      <c r="F1177" s="315"/>
      <c r="G1177" s="315"/>
      <c r="H1177" s="153"/>
      <c r="I1177" s="12"/>
      <c r="J1177" s="46" t="s">
        <v>1586</v>
      </c>
      <c r="K1177" s="12"/>
      <c r="L1177" s="288">
        <v>1700</v>
      </c>
      <c r="M1177" s="289">
        <v>1</v>
      </c>
      <c r="N1177" s="290">
        <v>5</v>
      </c>
      <c r="O1177" s="46"/>
      <c r="P1177" s="46" t="s">
        <v>213</v>
      </c>
      <c r="Q1177" s="12"/>
      <c r="R1177" s="192" t="str">
        <f t="shared" si="32"/>
        <v>5kilos</v>
      </c>
      <c r="S1177" s="198">
        <f t="shared" si="33"/>
        <v>5</v>
      </c>
      <c r="T1177" s="199" t="str">
        <f t="shared" si="34"/>
        <v>5kilos</v>
      </c>
      <c r="U1177" s="200">
        <f t="shared" si="35"/>
        <v>1700</v>
      </c>
      <c r="V1177" s="12"/>
      <c r="W1177" s="12"/>
    </row>
    <row r="1178" spans="1:23" x14ac:dyDescent="0.3">
      <c r="A1178" s="193" t="e">
        <f ca="1"/>
        <v>#NAME?</v>
      </c>
      <c r="B1178" s="46" t="s">
        <v>1587</v>
      </c>
      <c r="C1178" s="315"/>
      <c r="D1178" s="316"/>
      <c r="E1178" s="315"/>
      <c r="F1178" s="315"/>
      <c r="G1178" s="315"/>
      <c r="H1178" s="153"/>
      <c r="I1178" s="12"/>
      <c r="J1178" s="46" t="s">
        <v>1588</v>
      </c>
      <c r="K1178" s="12"/>
      <c r="L1178" s="288">
        <v>343</v>
      </c>
      <c r="M1178" s="289">
        <v>1</v>
      </c>
      <c r="N1178" s="290">
        <v>750</v>
      </c>
      <c r="O1178" s="46"/>
      <c r="P1178" s="46" t="s">
        <v>32</v>
      </c>
      <c r="Q1178" s="12"/>
      <c r="R1178" s="192" t="str">
        <f t="shared" si="32"/>
        <v>750ml</v>
      </c>
      <c r="S1178" s="198">
        <f t="shared" si="33"/>
        <v>750</v>
      </c>
      <c r="T1178" s="199" t="str">
        <f t="shared" si="34"/>
        <v>750ml</v>
      </c>
      <c r="U1178" s="200">
        <f t="shared" si="35"/>
        <v>343</v>
      </c>
      <c r="V1178" s="12"/>
      <c r="W1178" s="12"/>
    </row>
    <row r="1179" spans="1:23" x14ac:dyDescent="0.3">
      <c r="A1179" s="193" t="e">
        <f ca="1"/>
        <v>#NAME?</v>
      </c>
      <c r="B1179" s="219" t="s">
        <v>1587</v>
      </c>
      <c r="C1179" s="315"/>
      <c r="D1179" s="316"/>
      <c r="E1179" s="315"/>
      <c r="F1179" s="315"/>
      <c r="G1179" s="315"/>
      <c r="H1179" s="153"/>
      <c r="I1179" s="12"/>
      <c r="J1179" s="219" t="s">
        <v>1588</v>
      </c>
      <c r="K1179" s="12"/>
      <c r="L1179" s="291">
        <v>301.5</v>
      </c>
      <c r="M1179" s="292">
        <v>1</v>
      </c>
      <c r="N1179" s="293">
        <v>1</v>
      </c>
      <c r="O1179" s="219"/>
      <c r="P1179" s="219" t="s">
        <v>773</v>
      </c>
      <c r="Q1179" s="12"/>
      <c r="R1179" s="192" t="str">
        <f t="shared" si="32"/>
        <v>1liters</v>
      </c>
      <c r="S1179" s="198">
        <f t="shared" si="33"/>
        <v>1</v>
      </c>
      <c r="T1179" s="199" t="str">
        <f t="shared" si="34"/>
        <v>1liters</v>
      </c>
      <c r="U1179" s="200">
        <f t="shared" si="35"/>
        <v>301.5</v>
      </c>
      <c r="V1179" s="12"/>
      <c r="W1179" s="12"/>
    </row>
    <row r="1180" spans="1:23" x14ac:dyDescent="0.3">
      <c r="A1180" s="193" t="e">
        <f ca="1"/>
        <v>#NAME?</v>
      </c>
      <c r="B1180" s="46" t="s">
        <v>750</v>
      </c>
      <c r="C1180" s="315"/>
      <c r="D1180" s="316"/>
      <c r="E1180" s="315"/>
      <c r="F1180" s="315"/>
      <c r="G1180" s="315"/>
      <c r="H1180" s="153"/>
      <c r="I1180" s="12"/>
      <c r="J1180" s="46" t="s">
        <v>1589</v>
      </c>
      <c r="K1180" s="12"/>
      <c r="L1180" s="288">
        <v>48</v>
      </c>
      <c r="M1180" s="289">
        <v>150</v>
      </c>
      <c r="N1180" s="290">
        <v>1</v>
      </c>
      <c r="O1180" s="46"/>
      <c r="P1180" s="46" t="s">
        <v>213</v>
      </c>
      <c r="Q1180" s="12"/>
      <c r="R1180" s="192" t="str">
        <f t="shared" si="32"/>
        <v>1kilos</v>
      </c>
      <c r="S1180" s="198">
        <f t="shared" si="33"/>
        <v>150</v>
      </c>
      <c r="T1180" s="199" t="str">
        <f t="shared" si="34"/>
        <v>150kilos</v>
      </c>
      <c r="U1180" s="200">
        <f t="shared" si="35"/>
        <v>7200</v>
      </c>
      <c r="V1180" s="12"/>
      <c r="W1180" s="12"/>
    </row>
    <row r="1181" spans="1:23" x14ac:dyDescent="0.3">
      <c r="A1181" s="193" t="e">
        <f ca="1"/>
        <v>#NAME?</v>
      </c>
      <c r="B1181" s="46" t="s">
        <v>750</v>
      </c>
      <c r="C1181" s="315"/>
      <c r="D1181" s="316"/>
      <c r="E1181" s="315"/>
      <c r="F1181" s="315"/>
      <c r="G1181" s="315"/>
      <c r="H1181" s="153"/>
      <c r="I1181" s="12"/>
      <c r="J1181" s="46" t="s">
        <v>1590</v>
      </c>
      <c r="K1181" s="12"/>
      <c r="L1181" s="288">
        <v>1050</v>
      </c>
      <c r="M1181" s="289">
        <v>16</v>
      </c>
      <c r="N1181" s="290">
        <v>1</v>
      </c>
      <c r="O1181" s="46"/>
      <c r="P1181" s="46" t="s">
        <v>1591</v>
      </c>
      <c r="Q1181" s="12"/>
      <c r="R1181" s="192" t="str">
        <f t="shared" si="32"/>
        <v>1sacks</v>
      </c>
      <c r="S1181" s="198">
        <f t="shared" si="33"/>
        <v>16</v>
      </c>
      <c r="T1181" s="199" t="str">
        <f t="shared" si="34"/>
        <v>16sacks</v>
      </c>
      <c r="U1181" s="200">
        <f t="shared" si="35"/>
        <v>16800</v>
      </c>
      <c r="V1181" s="12"/>
      <c r="W1181" s="12"/>
    </row>
    <row r="1182" spans="1:23" x14ac:dyDescent="0.3">
      <c r="A1182" s="193" t="e">
        <f ca="1"/>
        <v>#NAME?</v>
      </c>
      <c r="B1182" s="46" t="s">
        <v>750</v>
      </c>
      <c r="C1182" s="315"/>
      <c r="D1182" s="316"/>
      <c r="E1182" s="315"/>
      <c r="F1182" s="315"/>
      <c r="G1182" s="315"/>
      <c r="H1182" s="153"/>
      <c r="I1182" s="12"/>
      <c r="J1182" s="46" t="s">
        <v>1592</v>
      </c>
      <c r="K1182" s="12"/>
      <c r="L1182" s="288">
        <v>1200</v>
      </c>
      <c r="M1182" s="289">
        <v>6</v>
      </c>
      <c r="N1182" s="290">
        <v>25</v>
      </c>
      <c r="O1182" s="46"/>
      <c r="P1182" s="46" t="s">
        <v>213</v>
      </c>
      <c r="Q1182" s="12"/>
      <c r="R1182" s="192" t="str">
        <f t="shared" si="32"/>
        <v>25kilos</v>
      </c>
      <c r="S1182" s="198">
        <f t="shared" si="33"/>
        <v>150</v>
      </c>
      <c r="T1182" s="199" t="str">
        <f t="shared" si="34"/>
        <v>150kilos</v>
      </c>
      <c r="U1182" s="200">
        <f t="shared" si="35"/>
        <v>7200</v>
      </c>
      <c r="V1182" s="12"/>
      <c r="W1182" s="12"/>
    </row>
    <row r="1183" spans="1:23" x14ac:dyDescent="0.3">
      <c r="A1183" s="193" t="e">
        <f ca="1"/>
        <v>#NAME?</v>
      </c>
      <c r="B1183" s="46" t="s">
        <v>750</v>
      </c>
      <c r="C1183" s="315"/>
      <c r="D1183" s="316"/>
      <c r="E1183" s="315"/>
      <c r="F1183" s="315"/>
      <c r="G1183" s="315"/>
      <c r="H1183" s="153"/>
      <c r="I1183" s="12"/>
      <c r="J1183" s="46" t="s">
        <v>1593</v>
      </c>
      <c r="K1183" s="12"/>
      <c r="L1183" s="288">
        <v>43.6</v>
      </c>
      <c r="M1183" s="289">
        <v>88</v>
      </c>
      <c r="N1183" s="290">
        <v>25</v>
      </c>
      <c r="O1183" s="46"/>
      <c r="P1183" s="46" t="s">
        <v>213</v>
      </c>
      <c r="Q1183" s="12"/>
      <c r="R1183" s="192" t="str">
        <f t="shared" si="32"/>
        <v>25kilos</v>
      </c>
      <c r="S1183" s="198">
        <f t="shared" si="33"/>
        <v>2200</v>
      </c>
      <c r="T1183" s="199" t="str">
        <f t="shared" si="34"/>
        <v>2200kilos</v>
      </c>
      <c r="U1183" s="200">
        <f t="shared" si="35"/>
        <v>3836.8</v>
      </c>
      <c r="V1183" s="12"/>
      <c r="W1183" s="12"/>
    </row>
    <row r="1184" spans="1:23" x14ac:dyDescent="0.3">
      <c r="A1184" s="193" t="e">
        <f ca="1"/>
        <v>#NAME?</v>
      </c>
      <c r="B1184" s="46" t="s">
        <v>750</v>
      </c>
      <c r="C1184" s="315"/>
      <c r="D1184" s="316"/>
      <c r="E1184" s="315"/>
      <c r="F1184" s="315"/>
      <c r="G1184" s="315"/>
      <c r="H1184" s="153"/>
      <c r="I1184" s="12"/>
      <c r="J1184" s="46" t="s">
        <v>867</v>
      </c>
      <c r="K1184" s="12"/>
      <c r="L1184" s="288">
        <v>48</v>
      </c>
      <c r="M1184" s="289">
        <v>150</v>
      </c>
      <c r="N1184" s="290">
        <v>1</v>
      </c>
      <c r="O1184" s="46"/>
      <c r="P1184" s="46" t="s">
        <v>213</v>
      </c>
      <c r="Q1184" s="12"/>
      <c r="R1184" s="192" t="str">
        <f t="shared" si="32"/>
        <v>1kilos</v>
      </c>
      <c r="S1184" s="198">
        <f t="shared" si="33"/>
        <v>150</v>
      </c>
      <c r="T1184" s="199" t="str">
        <f t="shared" si="34"/>
        <v>150kilos</v>
      </c>
      <c r="U1184" s="200">
        <f t="shared" si="35"/>
        <v>7200</v>
      </c>
      <c r="V1184" s="12"/>
      <c r="W1184" s="12"/>
    </row>
    <row r="1185" spans="1:23" x14ac:dyDescent="0.3">
      <c r="A1185" s="193" t="e">
        <f ca="1"/>
        <v>#NAME?</v>
      </c>
      <c r="B1185" s="219" t="s">
        <v>750</v>
      </c>
      <c r="C1185" s="315"/>
      <c r="D1185" s="316"/>
      <c r="E1185" s="315"/>
      <c r="F1185" s="315"/>
      <c r="G1185" s="315"/>
      <c r="H1185" s="153"/>
      <c r="I1185" s="12"/>
      <c r="J1185" s="219" t="s">
        <v>1594</v>
      </c>
      <c r="K1185" s="12"/>
      <c r="L1185" s="291">
        <v>2600</v>
      </c>
      <c r="M1185" s="292">
        <v>10</v>
      </c>
      <c r="N1185" s="293">
        <v>50</v>
      </c>
      <c r="O1185" s="219"/>
      <c r="P1185" s="219" t="s">
        <v>213</v>
      </c>
      <c r="Q1185" s="12"/>
      <c r="R1185" s="192" t="str">
        <f t="shared" si="32"/>
        <v>50kilos</v>
      </c>
      <c r="S1185" s="198">
        <f t="shared" si="33"/>
        <v>500</v>
      </c>
      <c r="T1185" s="199" t="str">
        <f t="shared" si="34"/>
        <v>500kilos</v>
      </c>
      <c r="U1185" s="200">
        <f t="shared" si="35"/>
        <v>26000</v>
      </c>
      <c r="V1185" s="12"/>
      <c r="W1185" s="12"/>
    </row>
    <row r="1186" spans="1:23" x14ac:dyDescent="0.3">
      <c r="A1186" s="193" t="e">
        <f ca="1"/>
        <v>#NAME?</v>
      </c>
      <c r="B1186" s="219" t="s">
        <v>750</v>
      </c>
      <c r="C1186" s="315"/>
      <c r="D1186" s="316"/>
      <c r="E1186" s="315"/>
      <c r="F1186" s="315"/>
      <c r="G1186" s="315"/>
      <c r="H1186" s="153"/>
      <c r="I1186" s="12"/>
      <c r="J1186" s="46" t="s">
        <v>1595</v>
      </c>
      <c r="K1186" s="12"/>
      <c r="L1186" s="288">
        <v>3000</v>
      </c>
      <c r="M1186" s="289">
        <v>10</v>
      </c>
      <c r="N1186" s="290">
        <v>50</v>
      </c>
      <c r="O1186" s="46"/>
      <c r="P1186" s="46" t="s">
        <v>213</v>
      </c>
      <c r="Q1186" s="12"/>
      <c r="R1186" s="192" t="str">
        <f t="shared" si="32"/>
        <v>50kilos</v>
      </c>
      <c r="S1186" s="198">
        <f t="shared" si="33"/>
        <v>500</v>
      </c>
      <c r="T1186" s="199" t="str">
        <f t="shared" si="34"/>
        <v>500kilos</v>
      </c>
      <c r="U1186" s="200">
        <f t="shared" si="35"/>
        <v>30000</v>
      </c>
      <c r="V1186" s="12"/>
      <c r="W1186" s="12"/>
    </row>
    <row r="1187" spans="1:23" x14ac:dyDescent="0.3">
      <c r="A1187" s="193" t="e">
        <f ca="1"/>
        <v>#NAME?</v>
      </c>
      <c r="B1187" s="219" t="s">
        <v>750</v>
      </c>
      <c r="C1187" s="315"/>
      <c r="D1187" s="316"/>
      <c r="E1187" s="315"/>
      <c r="F1187" s="315"/>
      <c r="G1187" s="315"/>
      <c r="H1187" s="153"/>
      <c r="I1187" s="12"/>
      <c r="J1187" s="46" t="s">
        <v>1596</v>
      </c>
      <c r="K1187" s="12"/>
      <c r="L1187" s="288">
        <v>1275</v>
      </c>
      <c r="M1187" s="289">
        <v>35</v>
      </c>
      <c r="N1187" s="290">
        <v>25</v>
      </c>
      <c r="O1187" s="46"/>
      <c r="P1187" s="46" t="s">
        <v>213</v>
      </c>
      <c r="Q1187" s="12"/>
      <c r="R1187" s="192" t="str">
        <f t="shared" si="32"/>
        <v>25kilos</v>
      </c>
      <c r="S1187" s="198">
        <f t="shared" si="33"/>
        <v>875</v>
      </c>
      <c r="T1187" s="199" t="str">
        <f t="shared" si="34"/>
        <v>875kilos</v>
      </c>
      <c r="U1187" s="200">
        <f t="shared" si="35"/>
        <v>44625</v>
      </c>
      <c r="V1187" s="12"/>
      <c r="W1187" s="12"/>
    </row>
    <row r="1188" spans="1:23" x14ac:dyDescent="0.3">
      <c r="A1188" s="193" t="e">
        <f ca="1"/>
        <v>#NAME?</v>
      </c>
      <c r="B1188" s="219" t="s">
        <v>1597</v>
      </c>
      <c r="C1188" s="315"/>
      <c r="D1188" s="316"/>
      <c r="E1188" s="315"/>
      <c r="F1188" s="315"/>
      <c r="G1188" s="315"/>
      <c r="H1188" s="153"/>
      <c r="I1188" s="12"/>
      <c r="J1188" s="219" t="s">
        <v>1598</v>
      </c>
      <c r="K1188" s="12"/>
      <c r="L1188" s="291">
        <v>365</v>
      </c>
      <c r="M1188" s="292">
        <v>3</v>
      </c>
      <c r="N1188" s="293">
        <v>355</v>
      </c>
      <c r="O1188" s="219"/>
      <c r="P1188" s="219" t="s">
        <v>32</v>
      </c>
      <c r="Q1188" s="12"/>
      <c r="R1188" s="192" t="str">
        <f t="shared" si="32"/>
        <v>355ml</v>
      </c>
      <c r="S1188" s="198">
        <f t="shared" si="33"/>
        <v>1065</v>
      </c>
      <c r="T1188" s="199" t="str">
        <f t="shared" si="34"/>
        <v>1065ml</v>
      </c>
      <c r="U1188" s="200">
        <f t="shared" si="35"/>
        <v>1095</v>
      </c>
      <c r="V1188" s="12"/>
      <c r="W1188" s="12"/>
    </row>
    <row r="1189" spans="1:23" x14ac:dyDescent="0.3">
      <c r="A1189" s="193" t="e">
        <f ca="1"/>
        <v>#NAME?</v>
      </c>
      <c r="B1189" s="46" t="s">
        <v>1599</v>
      </c>
      <c r="C1189" s="315"/>
      <c r="D1189" s="316"/>
      <c r="E1189" s="315"/>
      <c r="F1189" s="315"/>
      <c r="G1189" s="315"/>
      <c r="H1189" s="153"/>
      <c r="I1189" s="12"/>
      <c r="J1189" s="46" t="s">
        <v>991</v>
      </c>
      <c r="K1189" s="12"/>
      <c r="L1189" s="288">
        <v>420</v>
      </c>
      <c r="M1189" s="289">
        <v>1</v>
      </c>
      <c r="N1189" s="290">
        <v>1</v>
      </c>
      <c r="O1189" s="46"/>
      <c r="P1189" s="46" t="s">
        <v>1331</v>
      </c>
      <c r="Q1189" s="12"/>
      <c r="R1189" s="192" t="str">
        <f t="shared" si="32"/>
        <v>1bundle</v>
      </c>
      <c r="S1189" s="198">
        <f t="shared" si="33"/>
        <v>1</v>
      </c>
      <c r="T1189" s="199" t="str">
        <f t="shared" si="34"/>
        <v>1bundle</v>
      </c>
      <c r="U1189" s="200">
        <f t="shared" si="35"/>
        <v>420</v>
      </c>
      <c r="V1189" s="12"/>
      <c r="W1189" s="12"/>
    </row>
    <row r="1190" spans="1:23" x14ac:dyDescent="0.3">
      <c r="A1190" s="193" t="e">
        <f ca="1"/>
        <v>#NAME?</v>
      </c>
      <c r="B1190" s="46" t="s">
        <v>1600</v>
      </c>
      <c r="C1190" s="315"/>
      <c r="D1190" s="316"/>
      <c r="E1190" s="315"/>
      <c r="F1190" s="315"/>
      <c r="G1190" s="315"/>
      <c r="H1190" s="153"/>
      <c r="I1190" s="12"/>
      <c r="J1190" s="46" t="s">
        <v>1601</v>
      </c>
      <c r="K1190" s="12"/>
      <c r="L1190" s="288">
        <v>550</v>
      </c>
      <c r="M1190" s="289">
        <v>2</v>
      </c>
      <c r="N1190" s="290">
        <v>1</v>
      </c>
      <c r="O1190" s="46"/>
      <c r="P1190" s="46" t="s">
        <v>1331</v>
      </c>
      <c r="Q1190" s="12"/>
      <c r="R1190" s="192" t="str">
        <f t="shared" si="32"/>
        <v>1bundle</v>
      </c>
      <c r="S1190" s="198">
        <f t="shared" si="33"/>
        <v>2</v>
      </c>
      <c r="T1190" s="199" t="str">
        <f t="shared" si="34"/>
        <v>2bundle</v>
      </c>
      <c r="U1190" s="200">
        <f t="shared" si="35"/>
        <v>1100</v>
      </c>
      <c r="V1190" s="12"/>
      <c r="W1190" s="12"/>
    </row>
    <row r="1191" spans="1:23" x14ac:dyDescent="0.3">
      <c r="A1191" s="193" t="e">
        <f ca="1"/>
        <v>#NAME?</v>
      </c>
      <c r="B1191" s="219" t="s">
        <v>1602</v>
      </c>
      <c r="C1191" s="315"/>
      <c r="D1191" s="316"/>
      <c r="E1191" s="315"/>
      <c r="F1191" s="315"/>
      <c r="G1191" s="315"/>
      <c r="H1191" s="153"/>
      <c r="I1191" s="12"/>
      <c r="J1191" s="215"/>
      <c r="K1191" s="12"/>
      <c r="L1191" s="291">
        <v>70.5</v>
      </c>
      <c r="M1191" s="292">
        <v>1</v>
      </c>
      <c r="N1191" s="293">
        <v>500</v>
      </c>
      <c r="O1191" s="219"/>
      <c r="P1191" s="219" t="s">
        <v>39</v>
      </c>
      <c r="Q1191" s="12"/>
      <c r="R1191" s="192" t="str">
        <f t="shared" si="32"/>
        <v>500grams</v>
      </c>
      <c r="S1191" s="198">
        <f t="shared" si="33"/>
        <v>500</v>
      </c>
      <c r="T1191" s="199" t="str">
        <f t="shared" si="34"/>
        <v>500grams</v>
      </c>
      <c r="U1191" s="200">
        <f t="shared" si="35"/>
        <v>70.5</v>
      </c>
      <c r="V1191" s="12"/>
      <c r="W1191" s="12"/>
    </row>
    <row r="1192" spans="1:23" x14ac:dyDescent="0.3">
      <c r="A1192" s="193" t="e">
        <f ca="1"/>
        <v>#NAME?</v>
      </c>
      <c r="B1192" s="219" t="s">
        <v>1603</v>
      </c>
      <c r="C1192" s="315"/>
      <c r="D1192" s="316"/>
      <c r="E1192" s="315"/>
      <c r="F1192" s="315"/>
      <c r="G1192" s="315"/>
      <c r="H1192" s="153"/>
      <c r="I1192" s="12"/>
      <c r="J1192" s="219" t="s">
        <v>1604</v>
      </c>
      <c r="K1192" s="12"/>
      <c r="L1192" s="295">
        <v>28.56</v>
      </c>
      <c r="M1192" s="292">
        <v>3</v>
      </c>
      <c r="N1192" s="293">
        <v>250</v>
      </c>
      <c r="O1192" s="219"/>
      <c r="P1192" s="219" t="s">
        <v>32</v>
      </c>
      <c r="Q1192" s="12"/>
      <c r="R1192" s="192" t="str">
        <f t="shared" si="32"/>
        <v>250ml</v>
      </c>
      <c r="S1192" s="198">
        <f t="shared" si="33"/>
        <v>750</v>
      </c>
      <c r="T1192" s="199" t="str">
        <f t="shared" si="34"/>
        <v>750ml</v>
      </c>
      <c r="U1192" s="200">
        <f t="shared" si="35"/>
        <v>85.679999999999993</v>
      </c>
      <c r="V1192" s="12"/>
      <c r="W1192" s="12"/>
    </row>
    <row r="1193" spans="1:23" x14ac:dyDescent="0.3">
      <c r="A1193" s="193" t="e">
        <f ca="1"/>
        <v>#NAME?</v>
      </c>
      <c r="B1193" s="46" t="s">
        <v>1605</v>
      </c>
      <c r="C1193" s="315"/>
      <c r="D1193" s="316"/>
      <c r="E1193" s="315"/>
      <c r="F1193" s="315"/>
      <c r="G1193" s="315"/>
      <c r="H1193" s="153"/>
      <c r="I1193" s="12"/>
      <c r="J1193" s="46" t="s">
        <v>1606</v>
      </c>
      <c r="K1193" s="12"/>
      <c r="L1193" s="288">
        <v>12.49</v>
      </c>
      <c r="M1193" s="289">
        <v>16</v>
      </c>
      <c r="N1193" s="290">
        <v>230</v>
      </c>
      <c r="O1193" s="46"/>
      <c r="P1193" s="46" t="s">
        <v>32</v>
      </c>
      <c r="Q1193" s="12"/>
      <c r="R1193" s="192" t="str">
        <f t="shared" si="32"/>
        <v>230ml</v>
      </c>
      <c r="S1193" s="198">
        <f t="shared" si="33"/>
        <v>3680</v>
      </c>
      <c r="T1193" s="199" t="str">
        <f t="shared" si="34"/>
        <v>3680ml</v>
      </c>
      <c r="U1193" s="200">
        <f t="shared" si="35"/>
        <v>199.84</v>
      </c>
      <c r="V1193" s="12"/>
      <c r="W1193" s="12"/>
    </row>
    <row r="1194" spans="1:23" x14ac:dyDescent="0.3">
      <c r="A1194" s="193" t="e">
        <f ca="1"/>
        <v>#NAME?</v>
      </c>
      <c r="B1194" s="46" t="s">
        <v>1605</v>
      </c>
      <c r="C1194" s="315"/>
      <c r="D1194" s="316"/>
      <c r="E1194" s="315"/>
      <c r="F1194" s="315"/>
      <c r="G1194" s="315"/>
      <c r="H1194" s="153"/>
      <c r="I1194" s="12"/>
      <c r="J1194" s="46" t="s">
        <v>1607</v>
      </c>
      <c r="K1194" s="12"/>
      <c r="L1194" s="288">
        <v>12.49</v>
      </c>
      <c r="M1194" s="289">
        <v>65</v>
      </c>
      <c r="N1194" s="290">
        <v>230</v>
      </c>
      <c r="O1194" s="46"/>
      <c r="P1194" s="46" t="s">
        <v>32</v>
      </c>
      <c r="Q1194" s="12"/>
      <c r="R1194" s="192" t="str">
        <f t="shared" si="32"/>
        <v>230ml</v>
      </c>
      <c r="S1194" s="198">
        <f t="shared" si="33"/>
        <v>14950</v>
      </c>
      <c r="T1194" s="199" t="str">
        <f t="shared" si="34"/>
        <v>14950ml</v>
      </c>
      <c r="U1194" s="200">
        <f t="shared" si="35"/>
        <v>811.85</v>
      </c>
      <c r="V1194" s="12"/>
      <c r="W1194" s="12"/>
    </row>
    <row r="1195" spans="1:23" x14ac:dyDescent="0.3">
      <c r="A1195" s="193" t="e">
        <f ca="1"/>
        <v>#NAME?</v>
      </c>
      <c r="B1195" s="46" t="s">
        <v>1605</v>
      </c>
      <c r="C1195" s="315"/>
      <c r="D1195" s="316"/>
      <c r="E1195" s="315"/>
      <c r="F1195" s="315"/>
      <c r="G1195" s="315"/>
      <c r="H1195" s="153"/>
      <c r="I1195" s="12"/>
      <c r="J1195" s="46" t="s">
        <v>1608</v>
      </c>
      <c r="K1195" s="12"/>
      <c r="L1195" s="288">
        <v>12.54</v>
      </c>
      <c r="M1195" s="289">
        <v>18</v>
      </c>
      <c r="N1195" s="290">
        <v>230</v>
      </c>
      <c r="O1195" s="46"/>
      <c r="P1195" s="46" t="s">
        <v>32</v>
      </c>
      <c r="Q1195" s="12"/>
      <c r="R1195" s="192" t="str">
        <f t="shared" si="32"/>
        <v>230ml</v>
      </c>
      <c r="S1195" s="198">
        <f t="shared" si="33"/>
        <v>4140</v>
      </c>
      <c r="T1195" s="199" t="str">
        <f t="shared" si="34"/>
        <v>4140ml</v>
      </c>
      <c r="U1195" s="200">
        <f t="shared" si="35"/>
        <v>225.71999999999997</v>
      </c>
      <c r="V1195" s="12"/>
      <c r="W1195" s="12"/>
    </row>
    <row r="1196" spans="1:23" x14ac:dyDescent="0.3">
      <c r="A1196" s="193" t="e">
        <f ca="1"/>
        <v>#NAME?</v>
      </c>
      <c r="B1196" s="219" t="s">
        <v>1609</v>
      </c>
      <c r="C1196" s="315"/>
      <c r="D1196" s="316"/>
      <c r="E1196" s="315"/>
      <c r="F1196" s="315"/>
      <c r="G1196" s="315"/>
      <c r="H1196" s="153"/>
      <c r="I1196" s="12"/>
      <c r="J1196" s="219" t="s">
        <v>1610</v>
      </c>
      <c r="K1196" s="12"/>
      <c r="L1196" s="288">
        <v>14.25</v>
      </c>
      <c r="M1196" s="289">
        <v>44</v>
      </c>
      <c r="N1196" s="290">
        <v>250</v>
      </c>
      <c r="O1196" s="46"/>
      <c r="P1196" s="46" t="s">
        <v>32</v>
      </c>
      <c r="Q1196" s="12"/>
      <c r="R1196" s="192" t="str">
        <f t="shared" si="32"/>
        <v>250ml</v>
      </c>
      <c r="S1196" s="198">
        <f t="shared" si="33"/>
        <v>11000</v>
      </c>
      <c r="T1196" s="199" t="str">
        <f t="shared" si="34"/>
        <v>11000ml</v>
      </c>
      <c r="U1196" s="200">
        <f t="shared" si="35"/>
        <v>627</v>
      </c>
      <c r="V1196" s="12"/>
      <c r="W1196" s="12"/>
    </row>
    <row r="1197" spans="1:23" x14ac:dyDescent="0.3">
      <c r="A1197" s="193" t="e">
        <f ca="1"/>
        <v>#NAME?</v>
      </c>
      <c r="B1197" s="219" t="s">
        <v>1609</v>
      </c>
      <c r="C1197" s="315"/>
      <c r="D1197" s="316"/>
      <c r="E1197" s="315"/>
      <c r="F1197" s="315"/>
      <c r="G1197" s="315"/>
      <c r="H1197" s="153"/>
      <c r="I1197" s="12"/>
      <c r="J1197" s="219" t="s">
        <v>1610</v>
      </c>
      <c r="K1197" s="12"/>
      <c r="L1197" s="288">
        <v>14.33</v>
      </c>
      <c r="M1197" s="289">
        <v>12</v>
      </c>
      <c r="N1197" s="290">
        <v>250</v>
      </c>
      <c r="O1197" s="46"/>
      <c r="P1197" s="46" t="s">
        <v>32</v>
      </c>
      <c r="Q1197" s="12"/>
      <c r="R1197" s="192" t="str">
        <f t="shared" si="32"/>
        <v>250ml</v>
      </c>
      <c r="S1197" s="198">
        <f t="shared" si="33"/>
        <v>3000</v>
      </c>
      <c r="T1197" s="199" t="str">
        <f t="shared" si="34"/>
        <v>3000ml</v>
      </c>
      <c r="U1197" s="200">
        <f t="shared" si="35"/>
        <v>171.96</v>
      </c>
      <c r="V1197" s="12"/>
      <c r="W1197" s="12"/>
    </row>
    <row r="1198" spans="1:23" x14ac:dyDescent="0.3">
      <c r="A1198" s="193" t="e">
        <f ca="1"/>
        <v>#NAME?</v>
      </c>
      <c r="B1198" s="219" t="s">
        <v>1609</v>
      </c>
      <c r="C1198" s="315"/>
      <c r="D1198" s="316"/>
      <c r="E1198" s="315"/>
      <c r="F1198" s="315"/>
      <c r="G1198" s="315"/>
      <c r="H1198" s="153"/>
      <c r="I1198" s="12"/>
      <c r="J1198" s="219" t="s">
        <v>1610</v>
      </c>
      <c r="K1198" s="12"/>
      <c r="L1198" s="291">
        <v>14.33</v>
      </c>
      <c r="M1198" s="292">
        <v>1</v>
      </c>
      <c r="N1198" s="290">
        <v>250</v>
      </c>
      <c r="O1198" s="219"/>
      <c r="P1198" s="219" t="s">
        <v>32</v>
      </c>
      <c r="Q1198" s="12"/>
      <c r="R1198" s="192" t="str">
        <f t="shared" si="32"/>
        <v>250ml</v>
      </c>
      <c r="S1198" s="198">
        <f t="shared" si="33"/>
        <v>250</v>
      </c>
      <c r="T1198" s="199" t="str">
        <f t="shared" si="34"/>
        <v>250ml</v>
      </c>
      <c r="U1198" s="200">
        <f t="shared" si="35"/>
        <v>14.33</v>
      </c>
      <c r="V1198" s="12"/>
      <c r="W1198" s="12"/>
    </row>
    <row r="1199" spans="1:23" x14ac:dyDescent="0.3">
      <c r="A1199" s="193" t="e">
        <f ca="1"/>
        <v>#NAME?</v>
      </c>
      <c r="B1199" s="219" t="s">
        <v>1609</v>
      </c>
      <c r="C1199" s="315"/>
      <c r="D1199" s="316"/>
      <c r="E1199" s="315"/>
      <c r="F1199" s="315"/>
      <c r="G1199" s="315"/>
      <c r="H1199" s="153"/>
      <c r="I1199" s="12"/>
      <c r="J1199" s="219" t="s">
        <v>1611</v>
      </c>
      <c r="K1199" s="12"/>
      <c r="L1199" s="291">
        <v>25.83</v>
      </c>
      <c r="M1199" s="292">
        <v>26</v>
      </c>
      <c r="N1199" s="293">
        <v>240</v>
      </c>
      <c r="O1199" s="219"/>
      <c r="P1199" s="219" t="s">
        <v>32</v>
      </c>
      <c r="Q1199" s="12"/>
      <c r="R1199" s="192" t="str">
        <f t="shared" si="32"/>
        <v>240ml</v>
      </c>
      <c r="S1199" s="198">
        <f t="shared" si="33"/>
        <v>6240</v>
      </c>
      <c r="T1199" s="199" t="str">
        <f t="shared" si="34"/>
        <v>6240ml</v>
      </c>
      <c r="U1199" s="200">
        <f t="shared" si="35"/>
        <v>671.57999999999993</v>
      </c>
      <c r="V1199" s="12"/>
      <c r="W1199" s="12"/>
    </row>
    <row r="1200" spans="1:23" x14ac:dyDescent="0.3">
      <c r="A1200" s="193" t="e">
        <f ca="1"/>
        <v>#NAME?</v>
      </c>
      <c r="B1200" s="219" t="s">
        <v>1609</v>
      </c>
      <c r="C1200" s="315"/>
      <c r="D1200" s="316"/>
      <c r="E1200" s="315"/>
      <c r="F1200" s="315"/>
      <c r="G1200" s="315"/>
      <c r="H1200" s="153"/>
      <c r="I1200" s="12"/>
      <c r="J1200" s="219" t="s">
        <v>1611</v>
      </c>
      <c r="K1200" s="12"/>
      <c r="L1200" s="291">
        <v>10</v>
      </c>
      <c r="M1200" s="292">
        <v>7</v>
      </c>
      <c r="N1200" s="293">
        <v>180</v>
      </c>
      <c r="O1200" s="219"/>
      <c r="P1200" s="219" t="s">
        <v>32</v>
      </c>
      <c r="Q1200" s="12"/>
      <c r="R1200" s="192" t="str">
        <f t="shared" si="32"/>
        <v>180ml</v>
      </c>
      <c r="S1200" s="198">
        <f t="shared" si="33"/>
        <v>1260</v>
      </c>
      <c r="T1200" s="199" t="str">
        <f t="shared" si="34"/>
        <v>1260ml</v>
      </c>
      <c r="U1200" s="200">
        <f t="shared" si="35"/>
        <v>70</v>
      </c>
      <c r="V1200" s="12"/>
      <c r="W1200" s="12"/>
    </row>
    <row r="1201" spans="1:23" x14ac:dyDescent="0.3">
      <c r="A1201" s="193" t="e">
        <f ca="1"/>
        <v>#NAME?</v>
      </c>
      <c r="B1201" s="219" t="s">
        <v>1609</v>
      </c>
      <c r="C1201" s="315"/>
      <c r="D1201" s="316"/>
      <c r="E1201" s="315"/>
      <c r="F1201" s="315"/>
      <c r="G1201" s="315"/>
      <c r="H1201" s="153"/>
      <c r="I1201" s="12"/>
      <c r="J1201" s="219" t="s">
        <v>1612</v>
      </c>
      <c r="K1201" s="12"/>
      <c r="L1201" s="291">
        <v>25.83</v>
      </c>
      <c r="M1201" s="292">
        <v>27</v>
      </c>
      <c r="N1201" s="293">
        <v>240</v>
      </c>
      <c r="O1201" s="219"/>
      <c r="P1201" s="219" t="s">
        <v>32</v>
      </c>
      <c r="Q1201" s="12"/>
      <c r="R1201" s="192" t="str">
        <f t="shared" si="32"/>
        <v>240ml</v>
      </c>
      <c r="S1201" s="198">
        <f t="shared" si="33"/>
        <v>6480</v>
      </c>
      <c r="T1201" s="199" t="str">
        <f t="shared" si="34"/>
        <v>6480ml</v>
      </c>
      <c r="U1201" s="200">
        <f t="shared" si="35"/>
        <v>697.41</v>
      </c>
      <c r="V1201" s="12"/>
      <c r="W1201" s="12"/>
    </row>
    <row r="1202" spans="1:23" x14ac:dyDescent="0.3">
      <c r="A1202" s="193" t="e">
        <f ca="1"/>
        <v>#NAME?</v>
      </c>
      <c r="B1202" s="46" t="s">
        <v>1609</v>
      </c>
      <c r="C1202" s="315"/>
      <c r="D1202" s="316"/>
      <c r="E1202" s="315"/>
      <c r="F1202" s="315"/>
      <c r="G1202" s="315"/>
      <c r="H1202" s="153"/>
      <c r="I1202" s="12"/>
      <c r="J1202" s="46" t="s">
        <v>1613</v>
      </c>
      <c r="K1202" s="12"/>
      <c r="L1202" s="288">
        <v>42.32</v>
      </c>
      <c r="M1202" s="289">
        <v>24</v>
      </c>
      <c r="N1202" s="290">
        <v>320</v>
      </c>
      <c r="O1202" s="46"/>
      <c r="P1202" s="46" t="s">
        <v>32</v>
      </c>
      <c r="Q1202" s="12"/>
      <c r="R1202" s="192" t="str">
        <f t="shared" si="32"/>
        <v>320ml</v>
      </c>
      <c r="S1202" s="198">
        <f t="shared" si="33"/>
        <v>7680</v>
      </c>
      <c r="T1202" s="199" t="str">
        <f t="shared" si="34"/>
        <v>7680ml</v>
      </c>
      <c r="U1202" s="200">
        <f t="shared" si="35"/>
        <v>1015.6800000000001</v>
      </c>
      <c r="V1202" s="12"/>
      <c r="W1202" s="12"/>
    </row>
    <row r="1203" spans="1:23" x14ac:dyDescent="0.3">
      <c r="A1203" s="193" t="e">
        <f ca="1"/>
        <v>#NAME?</v>
      </c>
      <c r="B1203" s="46" t="s">
        <v>1609</v>
      </c>
      <c r="C1203" s="315"/>
      <c r="D1203" s="316"/>
      <c r="E1203" s="315"/>
      <c r="F1203" s="315"/>
      <c r="G1203" s="315"/>
      <c r="H1203" s="153"/>
      <c r="I1203" s="12"/>
      <c r="J1203" s="46" t="s">
        <v>1614</v>
      </c>
      <c r="K1203" s="12"/>
      <c r="L1203" s="288">
        <v>28.02</v>
      </c>
      <c r="M1203" s="289">
        <v>28</v>
      </c>
      <c r="N1203" s="290">
        <v>220</v>
      </c>
      <c r="O1203" s="46"/>
      <c r="P1203" s="46" t="s">
        <v>32</v>
      </c>
      <c r="Q1203" s="12"/>
      <c r="R1203" s="192" t="str">
        <f t="shared" si="32"/>
        <v>220ml</v>
      </c>
      <c r="S1203" s="198">
        <f t="shared" si="33"/>
        <v>6160</v>
      </c>
      <c r="T1203" s="199" t="str">
        <f t="shared" si="34"/>
        <v>6160ml</v>
      </c>
      <c r="U1203" s="200">
        <f t="shared" si="35"/>
        <v>784.56</v>
      </c>
      <c r="V1203" s="12"/>
      <c r="W1203" s="12"/>
    </row>
    <row r="1204" spans="1:23" x14ac:dyDescent="0.3">
      <c r="A1204" s="193" t="e">
        <f ca="1"/>
        <v>#NAME?</v>
      </c>
      <c r="B1204" s="46" t="s">
        <v>1609</v>
      </c>
      <c r="C1204" s="315"/>
      <c r="D1204" s="316"/>
      <c r="E1204" s="315"/>
      <c r="F1204" s="315"/>
      <c r="G1204" s="315"/>
      <c r="H1204" s="153"/>
      <c r="I1204" s="12"/>
      <c r="J1204" s="46" t="s">
        <v>1614</v>
      </c>
      <c r="K1204" s="12"/>
      <c r="L1204" s="288">
        <v>29.43</v>
      </c>
      <c r="M1204" s="289">
        <v>53</v>
      </c>
      <c r="N1204" s="290">
        <v>220</v>
      </c>
      <c r="O1204" s="46"/>
      <c r="P1204" s="46" t="s">
        <v>32</v>
      </c>
      <c r="Q1204" s="12"/>
      <c r="R1204" s="192" t="str">
        <f t="shared" si="32"/>
        <v>220ml</v>
      </c>
      <c r="S1204" s="198">
        <f t="shared" si="33"/>
        <v>11660</v>
      </c>
      <c r="T1204" s="199" t="str">
        <f t="shared" si="34"/>
        <v>11660ml</v>
      </c>
      <c r="U1204" s="200">
        <f t="shared" si="35"/>
        <v>1559.79</v>
      </c>
      <c r="V1204" s="12"/>
      <c r="W1204" s="12"/>
    </row>
    <row r="1205" spans="1:23" x14ac:dyDescent="0.3">
      <c r="A1205" s="193" t="e">
        <f ca="1"/>
        <v>#NAME?</v>
      </c>
      <c r="B1205" s="46" t="s">
        <v>1609</v>
      </c>
      <c r="C1205" s="315"/>
      <c r="D1205" s="316"/>
      <c r="E1205" s="315"/>
      <c r="F1205" s="315"/>
      <c r="G1205" s="315"/>
      <c r="H1205" s="153"/>
      <c r="I1205" s="12"/>
      <c r="J1205" s="46" t="s">
        <v>1614</v>
      </c>
      <c r="K1205" s="12"/>
      <c r="L1205" s="288">
        <v>672.55</v>
      </c>
      <c r="M1205" s="289">
        <v>1</v>
      </c>
      <c r="N1205" s="290">
        <v>24</v>
      </c>
      <c r="O1205" s="46"/>
      <c r="P1205" s="46" t="s">
        <v>1615</v>
      </c>
      <c r="Q1205" s="12"/>
      <c r="R1205" s="192" t="str">
        <f t="shared" si="32"/>
        <v>24cans</v>
      </c>
      <c r="S1205" s="198">
        <f t="shared" si="33"/>
        <v>24</v>
      </c>
      <c r="T1205" s="199" t="str">
        <f t="shared" si="34"/>
        <v>24cans</v>
      </c>
      <c r="U1205" s="200">
        <f t="shared" si="35"/>
        <v>672.55</v>
      </c>
      <c r="V1205" s="12"/>
      <c r="W1205" s="12"/>
    </row>
    <row r="1206" spans="1:23" x14ac:dyDescent="0.3">
      <c r="A1206" s="193" t="e">
        <f ca="1"/>
        <v>#NAME?</v>
      </c>
      <c r="B1206" s="46" t="s">
        <v>1609</v>
      </c>
      <c r="C1206" s="315"/>
      <c r="D1206" s="316"/>
      <c r="E1206" s="315"/>
      <c r="F1206" s="315"/>
      <c r="G1206" s="315"/>
      <c r="H1206" s="153"/>
      <c r="I1206" s="12"/>
      <c r="J1206" s="46" t="s">
        <v>1614</v>
      </c>
      <c r="K1206" s="12"/>
      <c r="L1206" s="288">
        <v>97.2</v>
      </c>
      <c r="M1206" s="289">
        <v>4</v>
      </c>
      <c r="N1206" s="290">
        <v>1</v>
      </c>
      <c r="O1206" s="46"/>
      <c r="P1206" s="46" t="s">
        <v>773</v>
      </c>
      <c r="Q1206" s="12"/>
      <c r="R1206" s="192" t="str">
        <f t="shared" si="32"/>
        <v>1liters</v>
      </c>
      <c r="S1206" s="198">
        <f t="shared" si="33"/>
        <v>4</v>
      </c>
      <c r="T1206" s="199" t="str">
        <f t="shared" si="34"/>
        <v>4liters</v>
      </c>
      <c r="U1206" s="200">
        <f t="shared" si="35"/>
        <v>388.8</v>
      </c>
      <c r="V1206" s="12"/>
      <c r="W1206" s="12"/>
    </row>
    <row r="1207" spans="1:23" x14ac:dyDescent="0.3">
      <c r="A1207" s="193" t="e">
        <f ca="1"/>
        <v>#NAME?</v>
      </c>
      <c r="B1207" s="46" t="s">
        <v>1609</v>
      </c>
      <c r="C1207" s="315"/>
      <c r="D1207" s="316"/>
      <c r="E1207" s="315"/>
      <c r="F1207" s="315"/>
      <c r="G1207" s="315"/>
      <c r="H1207" s="153"/>
      <c r="I1207" s="12"/>
      <c r="J1207" s="46" t="s">
        <v>1614</v>
      </c>
      <c r="K1207" s="12"/>
      <c r="L1207" s="288">
        <v>29.5</v>
      </c>
      <c r="M1207" s="289">
        <v>31</v>
      </c>
      <c r="N1207" s="290">
        <v>220</v>
      </c>
      <c r="O1207" s="46"/>
      <c r="P1207" s="46" t="s">
        <v>32</v>
      </c>
      <c r="Q1207" s="12"/>
      <c r="R1207" s="192" t="str">
        <f t="shared" si="32"/>
        <v>220ml</v>
      </c>
      <c r="S1207" s="198">
        <f t="shared" si="33"/>
        <v>6820</v>
      </c>
      <c r="T1207" s="199" t="str">
        <f t="shared" si="34"/>
        <v>6820ml</v>
      </c>
      <c r="U1207" s="200">
        <f t="shared" si="35"/>
        <v>914.5</v>
      </c>
      <c r="V1207" s="12"/>
      <c r="W1207" s="12"/>
    </row>
    <row r="1208" spans="1:23" x14ac:dyDescent="0.3">
      <c r="A1208" s="193" t="e">
        <f ca="1"/>
        <v>#NAME?</v>
      </c>
      <c r="B1208" s="46" t="s">
        <v>1616</v>
      </c>
      <c r="C1208" s="315"/>
      <c r="D1208" s="316"/>
      <c r="E1208" s="315"/>
      <c r="F1208" s="315"/>
      <c r="G1208" s="315"/>
      <c r="H1208" s="153"/>
      <c r="I1208" s="12"/>
      <c r="J1208" s="46" t="s">
        <v>1241</v>
      </c>
      <c r="K1208" s="12"/>
      <c r="L1208" s="288">
        <v>27.7</v>
      </c>
      <c r="M1208" s="289">
        <v>72</v>
      </c>
      <c r="N1208" s="290">
        <v>220</v>
      </c>
      <c r="O1208" s="297"/>
      <c r="P1208" s="297" t="s">
        <v>32</v>
      </c>
      <c r="Q1208" s="12"/>
      <c r="R1208" s="192" t="str">
        <f t="shared" si="32"/>
        <v>220ml</v>
      </c>
      <c r="S1208" s="198">
        <f t="shared" si="33"/>
        <v>15840</v>
      </c>
      <c r="T1208" s="199" t="str">
        <f t="shared" si="34"/>
        <v>15840ml</v>
      </c>
      <c r="U1208" s="200">
        <f t="shared" si="35"/>
        <v>1994.3999999999999</v>
      </c>
      <c r="V1208" s="12"/>
      <c r="W1208" s="12"/>
    </row>
    <row r="1209" spans="1:23" x14ac:dyDescent="0.3">
      <c r="A1209" s="193" t="e">
        <f ca="1"/>
        <v>#NAME?</v>
      </c>
      <c r="B1209" s="46" t="s">
        <v>1616</v>
      </c>
      <c r="C1209" s="315"/>
      <c r="D1209" s="316"/>
      <c r="E1209" s="315"/>
      <c r="F1209" s="315"/>
      <c r="G1209" s="315"/>
      <c r="H1209" s="153"/>
      <c r="I1209" s="12"/>
      <c r="J1209" s="46" t="s">
        <v>1241</v>
      </c>
      <c r="K1209" s="12"/>
      <c r="L1209" s="288">
        <v>43.88</v>
      </c>
      <c r="M1209" s="289">
        <v>10</v>
      </c>
      <c r="N1209" s="290">
        <v>220</v>
      </c>
      <c r="O1209" s="46"/>
      <c r="P1209" s="46" t="s">
        <v>32</v>
      </c>
      <c r="Q1209" s="12"/>
      <c r="R1209" s="192" t="str">
        <f t="shared" si="32"/>
        <v>220ml</v>
      </c>
      <c r="S1209" s="198">
        <f t="shared" si="33"/>
        <v>2200</v>
      </c>
      <c r="T1209" s="199" t="str">
        <f t="shared" si="34"/>
        <v>2200ml</v>
      </c>
      <c r="U1209" s="200">
        <f t="shared" si="35"/>
        <v>438.8</v>
      </c>
      <c r="V1209" s="12"/>
      <c r="W1209" s="12"/>
    </row>
    <row r="1210" spans="1:23" x14ac:dyDescent="0.3">
      <c r="A1210" s="193" t="e">
        <f ca="1"/>
        <v>#NAME?</v>
      </c>
      <c r="B1210" s="46" t="s">
        <v>1616</v>
      </c>
      <c r="C1210" s="315"/>
      <c r="D1210" s="316"/>
      <c r="E1210" s="315"/>
      <c r="F1210" s="315"/>
      <c r="G1210" s="315"/>
      <c r="H1210" s="153"/>
      <c r="I1210" s="12"/>
      <c r="J1210" s="46" t="s">
        <v>1241</v>
      </c>
      <c r="K1210" s="12"/>
      <c r="L1210" s="288">
        <v>29.41</v>
      </c>
      <c r="M1210" s="289">
        <v>160</v>
      </c>
      <c r="N1210" s="290">
        <v>220</v>
      </c>
      <c r="O1210" s="297"/>
      <c r="P1210" s="297" t="s">
        <v>32</v>
      </c>
      <c r="Q1210" s="12"/>
      <c r="R1210" s="192" t="str">
        <f t="shared" si="32"/>
        <v>220ml</v>
      </c>
      <c r="S1210" s="198">
        <f t="shared" si="33"/>
        <v>35200</v>
      </c>
      <c r="T1210" s="199" t="str">
        <f t="shared" si="34"/>
        <v>35200ml</v>
      </c>
      <c r="U1210" s="200">
        <f t="shared" si="35"/>
        <v>4705.6000000000004</v>
      </c>
      <c r="V1210" s="12"/>
      <c r="W1210" s="12"/>
    </row>
    <row r="1211" spans="1:23" x14ac:dyDescent="0.3">
      <c r="A1211" s="193" t="e">
        <f ca="1"/>
        <v>#NAME?</v>
      </c>
      <c r="B1211" s="46" t="s">
        <v>1616</v>
      </c>
      <c r="C1211" s="315"/>
      <c r="D1211" s="316"/>
      <c r="E1211" s="315"/>
      <c r="F1211" s="315"/>
      <c r="G1211" s="315"/>
      <c r="H1211" s="153"/>
      <c r="I1211" s="12"/>
      <c r="J1211" s="46" t="s">
        <v>1241</v>
      </c>
      <c r="K1211" s="12"/>
      <c r="L1211" s="288">
        <v>29.5</v>
      </c>
      <c r="M1211" s="289">
        <v>15</v>
      </c>
      <c r="N1211" s="290">
        <v>1</v>
      </c>
      <c r="O1211" s="297"/>
      <c r="P1211" s="297" t="s">
        <v>92</v>
      </c>
      <c r="Q1211" s="12"/>
      <c r="R1211" s="192" t="str">
        <f t="shared" si="32"/>
        <v>1pieces</v>
      </c>
      <c r="S1211" s="198">
        <f t="shared" si="33"/>
        <v>15</v>
      </c>
      <c r="T1211" s="199" t="str">
        <f t="shared" si="34"/>
        <v>15pieces</v>
      </c>
      <c r="U1211" s="200">
        <f t="shared" si="35"/>
        <v>442.5</v>
      </c>
      <c r="V1211" s="12"/>
      <c r="W1211" s="12"/>
    </row>
    <row r="1212" spans="1:23" x14ac:dyDescent="0.3">
      <c r="A1212" s="193" t="e">
        <f ca="1"/>
        <v>#NAME?</v>
      </c>
      <c r="B1212" s="46" t="s">
        <v>1616</v>
      </c>
      <c r="C1212" s="315"/>
      <c r="D1212" s="316"/>
      <c r="E1212" s="315"/>
      <c r="F1212" s="315"/>
      <c r="G1212" s="315"/>
      <c r="H1212" s="153"/>
      <c r="I1212" s="12"/>
      <c r="J1212" s="219" t="s">
        <v>1241</v>
      </c>
      <c r="K1212" s="12"/>
      <c r="L1212" s="291">
        <v>60</v>
      </c>
      <c r="M1212" s="303">
        <v>1</v>
      </c>
      <c r="N1212" s="293">
        <v>530</v>
      </c>
      <c r="O1212" s="304"/>
      <c r="P1212" s="304" t="s">
        <v>32</v>
      </c>
      <c r="Q1212" s="12"/>
      <c r="R1212" s="192" t="str">
        <f t="shared" si="32"/>
        <v>530ml</v>
      </c>
      <c r="S1212" s="198">
        <f t="shared" si="33"/>
        <v>530</v>
      </c>
      <c r="T1212" s="199" t="str">
        <f t="shared" si="34"/>
        <v>530ml</v>
      </c>
      <c r="U1212" s="200">
        <f t="shared" si="35"/>
        <v>60</v>
      </c>
      <c r="V1212" s="12"/>
      <c r="W1212" s="12"/>
    </row>
    <row r="1213" spans="1:23" x14ac:dyDescent="0.3">
      <c r="A1213" s="193" t="e">
        <f ca="1"/>
        <v>#NAME?</v>
      </c>
      <c r="B1213" s="46" t="s">
        <v>1616</v>
      </c>
      <c r="C1213" s="315"/>
      <c r="D1213" s="316"/>
      <c r="E1213" s="315"/>
      <c r="F1213" s="315"/>
      <c r="G1213" s="315"/>
      <c r="H1213" s="153"/>
      <c r="I1213" s="12"/>
      <c r="J1213" s="46" t="s">
        <v>1241</v>
      </c>
      <c r="K1213" s="12"/>
      <c r="L1213" s="288">
        <v>29.41</v>
      </c>
      <c r="M1213" s="289">
        <v>72</v>
      </c>
      <c r="N1213" s="290">
        <v>220</v>
      </c>
      <c r="O1213" s="297"/>
      <c r="P1213" s="297" t="s">
        <v>32</v>
      </c>
      <c r="Q1213" s="12"/>
      <c r="R1213" s="192" t="str">
        <f t="shared" si="32"/>
        <v>220ml</v>
      </c>
      <c r="S1213" s="198">
        <f t="shared" si="33"/>
        <v>15840</v>
      </c>
      <c r="T1213" s="199" t="str">
        <f t="shared" si="34"/>
        <v>15840ml</v>
      </c>
      <c r="U1213" s="200">
        <f t="shared" si="35"/>
        <v>2117.52</v>
      </c>
      <c r="V1213" s="12"/>
      <c r="W1213" s="12"/>
    </row>
    <row r="1214" spans="1:23" x14ac:dyDescent="0.3">
      <c r="A1214" s="193" t="e">
        <f ca="1"/>
        <v>#NAME?</v>
      </c>
      <c r="B1214" s="46" t="s">
        <v>1617</v>
      </c>
      <c r="C1214" s="315"/>
      <c r="D1214" s="316"/>
      <c r="E1214" s="315"/>
      <c r="F1214" s="315"/>
      <c r="G1214" s="315"/>
      <c r="H1214" s="153"/>
      <c r="I1214" s="12"/>
      <c r="J1214" s="46" t="s">
        <v>1241</v>
      </c>
      <c r="K1214" s="12"/>
      <c r="L1214" s="288">
        <v>136</v>
      </c>
      <c r="M1214" s="289">
        <v>2</v>
      </c>
      <c r="N1214" s="290">
        <v>1</v>
      </c>
      <c r="O1214" s="297"/>
      <c r="P1214" s="297" t="s">
        <v>773</v>
      </c>
      <c r="Q1214" s="12"/>
      <c r="R1214" s="192" t="str">
        <f t="shared" si="32"/>
        <v>1liters</v>
      </c>
      <c r="S1214" s="198">
        <f t="shared" si="33"/>
        <v>2</v>
      </c>
      <c r="T1214" s="199" t="str">
        <f t="shared" si="34"/>
        <v>2liters</v>
      </c>
      <c r="U1214" s="200">
        <f t="shared" si="35"/>
        <v>272</v>
      </c>
      <c r="V1214" s="12"/>
      <c r="W1214" s="12"/>
    </row>
    <row r="1215" spans="1:23" x14ac:dyDescent="0.3">
      <c r="A1215" s="193" t="e">
        <f ca="1"/>
        <v>#NAME?</v>
      </c>
      <c r="B1215" s="46" t="s">
        <v>1617</v>
      </c>
      <c r="C1215" s="315"/>
      <c r="D1215" s="316"/>
      <c r="E1215" s="315"/>
      <c r="F1215" s="315"/>
      <c r="G1215" s="315"/>
      <c r="H1215" s="153"/>
      <c r="I1215" s="12"/>
      <c r="J1215" s="46" t="s">
        <v>1241</v>
      </c>
      <c r="K1215" s="12"/>
      <c r="L1215" s="288">
        <v>96.7</v>
      </c>
      <c r="M1215" s="289">
        <v>1</v>
      </c>
      <c r="N1215" s="290">
        <v>1</v>
      </c>
      <c r="O1215" s="297"/>
      <c r="P1215" s="297" t="s">
        <v>773</v>
      </c>
      <c r="Q1215" s="12"/>
      <c r="R1215" s="192" t="str">
        <f t="shared" si="32"/>
        <v>1liters</v>
      </c>
      <c r="S1215" s="198">
        <f t="shared" si="33"/>
        <v>1</v>
      </c>
      <c r="T1215" s="199" t="str">
        <f t="shared" si="34"/>
        <v>1liters</v>
      </c>
      <c r="U1215" s="200">
        <f t="shared" si="35"/>
        <v>96.7</v>
      </c>
      <c r="V1215" s="12"/>
      <c r="W1215" s="12"/>
    </row>
    <row r="1216" spans="1:23" x14ac:dyDescent="0.3">
      <c r="A1216" s="193" t="e">
        <f ca="1"/>
        <v>#NAME?</v>
      </c>
      <c r="B1216" s="46" t="s">
        <v>1618</v>
      </c>
      <c r="C1216" s="315"/>
      <c r="D1216" s="316"/>
      <c r="E1216" s="315"/>
      <c r="F1216" s="315"/>
      <c r="G1216" s="315"/>
      <c r="H1216" s="153"/>
      <c r="I1216" s="12"/>
      <c r="J1216" s="46" t="s">
        <v>1241</v>
      </c>
      <c r="K1216" s="12"/>
      <c r="L1216" s="288">
        <v>97.2</v>
      </c>
      <c r="M1216" s="289">
        <v>1</v>
      </c>
      <c r="N1216" s="290">
        <v>1</v>
      </c>
      <c r="O1216" s="297"/>
      <c r="P1216" s="297" t="s">
        <v>773</v>
      </c>
      <c r="Q1216" s="12"/>
      <c r="R1216" s="192" t="str">
        <f t="shared" si="32"/>
        <v>1liters</v>
      </c>
      <c r="S1216" s="198">
        <f t="shared" si="33"/>
        <v>1</v>
      </c>
      <c r="T1216" s="199" t="str">
        <f t="shared" si="34"/>
        <v>1liters</v>
      </c>
      <c r="U1216" s="200">
        <f t="shared" si="35"/>
        <v>97.2</v>
      </c>
      <c r="V1216" s="12"/>
      <c r="W1216" s="12"/>
    </row>
    <row r="1217" spans="1:23" x14ac:dyDescent="0.3">
      <c r="A1217" s="193" t="e">
        <f ca="1"/>
        <v>#NAME?</v>
      </c>
      <c r="B1217" s="219" t="s">
        <v>1619</v>
      </c>
      <c r="C1217" s="315"/>
      <c r="D1217" s="316"/>
      <c r="E1217" s="315"/>
      <c r="F1217" s="315"/>
      <c r="G1217" s="315"/>
      <c r="H1217" s="153"/>
      <c r="I1217" s="12"/>
      <c r="J1217" s="219" t="s">
        <v>1620</v>
      </c>
      <c r="K1217" s="12"/>
      <c r="L1217" s="291">
        <v>19.88</v>
      </c>
      <c r="M1217" s="292">
        <v>1</v>
      </c>
      <c r="N1217" s="293">
        <v>200</v>
      </c>
      <c r="O1217" s="219"/>
      <c r="P1217" s="219" t="s">
        <v>32</v>
      </c>
      <c r="Q1217" s="12"/>
      <c r="R1217" s="192" t="str">
        <f t="shared" si="32"/>
        <v>200ml</v>
      </c>
      <c r="S1217" s="198">
        <f t="shared" si="33"/>
        <v>200</v>
      </c>
      <c r="T1217" s="199" t="str">
        <f t="shared" si="34"/>
        <v>200ml</v>
      </c>
      <c r="U1217" s="200">
        <f t="shared" si="35"/>
        <v>19.88</v>
      </c>
      <c r="V1217" s="12"/>
      <c r="W1217" s="12"/>
    </row>
    <row r="1218" spans="1:23" x14ac:dyDescent="0.3">
      <c r="A1218" s="193" t="e">
        <f ca="1"/>
        <v>#NAME?</v>
      </c>
      <c r="B1218" s="46" t="s">
        <v>1621</v>
      </c>
      <c r="C1218" s="315"/>
      <c r="D1218" s="316"/>
      <c r="E1218" s="315"/>
      <c r="F1218" s="315"/>
      <c r="G1218" s="315"/>
      <c r="H1218" s="153"/>
      <c r="I1218" s="12"/>
      <c r="J1218" s="170"/>
      <c r="K1218" s="12"/>
      <c r="L1218" s="288">
        <v>5.0999999999999996</v>
      </c>
      <c r="M1218" s="289">
        <v>56</v>
      </c>
      <c r="N1218" s="290">
        <v>1</v>
      </c>
      <c r="O1218" s="46"/>
      <c r="P1218" s="46" t="s">
        <v>92</v>
      </c>
      <c r="Q1218" s="12"/>
      <c r="R1218" s="192" t="str">
        <f t="shared" si="32"/>
        <v>1pieces</v>
      </c>
      <c r="S1218" s="198">
        <f t="shared" si="33"/>
        <v>56</v>
      </c>
      <c r="T1218" s="199" t="str">
        <f t="shared" si="34"/>
        <v>56pieces</v>
      </c>
      <c r="U1218" s="200">
        <f t="shared" si="35"/>
        <v>285.59999999999997</v>
      </c>
      <c r="V1218" s="12"/>
      <c r="W1218" s="12"/>
    </row>
    <row r="1219" spans="1:23" x14ac:dyDescent="0.3">
      <c r="A1219" s="193" t="e">
        <f ca="1"/>
        <v>#NAME?</v>
      </c>
      <c r="B1219" s="46" t="s">
        <v>1621</v>
      </c>
      <c r="C1219" s="315"/>
      <c r="D1219" s="316"/>
      <c r="E1219" s="315"/>
      <c r="F1219" s="315"/>
      <c r="G1219" s="315"/>
      <c r="H1219" s="153"/>
      <c r="I1219" s="12"/>
      <c r="J1219" s="170"/>
      <c r="K1219" s="12"/>
      <c r="L1219" s="288">
        <v>20</v>
      </c>
      <c r="M1219" s="289">
        <v>5</v>
      </c>
      <c r="N1219" s="290">
        <v>1</v>
      </c>
      <c r="O1219" s="46"/>
      <c r="P1219" s="46" t="s">
        <v>213</v>
      </c>
      <c r="Q1219" s="12"/>
      <c r="R1219" s="192" t="str">
        <f t="shared" si="32"/>
        <v>1kilos</v>
      </c>
      <c r="S1219" s="198">
        <f t="shared" si="33"/>
        <v>5</v>
      </c>
      <c r="T1219" s="199" t="str">
        <f t="shared" si="34"/>
        <v>5kilos</v>
      </c>
      <c r="U1219" s="200">
        <f t="shared" si="35"/>
        <v>100</v>
      </c>
      <c r="V1219" s="12"/>
      <c r="W1219" s="12"/>
    </row>
    <row r="1220" spans="1:23" x14ac:dyDescent="0.3">
      <c r="A1220" s="193" t="e">
        <f ca="1"/>
        <v>#NAME?</v>
      </c>
      <c r="B1220" s="219" t="s">
        <v>1622</v>
      </c>
      <c r="C1220" s="315"/>
      <c r="D1220" s="316"/>
      <c r="E1220" s="315"/>
      <c r="F1220" s="315"/>
      <c r="G1220" s="315"/>
      <c r="H1220" s="153"/>
      <c r="I1220" s="12"/>
      <c r="J1220" s="219" t="s">
        <v>854</v>
      </c>
      <c r="K1220" s="12"/>
      <c r="L1220" s="291">
        <v>61.75</v>
      </c>
      <c r="M1220" s="292">
        <v>3</v>
      </c>
      <c r="N1220" s="293">
        <v>12</v>
      </c>
      <c r="O1220" s="219"/>
      <c r="P1220" s="219" t="s">
        <v>39</v>
      </c>
      <c r="Q1220" s="12"/>
      <c r="R1220" s="192" t="str">
        <f t="shared" si="32"/>
        <v>12grams</v>
      </c>
      <c r="S1220" s="198">
        <f t="shared" si="33"/>
        <v>36</v>
      </c>
      <c r="T1220" s="199" t="str">
        <f t="shared" si="34"/>
        <v>36grams</v>
      </c>
      <c r="U1220" s="200">
        <f t="shared" si="35"/>
        <v>185.25</v>
      </c>
      <c r="V1220" s="12"/>
      <c r="W1220" s="12"/>
    </row>
    <row r="1221" spans="1:23" x14ac:dyDescent="0.3">
      <c r="A1221" s="193" t="e">
        <f ca="1"/>
        <v>#NAME?</v>
      </c>
      <c r="B1221" s="46" t="s">
        <v>1622</v>
      </c>
      <c r="C1221" s="315"/>
      <c r="D1221" s="316"/>
      <c r="E1221" s="315"/>
      <c r="F1221" s="315"/>
      <c r="G1221" s="315"/>
      <c r="H1221" s="153"/>
      <c r="I1221" s="12"/>
      <c r="J1221" s="46" t="s">
        <v>1323</v>
      </c>
      <c r="K1221" s="12"/>
      <c r="L1221" s="288">
        <v>37</v>
      </c>
      <c r="M1221" s="289">
        <v>0</v>
      </c>
      <c r="N1221" s="290">
        <v>5</v>
      </c>
      <c r="O1221" s="46"/>
      <c r="P1221" s="46" t="s">
        <v>39</v>
      </c>
      <c r="Q1221" s="12"/>
      <c r="R1221" s="192" t="str">
        <f t="shared" si="32"/>
        <v>5grams</v>
      </c>
      <c r="S1221" s="198">
        <f t="shared" si="33"/>
        <v>0</v>
      </c>
      <c r="T1221" s="199" t="str">
        <f t="shared" si="34"/>
        <v>0grams</v>
      </c>
      <c r="U1221" s="200">
        <f t="shared" si="35"/>
        <v>0</v>
      </c>
      <c r="V1221" s="12"/>
      <c r="W1221" s="12"/>
    </row>
    <row r="1222" spans="1:23" x14ac:dyDescent="0.3">
      <c r="A1222" s="193" t="e">
        <f ca="1"/>
        <v>#NAME?</v>
      </c>
      <c r="B1222" s="46" t="s">
        <v>1623</v>
      </c>
      <c r="C1222" s="315"/>
      <c r="D1222" s="316"/>
      <c r="E1222" s="315"/>
      <c r="F1222" s="315"/>
      <c r="G1222" s="315"/>
      <c r="H1222" s="153"/>
      <c r="I1222" s="12"/>
      <c r="J1222" s="46" t="s">
        <v>1624</v>
      </c>
      <c r="K1222" s="12"/>
      <c r="L1222" s="288">
        <v>100</v>
      </c>
      <c r="M1222" s="289">
        <v>1</v>
      </c>
      <c r="N1222" s="290">
        <v>1</v>
      </c>
      <c r="O1222" s="46"/>
      <c r="P1222" s="46" t="s">
        <v>213</v>
      </c>
      <c r="Q1222" s="12"/>
      <c r="R1222" s="192" t="str">
        <f t="shared" si="32"/>
        <v>1kilos</v>
      </c>
      <c r="S1222" s="198">
        <f t="shared" si="33"/>
        <v>1</v>
      </c>
      <c r="T1222" s="199" t="str">
        <f t="shared" si="34"/>
        <v>1kilos</v>
      </c>
      <c r="U1222" s="200">
        <f t="shared" si="35"/>
        <v>100</v>
      </c>
      <c r="V1222" s="12"/>
      <c r="W1222" s="12"/>
    </row>
    <row r="1223" spans="1:23" x14ac:dyDescent="0.3">
      <c r="A1223" s="193" t="e">
        <f ca="1"/>
        <v>#NAME?</v>
      </c>
      <c r="B1223" s="46" t="s">
        <v>756</v>
      </c>
      <c r="C1223" s="315"/>
      <c r="D1223" s="316"/>
      <c r="E1223" s="315"/>
      <c r="F1223" s="315"/>
      <c r="G1223" s="315"/>
      <c r="H1223" s="153"/>
      <c r="I1223" s="12"/>
      <c r="J1223" s="46" t="s">
        <v>1625</v>
      </c>
      <c r="K1223" s="12"/>
      <c r="L1223" s="288">
        <v>3.99</v>
      </c>
      <c r="M1223" s="289">
        <v>63</v>
      </c>
      <c r="N1223" s="290">
        <v>8</v>
      </c>
      <c r="O1223" s="46"/>
      <c r="P1223" s="46" t="s">
        <v>39</v>
      </c>
      <c r="Q1223" s="12"/>
      <c r="R1223" s="192" t="str">
        <f t="shared" si="32"/>
        <v>8grams</v>
      </c>
      <c r="S1223" s="198">
        <f t="shared" si="33"/>
        <v>504</v>
      </c>
      <c r="T1223" s="199" t="str">
        <f t="shared" si="34"/>
        <v>504grams</v>
      </c>
      <c r="U1223" s="200">
        <f t="shared" si="35"/>
        <v>251.37</v>
      </c>
      <c r="V1223" s="12"/>
      <c r="W1223" s="12"/>
    </row>
    <row r="1224" spans="1:23" x14ac:dyDescent="0.3">
      <c r="A1224" s="193" t="e">
        <f ca="1"/>
        <v>#NAME?</v>
      </c>
      <c r="B1224" s="46" t="s">
        <v>756</v>
      </c>
      <c r="C1224" s="315"/>
      <c r="D1224" s="316"/>
      <c r="E1224" s="315"/>
      <c r="F1224" s="315"/>
      <c r="G1224" s="315"/>
      <c r="H1224" s="153"/>
      <c r="I1224" s="12"/>
      <c r="J1224" s="46" t="s">
        <v>1625</v>
      </c>
      <c r="K1224" s="12"/>
      <c r="L1224" s="288">
        <v>3.99</v>
      </c>
      <c r="M1224" s="289">
        <v>279</v>
      </c>
      <c r="N1224" s="290">
        <v>8</v>
      </c>
      <c r="O1224" s="46"/>
      <c r="P1224" s="46" t="s">
        <v>39</v>
      </c>
      <c r="Q1224" s="12"/>
      <c r="R1224" s="192" t="str">
        <f t="shared" si="32"/>
        <v>8grams</v>
      </c>
      <c r="S1224" s="198">
        <f t="shared" si="33"/>
        <v>2232</v>
      </c>
      <c r="T1224" s="199" t="str">
        <f t="shared" si="34"/>
        <v>2232grams</v>
      </c>
      <c r="U1224" s="200">
        <f t="shared" si="35"/>
        <v>1113.21</v>
      </c>
      <c r="V1224" s="12"/>
      <c r="W1224" s="12"/>
    </row>
    <row r="1225" spans="1:23" x14ac:dyDescent="0.3">
      <c r="A1225" s="193" t="e">
        <f ca="1"/>
        <v>#NAME?</v>
      </c>
      <c r="B1225" s="219" t="s">
        <v>1626</v>
      </c>
      <c r="C1225" s="315"/>
      <c r="D1225" s="316"/>
      <c r="E1225" s="315"/>
      <c r="F1225" s="315"/>
      <c r="G1225" s="315"/>
      <c r="H1225" s="153"/>
      <c r="I1225" s="12"/>
      <c r="J1225" s="219" t="s">
        <v>1627</v>
      </c>
      <c r="K1225" s="12"/>
      <c r="L1225" s="291">
        <v>83</v>
      </c>
      <c r="M1225" s="292">
        <v>1</v>
      </c>
      <c r="N1225" s="293">
        <v>250</v>
      </c>
      <c r="O1225" s="219"/>
      <c r="P1225" s="219" t="s">
        <v>39</v>
      </c>
      <c r="Q1225" s="12"/>
      <c r="R1225" s="192" t="str">
        <f t="shared" si="32"/>
        <v>250grams</v>
      </c>
      <c r="S1225" s="198">
        <f t="shared" si="33"/>
        <v>250</v>
      </c>
      <c r="T1225" s="199" t="str">
        <f t="shared" si="34"/>
        <v>250grams</v>
      </c>
      <c r="U1225" s="200">
        <f t="shared" si="35"/>
        <v>83</v>
      </c>
      <c r="V1225" s="12"/>
      <c r="W1225" s="12"/>
    </row>
    <row r="1226" spans="1:23" x14ac:dyDescent="0.3">
      <c r="A1226" s="193" t="e">
        <f ca="1"/>
        <v>#NAME?</v>
      </c>
      <c r="B1226" s="46" t="s">
        <v>1628</v>
      </c>
      <c r="C1226" s="315"/>
      <c r="D1226" s="316"/>
      <c r="E1226" s="315"/>
      <c r="F1226" s="315"/>
      <c r="G1226" s="315"/>
      <c r="H1226" s="153"/>
      <c r="I1226" s="12"/>
      <c r="J1226" s="170"/>
      <c r="K1226" s="12"/>
      <c r="L1226" s="288">
        <v>220</v>
      </c>
      <c r="M1226" s="289">
        <v>3</v>
      </c>
      <c r="N1226" s="290">
        <v>1</v>
      </c>
      <c r="O1226" s="46"/>
      <c r="P1226" s="46" t="s">
        <v>213</v>
      </c>
      <c r="Q1226" s="12"/>
      <c r="R1226" s="192" t="str">
        <f t="shared" si="32"/>
        <v>1kilos</v>
      </c>
      <c r="S1226" s="198">
        <f t="shared" si="33"/>
        <v>3</v>
      </c>
      <c r="T1226" s="199" t="str">
        <f t="shared" si="34"/>
        <v>3kilos</v>
      </c>
      <c r="U1226" s="200">
        <f t="shared" si="35"/>
        <v>660</v>
      </c>
      <c r="V1226" s="12"/>
      <c r="W1226" s="12"/>
    </row>
    <row r="1227" spans="1:23" x14ac:dyDescent="0.3">
      <c r="A1227" s="193" t="e">
        <f ca="1"/>
        <v>#NAME?</v>
      </c>
      <c r="B1227" s="219" t="s">
        <v>1629</v>
      </c>
      <c r="C1227" s="315"/>
      <c r="D1227" s="316"/>
      <c r="E1227" s="315"/>
      <c r="F1227" s="315"/>
      <c r="G1227" s="315"/>
      <c r="H1227" s="153"/>
      <c r="I1227" s="12"/>
      <c r="J1227" s="46" t="s">
        <v>1630</v>
      </c>
      <c r="K1227" s="12"/>
      <c r="L1227" s="288">
        <v>218</v>
      </c>
      <c r="M1227" s="289">
        <v>0</v>
      </c>
      <c r="N1227" s="290">
        <v>439</v>
      </c>
      <c r="O1227" s="46"/>
      <c r="P1227" s="46" t="s">
        <v>39</v>
      </c>
      <c r="Q1227" s="12"/>
      <c r="R1227" s="192" t="str">
        <f t="shared" si="32"/>
        <v>439grams</v>
      </c>
      <c r="S1227" s="198">
        <f t="shared" si="33"/>
        <v>0</v>
      </c>
      <c r="T1227" s="199" t="str">
        <f t="shared" si="34"/>
        <v>0grams</v>
      </c>
      <c r="U1227" s="200">
        <f t="shared" si="35"/>
        <v>0</v>
      </c>
      <c r="V1227" s="12"/>
      <c r="W1227" s="12"/>
    </row>
    <row r="1228" spans="1:23" x14ac:dyDescent="0.3">
      <c r="A1228" s="193" t="e">
        <f ca="1"/>
        <v>#NAME?</v>
      </c>
      <c r="B1228" s="46" t="s">
        <v>758</v>
      </c>
      <c r="C1228" s="315"/>
      <c r="D1228" s="316"/>
      <c r="E1228" s="315"/>
      <c r="F1228" s="315"/>
      <c r="G1228" s="315"/>
      <c r="H1228" s="153"/>
      <c r="I1228" s="12"/>
      <c r="J1228" s="46" t="s">
        <v>1631</v>
      </c>
      <c r="K1228" s="12"/>
      <c r="L1228" s="288">
        <v>10</v>
      </c>
      <c r="M1228" s="289">
        <v>18</v>
      </c>
      <c r="N1228" s="290">
        <v>1</v>
      </c>
      <c r="O1228" s="46"/>
      <c r="P1228" s="46" t="s">
        <v>213</v>
      </c>
      <c r="Q1228" s="12"/>
      <c r="R1228" s="192" t="str">
        <f t="shared" si="32"/>
        <v>1kilos</v>
      </c>
      <c r="S1228" s="198">
        <f t="shared" si="33"/>
        <v>18</v>
      </c>
      <c r="T1228" s="199" t="str">
        <f t="shared" si="34"/>
        <v>18kilos</v>
      </c>
      <c r="U1228" s="200">
        <f t="shared" si="35"/>
        <v>180</v>
      </c>
      <c r="V1228" s="12"/>
      <c r="W1228" s="12"/>
    </row>
    <row r="1229" spans="1:23" x14ac:dyDescent="0.3">
      <c r="A1229" s="193" t="e">
        <f ca="1"/>
        <v>#NAME?</v>
      </c>
      <c r="B1229" s="46" t="s">
        <v>1632</v>
      </c>
      <c r="C1229" s="315"/>
      <c r="D1229" s="316"/>
      <c r="E1229" s="315"/>
      <c r="F1229" s="315"/>
      <c r="G1229" s="315"/>
      <c r="H1229" s="153"/>
      <c r="I1229" s="12"/>
      <c r="J1229" s="46" t="s">
        <v>1633</v>
      </c>
      <c r="K1229" s="12"/>
      <c r="L1229" s="288">
        <v>15</v>
      </c>
      <c r="M1229" s="289">
        <v>5</v>
      </c>
      <c r="N1229" s="290">
        <v>250</v>
      </c>
      <c r="O1229" s="46"/>
      <c r="P1229" s="46" t="s">
        <v>39</v>
      </c>
      <c r="Q1229" s="12"/>
      <c r="R1229" s="192" t="str">
        <f t="shared" si="32"/>
        <v>250grams</v>
      </c>
      <c r="S1229" s="198">
        <f t="shared" si="33"/>
        <v>1250</v>
      </c>
      <c r="T1229" s="199" t="str">
        <f t="shared" si="34"/>
        <v>1250grams</v>
      </c>
      <c r="U1229" s="200">
        <f t="shared" si="35"/>
        <v>75</v>
      </c>
      <c r="V1229" s="12"/>
      <c r="W1229" s="12"/>
    </row>
    <row r="1230" spans="1:23" x14ac:dyDescent="0.3">
      <c r="A1230" s="193" t="e">
        <f ca="1"/>
        <v>#NAME?</v>
      </c>
      <c r="B1230" s="46" t="s">
        <v>1632</v>
      </c>
      <c r="C1230" s="315"/>
      <c r="D1230" s="316"/>
      <c r="E1230" s="315"/>
      <c r="F1230" s="315"/>
      <c r="G1230" s="315"/>
      <c r="H1230" s="153"/>
      <c r="I1230" s="12"/>
      <c r="J1230" s="46" t="s">
        <v>1633</v>
      </c>
      <c r="K1230" s="12"/>
      <c r="L1230" s="288">
        <v>32.299999999999997</v>
      </c>
      <c r="M1230" s="289">
        <v>1</v>
      </c>
      <c r="N1230" s="290">
        <v>1</v>
      </c>
      <c r="O1230" s="46"/>
      <c r="P1230" s="46" t="s">
        <v>213</v>
      </c>
      <c r="Q1230" s="12"/>
      <c r="R1230" s="192" t="str">
        <f t="shared" si="32"/>
        <v>1kilos</v>
      </c>
      <c r="S1230" s="198">
        <f t="shared" si="33"/>
        <v>1</v>
      </c>
      <c r="T1230" s="199" t="str">
        <f t="shared" si="34"/>
        <v>1kilos</v>
      </c>
      <c r="U1230" s="200">
        <f t="shared" si="35"/>
        <v>32.299999999999997</v>
      </c>
      <c r="V1230" s="12"/>
      <c r="W1230" s="12"/>
    </row>
    <row r="1231" spans="1:23" x14ac:dyDescent="0.3">
      <c r="A1231" s="193" t="e">
        <f ca="1"/>
        <v>#NAME?</v>
      </c>
      <c r="B1231" s="46" t="s">
        <v>1632</v>
      </c>
      <c r="C1231" s="315"/>
      <c r="D1231" s="316"/>
      <c r="E1231" s="315"/>
      <c r="F1231" s="315"/>
      <c r="G1231" s="315"/>
      <c r="H1231" s="153"/>
      <c r="I1231" s="12"/>
      <c r="J1231" s="46" t="s">
        <v>1352</v>
      </c>
      <c r="K1231" s="12"/>
      <c r="L1231" s="288">
        <v>25</v>
      </c>
      <c r="M1231" s="289">
        <v>30</v>
      </c>
      <c r="N1231" s="290">
        <v>500</v>
      </c>
      <c r="O1231" s="46"/>
      <c r="P1231" s="46" t="s">
        <v>39</v>
      </c>
      <c r="Q1231" s="12"/>
      <c r="R1231" s="192" t="str">
        <f t="shared" si="32"/>
        <v>500grams</v>
      </c>
      <c r="S1231" s="198">
        <f t="shared" si="33"/>
        <v>15000</v>
      </c>
      <c r="T1231" s="199" t="str">
        <f t="shared" si="34"/>
        <v>15000grams</v>
      </c>
      <c r="U1231" s="200">
        <f t="shared" si="35"/>
        <v>750</v>
      </c>
      <c r="V1231" s="12"/>
      <c r="W1231" s="12"/>
    </row>
    <row r="1232" spans="1:23" x14ac:dyDescent="0.3">
      <c r="A1232" s="193" t="e">
        <f ca="1"/>
        <v>#NAME?</v>
      </c>
      <c r="B1232" s="46" t="s">
        <v>1632</v>
      </c>
      <c r="C1232" s="315"/>
      <c r="D1232" s="316"/>
      <c r="E1232" s="315"/>
      <c r="F1232" s="315"/>
      <c r="G1232" s="315"/>
      <c r="H1232" s="153"/>
      <c r="I1232" s="12"/>
      <c r="J1232" s="46" t="s">
        <v>1352</v>
      </c>
      <c r="K1232" s="12"/>
      <c r="L1232" s="288">
        <v>28</v>
      </c>
      <c r="M1232" s="289">
        <v>10</v>
      </c>
      <c r="N1232" s="290">
        <v>1</v>
      </c>
      <c r="O1232" s="46"/>
      <c r="P1232" s="46" t="s">
        <v>213</v>
      </c>
      <c r="Q1232" s="12"/>
      <c r="R1232" s="192" t="str">
        <f t="shared" si="32"/>
        <v>1kilos</v>
      </c>
      <c r="S1232" s="198">
        <f t="shared" si="33"/>
        <v>10</v>
      </c>
      <c r="T1232" s="199" t="str">
        <f t="shared" si="34"/>
        <v>10kilos</v>
      </c>
      <c r="U1232" s="200">
        <f t="shared" si="35"/>
        <v>280</v>
      </c>
      <c r="V1232" s="12"/>
      <c r="W1232" s="12"/>
    </row>
    <row r="1233" spans="1:23" x14ac:dyDescent="0.3">
      <c r="A1233" s="193" t="e">
        <f ca="1"/>
        <v>#NAME?</v>
      </c>
      <c r="B1233" s="46" t="s">
        <v>1632</v>
      </c>
      <c r="C1233" s="315"/>
      <c r="D1233" s="316"/>
      <c r="E1233" s="315"/>
      <c r="F1233" s="315"/>
      <c r="G1233" s="315"/>
      <c r="H1233" s="153"/>
      <c r="I1233" s="12"/>
      <c r="J1233" s="46" t="s">
        <v>1633</v>
      </c>
      <c r="K1233" s="12"/>
      <c r="L1233" s="288">
        <v>32</v>
      </c>
      <c r="M1233" s="289">
        <v>2</v>
      </c>
      <c r="N1233" s="290">
        <v>1</v>
      </c>
      <c r="O1233" s="46"/>
      <c r="P1233" s="46" t="s">
        <v>213</v>
      </c>
      <c r="Q1233" s="12"/>
      <c r="R1233" s="192" t="str">
        <f t="shared" si="32"/>
        <v>1kilos</v>
      </c>
      <c r="S1233" s="198">
        <f t="shared" si="33"/>
        <v>2</v>
      </c>
      <c r="T1233" s="199" t="str">
        <f t="shared" si="34"/>
        <v>2kilos</v>
      </c>
      <c r="U1233" s="200">
        <f t="shared" si="35"/>
        <v>64</v>
      </c>
      <c r="V1233" s="12"/>
      <c r="W1233" s="12"/>
    </row>
    <row r="1234" spans="1:23" x14ac:dyDescent="0.3">
      <c r="A1234" s="193" t="e">
        <f ca="1"/>
        <v>#NAME?</v>
      </c>
      <c r="B1234" s="219" t="s">
        <v>1632</v>
      </c>
      <c r="C1234" s="315"/>
      <c r="D1234" s="316"/>
      <c r="E1234" s="315"/>
      <c r="F1234" s="315"/>
      <c r="G1234" s="315"/>
      <c r="H1234" s="153"/>
      <c r="I1234" s="12"/>
      <c r="J1234" s="219" t="s">
        <v>1633</v>
      </c>
      <c r="K1234" s="12"/>
      <c r="L1234" s="291">
        <v>35.5</v>
      </c>
      <c r="M1234" s="292">
        <v>18</v>
      </c>
      <c r="N1234" s="290">
        <v>1</v>
      </c>
      <c r="O1234" s="46"/>
      <c r="P1234" s="46" t="s">
        <v>213</v>
      </c>
      <c r="Q1234" s="12"/>
      <c r="R1234" s="192" t="str">
        <f t="shared" si="32"/>
        <v>1kilos</v>
      </c>
      <c r="S1234" s="198">
        <f t="shared" si="33"/>
        <v>18</v>
      </c>
      <c r="T1234" s="199" t="str">
        <f t="shared" si="34"/>
        <v>18kilos</v>
      </c>
      <c r="U1234" s="200">
        <f t="shared" si="35"/>
        <v>639</v>
      </c>
      <c r="V1234" s="12"/>
      <c r="W1234" s="12"/>
    </row>
    <row r="1235" spans="1:23" x14ac:dyDescent="0.3">
      <c r="A1235" s="193" t="e">
        <f ca="1"/>
        <v>#NAME?</v>
      </c>
      <c r="B1235" s="46" t="s">
        <v>1632</v>
      </c>
      <c r="C1235" s="315"/>
      <c r="D1235" s="316"/>
      <c r="E1235" s="315"/>
      <c r="F1235" s="315"/>
      <c r="G1235" s="315"/>
      <c r="H1235" s="153"/>
      <c r="I1235" s="12"/>
      <c r="J1235" s="46" t="s">
        <v>1633</v>
      </c>
      <c r="K1235" s="12"/>
      <c r="L1235" s="288">
        <v>32.299999999999997</v>
      </c>
      <c r="M1235" s="289">
        <v>2</v>
      </c>
      <c r="N1235" s="290">
        <v>1</v>
      </c>
      <c r="O1235" s="46"/>
      <c r="P1235" s="46" t="s">
        <v>213</v>
      </c>
      <c r="Q1235" s="12"/>
      <c r="R1235" s="192" t="str">
        <f t="shared" si="32"/>
        <v>1kilos</v>
      </c>
      <c r="S1235" s="198">
        <f t="shared" si="33"/>
        <v>2</v>
      </c>
      <c r="T1235" s="199" t="str">
        <f t="shared" si="34"/>
        <v>2kilos</v>
      </c>
      <c r="U1235" s="200">
        <f t="shared" si="35"/>
        <v>64.599999999999994</v>
      </c>
      <c r="V1235" s="12"/>
      <c r="W1235" s="12"/>
    </row>
    <row r="1236" spans="1:23" x14ac:dyDescent="0.3">
      <c r="A1236" s="193" t="e">
        <f ca="1"/>
        <v>#NAME?</v>
      </c>
      <c r="B1236" s="46" t="s">
        <v>282</v>
      </c>
      <c r="C1236" s="315"/>
      <c r="D1236" s="316"/>
      <c r="E1236" s="315"/>
      <c r="F1236" s="315"/>
      <c r="G1236" s="315"/>
      <c r="H1236" s="153"/>
      <c r="I1236" s="12"/>
      <c r="J1236" s="170"/>
      <c r="K1236" s="12"/>
      <c r="L1236" s="288">
        <v>25</v>
      </c>
      <c r="M1236" s="289">
        <v>26</v>
      </c>
      <c r="N1236" s="290">
        <v>1</v>
      </c>
      <c r="O1236" s="46"/>
      <c r="P1236" s="46" t="s">
        <v>213</v>
      </c>
      <c r="Q1236" s="12"/>
      <c r="R1236" s="192" t="str">
        <f t="shared" si="32"/>
        <v>1kilos</v>
      </c>
      <c r="S1236" s="198">
        <f t="shared" si="33"/>
        <v>26</v>
      </c>
      <c r="T1236" s="199" t="str">
        <f t="shared" si="34"/>
        <v>26kilos</v>
      </c>
      <c r="U1236" s="200">
        <f t="shared" si="35"/>
        <v>650</v>
      </c>
      <c r="V1236" s="12"/>
      <c r="W1236" s="12"/>
    </row>
    <row r="1237" spans="1:23" x14ac:dyDescent="0.3">
      <c r="A1237" s="193" t="e">
        <f ca="1"/>
        <v>#NAME?</v>
      </c>
      <c r="B1237" s="219" t="s">
        <v>282</v>
      </c>
      <c r="C1237" s="315"/>
      <c r="D1237" s="316"/>
      <c r="E1237" s="315"/>
      <c r="F1237" s="315"/>
      <c r="G1237" s="315"/>
      <c r="H1237" s="153"/>
      <c r="I1237" s="12"/>
      <c r="J1237" s="215"/>
      <c r="K1237" s="12"/>
      <c r="L1237" s="291">
        <v>25</v>
      </c>
      <c r="M1237" s="292">
        <v>2</v>
      </c>
      <c r="N1237" s="290">
        <v>1</v>
      </c>
      <c r="O1237" s="46"/>
      <c r="P1237" s="46" t="s">
        <v>213</v>
      </c>
      <c r="Q1237" s="12"/>
      <c r="R1237" s="192" t="str">
        <f t="shared" si="32"/>
        <v>1kilos</v>
      </c>
      <c r="S1237" s="198">
        <f t="shared" si="33"/>
        <v>2</v>
      </c>
      <c r="T1237" s="199" t="str">
        <f t="shared" si="34"/>
        <v>2kilos</v>
      </c>
      <c r="U1237" s="200">
        <f t="shared" si="35"/>
        <v>50</v>
      </c>
      <c r="V1237" s="12"/>
      <c r="W1237" s="12"/>
    </row>
    <row r="1238" spans="1:23" x14ac:dyDescent="0.3">
      <c r="A1238" s="193" t="e">
        <f ca="1"/>
        <v>#NAME?</v>
      </c>
      <c r="B1238" s="46" t="s">
        <v>1634</v>
      </c>
      <c r="C1238" s="315"/>
      <c r="D1238" s="316"/>
      <c r="E1238" s="315"/>
      <c r="F1238" s="315"/>
      <c r="G1238" s="315"/>
      <c r="H1238" s="153"/>
      <c r="I1238" s="12"/>
      <c r="J1238" s="46" t="s">
        <v>1624</v>
      </c>
      <c r="K1238" s="12"/>
      <c r="L1238" s="288">
        <v>20</v>
      </c>
      <c r="M1238" s="289">
        <v>16</v>
      </c>
      <c r="N1238" s="290">
        <v>1</v>
      </c>
      <c r="O1238" s="46"/>
      <c r="P1238" s="46" t="s">
        <v>92</v>
      </c>
      <c r="Q1238" s="12"/>
      <c r="R1238" s="192" t="str">
        <f t="shared" si="32"/>
        <v>1pieces</v>
      </c>
      <c r="S1238" s="198">
        <f t="shared" si="33"/>
        <v>16</v>
      </c>
      <c r="T1238" s="199" t="str">
        <f t="shared" si="34"/>
        <v>16pieces</v>
      </c>
      <c r="U1238" s="200">
        <f t="shared" si="35"/>
        <v>320</v>
      </c>
      <c r="V1238" s="12"/>
      <c r="W1238" s="12"/>
    </row>
    <row r="1239" spans="1:23" x14ac:dyDescent="0.3">
      <c r="A1239" s="193" t="e">
        <f ca="1"/>
        <v>#NAME?</v>
      </c>
      <c r="B1239" s="46" t="s">
        <v>1635</v>
      </c>
      <c r="C1239" s="315"/>
      <c r="D1239" s="316"/>
      <c r="E1239" s="315"/>
      <c r="F1239" s="315"/>
      <c r="G1239" s="315"/>
      <c r="H1239" s="153"/>
      <c r="I1239" s="12"/>
      <c r="J1239" s="170"/>
      <c r="K1239" s="12"/>
      <c r="L1239" s="288">
        <v>30</v>
      </c>
      <c r="M1239" s="289">
        <v>1</v>
      </c>
      <c r="N1239" s="290">
        <v>1</v>
      </c>
      <c r="O1239" s="46"/>
      <c r="P1239" s="46" t="s">
        <v>213</v>
      </c>
      <c r="Q1239" s="12"/>
      <c r="R1239" s="192" t="str">
        <f t="shared" si="32"/>
        <v>1kilos</v>
      </c>
      <c r="S1239" s="198">
        <f t="shared" si="33"/>
        <v>1</v>
      </c>
      <c r="T1239" s="199" t="str">
        <f t="shared" si="34"/>
        <v>1kilos</v>
      </c>
      <c r="U1239" s="200">
        <f t="shared" si="35"/>
        <v>30</v>
      </c>
      <c r="V1239" s="12"/>
      <c r="W1239" s="12"/>
    </row>
    <row r="1240" spans="1:23" x14ac:dyDescent="0.3">
      <c r="A1240" s="193" t="e">
        <f ca="1"/>
        <v>#NAME?</v>
      </c>
      <c r="B1240" s="46" t="s">
        <v>1636</v>
      </c>
      <c r="C1240" s="315"/>
      <c r="D1240" s="316"/>
      <c r="E1240" s="315"/>
      <c r="F1240" s="315"/>
      <c r="G1240" s="315"/>
      <c r="H1240" s="153"/>
      <c r="I1240" s="12"/>
      <c r="J1240" s="46" t="s">
        <v>1637</v>
      </c>
      <c r="K1240" s="12"/>
      <c r="L1240" s="288">
        <v>90.5</v>
      </c>
      <c r="M1240" s="289">
        <v>3</v>
      </c>
      <c r="N1240" s="290">
        <v>1</v>
      </c>
      <c r="O1240" s="46"/>
      <c r="P1240" s="46" t="s">
        <v>1638</v>
      </c>
      <c r="Q1240" s="12"/>
      <c r="R1240" s="192" t="str">
        <f t="shared" si="32"/>
        <v>1box</v>
      </c>
      <c r="S1240" s="198">
        <f t="shared" si="33"/>
        <v>3</v>
      </c>
      <c r="T1240" s="199" t="str">
        <f t="shared" si="34"/>
        <v>3box</v>
      </c>
      <c r="U1240" s="200">
        <f t="shared" si="35"/>
        <v>271.5</v>
      </c>
      <c r="V1240" s="12"/>
      <c r="W1240" s="12"/>
    </row>
    <row r="1241" spans="1:23" x14ac:dyDescent="0.3">
      <c r="A1241" s="193" t="e">
        <f ca="1"/>
        <v>#NAME?</v>
      </c>
      <c r="B1241" s="219" t="s">
        <v>1639</v>
      </c>
      <c r="C1241" s="315"/>
      <c r="D1241" s="316"/>
      <c r="E1241" s="315"/>
      <c r="F1241" s="315"/>
      <c r="G1241" s="315"/>
      <c r="H1241" s="153"/>
      <c r="I1241" s="12"/>
      <c r="J1241" s="46" t="s">
        <v>1640</v>
      </c>
      <c r="K1241" s="12"/>
      <c r="L1241" s="288">
        <v>6.07</v>
      </c>
      <c r="M1241" s="289">
        <v>23</v>
      </c>
      <c r="N1241" s="290">
        <v>1</v>
      </c>
      <c r="O1241" s="46"/>
      <c r="P1241" s="46" t="s">
        <v>92</v>
      </c>
      <c r="Q1241" s="12"/>
      <c r="R1241" s="192" t="str">
        <f t="shared" si="32"/>
        <v>1pieces</v>
      </c>
      <c r="S1241" s="198">
        <f t="shared" si="33"/>
        <v>23</v>
      </c>
      <c r="T1241" s="199" t="str">
        <f t="shared" si="34"/>
        <v>23pieces</v>
      </c>
      <c r="U1241" s="200">
        <f t="shared" si="35"/>
        <v>139.61000000000001</v>
      </c>
      <c r="V1241" s="12"/>
      <c r="W1241" s="12"/>
    </row>
    <row r="1242" spans="1:23" x14ac:dyDescent="0.3">
      <c r="A1242" s="193" t="e">
        <f ca="1"/>
        <v>#NAME?</v>
      </c>
      <c r="B1242" s="46" t="s">
        <v>1639</v>
      </c>
      <c r="C1242" s="315"/>
      <c r="D1242" s="316"/>
      <c r="E1242" s="315"/>
      <c r="F1242" s="315"/>
      <c r="G1242" s="315"/>
      <c r="H1242" s="153"/>
      <c r="I1242" s="12"/>
      <c r="J1242" s="46" t="s">
        <v>1641</v>
      </c>
      <c r="K1242" s="12"/>
      <c r="L1242" s="288">
        <v>155.5</v>
      </c>
      <c r="M1242" s="289">
        <v>1</v>
      </c>
      <c r="N1242" s="290">
        <v>1</v>
      </c>
      <c r="O1242" s="46"/>
      <c r="P1242" s="46" t="s">
        <v>304</v>
      </c>
      <c r="Q1242" s="12"/>
      <c r="R1242" s="192" t="str">
        <f t="shared" si="32"/>
        <v>1packs</v>
      </c>
      <c r="S1242" s="198">
        <f t="shared" si="33"/>
        <v>1</v>
      </c>
      <c r="T1242" s="199" t="str">
        <f t="shared" si="34"/>
        <v>1packs</v>
      </c>
      <c r="U1242" s="200">
        <f t="shared" si="35"/>
        <v>155.5</v>
      </c>
      <c r="V1242" s="12"/>
      <c r="W1242" s="12"/>
    </row>
    <row r="1243" spans="1:23" x14ac:dyDescent="0.3">
      <c r="A1243" s="193" t="e">
        <f ca="1"/>
        <v>#NAME?</v>
      </c>
      <c r="B1243" s="46" t="s">
        <v>1639</v>
      </c>
      <c r="C1243" s="315"/>
      <c r="D1243" s="316"/>
      <c r="E1243" s="315"/>
      <c r="F1243" s="315"/>
      <c r="G1243" s="315"/>
      <c r="H1243" s="153"/>
      <c r="I1243" s="12"/>
      <c r="J1243" s="46" t="s">
        <v>1641</v>
      </c>
      <c r="K1243" s="12"/>
      <c r="L1243" s="288">
        <v>55.8</v>
      </c>
      <c r="M1243" s="289">
        <v>4</v>
      </c>
      <c r="N1243" s="290">
        <v>1</v>
      </c>
      <c r="O1243" s="46"/>
      <c r="P1243" s="46" t="s">
        <v>304</v>
      </c>
      <c r="Q1243" s="12"/>
      <c r="R1243" s="192" t="str">
        <f t="shared" si="32"/>
        <v>1packs</v>
      </c>
      <c r="S1243" s="198">
        <f t="shared" si="33"/>
        <v>4</v>
      </c>
      <c r="T1243" s="199" t="str">
        <f t="shared" si="34"/>
        <v>4packs</v>
      </c>
      <c r="U1243" s="200">
        <f t="shared" si="35"/>
        <v>223.2</v>
      </c>
      <c r="V1243" s="12"/>
      <c r="W1243" s="12"/>
    </row>
    <row r="1244" spans="1:23" x14ac:dyDescent="0.3">
      <c r="A1244" s="193" t="e">
        <f ca="1"/>
        <v>#NAME?</v>
      </c>
      <c r="B1244" s="46" t="s">
        <v>1642</v>
      </c>
      <c r="C1244" s="315"/>
      <c r="D1244" s="316"/>
      <c r="E1244" s="315"/>
      <c r="F1244" s="315"/>
      <c r="G1244" s="315"/>
      <c r="H1244" s="153"/>
      <c r="I1244" s="12"/>
      <c r="J1244" s="46" t="s">
        <v>1643</v>
      </c>
      <c r="K1244" s="12"/>
      <c r="L1244" s="288">
        <v>12.8</v>
      </c>
      <c r="M1244" s="289">
        <v>16</v>
      </c>
      <c r="N1244" s="290">
        <v>1</v>
      </c>
      <c r="O1244" s="46"/>
      <c r="P1244" s="46" t="s">
        <v>92</v>
      </c>
      <c r="Q1244" s="12"/>
      <c r="R1244" s="192" t="str">
        <f t="shared" si="32"/>
        <v>1pieces</v>
      </c>
      <c r="S1244" s="198">
        <f t="shared" si="33"/>
        <v>16</v>
      </c>
      <c r="T1244" s="199" t="str">
        <f t="shared" si="34"/>
        <v>16pieces</v>
      </c>
      <c r="U1244" s="200">
        <f t="shared" si="35"/>
        <v>204.8</v>
      </c>
      <c r="V1244" s="12"/>
      <c r="W1244" s="12"/>
    </row>
    <row r="1245" spans="1:23" x14ac:dyDescent="0.3">
      <c r="A1245" s="193" t="e">
        <f ca="1"/>
        <v>#NAME?</v>
      </c>
      <c r="B1245" s="46" t="s">
        <v>1644</v>
      </c>
      <c r="C1245" s="315"/>
      <c r="D1245" s="316"/>
      <c r="E1245" s="315"/>
      <c r="F1245" s="315"/>
      <c r="G1245" s="315"/>
      <c r="H1245" s="153"/>
      <c r="I1245" s="12"/>
      <c r="J1245" s="170"/>
      <c r="K1245" s="12"/>
      <c r="L1245" s="288">
        <v>320</v>
      </c>
      <c r="M1245" s="289">
        <v>1</v>
      </c>
      <c r="N1245" s="290">
        <v>1</v>
      </c>
      <c r="O1245" s="46"/>
      <c r="P1245" s="46" t="s">
        <v>213</v>
      </c>
      <c r="Q1245" s="12"/>
      <c r="R1245" s="192" t="str">
        <f t="shared" si="32"/>
        <v>1kilos</v>
      </c>
      <c r="S1245" s="198">
        <f t="shared" si="33"/>
        <v>1</v>
      </c>
      <c r="T1245" s="199" t="str">
        <f t="shared" si="34"/>
        <v>1kilos</v>
      </c>
      <c r="U1245" s="200">
        <f t="shared" si="35"/>
        <v>320</v>
      </c>
      <c r="V1245" s="12"/>
      <c r="W1245" s="12"/>
    </row>
    <row r="1246" spans="1:23" x14ac:dyDescent="0.3">
      <c r="A1246" s="193" t="e">
        <f ca="1"/>
        <v>#NAME?</v>
      </c>
      <c r="B1246" s="46" t="s">
        <v>1645</v>
      </c>
      <c r="C1246" s="315"/>
      <c r="D1246" s="316"/>
      <c r="E1246" s="315"/>
      <c r="F1246" s="315"/>
      <c r="G1246" s="315"/>
      <c r="H1246" s="153"/>
      <c r="I1246" s="12"/>
      <c r="J1246" s="46" t="s">
        <v>1646</v>
      </c>
      <c r="K1246" s="12"/>
      <c r="L1246" s="288">
        <v>1</v>
      </c>
      <c r="M1246" s="289">
        <v>143</v>
      </c>
      <c r="N1246" s="290">
        <v>50</v>
      </c>
      <c r="O1246" s="46"/>
      <c r="P1246" s="46" t="s">
        <v>92</v>
      </c>
      <c r="Q1246" s="12"/>
      <c r="R1246" s="192" t="str">
        <f t="shared" si="32"/>
        <v>50pieces</v>
      </c>
      <c r="S1246" s="198">
        <f t="shared" si="33"/>
        <v>7150</v>
      </c>
      <c r="T1246" s="199" t="str">
        <f t="shared" si="34"/>
        <v>7150pieces</v>
      </c>
      <c r="U1246" s="200">
        <f t="shared" si="35"/>
        <v>143</v>
      </c>
      <c r="V1246" s="12"/>
      <c r="W1246" s="12"/>
    </row>
    <row r="1247" spans="1:23" x14ac:dyDescent="0.3">
      <c r="A1247" s="193" t="e">
        <f ca="1"/>
        <v>#NAME?</v>
      </c>
      <c r="B1247" s="46" t="s">
        <v>1647</v>
      </c>
      <c r="C1247" s="315"/>
      <c r="D1247" s="316"/>
      <c r="E1247" s="315"/>
      <c r="F1247" s="315"/>
      <c r="G1247" s="315"/>
      <c r="H1247" s="153"/>
      <c r="I1247" s="12"/>
      <c r="J1247" s="170"/>
      <c r="K1247" s="12"/>
      <c r="L1247" s="288">
        <v>1</v>
      </c>
      <c r="M1247" s="289">
        <v>69</v>
      </c>
      <c r="N1247" s="290">
        <v>1</v>
      </c>
      <c r="O1247" s="46"/>
      <c r="P1247" s="46" t="s">
        <v>92</v>
      </c>
      <c r="Q1247" s="12"/>
      <c r="R1247" s="192" t="str">
        <f t="shared" si="32"/>
        <v>1pieces</v>
      </c>
      <c r="S1247" s="198">
        <f t="shared" si="33"/>
        <v>69</v>
      </c>
      <c r="T1247" s="199" t="str">
        <f t="shared" si="34"/>
        <v>69pieces</v>
      </c>
      <c r="U1247" s="200">
        <f t="shared" si="35"/>
        <v>69</v>
      </c>
      <c r="V1247" s="12"/>
      <c r="W1247" s="12"/>
    </row>
    <row r="1248" spans="1:23" x14ac:dyDescent="0.3">
      <c r="A1248" s="193" t="e">
        <f ca="1"/>
        <v>#NAME?</v>
      </c>
      <c r="B1248" s="46" t="s">
        <v>1648</v>
      </c>
      <c r="C1248" s="315"/>
      <c r="D1248" s="316"/>
      <c r="E1248" s="315"/>
      <c r="F1248" s="315"/>
      <c r="G1248" s="315"/>
      <c r="H1248" s="153"/>
      <c r="I1248" s="12"/>
      <c r="J1248" s="170"/>
      <c r="K1248" s="12"/>
      <c r="L1248" s="288">
        <v>2</v>
      </c>
      <c r="M1248" s="289">
        <v>41</v>
      </c>
      <c r="N1248" s="290">
        <v>1</v>
      </c>
      <c r="O1248" s="46"/>
      <c r="P1248" s="46" t="s">
        <v>92</v>
      </c>
      <c r="Q1248" s="12"/>
      <c r="R1248" s="192" t="str">
        <f t="shared" si="32"/>
        <v>1pieces</v>
      </c>
      <c r="S1248" s="198">
        <f t="shared" si="33"/>
        <v>41</v>
      </c>
      <c r="T1248" s="199" t="str">
        <f t="shared" si="34"/>
        <v>41pieces</v>
      </c>
      <c r="U1248" s="200">
        <f t="shared" si="35"/>
        <v>82</v>
      </c>
      <c r="V1248" s="12"/>
      <c r="W1248" s="12"/>
    </row>
    <row r="1249" spans="1:23" x14ac:dyDescent="0.3">
      <c r="A1249" s="193" t="e">
        <f ca="1"/>
        <v>#NAME?</v>
      </c>
      <c r="B1249" s="46" t="s">
        <v>1649</v>
      </c>
      <c r="C1249" s="315"/>
      <c r="D1249" s="316"/>
      <c r="E1249" s="315"/>
      <c r="F1249" s="315"/>
      <c r="G1249" s="315"/>
      <c r="H1249" s="153"/>
      <c r="I1249" s="12"/>
      <c r="J1249" s="46" t="s">
        <v>1412</v>
      </c>
      <c r="K1249" s="12"/>
      <c r="L1249" s="288">
        <v>48</v>
      </c>
      <c r="M1249" s="289">
        <v>2</v>
      </c>
      <c r="N1249" s="290">
        <v>130</v>
      </c>
      <c r="O1249" s="60"/>
      <c r="P1249" s="60" t="s">
        <v>32</v>
      </c>
      <c r="Q1249" s="12"/>
      <c r="R1249" s="192" t="str">
        <f t="shared" si="32"/>
        <v>130ml</v>
      </c>
      <c r="S1249" s="198">
        <f t="shared" si="33"/>
        <v>260</v>
      </c>
      <c r="T1249" s="199" t="str">
        <f t="shared" si="34"/>
        <v>260ml</v>
      </c>
      <c r="U1249" s="200">
        <f t="shared" si="35"/>
        <v>96</v>
      </c>
      <c r="V1249" s="12"/>
      <c r="W1249" s="12"/>
    </row>
    <row r="1250" spans="1:23" x14ac:dyDescent="0.3">
      <c r="A1250" s="193" t="e">
        <f ca="1"/>
        <v>#NAME?</v>
      </c>
      <c r="B1250" s="46" t="s">
        <v>768</v>
      </c>
      <c r="C1250" s="315"/>
      <c r="D1250" s="316"/>
      <c r="E1250" s="315"/>
      <c r="F1250" s="315"/>
      <c r="G1250" s="315"/>
      <c r="H1250" s="153"/>
      <c r="I1250" s="12"/>
      <c r="J1250" s="170"/>
      <c r="K1250" s="12"/>
      <c r="L1250" s="288">
        <v>50</v>
      </c>
      <c r="M1250" s="289">
        <v>0</v>
      </c>
      <c r="N1250" s="290">
        <v>1</v>
      </c>
      <c r="O1250" s="46"/>
      <c r="P1250" s="46" t="s">
        <v>213</v>
      </c>
      <c r="Q1250" s="12"/>
      <c r="R1250" s="192" t="str">
        <f t="shared" si="32"/>
        <v>1kilos</v>
      </c>
      <c r="S1250" s="198">
        <f t="shared" si="33"/>
        <v>0</v>
      </c>
      <c r="T1250" s="199" t="str">
        <f t="shared" si="34"/>
        <v>0kilos</v>
      </c>
      <c r="U1250" s="200">
        <f t="shared" si="35"/>
        <v>0</v>
      </c>
      <c r="V1250" s="12"/>
      <c r="W1250" s="12"/>
    </row>
    <row r="1251" spans="1:23" x14ac:dyDescent="0.3">
      <c r="A1251" s="193" t="e">
        <f ca="1"/>
        <v>#NAME?</v>
      </c>
      <c r="B1251" s="46" t="s">
        <v>768</v>
      </c>
      <c r="C1251" s="315"/>
      <c r="D1251" s="316"/>
      <c r="E1251" s="315"/>
      <c r="F1251" s="315"/>
      <c r="G1251" s="315"/>
      <c r="H1251" s="153"/>
      <c r="I1251" s="12"/>
      <c r="J1251" s="170"/>
      <c r="K1251" s="12"/>
      <c r="L1251" s="288">
        <v>70</v>
      </c>
      <c r="M1251" s="289">
        <v>2</v>
      </c>
      <c r="N1251" s="290">
        <v>1</v>
      </c>
      <c r="O1251" s="46"/>
      <c r="P1251" s="46" t="s">
        <v>213</v>
      </c>
      <c r="Q1251" s="12"/>
      <c r="R1251" s="192" t="str">
        <f t="shared" si="32"/>
        <v>1kilos</v>
      </c>
      <c r="S1251" s="198">
        <f t="shared" si="33"/>
        <v>2</v>
      </c>
      <c r="T1251" s="199" t="str">
        <f t="shared" si="34"/>
        <v>2kilos</v>
      </c>
      <c r="U1251" s="200">
        <f t="shared" si="35"/>
        <v>140</v>
      </c>
      <c r="V1251" s="12"/>
      <c r="W1251" s="12"/>
    </row>
    <row r="1252" spans="1:23" x14ac:dyDescent="0.3">
      <c r="A1252" s="193" t="e">
        <f ca="1"/>
        <v>#NAME?</v>
      </c>
      <c r="B1252" s="46" t="s">
        <v>768</v>
      </c>
      <c r="C1252" s="315"/>
      <c r="D1252" s="316"/>
      <c r="E1252" s="315"/>
      <c r="F1252" s="315"/>
      <c r="G1252" s="315"/>
      <c r="H1252" s="153"/>
      <c r="I1252" s="12"/>
      <c r="J1252" s="170"/>
      <c r="K1252" s="12"/>
      <c r="L1252" s="288">
        <v>30</v>
      </c>
      <c r="M1252" s="289">
        <v>26</v>
      </c>
      <c r="N1252" s="290">
        <v>1</v>
      </c>
      <c r="O1252" s="46"/>
      <c r="P1252" s="46" t="s">
        <v>213</v>
      </c>
      <c r="Q1252" s="12"/>
      <c r="R1252" s="192" t="str">
        <f t="shared" si="32"/>
        <v>1kilos</v>
      </c>
      <c r="S1252" s="198">
        <f t="shared" si="33"/>
        <v>26</v>
      </c>
      <c r="T1252" s="199" t="str">
        <f t="shared" si="34"/>
        <v>26kilos</v>
      </c>
      <c r="U1252" s="200">
        <f t="shared" si="35"/>
        <v>780</v>
      </c>
      <c r="V1252" s="12"/>
      <c r="W1252" s="12"/>
    </row>
    <row r="1253" spans="1:23" x14ac:dyDescent="0.3">
      <c r="A1253" s="193" t="e">
        <f ca="1"/>
        <v>#NAME?</v>
      </c>
      <c r="B1253" s="46" t="s">
        <v>768</v>
      </c>
      <c r="C1253" s="315"/>
      <c r="D1253" s="316"/>
      <c r="E1253" s="315"/>
      <c r="F1253" s="315"/>
      <c r="G1253" s="315"/>
      <c r="H1253" s="153"/>
      <c r="I1253" s="12"/>
      <c r="J1253" s="170"/>
      <c r="K1253" s="12"/>
      <c r="L1253" s="288">
        <v>35</v>
      </c>
      <c r="M1253" s="289">
        <v>2</v>
      </c>
      <c r="N1253" s="290">
        <v>1</v>
      </c>
      <c r="O1253" s="46"/>
      <c r="P1253" s="46" t="s">
        <v>213</v>
      </c>
      <c r="Q1253" s="12"/>
      <c r="R1253" s="192" t="str">
        <f t="shared" si="32"/>
        <v>1kilos</v>
      </c>
      <c r="S1253" s="198">
        <f t="shared" si="33"/>
        <v>2</v>
      </c>
      <c r="T1253" s="199" t="str">
        <f t="shared" si="34"/>
        <v>2kilos</v>
      </c>
      <c r="U1253" s="200">
        <f t="shared" si="35"/>
        <v>70</v>
      </c>
      <c r="V1253" s="12"/>
      <c r="W1253" s="12"/>
    </row>
    <row r="1254" spans="1:23" x14ac:dyDescent="0.3">
      <c r="A1254" s="193" t="e">
        <f ca="1"/>
        <v>#NAME?</v>
      </c>
      <c r="B1254" s="46" t="s">
        <v>768</v>
      </c>
      <c r="C1254" s="315"/>
      <c r="D1254" s="316"/>
      <c r="E1254" s="315"/>
      <c r="F1254" s="315"/>
      <c r="G1254" s="315"/>
      <c r="H1254" s="153"/>
      <c r="I1254" s="12"/>
      <c r="J1254" s="46" t="s">
        <v>1060</v>
      </c>
      <c r="K1254" s="12"/>
      <c r="L1254" s="288">
        <v>90</v>
      </c>
      <c r="M1254" s="289">
        <v>8</v>
      </c>
      <c r="N1254" s="290">
        <v>1</v>
      </c>
      <c r="O1254" s="46"/>
      <c r="P1254" s="46" t="s">
        <v>213</v>
      </c>
      <c r="Q1254" s="12"/>
      <c r="R1254" s="192" t="str">
        <f t="shared" si="32"/>
        <v>1kilos</v>
      </c>
      <c r="S1254" s="198">
        <f t="shared" si="33"/>
        <v>8</v>
      </c>
      <c r="T1254" s="199" t="str">
        <f t="shared" si="34"/>
        <v>8kilos</v>
      </c>
      <c r="U1254" s="200">
        <f t="shared" si="35"/>
        <v>720</v>
      </c>
      <c r="V1254" s="12"/>
      <c r="W1254" s="12"/>
    </row>
    <row r="1255" spans="1:23" x14ac:dyDescent="0.3">
      <c r="A1255" s="193" t="e">
        <f ca="1"/>
        <v>#NAME?</v>
      </c>
      <c r="B1255" s="46" t="s">
        <v>1650</v>
      </c>
      <c r="C1255" s="315"/>
      <c r="D1255" s="316"/>
      <c r="E1255" s="315"/>
      <c r="F1255" s="315"/>
      <c r="G1255" s="315"/>
      <c r="H1255" s="153"/>
      <c r="I1255" s="12"/>
      <c r="J1255" s="46" t="s">
        <v>1272</v>
      </c>
      <c r="K1255" s="12"/>
      <c r="L1255" s="288">
        <v>14.55</v>
      </c>
      <c r="M1255" s="289">
        <v>7</v>
      </c>
      <c r="N1255" s="290">
        <v>1</v>
      </c>
      <c r="O1255" s="46"/>
      <c r="P1255" s="46" t="s">
        <v>92</v>
      </c>
      <c r="Q1255" s="12"/>
      <c r="R1255" s="192" t="str">
        <f t="shared" si="32"/>
        <v>1pieces</v>
      </c>
      <c r="S1255" s="198">
        <f t="shared" si="33"/>
        <v>7</v>
      </c>
      <c r="T1255" s="199" t="str">
        <f t="shared" si="34"/>
        <v>7pieces</v>
      </c>
      <c r="U1255" s="200">
        <f t="shared" si="35"/>
        <v>101.85000000000001</v>
      </c>
      <c r="V1255" s="12"/>
      <c r="W1255" s="12"/>
    </row>
    <row r="1256" spans="1:23" x14ac:dyDescent="0.3">
      <c r="A1256" s="193" t="e">
        <f ca="1"/>
        <v>#NAME?</v>
      </c>
      <c r="B1256" s="46" t="s">
        <v>1650</v>
      </c>
      <c r="C1256" s="315"/>
      <c r="D1256" s="316"/>
      <c r="E1256" s="315"/>
      <c r="F1256" s="315"/>
      <c r="G1256" s="315"/>
      <c r="H1256" s="153"/>
      <c r="I1256" s="12"/>
      <c r="J1256" s="46" t="s">
        <v>1272</v>
      </c>
      <c r="K1256" s="12"/>
      <c r="L1256" s="288">
        <v>49</v>
      </c>
      <c r="M1256" s="289">
        <v>12</v>
      </c>
      <c r="N1256" s="290">
        <v>1</v>
      </c>
      <c r="O1256" s="46"/>
      <c r="P1256" s="46" t="s">
        <v>92</v>
      </c>
      <c r="Q1256" s="12"/>
      <c r="R1256" s="192" t="str">
        <f t="shared" si="32"/>
        <v>1pieces</v>
      </c>
      <c r="S1256" s="198">
        <f t="shared" si="33"/>
        <v>12</v>
      </c>
      <c r="T1256" s="199" t="str">
        <f t="shared" si="34"/>
        <v>12pieces</v>
      </c>
      <c r="U1256" s="200">
        <f t="shared" si="35"/>
        <v>588</v>
      </c>
      <c r="V1256" s="12"/>
      <c r="W1256" s="12"/>
    </row>
    <row r="1257" spans="1:23" x14ac:dyDescent="0.3">
      <c r="A1257" s="193" t="e">
        <f ca="1"/>
        <v>#NAME?</v>
      </c>
      <c r="B1257" s="46" t="s">
        <v>1650</v>
      </c>
      <c r="C1257" s="315"/>
      <c r="D1257" s="316"/>
      <c r="E1257" s="315"/>
      <c r="F1257" s="315"/>
      <c r="G1257" s="315"/>
      <c r="H1257" s="153"/>
      <c r="I1257" s="12"/>
      <c r="J1257" s="46" t="s">
        <v>1272</v>
      </c>
      <c r="K1257" s="12"/>
      <c r="L1257" s="288">
        <v>14.55</v>
      </c>
      <c r="M1257" s="289">
        <v>12</v>
      </c>
      <c r="N1257" s="290">
        <v>1</v>
      </c>
      <c r="O1257" s="46"/>
      <c r="P1257" s="46" t="s">
        <v>92</v>
      </c>
      <c r="Q1257" s="12"/>
      <c r="R1257" s="192" t="str">
        <f t="shared" si="32"/>
        <v>1pieces</v>
      </c>
      <c r="S1257" s="198">
        <f t="shared" si="33"/>
        <v>12</v>
      </c>
      <c r="T1257" s="199" t="str">
        <f t="shared" si="34"/>
        <v>12pieces</v>
      </c>
      <c r="U1257" s="200">
        <f t="shared" si="35"/>
        <v>174.60000000000002</v>
      </c>
      <c r="V1257" s="12"/>
      <c r="W1257" s="12"/>
    </row>
    <row r="1258" spans="1:23" x14ac:dyDescent="0.3">
      <c r="A1258" s="193" t="e">
        <f ca="1"/>
        <v>#NAME?</v>
      </c>
      <c r="B1258" s="46" t="s">
        <v>1650</v>
      </c>
      <c r="C1258" s="315"/>
      <c r="D1258" s="316"/>
      <c r="E1258" s="315"/>
      <c r="F1258" s="315"/>
      <c r="G1258" s="315"/>
      <c r="H1258" s="153"/>
      <c r="I1258" s="12"/>
      <c r="J1258" s="46" t="s">
        <v>1272</v>
      </c>
      <c r="K1258" s="12"/>
      <c r="L1258" s="288">
        <v>32.5</v>
      </c>
      <c r="M1258" s="289">
        <v>8</v>
      </c>
      <c r="N1258" s="290">
        <v>1</v>
      </c>
      <c r="O1258" s="46"/>
      <c r="P1258" s="46" t="s">
        <v>92</v>
      </c>
      <c r="Q1258" s="12"/>
      <c r="R1258" s="192" t="str">
        <f t="shared" si="32"/>
        <v>1pieces</v>
      </c>
      <c r="S1258" s="198">
        <f t="shared" si="33"/>
        <v>8</v>
      </c>
      <c r="T1258" s="199" t="str">
        <f t="shared" si="34"/>
        <v>8pieces</v>
      </c>
      <c r="U1258" s="200">
        <f t="shared" si="35"/>
        <v>260</v>
      </c>
      <c r="V1258" s="12"/>
      <c r="W1258" s="12"/>
    </row>
    <row r="1259" spans="1:23" x14ac:dyDescent="0.3">
      <c r="A1259" s="193" t="e">
        <f ca="1"/>
        <v>#NAME?</v>
      </c>
      <c r="B1259" s="219" t="s">
        <v>1651</v>
      </c>
      <c r="C1259" s="315"/>
      <c r="D1259" s="316"/>
      <c r="E1259" s="315"/>
      <c r="F1259" s="315"/>
      <c r="G1259" s="315"/>
      <c r="H1259" s="153"/>
      <c r="I1259" s="12"/>
      <c r="J1259" s="219" t="s">
        <v>1652</v>
      </c>
      <c r="K1259" s="12"/>
      <c r="L1259" s="291">
        <v>85.5</v>
      </c>
      <c r="M1259" s="292">
        <v>1</v>
      </c>
      <c r="N1259" s="293">
        <v>250</v>
      </c>
      <c r="O1259" s="219"/>
      <c r="P1259" s="219" t="s">
        <v>39</v>
      </c>
      <c r="Q1259" s="12"/>
      <c r="R1259" s="192" t="str">
        <f t="shared" si="32"/>
        <v>250grams</v>
      </c>
      <c r="S1259" s="198">
        <f t="shared" si="33"/>
        <v>250</v>
      </c>
      <c r="T1259" s="199" t="str">
        <f t="shared" si="34"/>
        <v>250grams</v>
      </c>
      <c r="U1259" s="200">
        <f t="shared" si="35"/>
        <v>85.5</v>
      </c>
      <c r="V1259" s="12"/>
      <c r="W1259" s="12"/>
    </row>
    <row r="1260" spans="1:23" x14ac:dyDescent="0.3">
      <c r="A1260" s="193" t="e">
        <f ca="1"/>
        <v>#NAME?</v>
      </c>
      <c r="B1260" s="219" t="s">
        <v>771</v>
      </c>
      <c r="C1260" s="315"/>
      <c r="D1260" s="316"/>
      <c r="E1260" s="315"/>
      <c r="F1260" s="315"/>
      <c r="G1260" s="315"/>
      <c r="H1260" s="153"/>
      <c r="I1260" s="12"/>
      <c r="J1260" s="46" t="s">
        <v>1102</v>
      </c>
      <c r="K1260" s="12"/>
      <c r="L1260" s="288">
        <v>272</v>
      </c>
      <c r="M1260" s="289">
        <v>0</v>
      </c>
      <c r="N1260" s="290">
        <v>410</v>
      </c>
      <c r="O1260" s="46"/>
      <c r="P1260" s="46" t="s">
        <v>32</v>
      </c>
      <c r="Q1260" s="12"/>
      <c r="R1260" s="192" t="str">
        <f t="shared" si="32"/>
        <v>410ml</v>
      </c>
      <c r="S1260" s="198">
        <f t="shared" si="33"/>
        <v>0</v>
      </c>
      <c r="T1260" s="199" t="str">
        <f t="shared" si="34"/>
        <v>0ml</v>
      </c>
      <c r="U1260" s="200">
        <f t="shared" si="35"/>
        <v>0</v>
      </c>
      <c r="V1260" s="12"/>
      <c r="W1260" s="12"/>
    </row>
    <row r="1261" spans="1:23" x14ac:dyDescent="0.3">
      <c r="A1261" s="193" t="e">
        <f ca="1"/>
        <v>#NAME?</v>
      </c>
      <c r="B1261" s="219" t="s">
        <v>771</v>
      </c>
      <c r="C1261" s="315"/>
      <c r="D1261" s="316"/>
      <c r="E1261" s="315"/>
      <c r="F1261" s="315"/>
      <c r="G1261" s="315"/>
      <c r="H1261" s="153"/>
      <c r="I1261" s="12"/>
      <c r="J1261" s="219" t="s">
        <v>980</v>
      </c>
      <c r="K1261" s="12"/>
      <c r="L1261" s="291">
        <v>155</v>
      </c>
      <c r="M1261" s="292">
        <v>1</v>
      </c>
      <c r="N1261" s="293">
        <v>210</v>
      </c>
      <c r="O1261" s="219"/>
      <c r="P1261" s="219" t="s">
        <v>32</v>
      </c>
      <c r="Q1261" s="12"/>
      <c r="R1261" s="192" t="str">
        <f t="shared" si="32"/>
        <v>210ml</v>
      </c>
      <c r="S1261" s="198">
        <f t="shared" si="33"/>
        <v>210</v>
      </c>
      <c r="T1261" s="199" t="str">
        <f t="shared" si="34"/>
        <v>210ml</v>
      </c>
      <c r="U1261" s="200">
        <f t="shared" si="35"/>
        <v>155</v>
      </c>
      <c r="V1261" s="12"/>
      <c r="W1261" s="12"/>
    </row>
    <row r="1262" spans="1:23" x14ac:dyDescent="0.3">
      <c r="A1262" s="193" t="e">
        <f ca="1"/>
        <v>#NAME?</v>
      </c>
      <c r="B1262" s="46" t="s">
        <v>1653</v>
      </c>
      <c r="C1262" s="315"/>
      <c r="D1262" s="316"/>
      <c r="E1262" s="315"/>
      <c r="F1262" s="315"/>
      <c r="G1262" s="315"/>
      <c r="H1262" s="153"/>
      <c r="I1262" s="12"/>
      <c r="J1262" s="46" t="s">
        <v>851</v>
      </c>
      <c r="K1262" s="12"/>
      <c r="L1262" s="288">
        <v>25</v>
      </c>
      <c r="M1262" s="289">
        <v>1</v>
      </c>
      <c r="N1262" s="290">
        <v>50</v>
      </c>
      <c r="O1262" s="297"/>
      <c r="P1262" s="297" t="s">
        <v>39</v>
      </c>
      <c r="Q1262" s="12"/>
      <c r="R1262" s="192" t="str">
        <f t="shared" si="32"/>
        <v>50grams</v>
      </c>
      <c r="S1262" s="198">
        <f t="shared" si="33"/>
        <v>50</v>
      </c>
      <c r="T1262" s="199" t="str">
        <f t="shared" si="34"/>
        <v>50grams</v>
      </c>
      <c r="U1262" s="200">
        <f t="shared" si="35"/>
        <v>25</v>
      </c>
      <c r="V1262" s="12"/>
      <c r="W1262" s="12"/>
    </row>
    <row r="1263" spans="1:23" x14ac:dyDescent="0.3">
      <c r="A1263" s="193" t="e">
        <f ca="1"/>
        <v>#NAME?</v>
      </c>
      <c r="B1263" s="46" t="s">
        <v>1653</v>
      </c>
      <c r="C1263" s="315"/>
      <c r="D1263" s="316"/>
      <c r="E1263" s="315"/>
      <c r="F1263" s="315"/>
      <c r="G1263" s="315"/>
      <c r="H1263" s="153"/>
      <c r="I1263" s="12"/>
      <c r="J1263" s="46" t="s">
        <v>962</v>
      </c>
      <c r="K1263" s="12"/>
      <c r="L1263" s="288">
        <v>300</v>
      </c>
      <c r="M1263" s="289">
        <v>1</v>
      </c>
      <c r="N1263" s="290">
        <v>1</v>
      </c>
      <c r="O1263" s="46"/>
      <c r="P1263" s="46" t="s">
        <v>213</v>
      </c>
      <c r="Q1263" s="12"/>
      <c r="R1263" s="192" t="str">
        <f t="shared" si="32"/>
        <v>1kilos</v>
      </c>
      <c r="S1263" s="198">
        <f t="shared" si="33"/>
        <v>1</v>
      </c>
      <c r="T1263" s="199" t="str">
        <f t="shared" si="34"/>
        <v>1kilos</v>
      </c>
      <c r="U1263" s="200">
        <f t="shared" si="35"/>
        <v>300</v>
      </c>
      <c r="V1263" s="12"/>
      <c r="W1263" s="12"/>
    </row>
    <row r="1264" spans="1:23" x14ac:dyDescent="0.3">
      <c r="A1264" s="193" t="e">
        <f ca="1"/>
        <v>#NAME?</v>
      </c>
      <c r="B1264" s="46" t="s">
        <v>1654</v>
      </c>
      <c r="C1264" s="315"/>
      <c r="D1264" s="316"/>
      <c r="E1264" s="315"/>
      <c r="F1264" s="315"/>
      <c r="G1264" s="315"/>
      <c r="H1264" s="153"/>
      <c r="I1264" s="12"/>
      <c r="J1264" s="46" t="s">
        <v>1655</v>
      </c>
      <c r="K1264" s="12"/>
      <c r="L1264" s="288">
        <v>6.58</v>
      </c>
      <c r="M1264" s="289">
        <v>12</v>
      </c>
      <c r="N1264" s="321">
        <v>13.5</v>
      </c>
      <c r="O1264" s="46"/>
      <c r="P1264" s="46" t="s">
        <v>32</v>
      </c>
      <c r="Q1264" s="12"/>
      <c r="R1264" s="192" t="str">
        <f t="shared" si="32"/>
        <v>13.5ml</v>
      </c>
      <c r="S1264" s="198">
        <f t="shared" si="33"/>
        <v>162</v>
      </c>
      <c r="T1264" s="199" t="str">
        <f t="shared" si="34"/>
        <v>162ml</v>
      </c>
      <c r="U1264" s="200">
        <f t="shared" si="35"/>
        <v>78.960000000000008</v>
      </c>
      <c r="V1264" s="12"/>
      <c r="W1264" s="12"/>
    </row>
    <row r="1265" spans="1:23" x14ac:dyDescent="0.3">
      <c r="A1265" s="193" t="e">
        <f ca="1"/>
        <v>#NAME?</v>
      </c>
      <c r="B1265" s="309" t="s">
        <v>1654</v>
      </c>
      <c r="C1265" s="315"/>
      <c r="D1265" s="316"/>
      <c r="E1265" s="315"/>
      <c r="F1265" s="315"/>
      <c r="G1265" s="315"/>
      <c r="H1265" s="153"/>
      <c r="I1265" s="12"/>
      <c r="J1265" s="46" t="s">
        <v>1655</v>
      </c>
      <c r="K1265" s="12"/>
      <c r="L1265" s="288">
        <v>5.9</v>
      </c>
      <c r="M1265" s="289">
        <v>20</v>
      </c>
      <c r="N1265" s="321">
        <v>13.5</v>
      </c>
      <c r="O1265" s="46"/>
      <c r="P1265" s="46" t="s">
        <v>32</v>
      </c>
      <c r="Q1265" s="12"/>
      <c r="R1265" s="192" t="str">
        <f t="shared" si="32"/>
        <v>13.5ml</v>
      </c>
      <c r="S1265" s="198">
        <f t="shared" si="33"/>
        <v>270</v>
      </c>
      <c r="T1265" s="199" t="str">
        <f t="shared" si="34"/>
        <v>270ml</v>
      </c>
      <c r="U1265" s="200">
        <f t="shared" si="35"/>
        <v>118</v>
      </c>
      <c r="V1265" s="12"/>
      <c r="W1265" s="12"/>
    </row>
    <row r="1266" spans="1:23" x14ac:dyDescent="0.3">
      <c r="A1266" s="193" t="e">
        <f ca="1"/>
        <v>#NAME?</v>
      </c>
      <c r="B1266" s="320" t="s">
        <v>1656</v>
      </c>
      <c r="C1266" s="315"/>
      <c r="D1266" s="316"/>
      <c r="E1266" s="315"/>
      <c r="F1266" s="315"/>
      <c r="G1266" s="315"/>
      <c r="H1266" s="153"/>
      <c r="I1266" s="12"/>
      <c r="J1266" s="46" t="s">
        <v>1042</v>
      </c>
      <c r="K1266" s="12"/>
      <c r="L1266" s="288">
        <v>39.950000000000003</v>
      </c>
      <c r="M1266" s="289">
        <v>2</v>
      </c>
      <c r="N1266" s="290">
        <v>156</v>
      </c>
      <c r="O1266" s="46"/>
      <c r="P1266" s="46" t="s">
        <v>519</v>
      </c>
      <c r="Q1266" s="12"/>
      <c r="R1266" s="192" t="str">
        <f t="shared" si="32"/>
        <v>156drained weight grams</v>
      </c>
      <c r="S1266" s="198">
        <f t="shared" si="33"/>
        <v>312</v>
      </c>
      <c r="T1266" s="199" t="str">
        <f t="shared" si="34"/>
        <v>312drained weight grams</v>
      </c>
      <c r="U1266" s="200">
        <f t="shared" si="35"/>
        <v>79.900000000000006</v>
      </c>
      <c r="V1266" s="12"/>
      <c r="W1266" s="12"/>
    </row>
    <row r="1267" spans="1:23" x14ac:dyDescent="0.3">
      <c r="A1267" s="193" t="e">
        <f ca="1"/>
        <v>#NAME?</v>
      </c>
      <c r="B1267" s="309" t="s">
        <v>1656</v>
      </c>
      <c r="C1267" s="315"/>
      <c r="D1267" s="316"/>
      <c r="E1267" s="315"/>
      <c r="F1267" s="315"/>
      <c r="G1267" s="315"/>
      <c r="H1267" s="153"/>
      <c r="I1267" s="12"/>
      <c r="J1267" s="46" t="s">
        <v>1042</v>
      </c>
      <c r="K1267" s="12"/>
      <c r="L1267" s="288">
        <v>54</v>
      </c>
      <c r="M1267" s="289">
        <v>1</v>
      </c>
      <c r="N1267" s="290">
        <v>156</v>
      </c>
      <c r="O1267" s="46"/>
      <c r="P1267" s="46" t="s">
        <v>519</v>
      </c>
      <c r="Q1267" s="12"/>
      <c r="R1267" s="192" t="str">
        <f t="shared" si="32"/>
        <v>156drained weight grams</v>
      </c>
      <c r="S1267" s="198">
        <f t="shared" si="33"/>
        <v>156</v>
      </c>
      <c r="T1267" s="199" t="str">
        <f t="shared" si="34"/>
        <v>156drained weight grams</v>
      </c>
      <c r="U1267" s="200">
        <f t="shared" si="35"/>
        <v>54</v>
      </c>
      <c r="V1267" s="12"/>
      <c r="W1267" s="12"/>
    </row>
    <row r="1268" spans="1:23" x14ac:dyDescent="0.3">
      <c r="A1268" s="193" t="e">
        <f ca="1"/>
        <v>#NAME?</v>
      </c>
      <c r="B1268" s="317" t="s">
        <v>1657</v>
      </c>
      <c r="C1268" s="315"/>
      <c r="D1268" s="316"/>
      <c r="E1268" s="315"/>
      <c r="F1268" s="315"/>
      <c r="G1268" s="315"/>
      <c r="H1268" s="153"/>
      <c r="I1268" s="12"/>
      <c r="J1268" s="219" t="s">
        <v>1658</v>
      </c>
      <c r="K1268" s="12"/>
      <c r="L1268" s="291">
        <v>57.25</v>
      </c>
      <c r="M1268" s="292">
        <v>2</v>
      </c>
      <c r="N1268" s="293">
        <v>285</v>
      </c>
      <c r="O1268" s="219"/>
      <c r="P1268" s="219" t="s">
        <v>32</v>
      </c>
      <c r="Q1268" s="12"/>
      <c r="R1268" s="192" t="str">
        <f t="shared" si="32"/>
        <v>285ml</v>
      </c>
      <c r="S1268" s="198">
        <f t="shared" si="33"/>
        <v>570</v>
      </c>
      <c r="T1268" s="199" t="str">
        <f t="shared" si="34"/>
        <v>570ml</v>
      </c>
      <c r="U1268" s="200">
        <f t="shared" si="35"/>
        <v>114.5</v>
      </c>
      <c r="V1268" s="12"/>
      <c r="W1268" s="12"/>
    </row>
    <row r="1269" spans="1:23" x14ac:dyDescent="0.3">
      <c r="A1269" s="193" t="e">
        <f ca="1"/>
        <v>#NAME?</v>
      </c>
      <c r="B1269" s="309" t="s">
        <v>1659</v>
      </c>
      <c r="C1269" s="315"/>
      <c r="D1269" s="316"/>
      <c r="E1269" s="315"/>
      <c r="F1269" s="315"/>
      <c r="G1269" s="315"/>
      <c r="H1269" s="153"/>
      <c r="I1269" s="12"/>
      <c r="J1269" s="170"/>
      <c r="K1269" s="12"/>
      <c r="L1269" s="288">
        <v>420</v>
      </c>
      <c r="M1269" s="289">
        <v>2</v>
      </c>
      <c r="N1269" s="290">
        <v>1</v>
      </c>
      <c r="O1269" s="46"/>
      <c r="P1269" s="46" t="s">
        <v>213</v>
      </c>
      <c r="Q1269" s="12"/>
      <c r="R1269" s="192" t="str">
        <f t="shared" si="32"/>
        <v>1kilos</v>
      </c>
      <c r="S1269" s="198">
        <f t="shared" si="33"/>
        <v>2</v>
      </c>
      <c r="T1269" s="199" t="str">
        <f t="shared" si="34"/>
        <v>2kilos</v>
      </c>
      <c r="U1269" s="200">
        <f t="shared" si="35"/>
        <v>840</v>
      </c>
      <c r="V1269" s="12"/>
      <c r="W1269" s="12"/>
    </row>
    <row r="1270" spans="1:23" x14ac:dyDescent="0.3">
      <c r="A1270" s="193" t="e">
        <f ca="1"/>
        <v>#NAME?</v>
      </c>
      <c r="B1270" s="309" t="s">
        <v>1660</v>
      </c>
      <c r="C1270" s="315"/>
      <c r="D1270" s="316"/>
      <c r="E1270" s="315"/>
      <c r="F1270" s="315"/>
      <c r="G1270" s="315"/>
      <c r="H1270" s="153"/>
      <c r="I1270" s="12"/>
      <c r="J1270" s="170"/>
      <c r="K1270" s="12"/>
      <c r="L1270" s="288">
        <v>130</v>
      </c>
      <c r="M1270" s="289">
        <v>0</v>
      </c>
      <c r="N1270" s="290">
        <v>1</v>
      </c>
      <c r="O1270" s="46"/>
      <c r="P1270" s="46" t="s">
        <v>213</v>
      </c>
      <c r="Q1270" s="12"/>
      <c r="R1270" s="192" t="str">
        <f t="shared" si="32"/>
        <v>1kilos</v>
      </c>
      <c r="S1270" s="198">
        <f t="shared" si="33"/>
        <v>0</v>
      </c>
      <c r="T1270" s="199" t="str">
        <f t="shared" si="34"/>
        <v>0kilos</v>
      </c>
      <c r="U1270" s="200">
        <f t="shared" si="35"/>
        <v>0</v>
      </c>
      <c r="V1270" s="12"/>
      <c r="W1270" s="12"/>
    </row>
    <row r="1271" spans="1:23" x14ac:dyDescent="0.3">
      <c r="A1271" s="193" t="e">
        <f ca="1"/>
        <v>#NAME?</v>
      </c>
      <c r="B1271" s="46" t="s">
        <v>1661</v>
      </c>
      <c r="C1271" s="315"/>
      <c r="D1271" s="316"/>
      <c r="E1271" s="315"/>
      <c r="F1271" s="315"/>
      <c r="G1271" s="315"/>
      <c r="H1271" s="153"/>
      <c r="I1271" s="12"/>
      <c r="J1271" s="46" t="s">
        <v>1662</v>
      </c>
      <c r="K1271" s="12"/>
      <c r="L1271" s="288">
        <v>600</v>
      </c>
      <c r="M1271" s="289">
        <v>0</v>
      </c>
      <c r="N1271" s="290">
        <v>1000</v>
      </c>
      <c r="O1271" s="46"/>
      <c r="P1271" s="46" t="s">
        <v>213</v>
      </c>
      <c r="Q1271" s="12"/>
      <c r="R1271" s="192" t="str">
        <f t="shared" si="32"/>
        <v>1000kilos</v>
      </c>
      <c r="S1271" s="198">
        <f t="shared" si="33"/>
        <v>0</v>
      </c>
      <c r="T1271" s="199" t="str">
        <f t="shared" si="34"/>
        <v>0kilos</v>
      </c>
      <c r="U1271" s="200">
        <f t="shared" si="35"/>
        <v>0</v>
      </c>
      <c r="V1271" s="12"/>
      <c r="W1271" s="12"/>
    </row>
    <row r="1272" spans="1:23" x14ac:dyDescent="0.3">
      <c r="A1272" s="193" t="e">
        <f ca="1"/>
        <v>#NAME?</v>
      </c>
      <c r="B1272" s="46" t="s">
        <v>1661</v>
      </c>
      <c r="C1272" s="315"/>
      <c r="D1272" s="316"/>
      <c r="E1272" s="315"/>
      <c r="F1272" s="315"/>
      <c r="G1272" s="315"/>
      <c r="H1272" s="153"/>
      <c r="I1272" s="12"/>
      <c r="J1272" s="170"/>
      <c r="K1272" s="12"/>
      <c r="L1272" s="288">
        <v>730</v>
      </c>
      <c r="M1272" s="289">
        <v>1</v>
      </c>
      <c r="N1272" s="290">
        <v>1</v>
      </c>
      <c r="O1272" s="46"/>
      <c r="P1272" s="46" t="s">
        <v>213</v>
      </c>
      <c r="Q1272" s="12"/>
      <c r="R1272" s="192" t="str">
        <f t="shared" si="32"/>
        <v>1kilos</v>
      </c>
      <c r="S1272" s="198">
        <f t="shared" si="33"/>
        <v>1</v>
      </c>
      <c r="T1272" s="199" t="str">
        <f t="shared" si="34"/>
        <v>1kilos</v>
      </c>
      <c r="U1272" s="200">
        <f t="shared" si="35"/>
        <v>730</v>
      </c>
      <c r="V1272" s="12"/>
      <c r="W1272" s="12"/>
    </row>
    <row r="1273" spans="1:23" x14ac:dyDescent="0.3">
      <c r="A1273" s="193" t="e">
        <f ca="1"/>
        <v>#NAME?</v>
      </c>
      <c r="B1273" s="46" t="s">
        <v>1661</v>
      </c>
      <c r="C1273" s="315"/>
      <c r="D1273" s="316"/>
      <c r="E1273" s="315"/>
      <c r="F1273" s="315"/>
      <c r="G1273" s="315"/>
      <c r="H1273" s="153"/>
      <c r="I1273" s="12"/>
      <c r="J1273" s="170"/>
      <c r="K1273" s="12"/>
      <c r="L1273" s="288">
        <v>1000</v>
      </c>
      <c r="M1273" s="289">
        <v>1</v>
      </c>
      <c r="N1273" s="290">
        <v>1</v>
      </c>
      <c r="O1273" s="46"/>
      <c r="P1273" s="46" t="s">
        <v>213</v>
      </c>
      <c r="Q1273" s="12"/>
      <c r="R1273" s="192" t="str">
        <f t="shared" si="32"/>
        <v>1kilos</v>
      </c>
      <c r="S1273" s="198">
        <f t="shared" si="33"/>
        <v>1</v>
      </c>
      <c r="T1273" s="199" t="str">
        <f t="shared" si="34"/>
        <v>1kilos</v>
      </c>
      <c r="U1273" s="200">
        <f t="shared" si="35"/>
        <v>1000</v>
      </c>
      <c r="V1273" s="12"/>
      <c r="W1273" s="12"/>
    </row>
    <row r="1274" spans="1:23" x14ac:dyDescent="0.3">
      <c r="A1274" s="193" t="e">
        <f ca="1"/>
        <v>#NAME?</v>
      </c>
      <c r="B1274" s="46" t="s">
        <v>1663</v>
      </c>
      <c r="C1274" s="315"/>
      <c r="D1274" s="316"/>
      <c r="E1274" s="315"/>
      <c r="F1274" s="315"/>
      <c r="G1274" s="315"/>
      <c r="H1274" s="153"/>
      <c r="I1274" s="12"/>
      <c r="J1274" s="170"/>
      <c r="K1274" s="12"/>
      <c r="L1274" s="288">
        <v>115</v>
      </c>
      <c r="M1274" s="289">
        <v>1</v>
      </c>
      <c r="N1274" s="290">
        <v>1</v>
      </c>
      <c r="O1274" s="46"/>
      <c r="P1274" s="46" t="s">
        <v>213</v>
      </c>
      <c r="Q1274" s="12"/>
      <c r="R1274" s="192" t="str">
        <f t="shared" si="32"/>
        <v>1kilos</v>
      </c>
      <c r="S1274" s="198">
        <f t="shared" si="33"/>
        <v>1</v>
      </c>
      <c r="T1274" s="199" t="str">
        <f t="shared" si="34"/>
        <v>1kilos</v>
      </c>
      <c r="U1274" s="200">
        <f t="shared" si="35"/>
        <v>115</v>
      </c>
      <c r="V1274" s="12"/>
      <c r="W1274" s="12"/>
    </row>
    <row r="1275" spans="1:23" x14ac:dyDescent="0.3">
      <c r="A1275" s="193" t="e">
        <f ca="1"/>
        <v>#NAME?</v>
      </c>
      <c r="B1275" s="46" t="s">
        <v>1664</v>
      </c>
      <c r="C1275" s="315"/>
      <c r="D1275" s="316"/>
      <c r="E1275" s="315"/>
      <c r="F1275" s="315"/>
      <c r="G1275" s="315"/>
      <c r="H1275" s="153"/>
      <c r="I1275" s="12"/>
      <c r="J1275" s="46" t="s">
        <v>1412</v>
      </c>
      <c r="K1275" s="12"/>
      <c r="L1275" s="288">
        <v>14.4</v>
      </c>
      <c r="M1275" s="289">
        <v>13</v>
      </c>
      <c r="N1275" s="290">
        <v>25</v>
      </c>
      <c r="O1275" s="46"/>
      <c r="P1275" s="46" t="s">
        <v>39</v>
      </c>
      <c r="Q1275" s="12"/>
      <c r="R1275" s="192" t="str">
        <f t="shared" si="32"/>
        <v>25grams</v>
      </c>
      <c r="S1275" s="198">
        <f t="shared" si="33"/>
        <v>325</v>
      </c>
      <c r="T1275" s="199" t="str">
        <f t="shared" si="34"/>
        <v>325grams</v>
      </c>
      <c r="U1275" s="200">
        <f t="shared" si="35"/>
        <v>187.20000000000002</v>
      </c>
      <c r="V1275" s="12"/>
      <c r="W1275" s="12"/>
    </row>
    <row r="1276" spans="1:23" x14ac:dyDescent="0.3">
      <c r="A1276" s="193" t="e">
        <f ca="1"/>
        <v>#NAME?</v>
      </c>
      <c r="B1276" s="46" t="s">
        <v>1664</v>
      </c>
      <c r="C1276" s="315"/>
      <c r="D1276" s="316"/>
      <c r="E1276" s="315"/>
      <c r="F1276" s="315"/>
      <c r="G1276" s="315"/>
      <c r="H1276" s="153"/>
      <c r="I1276" s="12"/>
      <c r="J1276" s="46" t="s">
        <v>987</v>
      </c>
      <c r="K1276" s="12"/>
      <c r="L1276" s="288">
        <v>14</v>
      </c>
      <c r="M1276" s="289">
        <v>12</v>
      </c>
      <c r="N1276" s="290">
        <v>25</v>
      </c>
      <c r="O1276" s="46"/>
      <c r="P1276" s="46" t="s">
        <v>39</v>
      </c>
      <c r="Q1276" s="12"/>
      <c r="R1276" s="192" t="str">
        <f t="shared" si="32"/>
        <v>25grams</v>
      </c>
      <c r="S1276" s="198">
        <f t="shared" si="33"/>
        <v>300</v>
      </c>
      <c r="T1276" s="199" t="str">
        <f t="shared" si="34"/>
        <v>300grams</v>
      </c>
      <c r="U1276" s="200">
        <f t="shared" si="35"/>
        <v>168</v>
      </c>
      <c r="V1276" s="12"/>
      <c r="W1276" s="12"/>
    </row>
    <row r="1277" spans="1:23" x14ac:dyDescent="0.3">
      <c r="A1277" s="193" t="e">
        <f ca="1"/>
        <v>#NAME?</v>
      </c>
      <c r="B1277" s="46" t="s">
        <v>775</v>
      </c>
      <c r="C1277" s="315"/>
      <c r="D1277" s="316"/>
      <c r="E1277" s="315"/>
      <c r="F1277" s="315"/>
      <c r="G1277" s="315"/>
      <c r="H1277" s="153"/>
      <c r="I1277" s="12"/>
      <c r="J1277" s="46" t="s">
        <v>1412</v>
      </c>
      <c r="K1277" s="12"/>
      <c r="L1277" s="288">
        <v>14.2</v>
      </c>
      <c r="M1277" s="289">
        <v>13</v>
      </c>
      <c r="N1277" s="290">
        <v>25</v>
      </c>
      <c r="O1277" s="46"/>
      <c r="P1277" s="46" t="s">
        <v>39</v>
      </c>
      <c r="Q1277" s="12"/>
      <c r="R1277" s="192" t="str">
        <f t="shared" si="32"/>
        <v>25grams</v>
      </c>
      <c r="S1277" s="198">
        <f t="shared" si="33"/>
        <v>325</v>
      </c>
      <c r="T1277" s="199" t="str">
        <f t="shared" si="34"/>
        <v>325grams</v>
      </c>
      <c r="U1277" s="200">
        <f t="shared" si="35"/>
        <v>184.6</v>
      </c>
      <c r="V1277" s="12"/>
      <c r="W1277" s="12"/>
    </row>
    <row r="1278" spans="1:23" x14ac:dyDescent="0.3">
      <c r="A1278" s="193" t="e">
        <f ca="1"/>
        <v>#NAME?</v>
      </c>
      <c r="B1278" s="46" t="s">
        <v>775</v>
      </c>
      <c r="C1278" s="315"/>
      <c r="D1278" s="316"/>
      <c r="E1278" s="315"/>
      <c r="F1278" s="315"/>
      <c r="G1278" s="315"/>
      <c r="H1278" s="153"/>
      <c r="I1278" s="12"/>
      <c r="J1278" s="46" t="s">
        <v>1412</v>
      </c>
      <c r="K1278" s="12"/>
      <c r="L1278" s="288">
        <v>14.8</v>
      </c>
      <c r="M1278" s="289">
        <v>12</v>
      </c>
      <c r="N1278" s="290">
        <v>25</v>
      </c>
      <c r="O1278" s="46"/>
      <c r="P1278" s="46" t="s">
        <v>39</v>
      </c>
      <c r="Q1278" s="12"/>
      <c r="R1278" s="192" t="str">
        <f t="shared" si="32"/>
        <v>25grams</v>
      </c>
      <c r="S1278" s="198">
        <f t="shared" si="33"/>
        <v>300</v>
      </c>
      <c r="T1278" s="199" t="str">
        <f t="shared" si="34"/>
        <v>300grams</v>
      </c>
      <c r="U1278" s="200">
        <f t="shared" si="35"/>
        <v>177.60000000000002</v>
      </c>
      <c r="V1278" s="12"/>
      <c r="W1278" s="12"/>
    </row>
    <row r="1279" spans="1:23" x14ac:dyDescent="0.3">
      <c r="A1279" s="193" t="e">
        <f ca="1"/>
        <v>#NAME?</v>
      </c>
      <c r="B1279" s="46" t="s">
        <v>775</v>
      </c>
      <c r="C1279" s="315"/>
      <c r="D1279" s="316"/>
      <c r="E1279" s="315"/>
      <c r="F1279" s="315"/>
      <c r="G1279" s="315"/>
      <c r="H1279" s="153"/>
      <c r="I1279" s="12"/>
      <c r="J1279" s="46" t="s">
        <v>987</v>
      </c>
      <c r="K1279" s="12"/>
      <c r="L1279" s="288">
        <v>29</v>
      </c>
      <c r="M1279" s="289">
        <v>10</v>
      </c>
      <c r="N1279" s="290">
        <v>44</v>
      </c>
      <c r="O1279" s="46"/>
      <c r="P1279" s="46" t="s">
        <v>39</v>
      </c>
      <c r="Q1279" s="12"/>
      <c r="R1279" s="192" t="str">
        <f t="shared" si="32"/>
        <v>44grams</v>
      </c>
      <c r="S1279" s="198">
        <f t="shared" si="33"/>
        <v>440</v>
      </c>
      <c r="T1279" s="199" t="str">
        <f t="shared" si="34"/>
        <v>440grams</v>
      </c>
      <c r="U1279" s="200">
        <f t="shared" si="35"/>
        <v>290</v>
      </c>
      <c r="V1279" s="12"/>
      <c r="W1279" s="12"/>
    </row>
    <row r="1280" spans="1:23" x14ac:dyDescent="0.3">
      <c r="A1280" s="193" t="e">
        <f ca="1"/>
        <v>#NAME?</v>
      </c>
      <c r="B1280" s="46" t="s">
        <v>775</v>
      </c>
      <c r="C1280" s="315"/>
      <c r="D1280" s="316"/>
      <c r="E1280" s="315"/>
      <c r="F1280" s="315"/>
      <c r="G1280" s="315"/>
      <c r="H1280" s="153"/>
      <c r="I1280" s="12"/>
      <c r="J1280" s="46" t="s">
        <v>1412</v>
      </c>
      <c r="K1280" s="12"/>
      <c r="L1280" s="288">
        <v>11.84</v>
      </c>
      <c r="M1280" s="289">
        <v>27</v>
      </c>
      <c r="N1280" s="290">
        <v>25</v>
      </c>
      <c r="O1280" s="46"/>
      <c r="P1280" s="46" t="s">
        <v>39</v>
      </c>
      <c r="Q1280" s="12"/>
      <c r="R1280" s="192" t="str">
        <f t="shared" si="32"/>
        <v>25grams</v>
      </c>
      <c r="S1280" s="198">
        <f t="shared" si="33"/>
        <v>675</v>
      </c>
      <c r="T1280" s="199" t="str">
        <f t="shared" si="34"/>
        <v>675grams</v>
      </c>
      <c r="U1280" s="200">
        <f t="shared" si="35"/>
        <v>319.68</v>
      </c>
      <c r="V1280" s="12"/>
      <c r="W1280" s="12"/>
    </row>
    <row r="1281" spans="1:23" x14ac:dyDescent="0.3">
      <c r="A1281" s="193" t="e">
        <f ca="1"/>
        <v>#NAME?</v>
      </c>
      <c r="B1281" s="46" t="s">
        <v>775</v>
      </c>
      <c r="C1281" s="315"/>
      <c r="D1281" s="316"/>
      <c r="E1281" s="315"/>
      <c r="F1281" s="315"/>
      <c r="G1281" s="315"/>
      <c r="H1281" s="153"/>
      <c r="I1281" s="12"/>
      <c r="J1281" s="46" t="s">
        <v>1412</v>
      </c>
      <c r="K1281" s="12"/>
      <c r="L1281" s="288">
        <v>318</v>
      </c>
      <c r="M1281" s="289">
        <v>2</v>
      </c>
      <c r="N1281" s="290">
        <v>1000</v>
      </c>
      <c r="O1281" s="46"/>
      <c r="P1281" s="46" t="s">
        <v>39</v>
      </c>
      <c r="Q1281" s="12"/>
      <c r="R1281" s="192" t="str">
        <f t="shared" si="32"/>
        <v>1000grams</v>
      </c>
      <c r="S1281" s="198">
        <f t="shared" si="33"/>
        <v>2000</v>
      </c>
      <c r="T1281" s="199" t="str">
        <f t="shared" si="34"/>
        <v>2000grams</v>
      </c>
      <c r="U1281" s="200">
        <f t="shared" si="35"/>
        <v>636</v>
      </c>
      <c r="V1281" s="12"/>
      <c r="W1281" s="12"/>
    </row>
    <row r="1282" spans="1:23" x14ac:dyDescent="0.3">
      <c r="A1282" s="193" t="e">
        <f ca="1"/>
        <v>#NAME?</v>
      </c>
      <c r="B1282" s="46" t="s">
        <v>775</v>
      </c>
      <c r="C1282" s="315"/>
      <c r="D1282" s="316"/>
      <c r="E1282" s="315"/>
      <c r="F1282" s="315"/>
      <c r="G1282" s="315"/>
      <c r="H1282" s="153"/>
      <c r="I1282" s="12"/>
      <c r="J1282" s="46" t="s">
        <v>987</v>
      </c>
      <c r="K1282" s="12"/>
      <c r="L1282" s="288">
        <v>28</v>
      </c>
      <c r="M1282" s="289">
        <v>19</v>
      </c>
      <c r="N1282" s="290">
        <v>44</v>
      </c>
      <c r="O1282" s="46"/>
      <c r="P1282" s="46" t="s">
        <v>39</v>
      </c>
      <c r="Q1282" s="12"/>
      <c r="R1282" s="192" t="str">
        <f t="shared" si="32"/>
        <v>44grams</v>
      </c>
      <c r="S1282" s="198">
        <f t="shared" si="33"/>
        <v>836</v>
      </c>
      <c r="T1282" s="199" t="str">
        <f t="shared" si="34"/>
        <v>836grams</v>
      </c>
      <c r="U1282" s="200">
        <f t="shared" si="35"/>
        <v>532</v>
      </c>
      <c r="V1282" s="12"/>
      <c r="W1282" s="12"/>
    </row>
    <row r="1283" spans="1:23" x14ac:dyDescent="0.3">
      <c r="A1283" s="193" t="e">
        <f ca="1"/>
        <v>#NAME?</v>
      </c>
      <c r="B1283" s="309" t="s">
        <v>775</v>
      </c>
      <c r="C1283" s="315"/>
      <c r="D1283" s="316"/>
      <c r="E1283" s="315"/>
      <c r="F1283" s="315"/>
      <c r="G1283" s="315"/>
      <c r="H1283" s="153"/>
      <c r="I1283" s="12"/>
      <c r="J1283" s="46" t="s">
        <v>987</v>
      </c>
      <c r="K1283" s="12"/>
      <c r="L1283" s="288">
        <v>28</v>
      </c>
      <c r="M1283" s="289">
        <v>12</v>
      </c>
      <c r="N1283" s="290">
        <v>44</v>
      </c>
      <c r="O1283" s="46"/>
      <c r="P1283" s="46" t="s">
        <v>39</v>
      </c>
      <c r="Q1283" s="12"/>
      <c r="R1283" s="192" t="str">
        <f t="shared" si="32"/>
        <v>44grams</v>
      </c>
      <c r="S1283" s="198">
        <f t="shared" si="33"/>
        <v>528</v>
      </c>
      <c r="T1283" s="199" t="str">
        <f t="shared" si="34"/>
        <v>528grams</v>
      </c>
      <c r="U1283" s="200">
        <f t="shared" si="35"/>
        <v>336</v>
      </c>
      <c r="V1283" s="12"/>
      <c r="W1283" s="12"/>
    </row>
    <row r="1284" spans="1:23" x14ac:dyDescent="0.3">
      <c r="A1284" s="193" t="e">
        <f ca="1"/>
        <v>#NAME?</v>
      </c>
      <c r="B1284" s="310" t="s">
        <v>775</v>
      </c>
      <c r="C1284" s="315"/>
      <c r="D1284" s="316"/>
      <c r="E1284" s="315"/>
      <c r="F1284" s="315"/>
      <c r="G1284" s="315"/>
      <c r="H1284" s="153"/>
      <c r="I1284" s="12"/>
      <c r="J1284" s="46" t="s">
        <v>987</v>
      </c>
      <c r="K1284" s="12"/>
      <c r="L1284" s="291">
        <v>27.7</v>
      </c>
      <c r="M1284" s="292">
        <v>7</v>
      </c>
      <c r="N1284" s="293">
        <v>44</v>
      </c>
      <c r="O1284" s="219"/>
      <c r="P1284" s="219" t="s">
        <v>39</v>
      </c>
      <c r="Q1284" s="12"/>
      <c r="R1284" s="192" t="str">
        <f t="shared" ref="R1284:R1538" si="36">CONCATENATE(N1284,P1284)</f>
        <v>44grams</v>
      </c>
      <c r="S1284" s="198">
        <f t="shared" ref="S1284:S1538" si="37">M1284*N1284</f>
        <v>308</v>
      </c>
      <c r="T1284" s="199" t="str">
        <f t="shared" ref="T1284:T1538" si="38">CONCATENATE(S1284,Q1284,P1284)</f>
        <v>308grams</v>
      </c>
      <c r="U1284" s="200">
        <f t="shared" ref="U1284:U1538" si="39">L1284*M1284</f>
        <v>193.9</v>
      </c>
      <c r="V1284" s="12"/>
      <c r="W1284" s="12"/>
    </row>
    <row r="1285" spans="1:23" x14ac:dyDescent="0.3">
      <c r="A1285" s="193" t="e">
        <f ca="1"/>
        <v>#NAME?</v>
      </c>
      <c r="B1285" s="46" t="s">
        <v>775</v>
      </c>
      <c r="C1285" s="315"/>
      <c r="D1285" s="316"/>
      <c r="E1285" s="315"/>
      <c r="F1285" s="315"/>
      <c r="G1285" s="315"/>
      <c r="H1285" s="153"/>
      <c r="I1285" s="12"/>
      <c r="J1285" s="46" t="s">
        <v>987</v>
      </c>
      <c r="K1285" s="12"/>
      <c r="L1285" s="288">
        <v>27.7</v>
      </c>
      <c r="M1285" s="289">
        <v>12</v>
      </c>
      <c r="N1285" s="290">
        <v>44</v>
      </c>
      <c r="O1285" s="46"/>
      <c r="P1285" s="46" t="s">
        <v>39</v>
      </c>
      <c r="Q1285" s="12"/>
      <c r="R1285" s="192" t="str">
        <f t="shared" si="36"/>
        <v>44grams</v>
      </c>
      <c r="S1285" s="198">
        <f t="shared" si="37"/>
        <v>528</v>
      </c>
      <c r="T1285" s="199" t="str">
        <f t="shared" si="38"/>
        <v>528grams</v>
      </c>
      <c r="U1285" s="200">
        <f t="shared" si="39"/>
        <v>332.4</v>
      </c>
      <c r="V1285" s="12"/>
      <c r="W1285" s="12"/>
    </row>
    <row r="1286" spans="1:23" x14ac:dyDescent="0.3">
      <c r="A1286" s="193" t="e">
        <f ca="1"/>
        <v>#NAME?</v>
      </c>
      <c r="B1286" s="46" t="s">
        <v>1665</v>
      </c>
      <c r="C1286" s="315"/>
      <c r="D1286" s="316"/>
      <c r="E1286" s="315"/>
      <c r="F1286" s="315"/>
      <c r="G1286" s="315"/>
      <c r="H1286" s="153"/>
      <c r="I1286" s="12"/>
      <c r="J1286" s="46" t="s">
        <v>1666</v>
      </c>
      <c r="K1286" s="12"/>
      <c r="L1286" s="288">
        <v>140</v>
      </c>
      <c r="M1286" s="289">
        <v>1</v>
      </c>
      <c r="N1286" s="290">
        <v>1</v>
      </c>
      <c r="O1286" s="46"/>
      <c r="P1286" s="46" t="s">
        <v>213</v>
      </c>
      <c r="Q1286" s="12"/>
      <c r="R1286" s="192" t="str">
        <f t="shared" si="36"/>
        <v>1kilos</v>
      </c>
      <c r="S1286" s="198">
        <f t="shared" si="37"/>
        <v>1</v>
      </c>
      <c r="T1286" s="199" t="str">
        <f t="shared" si="38"/>
        <v>1kilos</v>
      </c>
      <c r="U1286" s="200">
        <f t="shared" si="39"/>
        <v>140</v>
      </c>
      <c r="V1286" s="12"/>
      <c r="W1286" s="12"/>
    </row>
    <row r="1287" spans="1:23" x14ac:dyDescent="0.3">
      <c r="A1287" s="193" t="e">
        <f ca="1"/>
        <v>#NAME?</v>
      </c>
      <c r="B1287" s="46" t="s">
        <v>1665</v>
      </c>
      <c r="C1287" s="315"/>
      <c r="D1287" s="316"/>
      <c r="E1287" s="315"/>
      <c r="F1287" s="315"/>
      <c r="G1287" s="315"/>
      <c r="H1287" s="153"/>
      <c r="I1287" s="12"/>
      <c r="J1287" s="215"/>
      <c r="K1287" s="12"/>
      <c r="L1287" s="291">
        <v>250</v>
      </c>
      <c r="M1287" s="292">
        <v>4</v>
      </c>
      <c r="N1287" s="293">
        <v>60</v>
      </c>
      <c r="O1287" s="219"/>
      <c r="P1287" s="219" t="s">
        <v>92</v>
      </c>
      <c r="Q1287" s="12"/>
      <c r="R1287" s="192" t="str">
        <f t="shared" si="36"/>
        <v>60pieces</v>
      </c>
      <c r="S1287" s="198">
        <f t="shared" si="37"/>
        <v>240</v>
      </c>
      <c r="T1287" s="199" t="str">
        <f t="shared" si="38"/>
        <v>240pieces</v>
      </c>
      <c r="U1287" s="200">
        <f t="shared" si="39"/>
        <v>1000</v>
      </c>
      <c r="V1287" s="12"/>
      <c r="W1287" s="12"/>
    </row>
    <row r="1288" spans="1:23" x14ac:dyDescent="0.3">
      <c r="A1288" s="193" t="e">
        <f ca="1"/>
        <v>#NAME?</v>
      </c>
      <c r="B1288" s="46" t="s">
        <v>1667</v>
      </c>
      <c r="C1288" s="315"/>
      <c r="D1288" s="316"/>
      <c r="E1288" s="315"/>
      <c r="F1288" s="315"/>
      <c r="G1288" s="315"/>
      <c r="H1288" s="153"/>
      <c r="I1288" s="12"/>
      <c r="J1288" s="170"/>
      <c r="K1288" s="12"/>
      <c r="L1288" s="288">
        <v>40</v>
      </c>
      <c r="M1288" s="289">
        <v>10</v>
      </c>
      <c r="N1288" s="290">
        <v>1000</v>
      </c>
      <c r="O1288" s="46"/>
      <c r="P1288" s="46" t="s">
        <v>39</v>
      </c>
      <c r="Q1288" s="12"/>
      <c r="R1288" s="192" t="str">
        <f t="shared" si="36"/>
        <v>1000grams</v>
      </c>
      <c r="S1288" s="198">
        <f t="shared" si="37"/>
        <v>10000</v>
      </c>
      <c r="T1288" s="199" t="str">
        <f t="shared" si="38"/>
        <v>10000grams</v>
      </c>
      <c r="U1288" s="200">
        <f t="shared" si="39"/>
        <v>400</v>
      </c>
      <c r="V1288" s="12"/>
      <c r="W1288" s="12"/>
    </row>
    <row r="1289" spans="1:23" x14ac:dyDescent="0.3">
      <c r="A1289" s="193" t="e">
        <f ca="1"/>
        <v>#NAME?</v>
      </c>
      <c r="B1289" s="46" t="s">
        <v>1668</v>
      </c>
      <c r="C1289" s="315"/>
      <c r="D1289" s="316"/>
      <c r="E1289" s="315"/>
      <c r="F1289" s="315"/>
      <c r="G1289" s="315"/>
      <c r="H1289" s="153"/>
      <c r="I1289" s="12"/>
      <c r="J1289" s="46" t="s">
        <v>1101</v>
      </c>
      <c r="K1289" s="12"/>
      <c r="L1289" s="288">
        <v>70</v>
      </c>
      <c r="M1289" s="289">
        <v>5</v>
      </c>
      <c r="N1289" s="290">
        <v>360</v>
      </c>
      <c r="O1289" s="46"/>
      <c r="P1289" s="46" t="s">
        <v>39</v>
      </c>
      <c r="Q1289" s="12"/>
      <c r="R1289" s="192" t="str">
        <f t="shared" si="36"/>
        <v>360grams</v>
      </c>
      <c r="S1289" s="198">
        <f t="shared" si="37"/>
        <v>1800</v>
      </c>
      <c r="T1289" s="199" t="str">
        <f t="shared" si="38"/>
        <v>1800grams</v>
      </c>
      <c r="U1289" s="200">
        <f t="shared" si="39"/>
        <v>350</v>
      </c>
      <c r="V1289" s="12"/>
      <c r="W1289" s="12"/>
    </row>
    <row r="1290" spans="1:23" x14ac:dyDescent="0.3">
      <c r="A1290" s="193" t="e">
        <f ca="1"/>
        <v>#NAME?</v>
      </c>
      <c r="B1290" s="46" t="s">
        <v>1668</v>
      </c>
      <c r="C1290" s="315"/>
      <c r="D1290" s="316"/>
      <c r="E1290" s="315"/>
      <c r="F1290" s="315"/>
      <c r="G1290" s="315"/>
      <c r="H1290" s="153"/>
      <c r="I1290" s="12"/>
      <c r="J1290" s="46" t="s">
        <v>1669</v>
      </c>
      <c r="K1290" s="12"/>
      <c r="L1290" s="288">
        <v>285</v>
      </c>
      <c r="M1290" s="289">
        <v>1</v>
      </c>
      <c r="N1290" s="290">
        <v>500</v>
      </c>
      <c r="O1290" s="46"/>
      <c r="P1290" s="46" t="s">
        <v>39</v>
      </c>
      <c r="Q1290" s="12"/>
      <c r="R1290" s="192" t="str">
        <f t="shared" si="36"/>
        <v>500grams</v>
      </c>
      <c r="S1290" s="198">
        <f t="shared" si="37"/>
        <v>500</v>
      </c>
      <c r="T1290" s="199" t="str">
        <f t="shared" si="38"/>
        <v>500grams</v>
      </c>
      <c r="U1290" s="200">
        <f t="shared" si="39"/>
        <v>285</v>
      </c>
      <c r="V1290" s="12"/>
      <c r="W1290" s="12"/>
    </row>
    <row r="1291" spans="1:23" x14ac:dyDescent="0.3">
      <c r="A1291" s="193" t="e">
        <f ca="1"/>
        <v>#NAME?</v>
      </c>
      <c r="B1291" s="46" t="s">
        <v>1668</v>
      </c>
      <c r="C1291" s="315"/>
      <c r="D1291" s="316"/>
      <c r="E1291" s="315"/>
      <c r="F1291" s="315"/>
      <c r="G1291" s="315"/>
      <c r="H1291" s="153"/>
      <c r="I1291" s="12"/>
      <c r="J1291" s="46" t="s">
        <v>1098</v>
      </c>
      <c r="K1291" s="12"/>
      <c r="L1291" s="288">
        <v>70</v>
      </c>
      <c r="M1291" s="289">
        <v>1</v>
      </c>
      <c r="N1291" s="290">
        <v>400</v>
      </c>
      <c r="O1291" s="46"/>
      <c r="P1291" s="46" t="s">
        <v>39</v>
      </c>
      <c r="Q1291" s="12"/>
      <c r="R1291" s="192" t="str">
        <f t="shared" si="36"/>
        <v>400grams</v>
      </c>
      <c r="S1291" s="198">
        <f t="shared" si="37"/>
        <v>400</v>
      </c>
      <c r="T1291" s="199" t="str">
        <f t="shared" si="38"/>
        <v>400grams</v>
      </c>
      <c r="U1291" s="200">
        <f t="shared" si="39"/>
        <v>70</v>
      </c>
      <c r="V1291" s="12"/>
      <c r="W1291" s="12"/>
    </row>
    <row r="1292" spans="1:23" x14ac:dyDescent="0.3">
      <c r="A1292" s="193" t="e">
        <f ca="1"/>
        <v>#NAME?</v>
      </c>
      <c r="B1292" s="46" t="s">
        <v>1670</v>
      </c>
      <c r="C1292" s="315"/>
      <c r="D1292" s="316"/>
      <c r="E1292" s="315"/>
      <c r="F1292" s="315"/>
      <c r="G1292" s="315"/>
      <c r="H1292" s="153"/>
      <c r="I1292" s="12"/>
      <c r="J1292" s="46" t="s">
        <v>1087</v>
      </c>
      <c r="K1292" s="12"/>
      <c r="L1292" s="288">
        <v>82</v>
      </c>
      <c r="M1292" s="289">
        <v>2</v>
      </c>
      <c r="N1292" s="290">
        <v>250</v>
      </c>
      <c r="O1292" s="46"/>
      <c r="P1292" s="46" t="s">
        <v>39</v>
      </c>
      <c r="Q1292" s="12"/>
      <c r="R1292" s="192" t="str">
        <f t="shared" si="36"/>
        <v>250grams</v>
      </c>
      <c r="S1292" s="198">
        <f t="shared" si="37"/>
        <v>500</v>
      </c>
      <c r="T1292" s="199" t="str">
        <f t="shared" si="38"/>
        <v>500grams</v>
      </c>
      <c r="U1292" s="200">
        <f t="shared" si="39"/>
        <v>164</v>
      </c>
      <c r="V1292" s="12"/>
      <c r="W1292" s="12"/>
    </row>
    <row r="1293" spans="1:23" x14ac:dyDescent="0.3">
      <c r="A1293" s="193" t="e">
        <f ca="1"/>
        <v>#NAME?</v>
      </c>
      <c r="B1293" s="46" t="s">
        <v>1670</v>
      </c>
      <c r="C1293" s="315"/>
      <c r="D1293" s="316"/>
      <c r="E1293" s="315"/>
      <c r="F1293" s="315"/>
      <c r="G1293" s="315"/>
      <c r="H1293" s="153"/>
      <c r="I1293" s="12"/>
      <c r="J1293" s="46" t="s">
        <v>1084</v>
      </c>
      <c r="K1293" s="12"/>
      <c r="L1293" s="288">
        <v>65</v>
      </c>
      <c r="M1293" s="289">
        <v>24</v>
      </c>
      <c r="N1293" s="290">
        <v>100</v>
      </c>
      <c r="O1293" s="46"/>
      <c r="P1293" s="46" t="s">
        <v>39</v>
      </c>
      <c r="Q1293" s="12"/>
      <c r="R1293" s="192" t="str">
        <f t="shared" si="36"/>
        <v>100grams</v>
      </c>
      <c r="S1293" s="198">
        <f t="shared" si="37"/>
        <v>2400</v>
      </c>
      <c r="T1293" s="199" t="str">
        <f t="shared" si="38"/>
        <v>2400grams</v>
      </c>
      <c r="U1293" s="200">
        <f t="shared" si="39"/>
        <v>1560</v>
      </c>
      <c r="V1293" s="12"/>
      <c r="W1293" s="12"/>
    </row>
    <row r="1294" spans="1:23" x14ac:dyDescent="0.3">
      <c r="A1294" s="193" t="e">
        <f ca="1"/>
        <v>#NAME?</v>
      </c>
      <c r="B1294" s="219" t="s">
        <v>1670</v>
      </c>
      <c r="C1294" s="315"/>
      <c r="D1294" s="316"/>
      <c r="E1294" s="315"/>
      <c r="F1294" s="315"/>
      <c r="G1294" s="315"/>
      <c r="H1294" s="153"/>
      <c r="I1294" s="12"/>
      <c r="J1294" s="219" t="s">
        <v>1087</v>
      </c>
      <c r="K1294" s="12"/>
      <c r="L1294" s="291">
        <v>75</v>
      </c>
      <c r="M1294" s="292">
        <v>5</v>
      </c>
      <c r="N1294" s="293">
        <v>105</v>
      </c>
      <c r="O1294" s="219"/>
      <c r="P1294" s="219" t="s">
        <v>39</v>
      </c>
      <c r="Q1294" s="12"/>
      <c r="R1294" s="192" t="str">
        <f t="shared" si="36"/>
        <v>105grams</v>
      </c>
      <c r="S1294" s="198">
        <f t="shared" si="37"/>
        <v>525</v>
      </c>
      <c r="T1294" s="199" t="str">
        <f t="shared" si="38"/>
        <v>525grams</v>
      </c>
      <c r="U1294" s="200">
        <f t="shared" si="39"/>
        <v>375</v>
      </c>
      <c r="V1294" s="12"/>
      <c r="W1294" s="12"/>
    </row>
    <row r="1295" spans="1:23" x14ac:dyDescent="0.3">
      <c r="A1295" s="193" t="e">
        <f ca="1"/>
        <v>#NAME?</v>
      </c>
      <c r="B1295" s="46" t="s">
        <v>1671</v>
      </c>
      <c r="C1295" s="315"/>
      <c r="D1295" s="316"/>
      <c r="E1295" s="315"/>
      <c r="F1295" s="315"/>
      <c r="G1295" s="315"/>
      <c r="H1295" s="153"/>
      <c r="I1295" s="12"/>
      <c r="J1295" s="46" t="s">
        <v>1672</v>
      </c>
      <c r="K1295" s="12"/>
      <c r="L1295" s="288">
        <v>31.5</v>
      </c>
      <c r="M1295" s="289">
        <v>1</v>
      </c>
      <c r="N1295" s="290">
        <v>60</v>
      </c>
      <c r="O1295" s="46"/>
      <c r="P1295" s="46" t="s">
        <v>39</v>
      </c>
      <c r="Q1295" s="12"/>
      <c r="R1295" s="192" t="str">
        <f t="shared" si="36"/>
        <v>60grams</v>
      </c>
      <c r="S1295" s="198">
        <f t="shared" si="37"/>
        <v>60</v>
      </c>
      <c r="T1295" s="199" t="str">
        <f t="shared" si="38"/>
        <v>60grams</v>
      </c>
      <c r="U1295" s="200">
        <f t="shared" si="39"/>
        <v>31.5</v>
      </c>
      <c r="V1295" s="12"/>
      <c r="W1295" s="12"/>
    </row>
    <row r="1296" spans="1:23" x14ac:dyDescent="0.3">
      <c r="A1296" s="193" t="e">
        <f ca="1"/>
        <v>#NAME?</v>
      </c>
      <c r="B1296" s="46" t="s">
        <v>1671</v>
      </c>
      <c r="C1296" s="315"/>
      <c r="D1296" s="316"/>
      <c r="E1296" s="315"/>
      <c r="F1296" s="315"/>
      <c r="G1296" s="315"/>
      <c r="H1296" s="153"/>
      <c r="I1296" s="12"/>
      <c r="J1296" s="46" t="s">
        <v>1673</v>
      </c>
      <c r="K1296" s="12"/>
      <c r="L1296" s="288">
        <v>30.68</v>
      </c>
      <c r="M1296" s="289">
        <v>30</v>
      </c>
      <c r="N1296" s="290">
        <v>60</v>
      </c>
      <c r="O1296" s="46"/>
      <c r="P1296" s="46" t="s">
        <v>39</v>
      </c>
      <c r="Q1296" s="12"/>
      <c r="R1296" s="192" t="str">
        <f t="shared" si="36"/>
        <v>60grams</v>
      </c>
      <c r="S1296" s="198">
        <f t="shared" si="37"/>
        <v>1800</v>
      </c>
      <c r="T1296" s="199" t="str">
        <f t="shared" si="38"/>
        <v>1800grams</v>
      </c>
      <c r="U1296" s="200">
        <f t="shared" si="39"/>
        <v>920.4</v>
      </c>
      <c r="V1296" s="12"/>
      <c r="W1296" s="12"/>
    </row>
    <row r="1297" spans="1:23" x14ac:dyDescent="0.3">
      <c r="A1297" s="193" t="e">
        <f ca="1"/>
        <v>#NAME?</v>
      </c>
      <c r="B1297" s="46" t="s">
        <v>1671</v>
      </c>
      <c r="C1297" s="315"/>
      <c r="D1297" s="316"/>
      <c r="E1297" s="315"/>
      <c r="F1297" s="315"/>
      <c r="G1297" s="315"/>
      <c r="H1297" s="153"/>
      <c r="I1297" s="12"/>
      <c r="J1297" s="46" t="s">
        <v>1674</v>
      </c>
      <c r="K1297" s="12"/>
      <c r="L1297" s="288">
        <v>13.69</v>
      </c>
      <c r="M1297" s="289">
        <v>50</v>
      </c>
      <c r="N1297" s="290">
        <v>50</v>
      </c>
      <c r="O1297" s="46"/>
      <c r="P1297" s="46" t="s">
        <v>39</v>
      </c>
      <c r="Q1297" s="12"/>
      <c r="R1297" s="192" t="str">
        <f t="shared" si="36"/>
        <v>50grams</v>
      </c>
      <c r="S1297" s="198">
        <f t="shared" si="37"/>
        <v>2500</v>
      </c>
      <c r="T1297" s="199" t="str">
        <f t="shared" si="38"/>
        <v>2500grams</v>
      </c>
      <c r="U1297" s="200">
        <f t="shared" si="39"/>
        <v>684.5</v>
      </c>
      <c r="V1297" s="12"/>
      <c r="W1297" s="12"/>
    </row>
    <row r="1298" spans="1:23" x14ac:dyDescent="0.3">
      <c r="A1298" s="193" t="e">
        <f ca="1"/>
        <v>#NAME?</v>
      </c>
      <c r="B1298" s="46" t="s">
        <v>1671</v>
      </c>
      <c r="C1298" s="315"/>
      <c r="D1298" s="316"/>
      <c r="E1298" s="315"/>
      <c r="F1298" s="315"/>
      <c r="G1298" s="315"/>
      <c r="H1298" s="153"/>
      <c r="I1298" s="12"/>
      <c r="J1298" s="46" t="s">
        <v>1675</v>
      </c>
      <c r="K1298" s="12"/>
      <c r="L1298" s="288">
        <v>13.68</v>
      </c>
      <c r="M1298" s="289">
        <v>36</v>
      </c>
      <c r="N1298" s="290">
        <v>50</v>
      </c>
      <c r="O1298" s="46"/>
      <c r="P1298" s="46" t="s">
        <v>39</v>
      </c>
      <c r="Q1298" s="12"/>
      <c r="R1298" s="192" t="str">
        <f t="shared" si="36"/>
        <v>50grams</v>
      </c>
      <c r="S1298" s="198">
        <f t="shared" si="37"/>
        <v>1800</v>
      </c>
      <c r="T1298" s="199" t="str">
        <f t="shared" si="38"/>
        <v>1800grams</v>
      </c>
      <c r="U1298" s="200">
        <f t="shared" si="39"/>
        <v>492.48</v>
      </c>
      <c r="V1298" s="12"/>
      <c r="W1298" s="12"/>
    </row>
    <row r="1299" spans="1:23" x14ac:dyDescent="0.3">
      <c r="A1299" s="193" t="e">
        <f ca="1"/>
        <v>#NAME?</v>
      </c>
      <c r="B1299" s="46" t="s">
        <v>1671</v>
      </c>
      <c r="C1299" s="315"/>
      <c r="D1299" s="316"/>
      <c r="E1299" s="315"/>
      <c r="F1299" s="315"/>
      <c r="G1299" s="315"/>
      <c r="H1299" s="153"/>
      <c r="I1299" s="12"/>
      <c r="J1299" s="46" t="s">
        <v>1676</v>
      </c>
      <c r="K1299" s="12"/>
      <c r="L1299" s="288">
        <v>13.68</v>
      </c>
      <c r="M1299" s="289">
        <v>7</v>
      </c>
      <c r="N1299" s="290">
        <v>50</v>
      </c>
      <c r="O1299" s="46"/>
      <c r="P1299" s="46" t="s">
        <v>39</v>
      </c>
      <c r="Q1299" s="12"/>
      <c r="R1299" s="192" t="str">
        <f t="shared" si="36"/>
        <v>50grams</v>
      </c>
      <c r="S1299" s="198">
        <f t="shared" si="37"/>
        <v>350</v>
      </c>
      <c r="T1299" s="199" t="str">
        <f t="shared" si="38"/>
        <v>350grams</v>
      </c>
      <c r="U1299" s="200">
        <f t="shared" si="39"/>
        <v>95.759999999999991</v>
      </c>
      <c r="V1299" s="12"/>
      <c r="W1299" s="12"/>
    </row>
    <row r="1300" spans="1:23" x14ac:dyDescent="0.3">
      <c r="A1300" s="193" t="e">
        <f ca="1"/>
        <v>#NAME?</v>
      </c>
      <c r="B1300" s="219" t="s">
        <v>1677</v>
      </c>
      <c r="C1300" s="315"/>
      <c r="D1300" s="316"/>
      <c r="E1300" s="315"/>
      <c r="F1300" s="315"/>
      <c r="G1300" s="315"/>
      <c r="H1300" s="153"/>
      <c r="I1300" s="12"/>
      <c r="J1300" s="219" t="s">
        <v>1678</v>
      </c>
      <c r="K1300" s="12"/>
      <c r="L1300" s="291">
        <v>7.77</v>
      </c>
      <c r="M1300" s="292">
        <v>19</v>
      </c>
      <c r="N1300" s="293">
        <v>1</v>
      </c>
      <c r="O1300" s="219"/>
      <c r="P1300" s="219" t="s">
        <v>92</v>
      </c>
      <c r="Q1300" s="12"/>
      <c r="R1300" s="192" t="str">
        <f t="shared" si="36"/>
        <v>1pieces</v>
      </c>
      <c r="S1300" s="198">
        <f t="shared" si="37"/>
        <v>19</v>
      </c>
      <c r="T1300" s="199" t="str">
        <f t="shared" si="38"/>
        <v>19pieces</v>
      </c>
      <c r="U1300" s="200">
        <f t="shared" si="39"/>
        <v>147.63</v>
      </c>
      <c r="V1300" s="12"/>
      <c r="W1300" s="12"/>
    </row>
    <row r="1301" spans="1:23" x14ac:dyDescent="0.3">
      <c r="A1301" s="193" t="e">
        <f ca="1"/>
        <v>#NAME?</v>
      </c>
      <c r="B1301" s="219" t="s">
        <v>1677</v>
      </c>
      <c r="C1301" s="315"/>
      <c r="D1301" s="316"/>
      <c r="E1301" s="315"/>
      <c r="F1301" s="315"/>
      <c r="G1301" s="315"/>
      <c r="H1301" s="153"/>
      <c r="I1301" s="12"/>
      <c r="J1301" s="219" t="s">
        <v>1679</v>
      </c>
      <c r="K1301" s="12"/>
      <c r="L1301" s="291">
        <v>7.77</v>
      </c>
      <c r="M1301" s="292">
        <v>13</v>
      </c>
      <c r="N1301" s="293">
        <v>1</v>
      </c>
      <c r="O1301" s="219"/>
      <c r="P1301" s="219" t="s">
        <v>92</v>
      </c>
      <c r="Q1301" s="12"/>
      <c r="R1301" s="192" t="str">
        <f t="shared" si="36"/>
        <v>1pieces</v>
      </c>
      <c r="S1301" s="198">
        <f t="shared" si="37"/>
        <v>13</v>
      </c>
      <c r="T1301" s="199" t="str">
        <f t="shared" si="38"/>
        <v>13pieces</v>
      </c>
      <c r="U1301" s="200">
        <f t="shared" si="39"/>
        <v>101.00999999999999</v>
      </c>
      <c r="V1301" s="12"/>
      <c r="W1301" s="12"/>
    </row>
    <row r="1302" spans="1:23" x14ac:dyDescent="0.3">
      <c r="A1302" s="193" t="e">
        <f ca="1"/>
        <v>#NAME?</v>
      </c>
      <c r="B1302" s="219" t="s">
        <v>1677</v>
      </c>
      <c r="C1302" s="315"/>
      <c r="D1302" s="316"/>
      <c r="E1302" s="315"/>
      <c r="F1302" s="315"/>
      <c r="G1302" s="315"/>
      <c r="H1302" s="153"/>
      <c r="I1302" s="12"/>
      <c r="J1302" s="219" t="s">
        <v>1680</v>
      </c>
      <c r="K1302" s="12"/>
      <c r="L1302" s="291">
        <v>7.84</v>
      </c>
      <c r="M1302" s="292">
        <v>16</v>
      </c>
      <c r="N1302" s="293">
        <v>1</v>
      </c>
      <c r="O1302" s="219"/>
      <c r="P1302" s="219" t="s">
        <v>92</v>
      </c>
      <c r="Q1302" s="12"/>
      <c r="R1302" s="192" t="str">
        <f t="shared" si="36"/>
        <v>1pieces</v>
      </c>
      <c r="S1302" s="198">
        <f t="shared" si="37"/>
        <v>16</v>
      </c>
      <c r="T1302" s="199" t="str">
        <f t="shared" si="38"/>
        <v>16pieces</v>
      </c>
      <c r="U1302" s="200">
        <f t="shared" si="39"/>
        <v>125.44</v>
      </c>
      <c r="V1302" s="12"/>
      <c r="W1302" s="12"/>
    </row>
    <row r="1303" spans="1:23" x14ac:dyDescent="0.3">
      <c r="A1303" s="193" t="e">
        <f ca="1"/>
        <v>#NAME?</v>
      </c>
      <c r="B1303" s="46" t="s">
        <v>1677</v>
      </c>
      <c r="C1303" s="315"/>
      <c r="D1303" s="316"/>
      <c r="E1303" s="315"/>
      <c r="F1303" s="315"/>
      <c r="G1303" s="315"/>
      <c r="H1303" s="153"/>
      <c r="I1303" s="12"/>
      <c r="J1303" s="46" t="s">
        <v>1681</v>
      </c>
      <c r="K1303" s="12"/>
      <c r="L1303" s="288">
        <v>8.65</v>
      </c>
      <c r="M1303" s="289">
        <v>30</v>
      </c>
      <c r="N1303" s="290">
        <v>27</v>
      </c>
      <c r="O1303" s="46"/>
      <c r="P1303" s="46" t="s">
        <v>39</v>
      </c>
      <c r="Q1303" s="12"/>
      <c r="R1303" s="192" t="str">
        <f t="shared" si="36"/>
        <v>27grams</v>
      </c>
      <c r="S1303" s="198">
        <f t="shared" si="37"/>
        <v>810</v>
      </c>
      <c r="T1303" s="199" t="str">
        <f t="shared" si="38"/>
        <v>810grams</v>
      </c>
      <c r="U1303" s="200">
        <f t="shared" si="39"/>
        <v>259.5</v>
      </c>
      <c r="V1303" s="12"/>
      <c r="W1303" s="12"/>
    </row>
    <row r="1304" spans="1:23" x14ac:dyDescent="0.3">
      <c r="A1304" s="193" t="e">
        <f ca="1"/>
        <v>#NAME?</v>
      </c>
      <c r="B1304" s="46" t="s">
        <v>1677</v>
      </c>
      <c r="C1304" s="315"/>
      <c r="D1304" s="316"/>
      <c r="E1304" s="315"/>
      <c r="F1304" s="315"/>
      <c r="G1304" s="315"/>
      <c r="H1304" s="153"/>
      <c r="I1304" s="12"/>
      <c r="J1304" s="46" t="s">
        <v>1682</v>
      </c>
      <c r="K1304" s="12"/>
      <c r="L1304" s="288">
        <v>9.5299999999999994</v>
      </c>
      <c r="M1304" s="289">
        <v>36</v>
      </c>
      <c r="N1304" s="290">
        <v>28</v>
      </c>
      <c r="O1304" s="46"/>
      <c r="P1304" s="46" t="s">
        <v>39</v>
      </c>
      <c r="Q1304" s="12"/>
      <c r="R1304" s="192" t="str">
        <f t="shared" si="36"/>
        <v>28grams</v>
      </c>
      <c r="S1304" s="198">
        <f t="shared" si="37"/>
        <v>1008</v>
      </c>
      <c r="T1304" s="199" t="str">
        <f t="shared" si="38"/>
        <v>1008grams</v>
      </c>
      <c r="U1304" s="200">
        <f t="shared" si="39"/>
        <v>343.08</v>
      </c>
      <c r="V1304" s="12"/>
      <c r="W1304" s="12"/>
    </row>
    <row r="1305" spans="1:23" x14ac:dyDescent="0.3">
      <c r="A1305" s="193" t="e">
        <f ca="1"/>
        <v>#NAME?</v>
      </c>
      <c r="B1305" s="46" t="s">
        <v>1677</v>
      </c>
      <c r="C1305" s="315"/>
      <c r="D1305" s="316"/>
      <c r="E1305" s="315"/>
      <c r="F1305" s="315"/>
      <c r="G1305" s="315"/>
      <c r="H1305" s="153"/>
      <c r="I1305" s="12"/>
      <c r="J1305" s="46" t="s">
        <v>1682</v>
      </c>
      <c r="K1305" s="12"/>
      <c r="L1305" s="288">
        <v>7.94</v>
      </c>
      <c r="M1305" s="289">
        <v>15</v>
      </c>
      <c r="N1305" s="290">
        <v>28</v>
      </c>
      <c r="O1305" s="46"/>
      <c r="P1305" s="46" t="s">
        <v>39</v>
      </c>
      <c r="Q1305" s="12"/>
      <c r="R1305" s="192" t="str">
        <f t="shared" si="36"/>
        <v>28grams</v>
      </c>
      <c r="S1305" s="198">
        <f t="shared" si="37"/>
        <v>420</v>
      </c>
      <c r="T1305" s="199" t="str">
        <f t="shared" si="38"/>
        <v>420grams</v>
      </c>
      <c r="U1305" s="200">
        <f t="shared" si="39"/>
        <v>119.10000000000001</v>
      </c>
      <c r="V1305" s="12"/>
      <c r="W1305" s="12"/>
    </row>
    <row r="1306" spans="1:23" x14ac:dyDescent="0.3">
      <c r="A1306" s="193" t="e">
        <f ca="1"/>
        <v>#NAME?</v>
      </c>
      <c r="B1306" s="46" t="s">
        <v>1677</v>
      </c>
      <c r="C1306" s="315"/>
      <c r="D1306" s="316"/>
      <c r="E1306" s="315"/>
      <c r="F1306" s="315"/>
      <c r="G1306" s="315"/>
      <c r="H1306" s="153"/>
      <c r="I1306" s="12"/>
      <c r="J1306" s="219" t="s">
        <v>1683</v>
      </c>
      <c r="K1306" s="12"/>
      <c r="L1306" s="291">
        <v>15.1</v>
      </c>
      <c r="M1306" s="292">
        <v>1</v>
      </c>
      <c r="N1306" s="293">
        <v>50</v>
      </c>
      <c r="O1306" s="219"/>
      <c r="P1306" s="219" t="s">
        <v>39</v>
      </c>
      <c r="Q1306" s="12"/>
      <c r="R1306" s="192" t="str">
        <f t="shared" si="36"/>
        <v>50grams</v>
      </c>
      <c r="S1306" s="198">
        <f t="shared" si="37"/>
        <v>50</v>
      </c>
      <c r="T1306" s="199" t="str">
        <f t="shared" si="38"/>
        <v>50grams</v>
      </c>
      <c r="U1306" s="200">
        <f t="shared" si="39"/>
        <v>15.1</v>
      </c>
      <c r="V1306" s="12"/>
      <c r="W1306" s="12"/>
    </row>
    <row r="1307" spans="1:23" x14ac:dyDescent="0.3">
      <c r="A1307" s="193" t="e">
        <f ca="1"/>
        <v>#NAME?</v>
      </c>
      <c r="B1307" s="46" t="s">
        <v>1677</v>
      </c>
      <c r="C1307" s="315"/>
      <c r="D1307" s="316"/>
      <c r="E1307" s="315"/>
      <c r="F1307" s="315"/>
      <c r="G1307" s="315"/>
      <c r="H1307" s="153"/>
      <c r="I1307" s="12"/>
      <c r="J1307" s="219" t="s">
        <v>1684</v>
      </c>
      <c r="K1307" s="12"/>
      <c r="L1307" s="291">
        <v>16.649999999999999</v>
      </c>
      <c r="M1307" s="292">
        <v>36</v>
      </c>
      <c r="N1307" s="293">
        <v>50</v>
      </c>
      <c r="O1307" s="219"/>
      <c r="P1307" s="219" t="s">
        <v>39</v>
      </c>
      <c r="Q1307" s="12"/>
      <c r="R1307" s="192" t="str">
        <f t="shared" si="36"/>
        <v>50grams</v>
      </c>
      <c r="S1307" s="198">
        <f t="shared" si="37"/>
        <v>1800</v>
      </c>
      <c r="T1307" s="199" t="str">
        <f t="shared" si="38"/>
        <v>1800grams</v>
      </c>
      <c r="U1307" s="200">
        <f t="shared" si="39"/>
        <v>599.4</v>
      </c>
      <c r="V1307" s="12"/>
      <c r="W1307" s="12"/>
    </row>
    <row r="1308" spans="1:23" x14ac:dyDescent="0.3">
      <c r="A1308" s="193" t="e">
        <f ca="1"/>
        <v>#NAME?</v>
      </c>
      <c r="B1308" s="46" t="s">
        <v>1677</v>
      </c>
      <c r="C1308" s="315"/>
      <c r="D1308" s="316"/>
      <c r="E1308" s="315"/>
      <c r="F1308" s="315"/>
      <c r="G1308" s="315"/>
      <c r="H1308" s="153"/>
      <c r="I1308" s="12"/>
      <c r="J1308" s="219" t="s">
        <v>1685</v>
      </c>
      <c r="K1308" s="12"/>
      <c r="L1308" s="291">
        <v>8.2799999999999994</v>
      </c>
      <c r="M1308" s="292">
        <v>3</v>
      </c>
      <c r="N1308" s="293">
        <v>28</v>
      </c>
      <c r="O1308" s="219"/>
      <c r="P1308" s="219" t="s">
        <v>39</v>
      </c>
      <c r="Q1308" s="12"/>
      <c r="R1308" s="192" t="str">
        <f t="shared" si="36"/>
        <v>28grams</v>
      </c>
      <c r="S1308" s="198">
        <f t="shared" si="37"/>
        <v>84</v>
      </c>
      <c r="T1308" s="199" t="str">
        <f t="shared" si="38"/>
        <v>84grams</v>
      </c>
      <c r="U1308" s="200">
        <f t="shared" si="39"/>
        <v>24.839999999999996</v>
      </c>
      <c r="V1308" s="12"/>
      <c r="W1308" s="12"/>
    </row>
    <row r="1309" spans="1:23" x14ac:dyDescent="0.3">
      <c r="A1309" s="193" t="e">
        <f ca="1"/>
        <v>#NAME?</v>
      </c>
      <c r="B1309" s="219" t="s">
        <v>1686</v>
      </c>
      <c r="C1309" s="315"/>
      <c r="D1309" s="316"/>
      <c r="E1309" s="315"/>
      <c r="F1309" s="315"/>
      <c r="G1309" s="315"/>
      <c r="H1309" s="153"/>
      <c r="I1309" s="12"/>
      <c r="J1309" s="46" t="s">
        <v>1687</v>
      </c>
      <c r="K1309" s="12"/>
      <c r="L1309" s="288">
        <v>23.2</v>
      </c>
      <c r="M1309" s="289">
        <v>11</v>
      </c>
      <c r="N1309" s="290">
        <v>60</v>
      </c>
      <c r="O1309" s="46"/>
      <c r="P1309" s="46" t="s">
        <v>39</v>
      </c>
      <c r="Q1309" s="12"/>
      <c r="R1309" s="192" t="str">
        <f t="shared" si="36"/>
        <v>60grams</v>
      </c>
      <c r="S1309" s="198">
        <f t="shared" si="37"/>
        <v>660</v>
      </c>
      <c r="T1309" s="199" t="str">
        <f t="shared" si="38"/>
        <v>660grams</v>
      </c>
      <c r="U1309" s="200">
        <f t="shared" si="39"/>
        <v>255.2</v>
      </c>
      <c r="V1309" s="12"/>
      <c r="W1309" s="12"/>
    </row>
    <row r="1310" spans="1:23" x14ac:dyDescent="0.3">
      <c r="A1310" s="193" t="e">
        <f ca="1"/>
        <v>#NAME?</v>
      </c>
      <c r="B1310" s="219" t="s">
        <v>1686</v>
      </c>
      <c r="C1310" s="315"/>
      <c r="D1310" s="316"/>
      <c r="E1310" s="315"/>
      <c r="F1310" s="315"/>
      <c r="G1310" s="315"/>
      <c r="H1310" s="153"/>
      <c r="I1310" s="12"/>
      <c r="J1310" s="46" t="s">
        <v>1688</v>
      </c>
      <c r="K1310" s="12"/>
      <c r="L1310" s="288">
        <v>24.25</v>
      </c>
      <c r="M1310" s="289">
        <v>60</v>
      </c>
      <c r="N1310" s="290">
        <v>45</v>
      </c>
      <c r="O1310" s="46"/>
      <c r="P1310" s="46" t="s">
        <v>39</v>
      </c>
      <c r="Q1310" s="12"/>
      <c r="R1310" s="192" t="str">
        <f t="shared" si="36"/>
        <v>45grams</v>
      </c>
      <c r="S1310" s="198">
        <f t="shared" si="37"/>
        <v>2700</v>
      </c>
      <c r="T1310" s="199" t="str">
        <f t="shared" si="38"/>
        <v>2700grams</v>
      </c>
      <c r="U1310" s="200">
        <f t="shared" si="39"/>
        <v>1455</v>
      </c>
      <c r="V1310" s="12"/>
      <c r="W1310" s="12"/>
    </row>
    <row r="1311" spans="1:23" x14ac:dyDescent="0.3">
      <c r="A1311" s="193" t="e">
        <f ca="1"/>
        <v>#NAME?</v>
      </c>
      <c r="B1311" s="46" t="s">
        <v>1686</v>
      </c>
      <c r="C1311" s="315"/>
      <c r="D1311" s="316"/>
      <c r="E1311" s="315"/>
      <c r="F1311" s="315"/>
      <c r="G1311" s="315"/>
      <c r="H1311" s="153"/>
      <c r="I1311" s="12"/>
      <c r="J1311" s="46" t="s">
        <v>1689</v>
      </c>
      <c r="K1311" s="12"/>
      <c r="L1311" s="288">
        <v>7.1</v>
      </c>
      <c r="M1311" s="289">
        <v>24</v>
      </c>
      <c r="N1311" s="290">
        <v>1</v>
      </c>
      <c r="O1311" s="46"/>
      <c r="P1311" s="46" t="s">
        <v>92</v>
      </c>
      <c r="Q1311" s="12"/>
      <c r="R1311" s="192" t="str">
        <f t="shared" si="36"/>
        <v>1pieces</v>
      </c>
      <c r="S1311" s="198">
        <f t="shared" si="37"/>
        <v>24</v>
      </c>
      <c r="T1311" s="199" t="str">
        <f t="shared" si="38"/>
        <v>24pieces</v>
      </c>
      <c r="U1311" s="200">
        <f t="shared" si="39"/>
        <v>170.39999999999998</v>
      </c>
      <c r="V1311" s="12"/>
      <c r="W1311" s="12"/>
    </row>
    <row r="1312" spans="1:23" x14ac:dyDescent="0.3">
      <c r="A1312" s="193" t="e">
        <f ca="1"/>
        <v>#NAME?</v>
      </c>
      <c r="B1312" s="46" t="s">
        <v>1686</v>
      </c>
      <c r="C1312" s="315"/>
      <c r="D1312" s="316"/>
      <c r="E1312" s="315"/>
      <c r="F1312" s="315"/>
      <c r="G1312" s="315"/>
      <c r="H1312" s="153"/>
      <c r="I1312" s="12"/>
      <c r="J1312" s="46" t="s">
        <v>1690</v>
      </c>
      <c r="K1312" s="12"/>
      <c r="L1312" s="288">
        <v>7.2</v>
      </c>
      <c r="M1312" s="289">
        <v>9</v>
      </c>
      <c r="N1312" s="290">
        <v>1</v>
      </c>
      <c r="O1312" s="46"/>
      <c r="P1312" s="46" t="s">
        <v>92</v>
      </c>
      <c r="Q1312" s="12"/>
      <c r="R1312" s="192" t="str">
        <f t="shared" si="36"/>
        <v>1pieces</v>
      </c>
      <c r="S1312" s="198">
        <f t="shared" si="37"/>
        <v>9</v>
      </c>
      <c r="T1312" s="199" t="str">
        <f t="shared" si="38"/>
        <v>9pieces</v>
      </c>
      <c r="U1312" s="200">
        <f t="shared" si="39"/>
        <v>64.8</v>
      </c>
      <c r="V1312" s="12"/>
      <c r="W1312" s="12"/>
    </row>
    <row r="1313" spans="1:23" x14ac:dyDescent="0.3">
      <c r="A1313" s="193" t="e">
        <f ca="1"/>
        <v>#NAME?</v>
      </c>
      <c r="B1313" s="219" t="s">
        <v>1686</v>
      </c>
      <c r="C1313" s="315"/>
      <c r="D1313" s="316"/>
      <c r="E1313" s="315"/>
      <c r="F1313" s="315"/>
      <c r="G1313" s="315"/>
      <c r="H1313" s="153"/>
      <c r="I1313" s="12"/>
      <c r="J1313" s="219" t="s">
        <v>1691</v>
      </c>
      <c r="K1313" s="12"/>
      <c r="L1313" s="291">
        <v>18.8</v>
      </c>
      <c r="M1313" s="292">
        <v>10</v>
      </c>
      <c r="N1313" s="293">
        <v>1</v>
      </c>
      <c r="O1313" s="219"/>
      <c r="P1313" s="219" t="s">
        <v>304</v>
      </c>
      <c r="Q1313" s="12"/>
      <c r="R1313" s="192" t="str">
        <f t="shared" si="36"/>
        <v>1packs</v>
      </c>
      <c r="S1313" s="198">
        <f t="shared" si="37"/>
        <v>10</v>
      </c>
      <c r="T1313" s="199" t="str">
        <f t="shared" si="38"/>
        <v>10packs</v>
      </c>
      <c r="U1313" s="200">
        <f t="shared" si="39"/>
        <v>188</v>
      </c>
      <c r="V1313" s="12"/>
      <c r="W1313" s="12"/>
    </row>
    <row r="1314" spans="1:23" x14ac:dyDescent="0.3">
      <c r="A1314" s="193" t="e">
        <f ca="1"/>
        <v>#NAME?</v>
      </c>
      <c r="B1314" s="219" t="s">
        <v>1686</v>
      </c>
      <c r="C1314" s="315"/>
      <c r="D1314" s="316"/>
      <c r="E1314" s="315"/>
      <c r="F1314" s="315"/>
      <c r="G1314" s="315"/>
      <c r="H1314" s="153"/>
      <c r="I1314" s="12"/>
      <c r="J1314" s="46" t="s">
        <v>1692</v>
      </c>
      <c r="K1314" s="12"/>
      <c r="L1314" s="288">
        <v>21.68</v>
      </c>
      <c r="M1314" s="289">
        <v>33</v>
      </c>
      <c r="N1314" s="290">
        <v>18</v>
      </c>
      <c r="O1314" s="46"/>
      <c r="P1314" s="46" t="s">
        <v>92</v>
      </c>
      <c r="Q1314" s="12"/>
      <c r="R1314" s="192" t="str">
        <f t="shared" si="36"/>
        <v>18pieces</v>
      </c>
      <c r="S1314" s="198">
        <f t="shared" si="37"/>
        <v>594</v>
      </c>
      <c r="T1314" s="199" t="str">
        <f t="shared" si="38"/>
        <v>594pieces</v>
      </c>
      <c r="U1314" s="200">
        <f t="shared" si="39"/>
        <v>715.43999999999994</v>
      </c>
      <c r="V1314" s="12"/>
      <c r="W1314" s="12"/>
    </row>
    <row r="1315" spans="1:23" x14ac:dyDescent="0.3">
      <c r="A1315" s="193" t="e">
        <f ca="1"/>
        <v>#NAME?</v>
      </c>
      <c r="B1315" s="46" t="s">
        <v>1686</v>
      </c>
      <c r="C1315" s="315"/>
      <c r="D1315" s="316"/>
      <c r="E1315" s="315"/>
      <c r="F1315" s="315"/>
      <c r="G1315" s="315"/>
      <c r="H1315" s="153"/>
      <c r="I1315" s="12"/>
      <c r="J1315" s="46" t="s">
        <v>1693</v>
      </c>
      <c r="K1315" s="12"/>
      <c r="L1315" s="288">
        <v>19.32</v>
      </c>
      <c r="M1315" s="289">
        <v>30</v>
      </c>
      <c r="N1315" s="290">
        <v>90</v>
      </c>
      <c r="O1315" s="46"/>
      <c r="P1315" s="46" t="s">
        <v>39</v>
      </c>
      <c r="Q1315" s="12"/>
      <c r="R1315" s="192" t="str">
        <f t="shared" si="36"/>
        <v>90grams</v>
      </c>
      <c r="S1315" s="198">
        <f t="shared" si="37"/>
        <v>2700</v>
      </c>
      <c r="T1315" s="199" t="str">
        <f t="shared" si="38"/>
        <v>2700grams</v>
      </c>
      <c r="U1315" s="200">
        <f t="shared" si="39"/>
        <v>579.6</v>
      </c>
      <c r="V1315" s="12"/>
      <c r="W1315" s="12"/>
    </row>
    <row r="1316" spans="1:23" x14ac:dyDescent="0.3">
      <c r="A1316" s="193" t="e">
        <f ca="1"/>
        <v>#NAME?</v>
      </c>
      <c r="B1316" s="46" t="s">
        <v>1686</v>
      </c>
      <c r="C1316" s="315"/>
      <c r="D1316" s="316"/>
      <c r="E1316" s="315"/>
      <c r="F1316" s="315"/>
      <c r="G1316" s="315"/>
      <c r="H1316" s="153"/>
      <c r="I1316" s="12"/>
      <c r="J1316" s="46" t="s">
        <v>1694</v>
      </c>
      <c r="K1316" s="12"/>
      <c r="L1316" s="288">
        <v>21.12</v>
      </c>
      <c r="M1316" s="289">
        <v>19</v>
      </c>
      <c r="N1316" s="290">
        <v>90</v>
      </c>
      <c r="O1316" s="46"/>
      <c r="P1316" s="46" t="s">
        <v>39</v>
      </c>
      <c r="Q1316" s="12"/>
      <c r="R1316" s="192" t="str">
        <f t="shared" si="36"/>
        <v>90grams</v>
      </c>
      <c r="S1316" s="198">
        <f t="shared" si="37"/>
        <v>1710</v>
      </c>
      <c r="T1316" s="199" t="str">
        <f t="shared" si="38"/>
        <v>1710grams</v>
      </c>
      <c r="U1316" s="200">
        <f t="shared" si="39"/>
        <v>401.28000000000003</v>
      </c>
      <c r="V1316" s="12"/>
      <c r="W1316" s="12"/>
    </row>
    <row r="1317" spans="1:23" x14ac:dyDescent="0.3">
      <c r="A1317" s="193" t="e">
        <f ca="1"/>
        <v>#NAME?</v>
      </c>
      <c r="B1317" s="46" t="s">
        <v>1686</v>
      </c>
      <c r="C1317" s="315"/>
      <c r="D1317" s="316"/>
      <c r="E1317" s="315"/>
      <c r="F1317" s="315"/>
      <c r="G1317" s="315"/>
      <c r="H1317" s="153"/>
      <c r="I1317" s="12"/>
      <c r="J1317" s="46" t="s">
        <v>1694</v>
      </c>
      <c r="K1317" s="12"/>
      <c r="L1317" s="311">
        <v>19.899999999999999</v>
      </c>
      <c r="M1317" s="289">
        <v>20</v>
      </c>
      <c r="N1317" s="290">
        <v>90</v>
      </c>
      <c r="O1317" s="46"/>
      <c r="P1317" s="46" t="s">
        <v>39</v>
      </c>
      <c r="Q1317" s="12"/>
      <c r="R1317" s="192" t="str">
        <f t="shared" si="36"/>
        <v>90grams</v>
      </c>
      <c r="S1317" s="198">
        <f t="shared" si="37"/>
        <v>1800</v>
      </c>
      <c r="T1317" s="199" t="str">
        <f t="shared" si="38"/>
        <v>1800grams</v>
      </c>
      <c r="U1317" s="200">
        <f t="shared" si="39"/>
        <v>398</v>
      </c>
      <c r="V1317" s="12"/>
      <c r="W1317" s="12"/>
    </row>
    <row r="1318" spans="1:23" x14ac:dyDescent="0.3">
      <c r="A1318" s="193" t="e">
        <f ca="1"/>
        <v>#NAME?</v>
      </c>
      <c r="B1318" s="46" t="s">
        <v>1686</v>
      </c>
      <c r="C1318" s="315"/>
      <c r="D1318" s="316"/>
      <c r="E1318" s="315"/>
      <c r="F1318" s="315"/>
      <c r="G1318" s="315"/>
      <c r="H1318" s="153"/>
      <c r="I1318" s="12"/>
      <c r="J1318" s="46" t="s">
        <v>1695</v>
      </c>
      <c r="K1318" s="12"/>
      <c r="L1318" s="288">
        <v>22.45</v>
      </c>
      <c r="M1318" s="289">
        <v>24</v>
      </c>
      <c r="N1318" s="290">
        <v>105</v>
      </c>
      <c r="O1318" s="46"/>
      <c r="P1318" s="46" t="s">
        <v>39</v>
      </c>
      <c r="Q1318" s="12"/>
      <c r="R1318" s="192" t="str">
        <f t="shared" si="36"/>
        <v>105grams</v>
      </c>
      <c r="S1318" s="198">
        <f t="shared" si="37"/>
        <v>2520</v>
      </c>
      <c r="T1318" s="199" t="str">
        <f t="shared" si="38"/>
        <v>2520grams</v>
      </c>
      <c r="U1318" s="200">
        <f t="shared" si="39"/>
        <v>538.79999999999995</v>
      </c>
      <c r="V1318" s="12"/>
      <c r="W1318" s="12"/>
    </row>
    <row r="1319" spans="1:23" x14ac:dyDescent="0.3">
      <c r="A1319" s="193" t="e">
        <f ca="1"/>
        <v>#NAME?</v>
      </c>
      <c r="B1319" s="46" t="s">
        <v>1686</v>
      </c>
      <c r="C1319" s="315"/>
      <c r="D1319" s="316"/>
      <c r="E1319" s="315"/>
      <c r="F1319" s="315"/>
      <c r="G1319" s="315"/>
      <c r="H1319" s="153"/>
      <c r="I1319" s="12"/>
      <c r="J1319" s="46" t="s">
        <v>1696</v>
      </c>
      <c r="K1319" s="12"/>
      <c r="L1319" s="288">
        <v>16.7</v>
      </c>
      <c r="M1319" s="289">
        <v>9</v>
      </c>
      <c r="N1319" s="290">
        <v>60</v>
      </c>
      <c r="O1319" s="46"/>
      <c r="P1319" s="46" t="s">
        <v>92</v>
      </c>
      <c r="Q1319" s="12"/>
      <c r="R1319" s="192" t="str">
        <f t="shared" si="36"/>
        <v>60pieces</v>
      </c>
      <c r="S1319" s="198">
        <f t="shared" si="37"/>
        <v>540</v>
      </c>
      <c r="T1319" s="199" t="str">
        <f t="shared" si="38"/>
        <v>540pieces</v>
      </c>
      <c r="U1319" s="200">
        <f t="shared" si="39"/>
        <v>150.29999999999998</v>
      </c>
      <c r="V1319" s="12"/>
      <c r="W1319" s="12"/>
    </row>
    <row r="1320" spans="1:23" x14ac:dyDescent="0.3">
      <c r="A1320" s="193" t="e">
        <f ca="1"/>
        <v>#NAME?</v>
      </c>
      <c r="B1320" s="46" t="s">
        <v>1686</v>
      </c>
      <c r="C1320" s="315"/>
      <c r="D1320" s="316"/>
      <c r="E1320" s="315"/>
      <c r="F1320" s="315"/>
      <c r="G1320" s="315"/>
      <c r="H1320" s="153"/>
      <c r="I1320" s="12"/>
      <c r="J1320" s="46" t="s">
        <v>1697</v>
      </c>
      <c r="K1320" s="12"/>
      <c r="L1320" s="288">
        <v>15</v>
      </c>
      <c r="M1320" s="289">
        <v>58</v>
      </c>
      <c r="N1320" s="290">
        <v>23</v>
      </c>
      <c r="O1320" s="46"/>
      <c r="P1320" s="46" t="s">
        <v>39</v>
      </c>
      <c r="Q1320" s="12"/>
      <c r="R1320" s="192" t="str">
        <f t="shared" si="36"/>
        <v>23grams</v>
      </c>
      <c r="S1320" s="198">
        <f t="shared" si="37"/>
        <v>1334</v>
      </c>
      <c r="T1320" s="199" t="str">
        <f t="shared" si="38"/>
        <v>1334grams</v>
      </c>
      <c r="U1320" s="200">
        <f t="shared" si="39"/>
        <v>870</v>
      </c>
      <c r="V1320" s="12"/>
      <c r="W1320" s="12"/>
    </row>
    <row r="1321" spans="1:23" x14ac:dyDescent="0.3">
      <c r="A1321" s="193" t="e">
        <f ca="1"/>
        <v>#NAME?</v>
      </c>
      <c r="B1321" s="46" t="s">
        <v>1686</v>
      </c>
      <c r="C1321" s="315"/>
      <c r="D1321" s="316"/>
      <c r="E1321" s="315"/>
      <c r="F1321" s="315"/>
      <c r="G1321" s="315"/>
      <c r="H1321" s="153"/>
      <c r="I1321" s="12"/>
      <c r="J1321" s="46" t="s">
        <v>1698</v>
      </c>
      <c r="K1321" s="12"/>
      <c r="L1321" s="288">
        <v>16.95</v>
      </c>
      <c r="M1321" s="289">
        <v>47</v>
      </c>
      <c r="N1321" s="290">
        <v>110</v>
      </c>
      <c r="O1321" s="46"/>
      <c r="P1321" s="46" t="s">
        <v>39</v>
      </c>
      <c r="Q1321" s="12"/>
      <c r="R1321" s="192" t="str">
        <f t="shared" si="36"/>
        <v>110grams</v>
      </c>
      <c r="S1321" s="198">
        <f t="shared" si="37"/>
        <v>5170</v>
      </c>
      <c r="T1321" s="199" t="str">
        <f t="shared" si="38"/>
        <v>5170grams</v>
      </c>
      <c r="U1321" s="200">
        <f t="shared" si="39"/>
        <v>796.65</v>
      </c>
      <c r="V1321" s="12"/>
      <c r="W1321" s="12"/>
    </row>
    <row r="1322" spans="1:23" x14ac:dyDescent="0.3">
      <c r="A1322" s="193" t="e">
        <f ca="1"/>
        <v>#NAME?</v>
      </c>
      <c r="B1322" s="46" t="s">
        <v>1686</v>
      </c>
      <c r="C1322" s="315"/>
      <c r="D1322" s="316"/>
      <c r="E1322" s="315"/>
      <c r="F1322" s="315"/>
      <c r="G1322" s="315"/>
      <c r="H1322" s="153"/>
      <c r="I1322" s="12"/>
      <c r="J1322" s="46" t="s">
        <v>1699</v>
      </c>
      <c r="K1322" s="12"/>
      <c r="L1322" s="288">
        <v>23.5</v>
      </c>
      <c r="M1322" s="289">
        <v>19</v>
      </c>
      <c r="N1322" s="290">
        <v>100</v>
      </c>
      <c r="O1322" s="46"/>
      <c r="P1322" s="46" t="s">
        <v>39</v>
      </c>
      <c r="Q1322" s="12"/>
      <c r="R1322" s="192" t="str">
        <f t="shared" si="36"/>
        <v>100grams</v>
      </c>
      <c r="S1322" s="198">
        <f t="shared" si="37"/>
        <v>1900</v>
      </c>
      <c r="T1322" s="199" t="str">
        <f t="shared" si="38"/>
        <v>1900grams</v>
      </c>
      <c r="U1322" s="200">
        <f t="shared" si="39"/>
        <v>446.5</v>
      </c>
      <c r="V1322" s="12"/>
      <c r="W1322" s="12"/>
    </row>
    <row r="1323" spans="1:23" x14ac:dyDescent="0.3">
      <c r="A1323" s="193" t="e">
        <f ca="1"/>
        <v>#NAME?</v>
      </c>
      <c r="B1323" s="46" t="s">
        <v>1686</v>
      </c>
      <c r="C1323" s="315"/>
      <c r="D1323" s="316"/>
      <c r="E1323" s="315"/>
      <c r="F1323" s="315"/>
      <c r="G1323" s="315"/>
      <c r="H1323" s="153"/>
      <c r="I1323" s="12"/>
      <c r="J1323" s="46" t="s">
        <v>1699</v>
      </c>
      <c r="K1323" s="12"/>
      <c r="L1323" s="288">
        <v>21.66</v>
      </c>
      <c r="M1323" s="289">
        <v>50</v>
      </c>
      <c r="N1323" s="290">
        <v>98</v>
      </c>
      <c r="O1323" s="46"/>
      <c r="P1323" s="46" t="s">
        <v>39</v>
      </c>
      <c r="Q1323" s="12"/>
      <c r="R1323" s="192" t="str">
        <f t="shared" si="36"/>
        <v>98grams</v>
      </c>
      <c r="S1323" s="198">
        <f t="shared" si="37"/>
        <v>4900</v>
      </c>
      <c r="T1323" s="199" t="str">
        <f t="shared" si="38"/>
        <v>4900grams</v>
      </c>
      <c r="U1323" s="200">
        <f t="shared" si="39"/>
        <v>1083</v>
      </c>
      <c r="V1323" s="12"/>
      <c r="W1323" s="12"/>
    </row>
    <row r="1324" spans="1:23" x14ac:dyDescent="0.3">
      <c r="A1324" s="193" t="e">
        <f ca="1"/>
        <v>#NAME?</v>
      </c>
      <c r="B1324" s="46" t="s">
        <v>1686</v>
      </c>
      <c r="C1324" s="315"/>
      <c r="D1324" s="316"/>
      <c r="E1324" s="315"/>
      <c r="F1324" s="315"/>
      <c r="G1324" s="315"/>
      <c r="H1324" s="153"/>
      <c r="I1324" s="12"/>
      <c r="J1324" s="46" t="s">
        <v>1700</v>
      </c>
      <c r="K1324" s="12"/>
      <c r="L1324" s="288">
        <v>35.15</v>
      </c>
      <c r="M1324" s="289">
        <v>17</v>
      </c>
      <c r="N1324" s="290">
        <v>78</v>
      </c>
      <c r="O1324" s="46"/>
      <c r="P1324" s="46" t="s">
        <v>39</v>
      </c>
      <c r="Q1324" s="12"/>
      <c r="R1324" s="192" t="str">
        <f t="shared" si="36"/>
        <v>78grams</v>
      </c>
      <c r="S1324" s="198">
        <f t="shared" si="37"/>
        <v>1326</v>
      </c>
      <c r="T1324" s="199" t="str">
        <f t="shared" si="38"/>
        <v>1326grams</v>
      </c>
      <c r="U1324" s="200">
        <f t="shared" si="39"/>
        <v>597.54999999999995</v>
      </c>
      <c r="V1324" s="12"/>
      <c r="W1324" s="12"/>
    </row>
    <row r="1325" spans="1:23" x14ac:dyDescent="0.3">
      <c r="A1325" s="193" t="e">
        <f ca="1"/>
        <v>#NAME?</v>
      </c>
      <c r="B1325" s="46" t="s">
        <v>1686</v>
      </c>
      <c r="C1325" s="315"/>
      <c r="D1325" s="316"/>
      <c r="E1325" s="315"/>
      <c r="F1325" s="315"/>
      <c r="G1325" s="315"/>
      <c r="H1325" s="153"/>
      <c r="I1325" s="12"/>
      <c r="J1325" s="46" t="s">
        <v>1701</v>
      </c>
      <c r="K1325" s="12"/>
      <c r="L1325" s="288">
        <v>33.5</v>
      </c>
      <c r="M1325" s="289">
        <v>100</v>
      </c>
      <c r="N1325" s="290">
        <v>78</v>
      </c>
      <c r="O1325" s="46"/>
      <c r="P1325" s="46" t="s">
        <v>39</v>
      </c>
      <c r="Q1325" s="12"/>
      <c r="R1325" s="192" t="str">
        <f t="shared" si="36"/>
        <v>78grams</v>
      </c>
      <c r="S1325" s="198">
        <f t="shared" si="37"/>
        <v>7800</v>
      </c>
      <c r="T1325" s="199" t="str">
        <f t="shared" si="38"/>
        <v>7800grams</v>
      </c>
      <c r="U1325" s="200">
        <f t="shared" si="39"/>
        <v>3350</v>
      </c>
      <c r="V1325" s="12"/>
      <c r="W1325" s="12"/>
    </row>
    <row r="1326" spans="1:23" x14ac:dyDescent="0.3">
      <c r="A1326" s="193" t="e">
        <f ca="1"/>
        <v>#NAME?</v>
      </c>
      <c r="B1326" s="46" t="s">
        <v>1686</v>
      </c>
      <c r="C1326" s="315"/>
      <c r="D1326" s="316"/>
      <c r="E1326" s="315"/>
      <c r="F1326" s="315"/>
      <c r="G1326" s="315"/>
      <c r="H1326" s="153"/>
      <c r="I1326" s="12"/>
      <c r="J1326" s="46" t="s">
        <v>1701</v>
      </c>
      <c r="K1326" s="12"/>
      <c r="L1326" s="288">
        <v>33.5</v>
      </c>
      <c r="M1326" s="289">
        <v>150</v>
      </c>
      <c r="N1326" s="290">
        <v>78</v>
      </c>
      <c r="O1326" s="46"/>
      <c r="P1326" s="46" t="s">
        <v>39</v>
      </c>
      <c r="Q1326" s="12"/>
      <c r="R1326" s="192" t="str">
        <f t="shared" si="36"/>
        <v>78grams</v>
      </c>
      <c r="S1326" s="198">
        <f t="shared" si="37"/>
        <v>11700</v>
      </c>
      <c r="T1326" s="199" t="str">
        <f t="shared" si="38"/>
        <v>11700grams</v>
      </c>
      <c r="U1326" s="200">
        <f t="shared" si="39"/>
        <v>5025</v>
      </c>
      <c r="V1326" s="12"/>
      <c r="W1326" s="12"/>
    </row>
    <row r="1327" spans="1:23" x14ac:dyDescent="0.3">
      <c r="A1327" s="193" t="e">
        <f ca="1"/>
        <v>#NAME?</v>
      </c>
      <c r="B1327" s="46" t="s">
        <v>1686</v>
      </c>
      <c r="C1327" s="315"/>
      <c r="D1327" s="316"/>
      <c r="E1327" s="315"/>
      <c r="F1327" s="315"/>
      <c r="G1327" s="315"/>
      <c r="H1327" s="153"/>
      <c r="I1327" s="12"/>
      <c r="J1327" s="46" t="s">
        <v>1702</v>
      </c>
      <c r="K1327" s="12"/>
      <c r="L1327" s="288">
        <v>34.9</v>
      </c>
      <c r="M1327" s="289">
        <v>25</v>
      </c>
      <c r="N1327" s="290">
        <v>100</v>
      </c>
      <c r="O1327" s="46"/>
      <c r="P1327" s="46" t="s">
        <v>39</v>
      </c>
      <c r="Q1327" s="12"/>
      <c r="R1327" s="192" t="str">
        <f t="shared" si="36"/>
        <v>100grams</v>
      </c>
      <c r="S1327" s="198">
        <f t="shared" si="37"/>
        <v>2500</v>
      </c>
      <c r="T1327" s="199" t="str">
        <f t="shared" si="38"/>
        <v>2500grams</v>
      </c>
      <c r="U1327" s="200">
        <f t="shared" si="39"/>
        <v>872.5</v>
      </c>
      <c r="V1327" s="12"/>
      <c r="W1327" s="12"/>
    </row>
    <row r="1328" spans="1:23" x14ac:dyDescent="0.3">
      <c r="A1328" s="193" t="e">
        <f ca="1"/>
        <v>#NAME?</v>
      </c>
      <c r="B1328" s="46" t="s">
        <v>1686</v>
      </c>
      <c r="C1328" s="315"/>
      <c r="D1328" s="316"/>
      <c r="E1328" s="315"/>
      <c r="F1328" s="315"/>
      <c r="G1328" s="315"/>
      <c r="H1328" s="153"/>
      <c r="I1328" s="12"/>
      <c r="J1328" s="46" t="s">
        <v>1703</v>
      </c>
      <c r="K1328" s="12"/>
      <c r="L1328" s="288">
        <v>22.38</v>
      </c>
      <c r="M1328" s="289">
        <v>30</v>
      </c>
      <c r="N1328" s="290">
        <v>75</v>
      </c>
      <c r="O1328" s="46"/>
      <c r="P1328" s="46" t="s">
        <v>39</v>
      </c>
      <c r="Q1328" s="12"/>
      <c r="R1328" s="192" t="str">
        <f t="shared" si="36"/>
        <v>75grams</v>
      </c>
      <c r="S1328" s="198">
        <f t="shared" si="37"/>
        <v>2250</v>
      </c>
      <c r="T1328" s="199" t="str">
        <f t="shared" si="38"/>
        <v>2250grams</v>
      </c>
      <c r="U1328" s="200">
        <f t="shared" si="39"/>
        <v>671.4</v>
      </c>
      <c r="V1328" s="12"/>
      <c r="W1328" s="12"/>
    </row>
    <row r="1329" spans="1:23" x14ac:dyDescent="0.3">
      <c r="A1329" s="193" t="e">
        <f ca="1"/>
        <v>#NAME?</v>
      </c>
      <c r="B1329" s="46" t="s">
        <v>1686</v>
      </c>
      <c r="C1329" s="315"/>
      <c r="D1329" s="316"/>
      <c r="E1329" s="315"/>
      <c r="F1329" s="315"/>
      <c r="G1329" s="315"/>
      <c r="H1329" s="153"/>
      <c r="I1329" s="12"/>
      <c r="J1329" s="46" t="s">
        <v>1704</v>
      </c>
      <c r="K1329" s="12"/>
      <c r="L1329" s="288">
        <v>12.54</v>
      </c>
      <c r="M1329" s="289">
        <v>18</v>
      </c>
      <c r="N1329" s="290">
        <v>56</v>
      </c>
      <c r="O1329" s="46"/>
      <c r="P1329" s="46" t="s">
        <v>39</v>
      </c>
      <c r="Q1329" s="12"/>
      <c r="R1329" s="192" t="str">
        <f t="shared" si="36"/>
        <v>56grams</v>
      </c>
      <c r="S1329" s="198">
        <f t="shared" si="37"/>
        <v>1008</v>
      </c>
      <c r="T1329" s="199" t="str">
        <f t="shared" si="38"/>
        <v>1008grams</v>
      </c>
      <c r="U1329" s="200">
        <f t="shared" si="39"/>
        <v>225.71999999999997</v>
      </c>
      <c r="V1329" s="12"/>
      <c r="W1329" s="12"/>
    </row>
    <row r="1330" spans="1:23" x14ac:dyDescent="0.3">
      <c r="A1330" s="193" t="e">
        <f ca="1"/>
        <v>#NAME?</v>
      </c>
      <c r="B1330" s="219" t="s">
        <v>1686</v>
      </c>
      <c r="C1330" s="315"/>
      <c r="D1330" s="316"/>
      <c r="E1330" s="315"/>
      <c r="F1330" s="315"/>
      <c r="G1330" s="315"/>
      <c r="H1330" s="153"/>
      <c r="I1330" s="12"/>
      <c r="J1330" s="46" t="s">
        <v>1705</v>
      </c>
      <c r="K1330" s="12"/>
      <c r="L1330" s="288">
        <v>23.1</v>
      </c>
      <c r="M1330" s="289">
        <v>2</v>
      </c>
      <c r="N1330" s="290">
        <v>85</v>
      </c>
      <c r="O1330" s="46"/>
      <c r="P1330" s="46" t="s">
        <v>39</v>
      </c>
      <c r="Q1330" s="12"/>
      <c r="R1330" s="192" t="str">
        <f t="shared" si="36"/>
        <v>85grams</v>
      </c>
      <c r="S1330" s="198">
        <f t="shared" si="37"/>
        <v>170</v>
      </c>
      <c r="T1330" s="199" t="str">
        <f t="shared" si="38"/>
        <v>170grams</v>
      </c>
      <c r="U1330" s="200">
        <f t="shared" si="39"/>
        <v>46.2</v>
      </c>
      <c r="V1330" s="12"/>
      <c r="W1330" s="12"/>
    </row>
    <row r="1331" spans="1:23" x14ac:dyDescent="0.3">
      <c r="A1331" s="193" t="e">
        <f ca="1"/>
        <v>#NAME?</v>
      </c>
      <c r="B1331" s="219" t="s">
        <v>1686</v>
      </c>
      <c r="C1331" s="315"/>
      <c r="D1331" s="316"/>
      <c r="E1331" s="315"/>
      <c r="F1331" s="315"/>
      <c r="G1331" s="315"/>
      <c r="H1331" s="153"/>
      <c r="I1331" s="12"/>
      <c r="J1331" s="46" t="s">
        <v>1705</v>
      </c>
      <c r="K1331" s="12"/>
      <c r="L1331" s="288">
        <v>22.45</v>
      </c>
      <c r="M1331" s="289">
        <v>1</v>
      </c>
      <c r="N1331" s="290">
        <v>85</v>
      </c>
      <c r="O1331" s="46"/>
      <c r="P1331" s="46" t="s">
        <v>39</v>
      </c>
      <c r="Q1331" s="12"/>
      <c r="R1331" s="192" t="str">
        <f t="shared" si="36"/>
        <v>85grams</v>
      </c>
      <c r="S1331" s="198">
        <f t="shared" si="37"/>
        <v>85</v>
      </c>
      <c r="T1331" s="199" t="str">
        <f t="shared" si="38"/>
        <v>85grams</v>
      </c>
      <c r="U1331" s="200">
        <f t="shared" si="39"/>
        <v>22.45</v>
      </c>
      <c r="V1331" s="12"/>
      <c r="W1331" s="12"/>
    </row>
    <row r="1332" spans="1:23" x14ac:dyDescent="0.3">
      <c r="A1332" s="193" t="e">
        <f ca="1"/>
        <v>#NAME?</v>
      </c>
      <c r="B1332" s="46" t="s">
        <v>1686</v>
      </c>
      <c r="C1332" s="315"/>
      <c r="D1332" s="316"/>
      <c r="E1332" s="315"/>
      <c r="F1332" s="315"/>
      <c r="G1332" s="315"/>
      <c r="H1332" s="153"/>
      <c r="I1332" s="12"/>
      <c r="J1332" s="46" t="s">
        <v>1706</v>
      </c>
      <c r="K1332" s="12"/>
      <c r="L1332" s="288">
        <v>85</v>
      </c>
      <c r="M1332" s="289">
        <v>15</v>
      </c>
      <c r="N1332" s="290">
        <v>350</v>
      </c>
      <c r="O1332" s="46"/>
      <c r="P1332" s="46" t="s">
        <v>32</v>
      </c>
      <c r="Q1332" s="12"/>
      <c r="R1332" s="192" t="str">
        <f t="shared" si="36"/>
        <v>350ml</v>
      </c>
      <c r="S1332" s="198">
        <f t="shared" si="37"/>
        <v>5250</v>
      </c>
      <c r="T1332" s="199" t="str">
        <f t="shared" si="38"/>
        <v>5250ml</v>
      </c>
      <c r="U1332" s="200">
        <f t="shared" si="39"/>
        <v>1275</v>
      </c>
      <c r="V1332" s="12"/>
      <c r="W1332" s="12"/>
    </row>
    <row r="1333" spans="1:23" x14ac:dyDescent="0.3">
      <c r="A1333" s="193" t="e">
        <f ca="1"/>
        <v>#NAME?</v>
      </c>
      <c r="B1333" s="46" t="s">
        <v>1686</v>
      </c>
      <c r="C1333" s="315"/>
      <c r="D1333" s="316"/>
      <c r="E1333" s="315"/>
      <c r="F1333" s="315"/>
      <c r="G1333" s="315"/>
      <c r="H1333" s="153"/>
      <c r="I1333" s="12"/>
      <c r="J1333" s="46" t="s">
        <v>1706</v>
      </c>
      <c r="K1333" s="12"/>
      <c r="L1333" s="288">
        <v>120</v>
      </c>
      <c r="M1333" s="289">
        <v>7</v>
      </c>
      <c r="N1333" s="290">
        <v>750</v>
      </c>
      <c r="O1333" s="46"/>
      <c r="P1333" s="46" t="s">
        <v>32</v>
      </c>
      <c r="Q1333" s="12"/>
      <c r="R1333" s="192" t="str">
        <f t="shared" si="36"/>
        <v>750ml</v>
      </c>
      <c r="S1333" s="198">
        <f t="shared" si="37"/>
        <v>5250</v>
      </c>
      <c r="T1333" s="199" t="str">
        <f t="shared" si="38"/>
        <v>5250ml</v>
      </c>
      <c r="U1333" s="200">
        <f t="shared" si="39"/>
        <v>840</v>
      </c>
      <c r="V1333" s="12"/>
      <c r="W1333" s="12"/>
    </row>
    <row r="1334" spans="1:23" x14ac:dyDescent="0.3">
      <c r="A1334" s="193" t="e">
        <f ca="1"/>
        <v>#NAME?</v>
      </c>
      <c r="B1334" s="46" t="s">
        <v>1686</v>
      </c>
      <c r="C1334" s="315"/>
      <c r="D1334" s="316"/>
      <c r="E1334" s="315"/>
      <c r="F1334" s="315"/>
      <c r="G1334" s="315"/>
      <c r="H1334" s="153"/>
      <c r="I1334" s="12"/>
      <c r="J1334" s="46" t="s">
        <v>1707</v>
      </c>
      <c r="K1334" s="12"/>
      <c r="L1334" s="288">
        <v>34.200000000000003</v>
      </c>
      <c r="M1334" s="289">
        <v>20</v>
      </c>
      <c r="N1334" s="290">
        <v>85</v>
      </c>
      <c r="O1334" s="46"/>
      <c r="P1334" s="46" t="s">
        <v>39</v>
      </c>
      <c r="Q1334" s="12"/>
      <c r="R1334" s="192" t="str">
        <f t="shared" si="36"/>
        <v>85grams</v>
      </c>
      <c r="S1334" s="198">
        <f t="shared" si="37"/>
        <v>1700</v>
      </c>
      <c r="T1334" s="199" t="str">
        <f t="shared" si="38"/>
        <v>1700grams</v>
      </c>
      <c r="U1334" s="200">
        <f t="shared" si="39"/>
        <v>684</v>
      </c>
      <c r="V1334" s="12"/>
      <c r="W1334" s="12"/>
    </row>
    <row r="1335" spans="1:23" x14ac:dyDescent="0.3">
      <c r="A1335" s="193" t="e">
        <f ca="1"/>
        <v>#NAME?</v>
      </c>
      <c r="B1335" s="46" t="s">
        <v>1686</v>
      </c>
      <c r="C1335" s="315"/>
      <c r="D1335" s="316"/>
      <c r="E1335" s="315"/>
      <c r="F1335" s="315"/>
      <c r="G1335" s="315"/>
      <c r="H1335" s="153"/>
      <c r="I1335" s="12"/>
      <c r="J1335" s="46" t="s">
        <v>1708</v>
      </c>
      <c r="K1335" s="12"/>
      <c r="L1335" s="288">
        <v>56.45</v>
      </c>
      <c r="M1335" s="289">
        <v>18</v>
      </c>
      <c r="N1335" s="290">
        <v>180</v>
      </c>
      <c r="O1335" s="46"/>
      <c r="P1335" s="46" t="s">
        <v>39</v>
      </c>
      <c r="Q1335" s="12"/>
      <c r="R1335" s="192" t="str">
        <f t="shared" si="36"/>
        <v>180grams</v>
      </c>
      <c r="S1335" s="198">
        <f t="shared" si="37"/>
        <v>3240</v>
      </c>
      <c r="T1335" s="199" t="str">
        <f t="shared" si="38"/>
        <v>3240grams</v>
      </c>
      <c r="U1335" s="200">
        <f t="shared" si="39"/>
        <v>1016.1</v>
      </c>
      <c r="V1335" s="12"/>
      <c r="W1335" s="12"/>
    </row>
    <row r="1336" spans="1:23" x14ac:dyDescent="0.3">
      <c r="A1336" s="193" t="e">
        <f ca="1"/>
        <v>#NAME?</v>
      </c>
      <c r="B1336" s="46" t="s">
        <v>1686</v>
      </c>
      <c r="C1336" s="315"/>
      <c r="D1336" s="316"/>
      <c r="E1336" s="315"/>
      <c r="F1336" s="315"/>
      <c r="G1336" s="315"/>
      <c r="H1336" s="153"/>
      <c r="I1336" s="12"/>
      <c r="J1336" s="46" t="s">
        <v>1709</v>
      </c>
      <c r="K1336" s="12"/>
      <c r="L1336" s="288">
        <v>40.1</v>
      </c>
      <c r="M1336" s="289">
        <v>3</v>
      </c>
      <c r="N1336" s="290">
        <v>150</v>
      </c>
      <c r="O1336" s="46"/>
      <c r="P1336" s="46" t="s">
        <v>39</v>
      </c>
      <c r="Q1336" s="12"/>
      <c r="R1336" s="192" t="str">
        <f t="shared" si="36"/>
        <v>150grams</v>
      </c>
      <c r="S1336" s="198">
        <f t="shared" si="37"/>
        <v>450</v>
      </c>
      <c r="T1336" s="199" t="str">
        <f t="shared" si="38"/>
        <v>450grams</v>
      </c>
      <c r="U1336" s="200">
        <f t="shared" si="39"/>
        <v>120.30000000000001</v>
      </c>
      <c r="V1336" s="12"/>
      <c r="W1336" s="12"/>
    </row>
    <row r="1337" spans="1:23" x14ac:dyDescent="0.3">
      <c r="A1337" s="193" t="e">
        <f ca="1"/>
        <v>#NAME?</v>
      </c>
      <c r="B1337" s="46" t="s">
        <v>1686</v>
      </c>
      <c r="C1337" s="315"/>
      <c r="D1337" s="316"/>
      <c r="E1337" s="315"/>
      <c r="F1337" s="315"/>
      <c r="G1337" s="315"/>
      <c r="H1337" s="153"/>
      <c r="I1337" s="12"/>
      <c r="J1337" s="46" t="s">
        <v>1710</v>
      </c>
      <c r="K1337" s="12"/>
      <c r="L1337" s="288">
        <v>15.8</v>
      </c>
      <c r="M1337" s="289">
        <v>250</v>
      </c>
      <c r="N1337" s="290">
        <v>60</v>
      </c>
      <c r="O1337" s="46"/>
      <c r="P1337" s="46" t="s">
        <v>39</v>
      </c>
      <c r="Q1337" s="12"/>
      <c r="R1337" s="192" t="str">
        <f t="shared" si="36"/>
        <v>60grams</v>
      </c>
      <c r="S1337" s="198">
        <f t="shared" si="37"/>
        <v>15000</v>
      </c>
      <c r="T1337" s="199" t="str">
        <f t="shared" si="38"/>
        <v>15000grams</v>
      </c>
      <c r="U1337" s="200">
        <f t="shared" si="39"/>
        <v>3950</v>
      </c>
      <c r="V1337" s="12"/>
      <c r="W1337" s="12"/>
    </row>
    <row r="1338" spans="1:23" x14ac:dyDescent="0.3">
      <c r="A1338" s="193" t="e">
        <f ca="1"/>
        <v>#NAME?</v>
      </c>
      <c r="B1338" s="46" t="s">
        <v>1686</v>
      </c>
      <c r="C1338" s="315"/>
      <c r="D1338" s="316"/>
      <c r="E1338" s="315"/>
      <c r="F1338" s="315"/>
      <c r="G1338" s="315"/>
      <c r="H1338" s="153"/>
      <c r="I1338" s="12"/>
      <c r="J1338" s="46" t="s">
        <v>1710</v>
      </c>
      <c r="K1338" s="12"/>
      <c r="L1338" s="288">
        <v>16</v>
      </c>
      <c r="M1338" s="289">
        <v>200</v>
      </c>
      <c r="N1338" s="290">
        <v>60</v>
      </c>
      <c r="O1338" s="46"/>
      <c r="P1338" s="46" t="s">
        <v>39</v>
      </c>
      <c r="Q1338" s="12"/>
      <c r="R1338" s="192" t="str">
        <f t="shared" si="36"/>
        <v>60grams</v>
      </c>
      <c r="S1338" s="198">
        <f t="shared" si="37"/>
        <v>12000</v>
      </c>
      <c r="T1338" s="199" t="str">
        <f t="shared" si="38"/>
        <v>12000grams</v>
      </c>
      <c r="U1338" s="200">
        <f t="shared" si="39"/>
        <v>3200</v>
      </c>
      <c r="V1338" s="12"/>
      <c r="W1338" s="12"/>
    </row>
    <row r="1339" spans="1:23" x14ac:dyDescent="0.3">
      <c r="A1339" s="193" t="e">
        <f ca="1"/>
        <v>#NAME?</v>
      </c>
      <c r="B1339" s="46" t="s">
        <v>1686</v>
      </c>
      <c r="C1339" s="315"/>
      <c r="D1339" s="316"/>
      <c r="E1339" s="315"/>
      <c r="F1339" s="315"/>
      <c r="G1339" s="315"/>
      <c r="H1339" s="153"/>
      <c r="I1339" s="12"/>
      <c r="J1339" s="46" t="s">
        <v>1711</v>
      </c>
      <c r="K1339" s="12"/>
      <c r="L1339" s="288">
        <v>48.8</v>
      </c>
      <c r="M1339" s="289">
        <v>2</v>
      </c>
      <c r="N1339" s="290">
        <v>200</v>
      </c>
      <c r="O1339" s="46"/>
      <c r="P1339" s="46" t="s">
        <v>39</v>
      </c>
      <c r="Q1339" s="12"/>
      <c r="R1339" s="192" t="str">
        <f t="shared" si="36"/>
        <v>200grams</v>
      </c>
      <c r="S1339" s="198">
        <f t="shared" si="37"/>
        <v>400</v>
      </c>
      <c r="T1339" s="199" t="str">
        <f t="shared" si="38"/>
        <v>400grams</v>
      </c>
      <c r="U1339" s="200">
        <f t="shared" si="39"/>
        <v>97.6</v>
      </c>
      <c r="V1339" s="12"/>
      <c r="W1339" s="12"/>
    </row>
    <row r="1340" spans="1:23" x14ac:dyDescent="0.3">
      <c r="A1340" s="193" t="e">
        <f ca="1"/>
        <v>#NAME?</v>
      </c>
      <c r="B1340" s="46" t="s">
        <v>1686</v>
      </c>
      <c r="C1340" s="315"/>
      <c r="D1340" s="316"/>
      <c r="E1340" s="315"/>
      <c r="F1340" s="315"/>
      <c r="G1340" s="315"/>
      <c r="H1340" s="153"/>
      <c r="I1340" s="12"/>
      <c r="J1340" s="46" t="s">
        <v>1712</v>
      </c>
      <c r="K1340" s="12"/>
      <c r="L1340" s="288">
        <v>65.25</v>
      </c>
      <c r="M1340" s="289">
        <v>2</v>
      </c>
      <c r="N1340" s="290">
        <v>250</v>
      </c>
      <c r="O1340" s="46"/>
      <c r="P1340" s="46" t="s">
        <v>39</v>
      </c>
      <c r="Q1340" s="12"/>
      <c r="R1340" s="192" t="str">
        <f t="shared" si="36"/>
        <v>250grams</v>
      </c>
      <c r="S1340" s="198">
        <f t="shared" si="37"/>
        <v>500</v>
      </c>
      <c r="T1340" s="199" t="str">
        <f t="shared" si="38"/>
        <v>500grams</v>
      </c>
      <c r="U1340" s="200">
        <f t="shared" si="39"/>
        <v>130.5</v>
      </c>
      <c r="V1340" s="12"/>
      <c r="W1340" s="12"/>
    </row>
    <row r="1341" spans="1:23" x14ac:dyDescent="0.3">
      <c r="A1341" s="193" t="e">
        <f ca="1"/>
        <v>#NAME?</v>
      </c>
      <c r="B1341" s="46" t="s">
        <v>1686</v>
      </c>
      <c r="C1341" s="315"/>
      <c r="D1341" s="316"/>
      <c r="E1341" s="315"/>
      <c r="F1341" s="315"/>
      <c r="G1341" s="315"/>
      <c r="H1341" s="153"/>
      <c r="I1341" s="12"/>
      <c r="J1341" s="46" t="s">
        <v>1713</v>
      </c>
      <c r="K1341" s="12"/>
      <c r="L1341" s="288">
        <v>6.03</v>
      </c>
      <c r="M1341" s="289">
        <v>100</v>
      </c>
      <c r="N1341" s="290">
        <v>24</v>
      </c>
      <c r="O1341" s="46"/>
      <c r="P1341" s="46" t="s">
        <v>39</v>
      </c>
      <c r="Q1341" s="12"/>
      <c r="R1341" s="192" t="str">
        <f t="shared" si="36"/>
        <v>24grams</v>
      </c>
      <c r="S1341" s="198">
        <f t="shared" si="37"/>
        <v>2400</v>
      </c>
      <c r="T1341" s="199" t="str">
        <f t="shared" si="38"/>
        <v>2400grams</v>
      </c>
      <c r="U1341" s="200">
        <f t="shared" si="39"/>
        <v>603</v>
      </c>
      <c r="V1341" s="12"/>
      <c r="W1341" s="12"/>
    </row>
    <row r="1342" spans="1:23" x14ac:dyDescent="0.3">
      <c r="A1342" s="193" t="e">
        <f ca="1"/>
        <v>#NAME?</v>
      </c>
      <c r="B1342" s="46" t="s">
        <v>1686</v>
      </c>
      <c r="C1342" s="315"/>
      <c r="D1342" s="316"/>
      <c r="E1342" s="315"/>
      <c r="F1342" s="315"/>
      <c r="G1342" s="315"/>
      <c r="H1342" s="153"/>
      <c r="I1342" s="12"/>
      <c r="J1342" s="46" t="s">
        <v>1714</v>
      </c>
      <c r="K1342" s="12"/>
      <c r="L1342" s="288">
        <v>40.1</v>
      </c>
      <c r="M1342" s="289">
        <v>10</v>
      </c>
      <c r="N1342" s="290">
        <v>150</v>
      </c>
      <c r="O1342" s="46"/>
      <c r="P1342" s="46" t="s">
        <v>39</v>
      </c>
      <c r="Q1342" s="12"/>
      <c r="R1342" s="192" t="str">
        <f t="shared" si="36"/>
        <v>150grams</v>
      </c>
      <c r="S1342" s="198">
        <f t="shared" si="37"/>
        <v>1500</v>
      </c>
      <c r="T1342" s="199" t="str">
        <f t="shared" si="38"/>
        <v>1500grams</v>
      </c>
      <c r="U1342" s="200">
        <f t="shared" si="39"/>
        <v>401</v>
      </c>
      <c r="V1342" s="12"/>
      <c r="W1342" s="12"/>
    </row>
    <row r="1343" spans="1:23" x14ac:dyDescent="0.3">
      <c r="A1343" s="193" t="e">
        <f ca="1"/>
        <v>#NAME?</v>
      </c>
      <c r="B1343" s="46" t="s">
        <v>1686</v>
      </c>
      <c r="C1343" s="315"/>
      <c r="D1343" s="316"/>
      <c r="E1343" s="315"/>
      <c r="F1343" s="315"/>
      <c r="G1343" s="315"/>
      <c r="H1343" s="153"/>
      <c r="I1343" s="12"/>
      <c r="J1343" s="46" t="s">
        <v>1715</v>
      </c>
      <c r="K1343" s="12"/>
      <c r="L1343" s="288">
        <v>12.1</v>
      </c>
      <c r="M1343" s="289">
        <v>31</v>
      </c>
      <c r="N1343" s="290">
        <v>40</v>
      </c>
      <c r="O1343" s="46"/>
      <c r="P1343" s="46" t="s">
        <v>39</v>
      </c>
      <c r="Q1343" s="12"/>
      <c r="R1343" s="192" t="str">
        <f t="shared" si="36"/>
        <v>40grams</v>
      </c>
      <c r="S1343" s="198">
        <f t="shared" si="37"/>
        <v>1240</v>
      </c>
      <c r="T1343" s="199" t="str">
        <f t="shared" si="38"/>
        <v>1240grams</v>
      </c>
      <c r="U1343" s="200">
        <f t="shared" si="39"/>
        <v>375.09999999999997</v>
      </c>
      <c r="V1343" s="12"/>
      <c r="W1343" s="12"/>
    </row>
    <row r="1344" spans="1:23" x14ac:dyDescent="0.3">
      <c r="A1344" s="193" t="e">
        <f ca="1"/>
        <v>#NAME?</v>
      </c>
      <c r="B1344" s="46" t="s">
        <v>1686</v>
      </c>
      <c r="C1344" s="315"/>
      <c r="D1344" s="316"/>
      <c r="E1344" s="315"/>
      <c r="F1344" s="315"/>
      <c r="G1344" s="315"/>
      <c r="H1344" s="153"/>
      <c r="I1344" s="12"/>
      <c r="J1344" s="46" t="s">
        <v>1716</v>
      </c>
      <c r="K1344" s="12"/>
      <c r="L1344" s="288">
        <v>24.23</v>
      </c>
      <c r="M1344" s="289">
        <v>50</v>
      </c>
      <c r="N1344" s="290">
        <v>110</v>
      </c>
      <c r="O1344" s="46"/>
      <c r="P1344" s="46" t="s">
        <v>39</v>
      </c>
      <c r="Q1344" s="12"/>
      <c r="R1344" s="192" t="str">
        <f t="shared" si="36"/>
        <v>110grams</v>
      </c>
      <c r="S1344" s="198">
        <f t="shared" si="37"/>
        <v>5500</v>
      </c>
      <c r="T1344" s="199" t="str">
        <f t="shared" si="38"/>
        <v>5500grams</v>
      </c>
      <c r="U1344" s="200">
        <f t="shared" si="39"/>
        <v>1211.5</v>
      </c>
      <c r="V1344" s="12"/>
      <c r="W1344" s="12"/>
    </row>
    <row r="1345" spans="1:23" x14ac:dyDescent="0.3">
      <c r="A1345" s="193" t="e">
        <f ca="1"/>
        <v>#NAME?</v>
      </c>
      <c r="B1345" s="219" t="s">
        <v>1686</v>
      </c>
      <c r="C1345" s="315"/>
      <c r="D1345" s="316"/>
      <c r="E1345" s="315"/>
      <c r="F1345" s="315"/>
      <c r="G1345" s="315"/>
      <c r="H1345" s="153"/>
      <c r="I1345" s="12"/>
      <c r="J1345" s="219" t="s">
        <v>1717</v>
      </c>
      <c r="K1345" s="12"/>
      <c r="L1345" s="291">
        <v>11.2</v>
      </c>
      <c r="M1345" s="292">
        <v>81</v>
      </c>
      <c r="N1345" s="293">
        <v>42</v>
      </c>
      <c r="O1345" s="219"/>
      <c r="P1345" s="219" t="s">
        <v>92</v>
      </c>
      <c r="Q1345" s="12"/>
      <c r="R1345" s="192" t="str">
        <f t="shared" si="36"/>
        <v>42pieces</v>
      </c>
      <c r="S1345" s="198">
        <f t="shared" si="37"/>
        <v>3402</v>
      </c>
      <c r="T1345" s="199" t="str">
        <f t="shared" si="38"/>
        <v>3402pieces</v>
      </c>
      <c r="U1345" s="200">
        <f t="shared" si="39"/>
        <v>907.19999999999993</v>
      </c>
      <c r="V1345" s="12"/>
      <c r="W1345" s="12"/>
    </row>
    <row r="1346" spans="1:23" x14ac:dyDescent="0.3">
      <c r="A1346" s="193" t="e">
        <f ca="1"/>
        <v>#NAME?</v>
      </c>
      <c r="B1346" s="219" t="s">
        <v>1686</v>
      </c>
      <c r="C1346" s="315"/>
      <c r="D1346" s="316"/>
      <c r="E1346" s="315"/>
      <c r="F1346" s="315"/>
      <c r="G1346" s="315"/>
      <c r="H1346" s="153"/>
      <c r="I1346" s="12"/>
      <c r="J1346" s="219" t="s">
        <v>1718</v>
      </c>
      <c r="K1346" s="12"/>
      <c r="L1346" s="291">
        <v>11.3</v>
      </c>
      <c r="M1346" s="292">
        <v>4</v>
      </c>
      <c r="N1346" s="293">
        <v>42</v>
      </c>
      <c r="O1346" s="219"/>
      <c r="P1346" s="219" t="s">
        <v>92</v>
      </c>
      <c r="Q1346" s="12"/>
      <c r="R1346" s="192" t="str">
        <f t="shared" si="36"/>
        <v>42pieces</v>
      </c>
      <c r="S1346" s="198">
        <f t="shared" si="37"/>
        <v>168</v>
      </c>
      <c r="T1346" s="199" t="str">
        <f t="shared" si="38"/>
        <v>168pieces</v>
      </c>
      <c r="U1346" s="200">
        <f t="shared" si="39"/>
        <v>45.2</v>
      </c>
      <c r="V1346" s="12"/>
      <c r="W1346" s="12"/>
    </row>
    <row r="1347" spans="1:23" x14ac:dyDescent="0.3">
      <c r="A1347" s="193" t="e">
        <f ca="1"/>
        <v>#NAME?</v>
      </c>
      <c r="B1347" s="46" t="s">
        <v>1686</v>
      </c>
      <c r="C1347" s="315"/>
      <c r="D1347" s="316"/>
      <c r="E1347" s="315"/>
      <c r="F1347" s="315"/>
      <c r="G1347" s="315"/>
      <c r="H1347" s="153"/>
      <c r="I1347" s="12"/>
      <c r="J1347" s="46" t="s">
        <v>1719</v>
      </c>
      <c r="K1347" s="12"/>
      <c r="L1347" s="288">
        <v>36</v>
      </c>
      <c r="M1347" s="289">
        <v>360</v>
      </c>
      <c r="N1347" s="290">
        <v>130</v>
      </c>
      <c r="O1347" s="46"/>
      <c r="P1347" s="46" t="s">
        <v>39</v>
      </c>
      <c r="Q1347" s="12"/>
      <c r="R1347" s="192" t="str">
        <f t="shared" si="36"/>
        <v>130grams</v>
      </c>
      <c r="S1347" s="198">
        <f t="shared" si="37"/>
        <v>46800</v>
      </c>
      <c r="T1347" s="199" t="str">
        <f t="shared" si="38"/>
        <v>46800grams</v>
      </c>
      <c r="U1347" s="200">
        <f t="shared" si="39"/>
        <v>12960</v>
      </c>
      <c r="V1347" s="12"/>
      <c r="W1347" s="12"/>
    </row>
    <row r="1348" spans="1:23" x14ac:dyDescent="0.3">
      <c r="A1348" s="193" t="e">
        <f ca="1"/>
        <v>#NAME?</v>
      </c>
      <c r="B1348" s="46" t="s">
        <v>1686</v>
      </c>
      <c r="C1348" s="315"/>
      <c r="D1348" s="316"/>
      <c r="E1348" s="315"/>
      <c r="F1348" s="315"/>
      <c r="G1348" s="315"/>
      <c r="H1348" s="153"/>
      <c r="I1348" s="12"/>
      <c r="J1348" s="46" t="s">
        <v>1720</v>
      </c>
      <c r="K1348" s="12"/>
      <c r="L1348" s="288">
        <v>24.8</v>
      </c>
      <c r="M1348" s="289">
        <v>39</v>
      </c>
      <c r="N1348" s="290">
        <v>90</v>
      </c>
      <c r="O1348" s="46"/>
      <c r="P1348" s="46" t="s">
        <v>39</v>
      </c>
      <c r="Q1348" s="12"/>
      <c r="R1348" s="192" t="str">
        <f t="shared" si="36"/>
        <v>90grams</v>
      </c>
      <c r="S1348" s="198">
        <f t="shared" si="37"/>
        <v>3510</v>
      </c>
      <c r="T1348" s="199" t="str">
        <f t="shared" si="38"/>
        <v>3510grams</v>
      </c>
      <c r="U1348" s="200">
        <f t="shared" si="39"/>
        <v>967.2</v>
      </c>
      <c r="V1348" s="12"/>
      <c r="W1348" s="12"/>
    </row>
    <row r="1349" spans="1:23" x14ac:dyDescent="0.3">
      <c r="A1349" s="193" t="e">
        <f ca="1"/>
        <v>#NAME?</v>
      </c>
      <c r="B1349" s="46" t="s">
        <v>1686</v>
      </c>
      <c r="C1349" s="315"/>
      <c r="D1349" s="316"/>
      <c r="E1349" s="315"/>
      <c r="F1349" s="315"/>
      <c r="G1349" s="315"/>
      <c r="H1349" s="153"/>
      <c r="I1349" s="12"/>
      <c r="J1349" s="46" t="s">
        <v>1721</v>
      </c>
      <c r="K1349" s="12"/>
      <c r="L1349" s="288">
        <v>19.16</v>
      </c>
      <c r="M1349" s="289">
        <v>30</v>
      </c>
      <c r="N1349" s="290">
        <v>1</v>
      </c>
      <c r="O1349" s="46"/>
      <c r="P1349" s="46" t="s">
        <v>92</v>
      </c>
      <c r="Q1349" s="12"/>
      <c r="R1349" s="192" t="str">
        <f t="shared" si="36"/>
        <v>1pieces</v>
      </c>
      <c r="S1349" s="198">
        <f t="shared" si="37"/>
        <v>30</v>
      </c>
      <c r="T1349" s="199" t="str">
        <f t="shared" si="38"/>
        <v>30pieces</v>
      </c>
      <c r="U1349" s="200">
        <f t="shared" si="39"/>
        <v>574.79999999999995</v>
      </c>
      <c r="V1349" s="12"/>
      <c r="W1349" s="12"/>
    </row>
    <row r="1350" spans="1:23" x14ac:dyDescent="0.3">
      <c r="A1350" s="193" t="e">
        <f ca="1"/>
        <v>#NAME?</v>
      </c>
      <c r="B1350" s="46" t="s">
        <v>1686</v>
      </c>
      <c r="C1350" s="315"/>
      <c r="D1350" s="316"/>
      <c r="E1350" s="315"/>
      <c r="F1350" s="315"/>
      <c r="G1350" s="315"/>
      <c r="H1350" s="153"/>
      <c r="I1350" s="12"/>
      <c r="J1350" s="46" t="s">
        <v>1722</v>
      </c>
      <c r="K1350" s="12"/>
      <c r="L1350" s="288">
        <v>16.329999999999998</v>
      </c>
      <c r="M1350" s="289">
        <v>50</v>
      </c>
      <c r="N1350" s="290">
        <v>60</v>
      </c>
      <c r="O1350" s="46"/>
      <c r="P1350" s="46" t="s">
        <v>39</v>
      </c>
      <c r="Q1350" s="12"/>
      <c r="R1350" s="192" t="str">
        <f t="shared" si="36"/>
        <v>60grams</v>
      </c>
      <c r="S1350" s="198">
        <f t="shared" si="37"/>
        <v>3000</v>
      </c>
      <c r="T1350" s="199" t="str">
        <f t="shared" si="38"/>
        <v>3000grams</v>
      </c>
      <c r="U1350" s="200">
        <f t="shared" si="39"/>
        <v>816.49999999999989</v>
      </c>
      <c r="V1350" s="12"/>
      <c r="W1350" s="12"/>
    </row>
    <row r="1351" spans="1:23" x14ac:dyDescent="0.3">
      <c r="A1351" s="193" t="e">
        <f ca="1"/>
        <v>#NAME?</v>
      </c>
      <c r="B1351" s="46" t="s">
        <v>1686</v>
      </c>
      <c r="C1351" s="315"/>
      <c r="D1351" s="316"/>
      <c r="E1351" s="315"/>
      <c r="F1351" s="315"/>
      <c r="G1351" s="315"/>
      <c r="H1351" s="153"/>
      <c r="I1351" s="12"/>
      <c r="J1351" s="46" t="s">
        <v>1723</v>
      </c>
      <c r="K1351" s="12"/>
      <c r="L1351" s="288">
        <v>25.25</v>
      </c>
      <c r="M1351" s="289">
        <v>35</v>
      </c>
      <c r="N1351" s="290">
        <v>110</v>
      </c>
      <c r="O1351" s="46"/>
      <c r="P1351" s="46" t="s">
        <v>39</v>
      </c>
      <c r="Q1351" s="12"/>
      <c r="R1351" s="192" t="str">
        <f t="shared" si="36"/>
        <v>110grams</v>
      </c>
      <c r="S1351" s="198">
        <f t="shared" si="37"/>
        <v>3850</v>
      </c>
      <c r="T1351" s="199" t="str">
        <f t="shared" si="38"/>
        <v>3850grams</v>
      </c>
      <c r="U1351" s="200">
        <f t="shared" si="39"/>
        <v>883.75</v>
      </c>
      <c r="V1351" s="12"/>
      <c r="W1351" s="12"/>
    </row>
    <row r="1352" spans="1:23" x14ac:dyDescent="0.3">
      <c r="A1352" s="193" t="e">
        <f ca="1"/>
        <v>#NAME?</v>
      </c>
      <c r="B1352" s="46" t="s">
        <v>1686</v>
      </c>
      <c r="C1352" s="315"/>
      <c r="D1352" s="316"/>
      <c r="E1352" s="315"/>
      <c r="F1352" s="315"/>
      <c r="G1352" s="315"/>
      <c r="H1352" s="153"/>
      <c r="I1352" s="12"/>
      <c r="J1352" s="46" t="s">
        <v>1700</v>
      </c>
      <c r="K1352" s="12"/>
      <c r="L1352" s="288">
        <v>35</v>
      </c>
      <c r="M1352" s="289">
        <v>1</v>
      </c>
      <c r="N1352" s="290">
        <v>78</v>
      </c>
      <c r="O1352" s="46"/>
      <c r="P1352" s="46" t="s">
        <v>39</v>
      </c>
      <c r="Q1352" s="12"/>
      <c r="R1352" s="192" t="str">
        <f t="shared" si="36"/>
        <v>78grams</v>
      </c>
      <c r="S1352" s="198">
        <f t="shared" si="37"/>
        <v>78</v>
      </c>
      <c r="T1352" s="199" t="str">
        <f t="shared" si="38"/>
        <v>78grams</v>
      </c>
      <c r="U1352" s="200">
        <f t="shared" si="39"/>
        <v>35</v>
      </c>
      <c r="V1352" s="12"/>
      <c r="W1352" s="12"/>
    </row>
    <row r="1353" spans="1:23" x14ac:dyDescent="0.3">
      <c r="A1353" s="193" t="e">
        <f ca="1"/>
        <v>#NAME?</v>
      </c>
      <c r="B1353" s="46" t="s">
        <v>1686</v>
      </c>
      <c r="C1353" s="315"/>
      <c r="D1353" s="316"/>
      <c r="E1353" s="315"/>
      <c r="F1353" s="315"/>
      <c r="G1353" s="315"/>
      <c r="H1353" s="153"/>
      <c r="I1353" s="12"/>
      <c r="J1353" s="46" t="s">
        <v>1724</v>
      </c>
      <c r="K1353" s="12"/>
      <c r="L1353" s="288">
        <v>7.07</v>
      </c>
      <c r="M1353" s="289">
        <v>105</v>
      </c>
      <c r="N1353" s="290">
        <v>24</v>
      </c>
      <c r="O1353" s="46"/>
      <c r="P1353" s="46" t="s">
        <v>39</v>
      </c>
      <c r="Q1353" s="12"/>
      <c r="R1353" s="192" t="str">
        <f t="shared" si="36"/>
        <v>24grams</v>
      </c>
      <c r="S1353" s="198">
        <f t="shared" si="37"/>
        <v>2520</v>
      </c>
      <c r="T1353" s="199" t="str">
        <f t="shared" si="38"/>
        <v>2520grams</v>
      </c>
      <c r="U1353" s="200">
        <f t="shared" si="39"/>
        <v>742.35</v>
      </c>
      <c r="V1353" s="12"/>
      <c r="W1353" s="12"/>
    </row>
    <row r="1354" spans="1:23" x14ac:dyDescent="0.3">
      <c r="A1354" s="193" t="e">
        <f ca="1"/>
        <v>#NAME?</v>
      </c>
      <c r="B1354" s="46" t="s">
        <v>1686</v>
      </c>
      <c r="C1354" s="315"/>
      <c r="D1354" s="316"/>
      <c r="E1354" s="315"/>
      <c r="F1354" s="315"/>
      <c r="G1354" s="315"/>
      <c r="H1354" s="153"/>
      <c r="I1354" s="12"/>
      <c r="J1354" s="46" t="s">
        <v>1725</v>
      </c>
      <c r="K1354" s="12"/>
      <c r="L1354" s="288">
        <v>22.1</v>
      </c>
      <c r="M1354" s="289">
        <v>17</v>
      </c>
      <c r="N1354" s="290">
        <v>90</v>
      </c>
      <c r="O1354" s="46"/>
      <c r="P1354" s="46" t="s">
        <v>39</v>
      </c>
      <c r="Q1354" s="12"/>
      <c r="R1354" s="192" t="str">
        <f t="shared" si="36"/>
        <v>90grams</v>
      </c>
      <c r="S1354" s="198">
        <f t="shared" si="37"/>
        <v>1530</v>
      </c>
      <c r="T1354" s="199" t="str">
        <f t="shared" si="38"/>
        <v>1530grams</v>
      </c>
      <c r="U1354" s="200">
        <f t="shared" si="39"/>
        <v>375.70000000000005</v>
      </c>
      <c r="V1354" s="12"/>
      <c r="W1354" s="12"/>
    </row>
    <row r="1355" spans="1:23" x14ac:dyDescent="0.3">
      <c r="A1355" s="193" t="e">
        <f ca="1"/>
        <v>#NAME?</v>
      </c>
      <c r="B1355" s="46" t="s">
        <v>1686</v>
      </c>
      <c r="C1355" s="315"/>
      <c r="D1355" s="316"/>
      <c r="E1355" s="315"/>
      <c r="F1355" s="315"/>
      <c r="G1355" s="315"/>
      <c r="H1355" s="153"/>
      <c r="I1355" s="12"/>
      <c r="J1355" s="46" t="s">
        <v>1725</v>
      </c>
      <c r="K1355" s="12"/>
      <c r="L1355" s="288">
        <v>14.1</v>
      </c>
      <c r="M1355" s="289">
        <v>1</v>
      </c>
      <c r="N1355" s="290">
        <v>50</v>
      </c>
      <c r="O1355" s="46"/>
      <c r="P1355" s="46" t="s">
        <v>39</v>
      </c>
      <c r="Q1355" s="12"/>
      <c r="R1355" s="192" t="str">
        <f t="shared" si="36"/>
        <v>50grams</v>
      </c>
      <c r="S1355" s="198">
        <f t="shared" si="37"/>
        <v>50</v>
      </c>
      <c r="T1355" s="199" t="str">
        <f t="shared" si="38"/>
        <v>50grams</v>
      </c>
      <c r="U1355" s="200">
        <f t="shared" si="39"/>
        <v>14.1</v>
      </c>
      <c r="V1355" s="12"/>
      <c r="W1355" s="12"/>
    </row>
    <row r="1356" spans="1:23" x14ac:dyDescent="0.3">
      <c r="A1356" s="193" t="e">
        <f ca="1"/>
        <v>#NAME?</v>
      </c>
      <c r="B1356" s="46" t="s">
        <v>1686</v>
      </c>
      <c r="C1356" s="315"/>
      <c r="D1356" s="316"/>
      <c r="E1356" s="315"/>
      <c r="F1356" s="315"/>
      <c r="G1356" s="315"/>
      <c r="H1356" s="153"/>
      <c r="I1356" s="12"/>
      <c r="J1356" s="46" t="s">
        <v>1720</v>
      </c>
      <c r="K1356" s="12"/>
      <c r="L1356" s="288">
        <v>23</v>
      </c>
      <c r="M1356" s="289">
        <v>1</v>
      </c>
      <c r="N1356" s="290">
        <v>90</v>
      </c>
      <c r="O1356" s="46"/>
      <c r="P1356" s="46" t="s">
        <v>39</v>
      </c>
      <c r="Q1356" s="12"/>
      <c r="R1356" s="192" t="str">
        <f t="shared" si="36"/>
        <v>90grams</v>
      </c>
      <c r="S1356" s="198">
        <f t="shared" si="37"/>
        <v>90</v>
      </c>
      <c r="T1356" s="199" t="str">
        <f t="shared" si="38"/>
        <v>90grams</v>
      </c>
      <c r="U1356" s="200">
        <f t="shared" si="39"/>
        <v>23</v>
      </c>
      <c r="V1356" s="12"/>
      <c r="W1356" s="12"/>
    </row>
    <row r="1357" spans="1:23" x14ac:dyDescent="0.3">
      <c r="A1357" s="193" t="e">
        <f ca="1"/>
        <v>#NAME?</v>
      </c>
      <c r="B1357" s="46" t="s">
        <v>1686</v>
      </c>
      <c r="C1357" s="315"/>
      <c r="D1357" s="316"/>
      <c r="E1357" s="315"/>
      <c r="F1357" s="315"/>
      <c r="G1357" s="315"/>
      <c r="H1357" s="153"/>
      <c r="I1357" s="12"/>
      <c r="J1357" s="46" t="s">
        <v>1725</v>
      </c>
      <c r="K1357" s="12"/>
      <c r="L1357" s="288">
        <v>13.56</v>
      </c>
      <c r="M1357" s="289">
        <v>50</v>
      </c>
      <c r="N1357" s="290">
        <v>50</v>
      </c>
      <c r="O1357" s="46"/>
      <c r="P1357" s="46" t="s">
        <v>39</v>
      </c>
      <c r="Q1357" s="12"/>
      <c r="R1357" s="192" t="str">
        <f t="shared" si="36"/>
        <v>50grams</v>
      </c>
      <c r="S1357" s="198">
        <f t="shared" si="37"/>
        <v>2500</v>
      </c>
      <c r="T1357" s="199" t="str">
        <f t="shared" si="38"/>
        <v>2500grams</v>
      </c>
      <c r="U1357" s="200">
        <f t="shared" si="39"/>
        <v>678</v>
      </c>
      <c r="V1357" s="12"/>
      <c r="W1357" s="12"/>
    </row>
    <row r="1358" spans="1:23" x14ac:dyDescent="0.3">
      <c r="A1358" s="193" t="e">
        <f ca="1"/>
        <v>#NAME?</v>
      </c>
      <c r="B1358" s="46" t="s">
        <v>1686</v>
      </c>
      <c r="C1358" s="315"/>
      <c r="D1358" s="316"/>
      <c r="E1358" s="315"/>
      <c r="F1358" s="315"/>
      <c r="G1358" s="315"/>
      <c r="H1358" s="153"/>
      <c r="I1358" s="12"/>
      <c r="J1358" s="46" t="s">
        <v>1726</v>
      </c>
      <c r="K1358" s="12"/>
      <c r="L1358" s="288">
        <v>7</v>
      </c>
      <c r="M1358" s="289">
        <v>11</v>
      </c>
      <c r="N1358" s="290">
        <v>42</v>
      </c>
      <c r="O1358" s="46"/>
      <c r="P1358" s="46" t="s">
        <v>39</v>
      </c>
      <c r="Q1358" s="12"/>
      <c r="R1358" s="192" t="str">
        <f t="shared" si="36"/>
        <v>42grams</v>
      </c>
      <c r="S1358" s="198">
        <f t="shared" si="37"/>
        <v>462</v>
      </c>
      <c r="T1358" s="199" t="str">
        <f t="shared" si="38"/>
        <v>462grams</v>
      </c>
      <c r="U1358" s="200">
        <f t="shared" si="39"/>
        <v>77</v>
      </c>
      <c r="V1358" s="12"/>
      <c r="W1358" s="12"/>
    </row>
    <row r="1359" spans="1:23" x14ac:dyDescent="0.3">
      <c r="A1359" s="193" t="e">
        <f ca="1"/>
        <v>#NAME?</v>
      </c>
      <c r="B1359" s="46" t="s">
        <v>1686</v>
      </c>
      <c r="C1359" s="315"/>
      <c r="D1359" s="316"/>
      <c r="E1359" s="315"/>
      <c r="F1359" s="315"/>
      <c r="G1359" s="315"/>
      <c r="H1359" s="153"/>
      <c r="I1359" s="12"/>
      <c r="J1359" s="46" t="s">
        <v>1705</v>
      </c>
      <c r="K1359" s="12"/>
      <c r="L1359" s="288">
        <v>23.1</v>
      </c>
      <c r="M1359" s="289">
        <v>8</v>
      </c>
      <c r="N1359" s="290">
        <v>85</v>
      </c>
      <c r="O1359" s="46"/>
      <c r="P1359" s="46" t="s">
        <v>39</v>
      </c>
      <c r="Q1359" s="12"/>
      <c r="R1359" s="192" t="str">
        <f t="shared" si="36"/>
        <v>85grams</v>
      </c>
      <c r="S1359" s="198">
        <f t="shared" si="37"/>
        <v>680</v>
      </c>
      <c r="T1359" s="199" t="str">
        <f t="shared" si="38"/>
        <v>680grams</v>
      </c>
      <c r="U1359" s="200">
        <f t="shared" si="39"/>
        <v>184.8</v>
      </c>
      <c r="V1359" s="12"/>
      <c r="W1359" s="12"/>
    </row>
    <row r="1360" spans="1:23" x14ac:dyDescent="0.3">
      <c r="A1360" s="193" t="e">
        <f ca="1"/>
        <v>#NAME?</v>
      </c>
      <c r="B1360" s="46" t="s">
        <v>1686</v>
      </c>
      <c r="C1360" s="315"/>
      <c r="D1360" s="316"/>
      <c r="E1360" s="315"/>
      <c r="F1360" s="315"/>
      <c r="G1360" s="315"/>
      <c r="H1360" s="153"/>
      <c r="I1360" s="12"/>
      <c r="J1360" s="46" t="s">
        <v>1727</v>
      </c>
      <c r="K1360" s="12"/>
      <c r="L1360" s="288">
        <v>22.45</v>
      </c>
      <c r="M1360" s="289">
        <v>7</v>
      </c>
      <c r="N1360" s="290">
        <v>90</v>
      </c>
      <c r="O1360" s="314"/>
      <c r="P1360" s="314" t="s">
        <v>39</v>
      </c>
      <c r="Q1360" s="12"/>
      <c r="R1360" s="192" t="str">
        <f t="shared" si="36"/>
        <v>90grams</v>
      </c>
      <c r="S1360" s="198">
        <f t="shared" si="37"/>
        <v>630</v>
      </c>
      <c r="T1360" s="199" t="str">
        <f t="shared" si="38"/>
        <v>630grams</v>
      </c>
      <c r="U1360" s="200">
        <f t="shared" si="39"/>
        <v>157.15</v>
      </c>
      <c r="V1360" s="12"/>
      <c r="W1360" s="12"/>
    </row>
    <row r="1361" spans="1:23" x14ac:dyDescent="0.3">
      <c r="A1361" s="193" t="e">
        <f ca="1"/>
        <v>#NAME?</v>
      </c>
      <c r="B1361" s="46" t="s">
        <v>1686</v>
      </c>
      <c r="C1361" s="315"/>
      <c r="D1361" s="316"/>
      <c r="E1361" s="315"/>
      <c r="F1361" s="315"/>
      <c r="G1361" s="315"/>
      <c r="H1361" s="153"/>
      <c r="I1361" s="12"/>
      <c r="J1361" s="46" t="s">
        <v>1728</v>
      </c>
      <c r="K1361" s="12"/>
      <c r="L1361" s="288">
        <v>15.72</v>
      </c>
      <c r="M1361" s="289">
        <v>17</v>
      </c>
      <c r="N1361" s="290">
        <v>60</v>
      </c>
      <c r="O1361" s="46"/>
      <c r="P1361" s="46" t="s">
        <v>39</v>
      </c>
      <c r="Q1361" s="12"/>
      <c r="R1361" s="192" t="str">
        <f t="shared" si="36"/>
        <v>60grams</v>
      </c>
      <c r="S1361" s="198">
        <f t="shared" si="37"/>
        <v>1020</v>
      </c>
      <c r="T1361" s="199" t="str">
        <f t="shared" si="38"/>
        <v>1020grams</v>
      </c>
      <c r="U1361" s="200">
        <f t="shared" si="39"/>
        <v>267.24</v>
      </c>
      <c r="V1361" s="12"/>
      <c r="W1361" s="12"/>
    </row>
    <row r="1362" spans="1:23" x14ac:dyDescent="0.3">
      <c r="A1362" s="193" t="e">
        <f ca="1"/>
        <v>#NAME?</v>
      </c>
      <c r="B1362" s="46" t="s">
        <v>1686</v>
      </c>
      <c r="C1362" s="315"/>
      <c r="D1362" s="316"/>
      <c r="E1362" s="315"/>
      <c r="F1362" s="315"/>
      <c r="G1362" s="315"/>
      <c r="H1362" s="153"/>
      <c r="I1362" s="12"/>
      <c r="J1362" s="46" t="s">
        <v>1729</v>
      </c>
      <c r="K1362" s="12"/>
      <c r="L1362" s="288">
        <v>22.37</v>
      </c>
      <c r="M1362" s="289">
        <v>30</v>
      </c>
      <c r="N1362" s="290">
        <v>75</v>
      </c>
      <c r="O1362" s="46"/>
      <c r="P1362" s="46" t="s">
        <v>39</v>
      </c>
      <c r="Q1362" s="12"/>
      <c r="R1362" s="192" t="str">
        <f t="shared" si="36"/>
        <v>75grams</v>
      </c>
      <c r="S1362" s="198">
        <f t="shared" si="37"/>
        <v>2250</v>
      </c>
      <c r="T1362" s="199" t="str">
        <f t="shared" si="38"/>
        <v>2250grams</v>
      </c>
      <c r="U1362" s="200">
        <f t="shared" si="39"/>
        <v>671.1</v>
      </c>
      <c r="V1362" s="12"/>
      <c r="W1362" s="12"/>
    </row>
    <row r="1363" spans="1:23" x14ac:dyDescent="0.3">
      <c r="A1363" s="193" t="e">
        <f ca="1"/>
        <v>#NAME?</v>
      </c>
      <c r="B1363" s="46" t="s">
        <v>1686</v>
      </c>
      <c r="C1363" s="315"/>
      <c r="D1363" s="316"/>
      <c r="E1363" s="315"/>
      <c r="F1363" s="315"/>
      <c r="G1363" s="315"/>
      <c r="H1363" s="153"/>
      <c r="I1363" s="12"/>
      <c r="J1363" s="46" t="s">
        <v>1729</v>
      </c>
      <c r="K1363" s="12"/>
      <c r="L1363" s="288">
        <v>671.35</v>
      </c>
      <c r="M1363" s="289">
        <v>90</v>
      </c>
      <c r="N1363" s="290">
        <v>75</v>
      </c>
      <c r="O1363" s="46"/>
      <c r="P1363" s="46" t="s">
        <v>39</v>
      </c>
      <c r="Q1363" s="12"/>
      <c r="R1363" s="192" t="str">
        <f t="shared" si="36"/>
        <v>75grams</v>
      </c>
      <c r="S1363" s="198">
        <f t="shared" si="37"/>
        <v>6750</v>
      </c>
      <c r="T1363" s="199" t="str">
        <f t="shared" si="38"/>
        <v>6750grams</v>
      </c>
      <c r="U1363" s="200">
        <f t="shared" si="39"/>
        <v>60421.5</v>
      </c>
      <c r="V1363" s="12"/>
      <c r="W1363" s="12"/>
    </row>
    <row r="1364" spans="1:23" x14ac:dyDescent="0.3">
      <c r="A1364" s="193" t="e">
        <f ca="1"/>
        <v>#NAME?</v>
      </c>
      <c r="B1364" s="46" t="s">
        <v>1686</v>
      </c>
      <c r="C1364" s="315"/>
      <c r="D1364" s="316"/>
      <c r="E1364" s="315"/>
      <c r="F1364" s="315"/>
      <c r="G1364" s="315"/>
      <c r="H1364" s="153"/>
      <c r="I1364" s="12"/>
      <c r="J1364" s="46" t="s">
        <v>1729</v>
      </c>
      <c r="K1364" s="12"/>
      <c r="L1364" s="288">
        <v>22.38</v>
      </c>
      <c r="M1364" s="289">
        <v>60</v>
      </c>
      <c r="N1364" s="290">
        <v>75</v>
      </c>
      <c r="O1364" s="46"/>
      <c r="P1364" s="46" t="s">
        <v>39</v>
      </c>
      <c r="Q1364" s="12"/>
      <c r="R1364" s="192" t="str">
        <f t="shared" si="36"/>
        <v>75grams</v>
      </c>
      <c r="S1364" s="198">
        <f t="shared" si="37"/>
        <v>4500</v>
      </c>
      <c r="T1364" s="199" t="str">
        <f t="shared" si="38"/>
        <v>4500grams</v>
      </c>
      <c r="U1364" s="200">
        <f t="shared" si="39"/>
        <v>1342.8</v>
      </c>
      <c r="V1364" s="12"/>
      <c r="W1364" s="12"/>
    </row>
    <row r="1365" spans="1:23" x14ac:dyDescent="0.3">
      <c r="A1365" s="193" t="e">
        <f ca="1"/>
        <v>#NAME?</v>
      </c>
      <c r="B1365" s="46" t="s">
        <v>1686</v>
      </c>
      <c r="C1365" s="315"/>
      <c r="D1365" s="316"/>
      <c r="E1365" s="315"/>
      <c r="F1365" s="315"/>
      <c r="G1365" s="315"/>
      <c r="H1365" s="153"/>
      <c r="I1365" s="12"/>
      <c r="J1365" s="46" t="s">
        <v>1729</v>
      </c>
      <c r="K1365" s="12"/>
      <c r="L1365" s="288">
        <v>22.37</v>
      </c>
      <c r="M1365" s="289">
        <v>30</v>
      </c>
      <c r="N1365" s="290">
        <v>75</v>
      </c>
      <c r="O1365" s="46"/>
      <c r="P1365" s="46" t="s">
        <v>39</v>
      </c>
      <c r="Q1365" s="12"/>
      <c r="R1365" s="192" t="str">
        <f t="shared" si="36"/>
        <v>75grams</v>
      </c>
      <c r="S1365" s="198">
        <f t="shared" si="37"/>
        <v>2250</v>
      </c>
      <c r="T1365" s="199" t="str">
        <f t="shared" si="38"/>
        <v>2250grams</v>
      </c>
      <c r="U1365" s="200">
        <f t="shared" si="39"/>
        <v>671.1</v>
      </c>
      <c r="V1365" s="12"/>
      <c r="W1365" s="12"/>
    </row>
    <row r="1366" spans="1:23" x14ac:dyDescent="0.3">
      <c r="A1366" s="193" t="e">
        <f ca="1"/>
        <v>#NAME?</v>
      </c>
      <c r="B1366" s="46" t="s">
        <v>1686</v>
      </c>
      <c r="C1366" s="315"/>
      <c r="D1366" s="316"/>
      <c r="E1366" s="315"/>
      <c r="F1366" s="315"/>
      <c r="G1366" s="315"/>
      <c r="H1366" s="153"/>
      <c r="I1366" s="12"/>
      <c r="J1366" s="46" t="s">
        <v>1730</v>
      </c>
      <c r="K1366" s="12"/>
      <c r="L1366" s="288">
        <v>19.16</v>
      </c>
      <c r="M1366" s="289">
        <v>53</v>
      </c>
      <c r="N1366" s="290">
        <v>120</v>
      </c>
      <c r="O1366" s="46"/>
      <c r="P1366" s="46" t="s">
        <v>39</v>
      </c>
      <c r="Q1366" s="12"/>
      <c r="R1366" s="192" t="str">
        <f t="shared" si="36"/>
        <v>120grams</v>
      </c>
      <c r="S1366" s="198">
        <f t="shared" si="37"/>
        <v>6360</v>
      </c>
      <c r="T1366" s="199" t="str">
        <f t="shared" si="38"/>
        <v>6360grams</v>
      </c>
      <c r="U1366" s="200">
        <f t="shared" si="39"/>
        <v>1015.48</v>
      </c>
      <c r="V1366" s="12"/>
      <c r="W1366" s="12"/>
    </row>
    <row r="1367" spans="1:23" x14ac:dyDescent="0.3">
      <c r="A1367" s="193" t="e">
        <f ca="1"/>
        <v>#NAME?</v>
      </c>
      <c r="B1367" s="46" t="s">
        <v>1686</v>
      </c>
      <c r="C1367" s="315"/>
      <c r="D1367" s="316"/>
      <c r="E1367" s="315"/>
      <c r="F1367" s="315"/>
      <c r="G1367" s="315"/>
      <c r="H1367" s="153"/>
      <c r="I1367" s="12"/>
      <c r="J1367" s="46" t="s">
        <v>1731</v>
      </c>
      <c r="K1367" s="12"/>
      <c r="L1367" s="288">
        <v>19.61</v>
      </c>
      <c r="M1367" s="289">
        <v>25</v>
      </c>
      <c r="N1367" s="290">
        <v>100</v>
      </c>
      <c r="O1367" s="46"/>
      <c r="P1367" s="46" t="s">
        <v>39</v>
      </c>
      <c r="Q1367" s="12"/>
      <c r="R1367" s="192" t="str">
        <f t="shared" si="36"/>
        <v>100grams</v>
      </c>
      <c r="S1367" s="198">
        <f t="shared" si="37"/>
        <v>2500</v>
      </c>
      <c r="T1367" s="199" t="str">
        <f t="shared" si="38"/>
        <v>2500grams</v>
      </c>
      <c r="U1367" s="200">
        <f t="shared" si="39"/>
        <v>490.25</v>
      </c>
      <c r="V1367" s="12"/>
      <c r="W1367" s="12"/>
    </row>
    <row r="1368" spans="1:23" x14ac:dyDescent="0.3">
      <c r="A1368" s="193" t="e">
        <f ca="1"/>
        <v>#NAME?</v>
      </c>
      <c r="B1368" s="46" t="s">
        <v>1686</v>
      </c>
      <c r="C1368" s="315"/>
      <c r="D1368" s="316"/>
      <c r="E1368" s="315"/>
      <c r="F1368" s="315"/>
      <c r="G1368" s="315"/>
      <c r="H1368" s="153"/>
      <c r="I1368" s="12"/>
      <c r="J1368" s="46" t="s">
        <v>1731</v>
      </c>
      <c r="K1368" s="12"/>
      <c r="L1368" s="288">
        <v>21.45</v>
      </c>
      <c r="M1368" s="289">
        <v>13</v>
      </c>
      <c r="N1368" s="290">
        <v>100</v>
      </c>
      <c r="O1368" s="46"/>
      <c r="P1368" s="46" t="s">
        <v>39</v>
      </c>
      <c r="Q1368" s="12"/>
      <c r="R1368" s="192" t="str">
        <f t="shared" si="36"/>
        <v>100grams</v>
      </c>
      <c r="S1368" s="198">
        <f t="shared" si="37"/>
        <v>1300</v>
      </c>
      <c r="T1368" s="199" t="str">
        <f t="shared" si="38"/>
        <v>1300grams</v>
      </c>
      <c r="U1368" s="200">
        <f t="shared" si="39"/>
        <v>278.84999999999997</v>
      </c>
      <c r="V1368" s="12"/>
      <c r="W1368" s="12"/>
    </row>
    <row r="1369" spans="1:23" x14ac:dyDescent="0.3">
      <c r="A1369" s="193" t="e">
        <f ca="1"/>
        <v>#NAME?</v>
      </c>
      <c r="B1369" s="46" t="s">
        <v>1686</v>
      </c>
      <c r="C1369" s="315"/>
      <c r="D1369" s="316"/>
      <c r="E1369" s="315"/>
      <c r="F1369" s="315"/>
      <c r="G1369" s="315"/>
      <c r="H1369" s="153"/>
      <c r="I1369" s="12"/>
      <c r="J1369" s="46" t="s">
        <v>1732</v>
      </c>
      <c r="K1369" s="12"/>
      <c r="L1369" s="288">
        <v>7.74</v>
      </c>
      <c r="M1369" s="289">
        <v>25</v>
      </c>
      <c r="N1369" s="290">
        <v>60</v>
      </c>
      <c r="O1369" s="46"/>
      <c r="P1369" s="46" t="s">
        <v>39</v>
      </c>
      <c r="Q1369" s="12"/>
      <c r="R1369" s="192" t="str">
        <f t="shared" si="36"/>
        <v>60grams</v>
      </c>
      <c r="S1369" s="198">
        <f t="shared" si="37"/>
        <v>1500</v>
      </c>
      <c r="T1369" s="199" t="str">
        <f t="shared" si="38"/>
        <v>1500grams</v>
      </c>
      <c r="U1369" s="200">
        <f t="shared" si="39"/>
        <v>193.5</v>
      </c>
      <c r="V1369" s="12"/>
      <c r="W1369" s="12"/>
    </row>
    <row r="1370" spans="1:23" x14ac:dyDescent="0.3">
      <c r="A1370" s="193" t="e">
        <f ca="1"/>
        <v>#NAME?</v>
      </c>
      <c r="B1370" s="46" t="s">
        <v>1686</v>
      </c>
      <c r="C1370" s="315"/>
      <c r="D1370" s="316"/>
      <c r="E1370" s="315"/>
      <c r="F1370" s="315"/>
      <c r="G1370" s="315"/>
      <c r="H1370" s="153"/>
      <c r="I1370" s="12"/>
      <c r="J1370" s="46" t="s">
        <v>1732</v>
      </c>
      <c r="K1370" s="12"/>
      <c r="L1370" s="291">
        <v>15.45</v>
      </c>
      <c r="M1370" s="292">
        <v>19</v>
      </c>
      <c r="N1370" s="290">
        <v>60</v>
      </c>
      <c r="O1370" s="46"/>
      <c r="P1370" s="46" t="s">
        <v>39</v>
      </c>
      <c r="Q1370" s="12"/>
      <c r="R1370" s="192" t="str">
        <f t="shared" si="36"/>
        <v>60grams</v>
      </c>
      <c r="S1370" s="198">
        <f t="shared" si="37"/>
        <v>1140</v>
      </c>
      <c r="T1370" s="199" t="str">
        <f t="shared" si="38"/>
        <v>1140grams</v>
      </c>
      <c r="U1370" s="200">
        <f t="shared" si="39"/>
        <v>293.55</v>
      </c>
      <c r="V1370" s="12"/>
      <c r="W1370" s="12"/>
    </row>
    <row r="1371" spans="1:23" x14ac:dyDescent="0.3">
      <c r="A1371" s="193" t="e">
        <f ca="1"/>
        <v>#NAME?</v>
      </c>
      <c r="B1371" s="46" t="s">
        <v>1733</v>
      </c>
      <c r="C1371" s="315"/>
      <c r="D1371" s="316"/>
      <c r="E1371" s="315"/>
      <c r="F1371" s="315"/>
      <c r="G1371" s="315"/>
      <c r="H1371" s="153"/>
      <c r="I1371" s="12"/>
      <c r="J1371" s="170"/>
      <c r="K1371" s="12"/>
      <c r="L1371" s="288">
        <v>12</v>
      </c>
      <c r="M1371" s="289">
        <v>65</v>
      </c>
      <c r="N1371" s="290">
        <v>1</v>
      </c>
      <c r="O1371" s="46"/>
      <c r="P1371" s="46" t="s">
        <v>1734</v>
      </c>
      <c r="Q1371" s="12"/>
      <c r="R1371" s="192" t="str">
        <f t="shared" si="36"/>
        <v>1pair</v>
      </c>
      <c r="S1371" s="198">
        <f t="shared" si="37"/>
        <v>65</v>
      </c>
      <c r="T1371" s="199" t="str">
        <f t="shared" si="38"/>
        <v>65pair</v>
      </c>
      <c r="U1371" s="200">
        <f t="shared" si="39"/>
        <v>780</v>
      </c>
      <c r="V1371" s="12"/>
      <c r="W1371" s="12"/>
    </row>
    <row r="1372" spans="1:23" x14ac:dyDescent="0.3">
      <c r="A1372" s="193" t="e">
        <f ca="1"/>
        <v>#NAME?</v>
      </c>
      <c r="B1372" s="170" t="s">
        <v>1735</v>
      </c>
      <c r="C1372" s="315"/>
      <c r="D1372" s="316"/>
      <c r="E1372" s="315"/>
      <c r="F1372" s="315"/>
      <c r="G1372" s="315"/>
      <c r="H1372" s="153"/>
      <c r="I1372" s="12"/>
      <c r="J1372" s="46" t="s">
        <v>1736</v>
      </c>
      <c r="K1372" s="12"/>
      <c r="L1372" s="288">
        <v>16.079999999999998</v>
      </c>
      <c r="M1372" s="289">
        <v>12</v>
      </c>
      <c r="N1372" s="290">
        <v>290</v>
      </c>
      <c r="O1372" s="46"/>
      <c r="P1372" s="46" t="s">
        <v>32</v>
      </c>
      <c r="Q1372" s="12"/>
      <c r="R1372" s="192" t="str">
        <f t="shared" si="36"/>
        <v>290ml</v>
      </c>
      <c r="S1372" s="198">
        <f t="shared" si="37"/>
        <v>3480</v>
      </c>
      <c r="T1372" s="199" t="str">
        <f t="shared" si="38"/>
        <v>3480ml</v>
      </c>
      <c r="U1372" s="200">
        <f t="shared" si="39"/>
        <v>192.95999999999998</v>
      </c>
      <c r="V1372" s="12"/>
      <c r="W1372" s="12"/>
    </row>
    <row r="1373" spans="1:23" x14ac:dyDescent="0.3">
      <c r="A1373" s="193" t="e">
        <f ca="1"/>
        <v>#NAME?</v>
      </c>
      <c r="B1373" s="170" t="s">
        <v>1735</v>
      </c>
      <c r="C1373" s="315"/>
      <c r="D1373" s="316"/>
      <c r="E1373" s="315"/>
      <c r="F1373" s="315"/>
      <c r="G1373" s="315"/>
      <c r="H1373" s="153"/>
      <c r="I1373" s="12"/>
      <c r="J1373" s="46" t="s">
        <v>1736</v>
      </c>
      <c r="K1373" s="12"/>
      <c r="L1373" s="288">
        <v>33</v>
      </c>
      <c r="M1373" s="289">
        <v>7</v>
      </c>
      <c r="N1373" s="290">
        <v>1</v>
      </c>
      <c r="O1373" s="314"/>
      <c r="P1373" s="314" t="s">
        <v>92</v>
      </c>
      <c r="Q1373" s="12"/>
      <c r="R1373" s="192" t="str">
        <f t="shared" si="36"/>
        <v>1pieces</v>
      </c>
      <c r="S1373" s="198">
        <f t="shared" si="37"/>
        <v>7</v>
      </c>
      <c r="T1373" s="199" t="str">
        <f t="shared" si="38"/>
        <v>7pieces</v>
      </c>
      <c r="U1373" s="200">
        <f t="shared" si="39"/>
        <v>231</v>
      </c>
      <c r="V1373" s="12"/>
      <c r="W1373" s="12"/>
    </row>
    <row r="1374" spans="1:23" x14ac:dyDescent="0.3">
      <c r="A1374" s="193" t="e">
        <f ca="1"/>
        <v>#NAME?</v>
      </c>
      <c r="B1374" s="46" t="s">
        <v>1735</v>
      </c>
      <c r="C1374" s="315"/>
      <c r="D1374" s="316"/>
      <c r="E1374" s="315"/>
      <c r="F1374" s="315"/>
      <c r="G1374" s="315"/>
      <c r="H1374" s="153"/>
      <c r="I1374" s="12"/>
      <c r="J1374" s="46" t="s">
        <v>1736</v>
      </c>
      <c r="K1374" s="12"/>
      <c r="L1374" s="288">
        <v>27.64</v>
      </c>
      <c r="M1374" s="289">
        <v>26</v>
      </c>
      <c r="N1374" s="290">
        <v>320</v>
      </c>
      <c r="O1374" s="46"/>
      <c r="P1374" s="46" t="s">
        <v>32</v>
      </c>
      <c r="Q1374" s="12"/>
      <c r="R1374" s="192" t="str">
        <f t="shared" si="36"/>
        <v>320ml</v>
      </c>
      <c r="S1374" s="198">
        <f t="shared" si="37"/>
        <v>8320</v>
      </c>
      <c r="T1374" s="199" t="str">
        <f t="shared" si="38"/>
        <v>8320ml</v>
      </c>
      <c r="U1374" s="200">
        <f t="shared" si="39"/>
        <v>718.64</v>
      </c>
      <c r="V1374" s="12"/>
      <c r="W1374" s="12"/>
    </row>
    <row r="1375" spans="1:23" x14ac:dyDescent="0.3">
      <c r="A1375" s="193" t="e">
        <f ca="1"/>
        <v>#NAME?</v>
      </c>
      <c r="B1375" s="46" t="s">
        <v>1735</v>
      </c>
      <c r="C1375" s="315"/>
      <c r="D1375" s="316"/>
      <c r="E1375" s="315"/>
      <c r="F1375" s="315"/>
      <c r="G1375" s="315"/>
      <c r="H1375" s="153"/>
      <c r="I1375" s="12"/>
      <c r="J1375" s="46" t="s">
        <v>1737</v>
      </c>
      <c r="K1375" s="12"/>
      <c r="L1375" s="288">
        <v>30.07</v>
      </c>
      <c r="M1375" s="289">
        <v>24</v>
      </c>
      <c r="N1375" s="290">
        <v>320</v>
      </c>
      <c r="O1375" s="46"/>
      <c r="P1375" s="46" t="s">
        <v>32</v>
      </c>
      <c r="Q1375" s="12"/>
      <c r="R1375" s="192" t="str">
        <f t="shared" si="36"/>
        <v>320ml</v>
      </c>
      <c r="S1375" s="198">
        <f t="shared" si="37"/>
        <v>7680</v>
      </c>
      <c r="T1375" s="199" t="str">
        <f t="shared" si="38"/>
        <v>7680ml</v>
      </c>
      <c r="U1375" s="200">
        <f t="shared" si="39"/>
        <v>721.68000000000006</v>
      </c>
      <c r="V1375" s="12"/>
      <c r="W1375" s="12"/>
    </row>
    <row r="1376" spans="1:23" x14ac:dyDescent="0.3">
      <c r="A1376" s="193" t="e">
        <f ca="1"/>
        <v>#NAME?</v>
      </c>
      <c r="B1376" s="170" t="s">
        <v>1735</v>
      </c>
      <c r="C1376" s="315"/>
      <c r="D1376" s="316"/>
      <c r="E1376" s="315"/>
      <c r="F1376" s="315"/>
      <c r="G1376" s="315"/>
      <c r="H1376" s="153"/>
      <c r="I1376" s="12"/>
      <c r="J1376" s="46" t="s">
        <v>1738</v>
      </c>
      <c r="K1376" s="12"/>
      <c r="L1376" s="288">
        <v>32.6</v>
      </c>
      <c r="M1376" s="289">
        <v>22</v>
      </c>
      <c r="N1376" s="290">
        <v>320</v>
      </c>
      <c r="O1376" s="46"/>
      <c r="P1376" s="46" t="s">
        <v>32</v>
      </c>
      <c r="Q1376" s="12"/>
      <c r="R1376" s="192" t="str">
        <f t="shared" si="36"/>
        <v>320ml</v>
      </c>
      <c r="S1376" s="198">
        <f t="shared" si="37"/>
        <v>7040</v>
      </c>
      <c r="T1376" s="199" t="str">
        <f t="shared" si="38"/>
        <v>7040ml</v>
      </c>
      <c r="U1376" s="200">
        <f t="shared" si="39"/>
        <v>717.2</v>
      </c>
      <c r="V1376" s="12"/>
      <c r="W1376" s="12"/>
    </row>
    <row r="1377" spans="1:23" x14ac:dyDescent="0.3">
      <c r="A1377" s="193" t="e">
        <f ca="1"/>
        <v>#NAME?</v>
      </c>
      <c r="B1377" s="170" t="s">
        <v>1735</v>
      </c>
      <c r="C1377" s="315"/>
      <c r="D1377" s="316"/>
      <c r="E1377" s="315"/>
      <c r="F1377" s="315"/>
      <c r="G1377" s="315"/>
      <c r="H1377" s="153"/>
      <c r="I1377" s="12"/>
      <c r="J1377" s="46" t="s">
        <v>1739</v>
      </c>
      <c r="K1377" s="12"/>
      <c r="L1377" s="288">
        <v>25.63</v>
      </c>
      <c r="M1377" s="289">
        <v>24</v>
      </c>
      <c r="N1377" s="290">
        <v>250</v>
      </c>
      <c r="O1377" s="46"/>
      <c r="P1377" s="46" t="s">
        <v>32</v>
      </c>
      <c r="Q1377" s="12"/>
      <c r="R1377" s="192" t="str">
        <f t="shared" si="36"/>
        <v>250ml</v>
      </c>
      <c r="S1377" s="198">
        <f t="shared" si="37"/>
        <v>6000</v>
      </c>
      <c r="T1377" s="199" t="str">
        <f t="shared" si="38"/>
        <v>6000ml</v>
      </c>
      <c r="U1377" s="200">
        <f t="shared" si="39"/>
        <v>615.12</v>
      </c>
      <c r="V1377" s="12"/>
      <c r="W1377" s="12"/>
    </row>
    <row r="1378" spans="1:23" x14ac:dyDescent="0.3">
      <c r="A1378" s="193" t="e">
        <f ca="1"/>
        <v>#NAME?</v>
      </c>
      <c r="B1378" s="170" t="s">
        <v>1735</v>
      </c>
      <c r="C1378" s="315"/>
      <c r="D1378" s="316"/>
      <c r="E1378" s="315"/>
      <c r="F1378" s="315"/>
      <c r="G1378" s="315"/>
      <c r="H1378" s="153"/>
      <c r="I1378" s="12"/>
      <c r="J1378" s="46" t="s">
        <v>1740</v>
      </c>
      <c r="K1378" s="12"/>
      <c r="L1378" s="288">
        <v>25.63</v>
      </c>
      <c r="M1378" s="289">
        <v>40</v>
      </c>
      <c r="N1378" s="290">
        <v>250</v>
      </c>
      <c r="O1378" s="46"/>
      <c r="P1378" s="46" t="s">
        <v>32</v>
      </c>
      <c r="Q1378" s="12"/>
      <c r="R1378" s="192" t="str">
        <f t="shared" si="36"/>
        <v>250ml</v>
      </c>
      <c r="S1378" s="198">
        <f t="shared" si="37"/>
        <v>10000</v>
      </c>
      <c r="T1378" s="199" t="str">
        <f t="shared" si="38"/>
        <v>10000ml</v>
      </c>
      <c r="U1378" s="200">
        <f t="shared" si="39"/>
        <v>1025.2</v>
      </c>
      <c r="V1378" s="12"/>
      <c r="W1378" s="12"/>
    </row>
    <row r="1379" spans="1:23" x14ac:dyDescent="0.3">
      <c r="A1379" s="193" t="e">
        <f ca="1"/>
        <v>#NAME?</v>
      </c>
      <c r="B1379" s="170" t="s">
        <v>1735</v>
      </c>
      <c r="C1379" s="315"/>
      <c r="D1379" s="316"/>
      <c r="E1379" s="315"/>
      <c r="F1379" s="315"/>
      <c r="G1379" s="315"/>
      <c r="H1379" s="153"/>
      <c r="I1379" s="12"/>
      <c r="J1379" s="46" t="s">
        <v>1740</v>
      </c>
      <c r="K1379" s="12"/>
      <c r="L1379" s="288">
        <v>25.63</v>
      </c>
      <c r="M1379" s="289">
        <v>24</v>
      </c>
      <c r="N1379" s="290">
        <v>250</v>
      </c>
      <c r="O1379" s="46"/>
      <c r="P1379" s="46" t="s">
        <v>32</v>
      </c>
      <c r="Q1379" s="12"/>
      <c r="R1379" s="192" t="str">
        <f t="shared" si="36"/>
        <v>250ml</v>
      </c>
      <c r="S1379" s="198">
        <f t="shared" si="37"/>
        <v>6000</v>
      </c>
      <c r="T1379" s="199" t="str">
        <f t="shared" si="38"/>
        <v>6000ml</v>
      </c>
      <c r="U1379" s="200">
        <f t="shared" si="39"/>
        <v>615.12</v>
      </c>
      <c r="V1379" s="12"/>
      <c r="W1379" s="12"/>
    </row>
    <row r="1380" spans="1:23" x14ac:dyDescent="0.3">
      <c r="A1380" s="193" t="e">
        <f ca="1"/>
        <v>#NAME?</v>
      </c>
      <c r="B1380" s="170" t="s">
        <v>1735</v>
      </c>
      <c r="C1380" s="315"/>
      <c r="D1380" s="316"/>
      <c r="E1380" s="315"/>
      <c r="F1380" s="315"/>
      <c r="G1380" s="315"/>
      <c r="H1380" s="153"/>
      <c r="I1380" s="12"/>
      <c r="J1380" s="46" t="s">
        <v>1739</v>
      </c>
      <c r="K1380" s="12"/>
      <c r="L1380" s="288">
        <v>24</v>
      </c>
      <c r="M1380" s="289">
        <v>35</v>
      </c>
      <c r="N1380" s="290">
        <v>250</v>
      </c>
      <c r="O1380" s="46"/>
      <c r="P1380" s="46" t="s">
        <v>32</v>
      </c>
      <c r="Q1380" s="12"/>
      <c r="R1380" s="192" t="str">
        <f t="shared" si="36"/>
        <v>250ml</v>
      </c>
      <c r="S1380" s="198">
        <f t="shared" si="37"/>
        <v>8750</v>
      </c>
      <c r="T1380" s="199" t="str">
        <f t="shared" si="38"/>
        <v>8750ml</v>
      </c>
      <c r="U1380" s="200">
        <f t="shared" si="39"/>
        <v>840</v>
      </c>
      <c r="V1380" s="12"/>
      <c r="W1380" s="12"/>
    </row>
    <row r="1381" spans="1:23" x14ac:dyDescent="0.3">
      <c r="A1381" s="193" t="e">
        <f ca="1"/>
        <v>#NAME?</v>
      </c>
      <c r="B1381" s="170" t="s">
        <v>1735</v>
      </c>
      <c r="C1381" s="315"/>
      <c r="D1381" s="316"/>
      <c r="E1381" s="315"/>
      <c r="F1381" s="315"/>
      <c r="G1381" s="315"/>
      <c r="H1381" s="153"/>
      <c r="I1381" s="12"/>
      <c r="J1381" s="46" t="s">
        <v>1741</v>
      </c>
      <c r="K1381" s="12"/>
      <c r="L1381" s="288">
        <v>24</v>
      </c>
      <c r="M1381" s="289">
        <v>11</v>
      </c>
      <c r="N1381" s="290">
        <v>250</v>
      </c>
      <c r="O1381" s="46"/>
      <c r="P1381" s="46" t="s">
        <v>32</v>
      </c>
      <c r="Q1381" s="12"/>
      <c r="R1381" s="192" t="str">
        <f t="shared" si="36"/>
        <v>250ml</v>
      </c>
      <c r="S1381" s="198">
        <f t="shared" si="37"/>
        <v>2750</v>
      </c>
      <c r="T1381" s="199" t="str">
        <f t="shared" si="38"/>
        <v>2750ml</v>
      </c>
      <c r="U1381" s="200">
        <f t="shared" si="39"/>
        <v>264</v>
      </c>
      <c r="V1381" s="12"/>
      <c r="W1381" s="12"/>
    </row>
    <row r="1382" spans="1:23" x14ac:dyDescent="0.3">
      <c r="A1382" s="193" t="e">
        <f ca="1"/>
        <v>#NAME?</v>
      </c>
      <c r="B1382" s="219" t="s">
        <v>1735</v>
      </c>
      <c r="C1382" s="315"/>
      <c r="D1382" s="316"/>
      <c r="E1382" s="315"/>
      <c r="F1382" s="315"/>
      <c r="G1382" s="315"/>
      <c r="H1382" s="153"/>
      <c r="I1382" s="12"/>
      <c r="J1382" s="219" t="s">
        <v>1742</v>
      </c>
      <c r="K1382" s="12"/>
      <c r="L1382" s="291">
        <v>61</v>
      </c>
      <c r="M1382" s="292">
        <v>2</v>
      </c>
      <c r="N1382" s="293">
        <v>2</v>
      </c>
      <c r="O1382" s="219"/>
      <c r="P1382" s="219" t="s">
        <v>773</v>
      </c>
      <c r="Q1382" s="12"/>
      <c r="R1382" s="192" t="str">
        <f t="shared" si="36"/>
        <v>2liters</v>
      </c>
      <c r="S1382" s="198">
        <f t="shared" si="37"/>
        <v>4</v>
      </c>
      <c r="T1382" s="199" t="str">
        <f t="shared" si="38"/>
        <v>4liters</v>
      </c>
      <c r="U1382" s="200">
        <f t="shared" si="39"/>
        <v>122</v>
      </c>
      <c r="V1382" s="12"/>
      <c r="W1382" s="12"/>
    </row>
    <row r="1383" spans="1:23" x14ac:dyDescent="0.3">
      <c r="A1383" s="193" t="e">
        <f ca="1"/>
        <v>#NAME?</v>
      </c>
      <c r="B1383" s="219" t="s">
        <v>1735</v>
      </c>
      <c r="C1383" s="315"/>
      <c r="D1383" s="316"/>
      <c r="E1383" s="315"/>
      <c r="F1383" s="315"/>
      <c r="G1383" s="315"/>
      <c r="H1383" s="153"/>
      <c r="I1383" s="12"/>
      <c r="J1383" s="219" t="s">
        <v>1742</v>
      </c>
      <c r="K1383" s="12"/>
      <c r="L1383" s="288">
        <v>63</v>
      </c>
      <c r="M1383" s="289">
        <v>51</v>
      </c>
      <c r="N1383" s="290">
        <v>2</v>
      </c>
      <c r="O1383" s="46"/>
      <c r="P1383" s="46" t="s">
        <v>773</v>
      </c>
      <c r="Q1383" s="12"/>
      <c r="R1383" s="192" t="str">
        <f t="shared" si="36"/>
        <v>2liters</v>
      </c>
      <c r="S1383" s="198">
        <f t="shared" si="37"/>
        <v>102</v>
      </c>
      <c r="T1383" s="199" t="str">
        <f t="shared" si="38"/>
        <v>102liters</v>
      </c>
      <c r="U1383" s="200">
        <f t="shared" si="39"/>
        <v>3213</v>
      </c>
      <c r="V1383" s="12"/>
      <c r="W1383" s="12"/>
    </row>
    <row r="1384" spans="1:23" x14ac:dyDescent="0.3">
      <c r="A1384" s="193" t="e">
        <f ca="1"/>
        <v>#NAME?</v>
      </c>
      <c r="B1384" s="46" t="s">
        <v>1735</v>
      </c>
      <c r="C1384" s="315"/>
      <c r="D1384" s="316"/>
      <c r="E1384" s="315"/>
      <c r="F1384" s="315"/>
      <c r="G1384" s="315"/>
      <c r="H1384" s="153"/>
      <c r="I1384" s="12"/>
      <c r="J1384" s="46" t="s">
        <v>1743</v>
      </c>
      <c r="K1384" s="12"/>
      <c r="L1384" s="288">
        <v>22.16</v>
      </c>
      <c r="M1384" s="289">
        <v>4</v>
      </c>
      <c r="N1384" s="290">
        <v>180</v>
      </c>
      <c r="O1384" s="46"/>
      <c r="P1384" s="46" t="s">
        <v>32</v>
      </c>
      <c r="Q1384" s="12"/>
      <c r="R1384" s="192" t="str">
        <f t="shared" si="36"/>
        <v>180ml</v>
      </c>
      <c r="S1384" s="198">
        <f t="shared" si="37"/>
        <v>720</v>
      </c>
      <c r="T1384" s="199" t="str">
        <f t="shared" si="38"/>
        <v>720ml</v>
      </c>
      <c r="U1384" s="200">
        <f t="shared" si="39"/>
        <v>88.64</v>
      </c>
      <c r="V1384" s="12"/>
      <c r="W1384" s="12"/>
    </row>
    <row r="1385" spans="1:23" x14ac:dyDescent="0.3">
      <c r="A1385" s="193" t="e">
        <f ca="1"/>
        <v>#NAME?</v>
      </c>
      <c r="B1385" s="46" t="s">
        <v>1735</v>
      </c>
      <c r="C1385" s="315"/>
      <c r="D1385" s="316"/>
      <c r="E1385" s="315"/>
      <c r="F1385" s="315"/>
      <c r="G1385" s="315"/>
      <c r="H1385" s="153"/>
      <c r="I1385" s="12"/>
      <c r="J1385" s="46" t="s">
        <v>1744</v>
      </c>
      <c r="K1385" s="12"/>
      <c r="L1385" s="288">
        <v>16.66</v>
      </c>
      <c r="M1385" s="289">
        <v>12</v>
      </c>
      <c r="N1385" s="290">
        <v>290</v>
      </c>
      <c r="O1385" s="46"/>
      <c r="P1385" s="46" t="s">
        <v>32</v>
      </c>
      <c r="Q1385" s="12"/>
      <c r="R1385" s="192" t="str">
        <f t="shared" si="36"/>
        <v>290ml</v>
      </c>
      <c r="S1385" s="198">
        <f t="shared" si="37"/>
        <v>3480</v>
      </c>
      <c r="T1385" s="199" t="str">
        <f t="shared" si="38"/>
        <v>3480ml</v>
      </c>
      <c r="U1385" s="200">
        <f t="shared" si="39"/>
        <v>199.92000000000002</v>
      </c>
      <c r="V1385" s="12"/>
      <c r="W1385" s="12"/>
    </row>
    <row r="1386" spans="1:23" x14ac:dyDescent="0.3">
      <c r="A1386" s="193" t="e">
        <f ca="1"/>
        <v>#NAME?</v>
      </c>
      <c r="B1386" s="46" t="s">
        <v>1735</v>
      </c>
      <c r="C1386" s="315"/>
      <c r="D1386" s="316"/>
      <c r="E1386" s="315"/>
      <c r="F1386" s="315"/>
      <c r="G1386" s="315"/>
      <c r="H1386" s="153"/>
      <c r="I1386" s="12"/>
      <c r="J1386" s="219" t="s">
        <v>1742</v>
      </c>
      <c r="K1386" s="12"/>
      <c r="L1386" s="288">
        <v>65.25</v>
      </c>
      <c r="M1386" s="289">
        <v>36</v>
      </c>
      <c r="N1386" s="290">
        <v>2</v>
      </c>
      <c r="O1386" s="46"/>
      <c r="P1386" s="46" t="s">
        <v>773</v>
      </c>
      <c r="Q1386" s="12"/>
      <c r="R1386" s="192" t="str">
        <f t="shared" si="36"/>
        <v>2liters</v>
      </c>
      <c r="S1386" s="198">
        <f t="shared" si="37"/>
        <v>72</v>
      </c>
      <c r="T1386" s="199" t="str">
        <f t="shared" si="38"/>
        <v>72liters</v>
      </c>
      <c r="U1386" s="200">
        <f t="shared" si="39"/>
        <v>2349</v>
      </c>
      <c r="V1386" s="12"/>
      <c r="W1386" s="12"/>
    </row>
    <row r="1387" spans="1:23" x14ac:dyDescent="0.3">
      <c r="A1387" s="193" t="e">
        <f ca="1"/>
        <v>#NAME?</v>
      </c>
      <c r="B1387" s="46" t="s">
        <v>1735</v>
      </c>
      <c r="C1387" s="315"/>
      <c r="D1387" s="316"/>
      <c r="E1387" s="315"/>
      <c r="F1387" s="315"/>
      <c r="G1387" s="315"/>
      <c r="H1387" s="153"/>
      <c r="I1387" s="12"/>
      <c r="J1387" s="46" t="s">
        <v>1745</v>
      </c>
      <c r="K1387" s="12"/>
      <c r="L1387" s="288">
        <v>754.3</v>
      </c>
      <c r="M1387" s="289">
        <v>72</v>
      </c>
      <c r="N1387" s="290">
        <v>320</v>
      </c>
      <c r="O1387" s="46"/>
      <c r="P1387" s="46" t="s">
        <v>32</v>
      </c>
      <c r="Q1387" s="12"/>
      <c r="R1387" s="192" t="str">
        <f t="shared" si="36"/>
        <v>320ml</v>
      </c>
      <c r="S1387" s="198">
        <f t="shared" si="37"/>
        <v>23040</v>
      </c>
      <c r="T1387" s="199" t="str">
        <f t="shared" si="38"/>
        <v>23040ml</v>
      </c>
      <c r="U1387" s="200">
        <f t="shared" si="39"/>
        <v>54309.599999999999</v>
      </c>
      <c r="V1387" s="12"/>
      <c r="W1387" s="12"/>
    </row>
    <row r="1388" spans="1:23" x14ac:dyDescent="0.3">
      <c r="A1388" s="193" t="e">
        <f ca="1"/>
        <v>#NAME?</v>
      </c>
      <c r="B1388" s="46" t="s">
        <v>1735</v>
      </c>
      <c r="C1388" s="315"/>
      <c r="D1388" s="316"/>
      <c r="E1388" s="315"/>
      <c r="F1388" s="315"/>
      <c r="G1388" s="315"/>
      <c r="H1388" s="153"/>
      <c r="I1388" s="12"/>
      <c r="J1388" s="46" t="s">
        <v>1745</v>
      </c>
      <c r="K1388" s="12"/>
      <c r="L1388" s="288">
        <v>32.700000000000003</v>
      </c>
      <c r="M1388" s="289">
        <v>15</v>
      </c>
      <c r="N1388" s="290">
        <v>320</v>
      </c>
      <c r="O1388" s="46"/>
      <c r="P1388" s="46" t="s">
        <v>32</v>
      </c>
      <c r="Q1388" s="12"/>
      <c r="R1388" s="192" t="str">
        <f t="shared" si="36"/>
        <v>320ml</v>
      </c>
      <c r="S1388" s="198">
        <f t="shared" si="37"/>
        <v>4800</v>
      </c>
      <c r="T1388" s="199" t="str">
        <f t="shared" si="38"/>
        <v>4800ml</v>
      </c>
      <c r="U1388" s="200">
        <f t="shared" si="39"/>
        <v>490.50000000000006</v>
      </c>
      <c r="V1388" s="12"/>
      <c r="W1388" s="12"/>
    </row>
    <row r="1389" spans="1:23" x14ac:dyDescent="0.3">
      <c r="A1389" s="193" t="e">
        <f ca="1"/>
        <v>#NAME?</v>
      </c>
      <c r="B1389" s="46" t="s">
        <v>1735</v>
      </c>
      <c r="C1389" s="315"/>
      <c r="D1389" s="316"/>
      <c r="E1389" s="315"/>
      <c r="F1389" s="315"/>
      <c r="G1389" s="315"/>
      <c r="H1389" s="153"/>
      <c r="I1389" s="12"/>
      <c r="J1389" s="46" t="s">
        <v>1745</v>
      </c>
      <c r="K1389" s="12"/>
      <c r="L1389" s="291">
        <v>30.4</v>
      </c>
      <c r="M1389" s="292">
        <v>25</v>
      </c>
      <c r="N1389" s="293">
        <v>320</v>
      </c>
      <c r="O1389" s="219"/>
      <c r="P1389" s="219" t="s">
        <v>32</v>
      </c>
      <c r="Q1389" s="12"/>
      <c r="R1389" s="192" t="str">
        <f t="shared" si="36"/>
        <v>320ml</v>
      </c>
      <c r="S1389" s="198">
        <f t="shared" si="37"/>
        <v>8000</v>
      </c>
      <c r="T1389" s="199" t="str">
        <f t="shared" si="38"/>
        <v>8000ml</v>
      </c>
      <c r="U1389" s="200">
        <f t="shared" si="39"/>
        <v>760</v>
      </c>
      <c r="V1389" s="12"/>
      <c r="W1389" s="12"/>
    </row>
    <row r="1390" spans="1:23" x14ac:dyDescent="0.3">
      <c r="A1390" s="193" t="e">
        <f ca="1"/>
        <v>#NAME?</v>
      </c>
      <c r="B1390" s="46" t="s">
        <v>1735</v>
      </c>
      <c r="C1390" s="315"/>
      <c r="D1390" s="316"/>
      <c r="E1390" s="315"/>
      <c r="F1390" s="315"/>
      <c r="G1390" s="315"/>
      <c r="H1390" s="153"/>
      <c r="I1390" s="12"/>
      <c r="J1390" s="46" t="s">
        <v>1745</v>
      </c>
      <c r="K1390" s="12"/>
      <c r="L1390" s="288">
        <v>32.6</v>
      </c>
      <c r="M1390" s="289">
        <v>32</v>
      </c>
      <c r="N1390" s="293">
        <v>320</v>
      </c>
      <c r="O1390" s="219"/>
      <c r="P1390" s="219" t="s">
        <v>32</v>
      </c>
      <c r="Q1390" s="12"/>
      <c r="R1390" s="192" t="str">
        <f t="shared" si="36"/>
        <v>320ml</v>
      </c>
      <c r="S1390" s="198">
        <f t="shared" si="37"/>
        <v>10240</v>
      </c>
      <c r="T1390" s="199" t="str">
        <f t="shared" si="38"/>
        <v>10240ml</v>
      </c>
      <c r="U1390" s="200">
        <f t="shared" si="39"/>
        <v>1043.2</v>
      </c>
      <c r="V1390" s="12"/>
      <c r="W1390" s="12"/>
    </row>
    <row r="1391" spans="1:23" x14ac:dyDescent="0.3">
      <c r="A1391" s="193" t="e">
        <f ca="1"/>
        <v>#NAME?</v>
      </c>
      <c r="B1391" s="46" t="s">
        <v>1735</v>
      </c>
      <c r="C1391" s="315"/>
      <c r="D1391" s="316"/>
      <c r="E1391" s="315"/>
      <c r="F1391" s="315"/>
      <c r="G1391" s="315"/>
      <c r="H1391" s="153"/>
      <c r="I1391" s="12"/>
      <c r="J1391" s="219" t="s">
        <v>1746</v>
      </c>
      <c r="K1391" s="12"/>
      <c r="L1391" s="291">
        <v>68.5</v>
      </c>
      <c r="M1391" s="292">
        <v>20</v>
      </c>
      <c r="N1391" s="293">
        <v>2</v>
      </c>
      <c r="O1391" s="219"/>
      <c r="P1391" s="219" t="s">
        <v>773</v>
      </c>
      <c r="Q1391" s="12"/>
      <c r="R1391" s="192" t="str">
        <f t="shared" si="36"/>
        <v>2liters</v>
      </c>
      <c r="S1391" s="198">
        <f t="shared" si="37"/>
        <v>40</v>
      </c>
      <c r="T1391" s="199" t="str">
        <f t="shared" si="38"/>
        <v>40liters</v>
      </c>
      <c r="U1391" s="200">
        <f t="shared" si="39"/>
        <v>1370</v>
      </c>
      <c r="V1391" s="12"/>
      <c r="W1391" s="12"/>
    </row>
    <row r="1392" spans="1:23" x14ac:dyDescent="0.3">
      <c r="A1392" s="193" t="e">
        <f ca="1"/>
        <v>#NAME?</v>
      </c>
      <c r="B1392" s="46" t="s">
        <v>1735</v>
      </c>
      <c r="C1392" s="315"/>
      <c r="D1392" s="316"/>
      <c r="E1392" s="315"/>
      <c r="F1392" s="315"/>
      <c r="G1392" s="315"/>
      <c r="H1392" s="153"/>
      <c r="I1392" s="12"/>
      <c r="J1392" s="46" t="s">
        <v>1747</v>
      </c>
      <c r="K1392" s="12"/>
      <c r="L1392" s="288">
        <v>31.6</v>
      </c>
      <c r="M1392" s="289">
        <v>5</v>
      </c>
      <c r="N1392" s="290">
        <v>320</v>
      </c>
      <c r="O1392" s="46"/>
      <c r="P1392" s="46" t="s">
        <v>32</v>
      </c>
      <c r="Q1392" s="12"/>
      <c r="R1392" s="192" t="str">
        <f t="shared" si="36"/>
        <v>320ml</v>
      </c>
      <c r="S1392" s="198">
        <f t="shared" si="37"/>
        <v>1600</v>
      </c>
      <c r="T1392" s="199" t="str">
        <f t="shared" si="38"/>
        <v>1600ml</v>
      </c>
      <c r="U1392" s="200">
        <f t="shared" si="39"/>
        <v>158</v>
      </c>
      <c r="V1392" s="12"/>
      <c r="W1392" s="12"/>
    </row>
    <row r="1393" spans="1:23" x14ac:dyDescent="0.3">
      <c r="A1393" s="193" t="e">
        <f ca="1"/>
        <v>#NAME?</v>
      </c>
      <c r="B1393" s="46" t="s">
        <v>1735</v>
      </c>
      <c r="C1393" s="315"/>
      <c r="D1393" s="316"/>
      <c r="E1393" s="315"/>
      <c r="F1393" s="315"/>
      <c r="G1393" s="315"/>
      <c r="H1393" s="153"/>
      <c r="I1393" s="12"/>
      <c r="J1393" s="46" t="s">
        <v>1747</v>
      </c>
      <c r="K1393" s="12"/>
      <c r="L1393" s="288">
        <v>31.57</v>
      </c>
      <c r="M1393" s="289">
        <v>60</v>
      </c>
      <c r="N1393" s="290">
        <v>320</v>
      </c>
      <c r="O1393" s="46"/>
      <c r="P1393" s="46" t="s">
        <v>32</v>
      </c>
      <c r="Q1393" s="12"/>
      <c r="R1393" s="192" t="str">
        <f t="shared" si="36"/>
        <v>320ml</v>
      </c>
      <c r="S1393" s="198">
        <f t="shared" si="37"/>
        <v>19200</v>
      </c>
      <c r="T1393" s="199" t="str">
        <f t="shared" si="38"/>
        <v>19200ml</v>
      </c>
      <c r="U1393" s="200">
        <f t="shared" si="39"/>
        <v>1894.2</v>
      </c>
      <c r="V1393" s="12"/>
      <c r="W1393" s="12"/>
    </row>
    <row r="1394" spans="1:23" x14ac:dyDescent="0.3">
      <c r="A1394" s="193" t="e">
        <f ca="1"/>
        <v>#NAME?</v>
      </c>
      <c r="B1394" s="46" t="s">
        <v>1735</v>
      </c>
      <c r="C1394" s="315"/>
      <c r="D1394" s="316"/>
      <c r="E1394" s="315"/>
      <c r="F1394" s="315"/>
      <c r="G1394" s="315"/>
      <c r="H1394" s="153"/>
      <c r="I1394" s="12"/>
      <c r="J1394" s="46" t="s">
        <v>1747</v>
      </c>
      <c r="K1394" s="12"/>
      <c r="L1394" s="288">
        <v>32.840000000000003</v>
      </c>
      <c r="M1394" s="289">
        <v>24</v>
      </c>
      <c r="N1394" s="290">
        <v>320</v>
      </c>
      <c r="O1394" s="46"/>
      <c r="P1394" s="46" t="s">
        <v>32</v>
      </c>
      <c r="Q1394" s="12"/>
      <c r="R1394" s="192" t="str">
        <f t="shared" si="36"/>
        <v>320ml</v>
      </c>
      <c r="S1394" s="198">
        <f t="shared" si="37"/>
        <v>7680</v>
      </c>
      <c r="T1394" s="199" t="str">
        <f t="shared" si="38"/>
        <v>7680ml</v>
      </c>
      <c r="U1394" s="200">
        <f t="shared" si="39"/>
        <v>788.16000000000008</v>
      </c>
      <c r="V1394" s="12"/>
      <c r="W1394" s="12"/>
    </row>
    <row r="1395" spans="1:23" x14ac:dyDescent="0.3">
      <c r="A1395" s="193" t="e">
        <f ca="1"/>
        <v>#NAME?</v>
      </c>
      <c r="B1395" s="46" t="s">
        <v>1735</v>
      </c>
      <c r="C1395" s="315"/>
      <c r="D1395" s="316"/>
      <c r="E1395" s="315"/>
      <c r="F1395" s="315"/>
      <c r="G1395" s="315"/>
      <c r="H1395" s="153"/>
      <c r="I1395" s="12"/>
      <c r="J1395" s="46" t="s">
        <v>1747</v>
      </c>
      <c r="K1395" s="12"/>
      <c r="L1395" s="288">
        <v>32.6</v>
      </c>
      <c r="M1395" s="289">
        <v>52</v>
      </c>
      <c r="N1395" s="290">
        <v>320</v>
      </c>
      <c r="O1395" s="46"/>
      <c r="P1395" s="46" t="s">
        <v>32</v>
      </c>
      <c r="Q1395" s="12"/>
      <c r="R1395" s="192" t="str">
        <f t="shared" si="36"/>
        <v>320ml</v>
      </c>
      <c r="S1395" s="198">
        <f t="shared" si="37"/>
        <v>16640</v>
      </c>
      <c r="T1395" s="199" t="str">
        <f t="shared" si="38"/>
        <v>16640ml</v>
      </c>
      <c r="U1395" s="200">
        <f t="shared" si="39"/>
        <v>1695.2</v>
      </c>
      <c r="V1395" s="12"/>
      <c r="W1395" s="12"/>
    </row>
    <row r="1396" spans="1:23" x14ac:dyDescent="0.3">
      <c r="A1396" s="193" t="e">
        <f ca="1"/>
        <v>#NAME?</v>
      </c>
      <c r="B1396" s="46" t="s">
        <v>1735</v>
      </c>
      <c r="C1396" s="315"/>
      <c r="D1396" s="316"/>
      <c r="E1396" s="315"/>
      <c r="F1396" s="315"/>
      <c r="G1396" s="315"/>
      <c r="H1396" s="153"/>
      <c r="I1396" s="12"/>
      <c r="J1396" s="219" t="s">
        <v>1748</v>
      </c>
      <c r="K1396" s="12"/>
      <c r="L1396" s="291">
        <v>61</v>
      </c>
      <c r="M1396" s="292">
        <v>1</v>
      </c>
      <c r="N1396" s="293">
        <v>2</v>
      </c>
      <c r="O1396" s="219"/>
      <c r="P1396" s="219" t="s">
        <v>773</v>
      </c>
      <c r="Q1396" s="12"/>
      <c r="R1396" s="192" t="str">
        <f t="shared" si="36"/>
        <v>2liters</v>
      </c>
      <c r="S1396" s="198">
        <f t="shared" si="37"/>
        <v>2</v>
      </c>
      <c r="T1396" s="199" t="str">
        <f t="shared" si="38"/>
        <v>2liters</v>
      </c>
      <c r="U1396" s="200">
        <f t="shared" si="39"/>
        <v>61</v>
      </c>
      <c r="V1396" s="12"/>
      <c r="W1396" s="12"/>
    </row>
    <row r="1397" spans="1:23" x14ac:dyDescent="0.3">
      <c r="A1397" s="193" t="e">
        <f ca="1"/>
        <v>#NAME?</v>
      </c>
      <c r="B1397" s="46" t="s">
        <v>1735</v>
      </c>
      <c r="C1397" s="315"/>
      <c r="D1397" s="316"/>
      <c r="E1397" s="315"/>
      <c r="F1397" s="315"/>
      <c r="G1397" s="315"/>
      <c r="H1397" s="153"/>
      <c r="I1397" s="12"/>
      <c r="J1397" s="46" t="s">
        <v>1749</v>
      </c>
      <c r="K1397" s="12"/>
      <c r="L1397" s="288">
        <v>16.14</v>
      </c>
      <c r="M1397" s="289">
        <v>12</v>
      </c>
      <c r="N1397" s="290">
        <v>250</v>
      </c>
      <c r="O1397" s="46"/>
      <c r="P1397" s="46" t="s">
        <v>32</v>
      </c>
      <c r="Q1397" s="12"/>
      <c r="R1397" s="192" t="str">
        <f t="shared" si="36"/>
        <v>250ml</v>
      </c>
      <c r="S1397" s="198">
        <f t="shared" si="37"/>
        <v>3000</v>
      </c>
      <c r="T1397" s="199" t="str">
        <f t="shared" si="38"/>
        <v>3000ml</v>
      </c>
      <c r="U1397" s="200">
        <f t="shared" si="39"/>
        <v>193.68</v>
      </c>
      <c r="V1397" s="12"/>
      <c r="W1397" s="12"/>
    </row>
    <row r="1398" spans="1:23" x14ac:dyDescent="0.3">
      <c r="A1398" s="193" t="e">
        <f ca="1"/>
        <v>#NAME?</v>
      </c>
      <c r="B1398" s="46" t="s">
        <v>1735</v>
      </c>
      <c r="C1398" s="315"/>
      <c r="D1398" s="316"/>
      <c r="E1398" s="315"/>
      <c r="F1398" s="315"/>
      <c r="G1398" s="315"/>
      <c r="H1398" s="153"/>
      <c r="I1398" s="12"/>
      <c r="J1398" s="46" t="s">
        <v>1750</v>
      </c>
      <c r="K1398" s="12"/>
      <c r="L1398" s="288">
        <v>32.840000000000003</v>
      </c>
      <c r="M1398" s="289">
        <v>15</v>
      </c>
      <c r="N1398" s="290">
        <v>320</v>
      </c>
      <c r="O1398" s="46"/>
      <c r="P1398" s="46" t="s">
        <v>32</v>
      </c>
      <c r="Q1398" s="12"/>
      <c r="R1398" s="192" t="str">
        <f t="shared" si="36"/>
        <v>320ml</v>
      </c>
      <c r="S1398" s="198">
        <f t="shared" si="37"/>
        <v>4800</v>
      </c>
      <c r="T1398" s="199" t="str">
        <f t="shared" si="38"/>
        <v>4800ml</v>
      </c>
      <c r="U1398" s="200">
        <f t="shared" si="39"/>
        <v>492.6</v>
      </c>
      <c r="V1398" s="12"/>
      <c r="W1398" s="12"/>
    </row>
    <row r="1399" spans="1:23" x14ac:dyDescent="0.3">
      <c r="A1399" s="193" t="e">
        <f ca="1"/>
        <v>#NAME?</v>
      </c>
      <c r="B1399" s="46" t="s">
        <v>1735</v>
      </c>
      <c r="C1399" s="315"/>
      <c r="D1399" s="316"/>
      <c r="E1399" s="315"/>
      <c r="F1399" s="315"/>
      <c r="G1399" s="315"/>
      <c r="H1399" s="153"/>
      <c r="I1399" s="12"/>
      <c r="J1399" s="46" t="s">
        <v>1750</v>
      </c>
      <c r="K1399" s="12"/>
      <c r="L1399" s="291">
        <v>30.4</v>
      </c>
      <c r="M1399" s="292">
        <v>23</v>
      </c>
      <c r="N1399" s="293">
        <v>320</v>
      </c>
      <c r="O1399" s="219"/>
      <c r="P1399" s="219" t="s">
        <v>32</v>
      </c>
      <c r="Q1399" s="12"/>
      <c r="R1399" s="192" t="str">
        <f t="shared" si="36"/>
        <v>320ml</v>
      </c>
      <c r="S1399" s="198">
        <f t="shared" si="37"/>
        <v>7360</v>
      </c>
      <c r="T1399" s="199" t="str">
        <f t="shared" si="38"/>
        <v>7360ml</v>
      </c>
      <c r="U1399" s="200">
        <f t="shared" si="39"/>
        <v>699.19999999999993</v>
      </c>
      <c r="V1399" s="12"/>
      <c r="W1399" s="12"/>
    </row>
    <row r="1400" spans="1:23" x14ac:dyDescent="0.3">
      <c r="A1400" s="193" t="e">
        <f ca="1"/>
        <v>#NAME?</v>
      </c>
      <c r="B1400" s="46" t="s">
        <v>1735</v>
      </c>
      <c r="C1400" s="315"/>
      <c r="D1400" s="316"/>
      <c r="E1400" s="315"/>
      <c r="F1400" s="315"/>
      <c r="G1400" s="315"/>
      <c r="H1400" s="153"/>
      <c r="I1400" s="12"/>
      <c r="J1400" s="46" t="s">
        <v>1750</v>
      </c>
      <c r="K1400" s="12"/>
      <c r="L1400" s="288">
        <v>31.35</v>
      </c>
      <c r="M1400" s="289">
        <v>49</v>
      </c>
      <c r="N1400" s="293">
        <v>320</v>
      </c>
      <c r="O1400" s="219"/>
      <c r="P1400" s="219" t="s">
        <v>32</v>
      </c>
      <c r="Q1400" s="12"/>
      <c r="R1400" s="192" t="str">
        <f t="shared" si="36"/>
        <v>320ml</v>
      </c>
      <c r="S1400" s="198">
        <f t="shared" si="37"/>
        <v>15680</v>
      </c>
      <c r="T1400" s="199" t="str">
        <f t="shared" si="38"/>
        <v>15680ml</v>
      </c>
      <c r="U1400" s="200">
        <f t="shared" si="39"/>
        <v>1536.15</v>
      </c>
      <c r="V1400" s="12"/>
      <c r="W1400" s="12"/>
    </row>
    <row r="1401" spans="1:23" x14ac:dyDescent="0.3">
      <c r="A1401" s="193" t="e">
        <f ca="1"/>
        <v>#NAME?</v>
      </c>
      <c r="B1401" s="46" t="s">
        <v>1735</v>
      </c>
      <c r="C1401" s="315"/>
      <c r="D1401" s="316"/>
      <c r="E1401" s="315"/>
      <c r="F1401" s="315"/>
      <c r="G1401" s="315"/>
      <c r="H1401" s="153"/>
      <c r="I1401" s="12"/>
      <c r="J1401" s="219" t="s">
        <v>1748</v>
      </c>
      <c r="K1401" s="12"/>
      <c r="L1401" s="288">
        <v>63</v>
      </c>
      <c r="M1401" s="289">
        <v>14</v>
      </c>
      <c r="N1401" s="290">
        <v>2</v>
      </c>
      <c r="O1401" s="46"/>
      <c r="P1401" s="46" t="s">
        <v>773</v>
      </c>
      <c r="Q1401" s="12"/>
      <c r="R1401" s="192" t="str">
        <f t="shared" si="36"/>
        <v>2liters</v>
      </c>
      <c r="S1401" s="198">
        <f t="shared" si="37"/>
        <v>28</v>
      </c>
      <c r="T1401" s="199" t="str">
        <f t="shared" si="38"/>
        <v>28liters</v>
      </c>
      <c r="U1401" s="200">
        <f t="shared" si="39"/>
        <v>882</v>
      </c>
      <c r="V1401" s="12"/>
      <c r="W1401" s="12"/>
    </row>
    <row r="1402" spans="1:23" x14ac:dyDescent="0.3">
      <c r="A1402" s="193" t="e">
        <f ca="1"/>
        <v>#NAME?</v>
      </c>
      <c r="B1402" s="46" t="s">
        <v>1735</v>
      </c>
      <c r="C1402" s="315"/>
      <c r="D1402" s="316"/>
      <c r="E1402" s="315"/>
      <c r="F1402" s="315"/>
      <c r="G1402" s="315"/>
      <c r="H1402" s="153"/>
      <c r="I1402" s="12"/>
      <c r="J1402" s="219" t="s">
        <v>1751</v>
      </c>
      <c r="K1402" s="12"/>
      <c r="L1402" s="288">
        <v>63</v>
      </c>
      <c r="M1402" s="289">
        <v>12</v>
      </c>
      <c r="N1402" s="290">
        <v>2</v>
      </c>
      <c r="O1402" s="46"/>
      <c r="P1402" s="46" t="s">
        <v>773</v>
      </c>
      <c r="Q1402" s="12"/>
      <c r="R1402" s="192" t="str">
        <f t="shared" si="36"/>
        <v>2liters</v>
      </c>
      <c r="S1402" s="198">
        <f t="shared" si="37"/>
        <v>24</v>
      </c>
      <c r="T1402" s="199" t="str">
        <f t="shared" si="38"/>
        <v>24liters</v>
      </c>
      <c r="U1402" s="200">
        <f t="shared" si="39"/>
        <v>756</v>
      </c>
      <c r="V1402" s="12"/>
      <c r="W1402" s="12"/>
    </row>
    <row r="1403" spans="1:23" x14ac:dyDescent="0.3">
      <c r="A1403" s="193" t="e">
        <f ca="1"/>
        <v>#NAME?</v>
      </c>
      <c r="B1403" s="46" t="s">
        <v>1735</v>
      </c>
      <c r="C1403" s="315"/>
      <c r="D1403" s="316"/>
      <c r="E1403" s="315"/>
      <c r="F1403" s="315"/>
      <c r="G1403" s="315"/>
      <c r="H1403" s="153"/>
      <c r="I1403" s="12"/>
      <c r="J1403" s="219" t="s">
        <v>1751</v>
      </c>
      <c r="K1403" s="12"/>
      <c r="L1403" s="291">
        <v>61</v>
      </c>
      <c r="M1403" s="292">
        <v>1</v>
      </c>
      <c r="N1403" s="293">
        <v>2</v>
      </c>
      <c r="O1403" s="219"/>
      <c r="P1403" s="219" t="s">
        <v>773</v>
      </c>
      <c r="Q1403" s="12"/>
      <c r="R1403" s="192" t="str">
        <f t="shared" si="36"/>
        <v>2liters</v>
      </c>
      <c r="S1403" s="198">
        <f t="shared" si="37"/>
        <v>2</v>
      </c>
      <c r="T1403" s="199" t="str">
        <f t="shared" si="38"/>
        <v>2liters</v>
      </c>
      <c r="U1403" s="200">
        <f t="shared" si="39"/>
        <v>61</v>
      </c>
      <c r="V1403" s="12"/>
      <c r="W1403" s="12"/>
    </row>
    <row r="1404" spans="1:23" x14ac:dyDescent="0.3">
      <c r="A1404" s="193" t="e">
        <f ca="1"/>
        <v>#NAME?</v>
      </c>
      <c r="B1404" s="46" t="s">
        <v>1735</v>
      </c>
      <c r="C1404" s="315"/>
      <c r="D1404" s="316"/>
      <c r="E1404" s="315"/>
      <c r="F1404" s="315"/>
      <c r="G1404" s="315"/>
      <c r="H1404" s="153"/>
      <c r="I1404" s="12"/>
      <c r="J1404" s="46" t="s">
        <v>1752</v>
      </c>
      <c r="K1404" s="12"/>
      <c r="L1404" s="288">
        <v>16.66</v>
      </c>
      <c r="M1404" s="289">
        <v>19</v>
      </c>
      <c r="N1404" s="290">
        <v>290</v>
      </c>
      <c r="O1404" s="46"/>
      <c r="P1404" s="46" t="s">
        <v>32</v>
      </c>
      <c r="Q1404" s="12"/>
      <c r="R1404" s="192" t="str">
        <f t="shared" si="36"/>
        <v>290ml</v>
      </c>
      <c r="S1404" s="198">
        <f t="shared" si="37"/>
        <v>5510</v>
      </c>
      <c r="T1404" s="199" t="str">
        <f t="shared" si="38"/>
        <v>5510ml</v>
      </c>
      <c r="U1404" s="200">
        <f t="shared" si="39"/>
        <v>316.54000000000002</v>
      </c>
      <c r="V1404" s="12"/>
      <c r="W1404" s="12"/>
    </row>
    <row r="1405" spans="1:23" x14ac:dyDescent="0.3">
      <c r="A1405" s="193" t="e">
        <f ca="1"/>
        <v>#NAME?</v>
      </c>
      <c r="B1405" s="46" t="s">
        <v>1735</v>
      </c>
      <c r="C1405" s="315"/>
      <c r="D1405" s="316"/>
      <c r="E1405" s="315"/>
      <c r="F1405" s="315"/>
      <c r="G1405" s="315"/>
      <c r="H1405" s="153"/>
      <c r="I1405" s="12"/>
      <c r="J1405" s="46" t="s">
        <v>1753</v>
      </c>
      <c r="K1405" s="12"/>
      <c r="L1405" s="288">
        <v>31.57</v>
      </c>
      <c r="M1405" s="289">
        <v>48</v>
      </c>
      <c r="N1405" s="290">
        <v>320</v>
      </c>
      <c r="O1405" s="46"/>
      <c r="P1405" s="46" t="s">
        <v>32</v>
      </c>
      <c r="Q1405" s="12"/>
      <c r="R1405" s="192" t="str">
        <f t="shared" si="36"/>
        <v>320ml</v>
      </c>
      <c r="S1405" s="198">
        <f t="shared" si="37"/>
        <v>15360</v>
      </c>
      <c r="T1405" s="199" t="str">
        <f t="shared" si="38"/>
        <v>15360ml</v>
      </c>
      <c r="U1405" s="200">
        <f t="shared" si="39"/>
        <v>1515.3600000000001</v>
      </c>
      <c r="V1405" s="12"/>
      <c r="W1405" s="12"/>
    </row>
    <row r="1406" spans="1:23" x14ac:dyDescent="0.3">
      <c r="A1406" s="193" t="e">
        <f ca="1"/>
        <v>#NAME?</v>
      </c>
      <c r="B1406" s="46" t="s">
        <v>1735</v>
      </c>
      <c r="C1406" s="315"/>
      <c r="D1406" s="316"/>
      <c r="E1406" s="315"/>
      <c r="F1406" s="315"/>
      <c r="G1406" s="315"/>
      <c r="H1406" s="153"/>
      <c r="I1406" s="12"/>
      <c r="J1406" s="46" t="s">
        <v>1753</v>
      </c>
      <c r="K1406" s="12"/>
      <c r="L1406" s="288">
        <v>32.840000000000003</v>
      </c>
      <c r="M1406" s="289">
        <v>9</v>
      </c>
      <c r="N1406" s="290">
        <v>320</v>
      </c>
      <c r="O1406" s="46"/>
      <c r="P1406" s="46" t="s">
        <v>32</v>
      </c>
      <c r="Q1406" s="12"/>
      <c r="R1406" s="192" t="str">
        <f t="shared" si="36"/>
        <v>320ml</v>
      </c>
      <c r="S1406" s="198">
        <f t="shared" si="37"/>
        <v>2880</v>
      </c>
      <c r="T1406" s="199" t="str">
        <f t="shared" si="38"/>
        <v>2880ml</v>
      </c>
      <c r="U1406" s="200">
        <f t="shared" si="39"/>
        <v>295.56000000000006</v>
      </c>
      <c r="V1406" s="12"/>
      <c r="W1406" s="12"/>
    </row>
    <row r="1407" spans="1:23" x14ac:dyDescent="0.3">
      <c r="A1407" s="193" t="e">
        <f ca="1"/>
        <v>#NAME?</v>
      </c>
      <c r="B1407" s="46" t="s">
        <v>1735</v>
      </c>
      <c r="C1407" s="315"/>
      <c r="D1407" s="316"/>
      <c r="E1407" s="315"/>
      <c r="F1407" s="315"/>
      <c r="G1407" s="315"/>
      <c r="H1407" s="153"/>
      <c r="I1407" s="12"/>
      <c r="J1407" s="46" t="s">
        <v>1753</v>
      </c>
      <c r="K1407" s="12"/>
      <c r="L1407" s="291">
        <v>30.4</v>
      </c>
      <c r="M1407" s="292">
        <v>23</v>
      </c>
      <c r="N1407" s="293">
        <v>320</v>
      </c>
      <c r="O1407" s="219"/>
      <c r="P1407" s="219" t="s">
        <v>32</v>
      </c>
      <c r="Q1407" s="12"/>
      <c r="R1407" s="192" t="str">
        <f t="shared" si="36"/>
        <v>320ml</v>
      </c>
      <c r="S1407" s="198">
        <f t="shared" si="37"/>
        <v>7360</v>
      </c>
      <c r="T1407" s="199" t="str">
        <f t="shared" si="38"/>
        <v>7360ml</v>
      </c>
      <c r="U1407" s="200">
        <f t="shared" si="39"/>
        <v>699.19999999999993</v>
      </c>
      <c r="V1407" s="12"/>
      <c r="W1407" s="12"/>
    </row>
    <row r="1408" spans="1:23" x14ac:dyDescent="0.3">
      <c r="A1408" s="193" t="e">
        <f ca="1"/>
        <v>#NAME?</v>
      </c>
      <c r="B1408" s="46" t="s">
        <v>329</v>
      </c>
      <c r="C1408" s="315"/>
      <c r="D1408" s="316"/>
      <c r="E1408" s="315"/>
      <c r="F1408" s="315"/>
      <c r="G1408" s="315"/>
      <c r="H1408" s="153"/>
      <c r="I1408" s="12"/>
      <c r="J1408" s="46" t="s">
        <v>1754</v>
      </c>
      <c r="K1408" s="12"/>
      <c r="L1408" s="288">
        <v>310</v>
      </c>
      <c r="M1408" s="289">
        <v>6</v>
      </c>
      <c r="N1408" s="290">
        <v>1</v>
      </c>
      <c r="O1408" s="46"/>
      <c r="P1408" s="46" t="s">
        <v>213</v>
      </c>
      <c r="Q1408" s="12"/>
      <c r="R1408" s="192" t="str">
        <f t="shared" si="36"/>
        <v>1kilos</v>
      </c>
      <c r="S1408" s="198">
        <f t="shared" si="37"/>
        <v>6</v>
      </c>
      <c r="T1408" s="199" t="str">
        <f t="shared" si="38"/>
        <v>6kilos</v>
      </c>
      <c r="U1408" s="200">
        <f t="shared" si="39"/>
        <v>1860</v>
      </c>
      <c r="V1408" s="12"/>
      <c r="W1408" s="12"/>
    </row>
    <row r="1409" spans="1:23" x14ac:dyDescent="0.3">
      <c r="A1409" s="193" t="e">
        <f ca="1"/>
        <v>#NAME?</v>
      </c>
      <c r="B1409" s="46" t="s">
        <v>329</v>
      </c>
      <c r="C1409" s="315"/>
      <c r="D1409" s="316"/>
      <c r="E1409" s="315"/>
      <c r="F1409" s="315"/>
      <c r="G1409" s="315"/>
      <c r="H1409" s="153"/>
      <c r="I1409" s="12"/>
      <c r="J1409" s="46" t="s">
        <v>1754</v>
      </c>
      <c r="K1409" s="12"/>
      <c r="L1409" s="288">
        <v>250</v>
      </c>
      <c r="M1409" s="289">
        <v>0</v>
      </c>
      <c r="N1409" s="290">
        <v>1</v>
      </c>
      <c r="O1409" s="46"/>
      <c r="P1409" s="46" t="s">
        <v>213</v>
      </c>
      <c r="Q1409" s="12"/>
      <c r="R1409" s="192" t="str">
        <f t="shared" si="36"/>
        <v>1kilos</v>
      </c>
      <c r="S1409" s="198">
        <f t="shared" si="37"/>
        <v>0</v>
      </c>
      <c r="T1409" s="199" t="str">
        <f t="shared" si="38"/>
        <v>0kilos</v>
      </c>
      <c r="U1409" s="200">
        <f t="shared" si="39"/>
        <v>0</v>
      </c>
      <c r="V1409" s="12"/>
      <c r="W1409" s="12"/>
    </row>
    <row r="1410" spans="1:23" x14ac:dyDescent="0.3">
      <c r="A1410" s="193" t="e">
        <f ca="1"/>
        <v>#NAME?</v>
      </c>
      <c r="B1410" s="46" t="s">
        <v>329</v>
      </c>
      <c r="C1410" s="315"/>
      <c r="D1410" s="316"/>
      <c r="E1410" s="315"/>
      <c r="F1410" s="315"/>
      <c r="G1410" s="315"/>
      <c r="H1410" s="153"/>
      <c r="I1410" s="12"/>
      <c r="J1410" s="46" t="s">
        <v>980</v>
      </c>
      <c r="K1410" s="12"/>
      <c r="L1410" s="288">
        <v>158.80000000000001</v>
      </c>
      <c r="M1410" s="289">
        <v>2</v>
      </c>
      <c r="N1410" s="290">
        <v>500</v>
      </c>
      <c r="O1410" s="46"/>
      <c r="P1410" s="46" t="s">
        <v>39</v>
      </c>
      <c r="Q1410" s="12"/>
      <c r="R1410" s="192" t="str">
        <f t="shared" si="36"/>
        <v>500grams</v>
      </c>
      <c r="S1410" s="198">
        <f t="shared" si="37"/>
        <v>1000</v>
      </c>
      <c r="T1410" s="199" t="str">
        <f t="shared" si="38"/>
        <v>1000grams</v>
      </c>
      <c r="U1410" s="200">
        <f t="shared" si="39"/>
        <v>317.60000000000002</v>
      </c>
      <c r="V1410" s="12"/>
      <c r="W1410" s="12"/>
    </row>
    <row r="1411" spans="1:23" x14ac:dyDescent="0.3">
      <c r="A1411" s="193" t="e">
        <f ca="1"/>
        <v>#NAME?</v>
      </c>
      <c r="B1411" s="46" t="s">
        <v>329</v>
      </c>
      <c r="C1411" s="315"/>
      <c r="D1411" s="316"/>
      <c r="E1411" s="315"/>
      <c r="F1411" s="315"/>
      <c r="G1411" s="315"/>
      <c r="H1411" s="153"/>
      <c r="I1411" s="12"/>
      <c r="J1411" s="46" t="s">
        <v>1755</v>
      </c>
      <c r="K1411" s="12"/>
      <c r="L1411" s="288">
        <v>106.5</v>
      </c>
      <c r="M1411" s="289">
        <v>2</v>
      </c>
      <c r="N1411" s="290">
        <v>800</v>
      </c>
      <c r="O1411" s="46"/>
      <c r="P1411" s="46" t="s">
        <v>39</v>
      </c>
      <c r="Q1411" s="12"/>
      <c r="R1411" s="192" t="str">
        <f t="shared" si="36"/>
        <v>800grams</v>
      </c>
      <c r="S1411" s="198">
        <f t="shared" si="37"/>
        <v>1600</v>
      </c>
      <c r="T1411" s="199" t="str">
        <f t="shared" si="38"/>
        <v>1600grams</v>
      </c>
      <c r="U1411" s="200">
        <f t="shared" si="39"/>
        <v>213</v>
      </c>
      <c r="V1411" s="12"/>
      <c r="W1411" s="12"/>
    </row>
    <row r="1412" spans="1:23" x14ac:dyDescent="0.3">
      <c r="A1412" s="193" t="e">
        <f ca="1"/>
        <v>#NAME?</v>
      </c>
      <c r="B1412" s="46" t="s">
        <v>329</v>
      </c>
      <c r="C1412" s="315"/>
      <c r="D1412" s="316"/>
      <c r="E1412" s="315"/>
      <c r="F1412" s="315"/>
      <c r="G1412" s="315"/>
      <c r="H1412" s="153"/>
      <c r="I1412" s="12"/>
      <c r="J1412" s="46" t="s">
        <v>980</v>
      </c>
      <c r="K1412" s="12"/>
      <c r="L1412" s="288">
        <v>164</v>
      </c>
      <c r="M1412" s="289">
        <v>2</v>
      </c>
      <c r="N1412" s="290">
        <v>32</v>
      </c>
      <c r="O1412" s="46"/>
      <c r="P1412" s="46" t="s">
        <v>1224</v>
      </c>
      <c r="Q1412" s="12"/>
      <c r="R1412" s="192" t="str">
        <f t="shared" si="36"/>
        <v>32ounces</v>
      </c>
      <c r="S1412" s="198">
        <f t="shared" si="37"/>
        <v>64</v>
      </c>
      <c r="T1412" s="199" t="str">
        <f t="shared" si="38"/>
        <v>64ounces</v>
      </c>
      <c r="U1412" s="200">
        <f t="shared" si="39"/>
        <v>328</v>
      </c>
      <c r="V1412" s="12"/>
      <c r="W1412" s="12"/>
    </row>
    <row r="1413" spans="1:23" x14ac:dyDescent="0.3">
      <c r="A1413" s="193" t="e">
        <f ca="1"/>
        <v>#NAME?</v>
      </c>
      <c r="B1413" s="46" t="s">
        <v>1756</v>
      </c>
      <c r="C1413" s="315"/>
      <c r="D1413" s="316"/>
      <c r="E1413" s="315"/>
      <c r="F1413" s="315"/>
      <c r="G1413" s="315"/>
      <c r="H1413" s="153"/>
      <c r="I1413" s="12"/>
      <c r="J1413" s="46" t="s">
        <v>1757</v>
      </c>
      <c r="K1413" s="12"/>
      <c r="L1413" s="288">
        <v>65</v>
      </c>
      <c r="M1413" s="289">
        <v>17</v>
      </c>
      <c r="N1413" s="290">
        <v>53</v>
      </c>
      <c r="O1413" s="46"/>
      <c r="P1413" s="46" t="s">
        <v>39</v>
      </c>
      <c r="Q1413" s="12"/>
      <c r="R1413" s="192" t="str">
        <f t="shared" si="36"/>
        <v>53grams</v>
      </c>
      <c r="S1413" s="198">
        <f t="shared" si="37"/>
        <v>901</v>
      </c>
      <c r="T1413" s="199" t="str">
        <f t="shared" si="38"/>
        <v>901grams</v>
      </c>
      <c r="U1413" s="200">
        <f t="shared" si="39"/>
        <v>1105</v>
      </c>
      <c r="V1413" s="12"/>
      <c r="W1413" s="12"/>
    </row>
    <row r="1414" spans="1:23" x14ac:dyDescent="0.3">
      <c r="A1414" s="193" t="e">
        <f ca="1"/>
        <v>#NAME?</v>
      </c>
      <c r="B1414" s="46" t="s">
        <v>1756</v>
      </c>
      <c r="C1414" s="315"/>
      <c r="D1414" s="316"/>
      <c r="E1414" s="315"/>
      <c r="F1414" s="315"/>
      <c r="G1414" s="315"/>
      <c r="H1414" s="153"/>
      <c r="I1414" s="12"/>
      <c r="J1414" s="46" t="s">
        <v>1757</v>
      </c>
      <c r="K1414" s="12"/>
      <c r="L1414" s="288">
        <v>52.8</v>
      </c>
      <c r="M1414" s="289">
        <v>1</v>
      </c>
      <c r="N1414" s="290">
        <v>53</v>
      </c>
      <c r="O1414" s="46"/>
      <c r="P1414" s="46" t="s">
        <v>39</v>
      </c>
      <c r="Q1414" s="12"/>
      <c r="R1414" s="192" t="str">
        <f t="shared" si="36"/>
        <v>53grams</v>
      </c>
      <c r="S1414" s="198">
        <f t="shared" si="37"/>
        <v>53</v>
      </c>
      <c r="T1414" s="199" t="str">
        <f t="shared" si="38"/>
        <v>53grams</v>
      </c>
      <c r="U1414" s="200">
        <f t="shared" si="39"/>
        <v>52.8</v>
      </c>
      <c r="V1414" s="12"/>
      <c r="W1414" s="12"/>
    </row>
    <row r="1415" spans="1:23" x14ac:dyDescent="0.3">
      <c r="A1415" s="193" t="e">
        <f ca="1"/>
        <v>#NAME?</v>
      </c>
      <c r="B1415" s="46" t="s">
        <v>1756</v>
      </c>
      <c r="C1415" s="315"/>
      <c r="D1415" s="316"/>
      <c r="E1415" s="315"/>
      <c r="F1415" s="315"/>
      <c r="G1415" s="315"/>
      <c r="H1415" s="153"/>
      <c r="I1415" s="12"/>
      <c r="J1415" s="46" t="s">
        <v>1757</v>
      </c>
      <c r="K1415" s="12"/>
      <c r="L1415" s="288">
        <v>52.6</v>
      </c>
      <c r="M1415" s="289">
        <v>3</v>
      </c>
      <c r="N1415" s="290">
        <v>53</v>
      </c>
      <c r="O1415" s="46"/>
      <c r="P1415" s="46" t="s">
        <v>39</v>
      </c>
      <c r="Q1415" s="12"/>
      <c r="R1415" s="192" t="str">
        <f t="shared" si="36"/>
        <v>53grams</v>
      </c>
      <c r="S1415" s="198">
        <f t="shared" si="37"/>
        <v>159</v>
      </c>
      <c r="T1415" s="199" t="str">
        <f t="shared" si="38"/>
        <v>159grams</v>
      </c>
      <c r="U1415" s="200">
        <f t="shared" si="39"/>
        <v>157.80000000000001</v>
      </c>
      <c r="V1415" s="12"/>
      <c r="W1415" s="12"/>
    </row>
    <row r="1416" spans="1:23" x14ac:dyDescent="0.3">
      <c r="A1416" s="193" t="e">
        <f ca="1"/>
        <v>#NAME?</v>
      </c>
      <c r="B1416" s="46" t="s">
        <v>286</v>
      </c>
      <c r="C1416" s="315"/>
      <c r="D1416" s="316"/>
      <c r="E1416" s="315"/>
      <c r="F1416" s="315"/>
      <c r="G1416" s="315"/>
      <c r="H1416" s="153"/>
      <c r="I1416" s="12"/>
      <c r="J1416" s="46" t="s">
        <v>1069</v>
      </c>
      <c r="K1416" s="12"/>
      <c r="L1416" s="288">
        <v>73</v>
      </c>
      <c r="M1416" s="289">
        <v>1</v>
      </c>
      <c r="N1416" s="290">
        <v>3500</v>
      </c>
      <c r="O1416" s="46"/>
      <c r="P1416" s="46" t="s">
        <v>32</v>
      </c>
      <c r="Q1416" s="12"/>
      <c r="R1416" s="192" t="str">
        <f t="shared" si="36"/>
        <v>3500ml</v>
      </c>
      <c r="S1416" s="198">
        <f t="shared" si="37"/>
        <v>3500</v>
      </c>
      <c r="T1416" s="199" t="str">
        <f t="shared" si="38"/>
        <v>3500ml</v>
      </c>
      <c r="U1416" s="200">
        <f t="shared" si="39"/>
        <v>73</v>
      </c>
      <c r="V1416" s="12"/>
      <c r="W1416" s="12"/>
    </row>
    <row r="1417" spans="1:23" x14ac:dyDescent="0.3">
      <c r="A1417" s="193" t="e">
        <f ca="1"/>
        <v>#NAME?</v>
      </c>
      <c r="B1417" s="46" t="s">
        <v>286</v>
      </c>
      <c r="C1417" s="315"/>
      <c r="D1417" s="316"/>
      <c r="E1417" s="315"/>
      <c r="F1417" s="315"/>
      <c r="G1417" s="315"/>
      <c r="H1417" s="153"/>
      <c r="I1417" s="12"/>
      <c r="J1417" s="46" t="s">
        <v>1069</v>
      </c>
      <c r="K1417" s="12"/>
      <c r="L1417" s="288">
        <v>73</v>
      </c>
      <c r="M1417" s="289">
        <v>29</v>
      </c>
      <c r="N1417" s="290">
        <v>3500</v>
      </c>
      <c r="O1417" s="60"/>
      <c r="P1417" s="60" t="s">
        <v>32</v>
      </c>
      <c r="Q1417" s="12"/>
      <c r="R1417" s="192" t="str">
        <f t="shared" si="36"/>
        <v>3500ml</v>
      </c>
      <c r="S1417" s="198">
        <f t="shared" si="37"/>
        <v>101500</v>
      </c>
      <c r="T1417" s="199" t="str">
        <f t="shared" si="38"/>
        <v>101500ml</v>
      </c>
      <c r="U1417" s="200">
        <f t="shared" si="39"/>
        <v>2117</v>
      </c>
      <c r="V1417" s="12"/>
      <c r="W1417" s="12"/>
    </row>
    <row r="1418" spans="1:23" x14ac:dyDescent="0.3">
      <c r="A1418" s="193" t="e">
        <f ca="1"/>
        <v>#NAME?</v>
      </c>
      <c r="B1418" s="46" t="s">
        <v>286</v>
      </c>
      <c r="C1418" s="315"/>
      <c r="D1418" s="316"/>
      <c r="E1418" s="315"/>
      <c r="F1418" s="315"/>
      <c r="G1418" s="315"/>
      <c r="H1418" s="153"/>
      <c r="I1418" s="12"/>
      <c r="J1418" s="46" t="s">
        <v>1758</v>
      </c>
      <c r="K1418" s="12"/>
      <c r="L1418" s="288">
        <v>187.8</v>
      </c>
      <c r="M1418" s="289">
        <v>1</v>
      </c>
      <c r="N1418" s="290">
        <v>4</v>
      </c>
      <c r="O1418" s="46"/>
      <c r="P1418" s="46" t="s">
        <v>773</v>
      </c>
      <c r="Q1418" s="12"/>
      <c r="R1418" s="192" t="str">
        <f t="shared" si="36"/>
        <v>4liters</v>
      </c>
      <c r="S1418" s="198">
        <f t="shared" si="37"/>
        <v>4</v>
      </c>
      <c r="T1418" s="199" t="str">
        <f t="shared" si="38"/>
        <v>4liters</v>
      </c>
      <c r="U1418" s="200">
        <f t="shared" si="39"/>
        <v>187.8</v>
      </c>
      <c r="V1418" s="12"/>
      <c r="W1418" s="12"/>
    </row>
    <row r="1419" spans="1:23" x14ac:dyDescent="0.3">
      <c r="A1419" s="193" t="e">
        <f ca="1"/>
        <v>#NAME?</v>
      </c>
      <c r="B1419" s="46" t="s">
        <v>286</v>
      </c>
      <c r="C1419" s="315"/>
      <c r="D1419" s="316"/>
      <c r="E1419" s="315"/>
      <c r="F1419" s="315"/>
      <c r="G1419" s="315"/>
      <c r="H1419" s="153"/>
      <c r="I1419" s="12"/>
      <c r="J1419" s="46" t="s">
        <v>1252</v>
      </c>
      <c r="K1419" s="12"/>
      <c r="L1419" s="288">
        <v>80</v>
      </c>
      <c r="M1419" s="289">
        <v>1</v>
      </c>
      <c r="N1419" s="290">
        <v>3500</v>
      </c>
      <c r="O1419" s="46"/>
      <c r="P1419" s="46" t="s">
        <v>32</v>
      </c>
      <c r="Q1419" s="12"/>
      <c r="R1419" s="192" t="str">
        <f t="shared" si="36"/>
        <v>3500ml</v>
      </c>
      <c r="S1419" s="198">
        <f t="shared" si="37"/>
        <v>3500</v>
      </c>
      <c r="T1419" s="199" t="str">
        <f t="shared" si="38"/>
        <v>3500ml</v>
      </c>
      <c r="U1419" s="200">
        <f t="shared" si="39"/>
        <v>80</v>
      </c>
      <c r="V1419" s="12"/>
      <c r="W1419" s="12"/>
    </row>
    <row r="1420" spans="1:23" x14ac:dyDescent="0.3">
      <c r="A1420" s="193" t="e">
        <f ca="1"/>
        <v>#NAME?</v>
      </c>
      <c r="B1420" s="46" t="s">
        <v>286</v>
      </c>
      <c r="C1420" s="315"/>
      <c r="D1420" s="316"/>
      <c r="E1420" s="315"/>
      <c r="F1420" s="315"/>
      <c r="G1420" s="315"/>
      <c r="H1420" s="153"/>
      <c r="I1420" s="12"/>
      <c r="J1420" s="46" t="s">
        <v>1359</v>
      </c>
      <c r="K1420" s="12"/>
      <c r="L1420" s="288">
        <v>370</v>
      </c>
      <c r="M1420" s="289">
        <v>1</v>
      </c>
      <c r="N1420" s="290">
        <v>1</v>
      </c>
      <c r="O1420" s="46"/>
      <c r="P1420" s="46" t="s">
        <v>773</v>
      </c>
      <c r="Q1420" s="12"/>
      <c r="R1420" s="192" t="str">
        <f t="shared" si="36"/>
        <v>1liters</v>
      </c>
      <c r="S1420" s="198">
        <f t="shared" si="37"/>
        <v>1</v>
      </c>
      <c r="T1420" s="199" t="str">
        <f t="shared" si="38"/>
        <v>1liters</v>
      </c>
      <c r="U1420" s="200">
        <f t="shared" si="39"/>
        <v>370</v>
      </c>
      <c r="V1420" s="12"/>
      <c r="W1420" s="12"/>
    </row>
    <row r="1421" spans="1:23" x14ac:dyDescent="0.3">
      <c r="A1421" s="193" t="e">
        <f ca="1"/>
        <v>#NAME?</v>
      </c>
      <c r="B1421" s="219" t="s">
        <v>1759</v>
      </c>
      <c r="C1421" s="315"/>
      <c r="D1421" s="316"/>
      <c r="E1421" s="315"/>
      <c r="F1421" s="315"/>
      <c r="G1421" s="315"/>
      <c r="H1421" s="153"/>
      <c r="I1421" s="12"/>
      <c r="J1421" s="215"/>
      <c r="K1421" s="12"/>
      <c r="L1421" s="291">
        <v>11</v>
      </c>
      <c r="M1421" s="292">
        <v>1</v>
      </c>
      <c r="N1421" s="293">
        <v>200</v>
      </c>
      <c r="O1421" s="219"/>
      <c r="P1421" s="219" t="s">
        <v>32</v>
      </c>
      <c r="Q1421" s="12"/>
      <c r="R1421" s="192" t="str">
        <f t="shared" si="36"/>
        <v>200ml</v>
      </c>
      <c r="S1421" s="198">
        <f t="shared" si="37"/>
        <v>200</v>
      </c>
      <c r="T1421" s="199" t="str">
        <f t="shared" si="38"/>
        <v>200ml</v>
      </c>
      <c r="U1421" s="200">
        <f t="shared" si="39"/>
        <v>11</v>
      </c>
      <c r="V1421" s="12"/>
      <c r="W1421" s="12"/>
    </row>
    <row r="1422" spans="1:23" x14ac:dyDescent="0.3">
      <c r="A1422" s="193" t="e">
        <f ca="1"/>
        <v>#NAME?</v>
      </c>
      <c r="B1422" s="46" t="s">
        <v>286</v>
      </c>
      <c r="C1422" s="315"/>
      <c r="D1422" s="316"/>
      <c r="E1422" s="315"/>
      <c r="F1422" s="315"/>
      <c r="G1422" s="315"/>
      <c r="H1422" s="153"/>
      <c r="I1422" s="12"/>
      <c r="J1422" s="46" t="s">
        <v>1069</v>
      </c>
      <c r="K1422" s="12"/>
      <c r="L1422" s="288">
        <v>73</v>
      </c>
      <c r="M1422" s="289">
        <v>16</v>
      </c>
      <c r="N1422" s="290">
        <v>3500</v>
      </c>
      <c r="O1422" s="46"/>
      <c r="P1422" s="46" t="s">
        <v>32</v>
      </c>
      <c r="Q1422" s="12"/>
      <c r="R1422" s="192" t="str">
        <f t="shared" si="36"/>
        <v>3500ml</v>
      </c>
      <c r="S1422" s="198">
        <f t="shared" si="37"/>
        <v>56000</v>
      </c>
      <c r="T1422" s="199" t="str">
        <f t="shared" si="38"/>
        <v>56000ml</v>
      </c>
      <c r="U1422" s="200">
        <f t="shared" si="39"/>
        <v>1168</v>
      </c>
      <c r="V1422" s="12"/>
      <c r="W1422" s="12"/>
    </row>
    <row r="1423" spans="1:23" x14ac:dyDescent="0.3">
      <c r="A1423" s="193" t="e">
        <f ca="1"/>
        <v>#NAME?</v>
      </c>
      <c r="B1423" s="46" t="s">
        <v>286</v>
      </c>
      <c r="C1423" s="315"/>
      <c r="D1423" s="316"/>
      <c r="E1423" s="315"/>
      <c r="F1423" s="315"/>
      <c r="G1423" s="315"/>
      <c r="H1423" s="153"/>
      <c r="I1423" s="12"/>
      <c r="J1423" s="46" t="s">
        <v>1071</v>
      </c>
      <c r="K1423" s="12"/>
      <c r="L1423" s="288">
        <v>10</v>
      </c>
      <c r="M1423" s="289">
        <v>65</v>
      </c>
      <c r="N1423" s="290">
        <v>1</v>
      </c>
      <c r="O1423" s="46"/>
      <c r="P1423" s="46" t="s">
        <v>200</v>
      </c>
      <c r="Q1423" s="12"/>
      <c r="R1423" s="192" t="str">
        <f t="shared" si="36"/>
        <v>1gal</v>
      </c>
      <c r="S1423" s="198">
        <f t="shared" si="37"/>
        <v>65</v>
      </c>
      <c r="T1423" s="199" t="str">
        <f t="shared" si="38"/>
        <v>65gal</v>
      </c>
      <c r="U1423" s="200">
        <f t="shared" si="39"/>
        <v>650</v>
      </c>
      <c r="V1423" s="12"/>
      <c r="W1423" s="12"/>
    </row>
    <row r="1424" spans="1:23" x14ac:dyDescent="0.3">
      <c r="A1424" s="193" t="e">
        <f ca="1"/>
        <v>#NAME?</v>
      </c>
      <c r="B1424" s="219" t="s">
        <v>286</v>
      </c>
      <c r="C1424" s="315"/>
      <c r="D1424" s="316"/>
      <c r="E1424" s="315"/>
      <c r="F1424" s="315"/>
      <c r="G1424" s="315"/>
      <c r="H1424" s="153"/>
      <c r="I1424" s="12"/>
      <c r="J1424" s="219" t="s">
        <v>1069</v>
      </c>
      <c r="K1424" s="12"/>
      <c r="L1424" s="291">
        <v>70</v>
      </c>
      <c r="M1424" s="292">
        <v>6</v>
      </c>
      <c r="N1424" s="293">
        <v>3500</v>
      </c>
      <c r="O1424" s="219"/>
      <c r="P1424" s="219" t="s">
        <v>32</v>
      </c>
      <c r="Q1424" s="12"/>
      <c r="R1424" s="192" t="str">
        <f t="shared" si="36"/>
        <v>3500ml</v>
      </c>
      <c r="S1424" s="198">
        <f t="shared" si="37"/>
        <v>21000</v>
      </c>
      <c r="T1424" s="199" t="str">
        <f t="shared" si="38"/>
        <v>21000ml</v>
      </c>
      <c r="U1424" s="200">
        <f t="shared" si="39"/>
        <v>420</v>
      </c>
      <c r="V1424" s="12"/>
      <c r="W1424" s="12"/>
    </row>
    <row r="1425" spans="1:23" x14ac:dyDescent="0.3">
      <c r="A1425" s="193" t="e">
        <f ca="1"/>
        <v>#NAME?</v>
      </c>
      <c r="B1425" s="46" t="s">
        <v>1759</v>
      </c>
      <c r="C1425" s="315"/>
      <c r="D1425" s="316"/>
      <c r="E1425" s="315"/>
      <c r="F1425" s="315"/>
      <c r="G1425" s="315"/>
      <c r="H1425" s="153"/>
      <c r="I1425" s="12"/>
      <c r="J1425" s="46" t="s">
        <v>1069</v>
      </c>
      <c r="K1425" s="12"/>
      <c r="L1425" s="288">
        <v>73</v>
      </c>
      <c r="M1425" s="289">
        <v>1</v>
      </c>
      <c r="N1425" s="290">
        <v>1</v>
      </c>
      <c r="O1425" s="46"/>
      <c r="P1425" s="46" t="s">
        <v>200</v>
      </c>
      <c r="Q1425" s="12"/>
      <c r="R1425" s="192" t="str">
        <f t="shared" si="36"/>
        <v>1gal</v>
      </c>
      <c r="S1425" s="198">
        <f t="shared" si="37"/>
        <v>1</v>
      </c>
      <c r="T1425" s="199" t="str">
        <f t="shared" si="38"/>
        <v>1gal</v>
      </c>
      <c r="U1425" s="200">
        <f t="shared" si="39"/>
        <v>73</v>
      </c>
      <c r="V1425" s="12"/>
      <c r="W1425" s="12"/>
    </row>
    <row r="1426" spans="1:23" x14ac:dyDescent="0.3">
      <c r="A1426" s="193" t="e">
        <f ca="1"/>
        <v>#NAME?</v>
      </c>
      <c r="B1426" s="46" t="s">
        <v>286</v>
      </c>
      <c r="C1426" s="315"/>
      <c r="D1426" s="316"/>
      <c r="E1426" s="315"/>
      <c r="F1426" s="315"/>
      <c r="G1426" s="315"/>
      <c r="H1426" s="153"/>
      <c r="I1426" s="12"/>
      <c r="J1426" s="46" t="s">
        <v>1359</v>
      </c>
      <c r="K1426" s="12"/>
      <c r="L1426" s="288">
        <v>198</v>
      </c>
      <c r="M1426" s="289">
        <v>1</v>
      </c>
      <c r="N1426" s="290">
        <v>500</v>
      </c>
      <c r="O1426" s="46"/>
      <c r="P1426" s="46" t="s">
        <v>32</v>
      </c>
      <c r="Q1426" s="12"/>
      <c r="R1426" s="192" t="str">
        <f t="shared" si="36"/>
        <v>500ml</v>
      </c>
      <c r="S1426" s="198">
        <f t="shared" si="37"/>
        <v>500</v>
      </c>
      <c r="T1426" s="199" t="str">
        <f t="shared" si="38"/>
        <v>500ml</v>
      </c>
      <c r="U1426" s="200">
        <f t="shared" si="39"/>
        <v>198</v>
      </c>
      <c r="V1426" s="12"/>
      <c r="W1426" s="12"/>
    </row>
    <row r="1427" spans="1:23" x14ac:dyDescent="0.3">
      <c r="A1427" s="193" t="e">
        <f ca="1"/>
        <v>#NAME?</v>
      </c>
      <c r="B1427" s="46" t="s">
        <v>286</v>
      </c>
      <c r="C1427" s="315"/>
      <c r="D1427" s="316"/>
      <c r="E1427" s="315"/>
      <c r="F1427" s="315"/>
      <c r="G1427" s="315"/>
      <c r="H1427" s="153"/>
      <c r="I1427" s="12"/>
      <c r="J1427" s="46" t="s">
        <v>1760</v>
      </c>
      <c r="K1427" s="12"/>
      <c r="L1427" s="288">
        <v>184</v>
      </c>
      <c r="M1427" s="289">
        <v>14</v>
      </c>
      <c r="N1427" s="290">
        <v>1</v>
      </c>
      <c r="O1427" s="46"/>
      <c r="P1427" s="46" t="s">
        <v>200</v>
      </c>
      <c r="Q1427" s="12"/>
      <c r="R1427" s="192" t="str">
        <f t="shared" si="36"/>
        <v>1gal</v>
      </c>
      <c r="S1427" s="198">
        <f t="shared" si="37"/>
        <v>14</v>
      </c>
      <c r="T1427" s="199" t="str">
        <f t="shared" si="38"/>
        <v>14gal</v>
      </c>
      <c r="U1427" s="200">
        <f t="shared" si="39"/>
        <v>2576</v>
      </c>
      <c r="V1427" s="12"/>
      <c r="W1427" s="12"/>
    </row>
    <row r="1428" spans="1:23" x14ac:dyDescent="0.3">
      <c r="A1428" s="193" t="e">
        <f ca="1"/>
        <v>#NAME?</v>
      </c>
      <c r="B1428" s="219" t="s">
        <v>330</v>
      </c>
      <c r="C1428" s="315"/>
      <c r="D1428" s="316"/>
      <c r="E1428" s="315"/>
      <c r="F1428" s="315"/>
      <c r="G1428" s="315"/>
      <c r="H1428" s="153"/>
      <c r="I1428" s="12"/>
      <c r="J1428" s="46" t="s">
        <v>1349</v>
      </c>
      <c r="K1428" s="12"/>
      <c r="L1428" s="288">
        <v>71.2</v>
      </c>
      <c r="M1428" s="289">
        <v>3</v>
      </c>
      <c r="N1428" s="290">
        <v>800</v>
      </c>
      <c r="O1428" s="46"/>
      <c r="P1428" s="46" t="s">
        <v>39</v>
      </c>
      <c r="Q1428" s="12"/>
      <c r="R1428" s="192" t="str">
        <f t="shared" si="36"/>
        <v>800grams</v>
      </c>
      <c r="S1428" s="198">
        <f t="shared" si="37"/>
        <v>2400</v>
      </c>
      <c r="T1428" s="199" t="str">
        <f t="shared" si="38"/>
        <v>2400grams</v>
      </c>
      <c r="U1428" s="200">
        <f t="shared" si="39"/>
        <v>213.60000000000002</v>
      </c>
      <c r="V1428" s="12"/>
      <c r="W1428" s="12"/>
    </row>
    <row r="1429" spans="1:23" x14ac:dyDescent="0.3">
      <c r="A1429" s="193" t="e">
        <f ca="1"/>
        <v>#NAME?</v>
      </c>
      <c r="B1429" s="46" t="s">
        <v>330</v>
      </c>
      <c r="C1429" s="315"/>
      <c r="D1429" s="316"/>
      <c r="E1429" s="315"/>
      <c r="F1429" s="315"/>
      <c r="G1429" s="315"/>
      <c r="H1429" s="153"/>
      <c r="I1429" s="12"/>
      <c r="J1429" s="46" t="s">
        <v>1761</v>
      </c>
      <c r="K1429" s="12"/>
      <c r="L1429" s="288">
        <v>80</v>
      </c>
      <c r="M1429" s="289">
        <v>3</v>
      </c>
      <c r="N1429" s="290">
        <v>800</v>
      </c>
      <c r="O1429" s="46"/>
      <c r="P1429" s="46" t="s">
        <v>39</v>
      </c>
      <c r="Q1429" s="12"/>
      <c r="R1429" s="192" t="str">
        <f t="shared" si="36"/>
        <v>800grams</v>
      </c>
      <c r="S1429" s="198">
        <f t="shared" si="37"/>
        <v>2400</v>
      </c>
      <c r="T1429" s="199" t="str">
        <f t="shared" si="38"/>
        <v>2400grams</v>
      </c>
      <c r="U1429" s="200">
        <f t="shared" si="39"/>
        <v>240</v>
      </c>
      <c r="V1429" s="12"/>
      <c r="W1429" s="12"/>
    </row>
    <row r="1430" spans="1:23" x14ac:dyDescent="0.3">
      <c r="A1430" s="193" t="e">
        <f ca="1"/>
        <v>#NAME?</v>
      </c>
      <c r="B1430" s="46" t="s">
        <v>330</v>
      </c>
      <c r="C1430" s="315"/>
      <c r="D1430" s="316"/>
      <c r="E1430" s="315"/>
      <c r="F1430" s="315"/>
      <c r="G1430" s="315"/>
      <c r="H1430" s="153"/>
      <c r="I1430" s="12"/>
      <c r="J1430" s="46" t="s">
        <v>1762</v>
      </c>
      <c r="K1430" s="12"/>
      <c r="L1430" s="288">
        <v>116</v>
      </c>
      <c r="M1430" s="289">
        <v>3</v>
      </c>
      <c r="N1430" s="290">
        <v>900</v>
      </c>
      <c r="O1430" s="46"/>
      <c r="P1430" s="46" t="s">
        <v>39</v>
      </c>
      <c r="Q1430" s="12"/>
      <c r="R1430" s="192" t="str">
        <f t="shared" si="36"/>
        <v>900grams</v>
      </c>
      <c r="S1430" s="198">
        <f t="shared" si="37"/>
        <v>2700</v>
      </c>
      <c r="T1430" s="199" t="str">
        <f t="shared" si="38"/>
        <v>2700grams</v>
      </c>
      <c r="U1430" s="200">
        <f t="shared" si="39"/>
        <v>348</v>
      </c>
      <c r="V1430" s="12"/>
      <c r="W1430" s="12"/>
    </row>
    <row r="1431" spans="1:23" x14ac:dyDescent="0.3">
      <c r="A1431" s="193" t="e">
        <f ca="1"/>
        <v>#NAME?</v>
      </c>
      <c r="B1431" s="46" t="s">
        <v>330</v>
      </c>
      <c r="C1431" s="315"/>
      <c r="D1431" s="316"/>
      <c r="E1431" s="315"/>
      <c r="F1431" s="315"/>
      <c r="G1431" s="315"/>
      <c r="H1431" s="153"/>
      <c r="I1431" s="12"/>
      <c r="J1431" s="46" t="s">
        <v>1761</v>
      </c>
      <c r="K1431" s="12"/>
      <c r="L1431" s="288">
        <v>75</v>
      </c>
      <c r="M1431" s="289">
        <v>12</v>
      </c>
      <c r="N1431" s="290">
        <v>1</v>
      </c>
      <c r="O1431" s="46"/>
      <c r="P1431" s="46" t="s">
        <v>213</v>
      </c>
      <c r="Q1431" s="12"/>
      <c r="R1431" s="192" t="str">
        <f t="shared" si="36"/>
        <v>1kilos</v>
      </c>
      <c r="S1431" s="198">
        <f t="shared" si="37"/>
        <v>12</v>
      </c>
      <c r="T1431" s="199" t="str">
        <f t="shared" si="38"/>
        <v>12kilos</v>
      </c>
      <c r="U1431" s="200">
        <f t="shared" si="39"/>
        <v>900</v>
      </c>
      <c r="V1431" s="12"/>
      <c r="W1431" s="12"/>
    </row>
    <row r="1432" spans="1:23" x14ac:dyDescent="0.3">
      <c r="A1432" s="193" t="e">
        <f ca="1"/>
        <v>#NAME?</v>
      </c>
      <c r="B1432" s="219" t="s">
        <v>330</v>
      </c>
      <c r="C1432" s="315"/>
      <c r="D1432" s="316"/>
      <c r="E1432" s="315"/>
      <c r="F1432" s="315"/>
      <c r="G1432" s="315"/>
      <c r="H1432" s="153"/>
      <c r="I1432" s="12"/>
      <c r="J1432" s="219" t="s">
        <v>1761</v>
      </c>
      <c r="K1432" s="12"/>
      <c r="L1432" s="295">
        <v>75</v>
      </c>
      <c r="M1432" s="292">
        <v>12</v>
      </c>
      <c r="N1432" s="293">
        <v>800</v>
      </c>
      <c r="O1432" s="219"/>
      <c r="P1432" s="219" t="s">
        <v>39</v>
      </c>
      <c r="Q1432" s="12"/>
      <c r="R1432" s="192" t="str">
        <f t="shared" si="36"/>
        <v>800grams</v>
      </c>
      <c r="S1432" s="198">
        <f t="shared" si="37"/>
        <v>9600</v>
      </c>
      <c r="T1432" s="199" t="str">
        <f t="shared" si="38"/>
        <v>9600grams</v>
      </c>
      <c r="U1432" s="200">
        <f t="shared" si="39"/>
        <v>900</v>
      </c>
      <c r="V1432" s="12"/>
      <c r="W1432" s="12"/>
    </row>
    <row r="1433" spans="1:23" x14ac:dyDescent="0.3">
      <c r="A1433" s="193" t="e">
        <f ca="1"/>
        <v>#NAME?</v>
      </c>
      <c r="B1433" s="46" t="s">
        <v>330</v>
      </c>
      <c r="C1433" s="315"/>
      <c r="D1433" s="316"/>
      <c r="E1433" s="315"/>
      <c r="F1433" s="315"/>
      <c r="G1433" s="315"/>
      <c r="H1433" s="153"/>
      <c r="I1433" s="12"/>
      <c r="J1433" s="46" t="s">
        <v>1761</v>
      </c>
      <c r="K1433" s="12"/>
      <c r="L1433" s="288">
        <v>80</v>
      </c>
      <c r="M1433" s="289">
        <v>4</v>
      </c>
      <c r="N1433" s="290">
        <v>900</v>
      </c>
      <c r="O1433" s="46"/>
      <c r="P1433" s="46" t="s">
        <v>39</v>
      </c>
      <c r="Q1433" s="12"/>
      <c r="R1433" s="192" t="str">
        <f t="shared" si="36"/>
        <v>900grams</v>
      </c>
      <c r="S1433" s="198">
        <f t="shared" si="37"/>
        <v>3600</v>
      </c>
      <c r="T1433" s="199" t="str">
        <f t="shared" si="38"/>
        <v>3600grams</v>
      </c>
      <c r="U1433" s="200">
        <f t="shared" si="39"/>
        <v>320</v>
      </c>
      <c r="V1433" s="12"/>
      <c r="W1433" s="12"/>
    </row>
    <row r="1434" spans="1:23" x14ac:dyDescent="0.3">
      <c r="A1434" s="193" t="e">
        <f ca="1"/>
        <v>#NAME?</v>
      </c>
      <c r="B1434" s="46" t="s">
        <v>330</v>
      </c>
      <c r="C1434" s="315"/>
      <c r="D1434" s="316"/>
      <c r="E1434" s="315"/>
      <c r="F1434" s="315"/>
      <c r="G1434" s="315"/>
      <c r="H1434" s="153"/>
      <c r="I1434" s="12"/>
      <c r="J1434" s="46" t="s">
        <v>1763</v>
      </c>
      <c r="K1434" s="12"/>
      <c r="L1434" s="288">
        <v>78.56</v>
      </c>
      <c r="M1434" s="289">
        <v>1</v>
      </c>
      <c r="N1434" s="290">
        <v>800</v>
      </c>
      <c r="O1434" s="46"/>
      <c r="P1434" s="46" t="s">
        <v>39</v>
      </c>
      <c r="Q1434" s="12"/>
      <c r="R1434" s="192" t="str">
        <f t="shared" si="36"/>
        <v>800grams</v>
      </c>
      <c r="S1434" s="198">
        <f t="shared" si="37"/>
        <v>800</v>
      </c>
      <c r="T1434" s="199" t="str">
        <f t="shared" si="38"/>
        <v>800grams</v>
      </c>
      <c r="U1434" s="200">
        <f t="shared" si="39"/>
        <v>78.56</v>
      </c>
      <c r="V1434" s="12"/>
      <c r="W1434" s="12"/>
    </row>
    <row r="1435" spans="1:23" x14ac:dyDescent="0.3">
      <c r="A1435" s="193" t="e">
        <f ca="1"/>
        <v>#NAME?</v>
      </c>
      <c r="B1435" s="219" t="s">
        <v>1764</v>
      </c>
      <c r="C1435" s="315"/>
      <c r="D1435" s="316"/>
      <c r="E1435" s="315"/>
      <c r="F1435" s="315"/>
      <c r="G1435" s="315"/>
      <c r="H1435" s="153"/>
      <c r="I1435" s="12"/>
      <c r="J1435" s="219" t="s">
        <v>1765</v>
      </c>
      <c r="K1435" s="12"/>
      <c r="L1435" s="291">
        <v>2.48</v>
      </c>
      <c r="M1435" s="292">
        <v>457</v>
      </c>
      <c r="N1435" s="293">
        <v>1</v>
      </c>
      <c r="O1435" s="219"/>
      <c r="P1435" s="219" t="s">
        <v>92</v>
      </c>
      <c r="Q1435" s="12"/>
      <c r="R1435" s="192" t="str">
        <f t="shared" si="36"/>
        <v>1pieces</v>
      </c>
      <c r="S1435" s="198">
        <f t="shared" si="37"/>
        <v>457</v>
      </c>
      <c r="T1435" s="199" t="str">
        <f t="shared" si="38"/>
        <v>457pieces</v>
      </c>
      <c r="U1435" s="200">
        <f t="shared" si="39"/>
        <v>1133.3599999999999</v>
      </c>
      <c r="V1435" s="12"/>
      <c r="W1435" s="12"/>
    </row>
    <row r="1436" spans="1:23" x14ac:dyDescent="0.3">
      <c r="A1436" s="193" t="e">
        <f ca="1"/>
        <v>#NAME?</v>
      </c>
      <c r="B1436" s="46" t="s">
        <v>1764</v>
      </c>
      <c r="C1436" s="315"/>
      <c r="D1436" s="316"/>
      <c r="E1436" s="315"/>
      <c r="F1436" s="315"/>
      <c r="G1436" s="315"/>
      <c r="H1436" s="153"/>
      <c r="I1436" s="12"/>
      <c r="J1436" s="170"/>
      <c r="K1436" s="12"/>
      <c r="L1436" s="288">
        <v>4</v>
      </c>
      <c r="M1436" s="289">
        <v>28</v>
      </c>
      <c r="N1436" s="290">
        <v>1</v>
      </c>
      <c r="O1436" s="46"/>
      <c r="P1436" s="46" t="s">
        <v>92</v>
      </c>
      <c r="Q1436" s="12"/>
      <c r="R1436" s="192" t="str">
        <f t="shared" si="36"/>
        <v>1pieces</v>
      </c>
      <c r="S1436" s="198">
        <f t="shared" si="37"/>
        <v>28</v>
      </c>
      <c r="T1436" s="199" t="str">
        <f t="shared" si="38"/>
        <v>28pieces</v>
      </c>
      <c r="U1436" s="200">
        <f t="shared" si="39"/>
        <v>112</v>
      </c>
      <c r="V1436" s="12"/>
      <c r="W1436" s="12"/>
    </row>
    <row r="1437" spans="1:23" x14ac:dyDescent="0.3">
      <c r="A1437" s="193" t="e">
        <f ca="1"/>
        <v>#NAME?</v>
      </c>
      <c r="B1437" s="46" t="s">
        <v>1766</v>
      </c>
      <c r="C1437" s="315"/>
      <c r="D1437" s="316"/>
      <c r="E1437" s="315"/>
      <c r="F1437" s="315"/>
      <c r="G1437" s="315"/>
      <c r="H1437" s="153"/>
      <c r="I1437" s="12"/>
      <c r="J1437" s="46" t="s">
        <v>1241</v>
      </c>
      <c r="K1437" s="12"/>
      <c r="L1437" s="288">
        <v>139.9</v>
      </c>
      <c r="M1437" s="289">
        <v>4</v>
      </c>
      <c r="N1437" s="290">
        <v>1</v>
      </c>
      <c r="O1437" s="46"/>
      <c r="P1437" s="46" t="s">
        <v>213</v>
      </c>
      <c r="Q1437" s="12"/>
      <c r="R1437" s="192" t="str">
        <f t="shared" si="36"/>
        <v>1kilos</v>
      </c>
      <c r="S1437" s="198">
        <f t="shared" si="37"/>
        <v>4</v>
      </c>
      <c r="T1437" s="199" t="str">
        <f t="shared" si="38"/>
        <v>4kilos</v>
      </c>
      <c r="U1437" s="200">
        <f t="shared" si="39"/>
        <v>559.6</v>
      </c>
      <c r="V1437" s="12"/>
      <c r="W1437" s="12"/>
    </row>
    <row r="1438" spans="1:23" x14ac:dyDescent="0.3">
      <c r="A1438" s="193" t="e">
        <f ca="1"/>
        <v>#NAME?</v>
      </c>
      <c r="B1438" s="46" t="s">
        <v>1767</v>
      </c>
      <c r="C1438" s="315"/>
      <c r="D1438" s="316"/>
      <c r="E1438" s="315"/>
      <c r="F1438" s="315"/>
      <c r="G1438" s="315"/>
      <c r="H1438" s="153"/>
      <c r="I1438" s="12"/>
      <c r="J1438" s="46" t="s">
        <v>641</v>
      </c>
      <c r="K1438" s="12"/>
      <c r="L1438" s="288">
        <v>99.6</v>
      </c>
      <c r="M1438" s="289">
        <v>11</v>
      </c>
      <c r="N1438" s="290">
        <v>900</v>
      </c>
      <c r="O1438" s="46"/>
      <c r="P1438" s="46" t="s">
        <v>39</v>
      </c>
      <c r="Q1438" s="12"/>
      <c r="R1438" s="192" t="str">
        <f t="shared" si="36"/>
        <v>900grams</v>
      </c>
      <c r="S1438" s="198">
        <f t="shared" si="37"/>
        <v>9900</v>
      </c>
      <c r="T1438" s="199" t="str">
        <f t="shared" si="38"/>
        <v>9900grams</v>
      </c>
      <c r="U1438" s="200">
        <f t="shared" si="39"/>
        <v>1095.5999999999999</v>
      </c>
      <c r="V1438" s="12"/>
      <c r="W1438" s="12"/>
    </row>
    <row r="1439" spans="1:23" x14ac:dyDescent="0.3">
      <c r="A1439" s="193" t="e">
        <f ca="1"/>
        <v>#NAME?</v>
      </c>
      <c r="B1439" s="46" t="s">
        <v>1768</v>
      </c>
      <c r="C1439" s="315"/>
      <c r="D1439" s="316"/>
      <c r="E1439" s="315"/>
      <c r="F1439" s="315"/>
      <c r="G1439" s="315"/>
      <c r="H1439" s="153"/>
      <c r="I1439" s="12"/>
      <c r="J1439" s="46" t="s">
        <v>1769</v>
      </c>
      <c r="K1439" s="12"/>
      <c r="L1439" s="288">
        <v>60</v>
      </c>
      <c r="M1439" s="289">
        <v>1</v>
      </c>
      <c r="N1439" s="290">
        <v>1</v>
      </c>
      <c r="O1439" s="46"/>
      <c r="P1439" s="46" t="s">
        <v>213</v>
      </c>
      <c r="Q1439" s="12"/>
      <c r="R1439" s="192" t="str">
        <f t="shared" si="36"/>
        <v>1kilos</v>
      </c>
      <c r="S1439" s="198">
        <f t="shared" si="37"/>
        <v>1</v>
      </c>
      <c r="T1439" s="199" t="str">
        <f t="shared" si="38"/>
        <v>1kilos</v>
      </c>
      <c r="U1439" s="200">
        <f t="shared" si="39"/>
        <v>60</v>
      </c>
      <c r="V1439" s="12"/>
      <c r="W1439" s="12"/>
    </row>
    <row r="1440" spans="1:23" x14ac:dyDescent="0.3">
      <c r="A1440" s="193" t="e">
        <f ca="1"/>
        <v>#NAME?</v>
      </c>
      <c r="B1440" s="46" t="s">
        <v>1770</v>
      </c>
      <c r="C1440" s="315"/>
      <c r="D1440" s="316"/>
      <c r="E1440" s="315"/>
      <c r="F1440" s="315"/>
      <c r="G1440" s="315"/>
      <c r="H1440" s="153"/>
      <c r="I1440" s="12"/>
      <c r="J1440" s="219" t="s">
        <v>854</v>
      </c>
      <c r="K1440" s="12"/>
      <c r="L1440" s="288">
        <v>29.75</v>
      </c>
      <c r="M1440" s="289">
        <v>1</v>
      </c>
      <c r="N1440" s="290">
        <v>34</v>
      </c>
      <c r="O1440" s="46"/>
      <c r="P1440" s="46" t="s">
        <v>39</v>
      </c>
      <c r="Q1440" s="12"/>
      <c r="R1440" s="192" t="str">
        <f t="shared" si="36"/>
        <v>34grams</v>
      </c>
      <c r="S1440" s="198">
        <f t="shared" si="37"/>
        <v>34</v>
      </c>
      <c r="T1440" s="199" t="str">
        <f t="shared" si="38"/>
        <v>34grams</v>
      </c>
      <c r="U1440" s="200">
        <f t="shared" si="39"/>
        <v>29.75</v>
      </c>
      <c r="V1440" s="12"/>
      <c r="W1440" s="12"/>
    </row>
    <row r="1441" spans="1:23" x14ac:dyDescent="0.3">
      <c r="A1441" s="193" t="e">
        <f ca="1"/>
        <v>#NAME?</v>
      </c>
      <c r="B1441" s="46" t="s">
        <v>1770</v>
      </c>
      <c r="C1441" s="315"/>
      <c r="D1441" s="316"/>
      <c r="E1441" s="315"/>
      <c r="F1441" s="315"/>
      <c r="G1441" s="315"/>
      <c r="H1441" s="153"/>
      <c r="I1441" s="12"/>
      <c r="J1441" s="46" t="s">
        <v>854</v>
      </c>
      <c r="K1441" s="12"/>
      <c r="L1441" s="288">
        <v>78</v>
      </c>
      <c r="M1441" s="289">
        <v>3</v>
      </c>
      <c r="N1441" s="290">
        <v>34</v>
      </c>
      <c r="O1441" s="46"/>
      <c r="P1441" s="46" t="s">
        <v>39</v>
      </c>
      <c r="Q1441" s="12"/>
      <c r="R1441" s="192" t="str">
        <f t="shared" si="36"/>
        <v>34grams</v>
      </c>
      <c r="S1441" s="198">
        <f t="shared" si="37"/>
        <v>102</v>
      </c>
      <c r="T1441" s="199" t="str">
        <f t="shared" si="38"/>
        <v>102grams</v>
      </c>
      <c r="U1441" s="200">
        <f t="shared" si="39"/>
        <v>234</v>
      </c>
      <c r="V1441" s="12"/>
      <c r="W1441" s="12"/>
    </row>
    <row r="1442" spans="1:23" x14ac:dyDescent="0.3">
      <c r="A1442" s="193" t="e">
        <f ca="1"/>
        <v>#NAME?</v>
      </c>
      <c r="B1442" s="46" t="s">
        <v>1771</v>
      </c>
      <c r="C1442" s="315"/>
      <c r="D1442" s="316"/>
      <c r="E1442" s="315"/>
      <c r="F1442" s="315"/>
      <c r="G1442" s="315"/>
      <c r="H1442" s="153"/>
      <c r="I1442" s="12"/>
      <c r="J1442" s="46" t="s">
        <v>854</v>
      </c>
      <c r="K1442" s="12"/>
      <c r="L1442" s="288">
        <v>5.8</v>
      </c>
      <c r="M1442" s="289">
        <v>15</v>
      </c>
      <c r="N1442" s="290">
        <v>1</v>
      </c>
      <c r="O1442" s="46"/>
      <c r="P1442" s="46" t="s">
        <v>92</v>
      </c>
      <c r="Q1442" s="12"/>
      <c r="R1442" s="192" t="str">
        <f t="shared" si="36"/>
        <v>1pieces</v>
      </c>
      <c r="S1442" s="198">
        <f t="shared" si="37"/>
        <v>15</v>
      </c>
      <c r="T1442" s="199" t="str">
        <f t="shared" si="38"/>
        <v>15pieces</v>
      </c>
      <c r="U1442" s="200">
        <f t="shared" si="39"/>
        <v>87</v>
      </c>
      <c r="V1442" s="12"/>
      <c r="W1442" s="12"/>
    </row>
    <row r="1443" spans="1:23" x14ac:dyDescent="0.3">
      <c r="A1443" s="193" t="e">
        <f ca="1"/>
        <v>#NAME?</v>
      </c>
      <c r="B1443" s="46" t="s">
        <v>1772</v>
      </c>
      <c r="C1443" s="315"/>
      <c r="D1443" s="316"/>
      <c r="E1443" s="315"/>
      <c r="F1443" s="315"/>
      <c r="G1443" s="315"/>
      <c r="H1443" s="153"/>
      <c r="I1443" s="12"/>
      <c r="J1443" s="46" t="s">
        <v>1219</v>
      </c>
      <c r="K1443" s="12"/>
      <c r="L1443" s="288">
        <v>72</v>
      </c>
      <c r="M1443" s="289">
        <v>2</v>
      </c>
      <c r="N1443" s="290">
        <v>500</v>
      </c>
      <c r="O1443" s="46"/>
      <c r="P1443" s="46" t="s">
        <v>39</v>
      </c>
      <c r="Q1443" s="12"/>
      <c r="R1443" s="192" t="str">
        <f t="shared" si="36"/>
        <v>500grams</v>
      </c>
      <c r="S1443" s="198">
        <f t="shared" si="37"/>
        <v>1000</v>
      </c>
      <c r="T1443" s="199" t="str">
        <f t="shared" si="38"/>
        <v>1000grams</v>
      </c>
      <c r="U1443" s="200">
        <f t="shared" si="39"/>
        <v>144</v>
      </c>
      <c r="V1443" s="12"/>
      <c r="W1443" s="12"/>
    </row>
    <row r="1444" spans="1:23" x14ac:dyDescent="0.3">
      <c r="A1444" s="193" t="e">
        <f ca="1"/>
        <v>#NAME?</v>
      </c>
      <c r="B1444" s="46" t="s">
        <v>786</v>
      </c>
      <c r="C1444" s="315"/>
      <c r="D1444" s="316"/>
      <c r="E1444" s="315"/>
      <c r="F1444" s="315"/>
      <c r="G1444" s="315"/>
      <c r="H1444" s="153"/>
      <c r="I1444" s="12"/>
      <c r="J1444" s="46" t="s">
        <v>1773</v>
      </c>
      <c r="K1444" s="12"/>
      <c r="L1444" s="288">
        <v>33</v>
      </c>
      <c r="M1444" s="289">
        <v>14</v>
      </c>
      <c r="N1444" s="290">
        <v>1</v>
      </c>
      <c r="O1444" s="46"/>
      <c r="P1444" s="46" t="s">
        <v>92</v>
      </c>
      <c r="Q1444" s="12"/>
      <c r="R1444" s="192" t="str">
        <f t="shared" si="36"/>
        <v>1pieces</v>
      </c>
      <c r="S1444" s="198">
        <f t="shared" si="37"/>
        <v>14</v>
      </c>
      <c r="T1444" s="199" t="str">
        <f t="shared" si="38"/>
        <v>14pieces</v>
      </c>
      <c r="U1444" s="200">
        <f t="shared" si="39"/>
        <v>462</v>
      </c>
      <c r="V1444" s="12"/>
      <c r="W1444" s="12"/>
    </row>
    <row r="1445" spans="1:23" x14ac:dyDescent="0.3">
      <c r="A1445" s="193" t="e">
        <f ca="1"/>
        <v>#NAME?</v>
      </c>
      <c r="B1445" s="46" t="s">
        <v>786</v>
      </c>
      <c r="C1445" s="315"/>
      <c r="D1445" s="316"/>
      <c r="E1445" s="315"/>
      <c r="F1445" s="315"/>
      <c r="G1445" s="315"/>
      <c r="H1445" s="153"/>
      <c r="I1445" s="12"/>
      <c r="J1445" s="219" t="s">
        <v>1773</v>
      </c>
      <c r="K1445" s="12"/>
      <c r="L1445" s="291">
        <v>20</v>
      </c>
      <c r="M1445" s="292">
        <v>2</v>
      </c>
      <c r="N1445" s="293">
        <v>1</v>
      </c>
      <c r="O1445" s="219"/>
      <c r="P1445" s="219" t="s">
        <v>92</v>
      </c>
      <c r="Q1445" s="12"/>
      <c r="R1445" s="192" t="str">
        <f t="shared" si="36"/>
        <v>1pieces</v>
      </c>
      <c r="S1445" s="198">
        <f t="shared" si="37"/>
        <v>2</v>
      </c>
      <c r="T1445" s="199" t="str">
        <f t="shared" si="38"/>
        <v>2pieces</v>
      </c>
      <c r="U1445" s="200">
        <f t="shared" si="39"/>
        <v>40</v>
      </c>
      <c r="V1445" s="12"/>
      <c r="W1445" s="12"/>
    </row>
    <row r="1446" spans="1:23" x14ac:dyDescent="0.3">
      <c r="A1446" s="193" t="e">
        <f ca="1"/>
        <v>#NAME?</v>
      </c>
      <c r="B1446" s="46" t="s">
        <v>786</v>
      </c>
      <c r="C1446" s="315"/>
      <c r="D1446" s="316"/>
      <c r="E1446" s="315"/>
      <c r="F1446" s="315"/>
      <c r="G1446" s="315"/>
      <c r="H1446" s="153"/>
      <c r="I1446" s="12"/>
      <c r="J1446" s="46" t="s">
        <v>1774</v>
      </c>
      <c r="K1446" s="12"/>
      <c r="L1446" s="288">
        <v>65</v>
      </c>
      <c r="M1446" s="289">
        <v>2</v>
      </c>
      <c r="N1446" s="290">
        <v>1</v>
      </c>
      <c r="O1446" s="46"/>
      <c r="P1446" s="46" t="s">
        <v>92</v>
      </c>
      <c r="Q1446" s="12"/>
      <c r="R1446" s="192" t="str">
        <f t="shared" si="36"/>
        <v>1pieces</v>
      </c>
      <c r="S1446" s="198">
        <f t="shared" si="37"/>
        <v>2</v>
      </c>
      <c r="T1446" s="199" t="str">
        <f t="shared" si="38"/>
        <v>2pieces</v>
      </c>
      <c r="U1446" s="200">
        <f t="shared" si="39"/>
        <v>130</v>
      </c>
      <c r="V1446" s="12"/>
      <c r="W1446" s="12"/>
    </row>
    <row r="1447" spans="1:23" x14ac:dyDescent="0.3">
      <c r="A1447" s="193" t="e">
        <f ca="1"/>
        <v>#NAME?</v>
      </c>
      <c r="B1447" s="46" t="s">
        <v>786</v>
      </c>
      <c r="C1447" s="315"/>
      <c r="D1447" s="316"/>
      <c r="E1447" s="315"/>
      <c r="F1447" s="315"/>
      <c r="G1447" s="315"/>
      <c r="H1447" s="153"/>
      <c r="I1447" s="12"/>
      <c r="J1447" s="170"/>
      <c r="K1447" s="12"/>
      <c r="L1447" s="288">
        <v>19</v>
      </c>
      <c r="M1447" s="289">
        <v>6</v>
      </c>
      <c r="N1447" s="290">
        <v>1</v>
      </c>
      <c r="O1447" s="46"/>
      <c r="P1447" s="46" t="s">
        <v>92</v>
      </c>
      <c r="Q1447" s="12"/>
      <c r="R1447" s="192" t="str">
        <f t="shared" si="36"/>
        <v>1pieces</v>
      </c>
      <c r="S1447" s="198">
        <f t="shared" si="37"/>
        <v>6</v>
      </c>
      <c r="T1447" s="199" t="str">
        <f t="shared" si="38"/>
        <v>6pieces</v>
      </c>
      <c r="U1447" s="200">
        <f t="shared" si="39"/>
        <v>114</v>
      </c>
      <c r="V1447" s="12"/>
      <c r="W1447" s="12"/>
    </row>
    <row r="1448" spans="1:23" x14ac:dyDescent="0.3">
      <c r="A1448" s="193" t="e">
        <f ca="1"/>
        <v>#NAME?</v>
      </c>
      <c r="B1448" s="46" t="s">
        <v>786</v>
      </c>
      <c r="C1448" s="315"/>
      <c r="D1448" s="316"/>
      <c r="E1448" s="315"/>
      <c r="F1448" s="315"/>
      <c r="G1448" s="315"/>
      <c r="H1448" s="153"/>
      <c r="I1448" s="12"/>
      <c r="J1448" s="46" t="s">
        <v>1272</v>
      </c>
      <c r="K1448" s="12"/>
      <c r="L1448" s="288">
        <v>49</v>
      </c>
      <c r="M1448" s="289">
        <v>3</v>
      </c>
      <c r="N1448" s="290">
        <v>1</v>
      </c>
      <c r="O1448" s="46"/>
      <c r="P1448" s="46" t="s">
        <v>92</v>
      </c>
      <c r="Q1448" s="12"/>
      <c r="R1448" s="192" t="str">
        <f t="shared" si="36"/>
        <v>1pieces</v>
      </c>
      <c r="S1448" s="198">
        <f t="shared" si="37"/>
        <v>3</v>
      </c>
      <c r="T1448" s="199" t="str">
        <f t="shared" si="38"/>
        <v>3pieces</v>
      </c>
      <c r="U1448" s="200">
        <f t="shared" si="39"/>
        <v>147</v>
      </c>
      <c r="V1448" s="12"/>
      <c r="W1448" s="12"/>
    </row>
    <row r="1449" spans="1:23" x14ac:dyDescent="0.3">
      <c r="A1449" s="193" t="e">
        <f ca="1"/>
        <v>#NAME?</v>
      </c>
      <c r="B1449" s="46" t="s">
        <v>786</v>
      </c>
      <c r="C1449" s="315"/>
      <c r="D1449" s="316"/>
      <c r="E1449" s="315"/>
      <c r="F1449" s="315"/>
      <c r="G1449" s="315"/>
      <c r="H1449" s="153"/>
      <c r="I1449" s="12"/>
      <c r="J1449" s="46" t="s">
        <v>1773</v>
      </c>
      <c r="K1449" s="12"/>
      <c r="L1449" s="288">
        <v>27.75</v>
      </c>
      <c r="M1449" s="289">
        <v>1</v>
      </c>
      <c r="N1449" s="290">
        <v>1</v>
      </c>
      <c r="O1449" s="46"/>
      <c r="P1449" s="46" t="s">
        <v>92</v>
      </c>
      <c r="Q1449" s="12"/>
      <c r="R1449" s="192" t="str">
        <f t="shared" si="36"/>
        <v>1pieces</v>
      </c>
      <c r="S1449" s="198">
        <f t="shared" si="37"/>
        <v>1</v>
      </c>
      <c r="T1449" s="199" t="str">
        <f t="shared" si="38"/>
        <v>1pieces</v>
      </c>
      <c r="U1449" s="200">
        <f t="shared" si="39"/>
        <v>27.75</v>
      </c>
      <c r="V1449" s="12"/>
      <c r="W1449" s="12"/>
    </row>
    <row r="1450" spans="1:23" x14ac:dyDescent="0.3">
      <c r="A1450" s="193" t="e">
        <f ca="1"/>
        <v>#NAME?</v>
      </c>
      <c r="B1450" s="46" t="s">
        <v>786</v>
      </c>
      <c r="C1450" s="315"/>
      <c r="D1450" s="316"/>
      <c r="E1450" s="315"/>
      <c r="F1450" s="315"/>
      <c r="G1450" s="315"/>
      <c r="H1450" s="153"/>
      <c r="I1450" s="12"/>
      <c r="J1450" s="46" t="s">
        <v>1272</v>
      </c>
      <c r="K1450" s="12"/>
      <c r="L1450" s="288">
        <v>25</v>
      </c>
      <c r="M1450" s="289">
        <v>10</v>
      </c>
      <c r="N1450" s="290">
        <v>1</v>
      </c>
      <c r="O1450" s="46"/>
      <c r="P1450" s="46" t="s">
        <v>92</v>
      </c>
      <c r="Q1450" s="12"/>
      <c r="R1450" s="192" t="str">
        <f t="shared" si="36"/>
        <v>1pieces</v>
      </c>
      <c r="S1450" s="198">
        <f t="shared" si="37"/>
        <v>10</v>
      </c>
      <c r="T1450" s="199" t="str">
        <f t="shared" si="38"/>
        <v>10pieces</v>
      </c>
      <c r="U1450" s="200">
        <f t="shared" si="39"/>
        <v>250</v>
      </c>
      <c r="V1450" s="12"/>
      <c r="W1450" s="12"/>
    </row>
    <row r="1451" spans="1:23" x14ac:dyDescent="0.3">
      <c r="A1451" s="193" t="e">
        <f ca="1"/>
        <v>#NAME?</v>
      </c>
      <c r="B1451" s="46" t="s">
        <v>786</v>
      </c>
      <c r="C1451" s="315"/>
      <c r="D1451" s="316"/>
      <c r="E1451" s="315"/>
      <c r="F1451" s="315"/>
      <c r="G1451" s="315"/>
      <c r="H1451" s="153"/>
      <c r="I1451" s="12"/>
      <c r="J1451" s="46" t="s">
        <v>1272</v>
      </c>
      <c r="K1451" s="12"/>
      <c r="L1451" s="288">
        <v>33.76</v>
      </c>
      <c r="M1451" s="289">
        <v>17</v>
      </c>
      <c r="N1451" s="290">
        <v>1</v>
      </c>
      <c r="O1451" s="46"/>
      <c r="P1451" s="46" t="s">
        <v>92</v>
      </c>
      <c r="Q1451" s="12"/>
      <c r="R1451" s="192" t="str">
        <f t="shared" si="36"/>
        <v>1pieces</v>
      </c>
      <c r="S1451" s="198">
        <f t="shared" si="37"/>
        <v>17</v>
      </c>
      <c r="T1451" s="199" t="str">
        <f t="shared" si="38"/>
        <v>17pieces</v>
      </c>
      <c r="U1451" s="200">
        <f t="shared" si="39"/>
        <v>573.91999999999996</v>
      </c>
      <c r="V1451" s="12"/>
      <c r="W1451" s="12"/>
    </row>
    <row r="1452" spans="1:23" x14ac:dyDescent="0.3">
      <c r="A1452" s="193" t="e">
        <f ca="1"/>
        <v>#NAME?</v>
      </c>
      <c r="B1452" s="170" t="s">
        <v>788</v>
      </c>
      <c r="C1452" s="315"/>
      <c r="D1452" s="316"/>
      <c r="E1452" s="315"/>
      <c r="F1452" s="315"/>
      <c r="G1452" s="315"/>
      <c r="H1452" s="153"/>
      <c r="I1452" s="12"/>
      <c r="J1452" s="46" t="s">
        <v>1775</v>
      </c>
      <c r="K1452" s="12"/>
      <c r="L1452" s="288">
        <v>12.4</v>
      </c>
      <c r="M1452" s="289">
        <v>2</v>
      </c>
      <c r="N1452" s="290">
        <v>27</v>
      </c>
      <c r="O1452" s="46"/>
      <c r="P1452" s="46" t="s">
        <v>32</v>
      </c>
      <c r="Q1452" s="12"/>
      <c r="R1452" s="192" t="str">
        <f t="shared" si="36"/>
        <v>27ml</v>
      </c>
      <c r="S1452" s="198">
        <f t="shared" si="37"/>
        <v>54</v>
      </c>
      <c r="T1452" s="199" t="str">
        <f t="shared" si="38"/>
        <v>54ml</v>
      </c>
      <c r="U1452" s="200">
        <f t="shared" si="39"/>
        <v>24.8</v>
      </c>
      <c r="V1452" s="12"/>
      <c r="W1452" s="12"/>
    </row>
    <row r="1453" spans="1:23" x14ac:dyDescent="0.3">
      <c r="A1453" s="193" t="e">
        <f ca="1"/>
        <v>#NAME?</v>
      </c>
      <c r="B1453" s="170" t="s">
        <v>788</v>
      </c>
      <c r="C1453" s="315"/>
      <c r="D1453" s="316"/>
      <c r="E1453" s="315"/>
      <c r="F1453" s="315"/>
      <c r="G1453" s="315"/>
      <c r="H1453" s="153"/>
      <c r="I1453" s="12"/>
      <c r="J1453" s="46" t="s">
        <v>1776</v>
      </c>
      <c r="K1453" s="12"/>
      <c r="L1453" s="288">
        <v>12.4</v>
      </c>
      <c r="M1453" s="289">
        <v>6</v>
      </c>
      <c r="N1453" s="290">
        <v>27</v>
      </c>
      <c r="O1453" s="46"/>
      <c r="P1453" s="46" t="s">
        <v>32</v>
      </c>
      <c r="Q1453" s="12"/>
      <c r="R1453" s="192" t="str">
        <f t="shared" si="36"/>
        <v>27ml</v>
      </c>
      <c r="S1453" s="198">
        <f t="shared" si="37"/>
        <v>162</v>
      </c>
      <c r="T1453" s="199" t="str">
        <f t="shared" si="38"/>
        <v>162ml</v>
      </c>
      <c r="U1453" s="200">
        <f t="shared" si="39"/>
        <v>74.400000000000006</v>
      </c>
      <c r="V1453" s="12"/>
      <c r="W1453" s="12"/>
    </row>
    <row r="1454" spans="1:23" x14ac:dyDescent="0.3">
      <c r="A1454" s="193" t="e">
        <f ca="1"/>
        <v>#NAME?</v>
      </c>
      <c r="B1454" s="170" t="s">
        <v>788</v>
      </c>
      <c r="C1454" s="315"/>
      <c r="D1454" s="316"/>
      <c r="E1454" s="315"/>
      <c r="F1454" s="315"/>
      <c r="G1454" s="315"/>
      <c r="H1454" s="153"/>
      <c r="I1454" s="12"/>
      <c r="J1454" s="46" t="s">
        <v>1777</v>
      </c>
      <c r="K1454" s="12"/>
      <c r="L1454" s="288">
        <v>12.4</v>
      </c>
      <c r="M1454" s="289">
        <v>1</v>
      </c>
      <c r="N1454" s="290">
        <v>27</v>
      </c>
      <c r="O1454" s="60"/>
      <c r="P1454" s="60" t="s">
        <v>32</v>
      </c>
      <c r="Q1454" s="12"/>
      <c r="R1454" s="192" t="str">
        <f t="shared" si="36"/>
        <v>27ml</v>
      </c>
      <c r="S1454" s="198">
        <f t="shared" si="37"/>
        <v>27</v>
      </c>
      <c r="T1454" s="199" t="str">
        <f t="shared" si="38"/>
        <v>27ml</v>
      </c>
      <c r="U1454" s="200">
        <f t="shared" si="39"/>
        <v>12.4</v>
      </c>
      <c r="V1454" s="12"/>
      <c r="W1454" s="12"/>
    </row>
    <row r="1455" spans="1:23" x14ac:dyDescent="0.3">
      <c r="A1455" s="193" t="e">
        <f ca="1"/>
        <v>#NAME?</v>
      </c>
      <c r="B1455" s="46" t="s">
        <v>788</v>
      </c>
      <c r="C1455" s="315"/>
      <c r="D1455" s="316"/>
      <c r="E1455" s="315"/>
      <c r="F1455" s="315"/>
      <c r="G1455" s="315"/>
      <c r="H1455" s="153"/>
      <c r="I1455" s="12"/>
      <c r="J1455" s="46" t="s">
        <v>1778</v>
      </c>
      <c r="K1455" s="12"/>
      <c r="L1455" s="288">
        <v>12.2</v>
      </c>
      <c r="M1455" s="289">
        <v>7</v>
      </c>
      <c r="N1455" s="290">
        <v>24</v>
      </c>
      <c r="O1455" s="46"/>
      <c r="P1455" s="46" t="s">
        <v>39</v>
      </c>
      <c r="Q1455" s="12"/>
      <c r="R1455" s="192" t="str">
        <f t="shared" si="36"/>
        <v>24grams</v>
      </c>
      <c r="S1455" s="198">
        <f t="shared" si="37"/>
        <v>168</v>
      </c>
      <c r="T1455" s="199" t="str">
        <f t="shared" si="38"/>
        <v>168grams</v>
      </c>
      <c r="U1455" s="200">
        <f t="shared" si="39"/>
        <v>85.399999999999991</v>
      </c>
      <c r="V1455" s="12"/>
      <c r="W1455" s="12"/>
    </row>
    <row r="1456" spans="1:23" x14ac:dyDescent="0.3">
      <c r="A1456" s="193" t="e">
        <f ca="1"/>
        <v>#NAME?</v>
      </c>
      <c r="B1456" s="46" t="s">
        <v>788</v>
      </c>
      <c r="C1456" s="315"/>
      <c r="D1456" s="316"/>
      <c r="E1456" s="315"/>
      <c r="F1456" s="315"/>
      <c r="G1456" s="315"/>
      <c r="H1456" s="153"/>
      <c r="I1456" s="12"/>
      <c r="J1456" s="46" t="s">
        <v>1779</v>
      </c>
      <c r="K1456" s="12"/>
      <c r="L1456" s="288">
        <v>12.2</v>
      </c>
      <c r="M1456" s="289">
        <v>5</v>
      </c>
      <c r="N1456" s="290">
        <v>24</v>
      </c>
      <c r="O1456" s="46"/>
      <c r="P1456" s="46" t="s">
        <v>39</v>
      </c>
      <c r="Q1456" s="12"/>
      <c r="R1456" s="192" t="str">
        <f t="shared" si="36"/>
        <v>24grams</v>
      </c>
      <c r="S1456" s="198">
        <f t="shared" si="37"/>
        <v>120</v>
      </c>
      <c r="T1456" s="199" t="str">
        <f t="shared" si="38"/>
        <v>120grams</v>
      </c>
      <c r="U1456" s="200">
        <f t="shared" si="39"/>
        <v>61</v>
      </c>
      <c r="V1456" s="12"/>
      <c r="W1456" s="12"/>
    </row>
    <row r="1457" spans="1:23" x14ac:dyDescent="0.3">
      <c r="A1457" s="193" t="e">
        <f ca="1"/>
        <v>#NAME?</v>
      </c>
      <c r="B1457" s="219" t="s">
        <v>1780</v>
      </c>
      <c r="C1457" s="315"/>
      <c r="D1457" s="316"/>
      <c r="E1457" s="315"/>
      <c r="F1457" s="315"/>
      <c r="G1457" s="315"/>
      <c r="H1457" s="153"/>
      <c r="I1457" s="12"/>
      <c r="J1457" s="219" t="s">
        <v>1781</v>
      </c>
      <c r="K1457" s="12"/>
      <c r="L1457" s="291">
        <v>100</v>
      </c>
      <c r="M1457" s="292">
        <v>1</v>
      </c>
      <c r="N1457" s="293">
        <v>1</v>
      </c>
      <c r="O1457" s="219"/>
      <c r="P1457" s="219" t="s">
        <v>304</v>
      </c>
      <c r="Q1457" s="12"/>
      <c r="R1457" s="192" t="str">
        <f t="shared" si="36"/>
        <v>1packs</v>
      </c>
      <c r="S1457" s="198">
        <f t="shared" si="37"/>
        <v>1</v>
      </c>
      <c r="T1457" s="199" t="str">
        <f t="shared" si="38"/>
        <v>1packs</v>
      </c>
      <c r="U1457" s="200">
        <f t="shared" si="39"/>
        <v>100</v>
      </c>
      <c r="V1457" s="12"/>
      <c r="W1457" s="12"/>
    </row>
    <row r="1458" spans="1:23" x14ac:dyDescent="0.3">
      <c r="A1458" s="193" t="e">
        <f ca="1"/>
        <v>#NAME?</v>
      </c>
      <c r="B1458" s="46" t="s">
        <v>1782</v>
      </c>
      <c r="C1458" s="315"/>
      <c r="D1458" s="316"/>
      <c r="E1458" s="315"/>
      <c r="F1458" s="315"/>
      <c r="G1458" s="315"/>
      <c r="H1458" s="153"/>
      <c r="I1458" s="12"/>
      <c r="J1458" s="46" t="s">
        <v>1221</v>
      </c>
      <c r="K1458" s="12"/>
      <c r="L1458" s="288">
        <v>100</v>
      </c>
      <c r="M1458" s="289">
        <v>2</v>
      </c>
      <c r="N1458" s="290">
        <v>250</v>
      </c>
      <c r="O1458" s="46"/>
      <c r="P1458" s="46" t="s">
        <v>39</v>
      </c>
      <c r="Q1458" s="12"/>
      <c r="R1458" s="192" t="str">
        <f t="shared" si="36"/>
        <v>250grams</v>
      </c>
      <c r="S1458" s="198">
        <f t="shared" si="37"/>
        <v>500</v>
      </c>
      <c r="T1458" s="199" t="str">
        <f t="shared" si="38"/>
        <v>500grams</v>
      </c>
      <c r="U1458" s="200">
        <f t="shared" si="39"/>
        <v>200</v>
      </c>
      <c r="V1458" s="12"/>
      <c r="W1458" s="12"/>
    </row>
    <row r="1459" spans="1:23" x14ac:dyDescent="0.3">
      <c r="A1459" s="193" t="e">
        <f ca="1"/>
        <v>#NAME?</v>
      </c>
      <c r="B1459" s="46" t="s">
        <v>1782</v>
      </c>
      <c r="C1459" s="315"/>
      <c r="D1459" s="316"/>
      <c r="E1459" s="315"/>
      <c r="F1459" s="315"/>
      <c r="G1459" s="315"/>
      <c r="H1459" s="153"/>
      <c r="I1459" s="12"/>
      <c r="J1459" s="46" t="s">
        <v>1221</v>
      </c>
      <c r="K1459" s="12"/>
      <c r="L1459" s="288">
        <v>55</v>
      </c>
      <c r="M1459" s="289">
        <v>5</v>
      </c>
      <c r="N1459" s="290">
        <v>500</v>
      </c>
      <c r="O1459" s="46"/>
      <c r="P1459" s="46" t="s">
        <v>39</v>
      </c>
      <c r="Q1459" s="12"/>
      <c r="R1459" s="192" t="str">
        <f t="shared" si="36"/>
        <v>500grams</v>
      </c>
      <c r="S1459" s="198">
        <f t="shared" si="37"/>
        <v>2500</v>
      </c>
      <c r="T1459" s="199" t="str">
        <f t="shared" si="38"/>
        <v>2500grams</v>
      </c>
      <c r="U1459" s="200">
        <f t="shared" si="39"/>
        <v>275</v>
      </c>
      <c r="V1459" s="12"/>
      <c r="W1459" s="12"/>
    </row>
    <row r="1460" spans="1:23" x14ac:dyDescent="0.3">
      <c r="A1460" s="193" t="e">
        <f ca="1"/>
        <v>#NAME?</v>
      </c>
      <c r="B1460" s="46" t="s">
        <v>1782</v>
      </c>
      <c r="C1460" s="315"/>
      <c r="D1460" s="316"/>
      <c r="E1460" s="315"/>
      <c r="F1460" s="315"/>
      <c r="G1460" s="315"/>
      <c r="H1460" s="153"/>
      <c r="I1460" s="12"/>
      <c r="J1460" s="46" t="s">
        <v>1221</v>
      </c>
      <c r="K1460" s="12"/>
      <c r="L1460" s="288">
        <v>120</v>
      </c>
      <c r="M1460" s="289">
        <v>5</v>
      </c>
      <c r="N1460" s="290">
        <v>1</v>
      </c>
      <c r="O1460" s="46"/>
      <c r="P1460" s="46" t="s">
        <v>213</v>
      </c>
      <c r="Q1460" s="12"/>
      <c r="R1460" s="192" t="str">
        <f t="shared" si="36"/>
        <v>1kilos</v>
      </c>
      <c r="S1460" s="198">
        <f t="shared" si="37"/>
        <v>5</v>
      </c>
      <c r="T1460" s="199" t="str">
        <f t="shared" si="38"/>
        <v>5kilos</v>
      </c>
      <c r="U1460" s="200">
        <f t="shared" si="39"/>
        <v>600</v>
      </c>
      <c r="V1460" s="12"/>
      <c r="W1460" s="12"/>
    </row>
    <row r="1461" spans="1:23" x14ac:dyDescent="0.3">
      <c r="A1461" s="193" t="e">
        <f ca="1"/>
        <v>#NAME?</v>
      </c>
      <c r="B1461" s="46" t="s">
        <v>1782</v>
      </c>
      <c r="C1461" s="315"/>
      <c r="D1461" s="316"/>
      <c r="E1461" s="315"/>
      <c r="F1461" s="315"/>
      <c r="G1461" s="315"/>
      <c r="H1461" s="153"/>
      <c r="I1461" s="12"/>
      <c r="J1461" s="46" t="s">
        <v>1783</v>
      </c>
      <c r="K1461" s="12"/>
      <c r="L1461" s="288">
        <v>120</v>
      </c>
      <c r="M1461" s="289">
        <v>2</v>
      </c>
      <c r="N1461" s="290">
        <v>1</v>
      </c>
      <c r="O1461" s="46"/>
      <c r="P1461" s="46" t="s">
        <v>213</v>
      </c>
      <c r="Q1461" s="12"/>
      <c r="R1461" s="192" t="str">
        <f t="shared" si="36"/>
        <v>1kilos</v>
      </c>
      <c r="S1461" s="198">
        <f t="shared" si="37"/>
        <v>2</v>
      </c>
      <c r="T1461" s="199" t="str">
        <f t="shared" si="38"/>
        <v>2kilos</v>
      </c>
      <c r="U1461" s="200">
        <f t="shared" si="39"/>
        <v>240</v>
      </c>
      <c r="V1461" s="12"/>
      <c r="W1461" s="12"/>
    </row>
    <row r="1462" spans="1:23" x14ac:dyDescent="0.3">
      <c r="A1462" s="193" t="e">
        <f ca="1"/>
        <v>#NAME?</v>
      </c>
      <c r="B1462" s="46" t="s">
        <v>1782</v>
      </c>
      <c r="C1462" s="315"/>
      <c r="D1462" s="316"/>
      <c r="E1462" s="315"/>
      <c r="F1462" s="315"/>
      <c r="G1462" s="315"/>
      <c r="H1462" s="153"/>
      <c r="I1462" s="12"/>
      <c r="J1462" s="46" t="s">
        <v>1098</v>
      </c>
      <c r="K1462" s="12"/>
      <c r="L1462" s="288">
        <v>65</v>
      </c>
      <c r="M1462" s="289">
        <v>3</v>
      </c>
      <c r="N1462" s="290">
        <v>750</v>
      </c>
      <c r="O1462" s="46"/>
      <c r="P1462" s="46" t="s">
        <v>39</v>
      </c>
      <c r="Q1462" s="12"/>
      <c r="R1462" s="192" t="str">
        <f t="shared" si="36"/>
        <v>750grams</v>
      </c>
      <c r="S1462" s="198">
        <f t="shared" si="37"/>
        <v>2250</v>
      </c>
      <c r="T1462" s="199" t="str">
        <f t="shared" si="38"/>
        <v>2250grams</v>
      </c>
      <c r="U1462" s="200">
        <f t="shared" si="39"/>
        <v>195</v>
      </c>
      <c r="V1462" s="12"/>
      <c r="W1462" s="12"/>
    </row>
    <row r="1463" spans="1:23" x14ac:dyDescent="0.3">
      <c r="A1463" s="193" t="e">
        <f ca="1"/>
        <v>#NAME?</v>
      </c>
      <c r="B1463" s="46" t="s">
        <v>789</v>
      </c>
      <c r="C1463" s="315"/>
      <c r="D1463" s="316"/>
      <c r="E1463" s="315"/>
      <c r="F1463" s="315"/>
      <c r="G1463" s="315"/>
      <c r="H1463" s="153"/>
      <c r="I1463" s="12"/>
      <c r="J1463" s="219" t="s">
        <v>854</v>
      </c>
      <c r="K1463" s="12"/>
      <c r="L1463" s="288">
        <v>31</v>
      </c>
      <c r="M1463" s="289">
        <v>4</v>
      </c>
      <c r="N1463" s="290">
        <v>20</v>
      </c>
      <c r="O1463" s="46"/>
      <c r="P1463" s="46" t="s">
        <v>39</v>
      </c>
      <c r="Q1463" s="12"/>
      <c r="R1463" s="192" t="str">
        <f t="shared" si="36"/>
        <v>20grams</v>
      </c>
      <c r="S1463" s="198">
        <f t="shared" si="37"/>
        <v>80</v>
      </c>
      <c r="T1463" s="199" t="str">
        <f t="shared" si="38"/>
        <v>80grams</v>
      </c>
      <c r="U1463" s="200">
        <f t="shared" si="39"/>
        <v>124</v>
      </c>
      <c r="V1463" s="12"/>
      <c r="W1463" s="12"/>
    </row>
    <row r="1464" spans="1:23" x14ac:dyDescent="0.3">
      <c r="A1464" s="193" t="e">
        <f ca="1"/>
        <v>#NAME?</v>
      </c>
      <c r="B1464" s="46" t="s">
        <v>789</v>
      </c>
      <c r="C1464" s="315"/>
      <c r="D1464" s="316"/>
      <c r="E1464" s="315"/>
      <c r="F1464" s="315"/>
      <c r="G1464" s="315"/>
      <c r="H1464" s="153"/>
      <c r="I1464" s="12"/>
      <c r="J1464" s="46" t="s">
        <v>962</v>
      </c>
      <c r="K1464" s="12"/>
      <c r="L1464" s="288">
        <v>730</v>
      </c>
      <c r="M1464" s="289">
        <v>2</v>
      </c>
      <c r="N1464" s="290">
        <v>1</v>
      </c>
      <c r="O1464" s="46"/>
      <c r="P1464" s="46" t="s">
        <v>213</v>
      </c>
      <c r="Q1464" s="12"/>
      <c r="R1464" s="192" t="str">
        <f t="shared" si="36"/>
        <v>1kilos</v>
      </c>
      <c r="S1464" s="198">
        <f t="shared" si="37"/>
        <v>2</v>
      </c>
      <c r="T1464" s="199" t="str">
        <f t="shared" si="38"/>
        <v>2kilos</v>
      </c>
      <c r="U1464" s="200">
        <f t="shared" si="39"/>
        <v>1460</v>
      </c>
      <c r="V1464" s="12"/>
      <c r="W1464" s="12"/>
    </row>
    <row r="1465" spans="1:23" x14ac:dyDescent="0.3">
      <c r="A1465" s="193" t="e">
        <f ca="1"/>
        <v>#NAME?</v>
      </c>
      <c r="B1465" s="46" t="s">
        <v>789</v>
      </c>
      <c r="C1465" s="315"/>
      <c r="D1465" s="316"/>
      <c r="E1465" s="315"/>
      <c r="F1465" s="315"/>
      <c r="G1465" s="315"/>
      <c r="H1465" s="153"/>
      <c r="I1465" s="12"/>
      <c r="J1465" s="46" t="s">
        <v>851</v>
      </c>
      <c r="K1465" s="12"/>
      <c r="L1465" s="288">
        <v>31</v>
      </c>
      <c r="M1465" s="289">
        <v>1</v>
      </c>
      <c r="N1465" s="290">
        <v>50</v>
      </c>
      <c r="O1465" s="297"/>
      <c r="P1465" s="297" t="s">
        <v>39</v>
      </c>
      <c r="Q1465" s="12"/>
      <c r="R1465" s="192" t="str">
        <f t="shared" si="36"/>
        <v>50grams</v>
      </c>
      <c r="S1465" s="198">
        <f t="shared" si="37"/>
        <v>50</v>
      </c>
      <c r="T1465" s="199" t="str">
        <f t="shared" si="38"/>
        <v>50grams</v>
      </c>
      <c r="U1465" s="200">
        <f t="shared" si="39"/>
        <v>31</v>
      </c>
      <c r="V1465" s="12"/>
      <c r="W1465" s="12"/>
    </row>
    <row r="1466" spans="1:23" x14ac:dyDescent="0.3">
      <c r="A1466" s="193" t="e">
        <f ca="1"/>
        <v>#NAME?</v>
      </c>
      <c r="B1466" s="46" t="s">
        <v>789</v>
      </c>
      <c r="C1466" s="315"/>
      <c r="D1466" s="316"/>
      <c r="E1466" s="315"/>
      <c r="F1466" s="315"/>
      <c r="G1466" s="315"/>
      <c r="H1466" s="153"/>
      <c r="I1466" s="12"/>
      <c r="J1466" s="46" t="s">
        <v>962</v>
      </c>
      <c r="K1466" s="12"/>
      <c r="L1466" s="288">
        <v>800</v>
      </c>
      <c r="M1466" s="289">
        <v>1</v>
      </c>
      <c r="N1466" s="290">
        <v>1</v>
      </c>
      <c r="O1466" s="46"/>
      <c r="P1466" s="46" t="s">
        <v>213</v>
      </c>
      <c r="Q1466" s="12"/>
      <c r="R1466" s="192" t="str">
        <f t="shared" si="36"/>
        <v>1kilos</v>
      </c>
      <c r="S1466" s="198">
        <f t="shared" si="37"/>
        <v>1</v>
      </c>
      <c r="T1466" s="199" t="str">
        <f t="shared" si="38"/>
        <v>1kilos</v>
      </c>
      <c r="U1466" s="200">
        <f t="shared" si="39"/>
        <v>800</v>
      </c>
      <c r="V1466" s="12"/>
      <c r="W1466" s="12"/>
    </row>
    <row r="1467" spans="1:23" x14ac:dyDescent="0.3">
      <c r="A1467" s="193" t="e">
        <f ca="1"/>
        <v>#NAME?</v>
      </c>
      <c r="B1467" s="46" t="s">
        <v>1784</v>
      </c>
      <c r="C1467" s="315"/>
      <c r="D1467" s="316"/>
      <c r="E1467" s="315"/>
      <c r="F1467" s="315"/>
      <c r="G1467" s="315"/>
      <c r="H1467" s="153"/>
      <c r="I1467" s="12"/>
      <c r="J1467" s="46" t="s">
        <v>1785</v>
      </c>
      <c r="K1467" s="12"/>
      <c r="L1467" s="288">
        <v>202</v>
      </c>
      <c r="M1467" s="289">
        <v>1</v>
      </c>
      <c r="N1467" s="290">
        <v>142</v>
      </c>
      <c r="O1467" s="46"/>
      <c r="P1467" s="46" t="s">
        <v>39</v>
      </c>
      <c r="Q1467" s="12"/>
      <c r="R1467" s="192" t="str">
        <f t="shared" si="36"/>
        <v>142grams</v>
      </c>
      <c r="S1467" s="198">
        <f t="shared" si="37"/>
        <v>142</v>
      </c>
      <c r="T1467" s="199" t="str">
        <f t="shared" si="38"/>
        <v>142grams</v>
      </c>
      <c r="U1467" s="200">
        <f t="shared" si="39"/>
        <v>202</v>
      </c>
      <c r="V1467" s="12"/>
      <c r="W1467" s="12"/>
    </row>
    <row r="1468" spans="1:23" x14ac:dyDescent="0.3">
      <c r="A1468" s="193" t="e">
        <f ca="1"/>
        <v>#NAME?</v>
      </c>
      <c r="B1468" s="219" t="s">
        <v>1786</v>
      </c>
      <c r="C1468" s="315"/>
      <c r="D1468" s="316"/>
      <c r="E1468" s="315"/>
      <c r="F1468" s="315"/>
      <c r="G1468" s="315"/>
      <c r="H1468" s="153"/>
      <c r="I1468" s="12"/>
      <c r="J1468" s="46" t="s">
        <v>1787</v>
      </c>
      <c r="K1468" s="12"/>
      <c r="L1468" s="288">
        <v>30</v>
      </c>
      <c r="M1468" s="289">
        <v>6</v>
      </c>
      <c r="N1468" s="290">
        <v>1</v>
      </c>
      <c r="O1468" s="46"/>
      <c r="P1468" s="46" t="s">
        <v>92</v>
      </c>
      <c r="Q1468" s="12"/>
      <c r="R1468" s="192" t="str">
        <f t="shared" si="36"/>
        <v>1pieces</v>
      </c>
      <c r="S1468" s="198">
        <f t="shared" si="37"/>
        <v>6</v>
      </c>
      <c r="T1468" s="199" t="str">
        <f t="shared" si="38"/>
        <v>6pieces</v>
      </c>
      <c r="U1468" s="200">
        <f t="shared" si="39"/>
        <v>180</v>
      </c>
      <c r="V1468" s="12"/>
      <c r="W1468" s="12"/>
    </row>
    <row r="1469" spans="1:23" x14ac:dyDescent="0.3">
      <c r="A1469" s="193" t="e">
        <f ca="1"/>
        <v>#NAME?</v>
      </c>
      <c r="B1469" s="219" t="s">
        <v>1786</v>
      </c>
      <c r="C1469" s="315"/>
      <c r="D1469" s="316"/>
      <c r="E1469" s="315"/>
      <c r="F1469" s="315"/>
      <c r="G1469" s="315"/>
      <c r="H1469" s="153"/>
      <c r="I1469" s="12"/>
      <c r="J1469" s="46" t="s">
        <v>1272</v>
      </c>
      <c r="K1469" s="12"/>
      <c r="L1469" s="291">
        <v>41</v>
      </c>
      <c r="M1469" s="292">
        <v>5</v>
      </c>
      <c r="N1469" s="293">
        <v>1</v>
      </c>
      <c r="O1469" s="46"/>
      <c r="P1469" s="46" t="s">
        <v>92</v>
      </c>
      <c r="Q1469" s="12"/>
      <c r="R1469" s="192" t="str">
        <f t="shared" si="36"/>
        <v>1pieces</v>
      </c>
      <c r="S1469" s="198">
        <f t="shared" si="37"/>
        <v>5</v>
      </c>
      <c r="T1469" s="199" t="str">
        <f t="shared" si="38"/>
        <v>5pieces</v>
      </c>
      <c r="U1469" s="200">
        <f t="shared" si="39"/>
        <v>205</v>
      </c>
      <c r="V1469" s="12"/>
      <c r="W1469" s="12"/>
    </row>
    <row r="1470" spans="1:23" x14ac:dyDescent="0.3">
      <c r="A1470" s="193" t="e">
        <f ca="1"/>
        <v>#NAME?</v>
      </c>
      <c r="B1470" s="46" t="s">
        <v>1788</v>
      </c>
      <c r="C1470" s="315"/>
      <c r="D1470" s="316"/>
      <c r="E1470" s="315"/>
      <c r="F1470" s="315"/>
      <c r="G1470" s="315"/>
      <c r="H1470" s="153"/>
      <c r="I1470" s="12"/>
      <c r="J1470" s="170"/>
      <c r="K1470" s="12"/>
      <c r="L1470" s="288">
        <v>13.25</v>
      </c>
      <c r="M1470" s="289">
        <v>5</v>
      </c>
      <c r="N1470" s="290">
        <v>1</v>
      </c>
      <c r="O1470" s="46"/>
      <c r="P1470" s="46" t="s">
        <v>304</v>
      </c>
      <c r="Q1470" s="12"/>
      <c r="R1470" s="192" t="str">
        <f t="shared" si="36"/>
        <v>1packs</v>
      </c>
      <c r="S1470" s="198">
        <f t="shared" si="37"/>
        <v>5</v>
      </c>
      <c r="T1470" s="199" t="str">
        <f t="shared" si="38"/>
        <v>5packs</v>
      </c>
      <c r="U1470" s="200">
        <f t="shared" si="39"/>
        <v>66.25</v>
      </c>
      <c r="V1470" s="12"/>
      <c r="W1470" s="12"/>
    </row>
    <row r="1471" spans="1:23" x14ac:dyDescent="0.3">
      <c r="A1471" s="193" t="e">
        <f ca="1"/>
        <v>#NAME?</v>
      </c>
      <c r="B1471" s="46" t="s">
        <v>1789</v>
      </c>
      <c r="C1471" s="315"/>
      <c r="D1471" s="316"/>
      <c r="E1471" s="315"/>
      <c r="F1471" s="315"/>
      <c r="G1471" s="315"/>
      <c r="H1471" s="153"/>
      <c r="I1471" s="12"/>
      <c r="J1471" s="46" t="s">
        <v>1486</v>
      </c>
      <c r="K1471" s="12"/>
      <c r="L1471" s="288">
        <v>150</v>
      </c>
      <c r="M1471" s="289">
        <v>1</v>
      </c>
      <c r="N1471" s="290">
        <v>320</v>
      </c>
      <c r="O1471" s="46"/>
      <c r="P1471" s="46" t="s">
        <v>39</v>
      </c>
      <c r="Q1471" s="12"/>
      <c r="R1471" s="192" t="str">
        <f t="shared" si="36"/>
        <v>320grams</v>
      </c>
      <c r="S1471" s="198">
        <f t="shared" si="37"/>
        <v>320</v>
      </c>
      <c r="T1471" s="199" t="str">
        <f t="shared" si="38"/>
        <v>320grams</v>
      </c>
      <c r="U1471" s="200">
        <f t="shared" si="39"/>
        <v>150</v>
      </c>
      <c r="V1471" s="12"/>
      <c r="W1471" s="12"/>
    </row>
    <row r="1472" spans="1:23" x14ac:dyDescent="0.3">
      <c r="A1472" s="193" t="e">
        <f ca="1"/>
        <v>#NAME?</v>
      </c>
      <c r="B1472" s="219" t="s">
        <v>1790</v>
      </c>
      <c r="C1472" s="315"/>
      <c r="D1472" s="316"/>
      <c r="E1472" s="315"/>
      <c r="F1472" s="315"/>
      <c r="G1472" s="315"/>
      <c r="H1472" s="153"/>
      <c r="I1472" s="12"/>
      <c r="J1472" s="219" t="s">
        <v>1791</v>
      </c>
      <c r="K1472" s="12"/>
      <c r="L1472" s="291">
        <v>25</v>
      </c>
      <c r="M1472" s="292">
        <v>3</v>
      </c>
      <c r="N1472" s="293">
        <v>1</v>
      </c>
      <c r="O1472" s="219"/>
      <c r="P1472" s="219" t="s">
        <v>92</v>
      </c>
      <c r="Q1472" s="12"/>
      <c r="R1472" s="192" t="str">
        <f t="shared" si="36"/>
        <v>1pieces</v>
      </c>
      <c r="S1472" s="198">
        <f t="shared" si="37"/>
        <v>3</v>
      </c>
      <c r="T1472" s="199" t="str">
        <f t="shared" si="38"/>
        <v>3pieces</v>
      </c>
      <c r="U1472" s="200">
        <f t="shared" si="39"/>
        <v>75</v>
      </c>
      <c r="V1472" s="12"/>
      <c r="W1472" s="12"/>
    </row>
    <row r="1473" spans="1:23" x14ac:dyDescent="0.3">
      <c r="A1473" s="193" t="e">
        <f ca="1"/>
        <v>#NAME?</v>
      </c>
      <c r="B1473" s="46" t="s">
        <v>81</v>
      </c>
      <c r="C1473" s="315"/>
      <c r="D1473" s="316"/>
      <c r="E1473" s="315"/>
      <c r="F1473" s="315"/>
      <c r="G1473" s="315"/>
      <c r="H1473" s="153"/>
      <c r="I1473" s="12"/>
      <c r="J1473" s="46" t="s">
        <v>1792</v>
      </c>
      <c r="K1473" s="12"/>
      <c r="L1473" s="288">
        <v>80.599999999999994</v>
      </c>
      <c r="M1473" s="289">
        <v>1</v>
      </c>
      <c r="N1473" s="290">
        <v>1</v>
      </c>
      <c r="O1473" s="46"/>
      <c r="P1473" s="46" t="s">
        <v>213</v>
      </c>
      <c r="Q1473" s="12"/>
      <c r="R1473" s="192" t="str">
        <f t="shared" si="36"/>
        <v>1kilos</v>
      </c>
      <c r="S1473" s="198">
        <f t="shared" si="37"/>
        <v>1</v>
      </c>
      <c r="T1473" s="199" t="str">
        <f t="shared" si="38"/>
        <v>1kilos</v>
      </c>
      <c r="U1473" s="200">
        <f t="shared" si="39"/>
        <v>80.599999999999994</v>
      </c>
      <c r="V1473" s="12"/>
      <c r="W1473" s="12"/>
    </row>
    <row r="1474" spans="1:23" x14ac:dyDescent="0.3">
      <c r="A1474" s="193" t="e">
        <f ca="1"/>
        <v>#NAME?</v>
      </c>
      <c r="B1474" s="46" t="s">
        <v>81</v>
      </c>
      <c r="C1474" s="315"/>
      <c r="D1474" s="316"/>
      <c r="E1474" s="315"/>
      <c r="F1474" s="315"/>
      <c r="G1474" s="315"/>
      <c r="H1474" s="153"/>
      <c r="I1474" s="12"/>
      <c r="J1474" s="46" t="s">
        <v>1792</v>
      </c>
      <c r="K1474" s="12"/>
      <c r="L1474" s="288">
        <v>42.8</v>
      </c>
      <c r="M1474" s="289">
        <v>53</v>
      </c>
      <c r="N1474" s="290">
        <v>500</v>
      </c>
      <c r="O1474" s="297"/>
      <c r="P1474" s="297" t="s">
        <v>39</v>
      </c>
      <c r="Q1474" s="12"/>
      <c r="R1474" s="192" t="str">
        <f t="shared" si="36"/>
        <v>500grams</v>
      </c>
      <c r="S1474" s="198">
        <f t="shared" si="37"/>
        <v>26500</v>
      </c>
      <c r="T1474" s="199" t="str">
        <f t="shared" si="38"/>
        <v>26500grams</v>
      </c>
      <c r="U1474" s="200">
        <f t="shared" si="39"/>
        <v>2268.3999999999996</v>
      </c>
      <c r="V1474" s="12"/>
      <c r="W1474" s="12"/>
    </row>
    <row r="1475" spans="1:23" x14ac:dyDescent="0.3">
      <c r="A1475" s="193" t="e">
        <f ca="1"/>
        <v>#NAME?</v>
      </c>
      <c r="B1475" s="46" t="s">
        <v>81</v>
      </c>
      <c r="C1475" s="315"/>
      <c r="D1475" s="316"/>
      <c r="E1475" s="315"/>
      <c r="F1475" s="315"/>
      <c r="G1475" s="315"/>
      <c r="H1475" s="153"/>
      <c r="I1475" s="12"/>
      <c r="J1475" s="46" t="s">
        <v>1792</v>
      </c>
      <c r="K1475" s="12"/>
      <c r="L1475" s="288">
        <v>82.8</v>
      </c>
      <c r="M1475" s="289">
        <v>21</v>
      </c>
      <c r="N1475" s="290">
        <v>1</v>
      </c>
      <c r="O1475" s="46"/>
      <c r="P1475" s="46" t="s">
        <v>213</v>
      </c>
      <c r="Q1475" s="12"/>
      <c r="R1475" s="192" t="str">
        <f t="shared" si="36"/>
        <v>1kilos</v>
      </c>
      <c r="S1475" s="198">
        <f t="shared" si="37"/>
        <v>21</v>
      </c>
      <c r="T1475" s="199" t="str">
        <f t="shared" si="38"/>
        <v>21kilos</v>
      </c>
      <c r="U1475" s="200">
        <f t="shared" si="39"/>
        <v>1738.8</v>
      </c>
      <c r="V1475" s="12"/>
      <c r="W1475" s="12"/>
    </row>
    <row r="1476" spans="1:23" x14ac:dyDescent="0.3">
      <c r="A1476" s="193" t="e">
        <f ca="1"/>
        <v>#NAME?</v>
      </c>
      <c r="B1476" s="46" t="s">
        <v>81</v>
      </c>
      <c r="C1476" s="315"/>
      <c r="D1476" s="316"/>
      <c r="E1476" s="315"/>
      <c r="F1476" s="315"/>
      <c r="G1476" s="315"/>
      <c r="H1476" s="153"/>
      <c r="I1476" s="12"/>
      <c r="J1476" s="46" t="s">
        <v>1792</v>
      </c>
      <c r="K1476" s="12"/>
      <c r="L1476" s="288">
        <v>80.599999999999994</v>
      </c>
      <c r="M1476" s="289">
        <v>12</v>
      </c>
      <c r="N1476" s="290">
        <v>1</v>
      </c>
      <c r="O1476" s="46"/>
      <c r="P1476" s="46" t="s">
        <v>213</v>
      </c>
      <c r="Q1476" s="12"/>
      <c r="R1476" s="192" t="str">
        <f t="shared" si="36"/>
        <v>1kilos</v>
      </c>
      <c r="S1476" s="198">
        <f t="shared" si="37"/>
        <v>12</v>
      </c>
      <c r="T1476" s="199" t="str">
        <f t="shared" si="38"/>
        <v>12kilos</v>
      </c>
      <c r="U1476" s="200">
        <f t="shared" si="39"/>
        <v>967.19999999999993</v>
      </c>
      <c r="V1476" s="12"/>
      <c r="W1476" s="12"/>
    </row>
    <row r="1477" spans="1:23" x14ac:dyDescent="0.3">
      <c r="A1477" s="193" t="e">
        <f ca="1"/>
        <v>#NAME?</v>
      </c>
      <c r="B1477" s="46" t="s">
        <v>81</v>
      </c>
      <c r="C1477" s="315"/>
      <c r="D1477" s="316"/>
      <c r="E1477" s="315"/>
      <c r="F1477" s="315"/>
      <c r="G1477" s="315"/>
      <c r="H1477" s="153"/>
      <c r="I1477" s="12"/>
      <c r="J1477" s="46" t="s">
        <v>1793</v>
      </c>
      <c r="K1477" s="12"/>
      <c r="L1477" s="288">
        <v>68</v>
      </c>
      <c r="M1477" s="289">
        <v>36</v>
      </c>
      <c r="N1477" s="290">
        <v>1</v>
      </c>
      <c r="O1477" s="46"/>
      <c r="P1477" s="46" t="s">
        <v>213</v>
      </c>
      <c r="Q1477" s="12"/>
      <c r="R1477" s="192" t="str">
        <f t="shared" si="36"/>
        <v>1kilos</v>
      </c>
      <c r="S1477" s="198">
        <f t="shared" si="37"/>
        <v>36</v>
      </c>
      <c r="T1477" s="199" t="str">
        <f t="shared" si="38"/>
        <v>36kilos</v>
      </c>
      <c r="U1477" s="200">
        <f t="shared" si="39"/>
        <v>2448</v>
      </c>
      <c r="V1477" s="12"/>
      <c r="W1477" s="12"/>
    </row>
    <row r="1478" spans="1:23" x14ac:dyDescent="0.3">
      <c r="A1478" s="193" t="e">
        <f ca="1"/>
        <v>#NAME?</v>
      </c>
      <c r="B1478" s="46" t="s">
        <v>81</v>
      </c>
      <c r="C1478" s="315"/>
      <c r="D1478" s="316"/>
      <c r="E1478" s="315"/>
      <c r="F1478" s="315"/>
      <c r="G1478" s="315"/>
      <c r="H1478" s="153"/>
      <c r="I1478" s="12"/>
      <c r="J1478" s="46" t="s">
        <v>1792</v>
      </c>
      <c r="K1478" s="12"/>
      <c r="L1478" s="288">
        <v>86.2</v>
      </c>
      <c r="M1478" s="289">
        <v>25</v>
      </c>
      <c r="N1478" s="290">
        <v>1</v>
      </c>
      <c r="O1478" s="46"/>
      <c r="P1478" s="46" t="s">
        <v>213</v>
      </c>
      <c r="Q1478" s="12"/>
      <c r="R1478" s="192" t="str">
        <f t="shared" si="36"/>
        <v>1kilos</v>
      </c>
      <c r="S1478" s="198">
        <f t="shared" si="37"/>
        <v>25</v>
      </c>
      <c r="T1478" s="199" t="str">
        <f t="shared" si="38"/>
        <v>25kilos</v>
      </c>
      <c r="U1478" s="200">
        <f t="shared" si="39"/>
        <v>2155</v>
      </c>
      <c r="V1478" s="12"/>
      <c r="W1478" s="12"/>
    </row>
    <row r="1479" spans="1:23" x14ac:dyDescent="0.3">
      <c r="A1479" s="193" t="e">
        <f ca="1"/>
        <v>#NAME?</v>
      </c>
      <c r="B1479" s="219" t="s">
        <v>81</v>
      </c>
      <c r="C1479" s="315"/>
      <c r="D1479" s="316"/>
      <c r="E1479" s="315"/>
      <c r="F1479" s="315"/>
      <c r="G1479" s="315"/>
      <c r="H1479" s="153"/>
      <c r="I1479" s="12"/>
      <c r="J1479" s="215"/>
      <c r="K1479" s="12"/>
      <c r="L1479" s="291">
        <v>76</v>
      </c>
      <c r="M1479" s="292">
        <v>18</v>
      </c>
      <c r="N1479" s="290">
        <v>1</v>
      </c>
      <c r="O1479" s="46"/>
      <c r="P1479" s="46" t="s">
        <v>213</v>
      </c>
      <c r="Q1479" s="12"/>
      <c r="R1479" s="192" t="str">
        <f t="shared" si="36"/>
        <v>1kilos</v>
      </c>
      <c r="S1479" s="198">
        <f t="shared" si="37"/>
        <v>18</v>
      </c>
      <c r="T1479" s="199" t="str">
        <f t="shared" si="38"/>
        <v>18kilos</v>
      </c>
      <c r="U1479" s="200">
        <f t="shared" si="39"/>
        <v>1368</v>
      </c>
      <c r="V1479" s="12"/>
      <c r="W1479" s="12"/>
    </row>
    <row r="1480" spans="1:23" x14ac:dyDescent="0.3">
      <c r="A1480" s="193" t="e">
        <f ca="1"/>
        <v>#NAME?</v>
      </c>
      <c r="B1480" s="46" t="s">
        <v>81</v>
      </c>
      <c r="C1480" s="315"/>
      <c r="D1480" s="316"/>
      <c r="E1480" s="315"/>
      <c r="F1480" s="315"/>
      <c r="G1480" s="315"/>
      <c r="H1480" s="153"/>
      <c r="I1480" s="12"/>
      <c r="J1480" s="46" t="s">
        <v>1792</v>
      </c>
      <c r="K1480" s="12"/>
      <c r="L1480" s="288">
        <v>79.7</v>
      </c>
      <c r="M1480" s="289">
        <v>9</v>
      </c>
      <c r="N1480" s="290">
        <v>1</v>
      </c>
      <c r="O1480" s="46"/>
      <c r="P1480" s="46" t="s">
        <v>213</v>
      </c>
      <c r="Q1480" s="12"/>
      <c r="R1480" s="192" t="str">
        <f t="shared" si="36"/>
        <v>1kilos</v>
      </c>
      <c r="S1480" s="198">
        <f t="shared" si="37"/>
        <v>9</v>
      </c>
      <c r="T1480" s="199" t="str">
        <f t="shared" si="38"/>
        <v>9kilos</v>
      </c>
      <c r="U1480" s="200">
        <f t="shared" si="39"/>
        <v>717.30000000000007</v>
      </c>
      <c r="V1480" s="12"/>
      <c r="W1480" s="12"/>
    </row>
    <row r="1481" spans="1:23" x14ac:dyDescent="0.3">
      <c r="A1481" s="193" t="e">
        <f ca="1"/>
        <v>#NAME?</v>
      </c>
      <c r="B1481" s="46" t="s">
        <v>81</v>
      </c>
      <c r="C1481" s="315"/>
      <c r="D1481" s="316"/>
      <c r="E1481" s="315"/>
      <c r="F1481" s="315"/>
      <c r="G1481" s="315"/>
      <c r="H1481" s="153"/>
      <c r="I1481" s="12"/>
      <c r="J1481" s="46" t="s">
        <v>1792</v>
      </c>
      <c r="K1481" s="12"/>
      <c r="L1481" s="288">
        <v>80.599999999999994</v>
      </c>
      <c r="M1481" s="289">
        <v>40</v>
      </c>
      <c r="N1481" s="290">
        <v>1</v>
      </c>
      <c r="O1481" s="46"/>
      <c r="P1481" s="46" t="s">
        <v>213</v>
      </c>
      <c r="Q1481" s="12"/>
      <c r="R1481" s="192" t="str">
        <f t="shared" si="36"/>
        <v>1kilos</v>
      </c>
      <c r="S1481" s="198">
        <f t="shared" si="37"/>
        <v>40</v>
      </c>
      <c r="T1481" s="199" t="str">
        <f t="shared" si="38"/>
        <v>40kilos</v>
      </c>
      <c r="U1481" s="200">
        <f t="shared" si="39"/>
        <v>3224</v>
      </c>
      <c r="V1481" s="12"/>
      <c r="W1481" s="12"/>
    </row>
    <row r="1482" spans="1:23" x14ac:dyDescent="0.3">
      <c r="A1482" s="193" t="e">
        <f ca="1"/>
        <v>#NAME?</v>
      </c>
      <c r="B1482" s="46" t="s">
        <v>1794</v>
      </c>
      <c r="C1482" s="315"/>
      <c r="D1482" s="316"/>
      <c r="E1482" s="315"/>
      <c r="F1482" s="315"/>
      <c r="G1482" s="315"/>
      <c r="H1482" s="153"/>
      <c r="I1482" s="12"/>
      <c r="J1482" s="46" t="s">
        <v>1795</v>
      </c>
      <c r="K1482" s="12"/>
      <c r="L1482" s="288">
        <v>22</v>
      </c>
      <c r="M1482" s="289">
        <v>5</v>
      </c>
      <c r="N1482" s="290">
        <v>1</v>
      </c>
      <c r="O1482" s="297"/>
      <c r="P1482" s="297" t="s">
        <v>39</v>
      </c>
      <c r="Q1482" s="12"/>
      <c r="R1482" s="192" t="str">
        <f t="shared" si="36"/>
        <v>1grams</v>
      </c>
      <c r="S1482" s="198">
        <f t="shared" si="37"/>
        <v>5</v>
      </c>
      <c r="T1482" s="199" t="str">
        <f t="shared" si="38"/>
        <v>5grams</v>
      </c>
      <c r="U1482" s="200">
        <f t="shared" si="39"/>
        <v>110</v>
      </c>
      <c r="V1482" s="12"/>
      <c r="W1482" s="12"/>
    </row>
    <row r="1483" spans="1:23" x14ac:dyDescent="0.3">
      <c r="A1483" s="193" t="e">
        <f ca="1"/>
        <v>#NAME?</v>
      </c>
      <c r="B1483" s="46" t="s">
        <v>1794</v>
      </c>
      <c r="C1483" s="315"/>
      <c r="D1483" s="316"/>
      <c r="E1483" s="315"/>
      <c r="F1483" s="315"/>
      <c r="G1483" s="315"/>
      <c r="H1483" s="153"/>
      <c r="I1483" s="12"/>
      <c r="J1483" s="46" t="s">
        <v>1796</v>
      </c>
      <c r="K1483" s="12"/>
      <c r="L1483" s="288">
        <v>75</v>
      </c>
      <c r="M1483" s="289">
        <v>9</v>
      </c>
      <c r="N1483" s="290">
        <v>50</v>
      </c>
      <c r="O1483" s="297"/>
      <c r="P1483" s="297" t="s">
        <v>92</v>
      </c>
      <c r="Q1483" s="12"/>
      <c r="R1483" s="192" t="str">
        <f t="shared" si="36"/>
        <v>50pieces</v>
      </c>
      <c r="S1483" s="198">
        <f t="shared" si="37"/>
        <v>450</v>
      </c>
      <c r="T1483" s="199" t="str">
        <f t="shared" si="38"/>
        <v>450pieces</v>
      </c>
      <c r="U1483" s="200">
        <f t="shared" si="39"/>
        <v>675</v>
      </c>
      <c r="V1483" s="12"/>
      <c r="W1483" s="12"/>
    </row>
    <row r="1484" spans="1:23" x14ac:dyDescent="0.3">
      <c r="A1484" s="193" t="e">
        <f ca="1"/>
        <v>#NAME?</v>
      </c>
      <c r="B1484" s="46" t="s">
        <v>1794</v>
      </c>
      <c r="C1484" s="315"/>
      <c r="D1484" s="316"/>
      <c r="E1484" s="315"/>
      <c r="F1484" s="315"/>
      <c r="G1484" s="315"/>
      <c r="H1484" s="153"/>
      <c r="I1484" s="12"/>
      <c r="J1484" s="46" t="s">
        <v>1796</v>
      </c>
      <c r="K1484" s="12"/>
      <c r="L1484" s="288">
        <v>1.5</v>
      </c>
      <c r="M1484" s="289">
        <v>10</v>
      </c>
      <c r="N1484" s="290">
        <v>50</v>
      </c>
      <c r="O1484" s="297"/>
      <c r="P1484" s="297" t="s">
        <v>92</v>
      </c>
      <c r="Q1484" s="12"/>
      <c r="R1484" s="192" t="str">
        <f t="shared" si="36"/>
        <v>50pieces</v>
      </c>
      <c r="S1484" s="198">
        <f t="shared" si="37"/>
        <v>500</v>
      </c>
      <c r="T1484" s="199" t="str">
        <f t="shared" si="38"/>
        <v>500pieces</v>
      </c>
      <c r="U1484" s="200">
        <f t="shared" si="39"/>
        <v>15</v>
      </c>
      <c r="V1484" s="12"/>
      <c r="W1484" s="12"/>
    </row>
    <row r="1485" spans="1:23" x14ac:dyDescent="0.3">
      <c r="A1485" s="193" t="e">
        <f ca="1"/>
        <v>#NAME?</v>
      </c>
      <c r="B1485" s="46" t="s">
        <v>1794</v>
      </c>
      <c r="C1485" s="315"/>
      <c r="D1485" s="316"/>
      <c r="E1485" s="315"/>
      <c r="F1485" s="315"/>
      <c r="G1485" s="315"/>
      <c r="H1485" s="153"/>
      <c r="I1485" s="12"/>
      <c r="J1485" s="46" t="s">
        <v>1797</v>
      </c>
      <c r="K1485" s="12"/>
      <c r="L1485" s="288">
        <v>1.65</v>
      </c>
      <c r="M1485" s="289">
        <v>978</v>
      </c>
      <c r="N1485" s="290">
        <v>5</v>
      </c>
      <c r="O1485" s="297"/>
      <c r="P1485" s="297" t="s">
        <v>39</v>
      </c>
      <c r="Q1485" s="12"/>
      <c r="R1485" s="192" t="str">
        <f t="shared" si="36"/>
        <v>5grams</v>
      </c>
      <c r="S1485" s="198">
        <f t="shared" si="37"/>
        <v>4890</v>
      </c>
      <c r="T1485" s="199" t="str">
        <f t="shared" si="38"/>
        <v>4890grams</v>
      </c>
      <c r="U1485" s="200">
        <f t="shared" si="39"/>
        <v>1613.6999999999998</v>
      </c>
      <c r="V1485" s="12"/>
      <c r="W1485" s="12"/>
    </row>
    <row r="1486" spans="1:23" x14ac:dyDescent="0.3">
      <c r="A1486" s="193" t="e">
        <f ca="1"/>
        <v>#NAME?</v>
      </c>
      <c r="B1486" s="46" t="s">
        <v>1794</v>
      </c>
      <c r="C1486" s="315"/>
      <c r="D1486" s="316"/>
      <c r="E1486" s="315"/>
      <c r="F1486" s="315"/>
      <c r="G1486" s="315"/>
      <c r="H1486" s="153"/>
      <c r="I1486" s="12"/>
      <c r="J1486" s="46" t="s">
        <v>1798</v>
      </c>
      <c r="K1486" s="12"/>
      <c r="L1486" s="288">
        <v>1.06</v>
      </c>
      <c r="M1486" s="289">
        <v>1500</v>
      </c>
      <c r="N1486" s="290">
        <v>5</v>
      </c>
      <c r="O1486" s="297"/>
      <c r="P1486" s="297" t="s">
        <v>39</v>
      </c>
      <c r="Q1486" s="12"/>
      <c r="R1486" s="192" t="str">
        <f t="shared" si="36"/>
        <v>5grams</v>
      </c>
      <c r="S1486" s="198">
        <f t="shared" si="37"/>
        <v>7500</v>
      </c>
      <c r="T1486" s="199" t="str">
        <f t="shared" si="38"/>
        <v>7500grams</v>
      </c>
      <c r="U1486" s="200">
        <f t="shared" si="39"/>
        <v>1590</v>
      </c>
      <c r="V1486" s="12"/>
      <c r="W1486" s="12"/>
    </row>
    <row r="1487" spans="1:23" x14ac:dyDescent="0.3">
      <c r="A1487" s="193" t="e">
        <f ca="1"/>
        <v>#NAME?</v>
      </c>
      <c r="B1487" s="219" t="s">
        <v>1794</v>
      </c>
      <c r="C1487" s="315"/>
      <c r="D1487" s="316"/>
      <c r="E1487" s="315"/>
      <c r="F1487" s="315"/>
      <c r="G1487" s="315"/>
      <c r="H1487" s="153"/>
      <c r="I1487" s="12"/>
      <c r="J1487" s="219" t="s">
        <v>1797</v>
      </c>
      <c r="K1487" s="12"/>
      <c r="L1487" s="291">
        <v>1.2</v>
      </c>
      <c r="M1487" s="292">
        <v>23</v>
      </c>
      <c r="N1487" s="293">
        <v>5</v>
      </c>
      <c r="O1487" s="304"/>
      <c r="P1487" s="304" t="s">
        <v>39</v>
      </c>
      <c r="Q1487" s="12"/>
      <c r="R1487" s="192" t="str">
        <f t="shared" si="36"/>
        <v>5grams</v>
      </c>
      <c r="S1487" s="198">
        <f t="shared" si="37"/>
        <v>115</v>
      </c>
      <c r="T1487" s="199" t="str">
        <f t="shared" si="38"/>
        <v>115grams</v>
      </c>
      <c r="U1487" s="200">
        <f t="shared" si="39"/>
        <v>27.599999999999998</v>
      </c>
      <c r="V1487" s="12"/>
      <c r="W1487" s="12"/>
    </row>
    <row r="1488" spans="1:23" x14ac:dyDescent="0.3">
      <c r="A1488" s="193" t="e">
        <f ca="1"/>
        <v>#NAME?</v>
      </c>
      <c r="B1488" s="46" t="s">
        <v>83</v>
      </c>
      <c r="C1488" s="315"/>
      <c r="D1488" s="316"/>
      <c r="E1488" s="315"/>
      <c r="F1488" s="315"/>
      <c r="G1488" s="315"/>
      <c r="H1488" s="153"/>
      <c r="I1488" s="12"/>
      <c r="J1488" s="46" t="s">
        <v>1792</v>
      </c>
      <c r="K1488" s="12"/>
      <c r="L1488" s="288">
        <v>86.2</v>
      </c>
      <c r="M1488" s="289">
        <v>5</v>
      </c>
      <c r="N1488" s="290">
        <v>1</v>
      </c>
      <c r="O1488" s="46"/>
      <c r="P1488" s="46" t="s">
        <v>213</v>
      </c>
      <c r="Q1488" s="12"/>
      <c r="R1488" s="192" t="str">
        <f t="shared" si="36"/>
        <v>1kilos</v>
      </c>
      <c r="S1488" s="198">
        <f t="shared" si="37"/>
        <v>5</v>
      </c>
      <c r="T1488" s="199" t="str">
        <f t="shared" si="38"/>
        <v>5kilos</v>
      </c>
      <c r="U1488" s="200">
        <f t="shared" si="39"/>
        <v>431</v>
      </c>
      <c r="V1488" s="12"/>
      <c r="W1488" s="12"/>
    </row>
    <row r="1489" spans="1:23" x14ac:dyDescent="0.3">
      <c r="A1489" s="193" t="e">
        <f ca="1"/>
        <v>#NAME?</v>
      </c>
      <c r="B1489" s="46" t="s">
        <v>83</v>
      </c>
      <c r="C1489" s="315"/>
      <c r="D1489" s="316"/>
      <c r="E1489" s="315"/>
      <c r="F1489" s="315"/>
      <c r="G1489" s="315"/>
      <c r="H1489" s="153"/>
      <c r="I1489" s="12"/>
      <c r="J1489" s="46" t="s">
        <v>991</v>
      </c>
      <c r="K1489" s="12"/>
      <c r="L1489" s="288">
        <v>60</v>
      </c>
      <c r="M1489" s="289">
        <v>24</v>
      </c>
      <c r="N1489" s="290">
        <v>1</v>
      </c>
      <c r="O1489" s="46"/>
      <c r="P1489" s="46" t="s">
        <v>213</v>
      </c>
      <c r="Q1489" s="12"/>
      <c r="R1489" s="192" t="str">
        <f t="shared" si="36"/>
        <v>1kilos</v>
      </c>
      <c r="S1489" s="198">
        <f t="shared" si="37"/>
        <v>24</v>
      </c>
      <c r="T1489" s="199" t="str">
        <f t="shared" si="38"/>
        <v>24kilos</v>
      </c>
      <c r="U1489" s="200">
        <f t="shared" si="39"/>
        <v>1440</v>
      </c>
      <c r="V1489" s="12"/>
      <c r="W1489" s="12"/>
    </row>
    <row r="1490" spans="1:23" x14ac:dyDescent="0.3">
      <c r="A1490" s="193" t="e">
        <f ca="1"/>
        <v>#NAME?</v>
      </c>
      <c r="B1490" s="46" t="s">
        <v>84</v>
      </c>
      <c r="C1490" s="315"/>
      <c r="D1490" s="316"/>
      <c r="E1490" s="315"/>
      <c r="F1490" s="315"/>
      <c r="G1490" s="315"/>
      <c r="H1490" s="153"/>
      <c r="I1490" s="12"/>
      <c r="J1490" s="46" t="s">
        <v>1792</v>
      </c>
      <c r="K1490" s="12"/>
      <c r="L1490" s="288">
        <v>89.3</v>
      </c>
      <c r="M1490" s="289">
        <v>12</v>
      </c>
      <c r="N1490" s="290">
        <v>1</v>
      </c>
      <c r="O1490" s="46"/>
      <c r="P1490" s="46" t="s">
        <v>213</v>
      </c>
      <c r="Q1490" s="12"/>
      <c r="R1490" s="192" t="str">
        <f t="shared" si="36"/>
        <v>1kilos</v>
      </c>
      <c r="S1490" s="198">
        <f t="shared" si="37"/>
        <v>12</v>
      </c>
      <c r="T1490" s="199" t="str">
        <f t="shared" si="38"/>
        <v>12kilos</v>
      </c>
      <c r="U1490" s="200">
        <f t="shared" si="39"/>
        <v>1071.5999999999999</v>
      </c>
      <c r="V1490" s="12"/>
      <c r="W1490" s="12"/>
    </row>
    <row r="1491" spans="1:23" x14ac:dyDescent="0.3">
      <c r="A1491" s="193" t="e">
        <f ca="1"/>
        <v>#NAME?</v>
      </c>
      <c r="B1491" s="46" t="s">
        <v>84</v>
      </c>
      <c r="C1491" s="315"/>
      <c r="D1491" s="316"/>
      <c r="E1491" s="315"/>
      <c r="F1491" s="315"/>
      <c r="G1491" s="315"/>
      <c r="H1491" s="153"/>
      <c r="I1491" s="12"/>
      <c r="J1491" s="46" t="s">
        <v>1792</v>
      </c>
      <c r="K1491" s="12"/>
      <c r="L1491" s="288">
        <v>85.5</v>
      </c>
      <c r="M1491" s="289">
        <v>15</v>
      </c>
      <c r="N1491" s="290">
        <v>1</v>
      </c>
      <c r="O1491" s="46"/>
      <c r="P1491" s="46" t="s">
        <v>213</v>
      </c>
      <c r="Q1491" s="12"/>
      <c r="R1491" s="192" t="str">
        <f t="shared" si="36"/>
        <v>1kilos</v>
      </c>
      <c r="S1491" s="198">
        <f t="shared" si="37"/>
        <v>15</v>
      </c>
      <c r="T1491" s="199" t="str">
        <f t="shared" si="38"/>
        <v>15kilos</v>
      </c>
      <c r="U1491" s="200">
        <f t="shared" si="39"/>
        <v>1282.5</v>
      </c>
      <c r="V1491" s="12"/>
      <c r="W1491" s="12"/>
    </row>
    <row r="1492" spans="1:23" x14ac:dyDescent="0.3">
      <c r="A1492" s="193" t="e">
        <f ca="1"/>
        <v>#NAME?</v>
      </c>
      <c r="B1492" s="46" t="s">
        <v>84</v>
      </c>
      <c r="C1492" s="315"/>
      <c r="D1492" s="316"/>
      <c r="E1492" s="315"/>
      <c r="F1492" s="315"/>
      <c r="G1492" s="315"/>
      <c r="H1492" s="153"/>
      <c r="I1492" s="12"/>
      <c r="J1492" s="46" t="s">
        <v>1799</v>
      </c>
      <c r="K1492" s="12"/>
      <c r="L1492" s="288">
        <v>90</v>
      </c>
      <c r="M1492" s="289">
        <v>16</v>
      </c>
      <c r="N1492" s="290">
        <v>1</v>
      </c>
      <c r="O1492" s="46"/>
      <c r="P1492" s="46" t="s">
        <v>213</v>
      </c>
      <c r="Q1492" s="12"/>
      <c r="R1492" s="192" t="str">
        <f t="shared" si="36"/>
        <v>1kilos</v>
      </c>
      <c r="S1492" s="198">
        <f t="shared" si="37"/>
        <v>16</v>
      </c>
      <c r="T1492" s="199" t="str">
        <f t="shared" si="38"/>
        <v>16kilos</v>
      </c>
      <c r="U1492" s="200">
        <f t="shared" si="39"/>
        <v>1440</v>
      </c>
      <c r="V1492" s="12"/>
      <c r="W1492" s="12"/>
    </row>
    <row r="1493" spans="1:23" x14ac:dyDescent="0.3">
      <c r="A1493" s="193" t="e">
        <f ca="1"/>
        <v>#NAME?</v>
      </c>
      <c r="B1493" s="46" t="s">
        <v>84</v>
      </c>
      <c r="C1493" s="315"/>
      <c r="D1493" s="316"/>
      <c r="E1493" s="315"/>
      <c r="F1493" s="315"/>
      <c r="G1493" s="315"/>
      <c r="H1493" s="153"/>
      <c r="I1493" s="12"/>
      <c r="J1493" s="46" t="s">
        <v>1792</v>
      </c>
      <c r="K1493" s="12"/>
      <c r="L1493" s="288">
        <v>98</v>
      </c>
      <c r="M1493" s="289">
        <v>23</v>
      </c>
      <c r="N1493" s="290">
        <v>1</v>
      </c>
      <c r="O1493" s="46"/>
      <c r="P1493" s="46" t="s">
        <v>213</v>
      </c>
      <c r="Q1493" s="12"/>
      <c r="R1493" s="192" t="str">
        <f t="shared" si="36"/>
        <v>1kilos</v>
      </c>
      <c r="S1493" s="198">
        <f t="shared" si="37"/>
        <v>23</v>
      </c>
      <c r="T1493" s="199" t="str">
        <f t="shared" si="38"/>
        <v>23kilos</v>
      </c>
      <c r="U1493" s="200">
        <f t="shared" si="39"/>
        <v>2254</v>
      </c>
      <c r="V1493" s="12"/>
      <c r="W1493" s="12"/>
    </row>
    <row r="1494" spans="1:23" x14ac:dyDescent="0.3">
      <c r="A1494" s="193" t="e">
        <f ca="1"/>
        <v>#NAME?</v>
      </c>
      <c r="B1494" s="46" t="s">
        <v>84</v>
      </c>
      <c r="C1494" s="315"/>
      <c r="D1494" s="316"/>
      <c r="E1494" s="315"/>
      <c r="F1494" s="315"/>
      <c r="G1494" s="315"/>
      <c r="H1494" s="153"/>
      <c r="I1494" s="12"/>
      <c r="J1494" s="46" t="s">
        <v>991</v>
      </c>
      <c r="K1494" s="12"/>
      <c r="L1494" s="288">
        <v>68</v>
      </c>
      <c r="M1494" s="289">
        <v>22</v>
      </c>
      <c r="N1494" s="290">
        <v>1</v>
      </c>
      <c r="O1494" s="46"/>
      <c r="P1494" s="46" t="s">
        <v>213</v>
      </c>
      <c r="Q1494" s="12"/>
      <c r="R1494" s="192" t="str">
        <f t="shared" si="36"/>
        <v>1kilos</v>
      </c>
      <c r="S1494" s="198">
        <f t="shared" si="37"/>
        <v>22</v>
      </c>
      <c r="T1494" s="199" t="str">
        <f t="shared" si="38"/>
        <v>22kilos</v>
      </c>
      <c r="U1494" s="200">
        <f t="shared" si="39"/>
        <v>1496</v>
      </c>
      <c r="V1494" s="12"/>
      <c r="W1494" s="12"/>
    </row>
    <row r="1495" spans="1:23" x14ac:dyDescent="0.3">
      <c r="A1495" s="193" t="e">
        <f ca="1"/>
        <v>#NAME?</v>
      </c>
      <c r="B1495" s="219" t="s">
        <v>84</v>
      </c>
      <c r="C1495" s="315"/>
      <c r="D1495" s="316"/>
      <c r="E1495" s="315"/>
      <c r="F1495" s="315"/>
      <c r="G1495" s="315"/>
      <c r="H1495" s="153"/>
      <c r="I1495" s="12"/>
      <c r="J1495" s="46" t="s">
        <v>858</v>
      </c>
      <c r="K1495" s="12"/>
      <c r="L1495" s="291">
        <v>1.32</v>
      </c>
      <c r="M1495" s="292">
        <v>200</v>
      </c>
      <c r="N1495" s="293">
        <v>1</v>
      </c>
      <c r="O1495" s="304"/>
      <c r="P1495" s="304" t="s">
        <v>39</v>
      </c>
      <c r="Q1495" s="12"/>
      <c r="R1495" s="192" t="str">
        <f t="shared" si="36"/>
        <v>1grams</v>
      </c>
      <c r="S1495" s="198">
        <f t="shared" si="37"/>
        <v>200</v>
      </c>
      <c r="T1495" s="199" t="str">
        <f t="shared" si="38"/>
        <v>200grams</v>
      </c>
      <c r="U1495" s="200">
        <f t="shared" si="39"/>
        <v>264</v>
      </c>
      <c r="V1495" s="12"/>
      <c r="W1495" s="12"/>
    </row>
    <row r="1496" spans="1:23" x14ac:dyDescent="0.3">
      <c r="A1496" s="193" t="e">
        <f ca="1"/>
        <v>#NAME?</v>
      </c>
      <c r="B1496" s="46" t="s">
        <v>84</v>
      </c>
      <c r="C1496" s="315"/>
      <c r="D1496" s="316"/>
      <c r="E1496" s="315"/>
      <c r="F1496" s="315"/>
      <c r="G1496" s="315"/>
      <c r="H1496" s="153"/>
      <c r="I1496" s="12"/>
      <c r="J1496" s="46" t="s">
        <v>1792</v>
      </c>
      <c r="K1496" s="12"/>
      <c r="L1496" s="288">
        <v>82</v>
      </c>
      <c r="M1496" s="289">
        <v>4</v>
      </c>
      <c r="N1496" s="290">
        <v>1</v>
      </c>
      <c r="O1496" s="46"/>
      <c r="P1496" s="46" t="s">
        <v>213</v>
      </c>
      <c r="Q1496" s="12"/>
      <c r="R1496" s="192" t="str">
        <f t="shared" si="36"/>
        <v>1kilos</v>
      </c>
      <c r="S1496" s="198">
        <f t="shared" si="37"/>
        <v>4</v>
      </c>
      <c r="T1496" s="199" t="str">
        <f t="shared" si="38"/>
        <v>4kilos</v>
      </c>
      <c r="U1496" s="200">
        <f t="shared" si="39"/>
        <v>328</v>
      </c>
      <c r="V1496" s="12"/>
      <c r="W1496" s="12"/>
    </row>
    <row r="1497" spans="1:23" x14ac:dyDescent="0.3">
      <c r="A1497" s="193" t="e">
        <f ca="1"/>
        <v>#NAME?</v>
      </c>
      <c r="B1497" s="219" t="s">
        <v>84</v>
      </c>
      <c r="C1497" s="315"/>
      <c r="D1497" s="316"/>
      <c r="E1497" s="315"/>
      <c r="F1497" s="315"/>
      <c r="G1497" s="315"/>
      <c r="H1497" s="153"/>
      <c r="I1497" s="12"/>
      <c r="J1497" s="215"/>
      <c r="K1497" s="12"/>
      <c r="L1497" s="291">
        <v>78</v>
      </c>
      <c r="M1497" s="292">
        <v>18</v>
      </c>
      <c r="N1497" s="290">
        <v>1</v>
      </c>
      <c r="O1497" s="46"/>
      <c r="P1497" s="46" t="s">
        <v>213</v>
      </c>
      <c r="Q1497" s="12"/>
      <c r="R1497" s="192" t="str">
        <f t="shared" si="36"/>
        <v>1kilos</v>
      </c>
      <c r="S1497" s="198">
        <f t="shared" si="37"/>
        <v>18</v>
      </c>
      <c r="T1497" s="199" t="str">
        <f t="shared" si="38"/>
        <v>18kilos</v>
      </c>
      <c r="U1497" s="200">
        <f t="shared" si="39"/>
        <v>1404</v>
      </c>
      <c r="V1497" s="12"/>
      <c r="W1497" s="12"/>
    </row>
    <row r="1498" spans="1:23" x14ac:dyDescent="0.3">
      <c r="A1498" s="193" t="e">
        <f ca="1"/>
        <v>#NAME?</v>
      </c>
      <c r="B1498" s="46" t="s">
        <v>1800</v>
      </c>
      <c r="C1498" s="315"/>
      <c r="D1498" s="316"/>
      <c r="E1498" s="315"/>
      <c r="F1498" s="315"/>
      <c r="G1498" s="315"/>
      <c r="H1498" s="153"/>
      <c r="I1498" s="12"/>
      <c r="J1498" s="46" t="s">
        <v>880</v>
      </c>
      <c r="K1498" s="12"/>
      <c r="L1498" s="288">
        <v>179</v>
      </c>
      <c r="M1498" s="289">
        <v>1</v>
      </c>
      <c r="N1498" s="290">
        <v>190</v>
      </c>
      <c r="O1498" s="46"/>
      <c r="P1498" s="46" t="s">
        <v>39</v>
      </c>
      <c r="Q1498" s="12"/>
      <c r="R1498" s="192" t="str">
        <f t="shared" si="36"/>
        <v>190grams</v>
      </c>
      <c r="S1498" s="198">
        <f t="shared" si="37"/>
        <v>190</v>
      </c>
      <c r="T1498" s="199" t="str">
        <f t="shared" si="38"/>
        <v>190grams</v>
      </c>
      <c r="U1498" s="200">
        <f t="shared" si="39"/>
        <v>179</v>
      </c>
      <c r="V1498" s="12"/>
      <c r="W1498" s="12"/>
    </row>
    <row r="1499" spans="1:23" x14ac:dyDescent="0.3">
      <c r="A1499" s="193" t="e">
        <f ca="1"/>
        <v>#NAME?</v>
      </c>
      <c r="B1499" s="219" t="s">
        <v>1801</v>
      </c>
      <c r="C1499" s="315"/>
      <c r="D1499" s="316"/>
      <c r="E1499" s="315"/>
      <c r="F1499" s="315"/>
      <c r="G1499" s="315"/>
      <c r="H1499" s="153"/>
      <c r="I1499" s="12"/>
      <c r="J1499" s="219" t="s">
        <v>1184</v>
      </c>
      <c r="K1499" s="12"/>
      <c r="L1499" s="291">
        <v>40</v>
      </c>
      <c r="M1499" s="292">
        <v>2</v>
      </c>
      <c r="N1499" s="293">
        <v>340</v>
      </c>
      <c r="O1499" s="219"/>
      <c r="P1499" s="219" t="s">
        <v>39</v>
      </c>
      <c r="Q1499" s="12"/>
      <c r="R1499" s="192" t="str">
        <f t="shared" si="36"/>
        <v>340grams</v>
      </c>
      <c r="S1499" s="198">
        <f t="shared" si="37"/>
        <v>680</v>
      </c>
      <c r="T1499" s="199" t="str">
        <f t="shared" si="38"/>
        <v>680grams</v>
      </c>
      <c r="U1499" s="200">
        <f t="shared" si="39"/>
        <v>80</v>
      </c>
      <c r="V1499" s="12"/>
      <c r="W1499" s="12"/>
    </row>
    <row r="1500" spans="1:23" x14ac:dyDescent="0.3">
      <c r="A1500" s="193" t="e">
        <f ca="1"/>
        <v>#NAME?</v>
      </c>
      <c r="B1500" s="46" t="s">
        <v>1802</v>
      </c>
      <c r="C1500" s="315"/>
      <c r="D1500" s="316"/>
      <c r="E1500" s="315"/>
      <c r="F1500" s="315"/>
      <c r="G1500" s="315"/>
      <c r="H1500" s="153"/>
      <c r="I1500" s="12"/>
      <c r="J1500" s="46" t="s">
        <v>869</v>
      </c>
      <c r="K1500" s="12"/>
      <c r="L1500" s="288">
        <v>48.45</v>
      </c>
      <c r="M1500" s="289">
        <v>2</v>
      </c>
      <c r="N1500" s="290">
        <v>250</v>
      </c>
      <c r="O1500" s="46"/>
      <c r="P1500" s="46" t="s">
        <v>39</v>
      </c>
      <c r="Q1500" s="12"/>
      <c r="R1500" s="192" t="str">
        <f t="shared" si="36"/>
        <v>250grams</v>
      </c>
      <c r="S1500" s="198">
        <f t="shared" si="37"/>
        <v>500</v>
      </c>
      <c r="T1500" s="199" t="str">
        <f t="shared" si="38"/>
        <v>500grams</v>
      </c>
      <c r="U1500" s="200">
        <f t="shared" si="39"/>
        <v>96.9</v>
      </c>
      <c r="V1500" s="12"/>
      <c r="W1500" s="12"/>
    </row>
    <row r="1501" spans="1:23" x14ac:dyDescent="0.3">
      <c r="A1501" s="193" t="e">
        <f ca="1"/>
        <v>#NAME?</v>
      </c>
      <c r="B1501" s="219" t="s">
        <v>1802</v>
      </c>
      <c r="C1501" s="315"/>
      <c r="D1501" s="316"/>
      <c r="E1501" s="315"/>
      <c r="F1501" s="315"/>
      <c r="G1501" s="315"/>
      <c r="H1501" s="153"/>
      <c r="I1501" s="12"/>
      <c r="J1501" s="46" t="s">
        <v>869</v>
      </c>
      <c r="K1501" s="12"/>
      <c r="L1501" s="288">
        <v>65</v>
      </c>
      <c r="M1501" s="289">
        <v>0</v>
      </c>
      <c r="N1501" s="290">
        <v>250</v>
      </c>
      <c r="O1501" s="46"/>
      <c r="P1501" s="46" t="s">
        <v>39</v>
      </c>
      <c r="Q1501" s="12"/>
      <c r="R1501" s="192" t="str">
        <f t="shared" si="36"/>
        <v>250grams</v>
      </c>
      <c r="S1501" s="198">
        <f t="shared" si="37"/>
        <v>0</v>
      </c>
      <c r="T1501" s="199" t="str">
        <f t="shared" si="38"/>
        <v>0grams</v>
      </c>
      <c r="U1501" s="200">
        <f t="shared" si="39"/>
        <v>0</v>
      </c>
      <c r="V1501" s="12"/>
      <c r="W1501" s="12"/>
    </row>
    <row r="1502" spans="1:23" x14ac:dyDescent="0.3">
      <c r="A1502" s="193" t="e">
        <f ca="1"/>
        <v>#NAME?</v>
      </c>
      <c r="B1502" s="46" t="s">
        <v>1803</v>
      </c>
      <c r="C1502" s="315"/>
      <c r="D1502" s="316"/>
      <c r="E1502" s="315"/>
      <c r="F1502" s="315"/>
      <c r="G1502" s="315"/>
      <c r="H1502" s="153"/>
      <c r="I1502" s="12"/>
      <c r="J1502" s="46" t="s">
        <v>1804</v>
      </c>
      <c r="K1502" s="12"/>
      <c r="L1502" s="288">
        <v>90</v>
      </c>
      <c r="M1502" s="289">
        <v>1</v>
      </c>
      <c r="N1502" s="290">
        <v>1</v>
      </c>
      <c r="O1502" s="46"/>
      <c r="P1502" s="46" t="s">
        <v>304</v>
      </c>
      <c r="Q1502" s="12"/>
      <c r="R1502" s="192" t="str">
        <f t="shared" si="36"/>
        <v>1packs</v>
      </c>
      <c r="S1502" s="198">
        <f t="shared" si="37"/>
        <v>1</v>
      </c>
      <c r="T1502" s="199" t="str">
        <f t="shared" si="38"/>
        <v>1packs</v>
      </c>
      <c r="U1502" s="200">
        <f t="shared" si="39"/>
        <v>90</v>
      </c>
      <c r="V1502" s="12"/>
      <c r="W1502" s="12"/>
    </row>
    <row r="1503" spans="1:23" x14ac:dyDescent="0.3">
      <c r="A1503" s="193" t="e">
        <f ca="1"/>
        <v>#NAME?</v>
      </c>
      <c r="B1503" s="46" t="s">
        <v>1803</v>
      </c>
      <c r="C1503" s="315"/>
      <c r="D1503" s="316"/>
      <c r="E1503" s="315"/>
      <c r="F1503" s="315"/>
      <c r="G1503" s="315"/>
      <c r="H1503" s="153"/>
      <c r="I1503" s="12"/>
      <c r="J1503" s="46" t="s">
        <v>858</v>
      </c>
      <c r="K1503" s="12"/>
      <c r="L1503" s="288">
        <v>53.6</v>
      </c>
      <c r="M1503" s="289">
        <v>4</v>
      </c>
      <c r="N1503" s="290">
        <v>1</v>
      </c>
      <c r="O1503" s="46"/>
      <c r="P1503" s="46" t="s">
        <v>304</v>
      </c>
      <c r="Q1503" s="12"/>
      <c r="R1503" s="192" t="str">
        <f t="shared" si="36"/>
        <v>1packs</v>
      </c>
      <c r="S1503" s="198">
        <f t="shared" si="37"/>
        <v>4</v>
      </c>
      <c r="T1503" s="199" t="str">
        <f t="shared" si="38"/>
        <v>4packs</v>
      </c>
      <c r="U1503" s="200">
        <f t="shared" si="39"/>
        <v>214.4</v>
      </c>
      <c r="V1503" s="12"/>
      <c r="W1503" s="12"/>
    </row>
    <row r="1504" spans="1:23" x14ac:dyDescent="0.3">
      <c r="A1504" s="193" t="e">
        <f ca="1"/>
        <v>#NAME?</v>
      </c>
      <c r="B1504" s="46" t="s">
        <v>1805</v>
      </c>
      <c r="C1504" s="315"/>
      <c r="D1504" s="316"/>
      <c r="E1504" s="315"/>
      <c r="F1504" s="315"/>
      <c r="G1504" s="315"/>
      <c r="H1504" s="153"/>
      <c r="I1504" s="12"/>
      <c r="J1504" s="46" t="s">
        <v>1806</v>
      </c>
      <c r="K1504" s="12"/>
      <c r="L1504" s="288">
        <v>154.5</v>
      </c>
      <c r="M1504" s="289">
        <v>1</v>
      </c>
      <c r="N1504" s="290">
        <v>100</v>
      </c>
      <c r="O1504" s="46"/>
      <c r="P1504" s="46" t="s">
        <v>39</v>
      </c>
      <c r="Q1504" s="12"/>
      <c r="R1504" s="192" t="str">
        <f t="shared" si="36"/>
        <v>100grams</v>
      </c>
      <c r="S1504" s="198">
        <f t="shared" si="37"/>
        <v>100</v>
      </c>
      <c r="T1504" s="199" t="str">
        <f t="shared" si="38"/>
        <v>100grams</v>
      </c>
      <c r="U1504" s="200">
        <f t="shared" si="39"/>
        <v>154.5</v>
      </c>
      <c r="V1504" s="12"/>
      <c r="W1504" s="12"/>
    </row>
    <row r="1505" spans="1:23" x14ac:dyDescent="0.3">
      <c r="A1505" s="193" t="e">
        <f ca="1"/>
        <v>#NAME?</v>
      </c>
      <c r="B1505" s="46" t="s">
        <v>1807</v>
      </c>
      <c r="C1505" s="315"/>
      <c r="D1505" s="316"/>
      <c r="E1505" s="315"/>
      <c r="F1505" s="315"/>
      <c r="G1505" s="315"/>
      <c r="H1505" s="153"/>
      <c r="I1505" s="12"/>
      <c r="J1505" s="46" t="s">
        <v>854</v>
      </c>
      <c r="K1505" s="12"/>
      <c r="L1505" s="288">
        <v>71.25</v>
      </c>
      <c r="M1505" s="289">
        <v>2</v>
      </c>
      <c r="N1505" s="290">
        <v>40</v>
      </c>
      <c r="O1505" s="46"/>
      <c r="P1505" s="46" t="s">
        <v>39</v>
      </c>
      <c r="Q1505" s="12"/>
      <c r="R1505" s="192" t="str">
        <f t="shared" si="36"/>
        <v>40grams</v>
      </c>
      <c r="S1505" s="198">
        <f t="shared" si="37"/>
        <v>80</v>
      </c>
      <c r="T1505" s="199" t="str">
        <f t="shared" si="38"/>
        <v>80grams</v>
      </c>
      <c r="U1505" s="200">
        <f t="shared" si="39"/>
        <v>142.5</v>
      </c>
      <c r="V1505" s="12"/>
      <c r="W1505" s="12"/>
    </row>
    <row r="1506" spans="1:23" x14ac:dyDescent="0.3">
      <c r="A1506" s="193" t="e">
        <f ca="1"/>
        <v>#NAME?</v>
      </c>
      <c r="B1506" s="46" t="s">
        <v>1808</v>
      </c>
      <c r="C1506" s="315"/>
      <c r="D1506" s="316"/>
      <c r="E1506" s="315"/>
      <c r="F1506" s="315"/>
      <c r="G1506" s="315"/>
      <c r="H1506" s="153"/>
      <c r="I1506" s="12"/>
      <c r="J1506" s="170"/>
      <c r="K1506" s="12"/>
      <c r="L1506" s="288">
        <v>70</v>
      </c>
      <c r="M1506" s="289">
        <v>3</v>
      </c>
      <c r="N1506" s="290">
        <v>1</v>
      </c>
      <c r="O1506" s="46"/>
      <c r="P1506" s="46" t="s">
        <v>213</v>
      </c>
      <c r="Q1506" s="12"/>
      <c r="R1506" s="192" t="str">
        <f t="shared" si="36"/>
        <v>1kilos</v>
      </c>
      <c r="S1506" s="198">
        <f t="shared" si="37"/>
        <v>3</v>
      </c>
      <c r="T1506" s="199" t="str">
        <f t="shared" si="38"/>
        <v>3kilos</v>
      </c>
      <c r="U1506" s="200">
        <f t="shared" si="39"/>
        <v>210</v>
      </c>
      <c r="V1506" s="12"/>
      <c r="W1506" s="12"/>
    </row>
    <row r="1507" spans="1:23" x14ac:dyDescent="0.3">
      <c r="A1507" s="193" t="e">
        <f ca="1"/>
        <v>#NAME?</v>
      </c>
      <c r="B1507" s="46" t="s">
        <v>1808</v>
      </c>
      <c r="C1507" s="315"/>
      <c r="D1507" s="316"/>
      <c r="E1507" s="315"/>
      <c r="F1507" s="315"/>
      <c r="G1507" s="315"/>
      <c r="H1507" s="153"/>
      <c r="I1507" s="12"/>
      <c r="J1507" s="170"/>
      <c r="K1507" s="12"/>
      <c r="L1507" s="288">
        <v>40</v>
      </c>
      <c r="M1507" s="289">
        <v>4</v>
      </c>
      <c r="N1507" s="290">
        <v>1</v>
      </c>
      <c r="O1507" s="46"/>
      <c r="P1507" s="46" t="s">
        <v>213</v>
      </c>
      <c r="Q1507" s="12"/>
      <c r="R1507" s="192" t="str">
        <f t="shared" si="36"/>
        <v>1kilos</v>
      </c>
      <c r="S1507" s="198">
        <f t="shared" si="37"/>
        <v>4</v>
      </c>
      <c r="T1507" s="199" t="str">
        <f t="shared" si="38"/>
        <v>4kilos</v>
      </c>
      <c r="U1507" s="200">
        <f t="shared" si="39"/>
        <v>160</v>
      </c>
      <c r="V1507" s="12"/>
      <c r="W1507" s="12"/>
    </row>
    <row r="1508" spans="1:23" x14ac:dyDescent="0.3">
      <c r="A1508" s="193" t="e">
        <f ca="1"/>
        <v>#NAME?</v>
      </c>
      <c r="B1508" s="46" t="s">
        <v>1808</v>
      </c>
      <c r="C1508" s="315"/>
      <c r="D1508" s="316"/>
      <c r="E1508" s="315"/>
      <c r="F1508" s="315"/>
      <c r="G1508" s="315"/>
      <c r="H1508" s="153"/>
      <c r="I1508" s="12"/>
      <c r="J1508" s="170"/>
      <c r="K1508" s="12"/>
      <c r="L1508" s="288">
        <v>140</v>
      </c>
      <c r="M1508" s="289">
        <v>2</v>
      </c>
      <c r="N1508" s="290">
        <v>1</v>
      </c>
      <c r="O1508" s="46"/>
      <c r="P1508" s="46" t="s">
        <v>213</v>
      </c>
      <c r="Q1508" s="12"/>
      <c r="R1508" s="192" t="str">
        <f t="shared" si="36"/>
        <v>1kilos</v>
      </c>
      <c r="S1508" s="198">
        <f t="shared" si="37"/>
        <v>2</v>
      </c>
      <c r="T1508" s="199" t="str">
        <f t="shared" si="38"/>
        <v>2kilos</v>
      </c>
      <c r="U1508" s="200">
        <f t="shared" si="39"/>
        <v>280</v>
      </c>
      <c r="V1508" s="12"/>
      <c r="W1508" s="12"/>
    </row>
    <row r="1509" spans="1:23" x14ac:dyDescent="0.3">
      <c r="A1509" s="193" t="e">
        <f ca="1"/>
        <v>#NAME?</v>
      </c>
      <c r="B1509" s="46" t="s">
        <v>1809</v>
      </c>
      <c r="C1509" s="315"/>
      <c r="D1509" s="316"/>
      <c r="E1509" s="315"/>
      <c r="F1509" s="315"/>
      <c r="G1509" s="315"/>
      <c r="H1509" s="153"/>
      <c r="I1509" s="12"/>
      <c r="J1509" s="170"/>
      <c r="K1509" s="12"/>
      <c r="L1509" s="288">
        <v>270</v>
      </c>
      <c r="M1509" s="289">
        <v>1</v>
      </c>
      <c r="N1509" s="290">
        <v>1</v>
      </c>
      <c r="O1509" s="46"/>
      <c r="P1509" s="46" t="s">
        <v>213</v>
      </c>
      <c r="Q1509" s="12"/>
      <c r="R1509" s="192" t="str">
        <f t="shared" si="36"/>
        <v>1kilos</v>
      </c>
      <c r="S1509" s="198">
        <f t="shared" si="37"/>
        <v>1</v>
      </c>
      <c r="T1509" s="199" t="str">
        <f t="shared" si="38"/>
        <v>1kilos</v>
      </c>
      <c r="U1509" s="200">
        <f t="shared" si="39"/>
        <v>270</v>
      </c>
      <c r="V1509" s="12"/>
      <c r="W1509" s="12"/>
    </row>
    <row r="1510" spans="1:23" x14ac:dyDescent="0.3">
      <c r="A1510" s="193" t="e">
        <f ca="1"/>
        <v>#NAME?</v>
      </c>
      <c r="B1510" s="46" t="s">
        <v>1810</v>
      </c>
      <c r="C1510" s="315"/>
      <c r="D1510" s="316"/>
      <c r="E1510" s="315"/>
      <c r="F1510" s="315"/>
      <c r="G1510" s="315"/>
      <c r="H1510" s="153"/>
      <c r="I1510" s="12"/>
      <c r="J1510" s="170"/>
      <c r="K1510" s="12"/>
      <c r="L1510" s="288">
        <v>100</v>
      </c>
      <c r="M1510" s="289">
        <v>0</v>
      </c>
      <c r="N1510" s="290">
        <v>1</v>
      </c>
      <c r="O1510" s="46"/>
      <c r="P1510" s="46" t="s">
        <v>213</v>
      </c>
      <c r="Q1510" s="12"/>
      <c r="R1510" s="192" t="str">
        <f t="shared" si="36"/>
        <v>1kilos</v>
      </c>
      <c r="S1510" s="198">
        <f t="shared" si="37"/>
        <v>0</v>
      </c>
      <c r="T1510" s="199" t="str">
        <f t="shared" si="38"/>
        <v>0kilos</v>
      </c>
      <c r="U1510" s="200">
        <f t="shared" si="39"/>
        <v>0</v>
      </c>
      <c r="V1510" s="12"/>
      <c r="W1510" s="12"/>
    </row>
    <row r="1511" spans="1:23" x14ac:dyDescent="0.3">
      <c r="A1511" s="193" t="e">
        <f ca="1"/>
        <v>#NAME?</v>
      </c>
      <c r="B1511" s="46" t="s">
        <v>1810</v>
      </c>
      <c r="C1511" s="315"/>
      <c r="D1511" s="316"/>
      <c r="E1511" s="315"/>
      <c r="F1511" s="315"/>
      <c r="G1511" s="315"/>
      <c r="H1511" s="153"/>
      <c r="I1511" s="12"/>
      <c r="J1511" s="170"/>
      <c r="K1511" s="12"/>
      <c r="L1511" s="288">
        <v>7.5</v>
      </c>
      <c r="M1511" s="289">
        <v>11</v>
      </c>
      <c r="N1511" s="290">
        <v>1</v>
      </c>
      <c r="O1511" s="46"/>
      <c r="P1511" s="46" t="s">
        <v>213</v>
      </c>
      <c r="Q1511" s="12"/>
      <c r="R1511" s="192" t="str">
        <f t="shared" si="36"/>
        <v>1kilos</v>
      </c>
      <c r="S1511" s="198">
        <f t="shared" si="37"/>
        <v>11</v>
      </c>
      <c r="T1511" s="199" t="str">
        <f t="shared" si="38"/>
        <v>11kilos</v>
      </c>
      <c r="U1511" s="200">
        <f t="shared" si="39"/>
        <v>82.5</v>
      </c>
      <c r="V1511" s="12"/>
      <c r="W1511" s="12"/>
    </row>
    <row r="1512" spans="1:23" x14ac:dyDescent="0.3">
      <c r="A1512" s="193" t="e">
        <f ca="1"/>
        <v>#NAME?</v>
      </c>
      <c r="B1512" s="46" t="s">
        <v>1810</v>
      </c>
      <c r="C1512" s="315"/>
      <c r="D1512" s="316"/>
      <c r="E1512" s="315"/>
      <c r="F1512" s="315"/>
      <c r="G1512" s="315"/>
      <c r="H1512" s="153"/>
      <c r="I1512" s="12"/>
      <c r="J1512" s="170"/>
      <c r="K1512" s="12"/>
      <c r="L1512" s="288">
        <v>60</v>
      </c>
      <c r="M1512" s="289">
        <v>0</v>
      </c>
      <c r="N1512" s="290">
        <v>1</v>
      </c>
      <c r="O1512" s="46"/>
      <c r="P1512" s="46" t="s">
        <v>1331</v>
      </c>
      <c r="Q1512" s="12"/>
      <c r="R1512" s="192" t="str">
        <f t="shared" si="36"/>
        <v>1bundle</v>
      </c>
      <c r="S1512" s="198">
        <f t="shared" si="37"/>
        <v>0</v>
      </c>
      <c r="T1512" s="199" t="str">
        <f t="shared" si="38"/>
        <v>0bundle</v>
      </c>
      <c r="U1512" s="200">
        <f t="shared" si="39"/>
        <v>0</v>
      </c>
      <c r="V1512" s="12"/>
      <c r="W1512" s="12"/>
    </row>
    <row r="1513" spans="1:23" x14ac:dyDescent="0.3">
      <c r="A1513" s="193" t="e">
        <f ca="1"/>
        <v>#NAME?</v>
      </c>
      <c r="B1513" s="46" t="s">
        <v>1810</v>
      </c>
      <c r="C1513" s="315"/>
      <c r="D1513" s="316"/>
      <c r="E1513" s="315"/>
      <c r="F1513" s="315"/>
      <c r="G1513" s="315"/>
      <c r="H1513" s="153"/>
      <c r="I1513" s="12"/>
      <c r="J1513" s="46" t="s">
        <v>912</v>
      </c>
      <c r="K1513" s="12"/>
      <c r="L1513" s="288">
        <v>160</v>
      </c>
      <c r="M1513" s="289">
        <v>1</v>
      </c>
      <c r="N1513" s="290">
        <v>1</v>
      </c>
      <c r="O1513" s="46"/>
      <c r="P1513" s="46" t="s">
        <v>213</v>
      </c>
      <c r="Q1513" s="12"/>
      <c r="R1513" s="192" t="str">
        <f t="shared" si="36"/>
        <v>1kilos</v>
      </c>
      <c r="S1513" s="198">
        <f t="shared" si="37"/>
        <v>1</v>
      </c>
      <c r="T1513" s="199" t="str">
        <f t="shared" si="38"/>
        <v>1kilos</v>
      </c>
      <c r="U1513" s="200">
        <f t="shared" si="39"/>
        <v>160</v>
      </c>
      <c r="V1513" s="12"/>
      <c r="W1513" s="12"/>
    </row>
    <row r="1514" spans="1:23" x14ac:dyDescent="0.3">
      <c r="A1514" s="193" t="e">
        <f ca="1"/>
        <v>#NAME?</v>
      </c>
      <c r="B1514" s="46" t="s">
        <v>802</v>
      </c>
      <c r="C1514" s="315"/>
      <c r="D1514" s="316"/>
      <c r="E1514" s="315"/>
      <c r="F1514" s="315"/>
      <c r="G1514" s="315"/>
      <c r="H1514" s="153"/>
      <c r="I1514" s="12"/>
      <c r="J1514" s="296"/>
      <c r="K1514" s="12"/>
      <c r="L1514" s="288">
        <v>420</v>
      </c>
      <c r="M1514" s="289">
        <v>3</v>
      </c>
      <c r="N1514" s="290">
        <v>1</v>
      </c>
      <c r="O1514" s="46"/>
      <c r="P1514" s="46" t="s">
        <v>213</v>
      </c>
      <c r="Q1514" s="12"/>
      <c r="R1514" s="192" t="str">
        <f t="shared" si="36"/>
        <v>1kilos</v>
      </c>
      <c r="S1514" s="198">
        <f t="shared" si="37"/>
        <v>3</v>
      </c>
      <c r="T1514" s="199" t="str">
        <f t="shared" si="38"/>
        <v>3kilos</v>
      </c>
      <c r="U1514" s="200">
        <f t="shared" si="39"/>
        <v>1260</v>
      </c>
      <c r="V1514" s="12"/>
      <c r="W1514" s="12"/>
    </row>
    <row r="1515" spans="1:23" x14ac:dyDescent="0.3">
      <c r="A1515" s="193" t="e">
        <f ca="1"/>
        <v>#NAME?</v>
      </c>
      <c r="B1515" s="46" t="s">
        <v>1811</v>
      </c>
      <c r="C1515" s="315"/>
      <c r="D1515" s="316"/>
      <c r="E1515" s="315"/>
      <c r="F1515" s="315"/>
      <c r="G1515" s="315"/>
      <c r="H1515" s="153"/>
      <c r="I1515" s="12"/>
      <c r="J1515" s="219" t="s">
        <v>854</v>
      </c>
      <c r="K1515" s="12"/>
      <c r="L1515" s="288">
        <v>83</v>
      </c>
      <c r="M1515" s="289">
        <v>1</v>
      </c>
      <c r="N1515" s="290">
        <v>5</v>
      </c>
      <c r="O1515" s="46"/>
      <c r="P1515" s="46" t="s">
        <v>39</v>
      </c>
      <c r="Q1515" s="12"/>
      <c r="R1515" s="192" t="str">
        <f t="shared" si="36"/>
        <v>5grams</v>
      </c>
      <c r="S1515" s="198">
        <f t="shared" si="37"/>
        <v>5</v>
      </c>
      <c r="T1515" s="199" t="str">
        <f t="shared" si="38"/>
        <v>5grams</v>
      </c>
      <c r="U1515" s="200">
        <f t="shared" si="39"/>
        <v>83</v>
      </c>
      <c r="V1515" s="12"/>
      <c r="W1515" s="12"/>
    </row>
    <row r="1516" spans="1:23" x14ac:dyDescent="0.3">
      <c r="A1516" s="193" t="e">
        <f ca="1"/>
        <v>#NAME?</v>
      </c>
      <c r="B1516" s="46" t="s">
        <v>1811</v>
      </c>
      <c r="C1516" s="315"/>
      <c r="D1516" s="316"/>
      <c r="E1516" s="315"/>
      <c r="F1516" s="315"/>
      <c r="G1516" s="315"/>
      <c r="H1516" s="153"/>
      <c r="I1516" s="12"/>
      <c r="J1516" s="46" t="s">
        <v>854</v>
      </c>
      <c r="K1516" s="12"/>
      <c r="L1516" s="288">
        <v>37</v>
      </c>
      <c r="M1516" s="289">
        <v>1</v>
      </c>
      <c r="N1516" s="290">
        <v>5</v>
      </c>
      <c r="O1516" s="46"/>
      <c r="P1516" s="46" t="s">
        <v>39</v>
      </c>
      <c r="Q1516" s="12"/>
      <c r="R1516" s="192" t="str">
        <f t="shared" si="36"/>
        <v>5grams</v>
      </c>
      <c r="S1516" s="198">
        <f t="shared" si="37"/>
        <v>5</v>
      </c>
      <c r="T1516" s="199" t="str">
        <f t="shared" si="38"/>
        <v>5grams</v>
      </c>
      <c r="U1516" s="200">
        <f t="shared" si="39"/>
        <v>37</v>
      </c>
      <c r="V1516" s="12"/>
      <c r="W1516" s="12"/>
    </row>
    <row r="1517" spans="1:23" x14ac:dyDescent="0.3">
      <c r="A1517" s="193" t="e">
        <f ca="1"/>
        <v>#NAME?</v>
      </c>
      <c r="B1517" s="46" t="s">
        <v>1812</v>
      </c>
      <c r="C1517" s="315"/>
      <c r="D1517" s="316"/>
      <c r="E1517" s="315"/>
      <c r="F1517" s="315"/>
      <c r="G1517" s="315"/>
      <c r="H1517" s="153"/>
      <c r="I1517" s="12"/>
      <c r="J1517" s="46" t="s">
        <v>1813</v>
      </c>
      <c r="K1517" s="12"/>
      <c r="L1517" s="288">
        <v>15</v>
      </c>
      <c r="M1517" s="289">
        <v>21</v>
      </c>
      <c r="N1517" s="290">
        <v>1</v>
      </c>
      <c r="O1517" s="46"/>
      <c r="P1517" s="46" t="s">
        <v>92</v>
      </c>
      <c r="Q1517" s="12"/>
      <c r="R1517" s="192" t="str">
        <f t="shared" si="36"/>
        <v>1pieces</v>
      </c>
      <c r="S1517" s="198">
        <f t="shared" si="37"/>
        <v>21</v>
      </c>
      <c r="T1517" s="199" t="str">
        <f t="shared" si="38"/>
        <v>21pieces</v>
      </c>
      <c r="U1517" s="200">
        <f t="shared" si="39"/>
        <v>315</v>
      </c>
      <c r="V1517" s="12"/>
      <c r="W1517" s="12"/>
    </row>
    <row r="1518" spans="1:23" x14ac:dyDescent="0.3">
      <c r="A1518" s="193" t="e">
        <f ca="1"/>
        <v>#NAME?</v>
      </c>
      <c r="B1518" s="46" t="s">
        <v>1812</v>
      </c>
      <c r="C1518" s="315"/>
      <c r="D1518" s="316"/>
      <c r="E1518" s="315"/>
      <c r="F1518" s="315"/>
      <c r="G1518" s="315"/>
      <c r="H1518" s="153"/>
      <c r="I1518" s="12"/>
      <c r="J1518" s="46" t="s">
        <v>1814</v>
      </c>
      <c r="K1518" s="12"/>
      <c r="L1518" s="288">
        <v>15</v>
      </c>
      <c r="M1518" s="289">
        <v>6</v>
      </c>
      <c r="N1518" s="290">
        <v>1</v>
      </c>
      <c r="O1518" s="46"/>
      <c r="P1518" s="46" t="s">
        <v>92</v>
      </c>
      <c r="Q1518" s="12"/>
      <c r="R1518" s="192" t="str">
        <f t="shared" si="36"/>
        <v>1pieces</v>
      </c>
      <c r="S1518" s="198">
        <f t="shared" si="37"/>
        <v>6</v>
      </c>
      <c r="T1518" s="199" t="str">
        <f t="shared" si="38"/>
        <v>6pieces</v>
      </c>
      <c r="U1518" s="200">
        <f t="shared" si="39"/>
        <v>90</v>
      </c>
      <c r="V1518" s="12"/>
      <c r="W1518" s="12"/>
    </row>
    <row r="1519" spans="1:23" x14ac:dyDescent="0.3">
      <c r="A1519" s="193" t="e">
        <f ca="1"/>
        <v>#NAME?</v>
      </c>
      <c r="B1519" s="46" t="s">
        <v>1815</v>
      </c>
      <c r="C1519" s="315"/>
      <c r="D1519" s="316"/>
      <c r="E1519" s="315"/>
      <c r="F1519" s="315"/>
      <c r="G1519" s="315"/>
      <c r="H1519" s="153"/>
      <c r="I1519" s="12"/>
      <c r="J1519" s="46" t="s">
        <v>1816</v>
      </c>
      <c r="K1519" s="12"/>
      <c r="L1519" s="288">
        <v>8.59</v>
      </c>
      <c r="M1519" s="289">
        <v>15</v>
      </c>
      <c r="N1519" s="290">
        <v>2</v>
      </c>
      <c r="O1519" s="46"/>
      <c r="P1519" s="46" t="s">
        <v>39</v>
      </c>
      <c r="Q1519" s="12"/>
      <c r="R1519" s="192" t="str">
        <f t="shared" si="36"/>
        <v>2grams</v>
      </c>
      <c r="S1519" s="198">
        <f t="shared" si="37"/>
        <v>30</v>
      </c>
      <c r="T1519" s="199" t="str">
        <f t="shared" si="38"/>
        <v>30grams</v>
      </c>
      <c r="U1519" s="200">
        <f t="shared" si="39"/>
        <v>128.85</v>
      </c>
      <c r="V1519" s="12"/>
      <c r="W1519" s="12"/>
    </row>
    <row r="1520" spans="1:23" x14ac:dyDescent="0.3">
      <c r="A1520" s="193" t="e">
        <f ca="1"/>
        <v>#NAME?</v>
      </c>
      <c r="B1520" s="46" t="s">
        <v>1815</v>
      </c>
      <c r="C1520" s="315"/>
      <c r="D1520" s="316"/>
      <c r="E1520" s="315"/>
      <c r="F1520" s="315"/>
      <c r="G1520" s="315"/>
      <c r="H1520" s="153"/>
      <c r="I1520" s="12"/>
      <c r="J1520" s="46" t="s">
        <v>1816</v>
      </c>
      <c r="K1520" s="12"/>
      <c r="L1520" s="288">
        <v>5.44</v>
      </c>
      <c r="M1520" s="289">
        <v>150</v>
      </c>
      <c r="N1520" s="321">
        <v>1.5</v>
      </c>
      <c r="O1520" s="46"/>
      <c r="P1520" s="46" t="s">
        <v>39</v>
      </c>
      <c r="Q1520" s="12"/>
      <c r="R1520" s="192" t="str">
        <f t="shared" si="36"/>
        <v>1.5grams</v>
      </c>
      <c r="S1520" s="198">
        <f t="shared" si="37"/>
        <v>225</v>
      </c>
      <c r="T1520" s="199" t="str">
        <f t="shared" si="38"/>
        <v>225grams</v>
      </c>
      <c r="U1520" s="200">
        <f t="shared" si="39"/>
        <v>816.00000000000011</v>
      </c>
      <c r="V1520" s="12"/>
      <c r="W1520" s="12"/>
    </row>
    <row r="1521" spans="1:23" x14ac:dyDescent="0.3">
      <c r="A1521" s="193" t="e">
        <f ca="1"/>
        <v>#NAME?</v>
      </c>
      <c r="B1521" s="46" t="s">
        <v>1815</v>
      </c>
      <c r="C1521" s="315"/>
      <c r="D1521" s="316"/>
      <c r="E1521" s="315"/>
      <c r="F1521" s="315"/>
      <c r="G1521" s="315"/>
      <c r="H1521" s="153"/>
      <c r="I1521" s="12"/>
      <c r="J1521" s="46" t="s">
        <v>1816</v>
      </c>
      <c r="K1521" s="12"/>
      <c r="L1521" s="288">
        <v>8.59</v>
      </c>
      <c r="M1521" s="289">
        <v>6</v>
      </c>
      <c r="N1521" s="290">
        <v>2</v>
      </c>
      <c r="O1521" s="46"/>
      <c r="P1521" s="46" t="s">
        <v>39</v>
      </c>
      <c r="Q1521" s="12"/>
      <c r="R1521" s="192" t="str">
        <f t="shared" si="36"/>
        <v>2grams</v>
      </c>
      <c r="S1521" s="198">
        <f t="shared" si="37"/>
        <v>12</v>
      </c>
      <c r="T1521" s="199" t="str">
        <f t="shared" si="38"/>
        <v>12grams</v>
      </c>
      <c r="U1521" s="200">
        <f t="shared" si="39"/>
        <v>51.54</v>
      </c>
      <c r="V1521" s="12"/>
      <c r="W1521" s="12"/>
    </row>
    <row r="1522" spans="1:23" x14ac:dyDescent="0.3">
      <c r="A1522" s="193" t="e">
        <f ca="1"/>
        <v>#NAME?</v>
      </c>
      <c r="B1522" s="46" t="s">
        <v>1815</v>
      </c>
      <c r="C1522" s="315"/>
      <c r="D1522" s="316"/>
      <c r="E1522" s="315"/>
      <c r="F1522" s="315"/>
      <c r="G1522" s="315"/>
      <c r="H1522" s="153"/>
      <c r="I1522" s="12"/>
      <c r="J1522" s="46" t="s">
        <v>1816</v>
      </c>
      <c r="K1522" s="12"/>
      <c r="L1522" s="291">
        <v>9.99</v>
      </c>
      <c r="M1522" s="292">
        <v>2</v>
      </c>
      <c r="N1522" s="322">
        <v>1.5</v>
      </c>
      <c r="O1522" s="219"/>
      <c r="P1522" s="219" t="s">
        <v>39</v>
      </c>
      <c r="Q1522" s="12"/>
      <c r="R1522" s="192" t="str">
        <f t="shared" si="36"/>
        <v>1.5grams</v>
      </c>
      <c r="S1522" s="198">
        <f t="shared" si="37"/>
        <v>3</v>
      </c>
      <c r="T1522" s="199" t="str">
        <f t="shared" si="38"/>
        <v>3grams</v>
      </c>
      <c r="U1522" s="200">
        <f t="shared" si="39"/>
        <v>19.98</v>
      </c>
      <c r="V1522" s="12"/>
      <c r="W1522" s="12"/>
    </row>
    <row r="1523" spans="1:23" x14ac:dyDescent="0.3">
      <c r="A1523" s="193" t="e">
        <f ca="1"/>
        <v>#NAME?</v>
      </c>
      <c r="B1523" s="46" t="s">
        <v>1817</v>
      </c>
      <c r="C1523" s="315"/>
      <c r="D1523" s="316"/>
      <c r="E1523" s="315"/>
      <c r="F1523" s="315"/>
      <c r="G1523" s="315"/>
      <c r="H1523" s="153"/>
      <c r="I1523" s="12"/>
      <c r="J1523" s="46" t="s">
        <v>1816</v>
      </c>
      <c r="K1523" s="12"/>
      <c r="L1523" s="288">
        <v>4.8600000000000003</v>
      </c>
      <c r="M1523" s="289">
        <v>46</v>
      </c>
      <c r="N1523" s="290">
        <v>2</v>
      </c>
      <c r="O1523" s="47"/>
      <c r="P1523" s="47" t="s">
        <v>39</v>
      </c>
      <c r="Q1523" s="12"/>
      <c r="R1523" s="192" t="str">
        <f t="shared" si="36"/>
        <v>2grams</v>
      </c>
      <c r="S1523" s="198">
        <f t="shared" si="37"/>
        <v>92</v>
      </c>
      <c r="T1523" s="199" t="str">
        <f t="shared" si="38"/>
        <v>92grams</v>
      </c>
      <c r="U1523" s="200">
        <f t="shared" si="39"/>
        <v>223.56</v>
      </c>
      <c r="V1523" s="12"/>
      <c r="W1523" s="12"/>
    </row>
    <row r="1524" spans="1:23" x14ac:dyDescent="0.3">
      <c r="A1524" s="193" t="e">
        <f ca="1"/>
        <v>#NAME?</v>
      </c>
      <c r="B1524" s="46" t="s">
        <v>1817</v>
      </c>
      <c r="C1524" s="315"/>
      <c r="D1524" s="316"/>
      <c r="E1524" s="315"/>
      <c r="F1524" s="315"/>
      <c r="G1524" s="315"/>
      <c r="H1524" s="153"/>
      <c r="I1524" s="12"/>
      <c r="J1524" s="46" t="s">
        <v>1816</v>
      </c>
      <c r="K1524" s="12"/>
      <c r="L1524" s="291">
        <v>10.09</v>
      </c>
      <c r="M1524" s="292">
        <v>217</v>
      </c>
      <c r="N1524" s="293">
        <v>2</v>
      </c>
      <c r="O1524" s="327"/>
      <c r="P1524" s="327" t="s">
        <v>39</v>
      </c>
      <c r="Q1524" s="12"/>
      <c r="R1524" s="192" t="str">
        <f t="shared" si="36"/>
        <v>2grams</v>
      </c>
      <c r="S1524" s="198">
        <f t="shared" si="37"/>
        <v>434</v>
      </c>
      <c r="T1524" s="199" t="str">
        <f t="shared" si="38"/>
        <v>434grams</v>
      </c>
      <c r="U1524" s="200">
        <f t="shared" si="39"/>
        <v>2189.5299999999997</v>
      </c>
      <c r="V1524" s="12"/>
      <c r="W1524" s="12"/>
    </row>
    <row r="1525" spans="1:23" x14ac:dyDescent="0.3">
      <c r="A1525" s="193" t="e">
        <f ca="1"/>
        <v>#NAME?</v>
      </c>
      <c r="B1525" s="46" t="s">
        <v>1817</v>
      </c>
      <c r="C1525" s="315"/>
      <c r="D1525" s="316"/>
      <c r="E1525" s="315"/>
      <c r="F1525" s="315"/>
      <c r="G1525" s="315"/>
      <c r="H1525" s="153"/>
      <c r="I1525" s="12"/>
      <c r="J1525" s="46" t="s">
        <v>1816</v>
      </c>
      <c r="K1525" s="12"/>
      <c r="L1525" s="288">
        <v>4.79</v>
      </c>
      <c r="M1525" s="289">
        <v>62</v>
      </c>
      <c r="N1525" s="290">
        <v>2</v>
      </c>
      <c r="O1525" s="47"/>
      <c r="P1525" s="47" t="s">
        <v>39</v>
      </c>
      <c r="Q1525" s="12"/>
      <c r="R1525" s="192" t="str">
        <f t="shared" si="36"/>
        <v>2grams</v>
      </c>
      <c r="S1525" s="198">
        <f t="shared" si="37"/>
        <v>124</v>
      </c>
      <c r="T1525" s="199" t="str">
        <f t="shared" si="38"/>
        <v>124grams</v>
      </c>
      <c r="U1525" s="200">
        <f t="shared" si="39"/>
        <v>296.98</v>
      </c>
      <c r="V1525" s="12"/>
      <c r="W1525" s="12"/>
    </row>
    <row r="1526" spans="1:23" x14ac:dyDescent="0.3">
      <c r="A1526" s="193" t="e">
        <f ca="1"/>
        <v>#NAME?</v>
      </c>
      <c r="B1526" s="219" t="s">
        <v>1818</v>
      </c>
      <c r="C1526" s="315"/>
      <c r="D1526" s="316"/>
      <c r="E1526" s="315"/>
      <c r="F1526" s="315"/>
      <c r="G1526" s="315"/>
      <c r="H1526" s="153"/>
      <c r="I1526" s="12"/>
      <c r="J1526" s="219" t="s">
        <v>1819</v>
      </c>
      <c r="K1526" s="12"/>
      <c r="L1526" s="328">
        <v>220</v>
      </c>
      <c r="M1526" s="329">
        <v>1</v>
      </c>
      <c r="N1526" s="330">
        <v>700</v>
      </c>
      <c r="O1526" s="327"/>
      <c r="P1526" s="327" t="s">
        <v>39</v>
      </c>
      <c r="Q1526" s="12"/>
      <c r="R1526" s="192" t="str">
        <f t="shared" si="36"/>
        <v>700grams</v>
      </c>
      <c r="S1526" s="198">
        <f t="shared" si="37"/>
        <v>700</v>
      </c>
      <c r="T1526" s="199" t="str">
        <f t="shared" si="38"/>
        <v>700grams</v>
      </c>
      <c r="U1526" s="200">
        <f t="shared" si="39"/>
        <v>220</v>
      </c>
      <c r="V1526" s="12"/>
      <c r="W1526" s="12"/>
    </row>
    <row r="1527" spans="1:23" x14ac:dyDescent="0.3">
      <c r="A1527" s="193" t="e">
        <f ca="1"/>
        <v>#NAME?</v>
      </c>
      <c r="B1527" s="46" t="s">
        <v>807</v>
      </c>
      <c r="C1527" s="315"/>
      <c r="D1527" s="316"/>
      <c r="E1527" s="315"/>
      <c r="F1527" s="315"/>
      <c r="G1527" s="315"/>
      <c r="H1527" s="153"/>
      <c r="I1527" s="12"/>
      <c r="J1527" s="46" t="s">
        <v>867</v>
      </c>
      <c r="K1527" s="12"/>
      <c r="L1527" s="288">
        <v>80</v>
      </c>
      <c r="M1527" s="289">
        <v>2</v>
      </c>
      <c r="N1527" s="290">
        <v>500</v>
      </c>
      <c r="O1527" s="47"/>
      <c r="P1527" s="47" t="s">
        <v>39</v>
      </c>
      <c r="Q1527" s="12"/>
      <c r="R1527" s="192" t="str">
        <f t="shared" si="36"/>
        <v>500grams</v>
      </c>
      <c r="S1527" s="198">
        <f t="shared" si="37"/>
        <v>1000</v>
      </c>
      <c r="T1527" s="199" t="str">
        <f t="shared" si="38"/>
        <v>1000grams</v>
      </c>
      <c r="U1527" s="200">
        <f t="shared" si="39"/>
        <v>160</v>
      </c>
      <c r="V1527" s="12"/>
      <c r="W1527" s="12"/>
    </row>
    <row r="1528" spans="1:23" x14ac:dyDescent="0.3">
      <c r="A1528" s="193" t="e">
        <f ca="1"/>
        <v>#NAME?</v>
      </c>
      <c r="B1528" s="46" t="s">
        <v>1820</v>
      </c>
      <c r="C1528" s="315"/>
      <c r="D1528" s="316"/>
      <c r="E1528" s="315"/>
      <c r="F1528" s="315"/>
      <c r="G1528" s="315"/>
      <c r="H1528" s="153"/>
      <c r="I1528" s="12"/>
      <c r="J1528" s="46" t="s">
        <v>1359</v>
      </c>
      <c r="K1528" s="12"/>
      <c r="L1528" s="288">
        <v>289</v>
      </c>
      <c r="M1528" s="289">
        <v>1</v>
      </c>
      <c r="N1528" s="290">
        <v>1</v>
      </c>
      <c r="O1528" s="47"/>
      <c r="P1528" s="47" t="s">
        <v>773</v>
      </c>
      <c r="Q1528" s="12"/>
      <c r="R1528" s="192" t="str">
        <f t="shared" si="36"/>
        <v>1liters</v>
      </c>
      <c r="S1528" s="198">
        <f t="shared" si="37"/>
        <v>1</v>
      </c>
      <c r="T1528" s="199" t="str">
        <f t="shared" si="38"/>
        <v>1liters</v>
      </c>
      <c r="U1528" s="200">
        <f t="shared" si="39"/>
        <v>289</v>
      </c>
      <c r="V1528" s="12"/>
      <c r="W1528" s="12"/>
    </row>
    <row r="1529" spans="1:23" x14ac:dyDescent="0.3">
      <c r="A1529" s="193" t="e">
        <f ca="1"/>
        <v>#NAME?</v>
      </c>
      <c r="B1529" s="219" t="s">
        <v>1820</v>
      </c>
      <c r="C1529" s="315"/>
      <c r="D1529" s="316"/>
      <c r="E1529" s="315"/>
      <c r="F1529" s="315"/>
      <c r="G1529" s="315"/>
      <c r="H1529" s="153"/>
      <c r="I1529" s="12"/>
      <c r="J1529" s="219" t="s">
        <v>1359</v>
      </c>
      <c r="K1529" s="12"/>
      <c r="L1529" s="291">
        <v>315</v>
      </c>
      <c r="M1529" s="292">
        <v>1</v>
      </c>
      <c r="N1529" s="293">
        <v>1</v>
      </c>
      <c r="O1529" s="327"/>
      <c r="P1529" s="327" t="s">
        <v>773</v>
      </c>
      <c r="Q1529" s="12"/>
      <c r="R1529" s="192" t="str">
        <f t="shared" si="36"/>
        <v>1liters</v>
      </c>
      <c r="S1529" s="198">
        <f t="shared" si="37"/>
        <v>1</v>
      </c>
      <c r="T1529" s="199" t="str">
        <f t="shared" si="38"/>
        <v>1liters</v>
      </c>
      <c r="U1529" s="200">
        <f t="shared" si="39"/>
        <v>315</v>
      </c>
      <c r="V1529" s="12"/>
      <c r="W1529" s="12"/>
    </row>
    <row r="1530" spans="1:23" x14ac:dyDescent="0.3">
      <c r="A1530" s="193" t="e">
        <f ca="1"/>
        <v>#NAME?</v>
      </c>
      <c r="B1530" s="46" t="s">
        <v>1821</v>
      </c>
      <c r="C1530" s="315"/>
      <c r="D1530" s="316"/>
      <c r="E1530" s="315"/>
      <c r="F1530" s="315"/>
      <c r="G1530" s="315"/>
      <c r="H1530" s="153"/>
      <c r="I1530" s="12"/>
      <c r="J1530" s="46" t="s">
        <v>1822</v>
      </c>
      <c r="K1530" s="12"/>
      <c r="L1530" s="288">
        <v>8.86</v>
      </c>
      <c r="M1530" s="289">
        <v>20</v>
      </c>
      <c r="N1530" s="290">
        <v>250</v>
      </c>
      <c r="O1530" s="47"/>
      <c r="P1530" s="47" t="s">
        <v>32</v>
      </c>
      <c r="Q1530" s="12"/>
      <c r="R1530" s="192" t="str">
        <f t="shared" si="36"/>
        <v>250ml</v>
      </c>
      <c r="S1530" s="198">
        <f t="shared" si="37"/>
        <v>5000</v>
      </c>
      <c r="T1530" s="199" t="str">
        <f t="shared" si="38"/>
        <v>5000ml</v>
      </c>
      <c r="U1530" s="200">
        <f t="shared" si="39"/>
        <v>177.2</v>
      </c>
      <c r="V1530" s="12"/>
      <c r="W1530" s="12"/>
    </row>
    <row r="1531" spans="1:23" x14ac:dyDescent="0.3">
      <c r="A1531" s="193" t="e">
        <f ca="1"/>
        <v>#NAME?</v>
      </c>
      <c r="B1531" s="46" t="s">
        <v>1823</v>
      </c>
      <c r="C1531" s="315"/>
      <c r="D1531" s="316"/>
      <c r="E1531" s="315"/>
      <c r="F1531" s="315"/>
      <c r="G1531" s="315"/>
      <c r="H1531" s="153"/>
      <c r="I1531" s="12"/>
      <c r="J1531" s="46" t="s">
        <v>1822</v>
      </c>
      <c r="K1531" s="12"/>
      <c r="L1531" s="288">
        <v>9.74</v>
      </c>
      <c r="M1531" s="289">
        <v>20</v>
      </c>
      <c r="N1531" s="290">
        <v>250</v>
      </c>
      <c r="O1531" s="47"/>
      <c r="P1531" s="47" t="s">
        <v>32</v>
      </c>
      <c r="Q1531" s="12"/>
      <c r="R1531" s="192" t="str">
        <f t="shared" si="36"/>
        <v>250ml</v>
      </c>
      <c r="S1531" s="198">
        <f t="shared" si="37"/>
        <v>5000</v>
      </c>
      <c r="T1531" s="199" t="str">
        <f t="shared" si="38"/>
        <v>5000ml</v>
      </c>
      <c r="U1531" s="200">
        <f t="shared" si="39"/>
        <v>194.8</v>
      </c>
      <c r="V1531" s="12"/>
      <c r="W1531" s="12"/>
    </row>
    <row r="1532" spans="1:23" x14ac:dyDescent="0.3">
      <c r="A1532" s="193" t="e">
        <f ca="1"/>
        <v>#NAME?</v>
      </c>
      <c r="B1532" s="46" t="s">
        <v>1824</v>
      </c>
      <c r="C1532" s="315"/>
      <c r="D1532" s="316"/>
      <c r="E1532" s="315"/>
      <c r="F1532" s="315"/>
      <c r="G1532" s="315"/>
      <c r="H1532" s="153"/>
      <c r="I1532" s="12"/>
      <c r="J1532" s="46" t="s">
        <v>1822</v>
      </c>
      <c r="K1532" s="12"/>
      <c r="L1532" s="288">
        <v>8.86</v>
      </c>
      <c r="M1532" s="289">
        <v>20</v>
      </c>
      <c r="N1532" s="290">
        <v>250</v>
      </c>
      <c r="O1532" s="47"/>
      <c r="P1532" s="47" t="s">
        <v>32</v>
      </c>
      <c r="Q1532" s="12"/>
      <c r="R1532" s="192" t="str">
        <f t="shared" si="36"/>
        <v>250ml</v>
      </c>
      <c r="S1532" s="198">
        <f t="shared" si="37"/>
        <v>5000</v>
      </c>
      <c r="T1532" s="199" t="str">
        <f t="shared" si="38"/>
        <v>5000ml</v>
      </c>
      <c r="U1532" s="200">
        <f t="shared" si="39"/>
        <v>177.2</v>
      </c>
      <c r="V1532" s="12"/>
      <c r="W1532" s="12"/>
    </row>
    <row r="1533" spans="1:23" x14ac:dyDescent="0.3">
      <c r="A1533" s="193" t="e">
        <f ca="1"/>
        <v>#NAME?</v>
      </c>
      <c r="B1533" s="47" t="s">
        <v>1825</v>
      </c>
      <c r="C1533" s="315"/>
      <c r="D1533" s="316"/>
      <c r="E1533" s="315"/>
      <c r="F1533" s="315"/>
      <c r="G1533" s="315"/>
      <c r="H1533" s="153"/>
      <c r="I1533" s="12"/>
      <c r="J1533" s="219" t="s">
        <v>854</v>
      </c>
      <c r="K1533" s="12"/>
      <c r="L1533" s="331">
        <v>66</v>
      </c>
      <c r="M1533" s="332">
        <v>1</v>
      </c>
      <c r="N1533" s="333">
        <v>14</v>
      </c>
      <c r="O1533" s="47"/>
      <c r="P1533" s="47" t="s">
        <v>39</v>
      </c>
      <c r="Q1533" s="12"/>
      <c r="R1533" s="192" t="str">
        <f t="shared" si="36"/>
        <v>14grams</v>
      </c>
      <c r="S1533" s="198">
        <f t="shared" si="37"/>
        <v>14</v>
      </c>
      <c r="T1533" s="199" t="str">
        <f t="shared" si="38"/>
        <v>14grams</v>
      </c>
      <c r="U1533" s="200">
        <f t="shared" si="39"/>
        <v>66</v>
      </c>
      <c r="V1533" s="12"/>
      <c r="W1533" s="12"/>
    </row>
    <row r="1534" spans="1:23" x14ac:dyDescent="0.3">
      <c r="A1534" s="193" t="e">
        <f ca="1"/>
        <v>#NAME?</v>
      </c>
      <c r="B1534" s="327" t="s">
        <v>1825</v>
      </c>
      <c r="C1534" s="315"/>
      <c r="D1534" s="316"/>
      <c r="E1534" s="315"/>
      <c r="F1534" s="315"/>
      <c r="G1534" s="315"/>
      <c r="H1534" s="153"/>
      <c r="I1534" s="12"/>
      <c r="J1534" s="219" t="s">
        <v>854</v>
      </c>
      <c r="K1534" s="12"/>
      <c r="L1534" s="334">
        <v>57</v>
      </c>
      <c r="M1534" s="335">
        <v>1</v>
      </c>
      <c r="N1534" s="336">
        <v>14</v>
      </c>
      <c r="O1534" s="327"/>
      <c r="P1534" s="327" t="s">
        <v>39</v>
      </c>
      <c r="Q1534" s="12"/>
      <c r="R1534" s="192" t="str">
        <f t="shared" si="36"/>
        <v>14grams</v>
      </c>
      <c r="S1534" s="198">
        <f t="shared" si="37"/>
        <v>14</v>
      </c>
      <c r="T1534" s="199" t="str">
        <f t="shared" si="38"/>
        <v>14grams</v>
      </c>
      <c r="U1534" s="200">
        <f t="shared" si="39"/>
        <v>57</v>
      </c>
      <c r="V1534" s="12"/>
      <c r="W1534" s="12"/>
    </row>
    <row r="1535" spans="1:23" x14ac:dyDescent="0.3">
      <c r="A1535" s="193" t="e">
        <f ca="1"/>
        <v>#NAME?</v>
      </c>
      <c r="B1535" s="96" t="s">
        <v>1825</v>
      </c>
      <c r="C1535" s="315"/>
      <c r="D1535" s="316"/>
      <c r="E1535" s="315"/>
      <c r="F1535" s="315"/>
      <c r="G1535" s="315"/>
      <c r="H1535" s="153"/>
      <c r="I1535" s="12"/>
      <c r="J1535" s="46" t="s">
        <v>854</v>
      </c>
      <c r="K1535" s="12"/>
      <c r="L1535" s="337">
        <v>66.5</v>
      </c>
      <c r="M1535" s="332">
        <v>0</v>
      </c>
      <c r="N1535" s="338">
        <v>14</v>
      </c>
      <c r="O1535" s="339"/>
      <c r="P1535" s="339" t="s">
        <v>39</v>
      </c>
      <c r="Q1535" s="12"/>
      <c r="R1535" s="192" t="str">
        <f t="shared" si="36"/>
        <v>14grams</v>
      </c>
      <c r="S1535" s="198">
        <f t="shared" si="37"/>
        <v>0</v>
      </c>
      <c r="T1535" s="199" t="str">
        <f t="shared" si="38"/>
        <v>0grams</v>
      </c>
      <c r="U1535" s="200">
        <f t="shared" si="39"/>
        <v>0</v>
      </c>
      <c r="V1535" s="12"/>
      <c r="W1535" s="12"/>
    </row>
    <row r="1536" spans="1:23" x14ac:dyDescent="0.3">
      <c r="A1536" s="193" t="e">
        <f ca="1"/>
        <v>#NAME?</v>
      </c>
      <c r="B1536" s="96" t="s">
        <v>1825</v>
      </c>
      <c r="C1536" s="315"/>
      <c r="D1536" s="316"/>
      <c r="E1536" s="315"/>
      <c r="F1536" s="315"/>
      <c r="G1536" s="315"/>
      <c r="H1536" s="153"/>
      <c r="I1536" s="12"/>
      <c r="J1536" s="46" t="s">
        <v>854</v>
      </c>
      <c r="K1536" s="12"/>
      <c r="L1536" s="288">
        <v>67</v>
      </c>
      <c r="M1536" s="332">
        <v>1</v>
      </c>
      <c r="N1536" s="290">
        <v>14</v>
      </c>
      <c r="O1536" s="339"/>
      <c r="P1536" s="339" t="s">
        <v>39</v>
      </c>
      <c r="Q1536" s="12"/>
      <c r="R1536" s="192" t="str">
        <f t="shared" si="36"/>
        <v>14grams</v>
      </c>
      <c r="S1536" s="198">
        <f t="shared" si="37"/>
        <v>14</v>
      </c>
      <c r="T1536" s="199" t="str">
        <f t="shared" si="38"/>
        <v>14grams</v>
      </c>
      <c r="U1536" s="200">
        <f t="shared" si="39"/>
        <v>67</v>
      </c>
      <c r="V1536" s="12"/>
      <c r="W1536" s="12"/>
    </row>
    <row r="1537" spans="1:23" x14ac:dyDescent="0.3">
      <c r="A1537" s="193" t="e">
        <f ca="1"/>
        <v>#NAME?</v>
      </c>
      <c r="B1537" s="340" t="s">
        <v>1825</v>
      </c>
      <c r="C1537" s="315"/>
      <c r="D1537" s="316"/>
      <c r="E1537" s="315"/>
      <c r="F1537" s="315"/>
      <c r="G1537" s="315"/>
      <c r="H1537" s="153"/>
      <c r="I1537" s="12"/>
      <c r="J1537" s="327" t="s">
        <v>1074</v>
      </c>
      <c r="K1537" s="12"/>
      <c r="L1537" s="341">
        <v>9.6999999999999993</v>
      </c>
      <c r="M1537" s="335">
        <v>3</v>
      </c>
      <c r="N1537" s="336">
        <v>10</v>
      </c>
      <c r="O1537" s="327"/>
      <c r="P1537" s="327" t="s">
        <v>39</v>
      </c>
      <c r="Q1537" s="12"/>
      <c r="R1537" s="192" t="str">
        <f t="shared" si="36"/>
        <v>10grams</v>
      </c>
      <c r="S1537" s="198">
        <f t="shared" si="37"/>
        <v>30</v>
      </c>
      <c r="T1537" s="199" t="str">
        <f t="shared" si="38"/>
        <v>30grams</v>
      </c>
      <c r="U1537" s="200">
        <f t="shared" si="39"/>
        <v>29.099999999999998</v>
      </c>
      <c r="V1537" s="12"/>
      <c r="W1537" s="12"/>
    </row>
    <row r="1538" spans="1:23" x14ac:dyDescent="0.3">
      <c r="A1538" s="193" t="e">
        <f ca="1"/>
        <v>#NAME?</v>
      </c>
      <c r="B1538" s="96" t="s">
        <v>808</v>
      </c>
      <c r="C1538" s="315"/>
      <c r="D1538" s="316"/>
      <c r="E1538" s="315"/>
      <c r="F1538" s="315"/>
      <c r="G1538" s="315"/>
      <c r="H1538" s="153"/>
      <c r="I1538" s="12"/>
      <c r="J1538" s="239"/>
      <c r="K1538" s="12"/>
      <c r="L1538" s="342">
        <v>150</v>
      </c>
      <c r="M1538" s="332">
        <v>2</v>
      </c>
      <c r="N1538" s="333">
        <v>1</v>
      </c>
      <c r="O1538" s="96"/>
      <c r="P1538" s="96" t="s">
        <v>213</v>
      </c>
      <c r="Q1538" s="12"/>
      <c r="R1538" s="192" t="str">
        <f t="shared" si="36"/>
        <v>1kilos</v>
      </c>
      <c r="S1538" s="198">
        <f t="shared" si="37"/>
        <v>2</v>
      </c>
      <c r="T1538" s="199" t="str">
        <f t="shared" si="38"/>
        <v>2kilos</v>
      </c>
      <c r="U1538" s="200">
        <f t="shared" si="39"/>
        <v>300</v>
      </c>
      <c r="V1538" s="12"/>
      <c r="W1538" s="12"/>
    </row>
    <row r="1539" spans="1:23" x14ac:dyDescent="0.3">
      <c r="A1539" s="193" t="e">
        <f ca="1"/>
        <v>#NAME?</v>
      </c>
      <c r="B1539" s="96" t="s">
        <v>808</v>
      </c>
      <c r="C1539" s="315"/>
      <c r="D1539" s="316"/>
      <c r="E1539" s="315"/>
      <c r="F1539" s="315"/>
      <c r="G1539" s="315"/>
      <c r="H1539" s="153"/>
      <c r="I1539" s="12"/>
      <c r="J1539" s="239"/>
      <c r="K1539" s="12"/>
      <c r="L1539" s="342">
        <v>150</v>
      </c>
      <c r="M1539" s="332">
        <v>4</v>
      </c>
      <c r="N1539" s="333">
        <v>1</v>
      </c>
      <c r="O1539" s="96"/>
      <c r="P1539" s="96" t="s">
        <v>213</v>
      </c>
      <c r="Q1539" s="12"/>
      <c r="R1539" s="192" t="str">
        <f t="shared" ref="R1539:R1793" si="40">CONCATENATE(N1539,P1539)</f>
        <v>1kilos</v>
      </c>
      <c r="S1539" s="198">
        <f t="shared" ref="S1539:S1793" si="41">M1539*N1539</f>
        <v>4</v>
      </c>
      <c r="T1539" s="199" t="str">
        <f t="shared" ref="T1539:T1793" si="42">CONCATENATE(S1539,Q1539,P1539)</f>
        <v>4kilos</v>
      </c>
      <c r="U1539" s="200">
        <f t="shared" ref="U1539:U1793" si="43">L1539*M1539</f>
        <v>600</v>
      </c>
      <c r="V1539" s="12"/>
      <c r="W1539" s="12"/>
    </row>
    <row r="1540" spans="1:23" x14ac:dyDescent="0.3">
      <c r="A1540" s="193" t="e">
        <f ca="1"/>
        <v>#NAME?</v>
      </c>
      <c r="B1540" s="96" t="s">
        <v>808</v>
      </c>
      <c r="C1540" s="315"/>
      <c r="D1540" s="316"/>
      <c r="E1540" s="315"/>
      <c r="F1540" s="315"/>
      <c r="G1540" s="315"/>
      <c r="H1540" s="153"/>
      <c r="I1540" s="12"/>
      <c r="J1540" s="343"/>
      <c r="K1540" s="12"/>
      <c r="L1540" s="342">
        <v>160</v>
      </c>
      <c r="M1540" s="332">
        <v>16</v>
      </c>
      <c r="N1540" s="333">
        <v>1</v>
      </c>
      <c r="O1540" s="96"/>
      <c r="P1540" s="96" t="s">
        <v>213</v>
      </c>
      <c r="Q1540" s="12"/>
      <c r="R1540" s="192" t="str">
        <f t="shared" si="40"/>
        <v>1kilos</v>
      </c>
      <c r="S1540" s="198">
        <f t="shared" si="41"/>
        <v>16</v>
      </c>
      <c r="T1540" s="199" t="str">
        <f t="shared" si="42"/>
        <v>16kilos</v>
      </c>
      <c r="U1540" s="200">
        <f t="shared" si="43"/>
        <v>2560</v>
      </c>
      <c r="V1540" s="12"/>
      <c r="W1540" s="12"/>
    </row>
    <row r="1541" spans="1:23" x14ac:dyDescent="0.3">
      <c r="A1541" s="193" t="e">
        <f ca="1"/>
        <v>#NAME?</v>
      </c>
      <c r="B1541" s="96" t="s">
        <v>809</v>
      </c>
      <c r="C1541" s="315"/>
      <c r="D1541" s="316"/>
      <c r="E1541" s="315"/>
      <c r="F1541" s="315"/>
      <c r="G1541" s="315"/>
      <c r="H1541" s="153"/>
      <c r="I1541" s="12"/>
      <c r="J1541" s="239"/>
      <c r="K1541" s="12"/>
      <c r="L1541" s="342">
        <v>120</v>
      </c>
      <c r="M1541" s="332">
        <v>1</v>
      </c>
      <c r="N1541" s="333">
        <v>500</v>
      </c>
      <c r="O1541" s="96"/>
      <c r="P1541" s="96" t="s">
        <v>39</v>
      </c>
      <c r="Q1541" s="12"/>
      <c r="R1541" s="192" t="str">
        <f t="shared" si="40"/>
        <v>500grams</v>
      </c>
      <c r="S1541" s="198">
        <f t="shared" si="41"/>
        <v>500</v>
      </c>
      <c r="T1541" s="199" t="str">
        <f t="shared" si="42"/>
        <v>500grams</v>
      </c>
      <c r="U1541" s="200">
        <f t="shared" si="43"/>
        <v>120</v>
      </c>
      <c r="V1541" s="12"/>
      <c r="W1541" s="12"/>
    </row>
    <row r="1542" spans="1:23" x14ac:dyDescent="0.3">
      <c r="A1542" s="193" t="e">
        <f ca="1"/>
        <v>#NAME?</v>
      </c>
      <c r="B1542" s="96" t="s">
        <v>810</v>
      </c>
      <c r="C1542" s="315"/>
      <c r="D1542" s="316"/>
      <c r="E1542" s="315"/>
      <c r="F1542" s="315"/>
      <c r="G1542" s="315"/>
      <c r="H1542" s="153"/>
      <c r="I1542" s="12"/>
      <c r="J1542" s="96" t="s">
        <v>867</v>
      </c>
      <c r="K1542" s="12"/>
      <c r="L1542" s="342">
        <v>12.36</v>
      </c>
      <c r="M1542" s="332">
        <v>32</v>
      </c>
      <c r="N1542" s="333">
        <v>1</v>
      </c>
      <c r="O1542" s="96"/>
      <c r="P1542" s="96" t="s">
        <v>304</v>
      </c>
      <c r="Q1542" s="12"/>
      <c r="R1542" s="192" t="str">
        <f t="shared" si="40"/>
        <v>1packs</v>
      </c>
      <c r="S1542" s="198">
        <f t="shared" si="41"/>
        <v>32</v>
      </c>
      <c r="T1542" s="199" t="str">
        <f t="shared" si="42"/>
        <v>32packs</v>
      </c>
      <c r="U1542" s="200">
        <f t="shared" si="43"/>
        <v>395.52</v>
      </c>
      <c r="V1542" s="12"/>
      <c r="W1542" s="12"/>
    </row>
    <row r="1543" spans="1:23" x14ac:dyDescent="0.3">
      <c r="A1543" s="193" t="e">
        <f ca="1"/>
        <v>#NAME?</v>
      </c>
      <c r="B1543" s="340" t="s">
        <v>810</v>
      </c>
      <c r="C1543" s="315"/>
      <c r="D1543" s="316"/>
      <c r="E1543" s="315"/>
      <c r="F1543" s="315"/>
      <c r="G1543" s="315"/>
      <c r="H1543" s="153"/>
      <c r="I1543" s="12"/>
      <c r="J1543" s="96" t="s">
        <v>1826</v>
      </c>
      <c r="K1543" s="12"/>
      <c r="L1543" s="342">
        <v>60</v>
      </c>
      <c r="M1543" s="332">
        <v>3</v>
      </c>
      <c r="N1543" s="333">
        <v>3</v>
      </c>
      <c r="O1543" s="96"/>
      <c r="P1543" s="96" t="s">
        <v>304</v>
      </c>
      <c r="Q1543" s="12"/>
      <c r="R1543" s="192" t="str">
        <f t="shared" si="40"/>
        <v>3packs</v>
      </c>
      <c r="S1543" s="198">
        <f t="shared" si="41"/>
        <v>9</v>
      </c>
      <c r="T1543" s="199" t="str">
        <f t="shared" si="42"/>
        <v>9packs</v>
      </c>
      <c r="U1543" s="200">
        <f t="shared" si="43"/>
        <v>180</v>
      </c>
      <c r="V1543" s="12"/>
      <c r="W1543" s="12"/>
    </row>
    <row r="1544" spans="1:23" x14ac:dyDescent="0.3">
      <c r="A1544" s="193" t="e">
        <f ca="1"/>
        <v>#NAME?</v>
      </c>
      <c r="B1544" s="96" t="s">
        <v>810</v>
      </c>
      <c r="C1544" s="315"/>
      <c r="D1544" s="316"/>
      <c r="E1544" s="315"/>
      <c r="F1544" s="315"/>
      <c r="G1544" s="315"/>
      <c r="H1544" s="153"/>
      <c r="I1544" s="12"/>
      <c r="J1544" s="96" t="s">
        <v>336</v>
      </c>
      <c r="K1544" s="12"/>
      <c r="L1544" s="342">
        <v>15.2</v>
      </c>
      <c r="M1544" s="332">
        <v>4</v>
      </c>
      <c r="N1544" s="333">
        <v>1</v>
      </c>
      <c r="O1544" s="96"/>
      <c r="P1544" s="96" t="s">
        <v>304</v>
      </c>
      <c r="Q1544" s="12"/>
      <c r="R1544" s="192" t="str">
        <f t="shared" si="40"/>
        <v>1packs</v>
      </c>
      <c r="S1544" s="198">
        <f t="shared" si="41"/>
        <v>4</v>
      </c>
      <c r="T1544" s="199" t="str">
        <f t="shared" si="42"/>
        <v>4packs</v>
      </c>
      <c r="U1544" s="200">
        <f t="shared" si="43"/>
        <v>60.8</v>
      </c>
      <c r="V1544" s="12"/>
      <c r="W1544" s="12"/>
    </row>
    <row r="1545" spans="1:23" x14ac:dyDescent="0.3">
      <c r="A1545" s="193" t="e">
        <f ca="1"/>
        <v>#NAME?</v>
      </c>
      <c r="B1545" s="219" t="s">
        <v>1827</v>
      </c>
      <c r="C1545" s="315"/>
      <c r="D1545" s="316"/>
      <c r="E1545" s="315"/>
      <c r="F1545" s="315"/>
      <c r="G1545" s="315"/>
      <c r="H1545" s="153"/>
      <c r="I1545" s="12"/>
      <c r="J1545" s="253"/>
      <c r="K1545" s="12"/>
      <c r="L1545" s="341">
        <v>100</v>
      </c>
      <c r="M1545" s="335">
        <v>1</v>
      </c>
      <c r="N1545" s="336">
        <v>1</v>
      </c>
      <c r="O1545" s="340"/>
      <c r="P1545" s="340" t="s">
        <v>304</v>
      </c>
      <c r="Q1545" s="12"/>
      <c r="R1545" s="192" t="str">
        <f t="shared" si="40"/>
        <v>1packs</v>
      </c>
      <c r="S1545" s="198">
        <f t="shared" si="41"/>
        <v>1</v>
      </c>
      <c r="T1545" s="199" t="str">
        <f t="shared" si="42"/>
        <v>1packs</v>
      </c>
      <c r="U1545" s="200">
        <f t="shared" si="43"/>
        <v>100</v>
      </c>
      <c r="V1545" s="12"/>
      <c r="W1545" s="12"/>
    </row>
    <row r="1546" spans="1:23" x14ac:dyDescent="0.3">
      <c r="A1546" s="193" t="e">
        <f ca="1"/>
        <v>#NAME?</v>
      </c>
      <c r="B1546" s="96" t="s">
        <v>1828</v>
      </c>
      <c r="C1546" s="315"/>
      <c r="D1546" s="316"/>
      <c r="E1546" s="315"/>
      <c r="F1546" s="315"/>
      <c r="G1546" s="315"/>
      <c r="H1546" s="153"/>
      <c r="I1546" s="12"/>
      <c r="J1546" s="96" t="s">
        <v>1368</v>
      </c>
      <c r="K1546" s="12"/>
      <c r="L1546" s="342">
        <v>75</v>
      </c>
      <c r="M1546" s="332">
        <v>2</v>
      </c>
      <c r="N1546" s="333">
        <v>225</v>
      </c>
      <c r="O1546" s="96"/>
      <c r="P1546" s="96" t="s">
        <v>39</v>
      </c>
      <c r="Q1546" s="12"/>
      <c r="R1546" s="192" t="str">
        <f t="shared" si="40"/>
        <v>225grams</v>
      </c>
      <c r="S1546" s="198">
        <f t="shared" si="41"/>
        <v>450</v>
      </c>
      <c r="T1546" s="199" t="str">
        <f t="shared" si="42"/>
        <v>450grams</v>
      </c>
      <c r="U1546" s="200">
        <f t="shared" si="43"/>
        <v>150</v>
      </c>
      <c r="V1546" s="12"/>
      <c r="W1546" s="12"/>
    </row>
    <row r="1547" spans="1:23" x14ac:dyDescent="0.3">
      <c r="A1547" s="193" t="e">
        <f ca="1"/>
        <v>#NAME?</v>
      </c>
      <c r="B1547" s="344" t="s">
        <v>1829</v>
      </c>
      <c r="C1547" s="315"/>
      <c r="D1547" s="316"/>
      <c r="E1547" s="315"/>
      <c r="F1547" s="315"/>
      <c r="G1547" s="315"/>
      <c r="H1547" s="153"/>
      <c r="I1547" s="12"/>
      <c r="J1547" s="344" t="s">
        <v>1368</v>
      </c>
      <c r="K1547" s="12"/>
      <c r="L1547" s="345">
        <v>126.9</v>
      </c>
      <c r="M1547" s="346">
        <v>1</v>
      </c>
      <c r="N1547" s="338">
        <v>450</v>
      </c>
      <c r="O1547" s="96"/>
      <c r="P1547" s="96" t="s">
        <v>39</v>
      </c>
      <c r="Q1547" s="12"/>
      <c r="R1547" s="192" t="str">
        <f t="shared" si="40"/>
        <v>450grams</v>
      </c>
      <c r="S1547" s="198">
        <f t="shared" si="41"/>
        <v>450</v>
      </c>
      <c r="T1547" s="199" t="str">
        <f t="shared" si="42"/>
        <v>450grams</v>
      </c>
      <c r="U1547" s="200">
        <f t="shared" si="43"/>
        <v>126.9</v>
      </c>
      <c r="V1547" s="12"/>
      <c r="W1547" s="12"/>
    </row>
    <row r="1548" spans="1:23" x14ac:dyDescent="0.3">
      <c r="A1548" s="193" t="e">
        <f ca="1"/>
        <v>#NAME?</v>
      </c>
      <c r="B1548" s="46" t="s">
        <v>1829</v>
      </c>
      <c r="C1548" s="315"/>
      <c r="D1548" s="316"/>
      <c r="E1548" s="315"/>
      <c r="F1548" s="315"/>
      <c r="G1548" s="315"/>
      <c r="H1548" s="153"/>
      <c r="I1548" s="12"/>
      <c r="J1548" s="46" t="s">
        <v>1830</v>
      </c>
      <c r="K1548" s="12"/>
      <c r="L1548" s="288">
        <v>240</v>
      </c>
      <c r="M1548" s="289">
        <v>1</v>
      </c>
      <c r="N1548" s="290">
        <v>1</v>
      </c>
      <c r="O1548" s="96"/>
      <c r="P1548" s="96" t="s">
        <v>213</v>
      </c>
      <c r="Q1548" s="12"/>
      <c r="R1548" s="192" t="str">
        <f t="shared" si="40"/>
        <v>1kilos</v>
      </c>
      <c r="S1548" s="198">
        <f t="shared" si="41"/>
        <v>1</v>
      </c>
      <c r="T1548" s="199" t="str">
        <f t="shared" si="42"/>
        <v>1kilos</v>
      </c>
      <c r="U1548" s="200">
        <f t="shared" si="43"/>
        <v>240</v>
      </c>
      <c r="V1548" s="12"/>
      <c r="W1548" s="12"/>
    </row>
    <row r="1549" spans="1:23" x14ac:dyDescent="0.3">
      <c r="A1549" s="193" t="e">
        <f ca="1"/>
        <v>#NAME?</v>
      </c>
      <c r="B1549" s="46" t="s">
        <v>1829</v>
      </c>
      <c r="C1549" s="315"/>
      <c r="D1549" s="316"/>
      <c r="E1549" s="315"/>
      <c r="F1549" s="315"/>
      <c r="G1549" s="315"/>
      <c r="H1549" s="153"/>
      <c r="I1549" s="12"/>
      <c r="J1549" s="46" t="s">
        <v>1368</v>
      </c>
      <c r="K1549" s="12"/>
      <c r="L1549" s="288">
        <v>125</v>
      </c>
      <c r="M1549" s="289">
        <v>2</v>
      </c>
      <c r="N1549" s="290">
        <v>225</v>
      </c>
      <c r="O1549" s="96"/>
      <c r="P1549" s="96" t="s">
        <v>39</v>
      </c>
      <c r="Q1549" s="12"/>
      <c r="R1549" s="192" t="str">
        <f t="shared" si="40"/>
        <v>225grams</v>
      </c>
      <c r="S1549" s="198">
        <f t="shared" si="41"/>
        <v>450</v>
      </c>
      <c r="T1549" s="199" t="str">
        <f t="shared" si="42"/>
        <v>450grams</v>
      </c>
      <c r="U1549" s="200">
        <f t="shared" si="43"/>
        <v>250</v>
      </c>
      <c r="V1549" s="12"/>
      <c r="W1549" s="12"/>
    </row>
    <row r="1550" spans="1:23" x14ac:dyDescent="0.3">
      <c r="A1550" s="193" t="e">
        <f ca="1"/>
        <v>#NAME?</v>
      </c>
      <c r="B1550" s="46" t="s">
        <v>1829</v>
      </c>
      <c r="C1550" s="315"/>
      <c r="D1550" s="316"/>
      <c r="E1550" s="315"/>
      <c r="F1550" s="315"/>
      <c r="G1550" s="315"/>
      <c r="H1550" s="153"/>
      <c r="I1550" s="12"/>
      <c r="J1550" s="46" t="s">
        <v>1368</v>
      </c>
      <c r="K1550" s="12"/>
      <c r="L1550" s="288">
        <v>125</v>
      </c>
      <c r="M1550" s="289">
        <v>2</v>
      </c>
      <c r="N1550" s="290">
        <v>450</v>
      </c>
      <c r="O1550" s="96"/>
      <c r="P1550" s="96" t="s">
        <v>39</v>
      </c>
      <c r="Q1550" s="12"/>
      <c r="R1550" s="192" t="str">
        <f t="shared" si="40"/>
        <v>450grams</v>
      </c>
      <c r="S1550" s="198">
        <f t="shared" si="41"/>
        <v>900</v>
      </c>
      <c r="T1550" s="199" t="str">
        <f t="shared" si="42"/>
        <v>900grams</v>
      </c>
      <c r="U1550" s="200">
        <f t="shared" si="43"/>
        <v>250</v>
      </c>
      <c r="V1550" s="12"/>
      <c r="W1550" s="12"/>
    </row>
    <row r="1551" spans="1:23" x14ac:dyDescent="0.3">
      <c r="A1551" s="193" t="e">
        <f ca="1"/>
        <v>#NAME?</v>
      </c>
      <c r="B1551" s="46" t="s">
        <v>1829</v>
      </c>
      <c r="C1551" s="315"/>
      <c r="D1551" s="316"/>
      <c r="E1551" s="315"/>
      <c r="F1551" s="315"/>
      <c r="G1551" s="315"/>
      <c r="H1551" s="153"/>
      <c r="I1551" s="12"/>
      <c r="J1551" s="46" t="s">
        <v>1368</v>
      </c>
      <c r="K1551" s="12"/>
      <c r="L1551" s="288">
        <v>96.25</v>
      </c>
      <c r="M1551" s="289">
        <v>3</v>
      </c>
      <c r="N1551" s="290">
        <v>225</v>
      </c>
      <c r="O1551" s="96"/>
      <c r="P1551" s="96" t="s">
        <v>39</v>
      </c>
      <c r="Q1551" s="12"/>
      <c r="R1551" s="192" t="str">
        <f t="shared" si="40"/>
        <v>225grams</v>
      </c>
      <c r="S1551" s="198">
        <f t="shared" si="41"/>
        <v>675</v>
      </c>
      <c r="T1551" s="199" t="str">
        <f t="shared" si="42"/>
        <v>675grams</v>
      </c>
      <c r="U1551" s="200">
        <f t="shared" si="43"/>
        <v>288.75</v>
      </c>
      <c r="V1551" s="12"/>
      <c r="W1551" s="12"/>
    </row>
    <row r="1552" spans="1:23" x14ac:dyDescent="0.3">
      <c r="A1552" s="193" t="e">
        <f ca="1"/>
        <v>#NAME?</v>
      </c>
      <c r="B1552" s="46" t="s">
        <v>1829</v>
      </c>
      <c r="C1552" s="315"/>
      <c r="D1552" s="316"/>
      <c r="E1552" s="315"/>
      <c r="F1552" s="315"/>
      <c r="G1552" s="315"/>
      <c r="H1552" s="153"/>
      <c r="I1552" s="12"/>
      <c r="J1552" s="46" t="s">
        <v>1368</v>
      </c>
      <c r="K1552" s="12"/>
      <c r="L1552" s="288">
        <v>126.9</v>
      </c>
      <c r="M1552" s="289">
        <v>12</v>
      </c>
      <c r="N1552" s="333">
        <v>450</v>
      </c>
      <c r="O1552" s="46"/>
      <c r="P1552" s="46" t="s">
        <v>39</v>
      </c>
      <c r="Q1552" s="12"/>
      <c r="R1552" s="192" t="str">
        <f t="shared" si="40"/>
        <v>450grams</v>
      </c>
      <c r="S1552" s="198">
        <f t="shared" si="41"/>
        <v>5400</v>
      </c>
      <c r="T1552" s="199" t="str">
        <f t="shared" si="42"/>
        <v>5400grams</v>
      </c>
      <c r="U1552" s="200">
        <f t="shared" si="43"/>
        <v>1522.8000000000002</v>
      </c>
      <c r="V1552" s="12"/>
      <c r="W1552" s="12"/>
    </row>
    <row r="1553" spans="1:23" x14ac:dyDescent="0.3">
      <c r="A1553" s="193" t="e">
        <f ca="1"/>
        <v>#NAME?</v>
      </c>
      <c r="B1553" s="46" t="s">
        <v>1831</v>
      </c>
      <c r="C1553" s="315"/>
      <c r="D1553" s="316"/>
      <c r="E1553" s="315"/>
      <c r="F1553" s="315"/>
      <c r="G1553" s="315"/>
      <c r="H1553" s="153"/>
      <c r="I1553" s="12"/>
      <c r="J1553" s="170"/>
      <c r="K1553" s="12"/>
      <c r="L1553" s="342">
        <v>45</v>
      </c>
      <c r="M1553" s="332">
        <v>8</v>
      </c>
      <c r="N1553" s="333">
        <v>1</v>
      </c>
      <c r="O1553" s="47"/>
      <c r="P1553" s="47" t="s">
        <v>92</v>
      </c>
      <c r="Q1553" s="12"/>
      <c r="R1553" s="192" t="str">
        <f t="shared" si="40"/>
        <v>1pieces</v>
      </c>
      <c r="S1553" s="198">
        <f t="shared" si="41"/>
        <v>8</v>
      </c>
      <c r="T1553" s="199" t="str">
        <f t="shared" si="42"/>
        <v>8pieces</v>
      </c>
      <c r="U1553" s="200">
        <f t="shared" si="43"/>
        <v>360</v>
      </c>
      <c r="V1553" s="12"/>
      <c r="W1553" s="12"/>
    </row>
    <row r="1554" spans="1:23" x14ac:dyDescent="0.3">
      <c r="A1554" s="193" t="e">
        <f ca="1"/>
        <v>#NAME?</v>
      </c>
      <c r="B1554" s="46" t="s">
        <v>1831</v>
      </c>
      <c r="C1554" s="315"/>
      <c r="D1554" s="316"/>
      <c r="E1554" s="315"/>
      <c r="F1554" s="315"/>
      <c r="G1554" s="315"/>
      <c r="H1554" s="153"/>
      <c r="I1554" s="12"/>
      <c r="J1554" s="46" t="s">
        <v>1832</v>
      </c>
      <c r="K1554" s="12"/>
      <c r="L1554" s="342">
        <v>50</v>
      </c>
      <c r="M1554" s="332">
        <v>1</v>
      </c>
      <c r="N1554" s="333">
        <v>500</v>
      </c>
      <c r="O1554" s="47"/>
      <c r="P1554" s="47" t="s">
        <v>39</v>
      </c>
      <c r="Q1554" s="12"/>
      <c r="R1554" s="192" t="str">
        <f t="shared" si="40"/>
        <v>500grams</v>
      </c>
      <c r="S1554" s="198">
        <f t="shared" si="41"/>
        <v>500</v>
      </c>
      <c r="T1554" s="199" t="str">
        <f t="shared" si="42"/>
        <v>500grams</v>
      </c>
      <c r="U1554" s="200">
        <f t="shared" si="43"/>
        <v>50</v>
      </c>
      <c r="V1554" s="12"/>
      <c r="W1554" s="12"/>
    </row>
    <row r="1555" spans="1:23" x14ac:dyDescent="0.3">
      <c r="A1555" s="193" t="e">
        <f ca="1"/>
        <v>#NAME?</v>
      </c>
      <c r="B1555" s="46" t="s">
        <v>1833</v>
      </c>
      <c r="C1555" s="315"/>
      <c r="D1555" s="316"/>
      <c r="E1555" s="315"/>
      <c r="F1555" s="315"/>
      <c r="G1555" s="315"/>
      <c r="H1555" s="153"/>
      <c r="I1555" s="12"/>
      <c r="J1555" s="170"/>
      <c r="K1555" s="12"/>
      <c r="L1555" s="342">
        <v>40</v>
      </c>
      <c r="M1555" s="332">
        <v>1</v>
      </c>
      <c r="N1555" s="333">
        <v>1</v>
      </c>
      <c r="O1555" s="47"/>
      <c r="P1555" s="47" t="s">
        <v>213</v>
      </c>
      <c r="Q1555" s="12"/>
      <c r="R1555" s="192" t="str">
        <f t="shared" si="40"/>
        <v>1kilos</v>
      </c>
      <c r="S1555" s="198">
        <f t="shared" si="41"/>
        <v>1</v>
      </c>
      <c r="T1555" s="199" t="str">
        <f t="shared" si="42"/>
        <v>1kilos</v>
      </c>
      <c r="U1555" s="200">
        <f t="shared" si="43"/>
        <v>40</v>
      </c>
      <c r="V1555" s="12"/>
      <c r="W1555" s="12"/>
    </row>
    <row r="1556" spans="1:23" x14ac:dyDescent="0.3">
      <c r="A1556" s="193" t="e">
        <f ca="1"/>
        <v>#NAME?</v>
      </c>
      <c r="B1556" s="46" t="s">
        <v>1834</v>
      </c>
      <c r="C1556" s="315"/>
      <c r="D1556" s="316"/>
      <c r="E1556" s="315"/>
      <c r="F1556" s="315"/>
      <c r="G1556" s="315"/>
      <c r="H1556" s="153"/>
      <c r="I1556" s="12"/>
      <c r="J1556" s="170"/>
      <c r="K1556" s="12"/>
      <c r="L1556" s="342">
        <v>180</v>
      </c>
      <c r="M1556" s="332">
        <v>5</v>
      </c>
      <c r="N1556" s="333">
        <v>1000</v>
      </c>
      <c r="O1556" s="47"/>
      <c r="P1556" s="47" t="s">
        <v>39</v>
      </c>
      <c r="Q1556" s="12"/>
      <c r="R1556" s="192" t="str">
        <f t="shared" si="40"/>
        <v>1000grams</v>
      </c>
      <c r="S1556" s="198">
        <f t="shared" si="41"/>
        <v>5000</v>
      </c>
      <c r="T1556" s="199" t="str">
        <f t="shared" si="42"/>
        <v>5000grams</v>
      </c>
      <c r="U1556" s="200">
        <f t="shared" si="43"/>
        <v>900</v>
      </c>
      <c r="V1556" s="12"/>
      <c r="W1556" s="12"/>
    </row>
    <row r="1557" spans="1:23" x14ac:dyDescent="0.3">
      <c r="A1557" s="193" t="e">
        <f ca="1"/>
        <v>#NAME?</v>
      </c>
      <c r="B1557" s="219" t="s">
        <v>1835</v>
      </c>
      <c r="C1557" s="315"/>
      <c r="D1557" s="316"/>
      <c r="E1557" s="315"/>
      <c r="F1557" s="315"/>
      <c r="G1557" s="315"/>
      <c r="H1557" s="153"/>
      <c r="I1557" s="12"/>
      <c r="J1557" s="219" t="s">
        <v>1184</v>
      </c>
      <c r="K1557" s="12"/>
      <c r="L1557" s="341">
        <v>3.45</v>
      </c>
      <c r="M1557" s="335">
        <v>87</v>
      </c>
      <c r="N1557" s="336">
        <v>25</v>
      </c>
      <c r="O1557" s="219"/>
      <c r="P1557" s="219" t="s">
        <v>39</v>
      </c>
      <c r="Q1557" s="12"/>
      <c r="R1557" s="192" t="str">
        <f t="shared" si="40"/>
        <v>25grams</v>
      </c>
      <c r="S1557" s="198">
        <f t="shared" si="41"/>
        <v>2175</v>
      </c>
      <c r="T1557" s="199" t="str">
        <f t="shared" si="42"/>
        <v>2175grams</v>
      </c>
      <c r="U1557" s="200">
        <f t="shared" si="43"/>
        <v>300.15000000000003</v>
      </c>
      <c r="V1557" s="12"/>
      <c r="W1557" s="12"/>
    </row>
    <row r="1558" spans="1:23" x14ac:dyDescent="0.3">
      <c r="A1558" s="193" t="e">
        <f ca="1"/>
        <v>#NAME?</v>
      </c>
      <c r="B1558" s="46" t="s">
        <v>288</v>
      </c>
      <c r="C1558" s="315"/>
      <c r="D1558" s="316"/>
      <c r="E1558" s="315"/>
      <c r="F1558" s="315"/>
      <c r="G1558" s="315"/>
      <c r="H1558" s="153"/>
      <c r="I1558" s="12"/>
      <c r="J1558" s="46" t="s">
        <v>1241</v>
      </c>
      <c r="K1558" s="12"/>
      <c r="L1558" s="342">
        <v>31.2</v>
      </c>
      <c r="M1558" s="332">
        <v>7</v>
      </c>
      <c r="N1558" s="333">
        <v>150</v>
      </c>
      <c r="O1558" s="46"/>
      <c r="P1558" s="46" t="s">
        <v>39</v>
      </c>
      <c r="Q1558" s="12"/>
      <c r="R1558" s="192" t="str">
        <f t="shared" si="40"/>
        <v>150grams</v>
      </c>
      <c r="S1558" s="198">
        <f t="shared" si="41"/>
        <v>1050</v>
      </c>
      <c r="T1558" s="199" t="str">
        <f t="shared" si="42"/>
        <v>1050grams</v>
      </c>
      <c r="U1558" s="200">
        <f t="shared" si="43"/>
        <v>218.4</v>
      </c>
      <c r="V1558" s="12"/>
      <c r="W1558" s="12"/>
    </row>
    <row r="1559" spans="1:23" x14ac:dyDescent="0.3">
      <c r="A1559" s="193" t="e">
        <f ca="1"/>
        <v>#NAME?</v>
      </c>
      <c r="B1559" s="46" t="s">
        <v>288</v>
      </c>
      <c r="C1559" s="315"/>
      <c r="D1559" s="316"/>
      <c r="E1559" s="315"/>
      <c r="F1559" s="315"/>
      <c r="G1559" s="315"/>
      <c r="H1559" s="153"/>
      <c r="I1559" s="12"/>
      <c r="J1559" s="96" t="s">
        <v>1241</v>
      </c>
      <c r="K1559" s="12"/>
      <c r="L1559" s="342">
        <v>18.190000000000001</v>
      </c>
      <c r="M1559" s="332">
        <v>62</v>
      </c>
      <c r="N1559" s="333">
        <v>70</v>
      </c>
      <c r="O1559" s="47"/>
      <c r="P1559" s="47" t="s">
        <v>39</v>
      </c>
      <c r="Q1559" s="12"/>
      <c r="R1559" s="192" t="str">
        <f t="shared" si="40"/>
        <v>70grams</v>
      </c>
      <c r="S1559" s="198">
        <f t="shared" si="41"/>
        <v>4340</v>
      </c>
      <c r="T1559" s="199" t="str">
        <f t="shared" si="42"/>
        <v>4340grams</v>
      </c>
      <c r="U1559" s="200">
        <f t="shared" si="43"/>
        <v>1127.78</v>
      </c>
      <c r="V1559" s="12"/>
      <c r="W1559" s="12"/>
    </row>
    <row r="1560" spans="1:23" x14ac:dyDescent="0.3">
      <c r="A1560" s="193" t="e">
        <f ca="1"/>
        <v>#NAME?</v>
      </c>
      <c r="B1560" s="46" t="s">
        <v>288</v>
      </c>
      <c r="C1560" s="315"/>
      <c r="D1560" s="316"/>
      <c r="E1560" s="315"/>
      <c r="F1560" s="315"/>
      <c r="G1560" s="315"/>
      <c r="H1560" s="153"/>
      <c r="I1560" s="12"/>
      <c r="J1560" s="96" t="s">
        <v>1241</v>
      </c>
      <c r="K1560" s="12"/>
      <c r="L1560" s="342">
        <v>31.2</v>
      </c>
      <c r="M1560" s="332">
        <v>15</v>
      </c>
      <c r="N1560" s="333">
        <v>150</v>
      </c>
      <c r="O1560" s="47"/>
      <c r="P1560" s="47" t="s">
        <v>39</v>
      </c>
      <c r="Q1560" s="12"/>
      <c r="R1560" s="192" t="str">
        <f t="shared" si="40"/>
        <v>150grams</v>
      </c>
      <c r="S1560" s="198">
        <f t="shared" si="41"/>
        <v>2250</v>
      </c>
      <c r="T1560" s="199" t="str">
        <f t="shared" si="42"/>
        <v>2250grams</v>
      </c>
      <c r="U1560" s="200">
        <f t="shared" si="43"/>
        <v>468</v>
      </c>
      <c r="V1560" s="12"/>
      <c r="W1560" s="12"/>
    </row>
    <row r="1561" spans="1:23" x14ac:dyDescent="0.3">
      <c r="A1561" s="193" t="e">
        <f ca="1"/>
        <v>#NAME?</v>
      </c>
      <c r="B1561" s="46" t="s">
        <v>288</v>
      </c>
      <c r="C1561" s="315"/>
      <c r="D1561" s="316"/>
      <c r="E1561" s="315"/>
      <c r="F1561" s="315"/>
      <c r="G1561" s="315"/>
      <c r="H1561" s="153"/>
      <c r="I1561" s="12"/>
      <c r="J1561" s="96" t="s">
        <v>1241</v>
      </c>
      <c r="K1561" s="12"/>
      <c r="L1561" s="342">
        <v>32</v>
      </c>
      <c r="M1561" s="332">
        <v>11</v>
      </c>
      <c r="N1561" s="333">
        <v>150</v>
      </c>
      <c r="O1561" s="47"/>
      <c r="P1561" s="47" t="s">
        <v>39</v>
      </c>
      <c r="Q1561" s="12"/>
      <c r="R1561" s="192" t="str">
        <f t="shared" si="40"/>
        <v>150grams</v>
      </c>
      <c r="S1561" s="198">
        <f t="shared" si="41"/>
        <v>1650</v>
      </c>
      <c r="T1561" s="199" t="str">
        <f t="shared" si="42"/>
        <v>1650grams</v>
      </c>
      <c r="U1561" s="200">
        <f t="shared" si="43"/>
        <v>352</v>
      </c>
      <c r="V1561" s="12"/>
      <c r="W1561" s="12"/>
    </row>
    <row r="1562" spans="1:23" x14ac:dyDescent="0.3">
      <c r="A1562" s="193" t="e">
        <f ca="1"/>
        <v>#NAME?</v>
      </c>
      <c r="B1562" s="219" t="s">
        <v>288</v>
      </c>
      <c r="C1562" s="315"/>
      <c r="D1562" s="316"/>
      <c r="E1562" s="315"/>
      <c r="F1562" s="315"/>
      <c r="G1562" s="315"/>
      <c r="H1562" s="153"/>
      <c r="I1562" s="12"/>
      <c r="J1562" s="96" t="s">
        <v>1241</v>
      </c>
      <c r="K1562" s="12"/>
      <c r="L1562" s="341">
        <v>33</v>
      </c>
      <c r="M1562" s="335">
        <v>2</v>
      </c>
      <c r="N1562" s="336">
        <v>150</v>
      </c>
      <c r="O1562" s="327"/>
      <c r="P1562" s="327" t="s">
        <v>39</v>
      </c>
      <c r="Q1562" s="12"/>
      <c r="R1562" s="192" t="str">
        <f t="shared" si="40"/>
        <v>150grams</v>
      </c>
      <c r="S1562" s="198">
        <f t="shared" si="41"/>
        <v>300</v>
      </c>
      <c r="T1562" s="199" t="str">
        <f t="shared" si="42"/>
        <v>300grams</v>
      </c>
      <c r="U1562" s="200">
        <f t="shared" si="43"/>
        <v>66</v>
      </c>
      <c r="V1562" s="12"/>
      <c r="W1562" s="12"/>
    </row>
    <row r="1563" spans="1:23" x14ac:dyDescent="0.3">
      <c r="A1563" s="193" t="e">
        <f ca="1"/>
        <v>#NAME?</v>
      </c>
      <c r="B1563" s="46" t="s">
        <v>288</v>
      </c>
      <c r="C1563" s="315"/>
      <c r="D1563" s="316"/>
      <c r="E1563" s="315"/>
      <c r="F1563" s="315"/>
      <c r="G1563" s="315"/>
      <c r="H1563" s="153"/>
      <c r="I1563" s="12"/>
      <c r="J1563" s="264" t="s">
        <v>1241</v>
      </c>
      <c r="K1563" s="12"/>
      <c r="L1563" s="342">
        <v>31.2</v>
      </c>
      <c r="M1563" s="332">
        <v>3</v>
      </c>
      <c r="N1563" s="333">
        <v>150</v>
      </c>
      <c r="O1563" s="96"/>
      <c r="P1563" s="96" t="s">
        <v>39</v>
      </c>
      <c r="Q1563" s="12"/>
      <c r="R1563" s="192" t="str">
        <f t="shared" si="40"/>
        <v>150grams</v>
      </c>
      <c r="S1563" s="198">
        <f t="shared" si="41"/>
        <v>450</v>
      </c>
      <c r="T1563" s="199" t="str">
        <f t="shared" si="42"/>
        <v>450grams</v>
      </c>
      <c r="U1563" s="200">
        <f t="shared" si="43"/>
        <v>93.6</v>
      </c>
      <c r="V1563" s="12"/>
      <c r="W1563" s="12"/>
    </row>
    <row r="1564" spans="1:23" x14ac:dyDescent="0.3">
      <c r="A1564" s="193" t="e">
        <f ca="1"/>
        <v>#NAME?</v>
      </c>
      <c r="B1564" s="46" t="s">
        <v>290</v>
      </c>
      <c r="C1564" s="315"/>
      <c r="D1564" s="316"/>
      <c r="E1564" s="315"/>
      <c r="F1564" s="315"/>
      <c r="G1564" s="315"/>
      <c r="H1564" s="153"/>
      <c r="I1564" s="12"/>
      <c r="J1564" s="46" t="s">
        <v>1069</v>
      </c>
      <c r="K1564" s="12"/>
      <c r="L1564" s="342">
        <v>135</v>
      </c>
      <c r="M1564" s="332">
        <v>3</v>
      </c>
      <c r="N1564" s="333">
        <v>3500</v>
      </c>
      <c r="O1564" s="96"/>
      <c r="P1564" s="96" t="s">
        <v>32</v>
      </c>
      <c r="Q1564" s="12"/>
      <c r="R1564" s="192" t="str">
        <f t="shared" si="40"/>
        <v>3500ml</v>
      </c>
      <c r="S1564" s="198">
        <f t="shared" si="41"/>
        <v>10500</v>
      </c>
      <c r="T1564" s="199" t="str">
        <f t="shared" si="42"/>
        <v>10500ml</v>
      </c>
      <c r="U1564" s="200">
        <f t="shared" si="43"/>
        <v>405</v>
      </c>
      <c r="V1564" s="12"/>
      <c r="W1564" s="12"/>
    </row>
    <row r="1565" spans="1:23" x14ac:dyDescent="0.3">
      <c r="A1565" s="193" t="e">
        <f ca="1"/>
        <v>#NAME?</v>
      </c>
      <c r="B1565" s="46" t="s">
        <v>290</v>
      </c>
      <c r="C1565" s="315"/>
      <c r="D1565" s="316"/>
      <c r="E1565" s="315"/>
      <c r="F1565" s="315"/>
      <c r="G1565" s="315"/>
      <c r="H1565" s="153"/>
      <c r="I1565" s="12"/>
      <c r="J1565" s="46" t="s">
        <v>1069</v>
      </c>
      <c r="K1565" s="12"/>
      <c r="L1565" s="342">
        <v>135</v>
      </c>
      <c r="M1565" s="332">
        <v>11</v>
      </c>
      <c r="N1565" s="333">
        <v>3500</v>
      </c>
      <c r="O1565" s="96"/>
      <c r="P1565" s="96" t="s">
        <v>32</v>
      </c>
      <c r="Q1565" s="12"/>
      <c r="R1565" s="192" t="str">
        <f t="shared" si="40"/>
        <v>3500ml</v>
      </c>
      <c r="S1565" s="198">
        <f t="shared" si="41"/>
        <v>38500</v>
      </c>
      <c r="T1565" s="199" t="str">
        <f t="shared" si="42"/>
        <v>38500ml</v>
      </c>
      <c r="U1565" s="200">
        <f t="shared" si="43"/>
        <v>1485</v>
      </c>
      <c r="V1565" s="12"/>
      <c r="W1565" s="12"/>
    </row>
    <row r="1566" spans="1:23" x14ac:dyDescent="0.3">
      <c r="A1566" s="193" t="e">
        <f ca="1"/>
        <v>#NAME?</v>
      </c>
      <c r="B1566" s="46" t="s">
        <v>290</v>
      </c>
      <c r="C1566" s="315"/>
      <c r="D1566" s="316"/>
      <c r="E1566" s="315"/>
      <c r="F1566" s="315"/>
      <c r="G1566" s="315"/>
      <c r="H1566" s="153"/>
      <c r="I1566" s="12"/>
      <c r="J1566" s="46" t="s">
        <v>1069</v>
      </c>
      <c r="K1566" s="12"/>
      <c r="L1566" s="342">
        <v>135</v>
      </c>
      <c r="M1566" s="332">
        <v>1</v>
      </c>
      <c r="N1566" s="333">
        <v>3</v>
      </c>
      <c r="O1566" s="96"/>
      <c r="P1566" s="96" t="s">
        <v>213</v>
      </c>
      <c r="Q1566" s="12"/>
      <c r="R1566" s="192" t="str">
        <f t="shared" si="40"/>
        <v>3kilos</v>
      </c>
      <c r="S1566" s="198">
        <f t="shared" si="41"/>
        <v>3</v>
      </c>
      <c r="T1566" s="199" t="str">
        <f t="shared" si="42"/>
        <v>3kilos</v>
      </c>
      <c r="U1566" s="200">
        <f t="shared" si="43"/>
        <v>135</v>
      </c>
      <c r="V1566" s="12"/>
      <c r="W1566" s="12"/>
    </row>
    <row r="1567" spans="1:23" x14ac:dyDescent="0.3">
      <c r="A1567" s="193" t="e">
        <f ca="1"/>
        <v>#NAME?</v>
      </c>
      <c r="B1567" s="46" t="s">
        <v>1836</v>
      </c>
      <c r="C1567" s="315"/>
      <c r="D1567" s="316"/>
      <c r="E1567" s="315"/>
      <c r="F1567" s="315"/>
      <c r="G1567" s="315"/>
      <c r="H1567" s="153"/>
      <c r="I1567" s="12"/>
      <c r="J1567" s="46" t="s">
        <v>1241</v>
      </c>
      <c r="K1567" s="12"/>
      <c r="L1567" s="342">
        <v>84.2</v>
      </c>
      <c r="M1567" s="332">
        <v>1</v>
      </c>
      <c r="N1567" s="333">
        <v>900</v>
      </c>
      <c r="O1567" s="96"/>
      <c r="P1567" s="96" t="s">
        <v>39</v>
      </c>
      <c r="Q1567" s="12"/>
      <c r="R1567" s="192" t="str">
        <f t="shared" si="40"/>
        <v>900grams</v>
      </c>
      <c r="S1567" s="198">
        <f t="shared" si="41"/>
        <v>900</v>
      </c>
      <c r="T1567" s="199" t="str">
        <f t="shared" si="42"/>
        <v>900grams</v>
      </c>
      <c r="U1567" s="200">
        <f t="shared" si="43"/>
        <v>84.2</v>
      </c>
      <c r="V1567" s="12"/>
      <c r="W1567" s="12"/>
    </row>
    <row r="1568" spans="1:23" x14ac:dyDescent="0.3">
      <c r="A1568" s="193" t="e">
        <f ca="1"/>
        <v>#NAME?</v>
      </c>
      <c r="B1568" s="46" t="s">
        <v>1837</v>
      </c>
      <c r="C1568" s="315"/>
      <c r="D1568" s="316"/>
      <c r="E1568" s="315"/>
      <c r="F1568" s="315"/>
      <c r="G1568" s="315"/>
      <c r="H1568" s="153"/>
      <c r="I1568" s="12"/>
      <c r="J1568" s="46" t="s">
        <v>1241</v>
      </c>
      <c r="K1568" s="12"/>
      <c r="L1568" s="342">
        <v>82.8</v>
      </c>
      <c r="M1568" s="332">
        <v>5</v>
      </c>
      <c r="N1568" s="333">
        <v>900</v>
      </c>
      <c r="O1568" s="46"/>
      <c r="P1568" s="46" t="s">
        <v>39</v>
      </c>
      <c r="Q1568" s="12"/>
      <c r="R1568" s="192" t="str">
        <f t="shared" si="40"/>
        <v>900grams</v>
      </c>
      <c r="S1568" s="198">
        <f t="shared" si="41"/>
        <v>4500</v>
      </c>
      <c r="T1568" s="199" t="str">
        <f t="shared" si="42"/>
        <v>4500grams</v>
      </c>
      <c r="U1568" s="200">
        <f t="shared" si="43"/>
        <v>414</v>
      </c>
      <c r="V1568" s="12"/>
      <c r="W1568" s="12"/>
    </row>
    <row r="1569" spans="1:23" x14ac:dyDescent="0.3">
      <c r="A1569" s="193" t="e">
        <f ca="1"/>
        <v>#NAME?</v>
      </c>
      <c r="B1569" s="46" t="s">
        <v>338</v>
      </c>
      <c r="C1569" s="315"/>
      <c r="D1569" s="316"/>
      <c r="E1569" s="315"/>
      <c r="F1569" s="315"/>
      <c r="G1569" s="315"/>
      <c r="H1569" s="153"/>
      <c r="I1569" s="12"/>
      <c r="J1569" s="46" t="s">
        <v>1838</v>
      </c>
      <c r="K1569" s="12"/>
      <c r="L1569" s="342">
        <v>13</v>
      </c>
      <c r="M1569" s="332">
        <v>3</v>
      </c>
      <c r="N1569" s="333">
        <v>1</v>
      </c>
      <c r="O1569" s="46"/>
      <c r="P1569" s="46" t="s">
        <v>92</v>
      </c>
      <c r="Q1569" s="12"/>
      <c r="R1569" s="192" t="str">
        <f t="shared" si="40"/>
        <v>1pieces</v>
      </c>
      <c r="S1569" s="198">
        <f t="shared" si="41"/>
        <v>3</v>
      </c>
      <c r="T1569" s="199" t="str">
        <f t="shared" si="42"/>
        <v>3pieces</v>
      </c>
      <c r="U1569" s="200">
        <f t="shared" si="43"/>
        <v>39</v>
      </c>
      <c r="V1569" s="12"/>
      <c r="W1569" s="12"/>
    </row>
    <row r="1570" spans="1:23" x14ac:dyDescent="0.3">
      <c r="A1570" s="193" t="e">
        <f ca="1"/>
        <v>#NAME?</v>
      </c>
      <c r="B1570" s="46" t="s">
        <v>338</v>
      </c>
      <c r="C1570" s="315"/>
      <c r="D1570" s="316"/>
      <c r="E1570" s="315"/>
      <c r="F1570" s="315"/>
      <c r="G1570" s="315"/>
      <c r="H1570" s="153"/>
      <c r="I1570" s="12"/>
      <c r="J1570" s="46" t="s">
        <v>1838</v>
      </c>
      <c r="K1570" s="12"/>
      <c r="L1570" s="342">
        <v>27.75</v>
      </c>
      <c r="M1570" s="332">
        <v>4</v>
      </c>
      <c r="N1570" s="333">
        <v>1</v>
      </c>
      <c r="O1570" s="96"/>
      <c r="P1570" s="96" t="s">
        <v>92</v>
      </c>
      <c r="Q1570" s="12"/>
      <c r="R1570" s="192" t="str">
        <f t="shared" si="40"/>
        <v>1pieces</v>
      </c>
      <c r="S1570" s="198">
        <f t="shared" si="41"/>
        <v>4</v>
      </c>
      <c r="T1570" s="199" t="str">
        <f t="shared" si="42"/>
        <v>4pieces</v>
      </c>
      <c r="U1570" s="200">
        <f t="shared" si="43"/>
        <v>111</v>
      </c>
      <c r="V1570" s="12"/>
      <c r="W1570" s="12"/>
    </row>
    <row r="1571" spans="1:23" x14ac:dyDescent="0.3">
      <c r="A1571" s="193" t="e">
        <f ca="1"/>
        <v>#NAME?</v>
      </c>
      <c r="B1571" s="46" t="s">
        <v>338</v>
      </c>
      <c r="C1571" s="315"/>
      <c r="D1571" s="316"/>
      <c r="E1571" s="315"/>
      <c r="F1571" s="315"/>
      <c r="G1571" s="315"/>
      <c r="H1571" s="153"/>
      <c r="I1571" s="12"/>
      <c r="J1571" s="46" t="s">
        <v>1838</v>
      </c>
      <c r="K1571" s="12"/>
      <c r="L1571" s="342">
        <v>25</v>
      </c>
      <c r="M1571" s="332">
        <v>19</v>
      </c>
      <c r="N1571" s="333">
        <v>1</v>
      </c>
      <c r="O1571" s="96"/>
      <c r="P1571" s="96" t="s">
        <v>92</v>
      </c>
      <c r="Q1571" s="12"/>
      <c r="R1571" s="192" t="str">
        <f t="shared" si="40"/>
        <v>1pieces</v>
      </c>
      <c r="S1571" s="198">
        <f t="shared" si="41"/>
        <v>19</v>
      </c>
      <c r="T1571" s="199" t="str">
        <f t="shared" si="42"/>
        <v>19pieces</v>
      </c>
      <c r="U1571" s="200">
        <f t="shared" si="43"/>
        <v>475</v>
      </c>
      <c r="V1571" s="12"/>
      <c r="W1571" s="12"/>
    </row>
    <row r="1572" spans="1:23" x14ac:dyDescent="0.3">
      <c r="A1572" s="193" t="e">
        <f ca="1"/>
        <v>#NAME?</v>
      </c>
      <c r="B1572" s="46" t="s">
        <v>338</v>
      </c>
      <c r="C1572" s="315"/>
      <c r="D1572" s="316"/>
      <c r="E1572" s="315"/>
      <c r="F1572" s="315"/>
      <c r="G1572" s="315"/>
      <c r="H1572" s="153"/>
      <c r="I1572" s="12"/>
      <c r="J1572" s="46" t="s">
        <v>1838</v>
      </c>
      <c r="K1572" s="12"/>
      <c r="L1572" s="342">
        <v>12.56</v>
      </c>
      <c r="M1572" s="332">
        <v>8</v>
      </c>
      <c r="N1572" s="333">
        <v>1</v>
      </c>
      <c r="O1572" s="96"/>
      <c r="P1572" s="96" t="s">
        <v>92</v>
      </c>
      <c r="Q1572" s="12"/>
      <c r="R1572" s="192" t="str">
        <f t="shared" si="40"/>
        <v>1pieces</v>
      </c>
      <c r="S1572" s="198">
        <f t="shared" si="41"/>
        <v>8</v>
      </c>
      <c r="T1572" s="199" t="str">
        <f t="shared" si="42"/>
        <v>8pieces</v>
      </c>
      <c r="U1572" s="200">
        <f t="shared" si="43"/>
        <v>100.48</v>
      </c>
      <c r="V1572" s="12"/>
      <c r="W1572" s="12"/>
    </row>
    <row r="1573" spans="1:23" x14ac:dyDescent="0.3">
      <c r="A1573" s="193" t="e">
        <f ca="1"/>
        <v>#NAME?</v>
      </c>
      <c r="B1573" s="46" t="s">
        <v>340</v>
      </c>
      <c r="C1573" s="315"/>
      <c r="D1573" s="316"/>
      <c r="E1573" s="315"/>
      <c r="F1573" s="315"/>
      <c r="G1573" s="315"/>
      <c r="H1573" s="153"/>
      <c r="I1573" s="12"/>
      <c r="J1573" s="167" t="s">
        <v>1838</v>
      </c>
      <c r="K1573" s="12"/>
      <c r="L1573" s="342">
        <v>9</v>
      </c>
      <c r="M1573" s="332">
        <v>24</v>
      </c>
      <c r="N1573" s="333">
        <v>25</v>
      </c>
      <c r="O1573" s="96"/>
      <c r="P1573" s="96" t="s">
        <v>32</v>
      </c>
      <c r="Q1573" s="12"/>
      <c r="R1573" s="192" t="str">
        <f t="shared" si="40"/>
        <v>25ml</v>
      </c>
      <c r="S1573" s="198">
        <f t="shared" si="41"/>
        <v>600</v>
      </c>
      <c r="T1573" s="199" t="str">
        <f t="shared" si="42"/>
        <v>600ml</v>
      </c>
      <c r="U1573" s="200">
        <f t="shared" si="43"/>
        <v>216</v>
      </c>
      <c r="V1573" s="12"/>
      <c r="W1573" s="12"/>
    </row>
    <row r="1574" spans="1:23" x14ac:dyDescent="0.3">
      <c r="A1574" s="193" t="e">
        <f ca="1"/>
        <v>#NAME?</v>
      </c>
      <c r="B1574" s="46" t="s">
        <v>340</v>
      </c>
      <c r="C1574" s="315"/>
      <c r="D1574" s="316"/>
      <c r="E1574" s="315"/>
      <c r="F1574" s="315"/>
      <c r="G1574" s="315"/>
      <c r="H1574" s="153"/>
      <c r="I1574" s="12"/>
      <c r="J1574" s="46" t="s">
        <v>1839</v>
      </c>
      <c r="K1574" s="12"/>
      <c r="L1574" s="342">
        <v>8</v>
      </c>
      <c r="M1574" s="332">
        <v>2</v>
      </c>
      <c r="N1574" s="333">
        <v>20</v>
      </c>
      <c r="O1574" s="96"/>
      <c r="P1574" s="96" t="s">
        <v>32</v>
      </c>
      <c r="Q1574" s="12"/>
      <c r="R1574" s="192" t="str">
        <f t="shared" si="40"/>
        <v>20ml</v>
      </c>
      <c r="S1574" s="198">
        <f t="shared" si="41"/>
        <v>40</v>
      </c>
      <c r="T1574" s="199" t="str">
        <f t="shared" si="42"/>
        <v>40ml</v>
      </c>
      <c r="U1574" s="200">
        <f t="shared" si="43"/>
        <v>16</v>
      </c>
      <c r="V1574" s="12"/>
      <c r="W1574" s="12"/>
    </row>
    <row r="1575" spans="1:23" x14ac:dyDescent="0.3">
      <c r="A1575" s="193" t="e">
        <f ca="1"/>
        <v>#NAME?</v>
      </c>
      <c r="B1575" s="219" t="s">
        <v>340</v>
      </c>
      <c r="C1575" s="315"/>
      <c r="D1575" s="316"/>
      <c r="E1575" s="315"/>
      <c r="F1575" s="315"/>
      <c r="G1575" s="315"/>
      <c r="H1575" s="153"/>
      <c r="I1575" s="12"/>
      <c r="J1575" s="46" t="s">
        <v>1838</v>
      </c>
      <c r="K1575" s="12"/>
      <c r="L1575" s="342">
        <v>8</v>
      </c>
      <c r="M1575" s="332">
        <v>9</v>
      </c>
      <c r="N1575" s="333">
        <v>1</v>
      </c>
      <c r="O1575" s="96"/>
      <c r="P1575" s="96" t="s">
        <v>92</v>
      </c>
      <c r="Q1575" s="12"/>
      <c r="R1575" s="192" t="str">
        <f t="shared" si="40"/>
        <v>1pieces</v>
      </c>
      <c r="S1575" s="198">
        <f t="shared" si="41"/>
        <v>9</v>
      </c>
      <c r="T1575" s="199" t="str">
        <f t="shared" si="42"/>
        <v>9pieces</v>
      </c>
      <c r="U1575" s="200">
        <f t="shared" si="43"/>
        <v>72</v>
      </c>
      <c r="V1575" s="12"/>
      <c r="W1575" s="12"/>
    </row>
    <row r="1576" spans="1:23" x14ac:dyDescent="0.3">
      <c r="A1576" s="193" t="e">
        <f ca="1"/>
        <v>#NAME?</v>
      </c>
      <c r="B1576" s="46" t="s">
        <v>340</v>
      </c>
      <c r="C1576" s="315"/>
      <c r="D1576" s="316"/>
      <c r="E1576" s="315"/>
      <c r="F1576" s="315"/>
      <c r="G1576" s="315"/>
      <c r="H1576" s="153"/>
      <c r="I1576" s="12"/>
      <c r="J1576" s="96" t="s">
        <v>1840</v>
      </c>
      <c r="K1576" s="12"/>
      <c r="L1576" s="342">
        <v>8</v>
      </c>
      <c r="M1576" s="332">
        <v>12</v>
      </c>
      <c r="N1576" s="333">
        <v>1</v>
      </c>
      <c r="O1576" s="96"/>
      <c r="P1576" s="96" t="s">
        <v>92</v>
      </c>
      <c r="Q1576" s="12"/>
      <c r="R1576" s="192" t="str">
        <f t="shared" si="40"/>
        <v>1pieces</v>
      </c>
      <c r="S1576" s="198">
        <f t="shared" si="41"/>
        <v>12</v>
      </c>
      <c r="T1576" s="199" t="str">
        <f t="shared" si="42"/>
        <v>12pieces</v>
      </c>
      <c r="U1576" s="200">
        <f t="shared" si="43"/>
        <v>96</v>
      </c>
      <c r="V1576" s="12"/>
      <c r="W1576" s="12"/>
    </row>
    <row r="1577" spans="1:23" x14ac:dyDescent="0.3">
      <c r="A1577" s="193" t="e">
        <f ca="1"/>
        <v>#NAME?</v>
      </c>
      <c r="B1577" s="46" t="s">
        <v>355</v>
      </c>
      <c r="C1577" s="315"/>
      <c r="D1577" s="316"/>
      <c r="E1577" s="315"/>
      <c r="F1577" s="315"/>
      <c r="G1577" s="315"/>
      <c r="H1577" s="153"/>
      <c r="I1577" s="12"/>
      <c r="J1577" s="239"/>
      <c r="K1577" s="12"/>
      <c r="L1577" s="342">
        <v>25</v>
      </c>
      <c r="M1577" s="332">
        <v>3</v>
      </c>
      <c r="N1577" s="333">
        <v>1</v>
      </c>
      <c r="O1577" s="96"/>
      <c r="P1577" s="96" t="s">
        <v>304</v>
      </c>
      <c r="Q1577" s="12"/>
      <c r="R1577" s="192" t="str">
        <f t="shared" si="40"/>
        <v>1packs</v>
      </c>
      <c r="S1577" s="198">
        <f t="shared" si="41"/>
        <v>3</v>
      </c>
      <c r="T1577" s="199" t="str">
        <f t="shared" si="42"/>
        <v>3packs</v>
      </c>
      <c r="U1577" s="200">
        <f t="shared" si="43"/>
        <v>75</v>
      </c>
      <c r="V1577" s="12"/>
      <c r="W1577" s="12"/>
    </row>
    <row r="1578" spans="1:23" x14ac:dyDescent="0.3">
      <c r="A1578" s="193" t="e">
        <f ca="1"/>
        <v>#NAME?</v>
      </c>
      <c r="B1578" s="347" t="s">
        <v>355</v>
      </c>
      <c r="C1578" s="315"/>
      <c r="D1578" s="316"/>
      <c r="E1578" s="315"/>
      <c r="F1578" s="315"/>
      <c r="G1578" s="315"/>
      <c r="H1578" s="153"/>
      <c r="I1578" s="12"/>
      <c r="J1578" s="96" t="s">
        <v>1841</v>
      </c>
      <c r="K1578" s="12"/>
      <c r="L1578" s="342">
        <v>15</v>
      </c>
      <c r="M1578" s="332">
        <v>31</v>
      </c>
      <c r="N1578" s="333">
        <v>1</v>
      </c>
      <c r="O1578" s="96"/>
      <c r="P1578" s="96" t="s">
        <v>1638</v>
      </c>
      <c r="Q1578" s="12"/>
      <c r="R1578" s="192" t="str">
        <f t="shared" si="40"/>
        <v>1box</v>
      </c>
      <c r="S1578" s="198">
        <f t="shared" si="41"/>
        <v>31</v>
      </c>
      <c r="T1578" s="199" t="str">
        <f t="shared" si="42"/>
        <v>31box</v>
      </c>
      <c r="U1578" s="200">
        <f t="shared" si="43"/>
        <v>465</v>
      </c>
      <c r="V1578" s="12"/>
      <c r="W1578" s="12"/>
    </row>
    <row r="1579" spans="1:23" x14ac:dyDescent="0.3">
      <c r="A1579" s="193" t="e">
        <f ca="1"/>
        <v>#NAME?</v>
      </c>
      <c r="B1579" s="347" t="s">
        <v>355</v>
      </c>
      <c r="C1579" s="315"/>
      <c r="D1579" s="316"/>
      <c r="E1579" s="315"/>
      <c r="F1579" s="315"/>
      <c r="G1579" s="315"/>
      <c r="H1579" s="153"/>
      <c r="I1579" s="12"/>
      <c r="J1579" s="96" t="s">
        <v>900</v>
      </c>
      <c r="K1579" s="12"/>
      <c r="L1579" s="342">
        <v>15</v>
      </c>
      <c r="M1579" s="332">
        <v>3</v>
      </c>
      <c r="N1579" s="333">
        <v>1</v>
      </c>
      <c r="O1579" s="96"/>
      <c r="P1579" s="96" t="s">
        <v>304</v>
      </c>
      <c r="Q1579" s="12"/>
      <c r="R1579" s="192" t="str">
        <f t="shared" si="40"/>
        <v>1packs</v>
      </c>
      <c r="S1579" s="198">
        <f t="shared" si="41"/>
        <v>3</v>
      </c>
      <c r="T1579" s="199" t="str">
        <f t="shared" si="42"/>
        <v>3packs</v>
      </c>
      <c r="U1579" s="200">
        <f t="shared" si="43"/>
        <v>45</v>
      </c>
      <c r="V1579" s="12"/>
      <c r="W1579" s="12"/>
    </row>
    <row r="1580" spans="1:23" x14ac:dyDescent="0.3">
      <c r="A1580" s="193" t="e">
        <f ca="1"/>
        <v>#NAME?</v>
      </c>
      <c r="B1580" s="96" t="s">
        <v>1842</v>
      </c>
      <c r="C1580" s="315"/>
      <c r="D1580" s="316"/>
      <c r="E1580" s="315"/>
      <c r="F1580" s="315"/>
      <c r="G1580" s="315"/>
      <c r="H1580" s="153"/>
      <c r="I1580" s="12"/>
      <c r="J1580" s="96" t="s">
        <v>858</v>
      </c>
      <c r="K1580" s="12"/>
      <c r="L1580" s="342">
        <v>50.8</v>
      </c>
      <c r="M1580" s="332">
        <v>7</v>
      </c>
      <c r="N1580" s="333">
        <v>1</v>
      </c>
      <c r="O1580" s="96"/>
      <c r="P1580" s="96" t="s">
        <v>92</v>
      </c>
      <c r="Q1580" s="12"/>
      <c r="R1580" s="192" t="str">
        <f t="shared" si="40"/>
        <v>1pieces</v>
      </c>
      <c r="S1580" s="198">
        <f t="shared" si="41"/>
        <v>7</v>
      </c>
      <c r="T1580" s="199" t="str">
        <f t="shared" si="42"/>
        <v>7pieces</v>
      </c>
      <c r="U1580" s="200">
        <f t="shared" si="43"/>
        <v>355.59999999999997</v>
      </c>
      <c r="V1580" s="12"/>
      <c r="W1580" s="12"/>
    </row>
    <row r="1581" spans="1:23" x14ac:dyDescent="0.3">
      <c r="A1581" s="193" t="e">
        <f ca="1"/>
        <v>#NAME?</v>
      </c>
      <c r="B1581" s="340" t="s">
        <v>208</v>
      </c>
      <c r="C1581" s="315"/>
      <c r="D1581" s="316"/>
      <c r="E1581" s="315"/>
      <c r="F1581" s="315"/>
      <c r="G1581" s="315"/>
      <c r="H1581" s="153"/>
      <c r="I1581" s="12"/>
      <c r="J1581" s="340" t="s">
        <v>1843</v>
      </c>
      <c r="K1581" s="12"/>
      <c r="L1581" s="341">
        <v>6</v>
      </c>
      <c r="M1581" s="332">
        <v>100</v>
      </c>
      <c r="N1581" s="336">
        <v>1</v>
      </c>
      <c r="O1581" s="340"/>
      <c r="P1581" s="340" t="s">
        <v>92</v>
      </c>
      <c r="Q1581" s="12"/>
      <c r="R1581" s="192" t="str">
        <f t="shared" si="40"/>
        <v>1pieces</v>
      </c>
      <c r="S1581" s="198">
        <f t="shared" si="41"/>
        <v>100</v>
      </c>
      <c r="T1581" s="199" t="str">
        <f t="shared" si="42"/>
        <v>100pieces</v>
      </c>
      <c r="U1581" s="200">
        <f t="shared" si="43"/>
        <v>600</v>
      </c>
      <c r="V1581" s="12"/>
      <c r="W1581" s="12"/>
    </row>
    <row r="1582" spans="1:23" x14ac:dyDescent="0.3">
      <c r="A1582" s="193" t="e">
        <f ca="1"/>
        <v>#NAME?</v>
      </c>
      <c r="B1582" s="96" t="s">
        <v>208</v>
      </c>
      <c r="C1582" s="315"/>
      <c r="D1582" s="316"/>
      <c r="E1582" s="315"/>
      <c r="F1582" s="315"/>
      <c r="G1582" s="315"/>
      <c r="H1582" s="153"/>
      <c r="I1582" s="12"/>
      <c r="J1582" s="96" t="s">
        <v>858</v>
      </c>
      <c r="K1582" s="12"/>
      <c r="L1582" s="342">
        <v>62.97</v>
      </c>
      <c r="M1582" s="332">
        <v>16</v>
      </c>
      <c r="N1582" s="333">
        <v>1</v>
      </c>
      <c r="O1582" s="96"/>
      <c r="P1582" s="96" t="s">
        <v>210</v>
      </c>
      <c r="Q1582" s="12"/>
      <c r="R1582" s="192" t="str">
        <f t="shared" si="40"/>
        <v>1roll</v>
      </c>
      <c r="S1582" s="198">
        <f t="shared" si="41"/>
        <v>16</v>
      </c>
      <c r="T1582" s="199" t="str">
        <f t="shared" si="42"/>
        <v>16roll</v>
      </c>
      <c r="U1582" s="200">
        <f t="shared" si="43"/>
        <v>1007.52</v>
      </c>
      <c r="V1582" s="12"/>
      <c r="W1582" s="12"/>
    </row>
    <row r="1583" spans="1:23" x14ac:dyDescent="0.3">
      <c r="A1583" s="193" t="e">
        <f ca="1"/>
        <v>#NAME?</v>
      </c>
      <c r="B1583" s="348" t="s">
        <v>1844</v>
      </c>
      <c r="C1583" s="315"/>
      <c r="D1583" s="316"/>
      <c r="E1583" s="315"/>
      <c r="F1583" s="315"/>
      <c r="G1583" s="315"/>
      <c r="H1583" s="153"/>
      <c r="I1583" s="12"/>
      <c r="J1583" s="340" t="s">
        <v>1500</v>
      </c>
      <c r="K1583" s="12"/>
      <c r="L1583" s="341">
        <v>6</v>
      </c>
      <c r="M1583" s="332">
        <v>113</v>
      </c>
      <c r="N1583" s="336">
        <v>1</v>
      </c>
      <c r="O1583" s="340"/>
      <c r="P1583" s="340" t="s">
        <v>92</v>
      </c>
      <c r="Q1583" s="12"/>
      <c r="R1583" s="192" t="str">
        <f t="shared" si="40"/>
        <v>1pieces</v>
      </c>
      <c r="S1583" s="198">
        <f t="shared" si="41"/>
        <v>113</v>
      </c>
      <c r="T1583" s="199" t="str">
        <f t="shared" si="42"/>
        <v>113pieces</v>
      </c>
      <c r="U1583" s="200">
        <f t="shared" si="43"/>
        <v>678</v>
      </c>
      <c r="V1583" s="12"/>
      <c r="W1583" s="12"/>
    </row>
    <row r="1584" spans="1:23" x14ac:dyDescent="0.3">
      <c r="A1584" s="193" t="e">
        <f ca="1"/>
        <v>#NAME?</v>
      </c>
      <c r="B1584" s="348" t="s">
        <v>1844</v>
      </c>
      <c r="C1584" s="315"/>
      <c r="D1584" s="316"/>
      <c r="E1584" s="315"/>
      <c r="F1584" s="315"/>
      <c r="G1584" s="315"/>
      <c r="H1584" s="153"/>
      <c r="I1584" s="12"/>
      <c r="J1584" s="253"/>
      <c r="K1584" s="12"/>
      <c r="L1584" s="341">
        <v>7</v>
      </c>
      <c r="M1584" s="335">
        <v>41</v>
      </c>
      <c r="N1584" s="336">
        <v>1</v>
      </c>
      <c r="O1584" s="340"/>
      <c r="P1584" s="340" t="s">
        <v>92</v>
      </c>
      <c r="Q1584" s="12"/>
      <c r="R1584" s="192" t="str">
        <f t="shared" si="40"/>
        <v>1pieces</v>
      </c>
      <c r="S1584" s="198">
        <f t="shared" si="41"/>
        <v>41</v>
      </c>
      <c r="T1584" s="199" t="str">
        <f t="shared" si="42"/>
        <v>41pieces</v>
      </c>
      <c r="U1584" s="200">
        <f t="shared" si="43"/>
        <v>287</v>
      </c>
      <c r="V1584" s="12"/>
      <c r="W1584" s="12"/>
    </row>
    <row r="1585" spans="1:23" x14ac:dyDescent="0.3">
      <c r="A1585" s="193" t="e">
        <f ca="1"/>
        <v>#NAME?</v>
      </c>
      <c r="B1585" s="347" t="s">
        <v>1845</v>
      </c>
      <c r="C1585" s="315"/>
      <c r="D1585" s="316"/>
      <c r="E1585" s="315"/>
      <c r="F1585" s="315"/>
      <c r="G1585" s="315"/>
      <c r="H1585" s="153"/>
      <c r="I1585" s="12"/>
      <c r="J1585" s="96" t="s">
        <v>858</v>
      </c>
      <c r="K1585" s="12"/>
      <c r="L1585" s="342">
        <v>50.81</v>
      </c>
      <c r="M1585" s="332">
        <v>30</v>
      </c>
      <c r="N1585" s="333">
        <v>1</v>
      </c>
      <c r="O1585" s="96"/>
      <c r="P1585" s="96" t="s">
        <v>210</v>
      </c>
      <c r="Q1585" s="12"/>
      <c r="R1585" s="192" t="str">
        <f t="shared" si="40"/>
        <v>1roll</v>
      </c>
      <c r="S1585" s="198">
        <f t="shared" si="41"/>
        <v>30</v>
      </c>
      <c r="T1585" s="199" t="str">
        <f t="shared" si="42"/>
        <v>30roll</v>
      </c>
      <c r="U1585" s="200">
        <f t="shared" si="43"/>
        <v>1524.3000000000002</v>
      </c>
      <c r="V1585" s="12"/>
      <c r="W1585" s="12"/>
    </row>
    <row r="1586" spans="1:23" x14ac:dyDescent="0.3">
      <c r="A1586" s="193" t="e">
        <f ca="1"/>
        <v>#NAME?</v>
      </c>
      <c r="B1586" s="309" t="s">
        <v>1846</v>
      </c>
      <c r="C1586" s="315"/>
      <c r="D1586" s="316"/>
      <c r="E1586" s="315"/>
      <c r="F1586" s="315"/>
      <c r="G1586" s="315"/>
      <c r="H1586" s="153"/>
      <c r="I1586" s="12"/>
      <c r="J1586" s="239"/>
      <c r="K1586" s="12"/>
      <c r="L1586" s="342">
        <v>450</v>
      </c>
      <c r="M1586" s="332">
        <v>2</v>
      </c>
      <c r="N1586" s="333">
        <v>1</v>
      </c>
      <c r="O1586" s="96"/>
      <c r="P1586" s="96" t="s">
        <v>213</v>
      </c>
      <c r="Q1586" s="12"/>
      <c r="R1586" s="192" t="str">
        <f t="shared" si="40"/>
        <v>1kilos</v>
      </c>
      <c r="S1586" s="198">
        <f t="shared" si="41"/>
        <v>2</v>
      </c>
      <c r="T1586" s="199" t="str">
        <f t="shared" si="42"/>
        <v>2kilos</v>
      </c>
      <c r="U1586" s="200">
        <f t="shared" si="43"/>
        <v>900</v>
      </c>
      <c r="V1586" s="12"/>
      <c r="W1586" s="12"/>
    </row>
    <row r="1587" spans="1:23" x14ac:dyDescent="0.3">
      <c r="A1587" s="193" t="e">
        <f ca="1"/>
        <v>#NAME?</v>
      </c>
      <c r="B1587" s="349" t="s">
        <v>1846</v>
      </c>
      <c r="C1587" s="315"/>
      <c r="D1587" s="316"/>
      <c r="E1587" s="315"/>
      <c r="F1587" s="315"/>
      <c r="G1587" s="315"/>
      <c r="H1587" s="153"/>
      <c r="I1587" s="12"/>
      <c r="J1587" s="96" t="s">
        <v>1847</v>
      </c>
      <c r="K1587" s="12"/>
      <c r="L1587" s="342">
        <v>460</v>
      </c>
      <c r="M1587" s="332">
        <v>2</v>
      </c>
      <c r="N1587" s="333">
        <v>1</v>
      </c>
      <c r="O1587" s="96"/>
      <c r="P1587" s="96" t="s">
        <v>213</v>
      </c>
      <c r="Q1587" s="12"/>
      <c r="R1587" s="192" t="str">
        <f t="shared" si="40"/>
        <v>1kilos</v>
      </c>
      <c r="S1587" s="198">
        <f t="shared" si="41"/>
        <v>2</v>
      </c>
      <c r="T1587" s="199" t="str">
        <f t="shared" si="42"/>
        <v>2kilos</v>
      </c>
      <c r="U1587" s="200">
        <f t="shared" si="43"/>
        <v>920</v>
      </c>
      <c r="V1587" s="12"/>
      <c r="W1587" s="12"/>
    </row>
    <row r="1588" spans="1:23" x14ac:dyDescent="0.3">
      <c r="A1588" s="193" t="e">
        <f ca="1"/>
        <v>#NAME?</v>
      </c>
      <c r="B1588" s="348" t="s">
        <v>1848</v>
      </c>
      <c r="C1588" s="315"/>
      <c r="D1588" s="316"/>
      <c r="E1588" s="315"/>
      <c r="F1588" s="315"/>
      <c r="G1588" s="315"/>
      <c r="H1588" s="153"/>
      <c r="I1588" s="12"/>
      <c r="J1588" s="96" t="s">
        <v>854</v>
      </c>
      <c r="K1588" s="12"/>
      <c r="L1588" s="342">
        <v>78</v>
      </c>
      <c r="M1588" s="332">
        <v>1</v>
      </c>
      <c r="N1588" s="333">
        <v>31</v>
      </c>
      <c r="O1588" s="96"/>
      <c r="P1588" s="96" t="s">
        <v>39</v>
      </c>
      <c r="Q1588" s="12"/>
      <c r="R1588" s="192" t="str">
        <f t="shared" si="40"/>
        <v>31grams</v>
      </c>
      <c r="S1588" s="198">
        <f t="shared" si="41"/>
        <v>31</v>
      </c>
      <c r="T1588" s="199" t="str">
        <f t="shared" si="42"/>
        <v>31grams</v>
      </c>
      <c r="U1588" s="200">
        <f t="shared" si="43"/>
        <v>78</v>
      </c>
      <c r="V1588" s="12"/>
      <c r="W1588" s="12"/>
    </row>
    <row r="1589" spans="1:23" x14ac:dyDescent="0.3">
      <c r="A1589" s="193" t="e">
        <f ca="1"/>
        <v>#NAME?</v>
      </c>
      <c r="B1589" s="340" t="s">
        <v>1848</v>
      </c>
      <c r="C1589" s="315"/>
      <c r="D1589" s="316"/>
      <c r="E1589" s="315"/>
      <c r="F1589" s="315"/>
      <c r="G1589" s="315"/>
      <c r="H1589" s="153"/>
      <c r="I1589" s="12"/>
      <c r="J1589" s="219" t="s">
        <v>1074</v>
      </c>
      <c r="K1589" s="12"/>
      <c r="L1589" s="341">
        <v>12.95</v>
      </c>
      <c r="M1589" s="335">
        <v>5</v>
      </c>
      <c r="N1589" s="336">
        <v>30</v>
      </c>
      <c r="O1589" s="340"/>
      <c r="P1589" s="340" t="s">
        <v>39</v>
      </c>
      <c r="Q1589" s="12"/>
      <c r="R1589" s="192" t="str">
        <f t="shared" si="40"/>
        <v>30grams</v>
      </c>
      <c r="S1589" s="198">
        <f t="shared" si="41"/>
        <v>150</v>
      </c>
      <c r="T1589" s="199" t="str">
        <f t="shared" si="42"/>
        <v>150grams</v>
      </c>
      <c r="U1589" s="200">
        <f t="shared" si="43"/>
        <v>64.75</v>
      </c>
      <c r="V1589" s="12"/>
      <c r="W1589" s="12"/>
    </row>
    <row r="1590" spans="1:23" x14ac:dyDescent="0.3">
      <c r="A1590" s="193" t="e">
        <f ca="1"/>
        <v>#NAME?</v>
      </c>
      <c r="B1590" s="46" t="s">
        <v>1849</v>
      </c>
      <c r="C1590" s="315"/>
      <c r="D1590" s="316"/>
      <c r="E1590" s="315"/>
      <c r="F1590" s="315"/>
      <c r="G1590" s="315"/>
      <c r="H1590" s="153"/>
      <c r="I1590" s="12"/>
      <c r="J1590" s="170"/>
      <c r="K1590" s="12"/>
      <c r="L1590" s="350">
        <v>240</v>
      </c>
      <c r="M1590" s="332">
        <v>1</v>
      </c>
      <c r="N1590" s="333">
        <v>1</v>
      </c>
      <c r="O1590" s="46"/>
      <c r="P1590" s="46" t="s">
        <v>213</v>
      </c>
      <c r="Q1590" s="12"/>
      <c r="R1590" s="192" t="str">
        <f t="shared" si="40"/>
        <v>1kilos</v>
      </c>
      <c r="S1590" s="198">
        <f t="shared" si="41"/>
        <v>1</v>
      </c>
      <c r="T1590" s="199" t="str">
        <f t="shared" si="42"/>
        <v>1kilos</v>
      </c>
      <c r="U1590" s="200">
        <f t="shared" si="43"/>
        <v>240</v>
      </c>
      <c r="V1590" s="12"/>
      <c r="W1590" s="12"/>
    </row>
    <row r="1591" spans="1:23" x14ac:dyDescent="0.3">
      <c r="A1591" s="193" t="e">
        <f ca="1"/>
        <v>#NAME?</v>
      </c>
      <c r="B1591" s="46" t="s">
        <v>1850</v>
      </c>
      <c r="C1591" s="315"/>
      <c r="D1591" s="316"/>
      <c r="E1591" s="315"/>
      <c r="F1591" s="315"/>
      <c r="G1591" s="315"/>
      <c r="H1591" s="153"/>
      <c r="I1591" s="12"/>
      <c r="J1591" s="46" t="s">
        <v>854</v>
      </c>
      <c r="K1591" s="12"/>
      <c r="L1591" s="342">
        <v>44</v>
      </c>
      <c r="M1591" s="332">
        <v>1</v>
      </c>
      <c r="N1591" s="333">
        <v>20</v>
      </c>
      <c r="O1591" s="46"/>
      <c r="P1591" s="46" t="s">
        <v>32</v>
      </c>
      <c r="Q1591" s="12"/>
      <c r="R1591" s="192" t="str">
        <f t="shared" si="40"/>
        <v>20ml</v>
      </c>
      <c r="S1591" s="198">
        <f t="shared" si="41"/>
        <v>20</v>
      </c>
      <c r="T1591" s="199" t="str">
        <f t="shared" si="42"/>
        <v>20ml</v>
      </c>
      <c r="U1591" s="200">
        <f t="shared" si="43"/>
        <v>44</v>
      </c>
      <c r="V1591" s="12"/>
      <c r="W1591" s="12"/>
    </row>
    <row r="1592" spans="1:23" x14ac:dyDescent="0.3">
      <c r="A1592" s="193" t="e">
        <f ca="1"/>
        <v>#NAME?</v>
      </c>
      <c r="B1592" s="46" t="s">
        <v>1850</v>
      </c>
      <c r="C1592" s="315"/>
      <c r="D1592" s="316"/>
      <c r="E1592" s="315"/>
      <c r="F1592" s="315"/>
      <c r="G1592" s="315"/>
      <c r="H1592" s="153"/>
      <c r="I1592" s="12"/>
      <c r="J1592" s="46" t="s">
        <v>1227</v>
      </c>
      <c r="K1592" s="12"/>
      <c r="L1592" s="342">
        <v>46</v>
      </c>
      <c r="M1592" s="332">
        <v>2</v>
      </c>
      <c r="N1592" s="333">
        <v>375</v>
      </c>
      <c r="O1592" s="46"/>
      <c r="P1592" s="46" t="s">
        <v>32</v>
      </c>
      <c r="Q1592" s="12"/>
      <c r="R1592" s="192" t="str">
        <f t="shared" si="40"/>
        <v>375ml</v>
      </c>
      <c r="S1592" s="198">
        <f t="shared" si="41"/>
        <v>750</v>
      </c>
      <c r="T1592" s="199" t="str">
        <f t="shared" si="42"/>
        <v>750ml</v>
      </c>
      <c r="U1592" s="200">
        <f t="shared" si="43"/>
        <v>92</v>
      </c>
      <c r="V1592" s="12"/>
      <c r="W1592" s="12"/>
    </row>
    <row r="1593" spans="1:23" x14ac:dyDescent="0.3">
      <c r="A1593" s="193" t="e">
        <f ca="1"/>
        <v>#NAME?</v>
      </c>
      <c r="B1593" s="46" t="s">
        <v>1850</v>
      </c>
      <c r="C1593" s="315"/>
      <c r="D1593" s="316"/>
      <c r="E1593" s="315"/>
      <c r="F1593" s="315"/>
      <c r="G1593" s="315"/>
      <c r="H1593" s="153"/>
      <c r="I1593" s="12"/>
      <c r="J1593" s="46" t="s">
        <v>1851</v>
      </c>
      <c r="K1593" s="12"/>
      <c r="L1593" s="342">
        <v>55</v>
      </c>
      <c r="M1593" s="332">
        <v>1</v>
      </c>
      <c r="N1593" s="333">
        <v>350</v>
      </c>
      <c r="O1593" s="46"/>
      <c r="P1593" s="46" t="s">
        <v>32</v>
      </c>
      <c r="Q1593" s="12"/>
      <c r="R1593" s="192" t="str">
        <f t="shared" si="40"/>
        <v>350ml</v>
      </c>
      <c r="S1593" s="198">
        <f t="shared" si="41"/>
        <v>350</v>
      </c>
      <c r="T1593" s="199" t="str">
        <f t="shared" si="42"/>
        <v>350ml</v>
      </c>
      <c r="U1593" s="200">
        <f t="shared" si="43"/>
        <v>55</v>
      </c>
      <c r="V1593" s="12"/>
      <c r="W1593" s="12"/>
    </row>
    <row r="1594" spans="1:23" x14ac:dyDescent="0.3">
      <c r="A1594" s="193" t="e">
        <f ca="1"/>
        <v>#NAME?</v>
      </c>
      <c r="B1594" s="219" t="s">
        <v>196</v>
      </c>
      <c r="C1594" s="315"/>
      <c r="D1594" s="316"/>
      <c r="E1594" s="315"/>
      <c r="F1594" s="315"/>
      <c r="G1594" s="315"/>
      <c r="H1594" s="153"/>
      <c r="I1594" s="12"/>
      <c r="J1594" s="46" t="s">
        <v>910</v>
      </c>
      <c r="K1594" s="12"/>
      <c r="L1594" s="288">
        <v>51</v>
      </c>
      <c r="M1594" s="289">
        <v>7</v>
      </c>
      <c r="N1594" s="290">
        <v>260</v>
      </c>
      <c r="O1594" s="320"/>
      <c r="P1594" s="320" t="s">
        <v>39</v>
      </c>
      <c r="Q1594" s="12"/>
      <c r="R1594" s="192" t="str">
        <f t="shared" si="40"/>
        <v>260grams</v>
      </c>
      <c r="S1594" s="198">
        <f t="shared" si="41"/>
        <v>1820</v>
      </c>
      <c r="T1594" s="199" t="str">
        <f t="shared" si="42"/>
        <v>1820grams</v>
      </c>
      <c r="U1594" s="200">
        <f t="shared" si="43"/>
        <v>357</v>
      </c>
      <c r="V1594" s="12"/>
      <c r="W1594" s="12"/>
    </row>
    <row r="1595" spans="1:23" x14ac:dyDescent="0.3">
      <c r="A1595" s="193" t="e">
        <f ca="1"/>
        <v>#NAME?</v>
      </c>
      <c r="B1595" s="219" t="s">
        <v>196</v>
      </c>
      <c r="C1595" s="315"/>
      <c r="D1595" s="316"/>
      <c r="E1595" s="315"/>
      <c r="F1595" s="315"/>
      <c r="G1595" s="315"/>
      <c r="H1595" s="153"/>
      <c r="I1595" s="12"/>
      <c r="J1595" s="219" t="s">
        <v>870</v>
      </c>
      <c r="K1595" s="12"/>
      <c r="L1595" s="291">
        <v>56.75</v>
      </c>
      <c r="M1595" s="292">
        <v>2</v>
      </c>
      <c r="N1595" s="293">
        <v>130</v>
      </c>
      <c r="O1595" s="351"/>
      <c r="P1595" s="351" t="s">
        <v>39</v>
      </c>
      <c r="Q1595" s="12"/>
      <c r="R1595" s="192" t="str">
        <f t="shared" si="40"/>
        <v>130grams</v>
      </c>
      <c r="S1595" s="198">
        <f t="shared" si="41"/>
        <v>260</v>
      </c>
      <c r="T1595" s="199" t="str">
        <f t="shared" si="42"/>
        <v>260grams</v>
      </c>
      <c r="U1595" s="200">
        <f t="shared" si="43"/>
        <v>113.5</v>
      </c>
      <c r="V1595" s="12"/>
      <c r="W1595" s="12"/>
    </row>
    <row r="1596" spans="1:23" x14ac:dyDescent="0.3">
      <c r="A1596" s="193" t="e">
        <f ca="1"/>
        <v>#NAME?</v>
      </c>
      <c r="B1596" s="46" t="s">
        <v>291</v>
      </c>
      <c r="C1596" s="315"/>
      <c r="D1596" s="316"/>
      <c r="E1596" s="315"/>
      <c r="F1596" s="315"/>
      <c r="G1596" s="315"/>
      <c r="H1596" s="153"/>
      <c r="I1596" s="12"/>
      <c r="J1596" s="46" t="s">
        <v>1069</v>
      </c>
      <c r="K1596" s="12"/>
      <c r="L1596" s="288">
        <v>70</v>
      </c>
      <c r="M1596" s="289">
        <v>4</v>
      </c>
      <c r="N1596" s="290">
        <v>3500</v>
      </c>
      <c r="O1596" s="320"/>
      <c r="P1596" s="320" t="s">
        <v>32</v>
      </c>
      <c r="Q1596" s="12"/>
      <c r="R1596" s="192" t="str">
        <f t="shared" si="40"/>
        <v>3500ml</v>
      </c>
      <c r="S1596" s="198">
        <f t="shared" si="41"/>
        <v>14000</v>
      </c>
      <c r="T1596" s="199" t="str">
        <f t="shared" si="42"/>
        <v>14000ml</v>
      </c>
      <c r="U1596" s="200">
        <f t="shared" si="43"/>
        <v>280</v>
      </c>
      <c r="V1596" s="12"/>
      <c r="W1596" s="12"/>
    </row>
    <row r="1597" spans="1:23" x14ac:dyDescent="0.3">
      <c r="A1597" s="193" t="e">
        <f ca="1"/>
        <v>#NAME?</v>
      </c>
      <c r="B1597" s="46" t="s">
        <v>291</v>
      </c>
      <c r="C1597" s="315"/>
      <c r="D1597" s="316"/>
      <c r="E1597" s="315"/>
      <c r="F1597" s="315"/>
      <c r="G1597" s="315"/>
      <c r="H1597" s="153"/>
      <c r="I1597" s="12"/>
      <c r="J1597" s="46" t="s">
        <v>1069</v>
      </c>
      <c r="K1597" s="12"/>
      <c r="L1597" s="288">
        <v>70</v>
      </c>
      <c r="M1597" s="289">
        <v>10</v>
      </c>
      <c r="N1597" s="290">
        <v>3500</v>
      </c>
      <c r="O1597" s="320"/>
      <c r="P1597" s="320" t="s">
        <v>32</v>
      </c>
      <c r="Q1597" s="12"/>
      <c r="R1597" s="192" t="str">
        <f t="shared" si="40"/>
        <v>3500ml</v>
      </c>
      <c r="S1597" s="198">
        <f t="shared" si="41"/>
        <v>35000</v>
      </c>
      <c r="T1597" s="199" t="str">
        <f t="shared" si="42"/>
        <v>35000ml</v>
      </c>
      <c r="U1597" s="200">
        <f t="shared" si="43"/>
        <v>700</v>
      </c>
      <c r="V1597" s="12"/>
      <c r="W1597" s="12"/>
    </row>
    <row r="1598" spans="1:23" x14ac:dyDescent="0.3">
      <c r="A1598" s="193" t="e">
        <f ca="1"/>
        <v>#NAME?</v>
      </c>
      <c r="B1598" s="46" t="s">
        <v>291</v>
      </c>
      <c r="C1598" s="315"/>
      <c r="D1598" s="316"/>
      <c r="E1598" s="315"/>
      <c r="F1598" s="315"/>
      <c r="G1598" s="315"/>
      <c r="H1598" s="153"/>
      <c r="I1598" s="12"/>
      <c r="J1598" s="96" t="s">
        <v>1069</v>
      </c>
      <c r="K1598" s="12"/>
      <c r="L1598" s="352">
        <v>70</v>
      </c>
      <c r="M1598" s="289">
        <v>1</v>
      </c>
      <c r="N1598" s="333">
        <v>3</v>
      </c>
      <c r="O1598" s="47"/>
      <c r="P1598" s="47" t="s">
        <v>773</v>
      </c>
      <c r="Q1598" s="12"/>
      <c r="R1598" s="192" t="str">
        <f t="shared" si="40"/>
        <v>3liters</v>
      </c>
      <c r="S1598" s="198">
        <f t="shared" si="41"/>
        <v>3</v>
      </c>
      <c r="T1598" s="199" t="str">
        <f t="shared" si="42"/>
        <v>3liters</v>
      </c>
      <c r="U1598" s="200">
        <f t="shared" si="43"/>
        <v>70</v>
      </c>
      <c r="V1598" s="12"/>
      <c r="W1598" s="12"/>
    </row>
    <row r="1599" spans="1:23" x14ac:dyDescent="0.3">
      <c r="A1599" s="193" t="e">
        <f ca="1"/>
        <v>#NAME?</v>
      </c>
      <c r="B1599" s="46" t="s">
        <v>291</v>
      </c>
      <c r="C1599" s="315"/>
      <c r="D1599" s="316"/>
      <c r="E1599" s="315"/>
      <c r="F1599" s="315"/>
      <c r="G1599" s="315"/>
      <c r="H1599" s="153"/>
      <c r="I1599" s="12"/>
      <c r="J1599" s="46" t="s">
        <v>1069</v>
      </c>
      <c r="K1599" s="12"/>
      <c r="L1599" s="352">
        <v>70</v>
      </c>
      <c r="M1599" s="289">
        <v>1</v>
      </c>
      <c r="N1599" s="333">
        <v>3500</v>
      </c>
      <c r="O1599" s="47"/>
      <c r="P1599" s="47" t="s">
        <v>32</v>
      </c>
      <c r="Q1599" s="12"/>
      <c r="R1599" s="192" t="str">
        <f t="shared" si="40"/>
        <v>3500ml</v>
      </c>
      <c r="S1599" s="198">
        <f t="shared" si="41"/>
        <v>3500</v>
      </c>
      <c r="T1599" s="199" t="str">
        <f t="shared" si="42"/>
        <v>3500ml</v>
      </c>
      <c r="U1599" s="200">
        <f t="shared" si="43"/>
        <v>70</v>
      </c>
      <c r="V1599" s="12"/>
      <c r="W1599" s="12"/>
    </row>
    <row r="1600" spans="1:23" x14ac:dyDescent="0.3">
      <c r="A1600" s="193" t="e">
        <f ca="1"/>
        <v>#NAME?</v>
      </c>
      <c r="B1600" s="46" t="s">
        <v>291</v>
      </c>
      <c r="C1600" s="315"/>
      <c r="D1600" s="316"/>
      <c r="E1600" s="315"/>
      <c r="F1600" s="315"/>
      <c r="G1600" s="315"/>
      <c r="H1600" s="153"/>
      <c r="I1600" s="12"/>
      <c r="J1600" s="219" t="s">
        <v>1852</v>
      </c>
      <c r="K1600" s="12"/>
      <c r="L1600" s="342">
        <v>155.69999999999999</v>
      </c>
      <c r="M1600" s="332">
        <v>8</v>
      </c>
      <c r="N1600" s="333">
        <v>1</v>
      </c>
      <c r="O1600" s="47"/>
      <c r="P1600" s="47" t="s">
        <v>200</v>
      </c>
      <c r="Q1600" s="12"/>
      <c r="R1600" s="192" t="str">
        <f t="shared" si="40"/>
        <v>1gal</v>
      </c>
      <c r="S1600" s="198">
        <f t="shared" si="41"/>
        <v>8</v>
      </c>
      <c r="T1600" s="199" t="str">
        <f t="shared" si="42"/>
        <v>8gal</v>
      </c>
      <c r="U1600" s="200">
        <f t="shared" si="43"/>
        <v>1245.5999999999999</v>
      </c>
      <c r="V1600" s="12"/>
      <c r="W1600" s="12"/>
    </row>
    <row r="1601" spans="1:23" x14ac:dyDescent="0.3">
      <c r="A1601" s="193" t="e">
        <f ca="1"/>
        <v>#NAME?</v>
      </c>
      <c r="B1601" s="96" t="s">
        <v>291</v>
      </c>
      <c r="C1601" s="315"/>
      <c r="D1601" s="316"/>
      <c r="E1601" s="315"/>
      <c r="F1601" s="315"/>
      <c r="G1601" s="315"/>
      <c r="H1601" s="153"/>
      <c r="I1601" s="12"/>
      <c r="J1601" s="96" t="s">
        <v>1069</v>
      </c>
      <c r="K1601" s="12"/>
      <c r="L1601" s="342">
        <v>70</v>
      </c>
      <c r="M1601" s="332">
        <v>19</v>
      </c>
      <c r="N1601" s="333">
        <v>3500</v>
      </c>
      <c r="O1601" s="47"/>
      <c r="P1601" s="47" t="s">
        <v>32</v>
      </c>
      <c r="Q1601" s="12"/>
      <c r="R1601" s="192" t="str">
        <f t="shared" si="40"/>
        <v>3500ml</v>
      </c>
      <c r="S1601" s="198">
        <f t="shared" si="41"/>
        <v>66500</v>
      </c>
      <c r="T1601" s="199" t="str">
        <f t="shared" si="42"/>
        <v>66500ml</v>
      </c>
      <c r="U1601" s="200">
        <f t="shared" si="43"/>
        <v>1330</v>
      </c>
      <c r="V1601" s="12"/>
      <c r="W1601" s="12"/>
    </row>
    <row r="1602" spans="1:23" x14ac:dyDescent="0.3">
      <c r="A1602" s="193" t="e">
        <f ca="1"/>
        <v>#NAME?</v>
      </c>
      <c r="B1602" s="96" t="s">
        <v>291</v>
      </c>
      <c r="C1602" s="315"/>
      <c r="D1602" s="316"/>
      <c r="E1602" s="315"/>
      <c r="F1602" s="315"/>
      <c r="G1602" s="315"/>
      <c r="H1602" s="153"/>
      <c r="I1602" s="12"/>
      <c r="J1602" s="96" t="s">
        <v>1071</v>
      </c>
      <c r="K1602" s="12"/>
      <c r="L1602" s="342">
        <v>65</v>
      </c>
      <c r="M1602" s="332">
        <v>7</v>
      </c>
      <c r="N1602" s="333">
        <v>1</v>
      </c>
      <c r="O1602" s="47"/>
      <c r="P1602" s="47" t="s">
        <v>200</v>
      </c>
      <c r="Q1602" s="12"/>
      <c r="R1602" s="192" t="str">
        <f t="shared" si="40"/>
        <v>1gal</v>
      </c>
      <c r="S1602" s="198">
        <f t="shared" si="41"/>
        <v>7</v>
      </c>
      <c r="T1602" s="199" t="str">
        <f t="shared" si="42"/>
        <v>7gal</v>
      </c>
      <c r="U1602" s="200">
        <f t="shared" si="43"/>
        <v>455</v>
      </c>
      <c r="V1602" s="12"/>
      <c r="W1602" s="12"/>
    </row>
    <row r="1603" spans="1:23" x14ac:dyDescent="0.3">
      <c r="A1603" s="193" t="e">
        <f ca="1"/>
        <v>#NAME?</v>
      </c>
      <c r="B1603" s="340" t="s">
        <v>291</v>
      </c>
      <c r="C1603" s="315"/>
      <c r="D1603" s="316"/>
      <c r="E1603" s="315"/>
      <c r="F1603" s="315"/>
      <c r="G1603" s="315"/>
      <c r="H1603" s="153"/>
      <c r="I1603" s="12"/>
      <c r="J1603" s="340" t="s">
        <v>1069</v>
      </c>
      <c r="K1603" s="12"/>
      <c r="L1603" s="341">
        <v>65</v>
      </c>
      <c r="M1603" s="335">
        <v>10</v>
      </c>
      <c r="N1603" s="336">
        <v>3500</v>
      </c>
      <c r="O1603" s="327"/>
      <c r="P1603" s="327" t="s">
        <v>32</v>
      </c>
      <c r="Q1603" s="12"/>
      <c r="R1603" s="192" t="str">
        <f t="shared" si="40"/>
        <v>3500ml</v>
      </c>
      <c r="S1603" s="198">
        <f t="shared" si="41"/>
        <v>35000</v>
      </c>
      <c r="T1603" s="199" t="str">
        <f t="shared" si="42"/>
        <v>35000ml</v>
      </c>
      <c r="U1603" s="200">
        <f t="shared" si="43"/>
        <v>650</v>
      </c>
      <c r="V1603" s="12"/>
      <c r="W1603" s="12"/>
    </row>
    <row r="1604" spans="1:23" x14ac:dyDescent="0.3">
      <c r="A1604" s="193" t="e">
        <f ca="1"/>
        <v>#NAME?</v>
      </c>
      <c r="B1604" s="348" t="s">
        <v>291</v>
      </c>
      <c r="C1604" s="315"/>
      <c r="D1604" s="316"/>
      <c r="E1604" s="315"/>
      <c r="F1604" s="315"/>
      <c r="G1604" s="315"/>
      <c r="H1604" s="153"/>
      <c r="I1604" s="12"/>
      <c r="J1604" s="340" t="s">
        <v>1853</v>
      </c>
      <c r="K1604" s="12"/>
      <c r="L1604" s="341">
        <v>41.5</v>
      </c>
      <c r="M1604" s="335">
        <v>1</v>
      </c>
      <c r="N1604" s="336">
        <v>1</v>
      </c>
      <c r="O1604" s="327"/>
      <c r="P1604" s="327" t="s">
        <v>773</v>
      </c>
      <c r="Q1604" s="12"/>
      <c r="R1604" s="192" t="str">
        <f t="shared" si="40"/>
        <v>1liters</v>
      </c>
      <c r="S1604" s="198">
        <f t="shared" si="41"/>
        <v>1</v>
      </c>
      <c r="T1604" s="199" t="str">
        <f t="shared" si="42"/>
        <v>1liters</v>
      </c>
      <c r="U1604" s="200">
        <f t="shared" si="43"/>
        <v>41.5</v>
      </c>
      <c r="V1604" s="12"/>
      <c r="W1604" s="12"/>
    </row>
    <row r="1605" spans="1:23" x14ac:dyDescent="0.3">
      <c r="A1605" s="193" t="e">
        <f ca="1"/>
        <v>#NAME?</v>
      </c>
      <c r="B1605" s="348" t="s">
        <v>291</v>
      </c>
      <c r="C1605" s="315"/>
      <c r="D1605" s="316"/>
      <c r="E1605" s="315"/>
      <c r="F1605" s="315"/>
      <c r="G1605" s="315"/>
      <c r="H1605" s="153"/>
      <c r="I1605" s="12"/>
      <c r="J1605" s="340" t="s">
        <v>1852</v>
      </c>
      <c r="K1605" s="12"/>
      <c r="L1605" s="291">
        <v>41.5</v>
      </c>
      <c r="M1605" s="292">
        <v>1</v>
      </c>
      <c r="N1605" s="336">
        <v>1</v>
      </c>
      <c r="O1605" s="219"/>
      <c r="P1605" s="219" t="s">
        <v>773</v>
      </c>
      <c r="Q1605" s="12"/>
      <c r="R1605" s="192" t="str">
        <f t="shared" si="40"/>
        <v>1liters</v>
      </c>
      <c r="S1605" s="198">
        <f t="shared" si="41"/>
        <v>1</v>
      </c>
      <c r="T1605" s="199" t="str">
        <f t="shared" si="42"/>
        <v>1liters</v>
      </c>
      <c r="U1605" s="200">
        <f t="shared" si="43"/>
        <v>41.5</v>
      </c>
      <c r="V1605" s="12"/>
      <c r="W1605" s="12"/>
    </row>
    <row r="1606" spans="1:23" x14ac:dyDescent="0.3">
      <c r="A1606" s="193" t="e">
        <f ca="1"/>
        <v>#NAME?</v>
      </c>
      <c r="B1606" s="347" t="s">
        <v>1854</v>
      </c>
      <c r="C1606" s="315"/>
      <c r="D1606" s="316"/>
      <c r="E1606" s="315"/>
      <c r="F1606" s="315"/>
      <c r="G1606" s="315"/>
      <c r="H1606" s="153"/>
      <c r="I1606" s="12"/>
      <c r="J1606" s="96" t="s">
        <v>1124</v>
      </c>
      <c r="K1606" s="12"/>
      <c r="L1606" s="342">
        <v>31.55</v>
      </c>
      <c r="M1606" s="332">
        <v>15</v>
      </c>
      <c r="N1606" s="333">
        <v>50</v>
      </c>
      <c r="O1606" s="46"/>
      <c r="P1606" s="46" t="s">
        <v>39</v>
      </c>
      <c r="Q1606" s="12"/>
      <c r="R1606" s="192" t="str">
        <f t="shared" si="40"/>
        <v>50grams</v>
      </c>
      <c r="S1606" s="198">
        <f t="shared" si="41"/>
        <v>750</v>
      </c>
      <c r="T1606" s="199" t="str">
        <f t="shared" si="42"/>
        <v>750grams</v>
      </c>
      <c r="U1606" s="200">
        <f t="shared" si="43"/>
        <v>473.25</v>
      </c>
      <c r="V1606" s="12"/>
      <c r="W1606" s="12"/>
    </row>
    <row r="1607" spans="1:23" x14ac:dyDescent="0.3">
      <c r="A1607" s="193" t="e">
        <f ca="1"/>
        <v>#NAME?</v>
      </c>
      <c r="B1607" s="353" t="s">
        <v>1855</v>
      </c>
      <c r="C1607" s="315"/>
      <c r="D1607" s="316"/>
      <c r="E1607" s="315"/>
      <c r="F1607" s="315"/>
      <c r="G1607" s="315"/>
      <c r="H1607" s="153"/>
      <c r="I1607" s="12"/>
      <c r="J1607" s="96" t="s">
        <v>1856</v>
      </c>
      <c r="K1607" s="12"/>
      <c r="L1607" s="342">
        <v>10.8</v>
      </c>
      <c r="M1607" s="332">
        <v>24</v>
      </c>
      <c r="N1607" s="333">
        <v>48</v>
      </c>
      <c r="O1607" s="47"/>
      <c r="P1607" s="47" t="s">
        <v>39</v>
      </c>
      <c r="Q1607" s="12"/>
      <c r="R1607" s="192" t="str">
        <f t="shared" si="40"/>
        <v>48grams</v>
      </c>
      <c r="S1607" s="198">
        <f t="shared" si="41"/>
        <v>1152</v>
      </c>
      <c r="T1607" s="199" t="str">
        <f t="shared" si="42"/>
        <v>1152grams</v>
      </c>
      <c r="U1607" s="200">
        <f t="shared" si="43"/>
        <v>259.20000000000005</v>
      </c>
      <c r="V1607" s="12"/>
      <c r="W1607" s="12"/>
    </row>
    <row r="1608" spans="1:23" x14ac:dyDescent="0.3">
      <c r="A1608" s="193" t="e">
        <f ca="1"/>
        <v>#NAME?</v>
      </c>
      <c r="B1608" s="96" t="s">
        <v>1855</v>
      </c>
      <c r="C1608" s="315"/>
      <c r="D1608" s="316"/>
      <c r="E1608" s="315"/>
      <c r="F1608" s="315"/>
      <c r="G1608" s="315"/>
      <c r="H1608" s="153"/>
      <c r="I1608" s="12"/>
      <c r="J1608" s="96" t="s">
        <v>1857</v>
      </c>
      <c r="K1608" s="12"/>
      <c r="L1608" s="342">
        <v>15.88</v>
      </c>
      <c r="M1608" s="332">
        <v>24</v>
      </c>
      <c r="N1608" s="333">
        <v>48</v>
      </c>
      <c r="O1608" s="47"/>
      <c r="P1608" s="47" t="s">
        <v>39</v>
      </c>
      <c r="Q1608" s="12"/>
      <c r="R1608" s="192" t="str">
        <f t="shared" si="40"/>
        <v>48grams</v>
      </c>
      <c r="S1608" s="198">
        <f t="shared" si="41"/>
        <v>1152</v>
      </c>
      <c r="T1608" s="199" t="str">
        <f t="shared" si="42"/>
        <v>1152grams</v>
      </c>
      <c r="U1608" s="200">
        <f t="shared" si="43"/>
        <v>381.12</v>
      </c>
      <c r="V1608" s="12"/>
      <c r="W1608" s="12"/>
    </row>
    <row r="1609" spans="1:23" x14ac:dyDescent="0.3">
      <c r="A1609" s="193" t="e">
        <f ca="1"/>
        <v>#NAME?</v>
      </c>
      <c r="B1609" s="96" t="s">
        <v>1855</v>
      </c>
      <c r="C1609" s="315"/>
      <c r="D1609" s="316"/>
      <c r="E1609" s="315"/>
      <c r="F1609" s="315"/>
      <c r="G1609" s="315"/>
      <c r="H1609" s="153"/>
      <c r="I1609" s="12"/>
      <c r="J1609" s="96" t="s">
        <v>1858</v>
      </c>
      <c r="K1609" s="12"/>
      <c r="L1609" s="342">
        <v>6.5</v>
      </c>
      <c r="M1609" s="332">
        <v>32</v>
      </c>
      <c r="N1609" s="333">
        <v>20</v>
      </c>
      <c r="O1609" s="47"/>
      <c r="P1609" s="47" t="s">
        <v>39</v>
      </c>
      <c r="Q1609" s="12"/>
      <c r="R1609" s="192" t="str">
        <f t="shared" si="40"/>
        <v>20grams</v>
      </c>
      <c r="S1609" s="198">
        <f t="shared" si="41"/>
        <v>640</v>
      </c>
      <c r="T1609" s="199" t="str">
        <f t="shared" si="42"/>
        <v>640grams</v>
      </c>
      <c r="U1609" s="200">
        <f t="shared" si="43"/>
        <v>208</v>
      </c>
      <c r="V1609" s="12"/>
      <c r="W1609" s="12"/>
    </row>
    <row r="1610" spans="1:23" x14ac:dyDescent="0.3">
      <c r="A1610" s="193" t="e">
        <f ca="1"/>
        <v>#NAME?</v>
      </c>
      <c r="B1610" s="96" t="s">
        <v>1855</v>
      </c>
      <c r="C1610" s="315"/>
      <c r="D1610" s="316"/>
      <c r="E1610" s="315"/>
      <c r="F1610" s="315"/>
      <c r="G1610" s="315"/>
      <c r="H1610" s="153"/>
      <c r="I1610" s="12"/>
      <c r="J1610" s="96" t="s">
        <v>1859</v>
      </c>
      <c r="K1610" s="12"/>
      <c r="L1610" s="342">
        <v>13</v>
      </c>
      <c r="M1610" s="332">
        <v>24</v>
      </c>
      <c r="N1610" s="333">
        <v>55</v>
      </c>
      <c r="O1610" s="47"/>
      <c r="P1610" s="47" t="s">
        <v>39</v>
      </c>
      <c r="Q1610" s="12"/>
      <c r="R1610" s="192" t="str">
        <f t="shared" si="40"/>
        <v>55grams</v>
      </c>
      <c r="S1610" s="198">
        <f t="shared" si="41"/>
        <v>1320</v>
      </c>
      <c r="T1610" s="199" t="str">
        <f t="shared" si="42"/>
        <v>1320grams</v>
      </c>
      <c r="U1610" s="200">
        <f t="shared" si="43"/>
        <v>312</v>
      </c>
      <c r="V1610" s="12"/>
      <c r="W1610" s="12"/>
    </row>
    <row r="1611" spans="1:23" x14ac:dyDescent="0.3">
      <c r="A1611" s="193" t="e">
        <f ca="1"/>
        <v>#NAME?</v>
      </c>
      <c r="B1611" s="219" t="s">
        <v>1860</v>
      </c>
      <c r="C1611" s="315"/>
      <c r="D1611" s="316"/>
      <c r="E1611" s="315"/>
      <c r="F1611" s="315"/>
      <c r="G1611" s="315"/>
      <c r="H1611" s="153"/>
      <c r="I1611" s="12"/>
      <c r="J1611" s="219" t="s">
        <v>1861</v>
      </c>
      <c r="K1611" s="12"/>
      <c r="L1611" s="354">
        <v>165</v>
      </c>
      <c r="M1611" s="335">
        <v>1</v>
      </c>
      <c r="N1611" s="336">
        <v>150</v>
      </c>
      <c r="O1611" s="327"/>
      <c r="P1611" s="327" t="s">
        <v>39</v>
      </c>
      <c r="Q1611" s="12"/>
      <c r="R1611" s="192" t="str">
        <f t="shared" si="40"/>
        <v>150grams</v>
      </c>
      <c r="S1611" s="198">
        <f t="shared" si="41"/>
        <v>150</v>
      </c>
      <c r="T1611" s="199" t="str">
        <f t="shared" si="42"/>
        <v>150grams</v>
      </c>
      <c r="U1611" s="200">
        <f t="shared" si="43"/>
        <v>165</v>
      </c>
      <c r="V1611" s="12"/>
      <c r="W1611" s="12"/>
    </row>
    <row r="1612" spans="1:23" x14ac:dyDescent="0.3">
      <c r="A1612" s="193" t="e">
        <f ca="1"/>
        <v>#NAME?</v>
      </c>
      <c r="B1612" s="219" t="s">
        <v>1862</v>
      </c>
      <c r="C1612" s="315"/>
      <c r="D1612" s="316"/>
      <c r="E1612" s="315"/>
      <c r="F1612" s="315"/>
      <c r="G1612" s="315"/>
      <c r="H1612" s="153"/>
      <c r="I1612" s="12"/>
      <c r="J1612" s="219" t="s">
        <v>1042</v>
      </c>
      <c r="K1612" s="12"/>
      <c r="L1612" s="341">
        <v>93.6</v>
      </c>
      <c r="M1612" s="335">
        <v>1</v>
      </c>
      <c r="N1612" s="336">
        <v>304</v>
      </c>
      <c r="O1612" s="340"/>
      <c r="P1612" s="340" t="s">
        <v>39</v>
      </c>
      <c r="Q1612" s="12"/>
      <c r="R1612" s="192" t="str">
        <f t="shared" si="40"/>
        <v>304grams</v>
      </c>
      <c r="S1612" s="198">
        <f t="shared" si="41"/>
        <v>304</v>
      </c>
      <c r="T1612" s="199" t="str">
        <f t="shared" si="42"/>
        <v>304grams</v>
      </c>
      <c r="U1612" s="200">
        <f t="shared" si="43"/>
        <v>93.6</v>
      </c>
      <c r="V1612" s="12"/>
      <c r="W1612" s="12"/>
    </row>
    <row r="1613" spans="1:23" x14ac:dyDescent="0.3">
      <c r="A1613" s="193" t="e">
        <f ca="1"/>
        <v>#NAME?</v>
      </c>
      <c r="B1613" s="219" t="s">
        <v>1863</v>
      </c>
      <c r="C1613" s="315"/>
      <c r="D1613" s="316"/>
      <c r="E1613" s="315"/>
      <c r="F1613" s="315"/>
      <c r="G1613" s="315"/>
      <c r="H1613" s="153"/>
      <c r="I1613" s="12"/>
      <c r="J1613" s="219" t="s">
        <v>1864</v>
      </c>
      <c r="K1613" s="12"/>
      <c r="L1613" s="341">
        <v>732</v>
      </c>
      <c r="M1613" s="335">
        <v>1</v>
      </c>
      <c r="N1613" s="336">
        <v>1</v>
      </c>
      <c r="O1613" s="327"/>
      <c r="P1613" s="327" t="s">
        <v>1865</v>
      </c>
      <c r="Q1613" s="12"/>
      <c r="R1613" s="192" t="str">
        <f t="shared" si="40"/>
        <v>1tin</v>
      </c>
      <c r="S1613" s="198">
        <f t="shared" si="41"/>
        <v>1</v>
      </c>
      <c r="T1613" s="199" t="str">
        <f t="shared" si="42"/>
        <v>1tin</v>
      </c>
      <c r="U1613" s="200">
        <f t="shared" si="43"/>
        <v>732</v>
      </c>
      <c r="V1613" s="12"/>
      <c r="W1613" s="12"/>
    </row>
    <row r="1614" spans="1:23" x14ac:dyDescent="0.3">
      <c r="A1614" s="193" t="e">
        <f ca="1"/>
        <v>#NAME?</v>
      </c>
      <c r="B1614" s="46" t="s">
        <v>1866</v>
      </c>
      <c r="C1614" s="315"/>
      <c r="D1614" s="316"/>
      <c r="E1614" s="315"/>
      <c r="F1614" s="315"/>
      <c r="G1614" s="315"/>
      <c r="H1614" s="153"/>
      <c r="I1614" s="12"/>
      <c r="J1614" s="46" t="s">
        <v>1115</v>
      </c>
      <c r="K1614" s="12"/>
      <c r="L1614" s="342">
        <v>520</v>
      </c>
      <c r="M1614" s="332">
        <v>1</v>
      </c>
      <c r="N1614" s="333">
        <v>1</v>
      </c>
      <c r="O1614" s="47"/>
      <c r="P1614" s="47" t="s">
        <v>210</v>
      </c>
      <c r="Q1614" s="12"/>
      <c r="R1614" s="192" t="str">
        <f t="shared" si="40"/>
        <v>1roll</v>
      </c>
      <c r="S1614" s="198">
        <f t="shared" si="41"/>
        <v>1</v>
      </c>
      <c r="T1614" s="199" t="str">
        <f t="shared" si="42"/>
        <v>1roll</v>
      </c>
      <c r="U1614" s="200">
        <f t="shared" si="43"/>
        <v>520</v>
      </c>
      <c r="V1614" s="12"/>
      <c r="W1614" s="12"/>
    </row>
    <row r="1615" spans="1:23" x14ac:dyDescent="0.3">
      <c r="A1615" s="193" t="e">
        <f ca="1"/>
        <v>#NAME?</v>
      </c>
      <c r="B1615" s="46" t="s">
        <v>1867</v>
      </c>
      <c r="C1615" s="315"/>
      <c r="D1615" s="316"/>
      <c r="E1615" s="315"/>
      <c r="F1615" s="315"/>
      <c r="G1615" s="315"/>
      <c r="H1615" s="153"/>
      <c r="I1615" s="12"/>
      <c r="J1615" s="68" t="s">
        <v>1868</v>
      </c>
      <c r="K1615" s="12"/>
      <c r="L1615" s="342">
        <v>85</v>
      </c>
      <c r="M1615" s="332">
        <v>3</v>
      </c>
      <c r="N1615" s="338">
        <v>600</v>
      </c>
      <c r="O1615" s="96"/>
      <c r="P1615" s="96" t="s">
        <v>39</v>
      </c>
      <c r="Q1615" s="12"/>
      <c r="R1615" s="192" t="str">
        <f t="shared" si="40"/>
        <v>600grams</v>
      </c>
      <c r="S1615" s="198">
        <f t="shared" si="41"/>
        <v>1800</v>
      </c>
      <c r="T1615" s="199" t="str">
        <f t="shared" si="42"/>
        <v>1800grams</v>
      </c>
      <c r="U1615" s="200">
        <f t="shared" si="43"/>
        <v>255</v>
      </c>
      <c r="V1615" s="12"/>
      <c r="W1615" s="12"/>
    </row>
    <row r="1616" spans="1:23" x14ac:dyDescent="0.3">
      <c r="A1616" s="193" t="e">
        <f ca="1"/>
        <v>#NAME?</v>
      </c>
      <c r="B1616" s="355" t="s">
        <v>1867</v>
      </c>
      <c r="C1616" s="315"/>
      <c r="D1616" s="316"/>
      <c r="E1616" s="315"/>
      <c r="F1616" s="315"/>
      <c r="G1616" s="315"/>
      <c r="H1616" s="153"/>
      <c r="I1616" s="12"/>
      <c r="J1616" s="219" t="s">
        <v>1868</v>
      </c>
      <c r="K1616" s="12"/>
      <c r="L1616" s="341">
        <v>85</v>
      </c>
      <c r="M1616" s="335">
        <v>1</v>
      </c>
      <c r="N1616" s="336">
        <v>600</v>
      </c>
      <c r="O1616" s="327"/>
      <c r="P1616" s="327" t="s">
        <v>39</v>
      </c>
      <c r="Q1616" s="12"/>
      <c r="R1616" s="192" t="str">
        <f t="shared" si="40"/>
        <v>600grams</v>
      </c>
      <c r="S1616" s="198">
        <f t="shared" si="41"/>
        <v>600</v>
      </c>
      <c r="T1616" s="199" t="str">
        <f t="shared" si="42"/>
        <v>600grams</v>
      </c>
      <c r="U1616" s="200">
        <f t="shared" si="43"/>
        <v>85</v>
      </c>
      <c r="V1616" s="12"/>
      <c r="W1616" s="12"/>
    </row>
    <row r="1617" spans="1:23" x14ac:dyDescent="0.3">
      <c r="A1617" s="193" t="e">
        <f ca="1"/>
        <v>#NAME?</v>
      </c>
      <c r="B1617" s="356" t="s">
        <v>1869</v>
      </c>
      <c r="C1617" s="315"/>
      <c r="D1617" s="316"/>
      <c r="E1617" s="315"/>
      <c r="F1617" s="315"/>
      <c r="G1617" s="315"/>
      <c r="H1617" s="153"/>
      <c r="I1617" s="12"/>
      <c r="J1617" s="46" t="s">
        <v>991</v>
      </c>
      <c r="K1617" s="12"/>
      <c r="L1617" s="342">
        <v>2.68</v>
      </c>
      <c r="M1617" s="332">
        <v>33</v>
      </c>
      <c r="N1617" s="333">
        <v>100</v>
      </c>
      <c r="O1617" s="47"/>
      <c r="P1617" s="47" t="s">
        <v>92</v>
      </c>
      <c r="Q1617" s="12"/>
      <c r="R1617" s="192" t="str">
        <f t="shared" si="40"/>
        <v>100pieces</v>
      </c>
      <c r="S1617" s="198">
        <f t="shared" si="41"/>
        <v>3300</v>
      </c>
      <c r="T1617" s="199" t="str">
        <f t="shared" si="42"/>
        <v>3300pieces</v>
      </c>
      <c r="U1617" s="200">
        <f t="shared" si="43"/>
        <v>88.440000000000012</v>
      </c>
      <c r="V1617" s="12"/>
      <c r="W1617" s="12"/>
    </row>
    <row r="1618" spans="1:23" x14ac:dyDescent="0.3">
      <c r="A1618" s="193" t="e">
        <f ca="1"/>
        <v>#NAME?</v>
      </c>
      <c r="B1618" s="356" t="s">
        <v>1870</v>
      </c>
      <c r="C1618" s="315"/>
      <c r="D1618" s="316"/>
      <c r="E1618" s="315"/>
      <c r="F1618" s="315"/>
      <c r="G1618" s="315"/>
      <c r="H1618" s="153"/>
      <c r="I1618" s="12"/>
      <c r="J1618" s="46" t="s">
        <v>865</v>
      </c>
      <c r="K1618" s="12"/>
      <c r="L1618" s="342">
        <v>43.9</v>
      </c>
      <c r="M1618" s="332">
        <v>10</v>
      </c>
      <c r="N1618" s="333">
        <v>250</v>
      </c>
      <c r="O1618" s="47"/>
      <c r="P1618" s="47" t="s">
        <v>519</v>
      </c>
      <c r="Q1618" s="12"/>
      <c r="R1618" s="192" t="str">
        <f t="shared" si="40"/>
        <v>250drained weight grams</v>
      </c>
      <c r="S1618" s="198">
        <f t="shared" si="41"/>
        <v>2500</v>
      </c>
      <c r="T1618" s="199" t="str">
        <f t="shared" si="42"/>
        <v>2500drained weight grams</v>
      </c>
      <c r="U1618" s="200">
        <f t="shared" si="43"/>
        <v>439</v>
      </c>
      <c r="V1618" s="12"/>
      <c r="W1618" s="12"/>
    </row>
    <row r="1619" spans="1:23" x14ac:dyDescent="0.3">
      <c r="A1619" s="193" t="e">
        <f ca="1"/>
        <v>#NAME?</v>
      </c>
      <c r="B1619" s="46" t="s">
        <v>1870</v>
      </c>
      <c r="C1619" s="315"/>
      <c r="D1619" s="316"/>
      <c r="E1619" s="315"/>
      <c r="F1619" s="315"/>
      <c r="G1619" s="315"/>
      <c r="H1619" s="153"/>
      <c r="I1619" s="12"/>
      <c r="J1619" s="46" t="s">
        <v>865</v>
      </c>
      <c r="K1619" s="12"/>
      <c r="L1619" s="350">
        <v>42.3</v>
      </c>
      <c r="M1619" s="332">
        <v>6</v>
      </c>
      <c r="N1619" s="333">
        <v>425</v>
      </c>
      <c r="O1619" s="47"/>
      <c r="P1619" s="47" t="s">
        <v>39</v>
      </c>
      <c r="Q1619" s="12"/>
      <c r="R1619" s="192" t="str">
        <f t="shared" si="40"/>
        <v>425grams</v>
      </c>
      <c r="S1619" s="198">
        <f t="shared" si="41"/>
        <v>2550</v>
      </c>
      <c r="T1619" s="199" t="str">
        <f t="shared" si="42"/>
        <v>2550grams</v>
      </c>
      <c r="U1619" s="200">
        <f t="shared" si="43"/>
        <v>253.79999999999998</v>
      </c>
      <c r="V1619" s="12"/>
      <c r="W1619" s="12"/>
    </row>
    <row r="1620" spans="1:23" x14ac:dyDescent="0.3">
      <c r="A1620" s="193" t="e">
        <f ca="1"/>
        <v>#NAME?</v>
      </c>
      <c r="B1620" s="46" t="s">
        <v>1871</v>
      </c>
      <c r="C1620" s="315"/>
      <c r="D1620" s="316"/>
      <c r="E1620" s="315"/>
      <c r="F1620" s="315"/>
      <c r="G1620" s="315"/>
      <c r="H1620" s="153"/>
      <c r="I1620" s="12"/>
      <c r="J1620" s="46" t="s">
        <v>865</v>
      </c>
      <c r="K1620" s="12"/>
      <c r="L1620" s="342">
        <v>60.8</v>
      </c>
      <c r="M1620" s="332">
        <v>5</v>
      </c>
      <c r="N1620" s="333">
        <v>400</v>
      </c>
      <c r="O1620" s="47"/>
      <c r="P1620" s="47" t="s">
        <v>39</v>
      </c>
      <c r="Q1620" s="12"/>
      <c r="R1620" s="192" t="str">
        <f t="shared" si="40"/>
        <v>400grams</v>
      </c>
      <c r="S1620" s="198">
        <f t="shared" si="41"/>
        <v>2000</v>
      </c>
      <c r="T1620" s="199" t="str">
        <f t="shared" si="42"/>
        <v>2000grams</v>
      </c>
      <c r="U1620" s="200">
        <f t="shared" si="43"/>
        <v>304</v>
      </c>
      <c r="V1620" s="12"/>
      <c r="W1620" s="12"/>
    </row>
    <row r="1621" spans="1:23" x14ac:dyDescent="0.3">
      <c r="A1621" s="193" t="e">
        <f ca="1"/>
        <v>#NAME?</v>
      </c>
      <c r="B1621" s="46" t="s">
        <v>1872</v>
      </c>
      <c r="C1621" s="315"/>
      <c r="D1621" s="316"/>
      <c r="E1621" s="315"/>
      <c r="F1621" s="315"/>
      <c r="G1621" s="315"/>
      <c r="H1621" s="153"/>
      <c r="I1621" s="12"/>
      <c r="J1621" s="46" t="s">
        <v>1873</v>
      </c>
      <c r="K1621" s="12"/>
      <c r="L1621" s="342">
        <v>68</v>
      </c>
      <c r="M1621" s="332">
        <v>14</v>
      </c>
      <c r="N1621" s="333">
        <v>225</v>
      </c>
      <c r="O1621" s="47"/>
      <c r="P1621" s="47" t="s">
        <v>519</v>
      </c>
      <c r="Q1621" s="12"/>
      <c r="R1621" s="192" t="str">
        <f t="shared" si="40"/>
        <v>225drained weight grams</v>
      </c>
      <c r="S1621" s="198">
        <f t="shared" si="41"/>
        <v>3150</v>
      </c>
      <c r="T1621" s="199" t="str">
        <f t="shared" si="42"/>
        <v>3150drained weight grams</v>
      </c>
      <c r="U1621" s="200">
        <f t="shared" si="43"/>
        <v>952</v>
      </c>
      <c r="V1621" s="12"/>
      <c r="W1621" s="12"/>
    </row>
    <row r="1622" spans="1:23" x14ac:dyDescent="0.3">
      <c r="A1622" s="193" t="e">
        <f ca="1"/>
        <v>#NAME?</v>
      </c>
      <c r="B1622" s="46" t="s">
        <v>830</v>
      </c>
      <c r="C1622" s="315"/>
      <c r="D1622" s="316"/>
      <c r="E1622" s="315"/>
      <c r="F1622" s="315"/>
      <c r="G1622" s="315"/>
      <c r="H1622" s="153"/>
      <c r="I1622" s="12"/>
      <c r="J1622" s="170"/>
      <c r="K1622" s="12"/>
      <c r="L1622" s="342">
        <v>27</v>
      </c>
      <c r="M1622" s="332">
        <v>0</v>
      </c>
      <c r="N1622" s="357">
        <v>25</v>
      </c>
      <c r="O1622" s="47"/>
      <c r="P1622" s="47" t="s">
        <v>92</v>
      </c>
      <c r="Q1622" s="12"/>
      <c r="R1622" s="192" t="str">
        <f t="shared" si="40"/>
        <v>25pieces</v>
      </c>
      <c r="S1622" s="198">
        <f t="shared" si="41"/>
        <v>0</v>
      </c>
      <c r="T1622" s="199" t="str">
        <f t="shared" si="42"/>
        <v>0pieces</v>
      </c>
      <c r="U1622" s="200">
        <f t="shared" si="43"/>
        <v>0</v>
      </c>
      <c r="V1622" s="12"/>
      <c r="W1622" s="12"/>
    </row>
    <row r="1623" spans="1:23" x14ac:dyDescent="0.3">
      <c r="A1623" s="193" t="e">
        <f ca="1"/>
        <v>#NAME?</v>
      </c>
      <c r="B1623" s="96" t="s">
        <v>830</v>
      </c>
      <c r="C1623" s="315"/>
      <c r="D1623" s="316"/>
      <c r="E1623" s="315"/>
      <c r="F1623" s="315"/>
      <c r="G1623" s="315"/>
      <c r="H1623" s="153"/>
      <c r="I1623" s="12"/>
      <c r="J1623" s="46" t="s">
        <v>1874</v>
      </c>
      <c r="K1623" s="12"/>
      <c r="L1623" s="342">
        <v>22</v>
      </c>
      <c r="M1623" s="332">
        <v>3</v>
      </c>
      <c r="N1623" s="358">
        <v>1</v>
      </c>
      <c r="O1623" s="47"/>
      <c r="P1623" s="47" t="s">
        <v>304</v>
      </c>
      <c r="Q1623" s="12"/>
      <c r="R1623" s="192" t="str">
        <f t="shared" si="40"/>
        <v>1packs</v>
      </c>
      <c r="S1623" s="198">
        <f t="shared" si="41"/>
        <v>3</v>
      </c>
      <c r="T1623" s="199" t="str">
        <f t="shared" si="42"/>
        <v>3packs</v>
      </c>
      <c r="U1623" s="200">
        <f t="shared" si="43"/>
        <v>66</v>
      </c>
      <c r="V1623" s="12"/>
      <c r="W1623" s="12"/>
    </row>
    <row r="1624" spans="1:23" x14ac:dyDescent="0.3">
      <c r="A1624" s="193" t="e">
        <f ca="1"/>
        <v>#NAME?</v>
      </c>
      <c r="B1624" s="46" t="s">
        <v>830</v>
      </c>
      <c r="C1624" s="315"/>
      <c r="D1624" s="316"/>
      <c r="E1624" s="315"/>
      <c r="F1624" s="315"/>
      <c r="G1624" s="315"/>
      <c r="H1624" s="153"/>
      <c r="I1624" s="12"/>
      <c r="J1624" s="46" t="s">
        <v>1875</v>
      </c>
      <c r="K1624" s="12"/>
      <c r="L1624" s="350">
        <v>22</v>
      </c>
      <c r="M1624" s="332">
        <v>3</v>
      </c>
      <c r="N1624" s="333">
        <v>1</v>
      </c>
      <c r="O1624" s="47"/>
      <c r="P1624" s="47" t="s">
        <v>304</v>
      </c>
      <c r="Q1624" s="12"/>
      <c r="R1624" s="192" t="str">
        <f t="shared" si="40"/>
        <v>1packs</v>
      </c>
      <c r="S1624" s="198">
        <f t="shared" si="41"/>
        <v>3</v>
      </c>
      <c r="T1624" s="199" t="str">
        <f t="shared" si="42"/>
        <v>3packs</v>
      </c>
      <c r="U1624" s="200">
        <f t="shared" si="43"/>
        <v>66</v>
      </c>
      <c r="V1624" s="12"/>
      <c r="W1624" s="12"/>
    </row>
    <row r="1625" spans="1:23" x14ac:dyDescent="0.3">
      <c r="A1625" s="193" t="e">
        <f ca="1"/>
        <v>#NAME?</v>
      </c>
      <c r="B1625" s="46" t="s">
        <v>830</v>
      </c>
      <c r="C1625" s="315"/>
      <c r="D1625" s="316"/>
      <c r="E1625" s="315"/>
      <c r="F1625" s="315"/>
      <c r="G1625" s="315"/>
      <c r="H1625" s="153"/>
      <c r="I1625" s="12"/>
      <c r="J1625" s="46" t="s">
        <v>991</v>
      </c>
      <c r="K1625" s="12"/>
      <c r="L1625" s="342">
        <v>22</v>
      </c>
      <c r="M1625" s="332">
        <v>6</v>
      </c>
      <c r="N1625" s="333">
        <v>1</v>
      </c>
      <c r="O1625" s="47"/>
      <c r="P1625" s="47" t="s">
        <v>304</v>
      </c>
      <c r="Q1625" s="12"/>
      <c r="R1625" s="192" t="str">
        <f t="shared" si="40"/>
        <v>1packs</v>
      </c>
      <c r="S1625" s="198">
        <f t="shared" si="41"/>
        <v>6</v>
      </c>
      <c r="T1625" s="199" t="str">
        <f t="shared" si="42"/>
        <v>6packs</v>
      </c>
      <c r="U1625" s="200">
        <f t="shared" si="43"/>
        <v>132</v>
      </c>
      <c r="V1625" s="12"/>
      <c r="W1625" s="12"/>
    </row>
    <row r="1626" spans="1:23" x14ac:dyDescent="0.3">
      <c r="A1626" s="193" t="e">
        <f ca="1"/>
        <v>#NAME?</v>
      </c>
      <c r="B1626" s="219" t="s">
        <v>830</v>
      </c>
      <c r="C1626" s="315"/>
      <c r="D1626" s="316"/>
      <c r="E1626" s="315"/>
      <c r="F1626" s="315"/>
      <c r="G1626" s="315"/>
      <c r="H1626" s="153"/>
      <c r="I1626" s="12"/>
      <c r="J1626" s="215"/>
      <c r="K1626" s="12"/>
      <c r="L1626" s="341">
        <v>1</v>
      </c>
      <c r="M1626" s="335">
        <v>100</v>
      </c>
      <c r="N1626" s="336">
        <v>1</v>
      </c>
      <c r="O1626" s="327"/>
      <c r="P1626" s="327" t="s">
        <v>304</v>
      </c>
      <c r="Q1626" s="12"/>
      <c r="R1626" s="192" t="str">
        <f t="shared" si="40"/>
        <v>1packs</v>
      </c>
      <c r="S1626" s="198">
        <f t="shared" si="41"/>
        <v>100</v>
      </c>
      <c r="T1626" s="199" t="str">
        <f t="shared" si="42"/>
        <v>100packs</v>
      </c>
      <c r="U1626" s="200">
        <f t="shared" si="43"/>
        <v>100</v>
      </c>
      <c r="V1626" s="12"/>
      <c r="W1626" s="12"/>
    </row>
    <row r="1627" spans="1:23" x14ac:dyDescent="0.3">
      <c r="A1627" s="193" t="e">
        <f ca="1"/>
        <v>#NAME?</v>
      </c>
      <c r="B1627" s="340" t="s">
        <v>830</v>
      </c>
      <c r="C1627" s="315"/>
      <c r="D1627" s="316"/>
      <c r="E1627" s="315"/>
      <c r="F1627" s="315"/>
      <c r="G1627" s="315"/>
      <c r="H1627" s="153"/>
      <c r="I1627" s="12"/>
      <c r="J1627" s="239"/>
      <c r="K1627" s="12"/>
      <c r="L1627" s="342">
        <v>2.08</v>
      </c>
      <c r="M1627" s="332">
        <v>2577</v>
      </c>
      <c r="N1627" s="333">
        <v>1</v>
      </c>
      <c r="O1627" s="96"/>
      <c r="P1627" s="96" t="s">
        <v>92</v>
      </c>
      <c r="Q1627" s="12"/>
      <c r="R1627" s="192" t="str">
        <f t="shared" si="40"/>
        <v>1pieces</v>
      </c>
      <c r="S1627" s="198">
        <f t="shared" si="41"/>
        <v>2577</v>
      </c>
      <c r="T1627" s="199" t="str">
        <f t="shared" si="42"/>
        <v>2577pieces</v>
      </c>
      <c r="U1627" s="200">
        <f t="shared" si="43"/>
        <v>5360.16</v>
      </c>
      <c r="V1627" s="12"/>
      <c r="W1627" s="12"/>
    </row>
    <row r="1628" spans="1:23" x14ac:dyDescent="0.3">
      <c r="A1628" s="193" t="e">
        <f ca="1"/>
        <v>#NAME?</v>
      </c>
      <c r="B1628" s="96" t="s">
        <v>1876</v>
      </c>
      <c r="C1628" s="315"/>
      <c r="D1628" s="316"/>
      <c r="E1628" s="315"/>
      <c r="F1628" s="315"/>
      <c r="G1628" s="315"/>
      <c r="H1628" s="153"/>
      <c r="I1628" s="12"/>
      <c r="J1628" s="239"/>
      <c r="K1628" s="12"/>
      <c r="L1628" s="342">
        <v>50</v>
      </c>
      <c r="M1628" s="332">
        <v>2</v>
      </c>
      <c r="N1628" s="333">
        <v>100</v>
      </c>
      <c r="O1628" s="96"/>
      <c r="P1628" s="96" t="s">
        <v>92</v>
      </c>
      <c r="Q1628" s="12"/>
      <c r="R1628" s="192" t="str">
        <f t="shared" si="40"/>
        <v>100pieces</v>
      </c>
      <c r="S1628" s="198">
        <f t="shared" si="41"/>
        <v>200</v>
      </c>
      <c r="T1628" s="199" t="str">
        <f t="shared" si="42"/>
        <v>200pieces</v>
      </c>
      <c r="U1628" s="200">
        <f t="shared" si="43"/>
        <v>100</v>
      </c>
      <c r="V1628" s="12"/>
      <c r="W1628" s="12"/>
    </row>
    <row r="1629" spans="1:23" x14ac:dyDescent="0.3">
      <c r="A1629" s="193" t="e">
        <f ca="1"/>
        <v>#NAME?</v>
      </c>
      <c r="B1629" s="47" t="s">
        <v>1877</v>
      </c>
      <c r="C1629" s="315"/>
      <c r="D1629" s="316"/>
      <c r="E1629" s="315"/>
      <c r="F1629" s="315"/>
      <c r="G1629" s="315"/>
      <c r="H1629" s="153"/>
      <c r="I1629" s="12"/>
      <c r="J1629" s="237"/>
      <c r="K1629" s="12"/>
      <c r="L1629" s="350">
        <v>27</v>
      </c>
      <c r="M1629" s="332">
        <v>1</v>
      </c>
      <c r="N1629" s="357">
        <v>25</v>
      </c>
      <c r="O1629" s="47"/>
      <c r="P1629" s="47" t="s">
        <v>92</v>
      </c>
      <c r="Q1629" s="12"/>
      <c r="R1629" s="192" t="str">
        <f t="shared" si="40"/>
        <v>25pieces</v>
      </c>
      <c r="S1629" s="198">
        <f t="shared" si="41"/>
        <v>25</v>
      </c>
      <c r="T1629" s="199" t="str">
        <f t="shared" si="42"/>
        <v>25pieces</v>
      </c>
      <c r="U1629" s="200">
        <f t="shared" si="43"/>
        <v>27</v>
      </c>
      <c r="V1629" s="12"/>
      <c r="W1629" s="12"/>
    </row>
    <row r="1630" spans="1:23" x14ac:dyDescent="0.3">
      <c r="A1630" s="193" t="e">
        <f ca="1"/>
        <v>#NAME?</v>
      </c>
      <c r="B1630" s="46" t="s">
        <v>832</v>
      </c>
      <c r="C1630" s="315"/>
      <c r="D1630" s="316"/>
      <c r="E1630" s="315"/>
      <c r="F1630" s="315"/>
      <c r="G1630" s="315"/>
      <c r="H1630" s="153"/>
      <c r="I1630" s="12"/>
      <c r="J1630" s="47" t="s">
        <v>1878</v>
      </c>
      <c r="K1630" s="12"/>
      <c r="L1630" s="288">
        <v>30</v>
      </c>
      <c r="M1630" s="332">
        <v>3</v>
      </c>
      <c r="N1630" s="333">
        <v>1</v>
      </c>
      <c r="O1630" s="46"/>
      <c r="P1630" s="46" t="s">
        <v>304</v>
      </c>
      <c r="Q1630" s="12"/>
      <c r="R1630" s="192" t="str">
        <f t="shared" si="40"/>
        <v>1packs</v>
      </c>
      <c r="S1630" s="198">
        <f t="shared" si="41"/>
        <v>3</v>
      </c>
      <c r="T1630" s="199" t="str">
        <f t="shared" si="42"/>
        <v>3packs</v>
      </c>
      <c r="U1630" s="200">
        <f t="shared" si="43"/>
        <v>90</v>
      </c>
      <c r="V1630" s="12"/>
      <c r="W1630" s="12"/>
    </row>
    <row r="1631" spans="1:23" x14ac:dyDescent="0.3">
      <c r="A1631" s="193" t="e">
        <f ca="1"/>
        <v>#NAME?</v>
      </c>
      <c r="B1631" s="46" t="s">
        <v>832</v>
      </c>
      <c r="C1631" s="315"/>
      <c r="D1631" s="316"/>
      <c r="E1631" s="315"/>
      <c r="F1631" s="315"/>
      <c r="G1631" s="315"/>
      <c r="H1631" s="153"/>
      <c r="I1631" s="12"/>
      <c r="J1631" s="170"/>
      <c r="K1631" s="12"/>
      <c r="L1631" s="288">
        <v>27</v>
      </c>
      <c r="M1631" s="332">
        <v>5</v>
      </c>
      <c r="N1631" s="357">
        <v>25</v>
      </c>
      <c r="O1631" s="47"/>
      <c r="P1631" s="47" t="s">
        <v>92</v>
      </c>
      <c r="Q1631" s="12"/>
      <c r="R1631" s="192" t="str">
        <f t="shared" si="40"/>
        <v>25pieces</v>
      </c>
      <c r="S1631" s="198">
        <f t="shared" si="41"/>
        <v>125</v>
      </c>
      <c r="T1631" s="199" t="str">
        <f t="shared" si="42"/>
        <v>125pieces</v>
      </c>
      <c r="U1631" s="200">
        <f t="shared" si="43"/>
        <v>135</v>
      </c>
      <c r="V1631" s="12"/>
      <c r="W1631" s="12"/>
    </row>
    <row r="1632" spans="1:23" x14ac:dyDescent="0.3">
      <c r="A1632" s="193" t="e">
        <f ca="1"/>
        <v>#NAME?</v>
      </c>
      <c r="B1632" s="46" t="s">
        <v>832</v>
      </c>
      <c r="C1632" s="315"/>
      <c r="D1632" s="316"/>
      <c r="E1632" s="315"/>
      <c r="F1632" s="315"/>
      <c r="G1632" s="315"/>
      <c r="H1632" s="153"/>
      <c r="I1632" s="12"/>
      <c r="J1632" s="46" t="s">
        <v>1874</v>
      </c>
      <c r="K1632" s="12"/>
      <c r="L1632" s="288">
        <v>22</v>
      </c>
      <c r="M1632" s="332">
        <v>3</v>
      </c>
      <c r="N1632" s="333">
        <v>1</v>
      </c>
      <c r="O1632" s="46"/>
      <c r="P1632" s="46" t="s">
        <v>304</v>
      </c>
      <c r="Q1632" s="12"/>
      <c r="R1632" s="192" t="str">
        <f t="shared" si="40"/>
        <v>1packs</v>
      </c>
      <c r="S1632" s="198">
        <f t="shared" si="41"/>
        <v>3</v>
      </c>
      <c r="T1632" s="199" t="str">
        <f t="shared" si="42"/>
        <v>3packs</v>
      </c>
      <c r="U1632" s="200">
        <f t="shared" si="43"/>
        <v>66</v>
      </c>
      <c r="V1632" s="12"/>
      <c r="W1632" s="12"/>
    </row>
    <row r="1633" spans="1:23" x14ac:dyDescent="0.3">
      <c r="A1633" s="193" t="e">
        <f ca="1"/>
        <v>#NAME?</v>
      </c>
      <c r="B1633" s="46" t="s">
        <v>832</v>
      </c>
      <c r="C1633" s="315"/>
      <c r="D1633" s="316"/>
      <c r="E1633" s="315"/>
      <c r="F1633" s="315"/>
      <c r="G1633" s="315"/>
      <c r="H1633" s="153"/>
      <c r="I1633" s="12"/>
      <c r="J1633" s="46" t="s">
        <v>1874</v>
      </c>
      <c r="K1633" s="12"/>
      <c r="L1633" s="288">
        <v>22</v>
      </c>
      <c r="M1633" s="332">
        <v>5</v>
      </c>
      <c r="N1633" s="333">
        <v>1</v>
      </c>
      <c r="O1633" s="46"/>
      <c r="P1633" s="46" t="s">
        <v>304</v>
      </c>
      <c r="Q1633" s="12"/>
      <c r="R1633" s="192" t="str">
        <f t="shared" si="40"/>
        <v>1packs</v>
      </c>
      <c r="S1633" s="198">
        <f t="shared" si="41"/>
        <v>5</v>
      </c>
      <c r="T1633" s="199" t="str">
        <f t="shared" si="42"/>
        <v>5packs</v>
      </c>
      <c r="U1633" s="200">
        <f t="shared" si="43"/>
        <v>110</v>
      </c>
      <c r="V1633" s="12"/>
      <c r="W1633" s="12"/>
    </row>
    <row r="1634" spans="1:23" x14ac:dyDescent="0.3">
      <c r="A1634" s="193" t="e">
        <f ca="1"/>
        <v>#NAME?</v>
      </c>
      <c r="B1634" s="46" t="s">
        <v>832</v>
      </c>
      <c r="C1634" s="315"/>
      <c r="D1634" s="316"/>
      <c r="E1634" s="315"/>
      <c r="F1634" s="315"/>
      <c r="G1634" s="315"/>
      <c r="H1634" s="153"/>
      <c r="I1634" s="12"/>
      <c r="J1634" s="46" t="s">
        <v>991</v>
      </c>
      <c r="K1634" s="12"/>
      <c r="L1634" s="288">
        <v>22</v>
      </c>
      <c r="M1634" s="332">
        <v>25</v>
      </c>
      <c r="N1634" s="333">
        <v>1</v>
      </c>
      <c r="O1634" s="46"/>
      <c r="P1634" s="46" t="s">
        <v>304</v>
      </c>
      <c r="Q1634" s="12"/>
      <c r="R1634" s="192" t="str">
        <f t="shared" si="40"/>
        <v>1packs</v>
      </c>
      <c r="S1634" s="198">
        <f t="shared" si="41"/>
        <v>25</v>
      </c>
      <c r="T1634" s="199" t="str">
        <f t="shared" si="42"/>
        <v>25packs</v>
      </c>
      <c r="U1634" s="200">
        <f t="shared" si="43"/>
        <v>550</v>
      </c>
      <c r="V1634" s="12"/>
      <c r="W1634" s="12"/>
    </row>
    <row r="1635" spans="1:23" x14ac:dyDescent="0.3">
      <c r="A1635" s="193" t="e">
        <f ca="1"/>
        <v>#NAME?</v>
      </c>
      <c r="B1635" s="219" t="s">
        <v>832</v>
      </c>
      <c r="C1635" s="315"/>
      <c r="D1635" s="316"/>
      <c r="E1635" s="315"/>
      <c r="F1635" s="315"/>
      <c r="G1635" s="315"/>
      <c r="H1635" s="153"/>
      <c r="I1635" s="12"/>
      <c r="J1635" s="215"/>
      <c r="K1635" s="12"/>
      <c r="L1635" s="291">
        <v>1</v>
      </c>
      <c r="M1635" s="335">
        <v>183</v>
      </c>
      <c r="N1635" s="336">
        <v>1</v>
      </c>
      <c r="O1635" s="219"/>
      <c r="P1635" s="219" t="s">
        <v>92</v>
      </c>
      <c r="Q1635" s="12"/>
      <c r="R1635" s="192" t="str">
        <f t="shared" si="40"/>
        <v>1pieces</v>
      </c>
      <c r="S1635" s="198">
        <f t="shared" si="41"/>
        <v>183</v>
      </c>
      <c r="T1635" s="199" t="str">
        <f t="shared" si="42"/>
        <v>183pieces</v>
      </c>
      <c r="U1635" s="200">
        <f t="shared" si="43"/>
        <v>183</v>
      </c>
      <c r="V1635" s="12"/>
      <c r="W1635" s="12"/>
    </row>
    <row r="1636" spans="1:23" x14ac:dyDescent="0.3">
      <c r="A1636" s="193" t="e">
        <f ca="1"/>
        <v>#NAME?</v>
      </c>
      <c r="B1636" s="219" t="s">
        <v>832</v>
      </c>
      <c r="C1636" s="315"/>
      <c r="D1636" s="316"/>
      <c r="E1636" s="315"/>
      <c r="F1636" s="315"/>
      <c r="G1636" s="315"/>
      <c r="H1636" s="153"/>
      <c r="I1636" s="12"/>
      <c r="J1636" s="170"/>
      <c r="K1636" s="12"/>
      <c r="L1636" s="288">
        <v>2.08</v>
      </c>
      <c r="M1636" s="332">
        <v>2536</v>
      </c>
      <c r="N1636" s="333">
        <v>1</v>
      </c>
      <c r="O1636" s="46"/>
      <c r="P1636" s="46" t="s">
        <v>92</v>
      </c>
      <c r="Q1636" s="12"/>
      <c r="R1636" s="192" t="str">
        <f t="shared" si="40"/>
        <v>1pieces</v>
      </c>
      <c r="S1636" s="198">
        <f t="shared" si="41"/>
        <v>2536</v>
      </c>
      <c r="T1636" s="199" t="str">
        <f t="shared" si="42"/>
        <v>2536pieces</v>
      </c>
      <c r="U1636" s="200">
        <f t="shared" si="43"/>
        <v>5274.88</v>
      </c>
      <c r="V1636" s="12"/>
      <c r="W1636" s="12"/>
    </row>
    <row r="1637" spans="1:23" x14ac:dyDescent="0.3">
      <c r="A1637" s="193" t="e">
        <f ca="1"/>
        <v>#NAME?</v>
      </c>
      <c r="B1637" s="340" t="s">
        <v>832</v>
      </c>
      <c r="C1637" s="315"/>
      <c r="D1637" s="316"/>
      <c r="E1637" s="315"/>
      <c r="F1637" s="315"/>
      <c r="G1637" s="315"/>
      <c r="H1637" s="153"/>
      <c r="I1637" s="12"/>
      <c r="J1637" s="253"/>
      <c r="K1637" s="12"/>
      <c r="L1637" s="341">
        <v>1</v>
      </c>
      <c r="M1637" s="335">
        <v>14</v>
      </c>
      <c r="N1637" s="336">
        <v>1</v>
      </c>
      <c r="O1637" s="340"/>
      <c r="P1637" s="340" t="s">
        <v>304</v>
      </c>
      <c r="Q1637" s="12"/>
      <c r="R1637" s="192" t="str">
        <f t="shared" si="40"/>
        <v>1packs</v>
      </c>
      <c r="S1637" s="198">
        <f t="shared" si="41"/>
        <v>14</v>
      </c>
      <c r="T1637" s="199" t="str">
        <f t="shared" si="42"/>
        <v>14packs</v>
      </c>
      <c r="U1637" s="200">
        <f t="shared" si="43"/>
        <v>14</v>
      </c>
      <c r="V1637" s="12"/>
      <c r="W1637" s="12"/>
    </row>
    <row r="1638" spans="1:23" x14ac:dyDescent="0.3">
      <c r="A1638" s="193" t="e">
        <f ca="1"/>
        <v>#NAME?</v>
      </c>
      <c r="B1638" s="340" t="s">
        <v>1879</v>
      </c>
      <c r="C1638" s="315"/>
      <c r="D1638" s="316"/>
      <c r="E1638" s="315"/>
      <c r="F1638" s="315"/>
      <c r="G1638" s="315"/>
      <c r="H1638" s="153"/>
      <c r="I1638" s="12"/>
      <c r="J1638" s="219" t="s">
        <v>1880</v>
      </c>
      <c r="K1638" s="12"/>
      <c r="L1638" s="291">
        <v>25</v>
      </c>
      <c r="M1638" s="292">
        <v>4</v>
      </c>
      <c r="N1638" s="293">
        <v>1</v>
      </c>
      <c r="O1638" s="219"/>
      <c r="P1638" s="219" t="s">
        <v>304</v>
      </c>
      <c r="Q1638" s="12"/>
      <c r="R1638" s="192" t="str">
        <f t="shared" si="40"/>
        <v>1packs</v>
      </c>
      <c r="S1638" s="198">
        <f t="shared" si="41"/>
        <v>4</v>
      </c>
      <c r="T1638" s="199" t="str">
        <f t="shared" si="42"/>
        <v>4packs</v>
      </c>
      <c r="U1638" s="200">
        <f t="shared" si="43"/>
        <v>100</v>
      </c>
      <c r="V1638" s="12"/>
      <c r="W1638" s="12"/>
    </row>
    <row r="1639" spans="1:23" x14ac:dyDescent="0.3">
      <c r="A1639" s="193" t="e">
        <f ca="1"/>
        <v>#NAME?</v>
      </c>
      <c r="B1639" s="46" t="s">
        <v>1881</v>
      </c>
      <c r="C1639" s="315"/>
      <c r="D1639" s="316"/>
      <c r="E1639" s="315"/>
      <c r="F1639" s="315"/>
      <c r="G1639" s="315"/>
      <c r="H1639" s="153"/>
      <c r="I1639" s="12"/>
      <c r="J1639" s="46" t="s">
        <v>1882</v>
      </c>
      <c r="K1639" s="12"/>
      <c r="L1639" s="288">
        <v>98</v>
      </c>
      <c r="M1639" s="289">
        <v>1</v>
      </c>
      <c r="N1639" s="290">
        <v>150</v>
      </c>
      <c r="O1639" s="46"/>
      <c r="P1639" s="46" t="s">
        <v>39</v>
      </c>
      <c r="Q1639" s="12"/>
      <c r="R1639" s="192" t="str">
        <f t="shared" si="40"/>
        <v>150grams</v>
      </c>
      <c r="S1639" s="198">
        <f t="shared" si="41"/>
        <v>150</v>
      </c>
      <c r="T1639" s="199" t="str">
        <f t="shared" si="42"/>
        <v>150grams</v>
      </c>
      <c r="U1639" s="200">
        <f t="shared" si="43"/>
        <v>98</v>
      </c>
      <c r="V1639" s="12"/>
      <c r="W1639" s="12"/>
    </row>
    <row r="1640" spans="1:23" x14ac:dyDescent="0.3">
      <c r="A1640" s="193" t="e">
        <f ca="1"/>
        <v>#NAME?</v>
      </c>
      <c r="B1640" s="46" t="s">
        <v>1881</v>
      </c>
      <c r="C1640" s="315"/>
      <c r="D1640" s="316"/>
      <c r="E1640" s="315"/>
      <c r="F1640" s="315"/>
      <c r="G1640" s="315"/>
      <c r="H1640" s="153"/>
      <c r="I1640" s="12"/>
      <c r="J1640" s="219" t="s">
        <v>1882</v>
      </c>
      <c r="K1640" s="12"/>
      <c r="L1640" s="291">
        <v>239.5</v>
      </c>
      <c r="M1640" s="292">
        <v>1</v>
      </c>
      <c r="N1640" s="293">
        <v>290</v>
      </c>
      <c r="O1640" s="219"/>
      <c r="P1640" s="219" t="s">
        <v>39</v>
      </c>
      <c r="Q1640" s="12"/>
      <c r="R1640" s="192" t="str">
        <f t="shared" si="40"/>
        <v>290grams</v>
      </c>
      <c r="S1640" s="198">
        <f t="shared" si="41"/>
        <v>290</v>
      </c>
      <c r="T1640" s="199" t="str">
        <f t="shared" si="42"/>
        <v>290grams</v>
      </c>
      <c r="U1640" s="200">
        <f t="shared" si="43"/>
        <v>239.5</v>
      </c>
      <c r="V1640" s="12"/>
      <c r="W1640" s="12"/>
    </row>
    <row r="1641" spans="1:23" x14ac:dyDescent="0.3">
      <c r="A1641" s="193" t="e">
        <f ca="1"/>
        <v>#NAME?</v>
      </c>
      <c r="B1641" s="46" t="s">
        <v>833</v>
      </c>
      <c r="C1641" s="315"/>
      <c r="D1641" s="316"/>
      <c r="E1641" s="315"/>
      <c r="F1641" s="315"/>
      <c r="G1641" s="315"/>
      <c r="H1641" s="153"/>
      <c r="I1641" s="12"/>
      <c r="J1641" s="46" t="s">
        <v>1882</v>
      </c>
      <c r="K1641" s="12"/>
      <c r="L1641" s="288">
        <v>76</v>
      </c>
      <c r="M1641" s="289">
        <v>1</v>
      </c>
      <c r="N1641" s="290">
        <v>340</v>
      </c>
      <c r="O1641" s="46"/>
      <c r="P1641" s="46" t="s">
        <v>39</v>
      </c>
      <c r="Q1641" s="12"/>
      <c r="R1641" s="192" t="str">
        <f t="shared" si="40"/>
        <v>340grams</v>
      </c>
      <c r="S1641" s="198">
        <f t="shared" si="41"/>
        <v>340</v>
      </c>
      <c r="T1641" s="199" t="str">
        <f t="shared" si="42"/>
        <v>340grams</v>
      </c>
      <c r="U1641" s="200">
        <f t="shared" si="43"/>
        <v>76</v>
      </c>
      <c r="V1641" s="12"/>
      <c r="W1641" s="12"/>
    </row>
    <row r="1642" spans="1:23" x14ac:dyDescent="0.3">
      <c r="A1642" s="193" t="e">
        <f ca="1"/>
        <v>#NAME?</v>
      </c>
      <c r="B1642" s="219" t="s">
        <v>1883</v>
      </c>
      <c r="C1642" s="315"/>
      <c r="D1642" s="316"/>
      <c r="E1642" s="315"/>
      <c r="F1642" s="315"/>
      <c r="G1642" s="315"/>
      <c r="H1642" s="153"/>
      <c r="I1642" s="12"/>
      <c r="J1642" s="170"/>
      <c r="K1642" s="12"/>
      <c r="L1642" s="288">
        <v>120</v>
      </c>
      <c r="M1642" s="289">
        <v>1</v>
      </c>
      <c r="N1642" s="290">
        <v>1</v>
      </c>
      <c r="O1642" s="46"/>
      <c r="P1642" s="46" t="s">
        <v>92</v>
      </c>
      <c r="Q1642" s="12"/>
      <c r="R1642" s="192" t="str">
        <f t="shared" si="40"/>
        <v>1pieces</v>
      </c>
      <c r="S1642" s="198">
        <f t="shared" si="41"/>
        <v>1</v>
      </c>
      <c r="T1642" s="199" t="str">
        <f t="shared" si="42"/>
        <v>1pieces</v>
      </c>
      <c r="U1642" s="200">
        <f t="shared" si="43"/>
        <v>120</v>
      </c>
      <c r="V1642" s="12"/>
      <c r="W1642" s="12"/>
    </row>
    <row r="1643" spans="1:23" x14ac:dyDescent="0.3">
      <c r="A1643" s="193" t="e">
        <f ca="1"/>
        <v>#NAME?</v>
      </c>
      <c r="B1643" s="96" t="s">
        <v>1884</v>
      </c>
      <c r="C1643" s="315"/>
      <c r="D1643" s="316"/>
      <c r="E1643" s="315"/>
      <c r="F1643" s="315"/>
      <c r="G1643" s="315"/>
      <c r="H1643" s="153"/>
      <c r="I1643" s="12"/>
      <c r="J1643" s="96" t="s">
        <v>1004</v>
      </c>
      <c r="K1643" s="12"/>
      <c r="L1643" s="342">
        <v>5</v>
      </c>
      <c r="M1643" s="332">
        <v>21</v>
      </c>
      <c r="N1643" s="290">
        <v>1</v>
      </c>
      <c r="O1643" s="46"/>
      <c r="P1643" s="46" t="s">
        <v>92</v>
      </c>
      <c r="Q1643" s="12"/>
      <c r="R1643" s="192" t="str">
        <f t="shared" si="40"/>
        <v>1pieces</v>
      </c>
      <c r="S1643" s="198">
        <f t="shared" si="41"/>
        <v>21</v>
      </c>
      <c r="T1643" s="199" t="str">
        <f t="shared" si="42"/>
        <v>21pieces</v>
      </c>
      <c r="U1643" s="200">
        <f t="shared" si="43"/>
        <v>105</v>
      </c>
      <c r="V1643" s="12"/>
      <c r="W1643" s="12"/>
    </row>
    <row r="1644" spans="1:23" x14ac:dyDescent="0.3">
      <c r="A1644" s="193" t="e">
        <f ca="1"/>
        <v>#NAME?</v>
      </c>
      <c r="B1644" s="46" t="s">
        <v>1550</v>
      </c>
      <c r="C1644" s="315"/>
      <c r="D1644" s="316"/>
      <c r="E1644" s="315"/>
      <c r="F1644" s="315"/>
      <c r="G1644" s="315"/>
      <c r="H1644" s="153"/>
      <c r="I1644" s="12"/>
      <c r="J1644" s="170" t="s">
        <v>1552</v>
      </c>
      <c r="K1644" s="12"/>
      <c r="L1644" s="359">
        <v>0.1</v>
      </c>
      <c r="M1644" s="289">
        <v>1960</v>
      </c>
      <c r="N1644" s="360">
        <v>1</v>
      </c>
      <c r="O1644" s="240"/>
      <c r="P1644" s="240" t="s">
        <v>92</v>
      </c>
      <c r="Q1644" s="12"/>
      <c r="R1644" s="192" t="str">
        <f t="shared" si="40"/>
        <v>1pieces</v>
      </c>
      <c r="S1644" s="198">
        <f t="shared" si="41"/>
        <v>1960</v>
      </c>
      <c r="T1644" s="199" t="str">
        <f t="shared" si="42"/>
        <v>1960pieces</v>
      </c>
      <c r="U1644" s="200">
        <f t="shared" si="43"/>
        <v>196</v>
      </c>
      <c r="V1644" s="12"/>
      <c r="W1644" s="12"/>
    </row>
    <row r="1645" spans="1:23" x14ac:dyDescent="0.3">
      <c r="A1645" s="193" t="e">
        <f ca="1"/>
        <v>#NAME?</v>
      </c>
      <c r="B1645" s="46" t="s">
        <v>34</v>
      </c>
      <c r="C1645" s="315"/>
      <c r="D1645" s="316"/>
      <c r="E1645" s="315"/>
      <c r="F1645" s="315"/>
      <c r="G1645" s="315"/>
      <c r="H1645" s="153"/>
      <c r="I1645" s="12"/>
      <c r="J1645" s="46" t="s">
        <v>30</v>
      </c>
      <c r="K1645" s="12"/>
      <c r="L1645" s="359">
        <v>47.6</v>
      </c>
      <c r="M1645" s="289">
        <v>6</v>
      </c>
      <c r="N1645" s="360">
        <v>250</v>
      </c>
      <c r="O1645" s="240"/>
      <c r="P1645" s="240" t="s">
        <v>32</v>
      </c>
      <c r="Q1645" s="12"/>
      <c r="R1645" s="192" t="str">
        <f t="shared" si="40"/>
        <v>250ml</v>
      </c>
      <c r="S1645" s="198">
        <f t="shared" si="41"/>
        <v>1500</v>
      </c>
      <c r="T1645" s="199" t="str">
        <f t="shared" si="42"/>
        <v>1500ml</v>
      </c>
      <c r="U1645" s="200">
        <f t="shared" si="43"/>
        <v>285.60000000000002</v>
      </c>
      <c r="V1645" s="12"/>
      <c r="W1645" s="12"/>
    </row>
    <row r="1646" spans="1:23" x14ac:dyDescent="0.3">
      <c r="A1646" s="193" t="e">
        <f ca="1"/>
        <v>#NAME?</v>
      </c>
      <c r="B1646" s="46" t="s">
        <v>37</v>
      </c>
      <c r="C1646" s="315"/>
      <c r="D1646" s="316"/>
      <c r="E1646" s="315"/>
      <c r="F1646" s="315"/>
      <c r="G1646" s="315"/>
      <c r="H1646" s="153"/>
      <c r="I1646" s="12"/>
      <c r="J1646" s="170"/>
      <c r="K1646" s="12"/>
      <c r="L1646" s="361">
        <v>43.4</v>
      </c>
      <c r="M1646" s="362">
        <v>6</v>
      </c>
      <c r="N1646" s="363">
        <v>1</v>
      </c>
      <c r="O1646" s="240"/>
      <c r="P1646" s="240" t="s">
        <v>213</v>
      </c>
      <c r="Q1646" s="12"/>
      <c r="R1646" s="192" t="str">
        <f t="shared" si="40"/>
        <v>1kilos</v>
      </c>
      <c r="S1646" s="198">
        <f t="shared" si="41"/>
        <v>6</v>
      </c>
      <c r="T1646" s="199" t="str">
        <f t="shared" si="42"/>
        <v>6kilos</v>
      </c>
      <c r="U1646" s="200">
        <f t="shared" si="43"/>
        <v>260.39999999999998</v>
      </c>
      <c r="V1646" s="12"/>
      <c r="W1646" s="12"/>
    </row>
    <row r="1647" spans="1:23" x14ac:dyDescent="0.3">
      <c r="A1647" s="193" t="e">
        <f ca="1"/>
        <v>#NAME?</v>
      </c>
      <c r="B1647" s="46" t="s">
        <v>860</v>
      </c>
      <c r="C1647" s="315"/>
      <c r="D1647" s="316"/>
      <c r="E1647" s="315"/>
      <c r="F1647" s="315"/>
      <c r="G1647" s="315"/>
      <c r="H1647" s="153"/>
      <c r="I1647" s="12"/>
      <c r="J1647" s="170"/>
      <c r="K1647" s="12"/>
      <c r="L1647" s="359">
        <v>80</v>
      </c>
      <c r="M1647" s="289">
        <v>2</v>
      </c>
      <c r="N1647" s="360">
        <v>1</v>
      </c>
      <c r="O1647" s="364"/>
      <c r="P1647" s="364" t="s">
        <v>213</v>
      </c>
      <c r="Q1647" s="12"/>
      <c r="R1647" s="192" t="str">
        <f t="shared" si="40"/>
        <v>1kilos</v>
      </c>
      <c r="S1647" s="198">
        <f t="shared" si="41"/>
        <v>2</v>
      </c>
      <c r="T1647" s="199" t="str">
        <f t="shared" si="42"/>
        <v>2kilos</v>
      </c>
      <c r="U1647" s="200">
        <f t="shared" si="43"/>
        <v>160</v>
      </c>
      <c r="V1647" s="12"/>
      <c r="W1647" s="12"/>
    </row>
    <row r="1648" spans="1:23" x14ac:dyDescent="0.3">
      <c r="A1648" s="193" t="e">
        <f ca="1"/>
        <v>#NAME?</v>
      </c>
      <c r="B1648" s="46" t="s">
        <v>878</v>
      </c>
      <c r="C1648" s="315"/>
      <c r="D1648" s="316"/>
      <c r="E1648" s="315"/>
      <c r="F1648" s="315"/>
      <c r="G1648" s="315"/>
      <c r="H1648" s="153"/>
      <c r="I1648" s="12"/>
      <c r="J1648" s="170"/>
      <c r="K1648" s="12"/>
      <c r="L1648" s="359">
        <v>145</v>
      </c>
      <c r="M1648" s="289">
        <v>0</v>
      </c>
      <c r="N1648" s="360">
        <v>1</v>
      </c>
      <c r="O1648" s="240"/>
      <c r="P1648" s="240" t="s">
        <v>213</v>
      </c>
      <c r="Q1648" s="12"/>
      <c r="R1648" s="192" t="str">
        <f t="shared" si="40"/>
        <v>1kilos</v>
      </c>
      <c r="S1648" s="198">
        <f t="shared" si="41"/>
        <v>0</v>
      </c>
      <c r="T1648" s="199" t="str">
        <f t="shared" si="42"/>
        <v>0kilos</v>
      </c>
      <c r="U1648" s="200">
        <f t="shared" si="43"/>
        <v>0</v>
      </c>
      <c r="V1648" s="12"/>
      <c r="W1648" s="12"/>
    </row>
    <row r="1649" spans="1:23" x14ac:dyDescent="0.3">
      <c r="A1649" s="193" t="e">
        <f ca="1"/>
        <v>#NAME?</v>
      </c>
      <c r="B1649" s="46" t="s">
        <v>492</v>
      </c>
      <c r="C1649" s="315"/>
      <c r="D1649" s="316"/>
      <c r="E1649" s="315"/>
      <c r="F1649" s="315"/>
      <c r="G1649" s="315"/>
      <c r="H1649" s="153"/>
      <c r="I1649" s="12"/>
      <c r="J1649" s="170"/>
      <c r="K1649" s="12"/>
      <c r="L1649" s="359">
        <v>275</v>
      </c>
      <c r="M1649" s="289">
        <v>6</v>
      </c>
      <c r="N1649" s="360">
        <v>1</v>
      </c>
      <c r="O1649" s="240"/>
      <c r="P1649" s="240" t="s">
        <v>213</v>
      </c>
      <c r="Q1649" s="12"/>
      <c r="R1649" s="192" t="str">
        <f t="shared" si="40"/>
        <v>1kilos</v>
      </c>
      <c r="S1649" s="198">
        <f t="shared" si="41"/>
        <v>6</v>
      </c>
      <c r="T1649" s="199" t="str">
        <f t="shared" si="42"/>
        <v>6kilos</v>
      </c>
      <c r="U1649" s="200">
        <f t="shared" si="43"/>
        <v>1650</v>
      </c>
      <c r="V1649" s="12"/>
      <c r="W1649" s="12"/>
    </row>
    <row r="1650" spans="1:23" x14ac:dyDescent="0.3">
      <c r="A1650" s="193" t="e">
        <f ca="1"/>
        <v>#NAME?</v>
      </c>
      <c r="B1650" s="46" t="s">
        <v>1903</v>
      </c>
      <c r="C1650" s="315"/>
      <c r="D1650" s="316"/>
      <c r="E1650" s="315"/>
      <c r="F1650" s="315"/>
      <c r="G1650" s="315"/>
      <c r="H1650" s="153"/>
      <c r="I1650" s="12"/>
      <c r="J1650" s="170"/>
      <c r="K1650" s="12"/>
      <c r="L1650" s="359">
        <v>0.24</v>
      </c>
      <c r="M1650" s="289">
        <v>84</v>
      </c>
      <c r="N1650" s="360">
        <v>1</v>
      </c>
      <c r="O1650" s="240"/>
      <c r="P1650" s="240" t="s">
        <v>92</v>
      </c>
      <c r="Q1650" s="12"/>
      <c r="R1650" s="192" t="str">
        <f t="shared" si="40"/>
        <v>1pieces</v>
      </c>
      <c r="S1650" s="198">
        <f t="shared" si="41"/>
        <v>84</v>
      </c>
      <c r="T1650" s="199" t="str">
        <f t="shared" si="42"/>
        <v>84pieces</v>
      </c>
      <c r="U1650" s="200">
        <f t="shared" si="43"/>
        <v>20.16</v>
      </c>
      <c r="V1650" s="12"/>
      <c r="W1650" s="12"/>
    </row>
    <row r="1651" spans="1:23" x14ac:dyDescent="0.3">
      <c r="A1651" s="193" t="e">
        <f ca="1"/>
        <v>#NAME?</v>
      </c>
      <c r="B1651" s="46" t="s">
        <v>908</v>
      </c>
      <c r="C1651" s="315"/>
      <c r="D1651" s="316"/>
      <c r="E1651" s="315"/>
      <c r="F1651" s="315"/>
      <c r="G1651" s="315"/>
      <c r="H1651" s="153"/>
      <c r="I1651" s="12"/>
      <c r="J1651" s="170"/>
      <c r="K1651" s="12"/>
      <c r="L1651" s="359">
        <v>325</v>
      </c>
      <c r="M1651" s="289">
        <v>5</v>
      </c>
      <c r="N1651" s="360">
        <v>1</v>
      </c>
      <c r="O1651" s="240"/>
      <c r="P1651" s="240" t="s">
        <v>213</v>
      </c>
      <c r="Q1651" s="12"/>
      <c r="R1651" s="192" t="str">
        <f t="shared" si="40"/>
        <v>1kilos</v>
      </c>
      <c r="S1651" s="198">
        <f t="shared" si="41"/>
        <v>5</v>
      </c>
      <c r="T1651" s="199" t="str">
        <f t="shared" si="42"/>
        <v>5kilos</v>
      </c>
      <c r="U1651" s="200">
        <f t="shared" si="43"/>
        <v>1625</v>
      </c>
      <c r="V1651" s="12"/>
      <c r="W1651" s="12"/>
    </row>
    <row r="1652" spans="1:23" x14ac:dyDescent="0.3">
      <c r="A1652" s="193" t="e">
        <f ca="1"/>
        <v>#NAME?</v>
      </c>
      <c r="B1652" s="68" t="s">
        <v>1904</v>
      </c>
      <c r="C1652" s="315"/>
      <c r="D1652" s="316"/>
      <c r="E1652" s="315"/>
      <c r="F1652" s="315"/>
      <c r="G1652" s="315"/>
      <c r="H1652" s="153"/>
      <c r="I1652" s="12"/>
      <c r="J1652" s="170"/>
      <c r="K1652" s="12"/>
      <c r="L1652" s="359">
        <v>430</v>
      </c>
      <c r="M1652" s="289">
        <v>0</v>
      </c>
      <c r="N1652" s="360">
        <v>1</v>
      </c>
      <c r="O1652" s="240"/>
      <c r="P1652" s="240" t="s">
        <v>213</v>
      </c>
      <c r="Q1652" s="12"/>
      <c r="R1652" s="192" t="str">
        <f t="shared" si="40"/>
        <v>1kilos</v>
      </c>
      <c r="S1652" s="198">
        <f t="shared" si="41"/>
        <v>0</v>
      </c>
      <c r="T1652" s="199" t="str">
        <f t="shared" si="42"/>
        <v>0kilos</v>
      </c>
      <c r="U1652" s="200">
        <f t="shared" si="43"/>
        <v>0</v>
      </c>
      <c r="V1652" s="12"/>
      <c r="W1652" s="12"/>
    </row>
    <row r="1653" spans="1:23" x14ac:dyDescent="0.3">
      <c r="A1653" s="193" t="e">
        <f ca="1"/>
        <v>#NAME?</v>
      </c>
      <c r="B1653" s="96" t="s">
        <v>318</v>
      </c>
      <c r="C1653" s="315"/>
      <c r="D1653" s="316"/>
      <c r="E1653" s="315"/>
      <c r="F1653" s="315"/>
      <c r="G1653" s="315"/>
      <c r="H1653" s="153"/>
      <c r="I1653" s="12"/>
      <c r="J1653" s="46" t="s">
        <v>919</v>
      </c>
      <c r="K1653" s="12"/>
      <c r="L1653" s="365">
        <v>83.6</v>
      </c>
      <c r="M1653" s="332">
        <v>8</v>
      </c>
      <c r="N1653" s="366">
        <v>1</v>
      </c>
      <c r="O1653" s="240"/>
      <c r="P1653" s="240" t="s">
        <v>213</v>
      </c>
      <c r="Q1653" s="12"/>
      <c r="R1653" s="192" t="str">
        <f t="shared" si="40"/>
        <v>1kilos</v>
      </c>
      <c r="S1653" s="198">
        <f t="shared" si="41"/>
        <v>8</v>
      </c>
      <c r="T1653" s="199" t="str">
        <f t="shared" si="42"/>
        <v>8kilos</v>
      </c>
      <c r="U1653" s="200">
        <f t="shared" si="43"/>
        <v>668.8</v>
      </c>
      <c r="V1653" s="12"/>
      <c r="W1653" s="12"/>
    </row>
    <row r="1654" spans="1:23" x14ac:dyDescent="0.3">
      <c r="A1654" s="193" t="e">
        <f ca="1"/>
        <v>#NAME?</v>
      </c>
      <c r="B1654" s="96" t="s">
        <v>924</v>
      </c>
      <c r="C1654" s="315"/>
      <c r="D1654" s="316"/>
      <c r="E1654" s="315"/>
      <c r="F1654" s="315"/>
      <c r="G1654" s="315"/>
      <c r="H1654" s="153"/>
      <c r="I1654" s="12"/>
      <c r="J1654" s="170" t="s">
        <v>1905</v>
      </c>
      <c r="K1654" s="12"/>
      <c r="L1654" s="365">
        <v>6.38</v>
      </c>
      <c r="M1654" s="332">
        <v>28</v>
      </c>
      <c r="N1654" s="366">
        <v>1</v>
      </c>
      <c r="O1654" s="240"/>
      <c r="P1654" s="240" t="s">
        <v>92</v>
      </c>
      <c r="Q1654" s="12"/>
      <c r="R1654" s="192" t="str">
        <f t="shared" si="40"/>
        <v>1pieces</v>
      </c>
      <c r="S1654" s="198">
        <f t="shared" si="41"/>
        <v>28</v>
      </c>
      <c r="T1654" s="199" t="str">
        <f t="shared" si="42"/>
        <v>28pieces</v>
      </c>
      <c r="U1654" s="200">
        <f t="shared" si="43"/>
        <v>178.64</v>
      </c>
      <c r="V1654" s="12"/>
      <c r="W1654" s="12"/>
    </row>
    <row r="1655" spans="1:23" x14ac:dyDescent="0.3">
      <c r="A1655" s="193" t="e">
        <f ca="1"/>
        <v>#NAME?</v>
      </c>
      <c r="B1655" s="96" t="s">
        <v>1906</v>
      </c>
      <c r="C1655" s="315"/>
      <c r="D1655" s="316"/>
      <c r="E1655" s="315"/>
      <c r="F1655" s="315"/>
      <c r="G1655" s="315"/>
      <c r="H1655" s="153"/>
      <c r="I1655" s="12"/>
      <c r="J1655" s="68" t="s">
        <v>1907</v>
      </c>
      <c r="K1655" s="12"/>
      <c r="L1655" s="361">
        <v>25</v>
      </c>
      <c r="M1655" s="332">
        <v>5</v>
      </c>
      <c r="N1655" s="367">
        <v>250</v>
      </c>
      <c r="O1655" s="249"/>
      <c r="P1655" s="249" t="s">
        <v>39</v>
      </c>
      <c r="Q1655" s="12"/>
      <c r="R1655" s="192" t="str">
        <f t="shared" si="40"/>
        <v>250grams</v>
      </c>
      <c r="S1655" s="198">
        <f t="shared" si="41"/>
        <v>1250</v>
      </c>
      <c r="T1655" s="199" t="str">
        <f t="shared" si="42"/>
        <v>1250grams</v>
      </c>
      <c r="U1655" s="200">
        <f t="shared" si="43"/>
        <v>125</v>
      </c>
      <c r="V1655" s="12"/>
      <c r="W1655" s="12"/>
    </row>
    <row r="1656" spans="1:23" x14ac:dyDescent="0.3">
      <c r="A1656" s="193" t="e">
        <f ca="1"/>
        <v>#NAME?</v>
      </c>
      <c r="B1656" s="96" t="s">
        <v>964</v>
      </c>
      <c r="C1656" s="315"/>
      <c r="D1656" s="316"/>
      <c r="E1656" s="315"/>
      <c r="F1656" s="315"/>
      <c r="G1656" s="315"/>
      <c r="H1656" s="153"/>
      <c r="I1656" s="12"/>
      <c r="J1656" s="68" t="s">
        <v>1907</v>
      </c>
      <c r="K1656" s="12"/>
      <c r="L1656" s="359">
        <v>25</v>
      </c>
      <c r="M1656" s="332">
        <v>8</v>
      </c>
      <c r="N1656" s="360">
        <v>250</v>
      </c>
      <c r="O1656" s="249"/>
      <c r="P1656" s="249" t="s">
        <v>39</v>
      </c>
      <c r="Q1656" s="12"/>
      <c r="R1656" s="192" t="str">
        <f t="shared" si="40"/>
        <v>250grams</v>
      </c>
      <c r="S1656" s="198">
        <f t="shared" si="41"/>
        <v>2000</v>
      </c>
      <c r="T1656" s="199" t="str">
        <f t="shared" si="42"/>
        <v>2000grams</v>
      </c>
      <c r="U1656" s="200">
        <f t="shared" si="43"/>
        <v>200</v>
      </c>
      <c r="V1656" s="12"/>
      <c r="W1656" s="12"/>
    </row>
    <row r="1657" spans="1:23" x14ac:dyDescent="0.3">
      <c r="A1657" s="193" t="e">
        <f ca="1"/>
        <v>#NAME?</v>
      </c>
      <c r="B1657" s="96" t="s">
        <v>1908</v>
      </c>
      <c r="C1657" s="315"/>
      <c r="D1657" s="316"/>
      <c r="E1657" s="315"/>
      <c r="F1657" s="315"/>
      <c r="G1657" s="315"/>
      <c r="H1657" s="153"/>
      <c r="I1657" s="12"/>
      <c r="J1657" s="96" t="s">
        <v>1909</v>
      </c>
      <c r="K1657" s="12"/>
      <c r="L1657" s="368">
        <v>7.25</v>
      </c>
      <c r="M1657" s="332">
        <v>120</v>
      </c>
      <c r="N1657" s="366">
        <v>20</v>
      </c>
      <c r="O1657" s="100"/>
      <c r="P1657" s="100" t="s">
        <v>39</v>
      </c>
      <c r="Q1657" s="12"/>
      <c r="R1657" s="192" t="str">
        <f t="shared" si="40"/>
        <v>20grams</v>
      </c>
      <c r="S1657" s="198">
        <f t="shared" si="41"/>
        <v>2400</v>
      </c>
      <c r="T1657" s="199" t="str">
        <f t="shared" si="42"/>
        <v>2400grams</v>
      </c>
      <c r="U1657" s="200">
        <f t="shared" si="43"/>
        <v>870</v>
      </c>
      <c r="V1657" s="12"/>
      <c r="W1657" s="12"/>
    </row>
    <row r="1658" spans="1:23" x14ac:dyDescent="0.3">
      <c r="A1658" s="193" t="e">
        <f ca="1"/>
        <v>#NAME?</v>
      </c>
      <c r="B1658" s="96" t="s">
        <v>924</v>
      </c>
      <c r="C1658" s="315"/>
      <c r="D1658" s="316"/>
      <c r="E1658" s="315"/>
      <c r="F1658" s="315"/>
      <c r="G1658" s="315"/>
      <c r="H1658" s="153"/>
      <c r="I1658" s="12"/>
      <c r="J1658" s="239" t="s">
        <v>1910</v>
      </c>
      <c r="K1658" s="12"/>
      <c r="L1658" s="368">
        <v>5.92</v>
      </c>
      <c r="M1658" s="332">
        <v>37</v>
      </c>
      <c r="N1658" s="366">
        <v>1</v>
      </c>
      <c r="O1658" s="100"/>
      <c r="P1658" s="100" t="s">
        <v>92</v>
      </c>
      <c r="Q1658" s="12"/>
      <c r="R1658" s="192" t="str">
        <f t="shared" si="40"/>
        <v>1pieces</v>
      </c>
      <c r="S1658" s="198">
        <f t="shared" si="41"/>
        <v>37</v>
      </c>
      <c r="T1658" s="199" t="str">
        <f t="shared" si="42"/>
        <v>37pieces</v>
      </c>
      <c r="U1658" s="200">
        <f t="shared" si="43"/>
        <v>219.04</v>
      </c>
      <c r="V1658" s="12"/>
      <c r="W1658" s="12"/>
    </row>
    <row r="1659" spans="1:23" x14ac:dyDescent="0.3">
      <c r="A1659" s="193" t="e">
        <f ca="1"/>
        <v>#NAME?</v>
      </c>
      <c r="B1659" s="96" t="s">
        <v>48</v>
      </c>
      <c r="C1659" s="315"/>
      <c r="D1659" s="316"/>
      <c r="E1659" s="315"/>
      <c r="F1659" s="315"/>
      <c r="G1659" s="315"/>
      <c r="H1659" s="153"/>
      <c r="I1659" s="12"/>
      <c r="J1659" s="96" t="s">
        <v>980</v>
      </c>
      <c r="K1659" s="12"/>
      <c r="L1659" s="368">
        <v>142</v>
      </c>
      <c r="M1659" s="332">
        <v>1</v>
      </c>
      <c r="N1659" s="366">
        <v>1</v>
      </c>
      <c r="O1659" s="100"/>
      <c r="P1659" s="100" t="s">
        <v>213</v>
      </c>
      <c r="Q1659" s="12"/>
      <c r="R1659" s="192" t="str">
        <f t="shared" si="40"/>
        <v>1kilos</v>
      </c>
      <c r="S1659" s="198">
        <f t="shared" si="41"/>
        <v>1</v>
      </c>
      <c r="T1659" s="199" t="str">
        <f t="shared" si="42"/>
        <v>1kilos</v>
      </c>
      <c r="U1659" s="200">
        <f t="shared" si="43"/>
        <v>142</v>
      </c>
      <c r="V1659" s="12"/>
      <c r="W1659" s="12"/>
    </row>
    <row r="1660" spans="1:23" x14ac:dyDescent="0.3">
      <c r="A1660" s="193" t="e">
        <f ca="1"/>
        <v>#NAME?</v>
      </c>
      <c r="B1660" s="96" t="s">
        <v>237</v>
      </c>
      <c r="C1660" s="315"/>
      <c r="D1660" s="316"/>
      <c r="E1660" s="315"/>
      <c r="F1660" s="315"/>
      <c r="G1660" s="315"/>
      <c r="H1660" s="153"/>
      <c r="I1660" s="12"/>
      <c r="J1660" s="96" t="s">
        <v>987</v>
      </c>
      <c r="K1660" s="12"/>
      <c r="L1660" s="368">
        <v>6</v>
      </c>
      <c r="M1660" s="332">
        <v>34</v>
      </c>
      <c r="N1660" s="366">
        <v>1</v>
      </c>
      <c r="O1660" s="100"/>
      <c r="P1660" s="100" t="s">
        <v>92</v>
      </c>
      <c r="Q1660" s="12"/>
      <c r="R1660" s="192" t="str">
        <f t="shared" si="40"/>
        <v>1pieces</v>
      </c>
      <c r="S1660" s="198">
        <f t="shared" si="41"/>
        <v>34</v>
      </c>
      <c r="T1660" s="199" t="str">
        <f t="shared" si="42"/>
        <v>34pieces</v>
      </c>
      <c r="U1660" s="200">
        <f t="shared" si="43"/>
        <v>204</v>
      </c>
      <c r="V1660" s="12"/>
      <c r="W1660" s="12"/>
    </row>
    <row r="1661" spans="1:23" x14ac:dyDescent="0.3">
      <c r="A1661" s="193" t="e">
        <f ca="1"/>
        <v>#NAME?</v>
      </c>
      <c r="B1661" s="96" t="s">
        <v>518</v>
      </c>
      <c r="C1661" s="315"/>
      <c r="D1661" s="316"/>
      <c r="E1661" s="315"/>
      <c r="F1661" s="315"/>
      <c r="G1661" s="315"/>
      <c r="H1661" s="153"/>
      <c r="I1661" s="12"/>
      <c r="J1661" s="96" t="s">
        <v>987</v>
      </c>
      <c r="K1661" s="12"/>
      <c r="L1661" s="368">
        <v>6</v>
      </c>
      <c r="M1661" s="332">
        <v>41</v>
      </c>
      <c r="N1661" s="366">
        <v>1</v>
      </c>
      <c r="O1661" s="100"/>
      <c r="P1661" s="100" t="s">
        <v>92</v>
      </c>
      <c r="Q1661" s="12"/>
      <c r="R1661" s="192" t="str">
        <f t="shared" si="40"/>
        <v>1pieces</v>
      </c>
      <c r="S1661" s="198">
        <f t="shared" si="41"/>
        <v>41</v>
      </c>
      <c r="T1661" s="199" t="str">
        <f t="shared" si="42"/>
        <v>41pieces</v>
      </c>
      <c r="U1661" s="200">
        <f t="shared" si="43"/>
        <v>246</v>
      </c>
      <c r="V1661" s="12"/>
      <c r="W1661" s="12"/>
    </row>
    <row r="1662" spans="1:23" x14ac:dyDescent="0.3">
      <c r="A1662" s="193" t="e">
        <f ca="1"/>
        <v>#NAME?</v>
      </c>
      <c r="B1662" s="96" t="s">
        <v>1911</v>
      </c>
      <c r="C1662" s="315"/>
      <c r="D1662" s="316"/>
      <c r="E1662" s="315"/>
      <c r="F1662" s="315"/>
      <c r="G1662" s="315"/>
      <c r="H1662" s="153"/>
      <c r="I1662" s="12"/>
      <c r="J1662" s="96" t="s">
        <v>987</v>
      </c>
      <c r="K1662" s="12"/>
      <c r="L1662" s="368">
        <v>6</v>
      </c>
      <c r="M1662" s="332">
        <v>14</v>
      </c>
      <c r="N1662" s="366">
        <v>1</v>
      </c>
      <c r="O1662" s="100"/>
      <c r="P1662" s="100" t="s">
        <v>92</v>
      </c>
      <c r="Q1662" s="12"/>
      <c r="R1662" s="192" t="str">
        <f t="shared" si="40"/>
        <v>1pieces</v>
      </c>
      <c r="S1662" s="198">
        <f t="shared" si="41"/>
        <v>14</v>
      </c>
      <c r="T1662" s="199" t="str">
        <f t="shared" si="42"/>
        <v>14pieces</v>
      </c>
      <c r="U1662" s="200">
        <f t="shared" si="43"/>
        <v>84</v>
      </c>
      <c r="V1662" s="12"/>
      <c r="W1662" s="12"/>
    </row>
    <row r="1663" spans="1:23" x14ac:dyDescent="0.3">
      <c r="A1663" s="193" t="e">
        <f ca="1"/>
        <v>#NAME?</v>
      </c>
      <c r="B1663" s="96" t="s">
        <v>998</v>
      </c>
      <c r="C1663" s="315"/>
      <c r="D1663" s="316"/>
      <c r="E1663" s="315"/>
      <c r="F1663" s="315"/>
      <c r="G1663" s="315"/>
      <c r="H1663" s="153"/>
      <c r="I1663" s="12"/>
      <c r="J1663" s="96" t="s">
        <v>1912</v>
      </c>
      <c r="K1663" s="12"/>
      <c r="L1663" s="368">
        <v>60</v>
      </c>
      <c r="M1663" s="332">
        <v>2</v>
      </c>
      <c r="N1663" s="366">
        <v>1</v>
      </c>
      <c r="O1663" s="100"/>
      <c r="P1663" s="100" t="s">
        <v>213</v>
      </c>
      <c r="Q1663" s="12"/>
      <c r="R1663" s="192" t="str">
        <f t="shared" si="40"/>
        <v>1kilos</v>
      </c>
      <c r="S1663" s="198">
        <f t="shared" si="41"/>
        <v>2</v>
      </c>
      <c r="T1663" s="199" t="str">
        <f t="shared" si="42"/>
        <v>2kilos</v>
      </c>
      <c r="U1663" s="200">
        <f t="shared" si="43"/>
        <v>120</v>
      </c>
      <c r="V1663" s="12"/>
      <c r="W1663" s="12"/>
    </row>
    <row r="1664" spans="1:23" x14ac:dyDescent="0.3">
      <c r="A1664" s="193" t="e">
        <f ca="1"/>
        <v>#NAME?</v>
      </c>
      <c r="B1664" s="96" t="s">
        <v>924</v>
      </c>
      <c r="C1664" s="315"/>
      <c r="D1664" s="316"/>
      <c r="E1664" s="315"/>
      <c r="F1664" s="315"/>
      <c r="G1664" s="315"/>
      <c r="H1664" s="153"/>
      <c r="I1664" s="12"/>
      <c r="J1664" s="239" t="s">
        <v>939</v>
      </c>
      <c r="K1664" s="12"/>
      <c r="L1664" s="368">
        <v>5.45</v>
      </c>
      <c r="M1664" s="332">
        <v>13</v>
      </c>
      <c r="N1664" s="366">
        <v>1</v>
      </c>
      <c r="O1664" s="100"/>
      <c r="P1664" s="100" t="s">
        <v>92</v>
      </c>
      <c r="Q1664" s="12"/>
      <c r="R1664" s="192" t="str">
        <f t="shared" si="40"/>
        <v>1pieces</v>
      </c>
      <c r="S1664" s="198">
        <f t="shared" si="41"/>
        <v>13</v>
      </c>
      <c r="T1664" s="199" t="str">
        <f t="shared" si="42"/>
        <v>13pieces</v>
      </c>
      <c r="U1664" s="200">
        <f t="shared" si="43"/>
        <v>70.850000000000009</v>
      </c>
      <c r="V1664" s="12"/>
      <c r="W1664" s="12"/>
    </row>
    <row r="1665" spans="1:23" x14ac:dyDescent="0.3">
      <c r="A1665" s="193" t="e">
        <f ca="1"/>
        <v>#NAME?</v>
      </c>
      <c r="B1665" s="344" t="s">
        <v>450</v>
      </c>
      <c r="C1665" s="315"/>
      <c r="D1665" s="316"/>
      <c r="E1665" s="315"/>
      <c r="F1665" s="315"/>
      <c r="G1665" s="315"/>
      <c r="H1665" s="153"/>
      <c r="I1665" s="12"/>
      <c r="J1665" s="256"/>
      <c r="K1665" s="12"/>
      <c r="L1665" s="369">
        <v>145</v>
      </c>
      <c r="M1665" s="346">
        <v>2</v>
      </c>
      <c r="N1665" s="367">
        <v>1</v>
      </c>
      <c r="O1665" s="100"/>
      <c r="P1665" s="100" t="s">
        <v>213</v>
      </c>
      <c r="Q1665" s="12"/>
      <c r="R1665" s="192" t="str">
        <f t="shared" si="40"/>
        <v>1kilos</v>
      </c>
      <c r="S1665" s="198">
        <f t="shared" si="41"/>
        <v>2</v>
      </c>
      <c r="T1665" s="199" t="str">
        <f t="shared" si="42"/>
        <v>2kilos</v>
      </c>
      <c r="U1665" s="200">
        <f t="shared" si="43"/>
        <v>290</v>
      </c>
      <c r="V1665" s="12"/>
      <c r="W1665" s="12"/>
    </row>
    <row r="1666" spans="1:23" x14ac:dyDescent="0.3">
      <c r="A1666" s="193" t="e">
        <f ca="1"/>
        <v>#NAME?</v>
      </c>
      <c r="B1666" s="46" t="s">
        <v>1021</v>
      </c>
      <c r="C1666" s="315"/>
      <c r="D1666" s="316"/>
      <c r="E1666" s="315"/>
      <c r="F1666" s="315"/>
      <c r="G1666" s="315"/>
      <c r="H1666" s="153"/>
      <c r="I1666" s="12"/>
      <c r="J1666" s="170"/>
      <c r="K1666" s="12"/>
      <c r="L1666" s="359">
        <v>120</v>
      </c>
      <c r="M1666" s="289">
        <v>1</v>
      </c>
      <c r="N1666" s="360">
        <v>1</v>
      </c>
      <c r="O1666" s="100"/>
      <c r="P1666" s="100" t="s">
        <v>213</v>
      </c>
      <c r="Q1666" s="12"/>
      <c r="R1666" s="192" t="str">
        <f t="shared" si="40"/>
        <v>1kilos</v>
      </c>
      <c r="S1666" s="198">
        <f t="shared" si="41"/>
        <v>1</v>
      </c>
      <c r="T1666" s="199" t="str">
        <f t="shared" si="42"/>
        <v>1kilos</v>
      </c>
      <c r="U1666" s="200">
        <f t="shared" si="43"/>
        <v>120</v>
      </c>
      <c r="V1666" s="12"/>
      <c r="W1666" s="12"/>
    </row>
    <row r="1667" spans="1:23" x14ac:dyDescent="0.3">
      <c r="A1667" s="193" t="e">
        <f ca="1"/>
        <v>#NAME?</v>
      </c>
      <c r="B1667" s="46" t="s">
        <v>320</v>
      </c>
      <c r="C1667" s="315"/>
      <c r="D1667" s="316"/>
      <c r="E1667" s="315"/>
      <c r="F1667" s="315"/>
      <c r="G1667" s="315"/>
      <c r="H1667" s="153"/>
      <c r="I1667" s="12"/>
      <c r="J1667" s="46" t="s">
        <v>1589</v>
      </c>
      <c r="K1667" s="12"/>
      <c r="L1667" s="359">
        <v>70</v>
      </c>
      <c r="M1667" s="289">
        <v>2</v>
      </c>
      <c r="N1667" s="360">
        <v>1</v>
      </c>
      <c r="O1667" s="100"/>
      <c r="P1667" s="100" t="s">
        <v>213</v>
      </c>
      <c r="Q1667" s="12"/>
      <c r="R1667" s="192" t="str">
        <f t="shared" si="40"/>
        <v>1kilos</v>
      </c>
      <c r="S1667" s="198">
        <f t="shared" si="41"/>
        <v>2</v>
      </c>
      <c r="T1667" s="199" t="str">
        <f t="shared" si="42"/>
        <v>2kilos</v>
      </c>
      <c r="U1667" s="200">
        <f t="shared" si="43"/>
        <v>140</v>
      </c>
      <c r="V1667" s="12"/>
      <c r="W1667" s="12"/>
    </row>
    <row r="1668" spans="1:23" x14ac:dyDescent="0.3">
      <c r="A1668" s="193" t="e">
        <f ca="1"/>
        <v>#NAME?</v>
      </c>
      <c r="B1668" s="46" t="s">
        <v>451</v>
      </c>
      <c r="C1668" s="315"/>
      <c r="D1668" s="316"/>
      <c r="E1668" s="315"/>
      <c r="F1668" s="315"/>
      <c r="G1668" s="315"/>
      <c r="H1668" s="153"/>
      <c r="I1668" s="12"/>
      <c r="J1668" s="170"/>
      <c r="K1668" s="12"/>
      <c r="L1668" s="359">
        <v>208.8</v>
      </c>
      <c r="M1668" s="289">
        <v>1</v>
      </c>
      <c r="N1668" s="360">
        <v>1</v>
      </c>
      <c r="O1668" s="100"/>
      <c r="P1668" s="100" t="s">
        <v>213</v>
      </c>
      <c r="Q1668" s="12"/>
      <c r="R1668" s="192" t="str">
        <f t="shared" si="40"/>
        <v>1kilos</v>
      </c>
      <c r="S1668" s="198">
        <f t="shared" si="41"/>
        <v>1</v>
      </c>
      <c r="T1668" s="199" t="str">
        <f t="shared" si="42"/>
        <v>1kilos</v>
      </c>
      <c r="U1668" s="200">
        <f t="shared" si="43"/>
        <v>208.8</v>
      </c>
      <c r="V1668" s="12"/>
      <c r="W1668" s="12"/>
    </row>
    <row r="1669" spans="1:23" x14ac:dyDescent="0.3">
      <c r="A1669" s="193" t="e">
        <f ca="1"/>
        <v>#NAME?</v>
      </c>
      <c r="B1669" s="46" t="s">
        <v>1913</v>
      </c>
      <c r="C1669" s="315"/>
      <c r="D1669" s="316"/>
      <c r="E1669" s="315"/>
      <c r="F1669" s="315"/>
      <c r="G1669" s="315"/>
      <c r="H1669" s="153"/>
      <c r="I1669" s="12"/>
      <c r="J1669" s="170"/>
      <c r="K1669" s="12"/>
      <c r="L1669" s="359">
        <v>130</v>
      </c>
      <c r="M1669" s="289">
        <v>0</v>
      </c>
      <c r="N1669" s="360">
        <v>1</v>
      </c>
      <c r="O1669" s="100"/>
      <c r="P1669" s="100" t="s">
        <v>213</v>
      </c>
      <c r="Q1669" s="12"/>
      <c r="R1669" s="192" t="str">
        <f t="shared" si="40"/>
        <v>1kilos</v>
      </c>
      <c r="S1669" s="198">
        <f t="shared" si="41"/>
        <v>0</v>
      </c>
      <c r="T1669" s="199" t="str">
        <f t="shared" si="42"/>
        <v>0kilos</v>
      </c>
      <c r="U1669" s="200">
        <f t="shared" si="43"/>
        <v>0</v>
      </c>
      <c r="V1669" s="12"/>
      <c r="W1669" s="12"/>
    </row>
    <row r="1670" spans="1:23" x14ac:dyDescent="0.3">
      <c r="A1670" s="193" t="e">
        <f ca="1"/>
        <v>#NAME?</v>
      </c>
      <c r="B1670" s="46" t="s">
        <v>53</v>
      </c>
      <c r="C1670" s="315"/>
      <c r="D1670" s="316"/>
      <c r="E1670" s="315"/>
      <c r="F1670" s="315"/>
      <c r="G1670" s="315"/>
      <c r="H1670" s="153"/>
      <c r="I1670" s="12"/>
      <c r="J1670" s="46" t="s">
        <v>1085</v>
      </c>
      <c r="K1670" s="12"/>
      <c r="L1670" s="359">
        <v>35.5</v>
      </c>
      <c r="M1670" s="289">
        <v>4</v>
      </c>
      <c r="N1670" s="366">
        <v>1</v>
      </c>
      <c r="O1670" s="100"/>
      <c r="P1670" s="100" t="s">
        <v>1638</v>
      </c>
      <c r="Q1670" s="12"/>
      <c r="R1670" s="192" t="str">
        <f t="shared" si="40"/>
        <v>1box</v>
      </c>
      <c r="S1670" s="198">
        <f t="shared" si="41"/>
        <v>4</v>
      </c>
      <c r="T1670" s="199" t="str">
        <f t="shared" si="42"/>
        <v>4box</v>
      </c>
      <c r="U1670" s="200">
        <f t="shared" si="43"/>
        <v>142</v>
      </c>
      <c r="V1670" s="12"/>
      <c r="W1670" s="12"/>
    </row>
    <row r="1671" spans="1:23" x14ac:dyDescent="0.3">
      <c r="A1671" s="193" t="e">
        <f ca="1"/>
        <v>#NAME?</v>
      </c>
      <c r="B1671" s="46" t="s">
        <v>1686</v>
      </c>
      <c r="C1671" s="315"/>
      <c r="D1671" s="316"/>
      <c r="E1671" s="315"/>
      <c r="F1671" s="315"/>
      <c r="G1671" s="315"/>
      <c r="H1671" s="153"/>
      <c r="I1671" s="12"/>
      <c r="J1671" s="46" t="s">
        <v>1914</v>
      </c>
      <c r="K1671" s="12"/>
      <c r="L1671" s="368">
        <v>15.1</v>
      </c>
      <c r="M1671" s="332">
        <v>25</v>
      </c>
      <c r="N1671" s="366">
        <v>1</v>
      </c>
      <c r="O1671" s="100"/>
      <c r="P1671" s="100" t="s">
        <v>92</v>
      </c>
      <c r="Q1671" s="12"/>
      <c r="R1671" s="192" t="str">
        <f t="shared" si="40"/>
        <v>1pieces</v>
      </c>
      <c r="S1671" s="198">
        <f t="shared" si="41"/>
        <v>25</v>
      </c>
      <c r="T1671" s="199" t="str">
        <f t="shared" si="42"/>
        <v>25pieces</v>
      </c>
      <c r="U1671" s="200">
        <f t="shared" si="43"/>
        <v>377.5</v>
      </c>
      <c r="V1671" s="12"/>
      <c r="W1671" s="12"/>
    </row>
    <row r="1672" spans="1:23" x14ac:dyDescent="0.3">
      <c r="A1672" s="193" t="e">
        <f ca="1"/>
        <v>#NAME?</v>
      </c>
      <c r="B1672" s="46" t="s">
        <v>1915</v>
      </c>
      <c r="C1672" s="315"/>
      <c r="D1672" s="316"/>
      <c r="E1672" s="315"/>
      <c r="F1672" s="315"/>
      <c r="G1672" s="315"/>
      <c r="H1672" s="153"/>
      <c r="I1672" s="12"/>
      <c r="J1672" s="170"/>
      <c r="K1672" s="12"/>
      <c r="L1672" s="368">
        <v>175</v>
      </c>
      <c r="M1672" s="332">
        <v>49</v>
      </c>
      <c r="N1672" s="366">
        <v>1</v>
      </c>
      <c r="O1672" s="100"/>
      <c r="P1672" s="100" t="s">
        <v>213</v>
      </c>
      <c r="Q1672" s="12"/>
      <c r="R1672" s="192" t="str">
        <f t="shared" si="40"/>
        <v>1kilos</v>
      </c>
      <c r="S1672" s="198">
        <f t="shared" si="41"/>
        <v>49</v>
      </c>
      <c r="T1672" s="199" t="str">
        <f t="shared" si="42"/>
        <v>49kilos</v>
      </c>
      <c r="U1672" s="200">
        <f t="shared" si="43"/>
        <v>8575</v>
      </c>
      <c r="V1672" s="12"/>
      <c r="W1672" s="12"/>
    </row>
    <row r="1673" spans="1:23" x14ac:dyDescent="0.3">
      <c r="A1673" s="193" t="e">
        <f ca="1"/>
        <v>#NAME?</v>
      </c>
      <c r="B1673" s="46" t="s">
        <v>1916</v>
      </c>
      <c r="C1673" s="315"/>
      <c r="D1673" s="316"/>
      <c r="E1673" s="315"/>
      <c r="F1673" s="315"/>
      <c r="G1673" s="315"/>
      <c r="H1673" s="153"/>
      <c r="I1673" s="12"/>
      <c r="J1673" s="170" t="s">
        <v>1723</v>
      </c>
      <c r="K1673" s="12"/>
      <c r="L1673" s="368">
        <v>24</v>
      </c>
      <c r="M1673" s="332">
        <v>6</v>
      </c>
      <c r="N1673" s="366">
        <v>1</v>
      </c>
      <c r="O1673" s="100"/>
      <c r="P1673" s="100" t="s">
        <v>92</v>
      </c>
      <c r="Q1673" s="12"/>
      <c r="R1673" s="192" t="str">
        <f t="shared" si="40"/>
        <v>1pieces</v>
      </c>
      <c r="S1673" s="198">
        <f t="shared" si="41"/>
        <v>6</v>
      </c>
      <c r="T1673" s="199" t="str">
        <f t="shared" si="42"/>
        <v>6pieces</v>
      </c>
      <c r="U1673" s="200">
        <f t="shared" si="43"/>
        <v>144</v>
      </c>
      <c r="V1673" s="12"/>
      <c r="W1673" s="12"/>
    </row>
    <row r="1674" spans="1:23" x14ac:dyDescent="0.3">
      <c r="A1674" s="193" t="e">
        <f ca="1"/>
        <v>#NAME?</v>
      </c>
      <c r="B1674" s="46" t="s">
        <v>1677</v>
      </c>
      <c r="C1674" s="315"/>
      <c r="D1674" s="316"/>
      <c r="E1674" s="315"/>
      <c r="F1674" s="315"/>
      <c r="G1674" s="315"/>
      <c r="H1674" s="153"/>
      <c r="I1674" s="12"/>
      <c r="J1674" s="170" t="s">
        <v>1682</v>
      </c>
      <c r="K1674" s="12"/>
      <c r="L1674" s="368">
        <v>7.79</v>
      </c>
      <c r="M1674" s="332">
        <v>6</v>
      </c>
      <c r="N1674" s="370">
        <v>1</v>
      </c>
      <c r="O1674" s="100"/>
      <c r="P1674" s="100" t="s">
        <v>92</v>
      </c>
      <c r="Q1674" s="12"/>
      <c r="R1674" s="192" t="str">
        <f t="shared" si="40"/>
        <v>1pieces</v>
      </c>
      <c r="S1674" s="198">
        <f t="shared" si="41"/>
        <v>6</v>
      </c>
      <c r="T1674" s="199" t="str">
        <f t="shared" si="42"/>
        <v>6pieces</v>
      </c>
      <c r="U1674" s="200">
        <f t="shared" si="43"/>
        <v>46.74</v>
      </c>
      <c r="V1674" s="12"/>
      <c r="W1674" s="12"/>
    </row>
    <row r="1675" spans="1:23" x14ac:dyDescent="0.3">
      <c r="A1675" s="193" t="e">
        <f ca="1"/>
        <v>#NAME?</v>
      </c>
      <c r="B1675" s="46" t="s">
        <v>1908</v>
      </c>
      <c r="C1675" s="315"/>
      <c r="D1675" s="316"/>
      <c r="E1675" s="315"/>
      <c r="F1675" s="315"/>
      <c r="G1675" s="315"/>
      <c r="H1675" s="153"/>
      <c r="I1675" s="12"/>
      <c r="J1675" s="46" t="s">
        <v>1917</v>
      </c>
      <c r="K1675" s="12"/>
      <c r="L1675" s="368">
        <v>2.3199999999999998</v>
      </c>
      <c r="M1675" s="332">
        <v>1008</v>
      </c>
      <c r="N1675" s="366">
        <v>1</v>
      </c>
      <c r="O1675" s="240"/>
      <c r="P1675" s="240" t="s">
        <v>92</v>
      </c>
      <c r="Q1675" s="12"/>
      <c r="R1675" s="192" t="str">
        <f t="shared" si="40"/>
        <v>1pieces</v>
      </c>
      <c r="S1675" s="198">
        <f t="shared" si="41"/>
        <v>1008</v>
      </c>
      <c r="T1675" s="199" t="str">
        <f t="shared" si="42"/>
        <v>1008pieces</v>
      </c>
      <c r="U1675" s="200">
        <f t="shared" si="43"/>
        <v>2338.56</v>
      </c>
      <c r="V1675" s="12"/>
      <c r="W1675" s="12"/>
    </row>
    <row r="1676" spans="1:23" x14ac:dyDescent="0.3">
      <c r="A1676" s="193" t="e">
        <f ca="1"/>
        <v>#NAME?</v>
      </c>
      <c r="B1676" s="46" t="s">
        <v>1127</v>
      </c>
      <c r="C1676" s="315"/>
      <c r="D1676" s="316"/>
      <c r="E1676" s="315"/>
      <c r="F1676" s="315"/>
      <c r="G1676" s="315"/>
      <c r="H1676" s="153"/>
      <c r="I1676" s="12"/>
      <c r="J1676" s="46" t="s">
        <v>1918</v>
      </c>
      <c r="K1676" s="12"/>
      <c r="L1676" s="368">
        <v>2.08</v>
      </c>
      <c r="M1676" s="332">
        <v>144</v>
      </c>
      <c r="N1676" s="366">
        <v>1</v>
      </c>
      <c r="O1676" s="240"/>
      <c r="P1676" s="240" t="s">
        <v>92</v>
      </c>
      <c r="Q1676" s="12"/>
      <c r="R1676" s="192" t="str">
        <f t="shared" si="40"/>
        <v>1pieces</v>
      </c>
      <c r="S1676" s="198">
        <f t="shared" si="41"/>
        <v>144</v>
      </c>
      <c r="T1676" s="199" t="str">
        <f t="shared" si="42"/>
        <v>144pieces</v>
      </c>
      <c r="U1676" s="200">
        <f t="shared" si="43"/>
        <v>299.52</v>
      </c>
      <c r="V1676" s="12"/>
      <c r="W1676" s="12"/>
    </row>
    <row r="1677" spans="1:23" x14ac:dyDescent="0.3">
      <c r="A1677" s="193" t="e">
        <f ca="1"/>
        <v>#NAME?</v>
      </c>
      <c r="B1677" s="46" t="s">
        <v>1161</v>
      </c>
      <c r="C1677" s="315"/>
      <c r="D1677" s="316"/>
      <c r="E1677" s="315"/>
      <c r="F1677" s="315"/>
      <c r="G1677" s="315"/>
      <c r="H1677" s="153"/>
      <c r="I1677" s="12"/>
      <c r="J1677" s="170" t="s">
        <v>1919</v>
      </c>
      <c r="K1677" s="12"/>
      <c r="L1677" s="368">
        <v>5.62</v>
      </c>
      <c r="M1677" s="332">
        <v>1</v>
      </c>
      <c r="N1677" s="366">
        <v>1</v>
      </c>
      <c r="O1677" s="240"/>
      <c r="P1677" s="240" t="s">
        <v>92</v>
      </c>
      <c r="Q1677" s="12"/>
      <c r="R1677" s="192" t="str">
        <f t="shared" si="40"/>
        <v>1pieces</v>
      </c>
      <c r="S1677" s="198">
        <f t="shared" si="41"/>
        <v>1</v>
      </c>
      <c r="T1677" s="199" t="str">
        <f t="shared" si="42"/>
        <v>1pieces</v>
      </c>
      <c r="U1677" s="200">
        <f t="shared" si="43"/>
        <v>5.62</v>
      </c>
      <c r="V1677" s="12"/>
      <c r="W1677" s="12"/>
    </row>
    <row r="1678" spans="1:23" x14ac:dyDescent="0.3">
      <c r="A1678" s="193" t="e">
        <f ca="1"/>
        <v>#NAME?</v>
      </c>
      <c r="B1678" s="46" t="s">
        <v>56</v>
      </c>
      <c r="C1678" s="315"/>
      <c r="D1678" s="316"/>
      <c r="E1678" s="315"/>
      <c r="F1678" s="315"/>
      <c r="G1678" s="315"/>
      <c r="H1678" s="153"/>
      <c r="I1678" s="12"/>
      <c r="J1678" s="46" t="s">
        <v>1137</v>
      </c>
      <c r="K1678" s="12"/>
      <c r="L1678" s="368">
        <v>42.6</v>
      </c>
      <c r="M1678" s="332">
        <v>7</v>
      </c>
      <c r="N1678" s="366">
        <v>300</v>
      </c>
      <c r="O1678" s="240"/>
      <c r="P1678" s="240" t="s">
        <v>32</v>
      </c>
      <c r="Q1678" s="12"/>
      <c r="R1678" s="192" t="str">
        <f t="shared" si="40"/>
        <v>300ml</v>
      </c>
      <c r="S1678" s="198">
        <f t="shared" si="41"/>
        <v>2100</v>
      </c>
      <c r="T1678" s="199" t="str">
        <f t="shared" si="42"/>
        <v>2100ml</v>
      </c>
      <c r="U1678" s="200">
        <f t="shared" si="43"/>
        <v>298.2</v>
      </c>
      <c r="V1678" s="12"/>
      <c r="W1678" s="12"/>
    </row>
    <row r="1679" spans="1:23" x14ac:dyDescent="0.3">
      <c r="A1679" s="193" t="e">
        <f ca="1"/>
        <v>#NAME?</v>
      </c>
      <c r="B1679" s="46" t="s">
        <v>569</v>
      </c>
      <c r="C1679" s="315"/>
      <c r="D1679" s="316"/>
      <c r="E1679" s="315"/>
      <c r="F1679" s="315"/>
      <c r="G1679" s="315"/>
      <c r="H1679" s="153"/>
      <c r="I1679" s="12"/>
      <c r="J1679" s="46" t="s">
        <v>1920</v>
      </c>
      <c r="K1679" s="12"/>
      <c r="L1679" s="368">
        <v>128</v>
      </c>
      <c r="M1679" s="332">
        <v>1</v>
      </c>
      <c r="N1679" s="366">
        <v>1</v>
      </c>
      <c r="O1679" s="240"/>
      <c r="P1679" s="240" t="s">
        <v>1921</v>
      </c>
      <c r="Q1679" s="12"/>
      <c r="R1679" s="192" t="str">
        <f t="shared" si="40"/>
        <v>1l</v>
      </c>
      <c r="S1679" s="198">
        <f t="shared" si="41"/>
        <v>1</v>
      </c>
      <c r="T1679" s="199" t="str">
        <f t="shared" si="42"/>
        <v>1l</v>
      </c>
      <c r="U1679" s="200">
        <f t="shared" si="43"/>
        <v>128</v>
      </c>
      <c r="V1679" s="12"/>
      <c r="W1679" s="12"/>
    </row>
    <row r="1680" spans="1:23" x14ac:dyDescent="0.3">
      <c r="A1680" s="193" t="e">
        <f ca="1"/>
        <v>#NAME?</v>
      </c>
      <c r="B1680" s="46" t="s">
        <v>171</v>
      </c>
      <c r="C1680" s="315"/>
      <c r="D1680" s="316"/>
      <c r="E1680" s="315"/>
      <c r="F1680" s="315"/>
      <c r="G1680" s="315"/>
      <c r="H1680" s="153"/>
      <c r="I1680" s="12"/>
      <c r="J1680" s="239"/>
      <c r="K1680" s="12"/>
      <c r="L1680" s="368">
        <v>27.5</v>
      </c>
      <c r="M1680" s="332">
        <v>1</v>
      </c>
      <c r="N1680" s="371"/>
      <c r="O1680" s="240"/>
      <c r="P1680" s="240" t="s">
        <v>213</v>
      </c>
      <c r="Q1680" s="12"/>
      <c r="R1680" s="192" t="str">
        <f t="shared" si="40"/>
        <v>kilos</v>
      </c>
      <c r="S1680" s="198">
        <f t="shared" si="41"/>
        <v>0</v>
      </c>
      <c r="T1680" s="199" t="str">
        <f t="shared" si="42"/>
        <v>0kilos</v>
      </c>
      <c r="U1680" s="200">
        <f t="shared" si="43"/>
        <v>27.5</v>
      </c>
      <c r="V1680" s="12"/>
      <c r="W1680" s="12"/>
    </row>
    <row r="1681" spans="1:23" x14ac:dyDescent="0.3">
      <c r="A1681" s="193" t="e">
        <f ca="1"/>
        <v>#NAME?</v>
      </c>
      <c r="B1681" s="264" t="s">
        <v>62</v>
      </c>
      <c r="C1681" s="315"/>
      <c r="D1681" s="316"/>
      <c r="E1681" s="315"/>
      <c r="F1681" s="315"/>
      <c r="G1681" s="315"/>
      <c r="H1681" s="153"/>
      <c r="I1681" s="12"/>
      <c r="J1681" s="264" t="s">
        <v>1589</v>
      </c>
      <c r="K1681" s="12"/>
      <c r="L1681" s="368">
        <v>56</v>
      </c>
      <c r="M1681" s="332">
        <v>5</v>
      </c>
      <c r="N1681" s="366">
        <v>1</v>
      </c>
      <c r="O1681" s="100"/>
      <c r="P1681" s="100" t="s">
        <v>1922</v>
      </c>
      <c r="Q1681" s="12"/>
      <c r="R1681" s="192" t="str">
        <f t="shared" si="40"/>
        <v>1can</v>
      </c>
      <c r="S1681" s="198">
        <f t="shared" si="41"/>
        <v>5</v>
      </c>
      <c r="T1681" s="199" t="str">
        <f t="shared" si="42"/>
        <v>5can</v>
      </c>
      <c r="U1681" s="200">
        <f t="shared" si="43"/>
        <v>280</v>
      </c>
      <c r="V1681" s="12"/>
      <c r="W1681" s="12"/>
    </row>
    <row r="1682" spans="1:23" x14ac:dyDescent="0.3">
      <c r="A1682" s="193" t="e">
        <f ca="1"/>
        <v>#NAME?</v>
      </c>
      <c r="B1682" s="46" t="s">
        <v>1686</v>
      </c>
      <c r="C1682" s="315"/>
      <c r="D1682" s="316"/>
      <c r="E1682" s="315"/>
      <c r="F1682" s="315"/>
      <c r="G1682" s="315"/>
      <c r="H1682" s="153"/>
      <c r="I1682" s="12"/>
      <c r="J1682" s="46" t="s">
        <v>1725</v>
      </c>
      <c r="K1682" s="12"/>
      <c r="L1682" s="368">
        <v>14.1</v>
      </c>
      <c r="M1682" s="332">
        <v>28</v>
      </c>
      <c r="N1682" s="366">
        <v>1</v>
      </c>
      <c r="O1682" s="100"/>
      <c r="P1682" s="100" t="s">
        <v>92</v>
      </c>
      <c r="Q1682" s="12"/>
      <c r="R1682" s="192" t="str">
        <f t="shared" si="40"/>
        <v>1pieces</v>
      </c>
      <c r="S1682" s="198">
        <f t="shared" si="41"/>
        <v>28</v>
      </c>
      <c r="T1682" s="199" t="str">
        <f t="shared" si="42"/>
        <v>28pieces</v>
      </c>
      <c r="U1682" s="200">
        <f t="shared" si="43"/>
        <v>394.8</v>
      </c>
      <c r="V1682" s="12"/>
      <c r="W1682" s="12"/>
    </row>
    <row r="1683" spans="1:23" x14ac:dyDescent="0.3">
      <c r="A1683" s="193" t="e">
        <f ca="1"/>
        <v>#NAME?</v>
      </c>
      <c r="B1683" s="46" t="s">
        <v>250</v>
      </c>
      <c r="C1683" s="315"/>
      <c r="D1683" s="316"/>
      <c r="E1683" s="315"/>
      <c r="F1683" s="315"/>
      <c r="G1683" s="315"/>
      <c r="H1683" s="153"/>
      <c r="I1683" s="12"/>
      <c r="J1683" s="46" t="s">
        <v>987</v>
      </c>
      <c r="K1683" s="12"/>
      <c r="L1683" s="368">
        <v>52</v>
      </c>
      <c r="M1683" s="332">
        <v>16</v>
      </c>
      <c r="N1683" s="366">
        <v>1</v>
      </c>
      <c r="O1683" s="100"/>
      <c r="P1683" s="100" t="s">
        <v>304</v>
      </c>
      <c r="Q1683" s="12"/>
      <c r="R1683" s="192" t="str">
        <f t="shared" si="40"/>
        <v>1packs</v>
      </c>
      <c r="S1683" s="198">
        <f t="shared" si="41"/>
        <v>16</v>
      </c>
      <c r="T1683" s="199" t="str">
        <f t="shared" si="42"/>
        <v>16packs</v>
      </c>
      <c r="U1683" s="200">
        <f t="shared" si="43"/>
        <v>832</v>
      </c>
      <c r="V1683" s="12"/>
      <c r="W1683" s="12"/>
    </row>
    <row r="1684" spans="1:23" x14ac:dyDescent="0.3">
      <c r="A1684" s="193" t="e">
        <f ca="1"/>
        <v>#NAME?</v>
      </c>
      <c r="B1684" s="46" t="s">
        <v>840</v>
      </c>
      <c r="C1684" s="315"/>
      <c r="D1684" s="316"/>
      <c r="E1684" s="315"/>
      <c r="F1684" s="315"/>
      <c r="G1684" s="315"/>
      <c r="H1684" s="153"/>
      <c r="I1684" s="12"/>
      <c r="J1684" s="46" t="s">
        <v>1923</v>
      </c>
      <c r="K1684" s="12"/>
      <c r="L1684" s="368">
        <v>7.1</v>
      </c>
      <c r="M1684" s="332">
        <v>140</v>
      </c>
      <c r="N1684" s="366">
        <v>1</v>
      </c>
      <c r="O1684" s="100"/>
      <c r="P1684" s="100" t="s">
        <v>92</v>
      </c>
      <c r="Q1684" s="12"/>
      <c r="R1684" s="192" t="str">
        <f t="shared" si="40"/>
        <v>1pieces</v>
      </c>
      <c r="S1684" s="198">
        <f t="shared" si="41"/>
        <v>140</v>
      </c>
      <c r="T1684" s="199" t="str">
        <f t="shared" si="42"/>
        <v>140pieces</v>
      </c>
      <c r="U1684" s="200">
        <f t="shared" si="43"/>
        <v>994</v>
      </c>
      <c r="V1684" s="12"/>
      <c r="W1684" s="12"/>
    </row>
    <row r="1685" spans="1:23" x14ac:dyDescent="0.3">
      <c r="A1685" s="193" t="e">
        <f ca="1"/>
        <v>#NAME?</v>
      </c>
      <c r="B1685" s="46" t="s">
        <v>1187</v>
      </c>
      <c r="C1685" s="315"/>
      <c r="D1685" s="316"/>
      <c r="E1685" s="315"/>
      <c r="F1685" s="315"/>
      <c r="G1685" s="315"/>
      <c r="H1685" s="153"/>
      <c r="I1685" s="12"/>
      <c r="J1685" s="46" t="s">
        <v>1907</v>
      </c>
      <c r="K1685" s="12"/>
      <c r="L1685" s="368">
        <v>50</v>
      </c>
      <c r="M1685" s="332">
        <v>1</v>
      </c>
      <c r="N1685" s="366">
        <v>1</v>
      </c>
      <c r="O1685" s="100"/>
      <c r="P1685" s="100" t="s">
        <v>213</v>
      </c>
      <c r="Q1685" s="12"/>
      <c r="R1685" s="192" t="str">
        <f t="shared" si="40"/>
        <v>1kilos</v>
      </c>
      <c r="S1685" s="198">
        <f t="shared" si="41"/>
        <v>1</v>
      </c>
      <c r="T1685" s="199" t="str">
        <f t="shared" si="42"/>
        <v>1kilos</v>
      </c>
      <c r="U1685" s="200">
        <f t="shared" si="43"/>
        <v>50</v>
      </c>
      <c r="V1685" s="12"/>
      <c r="W1685" s="12"/>
    </row>
    <row r="1686" spans="1:23" x14ac:dyDescent="0.3">
      <c r="A1686" s="193" t="e">
        <f ca="1"/>
        <v>#NAME?</v>
      </c>
      <c r="B1686" s="46" t="s">
        <v>924</v>
      </c>
      <c r="C1686" s="315"/>
      <c r="D1686" s="316"/>
      <c r="E1686" s="315"/>
      <c r="F1686" s="315"/>
      <c r="G1686" s="315"/>
      <c r="H1686" s="153"/>
      <c r="I1686" s="12"/>
      <c r="J1686" s="170" t="s">
        <v>1924</v>
      </c>
      <c r="K1686" s="12"/>
      <c r="L1686" s="368">
        <v>5.68</v>
      </c>
      <c r="M1686" s="332">
        <v>6</v>
      </c>
      <c r="N1686" s="366">
        <v>1</v>
      </c>
      <c r="O1686" s="100"/>
      <c r="P1686" s="100" t="s">
        <v>92</v>
      </c>
      <c r="Q1686" s="12"/>
      <c r="R1686" s="192" t="str">
        <f t="shared" si="40"/>
        <v>1pieces</v>
      </c>
      <c r="S1686" s="198">
        <f t="shared" si="41"/>
        <v>6</v>
      </c>
      <c r="T1686" s="199" t="str">
        <f t="shared" si="42"/>
        <v>6pieces</v>
      </c>
      <c r="U1686" s="200">
        <f t="shared" si="43"/>
        <v>34.08</v>
      </c>
      <c r="V1686" s="12"/>
      <c r="W1686" s="12"/>
    </row>
    <row r="1687" spans="1:23" x14ac:dyDescent="0.3">
      <c r="A1687" s="193" t="e">
        <f ca="1"/>
        <v>#NAME?</v>
      </c>
      <c r="B1687" s="46" t="s">
        <v>1189</v>
      </c>
      <c r="C1687" s="315"/>
      <c r="D1687" s="316"/>
      <c r="E1687" s="315"/>
      <c r="F1687" s="315"/>
      <c r="G1687" s="315"/>
      <c r="H1687" s="153"/>
      <c r="I1687" s="12"/>
      <c r="J1687" s="46" t="s">
        <v>1907</v>
      </c>
      <c r="K1687" s="12"/>
      <c r="L1687" s="368">
        <v>20</v>
      </c>
      <c r="M1687" s="332">
        <v>1</v>
      </c>
      <c r="N1687" s="366">
        <v>1</v>
      </c>
      <c r="O1687" s="100"/>
      <c r="P1687" s="100" t="s">
        <v>213</v>
      </c>
      <c r="Q1687" s="12"/>
      <c r="R1687" s="192" t="str">
        <f t="shared" si="40"/>
        <v>1kilos</v>
      </c>
      <c r="S1687" s="198">
        <f t="shared" si="41"/>
        <v>1</v>
      </c>
      <c r="T1687" s="199" t="str">
        <f t="shared" si="42"/>
        <v>1kilos</v>
      </c>
      <c r="U1687" s="200">
        <f t="shared" si="43"/>
        <v>20</v>
      </c>
      <c r="V1687" s="12"/>
      <c r="W1687" s="12"/>
    </row>
    <row r="1688" spans="1:23" x14ac:dyDescent="0.3">
      <c r="A1688" s="193" t="e">
        <f ca="1"/>
        <v>#NAME?</v>
      </c>
      <c r="B1688" s="46" t="s">
        <v>293</v>
      </c>
      <c r="C1688" s="315"/>
      <c r="D1688" s="316"/>
      <c r="E1688" s="315"/>
      <c r="F1688" s="315"/>
      <c r="G1688" s="315"/>
      <c r="H1688" s="153"/>
      <c r="I1688" s="12"/>
      <c r="J1688" s="46" t="s">
        <v>1925</v>
      </c>
      <c r="K1688" s="12"/>
      <c r="L1688" s="368">
        <v>7.33</v>
      </c>
      <c r="M1688" s="332">
        <v>750</v>
      </c>
      <c r="N1688" s="366">
        <v>1</v>
      </c>
      <c r="O1688" s="100"/>
      <c r="P1688" s="100" t="s">
        <v>92</v>
      </c>
      <c r="Q1688" s="12"/>
      <c r="R1688" s="192" t="str">
        <f t="shared" si="40"/>
        <v>1pieces</v>
      </c>
      <c r="S1688" s="198">
        <f t="shared" si="41"/>
        <v>750</v>
      </c>
      <c r="T1688" s="199" t="str">
        <f t="shared" si="42"/>
        <v>750pieces</v>
      </c>
      <c r="U1688" s="200">
        <f t="shared" si="43"/>
        <v>5497.5</v>
      </c>
      <c r="V1688" s="12"/>
      <c r="W1688" s="12"/>
    </row>
    <row r="1689" spans="1:23" x14ac:dyDescent="0.3">
      <c r="A1689" s="193" t="e">
        <f ca="1"/>
        <v>#NAME?</v>
      </c>
      <c r="B1689" s="46" t="s">
        <v>1214</v>
      </c>
      <c r="C1689" s="315"/>
      <c r="D1689" s="316"/>
      <c r="E1689" s="315"/>
      <c r="F1689" s="315"/>
      <c r="G1689" s="315"/>
      <c r="H1689" s="153"/>
      <c r="I1689" s="12"/>
      <c r="J1689" s="170" t="s">
        <v>1926</v>
      </c>
      <c r="K1689" s="12"/>
      <c r="L1689" s="368">
        <v>36.9</v>
      </c>
      <c r="M1689" s="332">
        <v>1</v>
      </c>
      <c r="N1689" s="366">
        <v>1</v>
      </c>
      <c r="O1689" s="100"/>
      <c r="P1689" s="100" t="s">
        <v>92</v>
      </c>
      <c r="Q1689" s="12"/>
      <c r="R1689" s="192" t="str">
        <f t="shared" si="40"/>
        <v>1pieces</v>
      </c>
      <c r="S1689" s="198">
        <f t="shared" si="41"/>
        <v>1</v>
      </c>
      <c r="T1689" s="199" t="str">
        <f t="shared" si="42"/>
        <v>1pieces</v>
      </c>
      <c r="U1689" s="200">
        <f t="shared" si="43"/>
        <v>36.9</v>
      </c>
      <c r="V1689" s="12"/>
      <c r="W1689" s="12"/>
    </row>
    <row r="1690" spans="1:23" x14ac:dyDescent="0.3">
      <c r="A1690" s="193" t="e">
        <f ca="1"/>
        <v>#NAME?</v>
      </c>
      <c r="B1690" s="46" t="s">
        <v>64</v>
      </c>
      <c r="C1690" s="315"/>
      <c r="D1690" s="316"/>
      <c r="E1690" s="315"/>
      <c r="F1690" s="315"/>
      <c r="G1690" s="315"/>
      <c r="H1690" s="153"/>
      <c r="I1690" s="12"/>
      <c r="J1690" s="46" t="s">
        <v>1137</v>
      </c>
      <c r="K1690" s="12"/>
      <c r="L1690" s="368">
        <v>30.3</v>
      </c>
      <c r="M1690" s="332">
        <v>4</v>
      </c>
      <c r="N1690" s="366">
        <v>1</v>
      </c>
      <c r="O1690" s="100"/>
      <c r="P1690" s="100" t="s">
        <v>1922</v>
      </c>
      <c r="Q1690" s="12"/>
      <c r="R1690" s="192" t="str">
        <f t="shared" si="40"/>
        <v>1can</v>
      </c>
      <c r="S1690" s="198">
        <f t="shared" si="41"/>
        <v>4</v>
      </c>
      <c r="T1690" s="199" t="str">
        <f t="shared" si="42"/>
        <v>4can</v>
      </c>
      <c r="U1690" s="200">
        <f t="shared" si="43"/>
        <v>121.2</v>
      </c>
      <c r="V1690" s="12"/>
      <c r="W1690" s="12"/>
    </row>
    <row r="1691" spans="1:23" x14ac:dyDescent="0.3">
      <c r="A1691" s="193" t="e">
        <f ca="1"/>
        <v>#NAME?</v>
      </c>
      <c r="B1691" s="46" t="s">
        <v>1927</v>
      </c>
      <c r="C1691" s="315"/>
      <c r="D1691" s="316"/>
      <c r="E1691" s="315"/>
      <c r="F1691" s="315"/>
      <c r="G1691" s="315"/>
      <c r="H1691" s="153"/>
      <c r="I1691" s="12"/>
      <c r="J1691" s="46" t="s">
        <v>1928</v>
      </c>
      <c r="K1691" s="12"/>
      <c r="L1691" s="368">
        <v>255</v>
      </c>
      <c r="M1691" s="332">
        <v>3</v>
      </c>
      <c r="N1691" s="366">
        <v>1</v>
      </c>
      <c r="O1691" s="100"/>
      <c r="P1691" s="100" t="s">
        <v>213</v>
      </c>
      <c r="Q1691" s="12"/>
      <c r="R1691" s="192" t="str">
        <f t="shared" si="40"/>
        <v>1kilos</v>
      </c>
      <c r="S1691" s="198">
        <f t="shared" si="41"/>
        <v>3</v>
      </c>
      <c r="T1691" s="199" t="str">
        <f t="shared" si="42"/>
        <v>3kilos</v>
      </c>
      <c r="U1691" s="200">
        <f t="shared" si="43"/>
        <v>765</v>
      </c>
      <c r="V1691" s="12"/>
      <c r="W1691" s="12"/>
    </row>
    <row r="1692" spans="1:23" x14ac:dyDescent="0.3">
      <c r="A1692" s="193" t="e">
        <f ca="1"/>
        <v>#NAME?</v>
      </c>
      <c r="B1692" s="46" t="s">
        <v>256</v>
      </c>
      <c r="C1692" s="315"/>
      <c r="D1692" s="316"/>
      <c r="E1692" s="315"/>
      <c r="F1692" s="315"/>
      <c r="G1692" s="315"/>
      <c r="H1692" s="153"/>
      <c r="I1692" s="12"/>
      <c r="J1692" s="46" t="s">
        <v>1929</v>
      </c>
      <c r="K1692" s="12"/>
      <c r="L1692" s="368">
        <v>73</v>
      </c>
      <c r="M1692" s="332">
        <v>1</v>
      </c>
      <c r="N1692" s="366">
        <v>1</v>
      </c>
      <c r="O1692" s="100"/>
      <c r="P1692" s="100" t="s">
        <v>200</v>
      </c>
      <c r="Q1692" s="12"/>
      <c r="R1692" s="192" t="str">
        <f t="shared" si="40"/>
        <v>1gal</v>
      </c>
      <c r="S1692" s="198">
        <f t="shared" si="41"/>
        <v>1</v>
      </c>
      <c r="T1692" s="199" t="str">
        <f t="shared" si="42"/>
        <v>1gal</v>
      </c>
      <c r="U1692" s="200">
        <f t="shared" si="43"/>
        <v>73</v>
      </c>
      <c r="V1692" s="12"/>
      <c r="W1692" s="12"/>
    </row>
    <row r="1693" spans="1:23" x14ac:dyDescent="0.3">
      <c r="A1693" s="193" t="e">
        <f ca="1"/>
        <v>#NAME?</v>
      </c>
      <c r="B1693" s="46" t="s">
        <v>1930</v>
      </c>
      <c r="C1693" s="315"/>
      <c r="D1693" s="316"/>
      <c r="E1693" s="315"/>
      <c r="F1693" s="315"/>
      <c r="G1693" s="315"/>
      <c r="H1693" s="153"/>
      <c r="I1693" s="12"/>
      <c r="J1693" s="170"/>
      <c r="K1693" s="12"/>
      <c r="L1693" s="368">
        <v>300</v>
      </c>
      <c r="M1693" s="332">
        <v>1</v>
      </c>
      <c r="N1693" s="366">
        <v>1</v>
      </c>
      <c r="O1693" s="100"/>
      <c r="P1693" s="100" t="s">
        <v>92</v>
      </c>
      <c r="Q1693" s="12"/>
      <c r="R1693" s="192" t="str">
        <f t="shared" si="40"/>
        <v>1pieces</v>
      </c>
      <c r="S1693" s="198">
        <f t="shared" si="41"/>
        <v>1</v>
      </c>
      <c r="T1693" s="199" t="str">
        <f t="shared" si="42"/>
        <v>1pieces</v>
      </c>
      <c r="U1693" s="200">
        <f t="shared" si="43"/>
        <v>300</v>
      </c>
      <c r="V1693" s="12"/>
      <c r="W1693" s="12"/>
    </row>
    <row r="1694" spans="1:23" x14ac:dyDescent="0.3">
      <c r="A1694" s="193" t="e">
        <f ca="1"/>
        <v>#NAME?</v>
      </c>
      <c r="B1694" s="46" t="s">
        <v>177</v>
      </c>
      <c r="C1694" s="315"/>
      <c r="D1694" s="316"/>
      <c r="E1694" s="315"/>
      <c r="F1694" s="315"/>
      <c r="G1694" s="315"/>
      <c r="H1694" s="153"/>
      <c r="I1694" s="12"/>
      <c r="J1694" s="96" t="s">
        <v>959</v>
      </c>
      <c r="K1694" s="12"/>
      <c r="L1694" s="368">
        <v>34</v>
      </c>
      <c r="M1694" s="332">
        <v>2</v>
      </c>
      <c r="N1694" s="366">
        <v>1</v>
      </c>
      <c r="O1694" s="100"/>
      <c r="P1694" s="100" t="s">
        <v>39</v>
      </c>
      <c r="Q1694" s="12"/>
      <c r="R1694" s="192" t="str">
        <f t="shared" si="40"/>
        <v>1grams</v>
      </c>
      <c r="S1694" s="198">
        <f t="shared" si="41"/>
        <v>2</v>
      </c>
      <c r="T1694" s="199" t="str">
        <f t="shared" si="42"/>
        <v>2grams</v>
      </c>
      <c r="U1694" s="200">
        <f t="shared" si="43"/>
        <v>68</v>
      </c>
      <c r="V1694" s="12"/>
      <c r="W1694" s="12"/>
    </row>
    <row r="1695" spans="1:23" x14ac:dyDescent="0.3">
      <c r="A1695" s="193" t="e">
        <f ca="1"/>
        <v>#NAME?</v>
      </c>
      <c r="B1695" s="46" t="s">
        <v>1931</v>
      </c>
      <c r="C1695" s="315"/>
      <c r="D1695" s="316"/>
      <c r="E1695" s="315"/>
      <c r="F1695" s="315"/>
      <c r="G1695" s="315"/>
      <c r="H1695" s="153"/>
      <c r="I1695" s="12"/>
      <c r="J1695" s="239"/>
      <c r="K1695" s="12"/>
      <c r="L1695" s="368">
        <v>61</v>
      </c>
      <c r="M1695" s="332">
        <v>2</v>
      </c>
      <c r="N1695" s="366">
        <v>1</v>
      </c>
      <c r="O1695" s="100"/>
      <c r="P1695" s="100" t="s">
        <v>213</v>
      </c>
      <c r="Q1695" s="12"/>
      <c r="R1695" s="192" t="str">
        <f t="shared" si="40"/>
        <v>1kilos</v>
      </c>
      <c r="S1695" s="198">
        <f t="shared" si="41"/>
        <v>2</v>
      </c>
      <c r="T1695" s="199" t="str">
        <f t="shared" si="42"/>
        <v>2kilos</v>
      </c>
      <c r="U1695" s="200">
        <f t="shared" si="43"/>
        <v>122</v>
      </c>
      <c r="V1695" s="12"/>
      <c r="W1695" s="12"/>
    </row>
    <row r="1696" spans="1:23" x14ac:dyDescent="0.3">
      <c r="A1696" s="193" t="e">
        <f ca="1"/>
        <v>#NAME?</v>
      </c>
      <c r="B1696" s="96" t="s">
        <v>141</v>
      </c>
      <c r="C1696" s="315"/>
      <c r="D1696" s="316"/>
      <c r="E1696" s="315"/>
      <c r="F1696" s="315"/>
      <c r="G1696" s="315"/>
      <c r="H1696" s="153"/>
      <c r="I1696" s="12"/>
      <c r="J1696" s="96" t="s">
        <v>1932</v>
      </c>
      <c r="K1696" s="12"/>
      <c r="L1696" s="368">
        <v>2.31</v>
      </c>
      <c r="M1696" s="332">
        <v>49</v>
      </c>
      <c r="N1696" s="366">
        <v>1</v>
      </c>
      <c r="O1696" s="100"/>
      <c r="P1696" s="100" t="s">
        <v>92</v>
      </c>
      <c r="Q1696" s="12"/>
      <c r="R1696" s="192" t="str">
        <f t="shared" si="40"/>
        <v>1pieces</v>
      </c>
      <c r="S1696" s="198">
        <f t="shared" si="41"/>
        <v>49</v>
      </c>
      <c r="T1696" s="199" t="str">
        <f t="shared" si="42"/>
        <v>49pieces</v>
      </c>
      <c r="U1696" s="200">
        <f t="shared" si="43"/>
        <v>113.19</v>
      </c>
      <c r="V1696" s="12"/>
      <c r="W1696" s="12"/>
    </row>
    <row r="1697" spans="1:23" x14ac:dyDescent="0.3">
      <c r="A1697" s="193" t="e">
        <f ca="1"/>
        <v>#NAME?</v>
      </c>
      <c r="B1697" s="96" t="s">
        <v>201</v>
      </c>
      <c r="C1697" s="315"/>
      <c r="D1697" s="316"/>
      <c r="E1697" s="315"/>
      <c r="F1697" s="315"/>
      <c r="G1697" s="315"/>
      <c r="H1697" s="153"/>
      <c r="I1697" s="12"/>
      <c r="J1697" s="239"/>
      <c r="K1697" s="12"/>
      <c r="L1697" s="368">
        <v>35</v>
      </c>
      <c r="M1697" s="332">
        <v>2</v>
      </c>
      <c r="N1697" s="366">
        <v>1</v>
      </c>
      <c r="O1697" s="100"/>
      <c r="P1697" s="100" t="s">
        <v>304</v>
      </c>
      <c r="Q1697" s="12"/>
      <c r="R1697" s="192" t="str">
        <f t="shared" si="40"/>
        <v>1packs</v>
      </c>
      <c r="S1697" s="198">
        <f t="shared" si="41"/>
        <v>2</v>
      </c>
      <c r="T1697" s="199" t="str">
        <f t="shared" si="42"/>
        <v>2packs</v>
      </c>
      <c r="U1697" s="200">
        <f t="shared" si="43"/>
        <v>70</v>
      </c>
      <c r="V1697" s="12"/>
      <c r="W1697" s="12"/>
    </row>
    <row r="1698" spans="1:23" x14ac:dyDescent="0.3">
      <c r="A1698" s="193" t="e">
        <f ca="1"/>
        <v>#NAME?</v>
      </c>
      <c r="B1698" s="96" t="s">
        <v>1933</v>
      </c>
      <c r="C1698" s="315"/>
      <c r="D1698" s="316"/>
      <c r="E1698" s="315"/>
      <c r="F1698" s="315"/>
      <c r="G1698" s="315"/>
      <c r="H1698" s="153"/>
      <c r="I1698" s="12"/>
      <c r="J1698" s="96" t="s">
        <v>1934</v>
      </c>
      <c r="K1698" s="12"/>
      <c r="L1698" s="368">
        <v>5.3</v>
      </c>
      <c r="M1698" s="332">
        <v>30</v>
      </c>
      <c r="N1698" s="366">
        <v>1</v>
      </c>
      <c r="O1698" s="100"/>
      <c r="P1698" s="100" t="s">
        <v>92</v>
      </c>
      <c r="Q1698" s="12"/>
      <c r="R1698" s="192" t="str">
        <f t="shared" si="40"/>
        <v>1pieces</v>
      </c>
      <c r="S1698" s="198">
        <f t="shared" si="41"/>
        <v>30</v>
      </c>
      <c r="T1698" s="199" t="str">
        <f t="shared" si="42"/>
        <v>30pieces</v>
      </c>
      <c r="U1698" s="200">
        <f t="shared" si="43"/>
        <v>159</v>
      </c>
      <c r="V1698" s="12"/>
      <c r="W1698" s="12"/>
    </row>
    <row r="1699" spans="1:23" x14ac:dyDescent="0.3">
      <c r="A1699" s="193" t="e">
        <f ca="1"/>
        <v>#NAME?</v>
      </c>
      <c r="B1699" s="96" t="s">
        <v>1935</v>
      </c>
      <c r="C1699" s="315"/>
      <c r="D1699" s="316"/>
      <c r="E1699" s="315"/>
      <c r="F1699" s="315"/>
      <c r="G1699" s="315"/>
      <c r="H1699" s="153"/>
      <c r="I1699" s="12"/>
      <c r="J1699" s="96" t="s">
        <v>1934</v>
      </c>
      <c r="K1699" s="12"/>
      <c r="L1699" s="368">
        <v>5.92</v>
      </c>
      <c r="M1699" s="332">
        <v>37</v>
      </c>
      <c r="N1699" s="366">
        <v>1</v>
      </c>
      <c r="O1699" s="100"/>
      <c r="P1699" s="100" t="s">
        <v>92</v>
      </c>
      <c r="Q1699" s="12"/>
      <c r="R1699" s="192" t="str">
        <f t="shared" si="40"/>
        <v>1pieces</v>
      </c>
      <c r="S1699" s="198">
        <f t="shared" si="41"/>
        <v>37</v>
      </c>
      <c r="T1699" s="199" t="str">
        <f t="shared" si="42"/>
        <v>37pieces</v>
      </c>
      <c r="U1699" s="200">
        <f t="shared" si="43"/>
        <v>219.04</v>
      </c>
      <c r="V1699" s="12"/>
      <c r="W1699" s="12"/>
    </row>
    <row r="1700" spans="1:23" x14ac:dyDescent="0.3">
      <c r="A1700" s="193" t="e">
        <f ca="1"/>
        <v>#NAME?</v>
      </c>
      <c r="B1700" s="96" t="s">
        <v>1936</v>
      </c>
      <c r="C1700" s="315"/>
      <c r="D1700" s="316"/>
      <c r="E1700" s="315"/>
      <c r="F1700" s="315"/>
      <c r="G1700" s="315"/>
      <c r="H1700" s="153"/>
      <c r="I1700" s="12"/>
      <c r="J1700" s="239"/>
      <c r="K1700" s="12"/>
      <c r="L1700" s="368">
        <v>6.13</v>
      </c>
      <c r="M1700" s="332">
        <v>20</v>
      </c>
      <c r="N1700" s="366">
        <v>1</v>
      </c>
      <c r="O1700" s="100"/>
      <c r="P1700" s="100" t="s">
        <v>92</v>
      </c>
      <c r="Q1700" s="12"/>
      <c r="R1700" s="192" t="str">
        <f t="shared" si="40"/>
        <v>1pieces</v>
      </c>
      <c r="S1700" s="198">
        <f t="shared" si="41"/>
        <v>20</v>
      </c>
      <c r="T1700" s="199" t="str">
        <f t="shared" si="42"/>
        <v>20pieces</v>
      </c>
      <c r="U1700" s="200">
        <f t="shared" si="43"/>
        <v>122.6</v>
      </c>
      <c r="V1700" s="12"/>
      <c r="W1700" s="12"/>
    </row>
    <row r="1701" spans="1:23" x14ac:dyDescent="0.3">
      <c r="A1701" s="193" t="e">
        <f ca="1"/>
        <v>#NAME?</v>
      </c>
      <c r="B1701" s="96" t="s">
        <v>1937</v>
      </c>
      <c r="C1701" s="315"/>
      <c r="D1701" s="316"/>
      <c r="E1701" s="315"/>
      <c r="F1701" s="315"/>
      <c r="G1701" s="315"/>
      <c r="H1701" s="153"/>
      <c r="I1701" s="12"/>
      <c r="J1701" s="239"/>
      <c r="K1701" s="12"/>
      <c r="L1701" s="368">
        <v>392.05</v>
      </c>
      <c r="M1701" s="332">
        <v>1</v>
      </c>
      <c r="N1701" s="366">
        <v>1</v>
      </c>
      <c r="O1701" s="100"/>
      <c r="P1701" s="100" t="s">
        <v>32</v>
      </c>
      <c r="Q1701" s="12"/>
      <c r="R1701" s="192" t="str">
        <f t="shared" si="40"/>
        <v>1ml</v>
      </c>
      <c r="S1701" s="198">
        <f t="shared" si="41"/>
        <v>1</v>
      </c>
      <c r="T1701" s="199" t="str">
        <f t="shared" si="42"/>
        <v>1ml</v>
      </c>
      <c r="U1701" s="200">
        <f t="shared" si="43"/>
        <v>392.05</v>
      </c>
      <c r="V1701" s="12"/>
      <c r="W1701" s="12"/>
    </row>
    <row r="1702" spans="1:23" x14ac:dyDescent="0.3">
      <c r="A1702" s="193" t="e">
        <f ca="1"/>
        <v>#NAME?</v>
      </c>
      <c r="B1702" s="96" t="s">
        <v>1938</v>
      </c>
      <c r="C1702" s="315"/>
      <c r="D1702" s="316"/>
      <c r="E1702" s="315"/>
      <c r="F1702" s="315"/>
      <c r="G1702" s="315"/>
      <c r="H1702" s="153"/>
      <c r="I1702" s="12"/>
      <c r="J1702" s="96" t="s">
        <v>1939</v>
      </c>
      <c r="K1702" s="12"/>
      <c r="L1702" s="368">
        <v>22.56</v>
      </c>
      <c r="M1702" s="332">
        <v>48</v>
      </c>
      <c r="N1702" s="366">
        <v>1</v>
      </c>
      <c r="O1702" s="100"/>
      <c r="P1702" s="100" t="s">
        <v>92</v>
      </c>
      <c r="Q1702" s="12"/>
      <c r="R1702" s="192" t="str">
        <f t="shared" si="40"/>
        <v>1pieces</v>
      </c>
      <c r="S1702" s="198">
        <f t="shared" si="41"/>
        <v>48</v>
      </c>
      <c r="T1702" s="199" t="str">
        <f t="shared" si="42"/>
        <v>48pieces</v>
      </c>
      <c r="U1702" s="200">
        <f t="shared" si="43"/>
        <v>1082.8799999999999</v>
      </c>
      <c r="V1702" s="12"/>
      <c r="W1702" s="12"/>
    </row>
    <row r="1703" spans="1:23" x14ac:dyDescent="0.3">
      <c r="A1703" s="193" t="e">
        <f ca="1"/>
        <v>#NAME?</v>
      </c>
      <c r="B1703" s="96" t="s">
        <v>1940</v>
      </c>
      <c r="C1703" s="315"/>
      <c r="D1703" s="316"/>
      <c r="E1703" s="315"/>
      <c r="F1703" s="315"/>
      <c r="G1703" s="315"/>
      <c r="H1703" s="153"/>
      <c r="I1703" s="12"/>
      <c r="J1703" s="96" t="s">
        <v>870</v>
      </c>
      <c r="K1703" s="12"/>
      <c r="L1703" s="368">
        <v>189.5</v>
      </c>
      <c r="M1703" s="332">
        <v>9</v>
      </c>
      <c r="N1703" s="366">
        <v>1</v>
      </c>
      <c r="O1703" s="100"/>
      <c r="P1703" s="100" t="s">
        <v>213</v>
      </c>
      <c r="Q1703" s="12"/>
      <c r="R1703" s="192" t="str">
        <f t="shared" si="40"/>
        <v>1kilos</v>
      </c>
      <c r="S1703" s="198">
        <f t="shared" si="41"/>
        <v>9</v>
      </c>
      <c r="T1703" s="199" t="str">
        <f t="shared" si="42"/>
        <v>9kilos</v>
      </c>
      <c r="U1703" s="200">
        <f t="shared" si="43"/>
        <v>1705.5</v>
      </c>
      <c r="V1703" s="12"/>
      <c r="W1703" s="12"/>
    </row>
    <row r="1704" spans="1:23" x14ac:dyDescent="0.3">
      <c r="A1704" s="193" t="e">
        <f ca="1"/>
        <v>#NAME?</v>
      </c>
      <c r="B1704" s="96" t="s">
        <v>1322</v>
      </c>
      <c r="C1704" s="315"/>
      <c r="D1704" s="316"/>
      <c r="E1704" s="315"/>
      <c r="F1704" s="315"/>
      <c r="G1704" s="315"/>
      <c r="H1704" s="153"/>
      <c r="I1704" s="12"/>
      <c r="J1704" s="96" t="s">
        <v>1941</v>
      </c>
      <c r="K1704" s="12"/>
      <c r="L1704" s="368">
        <v>54</v>
      </c>
      <c r="M1704" s="332">
        <v>1</v>
      </c>
      <c r="N1704" s="366">
        <v>1</v>
      </c>
      <c r="O1704" s="100"/>
      <c r="P1704" s="100" t="s">
        <v>39</v>
      </c>
      <c r="Q1704" s="12"/>
      <c r="R1704" s="192" t="str">
        <f t="shared" si="40"/>
        <v>1grams</v>
      </c>
      <c r="S1704" s="198">
        <f t="shared" si="41"/>
        <v>1</v>
      </c>
      <c r="T1704" s="199" t="str">
        <f t="shared" si="42"/>
        <v>1grams</v>
      </c>
      <c r="U1704" s="200">
        <f t="shared" si="43"/>
        <v>54</v>
      </c>
      <c r="V1704" s="12"/>
      <c r="W1704" s="12"/>
    </row>
    <row r="1705" spans="1:23" x14ac:dyDescent="0.3">
      <c r="A1705" s="193" t="e">
        <f ca="1"/>
        <v>#NAME?</v>
      </c>
      <c r="B1705" s="96" t="s">
        <v>1942</v>
      </c>
      <c r="C1705" s="315"/>
      <c r="D1705" s="316"/>
      <c r="E1705" s="315"/>
      <c r="F1705" s="315"/>
      <c r="G1705" s="315"/>
      <c r="H1705" s="153"/>
      <c r="I1705" s="12"/>
      <c r="J1705" s="239"/>
      <c r="K1705" s="12"/>
      <c r="L1705" s="368">
        <v>8.6999999999999993</v>
      </c>
      <c r="M1705" s="332">
        <v>47</v>
      </c>
      <c r="N1705" s="366">
        <v>1</v>
      </c>
      <c r="O1705" s="100"/>
      <c r="P1705" s="100" t="s">
        <v>92</v>
      </c>
      <c r="Q1705" s="12"/>
      <c r="R1705" s="192" t="str">
        <f t="shared" si="40"/>
        <v>1pieces</v>
      </c>
      <c r="S1705" s="198">
        <f t="shared" si="41"/>
        <v>47</v>
      </c>
      <c r="T1705" s="199" t="str">
        <f t="shared" si="42"/>
        <v>47pieces</v>
      </c>
      <c r="U1705" s="200">
        <f t="shared" si="43"/>
        <v>408.9</v>
      </c>
      <c r="V1705" s="12"/>
      <c r="W1705" s="12"/>
    </row>
    <row r="1706" spans="1:23" x14ac:dyDescent="0.3">
      <c r="A1706" s="193" t="e">
        <f ca="1"/>
        <v>#NAME?</v>
      </c>
      <c r="B1706" s="96" t="s">
        <v>1943</v>
      </c>
      <c r="C1706" s="315"/>
      <c r="D1706" s="316"/>
      <c r="E1706" s="315"/>
      <c r="F1706" s="315"/>
      <c r="G1706" s="315"/>
      <c r="H1706" s="153"/>
      <c r="I1706" s="12"/>
      <c r="J1706" s="96" t="s">
        <v>1944</v>
      </c>
      <c r="K1706" s="12"/>
      <c r="L1706" s="368">
        <v>24.26</v>
      </c>
      <c r="M1706" s="332">
        <v>48</v>
      </c>
      <c r="N1706" s="366">
        <v>1</v>
      </c>
      <c r="O1706" s="100"/>
      <c r="P1706" s="100" t="s">
        <v>92</v>
      </c>
      <c r="Q1706" s="12"/>
      <c r="R1706" s="192" t="str">
        <f t="shared" si="40"/>
        <v>1pieces</v>
      </c>
      <c r="S1706" s="198">
        <f t="shared" si="41"/>
        <v>48</v>
      </c>
      <c r="T1706" s="199" t="str">
        <f t="shared" si="42"/>
        <v>48pieces</v>
      </c>
      <c r="U1706" s="200">
        <f t="shared" si="43"/>
        <v>1164.48</v>
      </c>
      <c r="V1706" s="12"/>
      <c r="W1706" s="12"/>
    </row>
    <row r="1707" spans="1:23" x14ac:dyDescent="0.3">
      <c r="A1707" s="193" t="e">
        <f ca="1"/>
        <v>#NAME?</v>
      </c>
      <c r="B1707" s="96" t="s">
        <v>1327</v>
      </c>
      <c r="C1707" s="315"/>
      <c r="D1707" s="316"/>
      <c r="E1707" s="315"/>
      <c r="F1707" s="315"/>
      <c r="G1707" s="315"/>
      <c r="H1707" s="153"/>
      <c r="I1707" s="12"/>
      <c r="J1707" s="96" t="s">
        <v>1945</v>
      </c>
      <c r="K1707" s="12"/>
      <c r="L1707" s="368">
        <v>170</v>
      </c>
      <c r="M1707" s="332">
        <v>7</v>
      </c>
      <c r="N1707" s="366">
        <v>1</v>
      </c>
      <c r="O1707" s="100"/>
      <c r="P1707" s="100" t="s">
        <v>213</v>
      </c>
      <c r="Q1707" s="12"/>
      <c r="R1707" s="192" t="str">
        <f t="shared" si="40"/>
        <v>1kilos</v>
      </c>
      <c r="S1707" s="198">
        <f t="shared" si="41"/>
        <v>7</v>
      </c>
      <c r="T1707" s="199" t="str">
        <f t="shared" si="42"/>
        <v>7kilos</v>
      </c>
      <c r="U1707" s="200">
        <f t="shared" si="43"/>
        <v>1190</v>
      </c>
      <c r="V1707" s="12"/>
      <c r="W1707" s="12"/>
    </row>
    <row r="1708" spans="1:23" x14ac:dyDescent="0.3">
      <c r="A1708" s="193" t="e">
        <f ca="1"/>
        <v>#NAME?</v>
      </c>
      <c r="B1708" s="46" t="s">
        <v>1330</v>
      </c>
      <c r="C1708" s="315"/>
      <c r="D1708" s="316"/>
      <c r="E1708" s="315"/>
      <c r="F1708" s="315"/>
      <c r="G1708" s="315"/>
      <c r="H1708" s="153"/>
      <c r="I1708" s="12"/>
      <c r="J1708" s="46" t="s">
        <v>1945</v>
      </c>
      <c r="K1708" s="12"/>
      <c r="L1708" s="372">
        <v>95</v>
      </c>
      <c r="M1708" s="332">
        <v>2</v>
      </c>
      <c r="N1708" s="366">
        <v>1</v>
      </c>
      <c r="O1708" s="61"/>
      <c r="P1708" s="61" t="s">
        <v>213</v>
      </c>
      <c r="Q1708" s="12"/>
      <c r="R1708" s="192" t="str">
        <f t="shared" si="40"/>
        <v>1kilos</v>
      </c>
      <c r="S1708" s="198">
        <f t="shared" si="41"/>
        <v>2</v>
      </c>
      <c r="T1708" s="199" t="str">
        <f t="shared" si="42"/>
        <v>2kilos</v>
      </c>
      <c r="U1708" s="200">
        <f t="shared" si="43"/>
        <v>190</v>
      </c>
      <c r="V1708" s="12"/>
      <c r="W1708" s="12"/>
    </row>
    <row r="1709" spans="1:23" x14ac:dyDescent="0.3">
      <c r="A1709" s="193" t="e">
        <f ca="1"/>
        <v>#NAME?</v>
      </c>
      <c r="B1709" s="46" t="s">
        <v>1339</v>
      </c>
      <c r="C1709" s="315"/>
      <c r="D1709" s="316"/>
      <c r="E1709" s="315"/>
      <c r="F1709" s="315"/>
      <c r="G1709" s="315"/>
      <c r="H1709" s="153"/>
      <c r="I1709" s="12"/>
      <c r="J1709" s="46" t="s">
        <v>1929</v>
      </c>
      <c r="K1709" s="12"/>
      <c r="L1709" s="368">
        <v>88</v>
      </c>
      <c r="M1709" s="332">
        <v>4</v>
      </c>
      <c r="N1709" s="366">
        <v>1</v>
      </c>
      <c r="O1709" s="61"/>
      <c r="P1709" s="61" t="s">
        <v>200</v>
      </c>
      <c r="Q1709" s="12"/>
      <c r="R1709" s="192" t="str">
        <f t="shared" si="40"/>
        <v>1gal</v>
      </c>
      <c r="S1709" s="198">
        <f t="shared" si="41"/>
        <v>4</v>
      </c>
      <c r="T1709" s="199" t="str">
        <f t="shared" si="42"/>
        <v>4gal</v>
      </c>
      <c r="U1709" s="200">
        <f t="shared" si="43"/>
        <v>352</v>
      </c>
      <c r="V1709" s="12"/>
      <c r="W1709" s="12"/>
    </row>
    <row r="1710" spans="1:23" x14ac:dyDescent="0.3">
      <c r="A1710" s="193" t="e">
        <f ca="1"/>
        <v>#NAME?</v>
      </c>
      <c r="B1710" s="46" t="s">
        <v>1946</v>
      </c>
      <c r="C1710" s="315"/>
      <c r="D1710" s="316"/>
      <c r="E1710" s="315"/>
      <c r="F1710" s="315"/>
      <c r="G1710" s="315"/>
      <c r="H1710" s="153"/>
      <c r="I1710" s="12"/>
      <c r="J1710" s="46" t="s">
        <v>1947</v>
      </c>
      <c r="K1710" s="12"/>
      <c r="L1710" s="368">
        <v>158.4</v>
      </c>
      <c r="M1710" s="332">
        <v>2</v>
      </c>
      <c r="N1710" s="366">
        <v>1</v>
      </c>
      <c r="O1710" s="61"/>
      <c r="P1710" s="61" t="s">
        <v>1948</v>
      </c>
      <c r="Q1710" s="12"/>
      <c r="R1710" s="192" t="str">
        <f t="shared" si="40"/>
        <v>1bottle</v>
      </c>
      <c r="S1710" s="198">
        <f t="shared" si="41"/>
        <v>2</v>
      </c>
      <c r="T1710" s="199" t="str">
        <f t="shared" si="42"/>
        <v>2bottle</v>
      </c>
      <c r="U1710" s="200">
        <f t="shared" si="43"/>
        <v>316.8</v>
      </c>
      <c r="V1710" s="12"/>
      <c r="W1710" s="12"/>
    </row>
    <row r="1711" spans="1:23" x14ac:dyDescent="0.3">
      <c r="A1711" s="193" t="e">
        <f ca="1"/>
        <v>#NAME?</v>
      </c>
      <c r="B1711" s="46" t="s">
        <v>143</v>
      </c>
      <c r="C1711" s="315"/>
      <c r="D1711" s="316"/>
      <c r="E1711" s="315"/>
      <c r="F1711" s="315"/>
      <c r="G1711" s="315"/>
      <c r="H1711" s="153"/>
      <c r="I1711" s="12"/>
      <c r="J1711" s="46" t="s">
        <v>1949</v>
      </c>
      <c r="K1711" s="12"/>
      <c r="L1711" s="368">
        <v>8.5</v>
      </c>
      <c r="M1711" s="332">
        <v>50</v>
      </c>
      <c r="N1711" s="366">
        <v>1</v>
      </c>
      <c r="O1711" s="61"/>
      <c r="P1711" s="61" t="s">
        <v>92</v>
      </c>
      <c r="Q1711" s="12"/>
      <c r="R1711" s="192" t="str">
        <f t="shared" si="40"/>
        <v>1pieces</v>
      </c>
      <c r="S1711" s="198">
        <f t="shared" si="41"/>
        <v>50</v>
      </c>
      <c r="T1711" s="199" t="str">
        <f t="shared" si="42"/>
        <v>50pieces</v>
      </c>
      <c r="U1711" s="200">
        <f t="shared" si="43"/>
        <v>425</v>
      </c>
      <c r="V1711" s="12"/>
      <c r="W1711" s="12"/>
    </row>
    <row r="1712" spans="1:23" x14ac:dyDescent="0.3">
      <c r="A1712" s="193" t="e">
        <f ca="1"/>
        <v>#NAME?</v>
      </c>
      <c r="B1712" s="46" t="s">
        <v>652</v>
      </c>
      <c r="C1712" s="315"/>
      <c r="D1712" s="316"/>
      <c r="E1712" s="315"/>
      <c r="F1712" s="315"/>
      <c r="G1712" s="315"/>
      <c r="H1712" s="153"/>
      <c r="I1712" s="12"/>
      <c r="J1712" s="46" t="s">
        <v>1949</v>
      </c>
      <c r="K1712" s="12"/>
      <c r="L1712" s="359">
        <v>8.9600000000000009</v>
      </c>
      <c r="M1712" s="289">
        <v>65</v>
      </c>
      <c r="N1712" s="360">
        <v>1</v>
      </c>
      <c r="O1712" s="273"/>
      <c r="P1712" s="273" t="s">
        <v>92</v>
      </c>
      <c r="Q1712" s="12"/>
      <c r="R1712" s="192" t="str">
        <f t="shared" si="40"/>
        <v>1pieces</v>
      </c>
      <c r="S1712" s="198">
        <f t="shared" si="41"/>
        <v>65</v>
      </c>
      <c r="T1712" s="199" t="str">
        <f t="shared" si="42"/>
        <v>65pieces</v>
      </c>
      <c r="U1712" s="200">
        <f t="shared" si="43"/>
        <v>582.40000000000009</v>
      </c>
      <c r="V1712" s="12"/>
      <c r="W1712" s="12"/>
    </row>
    <row r="1713" spans="1:23" x14ac:dyDescent="0.3">
      <c r="A1713" s="193" t="e">
        <f ca="1"/>
        <v>#NAME?</v>
      </c>
      <c r="B1713" s="46" t="s">
        <v>145</v>
      </c>
      <c r="C1713" s="315"/>
      <c r="D1713" s="316"/>
      <c r="E1713" s="315"/>
      <c r="F1713" s="315"/>
      <c r="G1713" s="315"/>
      <c r="H1713" s="153"/>
      <c r="I1713" s="12"/>
      <c r="J1713" s="46" t="s">
        <v>1949</v>
      </c>
      <c r="K1713" s="12"/>
      <c r="L1713" s="359">
        <v>8.35</v>
      </c>
      <c r="M1713" s="289">
        <v>170</v>
      </c>
      <c r="N1713" s="360">
        <v>1</v>
      </c>
      <c r="O1713" s="273"/>
      <c r="P1713" s="273" t="s">
        <v>92</v>
      </c>
      <c r="Q1713" s="12"/>
      <c r="R1713" s="192" t="str">
        <f t="shared" si="40"/>
        <v>1pieces</v>
      </c>
      <c r="S1713" s="198">
        <f t="shared" si="41"/>
        <v>170</v>
      </c>
      <c r="T1713" s="199" t="str">
        <f t="shared" si="42"/>
        <v>170pieces</v>
      </c>
      <c r="U1713" s="200">
        <f t="shared" si="43"/>
        <v>1419.5</v>
      </c>
      <c r="V1713" s="12"/>
      <c r="W1713" s="12"/>
    </row>
    <row r="1714" spans="1:23" x14ac:dyDescent="0.3">
      <c r="A1714" s="193" t="e">
        <f ca="1"/>
        <v>#NAME?</v>
      </c>
      <c r="B1714" s="46" t="s">
        <v>1343</v>
      </c>
      <c r="C1714" s="315"/>
      <c r="D1714" s="316"/>
      <c r="E1714" s="315"/>
      <c r="F1714" s="315"/>
      <c r="G1714" s="315"/>
      <c r="H1714" s="153"/>
      <c r="I1714" s="12"/>
      <c r="J1714" s="46" t="s">
        <v>1945</v>
      </c>
      <c r="K1714" s="12"/>
      <c r="L1714" s="359">
        <v>210</v>
      </c>
      <c r="M1714" s="289">
        <v>0</v>
      </c>
      <c r="N1714" s="360">
        <v>1</v>
      </c>
      <c r="O1714" s="273"/>
      <c r="P1714" s="273" t="s">
        <v>213</v>
      </c>
      <c r="Q1714" s="12"/>
      <c r="R1714" s="192" t="str">
        <f t="shared" si="40"/>
        <v>1kilos</v>
      </c>
      <c r="S1714" s="198">
        <f t="shared" si="41"/>
        <v>0</v>
      </c>
      <c r="T1714" s="199" t="str">
        <f t="shared" si="42"/>
        <v>0kilos</v>
      </c>
      <c r="U1714" s="200">
        <f t="shared" si="43"/>
        <v>0</v>
      </c>
      <c r="V1714" s="12"/>
      <c r="W1714" s="12"/>
    </row>
    <row r="1715" spans="1:23" x14ac:dyDescent="0.3">
      <c r="A1715" s="193" t="e">
        <f ca="1"/>
        <v>#NAME?</v>
      </c>
      <c r="B1715" s="46" t="s">
        <v>1950</v>
      </c>
      <c r="C1715" s="315"/>
      <c r="D1715" s="316"/>
      <c r="E1715" s="315"/>
      <c r="F1715" s="315"/>
      <c r="G1715" s="315"/>
      <c r="H1715" s="153"/>
      <c r="I1715" s="12"/>
      <c r="J1715" s="170"/>
      <c r="K1715" s="12"/>
      <c r="L1715" s="359">
        <v>9.1999999999999993</v>
      </c>
      <c r="M1715" s="289">
        <v>13</v>
      </c>
      <c r="N1715" s="360">
        <v>1</v>
      </c>
      <c r="O1715" s="273"/>
      <c r="P1715" s="273" t="s">
        <v>92</v>
      </c>
      <c r="Q1715" s="12"/>
      <c r="R1715" s="192" t="str">
        <f t="shared" si="40"/>
        <v>1pieces</v>
      </c>
      <c r="S1715" s="198">
        <f t="shared" si="41"/>
        <v>13</v>
      </c>
      <c r="T1715" s="199" t="str">
        <f t="shared" si="42"/>
        <v>13pieces</v>
      </c>
      <c r="U1715" s="200">
        <f t="shared" si="43"/>
        <v>119.6</v>
      </c>
      <c r="V1715" s="12"/>
      <c r="W1715" s="12"/>
    </row>
    <row r="1716" spans="1:23" x14ac:dyDescent="0.3">
      <c r="A1716" s="193" t="e">
        <f ca="1"/>
        <v>#NAME?</v>
      </c>
      <c r="B1716" s="46" t="s">
        <v>1353</v>
      </c>
      <c r="C1716" s="315"/>
      <c r="D1716" s="316"/>
      <c r="E1716" s="315"/>
      <c r="F1716" s="315"/>
      <c r="G1716" s="315"/>
      <c r="H1716" s="153"/>
      <c r="I1716" s="12"/>
      <c r="J1716" s="46" t="s">
        <v>1951</v>
      </c>
      <c r="K1716" s="12"/>
      <c r="L1716" s="373">
        <v>35</v>
      </c>
      <c r="M1716" s="289">
        <v>1</v>
      </c>
      <c r="N1716" s="366">
        <v>1</v>
      </c>
      <c r="O1716" s="240"/>
      <c r="P1716" s="240" t="s">
        <v>213</v>
      </c>
      <c r="Q1716" s="12"/>
      <c r="R1716" s="192" t="str">
        <f t="shared" si="40"/>
        <v>1kilos</v>
      </c>
      <c r="S1716" s="198">
        <f t="shared" si="41"/>
        <v>1</v>
      </c>
      <c r="T1716" s="199" t="str">
        <f t="shared" si="42"/>
        <v>1kilos</v>
      </c>
      <c r="U1716" s="200">
        <f t="shared" si="43"/>
        <v>35</v>
      </c>
      <c r="V1716" s="12"/>
      <c r="W1716" s="12"/>
    </row>
    <row r="1717" spans="1:23" x14ac:dyDescent="0.3">
      <c r="A1717" s="193" t="e">
        <f ca="1"/>
        <v>#NAME?</v>
      </c>
      <c r="B1717" s="46" t="s">
        <v>1952</v>
      </c>
      <c r="C1717" s="315"/>
      <c r="D1717" s="316"/>
      <c r="E1717" s="315"/>
      <c r="F1717" s="315"/>
      <c r="G1717" s="315"/>
      <c r="H1717" s="153"/>
      <c r="I1717" s="12"/>
      <c r="J1717" s="46" t="s">
        <v>1953</v>
      </c>
      <c r="K1717" s="12"/>
      <c r="L1717" s="373">
        <v>87.5</v>
      </c>
      <c r="M1717" s="289">
        <v>1</v>
      </c>
      <c r="N1717" s="366">
        <v>1</v>
      </c>
      <c r="O1717" s="240"/>
      <c r="P1717" s="240" t="s">
        <v>213</v>
      </c>
      <c r="Q1717" s="12"/>
      <c r="R1717" s="192" t="str">
        <f t="shared" si="40"/>
        <v>1kilos</v>
      </c>
      <c r="S1717" s="198">
        <f t="shared" si="41"/>
        <v>1</v>
      </c>
      <c r="T1717" s="199" t="str">
        <f t="shared" si="42"/>
        <v>1kilos</v>
      </c>
      <c r="U1717" s="200">
        <f t="shared" si="43"/>
        <v>87.5</v>
      </c>
      <c r="V1717" s="12"/>
      <c r="W1717" s="12"/>
    </row>
    <row r="1718" spans="1:23" x14ac:dyDescent="0.3">
      <c r="A1718" s="193" t="e">
        <f ca="1"/>
        <v>#NAME?</v>
      </c>
      <c r="B1718" s="46" t="s">
        <v>184</v>
      </c>
      <c r="C1718" s="315"/>
      <c r="D1718" s="316"/>
      <c r="E1718" s="315"/>
      <c r="F1718" s="315"/>
      <c r="G1718" s="315"/>
      <c r="H1718" s="153"/>
      <c r="I1718" s="12"/>
      <c r="J1718" s="46" t="s">
        <v>1250</v>
      </c>
      <c r="K1718" s="12"/>
      <c r="L1718" s="368">
        <v>26.15</v>
      </c>
      <c r="M1718" s="332">
        <v>6</v>
      </c>
      <c r="N1718" s="366">
        <v>1</v>
      </c>
      <c r="O1718" s="240"/>
      <c r="P1718" s="240" t="s">
        <v>39</v>
      </c>
      <c r="Q1718" s="12"/>
      <c r="R1718" s="192" t="str">
        <f t="shared" si="40"/>
        <v>1grams</v>
      </c>
      <c r="S1718" s="198">
        <f t="shared" si="41"/>
        <v>6</v>
      </c>
      <c r="T1718" s="199" t="str">
        <f t="shared" si="42"/>
        <v>6grams</v>
      </c>
      <c r="U1718" s="200">
        <f t="shared" si="43"/>
        <v>156.89999999999998</v>
      </c>
      <c r="V1718" s="12"/>
      <c r="W1718" s="12"/>
    </row>
    <row r="1719" spans="1:23" x14ac:dyDescent="0.3">
      <c r="A1719" s="193" t="e">
        <f ca="1"/>
        <v>#NAME?</v>
      </c>
      <c r="B1719" s="96" t="s">
        <v>325</v>
      </c>
      <c r="C1719" s="315"/>
      <c r="D1719" s="316"/>
      <c r="E1719" s="315"/>
      <c r="F1719" s="315"/>
      <c r="G1719" s="315"/>
      <c r="H1719" s="153"/>
      <c r="I1719" s="12"/>
      <c r="J1719" s="96" t="s">
        <v>1954</v>
      </c>
      <c r="K1719" s="12"/>
      <c r="L1719" s="368">
        <v>70</v>
      </c>
      <c r="M1719" s="332">
        <v>2</v>
      </c>
      <c r="N1719" s="366">
        <v>1</v>
      </c>
      <c r="O1719" s="240"/>
      <c r="P1719" s="240" t="s">
        <v>213</v>
      </c>
      <c r="Q1719" s="12"/>
      <c r="R1719" s="192" t="str">
        <f t="shared" si="40"/>
        <v>1kilos</v>
      </c>
      <c r="S1719" s="198">
        <f t="shared" si="41"/>
        <v>2</v>
      </c>
      <c r="T1719" s="199" t="str">
        <f t="shared" si="42"/>
        <v>2kilos</v>
      </c>
      <c r="U1719" s="200">
        <f t="shared" si="43"/>
        <v>140</v>
      </c>
      <c r="V1719" s="12"/>
      <c r="W1719" s="12"/>
    </row>
    <row r="1720" spans="1:23" x14ac:dyDescent="0.3">
      <c r="A1720" s="193" t="e">
        <f ca="1"/>
        <v>#NAME?</v>
      </c>
      <c r="B1720" s="96" t="s">
        <v>1955</v>
      </c>
      <c r="C1720" s="315"/>
      <c r="D1720" s="316"/>
      <c r="E1720" s="315"/>
      <c r="F1720" s="315"/>
      <c r="G1720" s="315"/>
      <c r="H1720" s="153"/>
      <c r="I1720" s="12"/>
      <c r="J1720" s="96" t="s">
        <v>1956</v>
      </c>
      <c r="K1720" s="12"/>
      <c r="L1720" s="368">
        <v>68</v>
      </c>
      <c r="M1720" s="332">
        <v>5</v>
      </c>
      <c r="N1720" s="366">
        <v>1</v>
      </c>
      <c r="O1720" s="240"/>
      <c r="P1720" s="240" t="s">
        <v>1922</v>
      </c>
      <c r="Q1720" s="12"/>
      <c r="R1720" s="192" t="str">
        <f t="shared" si="40"/>
        <v>1can</v>
      </c>
      <c r="S1720" s="198">
        <f t="shared" si="41"/>
        <v>5</v>
      </c>
      <c r="T1720" s="199" t="str">
        <f t="shared" si="42"/>
        <v>5can</v>
      </c>
      <c r="U1720" s="200">
        <f t="shared" si="43"/>
        <v>340</v>
      </c>
      <c r="V1720" s="12"/>
      <c r="W1720" s="12"/>
    </row>
    <row r="1721" spans="1:23" x14ac:dyDescent="0.3">
      <c r="A1721" s="193" t="e">
        <f ca="1"/>
        <v>#NAME?</v>
      </c>
      <c r="B1721" s="96" t="s">
        <v>1957</v>
      </c>
      <c r="C1721" s="315"/>
      <c r="D1721" s="316"/>
      <c r="E1721" s="315"/>
      <c r="F1721" s="315"/>
      <c r="G1721" s="315"/>
      <c r="H1721" s="153"/>
      <c r="I1721" s="12"/>
      <c r="J1721" s="96" t="s">
        <v>1934</v>
      </c>
      <c r="K1721" s="12"/>
      <c r="L1721" s="368">
        <v>5.2</v>
      </c>
      <c r="M1721" s="332">
        <v>52</v>
      </c>
      <c r="N1721" s="366">
        <v>1</v>
      </c>
      <c r="O1721" s="240"/>
      <c r="P1721" s="240" t="s">
        <v>92</v>
      </c>
      <c r="Q1721" s="12"/>
      <c r="R1721" s="192" t="str">
        <f t="shared" si="40"/>
        <v>1pieces</v>
      </c>
      <c r="S1721" s="198">
        <f t="shared" si="41"/>
        <v>52</v>
      </c>
      <c r="T1721" s="199" t="str">
        <f t="shared" si="42"/>
        <v>52pieces</v>
      </c>
      <c r="U1721" s="200">
        <f t="shared" si="43"/>
        <v>270.40000000000003</v>
      </c>
      <c r="V1721" s="12"/>
      <c r="W1721" s="12"/>
    </row>
    <row r="1722" spans="1:23" x14ac:dyDescent="0.3">
      <c r="A1722" s="193" t="e">
        <f ca="1"/>
        <v>#NAME?</v>
      </c>
      <c r="B1722" s="96" t="s">
        <v>263</v>
      </c>
      <c r="C1722" s="315"/>
      <c r="D1722" s="316"/>
      <c r="E1722" s="315"/>
      <c r="F1722" s="315"/>
      <c r="G1722" s="315"/>
      <c r="H1722" s="153"/>
      <c r="I1722" s="12"/>
      <c r="J1722" s="96" t="s">
        <v>1958</v>
      </c>
      <c r="K1722" s="12"/>
      <c r="L1722" s="368">
        <v>4.92</v>
      </c>
      <c r="M1722" s="332">
        <v>144</v>
      </c>
      <c r="N1722" s="366">
        <v>1</v>
      </c>
      <c r="O1722" s="240"/>
      <c r="P1722" s="240" t="s">
        <v>92</v>
      </c>
      <c r="Q1722" s="12"/>
      <c r="R1722" s="192" t="str">
        <f t="shared" si="40"/>
        <v>1pieces</v>
      </c>
      <c r="S1722" s="198">
        <f t="shared" si="41"/>
        <v>144</v>
      </c>
      <c r="T1722" s="199" t="str">
        <f t="shared" si="42"/>
        <v>144pieces</v>
      </c>
      <c r="U1722" s="200">
        <f t="shared" si="43"/>
        <v>708.48</v>
      </c>
      <c r="V1722" s="12"/>
      <c r="W1722" s="12"/>
    </row>
    <row r="1723" spans="1:23" x14ac:dyDescent="0.3">
      <c r="A1723" s="193" t="e">
        <f ca="1"/>
        <v>#NAME?</v>
      </c>
      <c r="B1723" s="96" t="s">
        <v>79</v>
      </c>
      <c r="C1723" s="315"/>
      <c r="D1723" s="316"/>
      <c r="E1723" s="315"/>
      <c r="F1723" s="315"/>
      <c r="G1723" s="315"/>
      <c r="H1723" s="153"/>
      <c r="I1723" s="12"/>
      <c r="J1723" s="96" t="s">
        <v>1157</v>
      </c>
      <c r="K1723" s="12"/>
      <c r="L1723" s="359">
        <v>270.2</v>
      </c>
      <c r="M1723" s="289">
        <v>1</v>
      </c>
      <c r="N1723" s="366">
        <v>1</v>
      </c>
      <c r="O1723" s="240"/>
      <c r="P1723" s="240" t="s">
        <v>213</v>
      </c>
      <c r="Q1723" s="12"/>
      <c r="R1723" s="192" t="str">
        <f t="shared" si="40"/>
        <v>1kilos</v>
      </c>
      <c r="S1723" s="198">
        <f t="shared" si="41"/>
        <v>1</v>
      </c>
      <c r="T1723" s="199" t="str">
        <f t="shared" si="42"/>
        <v>1kilos</v>
      </c>
      <c r="U1723" s="200">
        <f t="shared" si="43"/>
        <v>270.2</v>
      </c>
      <c r="V1723" s="12"/>
      <c r="W1723" s="12"/>
    </row>
    <row r="1724" spans="1:23" x14ac:dyDescent="0.3">
      <c r="A1724" s="193" t="e">
        <f ca="1"/>
        <v>#NAME?</v>
      </c>
      <c r="B1724" s="96" t="s">
        <v>1959</v>
      </c>
      <c r="C1724" s="315"/>
      <c r="D1724" s="316"/>
      <c r="E1724" s="315"/>
      <c r="F1724" s="315"/>
      <c r="G1724" s="315"/>
      <c r="H1724" s="153"/>
      <c r="I1724" s="12"/>
      <c r="J1724" s="96" t="s">
        <v>1960</v>
      </c>
      <c r="K1724" s="12"/>
      <c r="L1724" s="368">
        <v>19.899999999999999</v>
      </c>
      <c r="M1724" s="332">
        <v>8</v>
      </c>
      <c r="N1724" s="366">
        <v>1</v>
      </c>
      <c r="O1724" s="240"/>
      <c r="P1724" s="240" t="s">
        <v>92</v>
      </c>
      <c r="Q1724" s="12"/>
      <c r="R1724" s="192" t="str">
        <f t="shared" si="40"/>
        <v>1pieces</v>
      </c>
      <c r="S1724" s="198">
        <f t="shared" si="41"/>
        <v>8</v>
      </c>
      <c r="T1724" s="199" t="str">
        <f t="shared" si="42"/>
        <v>8pieces</v>
      </c>
      <c r="U1724" s="200">
        <f t="shared" si="43"/>
        <v>159.19999999999999</v>
      </c>
      <c r="V1724" s="12"/>
      <c r="W1724" s="12"/>
    </row>
    <row r="1725" spans="1:23" x14ac:dyDescent="0.3">
      <c r="A1725" s="193" t="e">
        <f ca="1"/>
        <v>#NAME?</v>
      </c>
      <c r="B1725" s="96" t="s">
        <v>1456</v>
      </c>
      <c r="C1725" s="315"/>
      <c r="D1725" s="316"/>
      <c r="E1725" s="315"/>
      <c r="F1725" s="315"/>
      <c r="G1725" s="315"/>
      <c r="H1725" s="153"/>
      <c r="I1725" s="12"/>
      <c r="J1725" s="96" t="s">
        <v>1961</v>
      </c>
      <c r="K1725" s="12"/>
      <c r="L1725" s="368">
        <v>11.2</v>
      </c>
      <c r="M1725" s="332">
        <v>64</v>
      </c>
      <c r="N1725" s="366">
        <v>33</v>
      </c>
      <c r="O1725" s="240"/>
      <c r="P1725" s="240" t="s">
        <v>39</v>
      </c>
      <c r="Q1725" s="12"/>
      <c r="R1725" s="192" t="str">
        <f t="shared" si="40"/>
        <v>33grams</v>
      </c>
      <c r="S1725" s="198">
        <f t="shared" si="41"/>
        <v>2112</v>
      </c>
      <c r="T1725" s="199" t="str">
        <f t="shared" si="42"/>
        <v>2112grams</v>
      </c>
      <c r="U1725" s="200">
        <f t="shared" si="43"/>
        <v>716.8</v>
      </c>
      <c r="V1725" s="12"/>
      <c r="W1725" s="12"/>
    </row>
    <row r="1726" spans="1:23" x14ac:dyDescent="0.3">
      <c r="A1726" s="193" t="e">
        <f ca="1"/>
        <v>#NAME?</v>
      </c>
      <c r="B1726" s="96" t="s">
        <v>149</v>
      </c>
      <c r="C1726" s="315"/>
      <c r="D1726" s="316"/>
      <c r="E1726" s="315"/>
      <c r="F1726" s="315"/>
      <c r="G1726" s="315"/>
      <c r="H1726" s="153"/>
      <c r="I1726" s="12"/>
      <c r="J1726" s="96" t="s">
        <v>30</v>
      </c>
      <c r="K1726" s="12"/>
      <c r="L1726" s="368">
        <v>8.9</v>
      </c>
      <c r="M1726" s="332">
        <v>48</v>
      </c>
      <c r="N1726" s="366">
        <v>1</v>
      </c>
      <c r="O1726" s="240"/>
      <c r="P1726" s="240" t="s">
        <v>92</v>
      </c>
      <c r="Q1726" s="12"/>
      <c r="R1726" s="192" t="str">
        <f t="shared" si="40"/>
        <v>1pieces</v>
      </c>
      <c r="S1726" s="198">
        <f t="shared" si="41"/>
        <v>48</v>
      </c>
      <c r="T1726" s="199" t="str">
        <f t="shared" si="42"/>
        <v>48pieces</v>
      </c>
      <c r="U1726" s="200">
        <f t="shared" si="43"/>
        <v>427.20000000000005</v>
      </c>
      <c r="V1726" s="12"/>
      <c r="W1726" s="12"/>
    </row>
    <row r="1727" spans="1:23" x14ac:dyDescent="0.3">
      <c r="A1727" s="193" t="e">
        <f ca="1"/>
        <v>#NAME?</v>
      </c>
      <c r="B1727" s="96" t="s">
        <v>103</v>
      </c>
      <c r="C1727" s="315"/>
      <c r="D1727" s="316"/>
      <c r="E1727" s="315"/>
      <c r="F1727" s="315"/>
      <c r="G1727" s="315"/>
      <c r="H1727" s="153"/>
      <c r="I1727" s="12"/>
      <c r="J1727" s="96" t="s">
        <v>1962</v>
      </c>
      <c r="K1727" s="12"/>
      <c r="L1727" s="368">
        <v>10.5</v>
      </c>
      <c r="M1727" s="332">
        <v>112</v>
      </c>
      <c r="N1727" s="366">
        <v>1</v>
      </c>
      <c r="O1727" s="240"/>
      <c r="P1727" s="240" t="s">
        <v>92</v>
      </c>
      <c r="Q1727" s="12"/>
      <c r="R1727" s="192" t="str">
        <f t="shared" si="40"/>
        <v>1pieces</v>
      </c>
      <c r="S1727" s="198">
        <f t="shared" si="41"/>
        <v>112</v>
      </c>
      <c r="T1727" s="199" t="str">
        <f t="shared" si="42"/>
        <v>112pieces</v>
      </c>
      <c r="U1727" s="200">
        <f t="shared" si="43"/>
        <v>1176</v>
      </c>
      <c r="V1727" s="12"/>
      <c r="W1727" s="12"/>
    </row>
    <row r="1728" spans="1:23" x14ac:dyDescent="0.3">
      <c r="A1728" s="193" t="e">
        <f ca="1"/>
        <v>#NAME?</v>
      </c>
      <c r="B1728" s="96" t="s">
        <v>327</v>
      </c>
      <c r="C1728" s="315"/>
      <c r="D1728" s="316"/>
      <c r="E1728" s="315"/>
      <c r="F1728" s="315"/>
      <c r="G1728" s="315"/>
      <c r="H1728" s="153"/>
      <c r="I1728" s="12"/>
      <c r="J1728" s="96" t="s">
        <v>1963</v>
      </c>
      <c r="K1728" s="12"/>
      <c r="L1728" s="368">
        <v>125</v>
      </c>
      <c r="M1728" s="332">
        <v>1</v>
      </c>
      <c r="N1728" s="366">
        <v>1</v>
      </c>
      <c r="O1728" s="240"/>
      <c r="P1728" s="240" t="s">
        <v>213</v>
      </c>
      <c r="Q1728" s="12"/>
      <c r="R1728" s="192" t="str">
        <f t="shared" si="40"/>
        <v>1kilos</v>
      </c>
      <c r="S1728" s="198">
        <f t="shared" si="41"/>
        <v>1</v>
      </c>
      <c r="T1728" s="199" t="str">
        <f t="shared" si="42"/>
        <v>1kilos</v>
      </c>
      <c r="U1728" s="200">
        <f t="shared" si="43"/>
        <v>125</v>
      </c>
      <c r="V1728" s="12"/>
      <c r="W1728" s="12"/>
    </row>
    <row r="1729" spans="1:23" x14ac:dyDescent="0.3">
      <c r="A1729" s="193" t="e">
        <f ca="1"/>
        <v>#NAME?</v>
      </c>
      <c r="B1729" s="46" t="s">
        <v>454</v>
      </c>
      <c r="C1729" s="315"/>
      <c r="D1729" s="316"/>
      <c r="E1729" s="315"/>
      <c r="F1729" s="315"/>
      <c r="G1729" s="315"/>
      <c r="H1729" s="153"/>
      <c r="I1729" s="12"/>
      <c r="J1729" s="46" t="s">
        <v>1945</v>
      </c>
      <c r="K1729" s="12"/>
      <c r="L1729" s="372">
        <v>140</v>
      </c>
      <c r="M1729" s="332">
        <v>0</v>
      </c>
      <c r="N1729" s="366">
        <v>1</v>
      </c>
      <c r="O1729" s="240"/>
      <c r="P1729" s="240" t="s">
        <v>213</v>
      </c>
      <c r="Q1729" s="12"/>
      <c r="R1729" s="192" t="str">
        <f t="shared" si="40"/>
        <v>1kilos</v>
      </c>
      <c r="S1729" s="198">
        <f t="shared" si="41"/>
        <v>0</v>
      </c>
      <c r="T1729" s="199" t="str">
        <f t="shared" si="42"/>
        <v>0kilos</v>
      </c>
      <c r="U1729" s="200">
        <f t="shared" si="43"/>
        <v>0</v>
      </c>
      <c r="V1729" s="12"/>
      <c r="W1729" s="12"/>
    </row>
    <row r="1730" spans="1:23" x14ac:dyDescent="0.3">
      <c r="A1730" s="193" t="e">
        <f ca="1"/>
        <v>#NAME?</v>
      </c>
      <c r="B1730" s="46" t="s">
        <v>1964</v>
      </c>
      <c r="C1730" s="315"/>
      <c r="D1730" s="316"/>
      <c r="E1730" s="315"/>
      <c r="F1730" s="315"/>
      <c r="G1730" s="315"/>
      <c r="H1730" s="153"/>
      <c r="I1730" s="12"/>
      <c r="J1730" s="170"/>
      <c r="K1730" s="12"/>
      <c r="L1730" s="368">
        <v>15.15</v>
      </c>
      <c r="M1730" s="332">
        <v>3</v>
      </c>
      <c r="N1730" s="366">
        <v>1</v>
      </c>
      <c r="O1730" s="100"/>
      <c r="P1730" s="100" t="s">
        <v>92</v>
      </c>
      <c r="Q1730" s="12"/>
      <c r="R1730" s="192" t="str">
        <f t="shared" si="40"/>
        <v>1pieces</v>
      </c>
      <c r="S1730" s="198">
        <f t="shared" si="41"/>
        <v>3</v>
      </c>
      <c r="T1730" s="199" t="str">
        <f t="shared" si="42"/>
        <v>3pieces</v>
      </c>
      <c r="U1730" s="200">
        <f t="shared" si="43"/>
        <v>45.45</v>
      </c>
      <c r="V1730" s="12"/>
      <c r="W1730" s="12"/>
    </row>
    <row r="1731" spans="1:23" x14ac:dyDescent="0.3">
      <c r="A1731" s="193" t="e">
        <f ca="1"/>
        <v>#NAME?</v>
      </c>
      <c r="B1731" s="46" t="s">
        <v>1965</v>
      </c>
      <c r="C1731" s="315"/>
      <c r="D1731" s="316"/>
      <c r="E1731" s="315"/>
      <c r="F1731" s="315"/>
      <c r="G1731" s="315"/>
      <c r="H1731" s="153"/>
      <c r="I1731" s="12"/>
      <c r="J1731" s="46" t="s">
        <v>1966</v>
      </c>
      <c r="K1731" s="12"/>
      <c r="L1731" s="368">
        <v>14.45</v>
      </c>
      <c r="M1731" s="332">
        <v>11</v>
      </c>
      <c r="N1731" s="366">
        <v>1</v>
      </c>
      <c r="O1731" s="240"/>
      <c r="P1731" s="240" t="s">
        <v>92</v>
      </c>
      <c r="Q1731" s="12"/>
      <c r="R1731" s="192" t="str">
        <f t="shared" si="40"/>
        <v>1pieces</v>
      </c>
      <c r="S1731" s="198">
        <f t="shared" si="41"/>
        <v>11</v>
      </c>
      <c r="T1731" s="199" t="str">
        <f t="shared" si="42"/>
        <v>11pieces</v>
      </c>
      <c r="U1731" s="200">
        <f t="shared" si="43"/>
        <v>158.94999999999999</v>
      </c>
      <c r="V1731" s="12"/>
      <c r="W1731" s="12"/>
    </row>
    <row r="1732" spans="1:23" x14ac:dyDescent="0.3">
      <c r="A1732" s="193" t="e">
        <f ca="1"/>
        <v>#NAME?</v>
      </c>
      <c r="B1732" s="46" t="s">
        <v>1967</v>
      </c>
      <c r="C1732" s="315"/>
      <c r="D1732" s="316"/>
      <c r="E1732" s="315"/>
      <c r="F1732" s="315"/>
      <c r="G1732" s="315"/>
      <c r="H1732" s="153"/>
      <c r="I1732" s="12"/>
      <c r="J1732" s="46" t="s">
        <v>1968</v>
      </c>
      <c r="K1732" s="12"/>
      <c r="L1732" s="368">
        <v>200</v>
      </c>
      <c r="M1732" s="332">
        <v>3</v>
      </c>
      <c r="N1732" s="366">
        <v>1</v>
      </c>
      <c r="O1732" s="240"/>
      <c r="P1732" s="240" t="s">
        <v>200</v>
      </c>
      <c r="Q1732" s="12"/>
      <c r="R1732" s="192" t="str">
        <f t="shared" si="40"/>
        <v>1gal</v>
      </c>
      <c r="S1732" s="198">
        <f t="shared" si="41"/>
        <v>3</v>
      </c>
      <c r="T1732" s="199" t="str">
        <f t="shared" si="42"/>
        <v>3gal</v>
      </c>
      <c r="U1732" s="200">
        <f t="shared" si="43"/>
        <v>600</v>
      </c>
      <c r="V1732" s="12"/>
      <c r="W1732" s="12"/>
    </row>
    <row r="1733" spans="1:23" x14ac:dyDescent="0.3">
      <c r="A1733" s="193" t="e">
        <f ca="1"/>
        <v>#NAME?</v>
      </c>
      <c r="B1733" s="46" t="s">
        <v>1969</v>
      </c>
      <c r="C1733" s="315"/>
      <c r="D1733" s="316"/>
      <c r="E1733" s="315"/>
      <c r="F1733" s="315"/>
      <c r="G1733" s="315"/>
      <c r="H1733" s="153"/>
      <c r="I1733" s="12"/>
      <c r="J1733" s="68" t="s">
        <v>1970</v>
      </c>
      <c r="K1733" s="12"/>
      <c r="L1733" s="368">
        <v>15.15</v>
      </c>
      <c r="M1733" s="332">
        <v>4</v>
      </c>
      <c r="N1733" s="367">
        <v>1</v>
      </c>
      <c r="O1733" s="240"/>
      <c r="P1733" s="240" t="s">
        <v>92</v>
      </c>
      <c r="Q1733" s="12"/>
      <c r="R1733" s="192" t="str">
        <f t="shared" si="40"/>
        <v>1pieces</v>
      </c>
      <c r="S1733" s="198">
        <f t="shared" si="41"/>
        <v>4</v>
      </c>
      <c r="T1733" s="199" t="str">
        <f t="shared" si="42"/>
        <v>4pieces</v>
      </c>
      <c r="U1733" s="200">
        <f t="shared" si="43"/>
        <v>60.6</v>
      </c>
      <c r="V1733" s="12"/>
      <c r="W1733" s="12"/>
    </row>
    <row r="1734" spans="1:23" x14ac:dyDescent="0.3">
      <c r="A1734" s="193" t="e">
        <f ca="1"/>
        <v>#NAME?</v>
      </c>
      <c r="B1734" s="68" t="s">
        <v>695</v>
      </c>
      <c r="C1734" s="315"/>
      <c r="D1734" s="316"/>
      <c r="E1734" s="315"/>
      <c r="F1734" s="315"/>
      <c r="G1734" s="315"/>
      <c r="H1734" s="153"/>
      <c r="I1734" s="12"/>
      <c r="J1734" s="46" t="s">
        <v>865</v>
      </c>
      <c r="K1734" s="12"/>
      <c r="L1734" s="368">
        <v>23.3</v>
      </c>
      <c r="M1734" s="332">
        <v>2</v>
      </c>
      <c r="N1734" s="366">
        <v>1</v>
      </c>
      <c r="O1734" s="240"/>
      <c r="P1734" s="240" t="s">
        <v>39</v>
      </c>
      <c r="Q1734" s="12"/>
      <c r="R1734" s="192" t="str">
        <f t="shared" si="40"/>
        <v>1grams</v>
      </c>
      <c r="S1734" s="198">
        <f t="shared" si="41"/>
        <v>2</v>
      </c>
      <c r="T1734" s="199" t="str">
        <f t="shared" si="42"/>
        <v>2grams</v>
      </c>
      <c r="U1734" s="200">
        <f t="shared" si="43"/>
        <v>46.6</v>
      </c>
      <c r="V1734" s="12"/>
      <c r="W1734" s="12"/>
    </row>
    <row r="1735" spans="1:23" x14ac:dyDescent="0.3">
      <c r="A1735" s="193" t="e">
        <f ca="1"/>
        <v>#NAME?</v>
      </c>
      <c r="B1735" s="68" t="s">
        <v>1971</v>
      </c>
      <c r="C1735" s="315"/>
      <c r="D1735" s="316"/>
      <c r="E1735" s="315"/>
      <c r="F1735" s="315"/>
      <c r="G1735" s="315"/>
      <c r="H1735" s="153"/>
      <c r="I1735" s="12"/>
      <c r="J1735" s="46" t="s">
        <v>1972</v>
      </c>
      <c r="K1735" s="12"/>
      <c r="L1735" s="368">
        <v>3.9</v>
      </c>
      <c r="M1735" s="332">
        <v>31</v>
      </c>
      <c r="N1735" s="366">
        <v>1</v>
      </c>
      <c r="O1735" s="240"/>
      <c r="P1735" s="240" t="s">
        <v>92</v>
      </c>
      <c r="Q1735" s="12"/>
      <c r="R1735" s="192" t="str">
        <f t="shared" si="40"/>
        <v>1pieces</v>
      </c>
      <c r="S1735" s="198">
        <f t="shared" si="41"/>
        <v>31</v>
      </c>
      <c r="T1735" s="199" t="str">
        <f t="shared" si="42"/>
        <v>31pieces</v>
      </c>
      <c r="U1735" s="200">
        <f t="shared" si="43"/>
        <v>120.89999999999999</v>
      </c>
      <c r="V1735" s="12"/>
      <c r="W1735" s="12"/>
    </row>
    <row r="1736" spans="1:23" x14ac:dyDescent="0.3">
      <c r="A1736" s="193" t="e">
        <f ca="1"/>
        <v>#NAME?</v>
      </c>
      <c r="B1736" s="68" t="s">
        <v>151</v>
      </c>
      <c r="C1736" s="315"/>
      <c r="D1736" s="316"/>
      <c r="E1736" s="315"/>
      <c r="F1736" s="315"/>
      <c r="G1736" s="315"/>
      <c r="H1736" s="153"/>
      <c r="I1736" s="12"/>
      <c r="J1736" s="46" t="s">
        <v>30</v>
      </c>
      <c r="K1736" s="12"/>
      <c r="L1736" s="368">
        <v>7.25</v>
      </c>
      <c r="M1736" s="332">
        <v>98</v>
      </c>
      <c r="N1736" s="366">
        <v>1</v>
      </c>
      <c r="O1736" s="240"/>
      <c r="P1736" s="240" t="s">
        <v>92</v>
      </c>
      <c r="Q1736" s="12"/>
      <c r="R1736" s="192" t="str">
        <f t="shared" si="40"/>
        <v>1pieces</v>
      </c>
      <c r="S1736" s="198">
        <f t="shared" si="41"/>
        <v>98</v>
      </c>
      <c r="T1736" s="199" t="str">
        <f t="shared" si="42"/>
        <v>98pieces</v>
      </c>
      <c r="U1736" s="200">
        <f t="shared" si="43"/>
        <v>710.5</v>
      </c>
      <c r="V1736" s="12"/>
      <c r="W1736" s="12"/>
    </row>
    <row r="1737" spans="1:23" x14ac:dyDescent="0.3">
      <c r="A1737" s="193" t="e">
        <f ca="1"/>
        <v>#NAME?</v>
      </c>
      <c r="B1737" s="46" t="s">
        <v>699</v>
      </c>
      <c r="C1737" s="315"/>
      <c r="D1737" s="316"/>
      <c r="E1737" s="315"/>
      <c r="F1737" s="315"/>
      <c r="G1737" s="315"/>
      <c r="H1737" s="153"/>
      <c r="I1737" s="12"/>
      <c r="J1737" s="46" t="s">
        <v>30</v>
      </c>
      <c r="K1737" s="12"/>
      <c r="L1737" s="372">
        <v>7.1</v>
      </c>
      <c r="M1737" s="332">
        <v>140</v>
      </c>
      <c r="N1737" s="366">
        <v>1</v>
      </c>
      <c r="O1737" s="240"/>
      <c r="P1737" s="240" t="s">
        <v>92</v>
      </c>
      <c r="Q1737" s="12"/>
      <c r="R1737" s="192" t="str">
        <f t="shared" si="40"/>
        <v>1pieces</v>
      </c>
      <c r="S1737" s="198">
        <f t="shared" si="41"/>
        <v>140</v>
      </c>
      <c r="T1737" s="199" t="str">
        <f t="shared" si="42"/>
        <v>140pieces</v>
      </c>
      <c r="U1737" s="200">
        <f t="shared" si="43"/>
        <v>994</v>
      </c>
      <c r="V1737" s="12"/>
      <c r="W1737" s="12"/>
    </row>
    <row r="1738" spans="1:23" x14ac:dyDescent="0.3">
      <c r="A1738" s="193" t="e">
        <f ca="1"/>
        <v>#NAME?</v>
      </c>
      <c r="B1738" s="46" t="s">
        <v>701</v>
      </c>
      <c r="C1738" s="315"/>
      <c r="D1738" s="316"/>
      <c r="E1738" s="315"/>
      <c r="F1738" s="315"/>
      <c r="G1738" s="315"/>
      <c r="H1738" s="153"/>
      <c r="I1738" s="12"/>
      <c r="J1738" s="46" t="s">
        <v>1960</v>
      </c>
      <c r="K1738" s="12"/>
      <c r="L1738" s="368">
        <v>22.38</v>
      </c>
      <c r="M1738" s="332">
        <v>30</v>
      </c>
      <c r="N1738" s="366">
        <v>1</v>
      </c>
      <c r="O1738" s="240"/>
      <c r="P1738" s="240" t="s">
        <v>92</v>
      </c>
      <c r="Q1738" s="12"/>
      <c r="R1738" s="192" t="str">
        <f t="shared" si="40"/>
        <v>1pieces</v>
      </c>
      <c r="S1738" s="198">
        <f t="shared" si="41"/>
        <v>30</v>
      </c>
      <c r="T1738" s="199" t="str">
        <f t="shared" si="42"/>
        <v>30pieces</v>
      </c>
      <c r="U1738" s="200">
        <f t="shared" si="43"/>
        <v>671.4</v>
      </c>
      <c r="V1738" s="12"/>
      <c r="W1738" s="12"/>
    </row>
    <row r="1739" spans="1:23" x14ac:dyDescent="0.3">
      <c r="A1739" s="193" t="e">
        <f ca="1"/>
        <v>#NAME?</v>
      </c>
      <c r="B1739" s="46" t="s">
        <v>1973</v>
      </c>
      <c r="C1739" s="315"/>
      <c r="D1739" s="316"/>
      <c r="E1739" s="315"/>
      <c r="F1739" s="315"/>
      <c r="G1739" s="315"/>
      <c r="H1739" s="153"/>
      <c r="I1739" s="12"/>
      <c r="J1739" s="46" t="s">
        <v>1960</v>
      </c>
      <c r="K1739" s="12"/>
      <c r="L1739" s="368">
        <v>23.85</v>
      </c>
      <c r="M1739" s="332">
        <v>2</v>
      </c>
      <c r="N1739" s="366">
        <v>1</v>
      </c>
      <c r="O1739" s="240"/>
      <c r="P1739" s="240" t="s">
        <v>92</v>
      </c>
      <c r="Q1739" s="12"/>
      <c r="R1739" s="192" t="str">
        <f t="shared" si="40"/>
        <v>1pieces</v>
      </c>
      <c r="S1739" s="198">
        <f t="shared" si="41"/>
        <v>2</v>
      </c>
      <c r="T1739" s="199" t="str">
        <f t="shared" si="42"/>
        <v>2pieces</v>
      </c>
      <c r="U1739" s="200">
        <f t="shared" si="43"/>
        <v>47.7</v>
      </c>
      <c r="V1739" s="12"/>
      <c r="W1739" s="12"/>
    </row>
    <row r="1740" spans="1:23" x14ac:dyDescent="0.3">
      <c r="A1740" s="193" t="e">
        <f ca="1"/>
        <v>#NAME?</v>
      </c>
      <c r="B1740" s="46" t="s">
        <v>1974</v>
      </c>
      <c r="C1740" s="315"/>
      <c r="D1740" s="316"/>
      <c r="E1740" s="315"/>
      <c r="F1740" s="315"/>
      <c r="G1740" s="315"/>
      <c r="H1740" s="153"/>
      <c r="I1740" s="12"/>
      <c r="J1740" s="46" t="s">
        <v>1960</v>
      </c>
      <c r="K1740" s="12"/>
      <c r="L1740" s="368">
        <v>15.7</v>
      </c>
      <c r="M1740" s="332">
        <v>6</v>
      </c>
      <c r="N1740" s="374">
        <v>1</v>
      </c>
      <c r="O1740" s="240"/>
      <c r="P1740" s="240" t="s">
        <v>92</v>
      </c>
      <c r="Q1740" s="12"/>
      <c r="R1740" s="192" t="str">
        <f t="shared" si="40"/>
        <v>1pieces</v>
      </c>
      <c r="S1740" s="198">
        <f t="shared" si="41"/>
        <v>6</v>
      </c>
      <c r="T1740" s="199" t="str">
        <f t="shared" si="42"/>
        <v>6pieces</v>
      </c>
      <c r="U1740" s="200">
        <f t="shared" si="43"/>
        <v>94.199999999999989</v>
      </c>
      <c r="V1740" s="12"/>
      <c r="W1740" s="12"/>
    </row>
    <row r="1741" spans="1:23" x14ac:dyDescent="0.3">
      <c r="A1741" s="193" t="e">
        <f ca="1"/>
        <v>#NAME?</v>
      </c>
      <c r="B1741" s="96" t="s">
        <v>1479</v>
      </c>
      <c r="C1741" s="315"/>
      <c r="D1741" s="316"/>
      <c r="E1741" s="315"/>
      <c r="F1741" s="315"/>
      <c r="G1741" s="315"/>
      <c r="H1741" s="153"/>
      <c r="I1741" s="12"/>
      <c r="J1741" s="96" t="s">
        <v>1945</v>
      </c>
      <c r="K1741" s="12"/>
      <c r="L1741" s="368">
        <v>55</v>
      </c>
      <c r="M1741" s="332">
        <v>1</v>
      </c>
      <c r="N1741" s="375">
        <v>1</v>
      </c>
      <c r="O1741" s="240"/>
      <c r="P1741" s="240" t="s">
        <v>213</v>
      </c>
      <c r="Q1741" s="12"/>
      <c r="R1741" s="192" t="str">
        <f t="shared" si="40"/>
        <v>1kilos</v>
      </c>
      <c r="S1741" s="198">
        <f t="shared" si="41"/>
        <v>1</v>
      </c>
      <c r="T1741" s="199" t="str">
        <f t="shared" si="42"/>
        <v>1kilos</v>
      </c>
      <c r="U1741" s="200">
        <f t="shared" si="43"/>
        <v>55</v>
      </c>
      <c r="V1741" s="12"/>
      <c r="W1741" s="12"/>
    </row>
    <row r="1742" spans="1:23" x14ac:dyDescent="0.3">
      <c r="A1742" s="193" t="e">
        <f ca="1"/>
        <v>#NAME?</v>
      </c>
      <c r="B1742" s="46" t="s">
        <v>1975</v>
      </c>
      <c r="C1742" s="315"/>
      <c r="D1742" s="316"/>
      <c r="E1742" s="315"/>
      <c r="F1742" s="315"/>
      <c r="G1742" s="315"/>
      <c r="H1742" s="153"/>
      <c r="I1742" s="12"/>
      <c r="J1742" s="46" t="s">
        <v>1945</v>
      </c>
      <c r="K1742" s="12"/>
      <c r="L1742" s="372">
        <v>123</v>
      </c>
      <c r="M1742" s="332">
        <v>1</v>
      </c>
      <c r="N1742" s="366">
        <v>1</v>
      </c>
      <c r="O1742" s="240"/>
      <c r="P1742" s="240" t="s">
        <v>213</v>
      </c>
      <c r="Q1742" s="12"/>
      <c r="R1742" s="192" t="str">
        <f t="shared" si="40"/>
        <v>1kilos</v>
      </c>
      <c r="S1742" s="198">
        <f t="shared" si="41"/>
        <v>1</v>
      </c>
      <c r="T1742" s="199" t="str">
        <f t="shared" si="42"/>
        <v>1kilos</v>
      </c>
      <c r="U1742" s="200">
        <f t="shared" si="43"/>
        <v>123</v>
      </c>
      <c r="V1742" s="12"/>
      <c r="W1742" s="12"/>
    </row>
    <row r="1743" spans="1:23" x14ac:dyDescent="0.3">
      <c r="A1743" s="193" t="e">
        <f ca="1"/>
        <v>#NAME?</v>
      </c>
      <c r="B1743" s="46" t="s">
        <v>1482</v>
      </c>
      <c r="C1743" s="315"/>
      <c r="D1743" s="316"/>
      <c r="E1743" s="315"/>
      <c r="F1743" s="315"/>
      <c r="G1743" s="315"/>
      <c r="H1743" s="153"/>
      <c r="I1743" s="12"/>
      <c r="J1743" s="46" t="s">
        <v>1945</v>
      </c>
      <c r="K1743" s="12"/>
      <c r="L1743" s="368">
        <v>195</v>
      </c>
      <c r="M1743" s="332">
        <v>0</v>
      </c>
      <c r="N1743" s="366">
        <v>1</v>
      </c>
      <c r="O1743" s="240"/>
      <c r="P1743" s="240" t="s">
        <v>213</v>
      </c>
      <c r="Q1743" s="12"/>
      <c r="R1743" s="192" t="str">
        <f t="shared" si="40"/>
        <v>1kilos</v>
      </c>
      <c r="S1743" s="198">
        <f t="shared" si="41"/>
        <v>0</v>
      </c>
      <c r="T1743" s="199" t="str">
        <f t="shared" si="42"/>
        <v>0kilos</v>
      </c>
      <c r="U1743" s="200">
        <f t="shared" si="43"/>
        <v>0</v>
      </c>
      <c r="V1743" s="12"/>
      <c r="W1743" s="12"/>
    </row>
    <row r="1744" spans="1:23" x14ac:dyDescent="0.3">
      <c r="A1744" s="193" t="e">
        <f ca="1"/>
        <v>#NAME?</v>
      </c>
      <c r="B1744" s="46" t="s">
        <v>279</v>
      </c>
      <c r="C1744" s="315"/>
      <c r="D1744" s="316"/>
      <c r="E1744" s="315"/>
      <c r="F1744" s="315"/>
      <c r="G1744" s="315"/>
      <c r="H1744" s="153"/>
      <c r="I1744" s="12"/>
      <c r="J1744" s="46" t="s">
        <v>1976</v>
      </c>
      <c r="K1744" s="12"/>
      <c r="L1744" s="368">
        <v>199</v>
      </c>
      <c r="M1744" s="332">
        <v>1</v>
      </c>
      <c r="N1744" s="366">
        <v>1</v>
      </c>
      <c r="O1744" s="276"/>
      <c r="P1744" s="276" t="s">
        <v>1948</v>
      </c>
      <c r="Q1744" s="12"/>
      <c r="R1744" s="192" t="str">
        <f t="shared" si="40"/>
        <v>1bottle</v>
      </c>
      <c r="S1744" s="198">
        <f t="shared" si="41"/>
        <v>1</v>
      </c>
      <c r="T1744" s="199" t="str">
        <f t="shared" si="42"/>
        <v>1bottle</v>
      </c>
      <c r="U1744" s="200">
        <f t="shared" si="43"/>
        <v>199</v>
      </c>
      <c r="V1744" s="12"/>
      <c r="W1744" s="12"/>
    </row>
    <row r="1745" spans="1:23" x14ac:dyDescent="0.3">
      <c r="A1745" s="193" t="e">
        <f ca="1"/>
        <v>#NAME?</v>
      </c>
      <c r="B1745" s="96" t="s">
        <v>333</v>
      </c>
      <c r="C1745" s="315"/>
      <c r="D1745" s="316"/>
      <c r="E1745" s="315"/>
      <c r="F1745" s="315"/>
      <c r="G1745" s="315"/>
      <c r="H1745" s="153"/>
      <c r="I1745" s="12"/>
      <c r="J1745" s="96" t="s">
        <v>1977</v>
      </c>
      <c r="K1745" s="12"/>
      <c r="L1745" s="368">
        <v>2.38</v>
      </c>
      <c r="M1745" s="332">
        <v>40</v>
      </c>
      <c r="N1745" s="366">
        <v>1</v>
      </c>
      <c r="O1745" s="100"/>
      <c r="P1745" s="100" t="s">
        <v>92</v>
      </c>
      <c r="Q1745" s="12"/>
      <c r="R1745" s="192" t="str">
        <f t="shared" si="40"/>
        <v>1pieces</v>
      </c>
      <c r="S1745" s="198">
        <f t="shared" si="41"/>
        <v>40</v>
      </c>
      <c r="T1745" s="199" t="str">
        <f t="shared" si="42"/>
        <v>40pieces</v>
      </c>
      <c r="U1745" s="200">
        <f t="shared" si="43"/>
        <v>95.199999999999989</v>
      </c>
      <c r="V1745" s="12"/>
      <c r="W1745" s="12"/>
    </row>
    <row r="1746" spans="1:23" x14ac:dyDescent="0.3">
      <c r="A1746" s="193" t="e">
        <f ca="1"/>
        <v>#NAME?</v>
      </c>
      <c r="B1746" s="96" t="s">
        <v>1978</v>
      </c>
      <c r="C1746" s="315"/>
      <c r="D1746" s="316"/>
      <c r="E1746" s="315"/>
      <c r="F1746" s="315"/>
      <c r="G1746" s="315"/>
      <c r="H1746" s="153"/>
      <c r="I1746" s="12"/>
      <c r="J1746" s="239"/>
      <c r="K1746" s="12"/>
      <c r="L1746" s="368">
        <v>0.95</v>
      </c>
      <c r="M1746" s="332">
        <v>934</v>
      </c>
      <c r="N1746" s="366">
        <v>1</v>
      </c>
      <c r="O1746" s="100"/>
      <c r="P1746" s="100" t="s">
        <v>92</v>
      </c>
      <c r="Q1746" s="12"/>
      <c r="R1746" s="192" t="str">
        <f t="shared" si="40"/>
        <v>1pieces</v>
      </c>
      <c r="S1746" s="198">
        <f t="shared" si="41"/>
        <v>934</v>
      </c>
      <c r="T1746" s="199" t="str">
        <f t="shared" si="42"/>
        <v>934pieces</v>
      </c>
      <c r="U1746" s="200">
        <f t="shared" si="43"/>
        <v>887.3</v>
      </c>
      <c r="V1746" s="12"/>
      <c r="W1746" s="12"/>
    </row>
    <row r="1747" spans="1:23" x14ac:dyDescent="0.3">
      <c r="A1747" s="193" t="e">
        <f ca="1"/>
        <v>#NAME?</v>
      </c>
      <c r="B1747" s="47" t="s">
        <v>1513</v>
      </c>
      <c r="C1747" s="315"/>
      <c r="D1747" s="316"/>
      <c r="E1747" s="315"/>
      <c r="F1747" s="315"/>
      <c r="G1747" s="315"/>
      <c r="H1747" s="153"/>
      <c r="I1747" s="12"/>
      <c r="J1747" s="237"/>
      <c r="K1747" s="12"/>
      <c r="L1747" s="372">
        <v>0.85</v>
      </c>
      <c r="M1747" s="332">
        <v>36</v>
      </c>
      <c r="N1747" s="374">
        <v>1</v>
      </c>
      <c r="O1747" s="240"/>
      <c r="P1747" s="240" t="s">
        <v>92</v>
      </c>
      <c r="Q1747" s="12"/>
      <c r="R1747" s="192" t="str">
        <f t="shared" si="40"/>
        <v>1pieces</v>
      </c>
      <c r="S1747" s="198">
        <f t="shared" si="41"/>
        <v>36</v>
      </c>
      <c r="T1747" s="199" t="str">
        <f t="shared" si="42"/>
        <v>36pieces</v>
      </c>
      <c r="U1747" s="200">
        <f t="shared" si="43"/>
        <v>30.599999999999998</v>
      </c>
      <c r="V1747" s="12"/>
      <c r="W1747" s="12"/>
    </row>
    <row r="1748" spans="1:23" x14ac:dyDescent="0.3">
      <c r="A1748" s="193" t="e">
        <f ca="1"/>
        <v>#NAME?</v>
      </c>
      <c r="B1748" s="46" t="s">
        <v>710</v>
      </c>
      <c r="C1748" s="315"/>
      <c r="D1748" s="316"/>
      <c r="E1748" s="315"/>
      <c r="F1748" s="315"/>
      <c r="G1748" s="315"/>
      <c r="H1748" s="153"/>
      <c r="I1748" s="12"/>
      <c r="J1748" s="46" t="s">
        <v>1979</v>
      </c>
      <c r="K1748" s="12"/>
      <c r="L1748" s="359">
        <v>57.5</v>
      </c>
      <c r="M1748" s="332">
        <v>4</v>
      </c>
      <c r="N1748" s="366">
        <v>1</v>
      </c>
      <c r="O1748" s="61"/>
      <c r="P1748" s="61" t="s">
        <v>213</v>
      </c>
      <c r="Q1748" s="12"/>
      <c r="R1748" s="192" t="str">
        <f t="shared" si="40"/>
        <v>1kilos</v>
      </c>
      <c r="S1748" s="198">
        <f t="shared" si="41"/>
        <v>4</v>
      </c>
      <c r="T1748" s="199" t="str">
        <f t="shared" si="42"/>
        <v>4kilos</v>
      </c>
      <c r="U1748" s="200">
        <f t="shared" si="43"/>
        <v>230</v>
      </c>
      <c r="V1748" s="12"/>
      <c r="W1748" s="12"/>
    </row>
    <row r="1749" spans="1:23" x14ac:dyDescent="0.3">
      <c r="A1749" s="193" t="e">
        <f ca="1"/>
        <v>#NAME?</v>
      </c>
      <c r="B1749" s="46" t="s">
        <v>1980</v>
      </c>
      <c r="C1749" s="315"/>
      <c r="D1749" s="316"/>
      <c r="E1749" s="315"/>
      <c r="F1749" s="315"/>
      <c r="G1749" s="315"/>
      <c r="H1749" s="153"/>
      <c r="I1749" s="12"/>
      <c r="J1749" s="46" t="s">
        <v>1960</v>
      </c>
      <c r="K1749" s="12"/>
      <c r="L1749" s="359">
        <v>25.6</v>
      </c>
      <c r="M1749" s="332">
        <v>1</v>
      </c>
      <c r="N1749" s="374">
        <v>1</v>
      </c>
      <c r="O1749" s="240"/>
      <c r="P1749" s="240" t="s">
        <v>92</v>
      </c>
      <c r="Q1749" s="12"/>
      <c r="R1749" s="192" t="str">
        <f t="shared" si="40"/>
        <v>1pieces</v>
      </c>
      <c r="S1749" s="198">
        <f t="shared" si="41"/>
        <v>1</v>
      </c>
      <c r="T1749" s="199" t="str">
        <f t="shared" si="42"/>
        <v>1pieces</v>
      </c>
      <c r="U1749" s="200">
        <f t="shared" si="43"/>
        <v>25.6</v>
      </c>
      <c r="V1749" s="12"/>
      <c r="W1749" s="12"/>
    </row>
    <row r="1750" spans="1:23" x14ac:dyDescent="0.3">
      <c r="A1750" s="193" t="e">
        <f ca="1"/>
        <v>#NAME?</v>
      </c>
      <c r="B1750" s="46" t="s">
        <v>1981</v>
      </c>
      <c r="C1750" s="315"/>
      <c r="D1750" s="316"/>
      <c r="E1750" s="315"/>
      <c r="F1750" s="315"/>
      <c r="G1750" s="315"/>
      <c r="H1750" s="153"/>
      <c r="I1750" s="12"/>
      <c r="J1750" s="46" t="s">
        <v>1945</v>
      </c>
      <c r="K1750" s="12"/>
      <c r="L1750" s="359">
        <v>65</v>
      </c>
      <c r="M1750" s="332">
        <v>1</v>
      </c>
      <c r="N1750" s="366">
        <v>1</v>
      </c>
      <c r="O1750" s="61"/>
      <c r="P1750" s="61" t="s">
        <v>213</v>
      </c>
      <c r="Q1750" s="12"/>
      <c r="R1750" s="192" t="str">
        <f t="shared" si="40"/>
        <v>1kilos</v>
      </c>
      <c r="S1750" s="198">
        <f t="shared" si="41"/>
        <v>1</v>
      </c>
      <c r="T1750" s="199" t="str">
        <f t="shared" si="42"/>
        <v>1kilos</v>
      </c>
      <c r="U1750" s="200">
        <f t="shared" si="43"/>
        <v>65</v>
      </c>
      <c r="V1750" s="12"/>
      <c r="W1750" s="12"/>
    </row>
    <row r="1751" spans="1:23" x14ac:dyDescent="0.3">
      <c r="A1751" s="193" t="e">
        <f ca="1"/>
        <v>#NAME?</v>
      </c>
      <c r="B1751" s="46" t="s">
        <v>1982</v>
      </c>
      <c r="C1751" s="315"/>
      <c r="D1751" s="316"/>
      <c r="E1751" s="315"/>
      <c r="F1751" s="315"/>
      <c r="G1751" s="315"/>
      <c r="H1751" s="153"/>
      <c r="I1751" s="12"/>
      <c r="J1751" s="170"/>
      <c r="K1751" s="12"/>
      <c r="L1751" s="359">
        <v>16.649999999999999</v>
      </c>
      <c r="M1751" s="332">
        <v>8</v>
      </c>
      <c r="N1751" s="366">
        <v>1</v>
      </c>
      <c r="O1751" s="61"/>
      <c r="P1751" s="61" t="s">
        <v>92</v>
      </c>
      <c r="Q1751" s="12"/>
      <c r="R1751" s="192" t="str">
        <f t="shared" si="40"/>
        <v>1pieces</v>
      </c>
      <c r="S1751" s="198">
        <f t="shared" si="41"/>
        <v>8</v>
      </c>
      <c r="T1751" s="199" t="str">
        <f t="shared" si="42"/>
        <v>8pieces</v>
      </c>
      <c r="U1751" s="200">
        <f t="shared" si="43"/>
        <v>133.19999999999999</v>
      </c>
      <c r="V1751" s="12"/>
      <c r="W1751" s="12"/>
    </row>
    <row r="1752" spans="1:23" x14ac:dyDescent="0.3">
      <c r="A1752" s="193" t="e">
        <f ca="1"/>
        <v>#NAME?</v>
      </c>
      <c r="B1752" s="46" t="s">
        <v>716</v>
      </c>
      <c r="C1752" s="315"/>
      <c r="D1752" s="316"/>
      <c r="E1752" s="315"/>
      <c r="F1752" s="315"/>
      <c r="G1752" s="315"/>
      <c r="H1752" s="153"/>
      <c r="I1752" s="12"/>
      <c r="J1752" s="46" t="s">
        <v>1983</v>
      </c>
      <c r="K1752" s="12"/>
      <c r="L1752" s="359">
        <v>29.23</v>
      </c>
      <c r="M1752" s="332">
        <v>48</v>
      </c>
      <c r="N1752" s="366">
        <v>1</v>
      </c>
      <c r="O1752" s="61"/>
      <c r="P1752" s="61" t="s">
        <v>92</v>
      </c>
      <c r="Q1752" s="12"/>
      <c r="R1752" s="192" t="str">
        <f t="shared" si="40"/>
        <v>1pieces</v>
      </c>
      <c r="S1752" s="198">
        <f t="shared" si="41"/>
        <v>48</v>
      </c>
      <c r="T1752" s="199" t="str">
        <f t="shared" si="42"/>
        <v>48pieces</v>
      </c>
      <c r="U1752" s="200">
        <f t="shared" si="43"/>
        <v>1403.04</v>
      </c>
      <c r="V1752" s="12"/>
      <c r="W1752" s="12"/>
    </row>
    <row r="1753" spans="1:23" x14ac:dyDescent="0.3">
      <c r="A1753" s="193" t="e">
        <f ca="1"/>
        <v>#NAME?</v>
      </c>
      <c r="B1753" s="46" t="s">
        <v>723</v>
      </c>
      <c r="C1753" s="315"/>
      <c r="D1753" s="316"/>
      <c r="E1753" s="315"/>
      <c r="F1753" s="315"/>
      <c r="G1753" s="315"/>
      <c r="H1753" s="153"/>
      <c r="I1753" s="12"/>
      <c r="J1753" s="46" t="s">
        <v>1241</v>
      </c>
      <c r="K1753" s="12"/>
      <c r="L1753" s="359">
        <v>17.100000000000001</v>
      </c>
      <c r="M1753" s="332">
        <v>17</v>
      </c>
      <c r="N1753" s="366">
        <v>1</v>
      </c>
      <c r="O1753" s="61"/>
      <c r="P1753" s="61" t="s">
        <v>39</v>
      </c>
      <c r="Q1753" s="12"/>
      <c r="R1753" s="192" t="str">
        <f t="shared" si="40"/>
        <v>1grams</v>
      </c>
      <c r="S1753" s="198">
        <f t="shared" si="41"/>
        <v>17</v>
      </c>
      <c r="T1753" s="199" t="str">
        <f t="shared" si="42"/>
        <v>17grams</v>
      </c>
      <c r="U1753" s="200">
        <f t="shared" si="43"/>
        <v>290.70000000000005</v>
      </c>
      <c r="V1753" s="12"/>
      <c r="W1753" s="12"/>
    </row>
    <row r="1754" spans="1:23" x14ac:dyDescent="0.3">
      <c r="A1754" s="193" t="e">
        <f ca="1"/>
        <v>#NAME?</v>
      </c>
      <c r="B1754" s="46" t="s">
        <v>1984</v>
      </c>
      <c r="C1754" s="315"/>
      <c r="D1754" s="316"/>
      <c r="E1754" s="315"/>
      <c r="F1754" s="315"/>
      <c r="G1754" s="315"/>
      <c r="H1754" s="153"/>
      <c r="I1754" s="12"/>
      <c r="J1754" s="170"/>
      <c r="K1754" s="12"/>
      <c r="L1754" s="359">
        <v>15.8</v>
      </c>
      <c r="M1754" s="332">
        <v>7</v>
      </c>
      <c r="N1754" s="366">
        <v>1</v>
      </c>
      <c r="O1754" s="61"/>
      <c r="P1754" s="61" t="s">
        <v>92</v>
      </c>
      <c r="Q1754" s="12"/>
      <c r="R1754" s="192" t="str">
        <f t="shared" si="40"/>
        <v>1pieces</v>
      </c>
      <c r="S1754" s="198">
        <f t="shared" si="41"/>
        <v>7</v>
      </c>
      <c r="T1754" s="199" t="str">
        <f t="shared" si="42"/>
        <v>7pieces</v>
      </c>
      <c r="U1754" s="200">
        <f t="shared" si="43"/>
        <v>110.60000000000001</v>
      </c>
      <c r="V1754" s="12"/>
      <c r="W1754" s="12"/>
    </row>
    <row r="1755" spans="1:23" x14ac:dyDescent="0.3">
      <c r="A1755" s="193" t="e">
        <f ca="1"/>
        <v>#NAME?</v>
      </c>
      <c r="B1755" s="96" t="s">
        <v>358</v>
      </c>
      <c r="C1755" s="315"/>
      <c r="D1755" s="316"/>
      <c r="E1755" s="315"/>
      <c r="F1755" s="315"/>
      <c r="G1755" s="315"/>
      <c r="H1755" s="153"/>
      <c r="I1755" s="12"/>
      <c r="J1755" s="239"/>
      <c r="K1755" s="12"/>
      <c r="L1755" s="368">
        <v>233</v>
      </c>
      <c r="M1755" s="332">
        <v>3</v>
      </c>
      <c r="N1755" s="366">
        <v>1</v>
      </c>
      <c r="O1755" s="61"/>
      <c r="P1755" s="61" t="s">
        <v>213</v>
      </c>
      <c r="Q1755" s="12"/>
      <c r="R1755" s="192" t="str">
        <f t="shared" si="40"/>
        <v>1kilos</v>
      </c>
      <c r="S1755" s="198">
        <f t="shared" si="41"/>
        <v>3</v>
      </c>
      <c r="T1755" s="199" t="str">
        <f t="shared" si="42"/>
        <v>3kilos</v>
      </c>
      <c r="U1755" s="200">
        <f t="shared" si="43"/>
        <v>699</v>
      </c>
      <c r="V1755" s="12"/>
      <c r="W1755" s="12"/>
    </row>
    <row r="1756" spans="1:23" x14ac:dyDescent="0.3">
      <c r="A1756" s="193" t="e">
        <f ca="1"/>
        <v>#NAME?</v>
      </c>
      <c r="B1756" s="46" t="s">
        <v>730</v>
      </c>
      <c r="C1756" s="315"/>
      <c r="D1756" s="316"/>
      <c r="E1756" s="315"/>
      <c r="F1756" s="315"/>
      <c r="G1756" s="315"/>
      <c r="H1756" s="153"/>
      <c r="I1756" s="12"/>
      <c r="J1756" s="170"/>
      <c r="K1756" s="12"/>
      <c r="L1756" s="359">
        <v>150</v>
      </c>
      <c r="M1756" s="289">
        <v>7</v>
      </c>
      <c r="N1756" s="360">
        <v>1</v>
      </c>
      <c r="O1756" s="61"/>
      <c r="P1756" s="61" t="s">
        <v>213</v>
      </c>
      <c r="Q1756" s="12"/>
      <c r="R1756" s="192" t="str">
        <f t="shared" si="40"/>
        <v>1kilos</v>
      </c>
      <c r="S1756" s="198">
        <f t="shared" si="41"/>
        <v>7</v>
      </c>
      <c r="T1756" s="199" t="str">
        <f t="shared" si="42"/>
        <v>7kilos</v>
      </c>
      <c r="U1756" s="200">
        <f t="shared" si="43"/>
        <v>1050</v>
      </c>
      <c r="V1756" s="12"/>
      <c r="W1756" s="12"/>
    </row>
    <row r="1757" spans="1:23" x14ac:dyDescent="0.3">
      <c r="A1757" s="193" t="e">
        <f ca="1"/>
        <v>#NAME?</v>
      </c>
      <c r="B1757" s="46" t="s">
        <v>1985</v>
      </c>
      <c r="C1757" s="315"/>
      <c r="D1757" s="316"/>
      <c r="E1757" s="315"/>
      <c r="F1757" s="315"/>
      <c r="G1757" s="315"/>
      <c r="H1757" s="153"/>
      <c r="I1757" s="12"/>
      <c r="J1757" s="46" t="s">
        <v>1934</v>
      </c>
      <c r="K1757" s="12"/>
      <c r="L1757" s="359">
        <v>6.17</v>
      </c>
      <c r="M1757" s="289">
        <v>50</v>
      </c>
      <c r="N1757" s="360">
        <v>1</v>
      </c>
      <c r="O1757" s="61"/>
      <c r="P1757" s="61" t="s">
        <v>92</v>
      </c>
      <c r="Q1757" s="12"/>
      <c r="R1757" s="192" t="str">
        <f t="shared" si="40"/>
        <v>1pieces</v>
      </c>
      <c r="S1757" s="198">
        <f t="shared" si="41"/>
        <v>50</v>
      </c>
      <c r="T1757" s="199" t="str">
        <f t="shared" si="42"/>
        <v>50pieces</v>
      </c>
      <c r="U1757" s="200">
        <f t="shared" si="43"/>
        <v>308.5</v>
      </c>
      <c r="V1757" s="12"/>
      <c r="W1757" s="12"/>
    </row>
    <row r="1758" spans="1:23" x14ac:dyDescent="0.3">
      <c r="A1758" s="193" t="e">
        <f ca="1"/>
        <v>#NAME?</v>
      </c>
      <c r="B1758" s="46" t="s">
        <v>1986</v>
      </c>
      <c r="C1758" s="315"/>
      <c r="D1758" s="316"/>
      <c r="E1758" s="315"/>
      <c r="F1758" s="315"/>
      <c r="G1758" s="315"/>
      <c r="H1758" s="153"/>
      <c r="I1758" s="12"/>
      <c r="J1758" s="170"/>
      <c r="K1758" s="12"/>
      <c r="L1758" s="359">
        <v>49</v>
      </c>
      <c r="M1758" s="289">
        <v>1</v>
      </c>
      <c r="N1758" s="360">
        <v>1</v>
      </c>
      <c r="O1758" s="61"/>
      <c r="P1758" s="61" t="s">
        <v>304</v>
      </c>
      <c r="Q1758" s="12"/>
      <c r="R1758" s="192" t="str">
        <f t="shared" si="40"/>
        <v>1packs</v>
      </c>
      <c r="S1758" s="198">
        <f t="shared" si="41"/>
        <v>1</v>
      </c>
      <c r="T1758" s="199" t="str">
        <f t="shared" si="42"/>
        <v>1packs</v>
      </c>
      <c r="U1758" s="200">
        <f t="shared" si="43"/>
        <v>49</v>
      </c>
      <c r="V1758" s="12"/>
      <c r="W1758" s="12"/>
    </row>
    <row r="1759" spans="1:23" x14ac:dyDescent="0.3">
      <c r="A1759" s="193" t="e">
        <f ca="1"/>
        <v>#NAME?</v>
      </c>
      <c r="B1759" s="46" t="s">
        <v>1987</v>
      </c>
      <c r="C1759" s="315"/>
      <c r="D1759" s="316"/>
      <c r="E1759" s="315"/>
      <c r="F1759" s="315"/>
      <c r="G1759" s="315"/>
      <c r="H1759" s="153"/>
      <c r="I1759" s="12"/>
      <c r="J1759" s="46" t="s">
        <v>1988</v>
      </c>
      <c r="K1759" s="12"/>
      <c r="L1759" s="359">
        <v>119.4</v>
      </c>
      <c r="M1759" s="289">
        <v>0</v>
      </c>
      <c r="N1759" s="360">
        <v>1</v>
      </c>
      <c r="O1759" s="61"/>
      <c r="P1759" s="61" t="s">
        <v>39</v>
      </c>
      <c r="Q1759" s="12"/>
      <c r="R1759" s="192" t="str">
        <f t="shared" si="40"/>
        <v>1grams</v>
      </c>
      <c r="S1759" s="198">
        <f t="shared" si="41"/>
        <v>0</v>
      </c>
      <c r="T1759" s="199" t="str">
        <f t="shared" si="42"/>
        <v>0grams</v>
      </c>
      <c r="U1759" s="200">
        <f t="shared" si="43"/>
        <v>0</v>
      </c>
      <c r="V1759" s="12"/>
      <c r="W1759" s="12"/>
    </row>
    <row r="1760" spans="1:23" x14ac:dyDescent="0.3">
      <c r="A1760" s="193" t="e">
        <f ca="1"/>
        <v>#NAME?</v>
      </c>
      <c r="B1760" s="46" t="s">
        <v>1989</v>
      </c>
      <c r="C1760" s="315"/>
      <c r="D1760" s="316"/>
      <c r="E1760" s="315"/>
      <c r="F1760" s="315"/>
      <c r="G1760" s="315"/>
      <c r="H1760" s="153"/>
      <c r="I1760" s="12"/>
      <c r="J1760" s="46" t="s">
        <v>1934</v>
      </c>
      <c r="K1760" s="12"/>
      <c r="L1760" s="359">
        <v>5.92</v>
      </c>
      <c r="M1760" s="289">
        <v>68</v>
      </c>
      <c r="N1760" s="360">
        <v>1</v>
      </c>
      <c r="O1760" s="61"/>
      <c r="P1760" s="61" t="s">
        <v>92</v>
      </c>
      <c r="Q1760" s="12"/>
      <c r="R1760" s="192" t="str">
        <f t="shared" si="40"/>
        <v>1pieces</v>
      </c>
      <c r="S1760" s="198">
        <f t="shared" si="41"/>
        <v>68</v>
      </c>
      <c r="T1760" s="199" t="str">
        <f t="shared" si="42"/>
        <v>68pieces</v>
      </c>
      <c r="U1760" s="200">
        <f t="shared" si="43"/>
        <v>402.56</v>
      </c>
      <c r="V1760" s="12"/>
      <c r="W1760" s="12"/>
    </row>
    <row r="1761" spans="1:23" x14ac:dyDescent="0.3">
      <c r="A1761" s="193" t="e">
        <f ca="1"/>
        <v>#NAME?</v>
      </c>
      <c r="B1761" s="96" t="s">
        <v>1990</v>
      </c>
      <c r="C1761" s="315"/>
      <c r="D1761" s="316"/>
      <c r="E1761" s="315"/>
      <c r="F1761" s="315"/>
      <c r="G1761" s="315"/>
      <c r="H1761" s="153"/>
      <c r="I1761" s="12"/>
      <c r="J1761" s="96" t="s">
        <v>1934</v>
      </c>
      <c r="K1761" s="12"/>
      <c r="L1761" s="368">
        <v>6.02</v>
      </c>
      <c r="M1761" s="332">
        <v>48</v>
      </c>
      <c r="N1761" s="360">
        <v>1</v>
      </c>
      <c r="O1761" s="61"/>
      <c r="P1761" s="61" t="s">
        <v>92</v>
      </c>
      <c r="Q1761" s="12"/>
      <c r="R1761" s="192" t="str">
        <f t="shared" si="40"/>
        <v>1pieces</v>
      </c>
      <c r="S1761" s="198">
        <f t="shared" si="41"/>
        <v>48</v>
      </c>
      <c r="T1761" s="199" t="str">
        <f t="shared" si="42"/>
        <v>48pieces</v>
      </c>
      <c r="U1761" s="200">
        <f t="shared" si="43"/>
        <v>288.95999999999998</v>
      </c>
      <c r="V1761" s="12"/>
      <c r="W1761" s="12"/>
    </row>
    <row r="1762" spans="1:23" x14ac:dyDescent="0.3">
      <c r="A1762" s="193" t="e">
        <f ca="1"/>
        <v>#NAME?</v>
      </c>
      <c r="B1762" s="96" t="s">
        <v>1991</v>
      </c>
      <c r="C1762" s="315"/>
      <c r="D1762" s="316"/>
      <c r="E1762" s="315"/>
      <c r="F1762" s="315"/>
      <c r="G1762" s="315"/>
      <c r="H1762" s="153"/>
      <c r="I1762" s="12"/>
      <c r="J1762" s="96" t="s">
        <v>1596</v>
      </c>
      <c r="K1762" s="12"/>
      <c r="L1762" s="368">
        <v>47</v>
      </c>
      <c r="M1762" s="332">
        <v>50</v>
      </c>
      <c r="N1762" s="360">
        <v>1</v>
      </c>
      <c r="O1762" s="61"/>
      <c r="P1762" s="61" t="s">
        <v>213</v>
      </c>
      <c r="Q1762" s="12"/>
      <c r="R1762" s="192" t="str">
        <f t="shared" si="40"/>
        <v>1kilos</v>
      </c>
      <c r="S1762" s="198">
        <f t="shared" si="41"/>
        <v>50</v>
      </c>
      <c r="T1762" s="199" t="str">
        <f t="shared" si="42"/>
        <v>50kilos</v>
      </c>
      <c r="U1762" s="200">
        <f t="shared" si="43"/>
        <v>2350</v>
      </c>
      <c r="V1762" s="12"/>
      <c r="W1762" s="12"/>
    </row>
    <row r="1763" spans="1:23" x14ac:dyDescent="0.3">
      <c r="A1763" s="193" t="e">
        <f ca="1"/>
        <v>#NAME?</v>
      </c>
      <c r="B1763" s="96" t="s">
        <v>1992</v>
      </c>
      <c r="C1763" s="315"/>
      <c r="D1763" s="316"/>
      <c r="E1763" s="315"/>
      <c r="F1763" s="315"/>
      <c r="G1763" s="315"/>
      <c r="H1763" s="153"/>
      <c r="I1763" s="12"/>
      <c r="J1763" s="239"/>
      <c r="K1763" s="12"/>
      <c r="L1763" s="368">
        <v>23.6</v>
      </c>
      <c r="M1763" s="332">
        <v>7</v>
      </c>
      <c r="N1763" s="360">
        <v>1</v>
      </c>
      <c r="O1763" s="61"/>
      <c r="P1763" s="61" t="s">
        <v>92</v>
      </c>
      <c r="Q1763" s="12"/>
      <c r="R1763" s="192" t="str">
        <f t="shared" si="40"/>
        <v>1pieces</v>
      </c>
      <c r="S1763" s="198">
        <f t="shared" si="41"/>
        <v>7</v>
      </c>
      <c r="T1763" s="199" t="str">
        <f t="shared" si="42"/>
        <v>7pieces</v>
      </c>
      <c r="U1763" s="200">
        <f t="shared" si="43"/>
        <v>165.20000000000002</v>
      </c>
      <c r="V1763" s="12"/>
      <c r="W1763" s="12"/>
    </row>
    <row r="1764" spans="1:23" x14ac:dyDescent="0.3">
      <c r="A1764" s="193" t="e">
        <f ca="1"/>
        <v>#NAME?</v>
      </c>
      <c r="B1764" s="96" t="s">
        <v>1993</v>
      </c>
      <c r="C1764" s="315"/>
      <c r="D1764" s="316"/>
      <c r="E1764" s="315"/>
      <c r="F1764" s="315"/>
      <c r="G1764" s="315"/>
      <c r="H1764" s="153"/>
      <c r="I1764" s="12"/>
      <c r="J1764" s="96" t="s">
        <v>1994</v>
      </c>
      <c r="K1764" s="12"/>
      <c r="L1764" s="368">
        <v>49.09</v>
      </c>
      <c r="M1764" s="332">
        <v>1</v>
      </c>
      <c r="N1764" s="360">
        <v>1</v>
      </c>
      <c r="O1764" s="61"/>
      <c r="P1764" s="61" t="s">
        <v>304</v>
      </c>
      <c r="Q1764" s="12"/>
      <c r="R1764" s="192" t="str">
        <f t="shared" si="40"/>
        <v>1packs</v>
      </c>
      <c r="S1764" s="198">
        <f t="shared" si="41"/>
        <v>1</v>
      </c>
      <c r="T1764" s="199" t="str">
        <f t="shared" si="42"/>
        <v>1packs</v>
      </c>
      <c r="U1764" s="200">
        <f t="shared" si="43"/>
        <v>49.09</v>
      </c>
      <c r="V1764" s="12"/>
      <c r="W1764" s="12"/>
    </row>
    <row r="1765" spans="1:23" x14ac:dyDescent="0.3">
      <c r="A1765" s="193" t="e">
        <f ca="1"/>
        <v>#NAME?</v>
      </c>
      <c r="B1765" s="46" t="s">
        <v>1609</v>
      </c>
      <c r="C1765" s="315"/>
      <c r="D1765" s="316"/>
      <c r="E1765" s="315"/>
      <c r="F1765" s="315"/>
      <c r="G1765" s="315"/>
      <c r="H1765" s="153"/>
      <c r="I1765" s="12"/>
      <c r="J1765" s="46" t="s">
        <v>1995</v>
      </c>
      <c r="K1765" s="12"/>
      <c r="L1765" s="359">
        <v>29</v>
      </c>
      <c r="M1765" s="289">
        <v>29</v>
      </c>
      <c r="N1765" s="376"/>
      <c r="O1765" s="61"/>
      <c r="P1765" s="61" t="s">
        <v>92</v>
      </c>
      <c r="Q1765" s="12"/>
      <c r="R1765" s="192" t="str">
        <f t="shared" si="40"/>
        <v>pieces</v>
      </c>
      <c r="S1765" s="198">
        <f t="shared" si="41"/>
        <v>0</v>
      </c>
      <c r="T1765" s="199" t="str">
        <f t="shared" si="42"/>
        <v>0pieces</v>
      </c>
      <c r="U1765" s="200">
        <f t="shared" si="43"/>
        <v>841</v>
      </c>
      <c r="V1765" s="12"/>
      <c r="W1765" s="12"/>
    </row>
    <row r="1766" spans="1:23" x14ac:dyDescent="0.3">
      <c r="A1766" s="193" t="e">
        <f ca="1"/>
        <v>#NAME?</v>
      </c>
      <c r="B1766" s="46" t="s">
        <v>1621</v>
      </c>
      <c r="C1766" s="315"/>
      <c r="D1766" s="316"/>
      <c r="E1766" s="315"/>
      <c r="F1766" s="315"/>
      <c r="G1766" s="315"/>
      <c r="H1766" s="153"/>
      <c r="I1766" s="12"/>
      <c r="J1766" s="46" t="s">
        <v>1951</v>
      </c>
      <c r="K1766" s="12"/>
      <c r="L1766" s="359">
        <v>5</v>
      </c>
      <c r="M1766" s="289">
        <v>150</v>
      </c>
      <c r="N1766" s="360">
        <v>1</v>
      </c>
      <c r="O1766" s="61"/>
      <c r="P1766" s="61" t="s">
        <v>92</v>
      </c>
      <c r="Q1766" s="12"/>
      <c r="R1766" s="192" t="str">
        <f t="shared" si="40"/>
        <v>1pieces</v>
      </c>
      <c r="S1766" s="198">
        <f t="shared" si="41"/>
        <v>150</v>
      </c>
      <c r="T1766" s="199" t="str">
        <f t="shared" si="42"/>
        <v>150pieces</v>
      </c>
      <c r="U1766" s="200">
        <f t="shared" si="43"/>
        <v>750</v>
      </c>
      <c r="V1766" s="12"/>
      <c r="W1766" s="12"/>
    </row>
    <row r="1767" spans="1:23" x14ac:dyDescent="0.3">
      <c r="A1767" s="193" t="e">
        <f ca="1"/>
        <v>#NAME?</v>
      </c>
      <c r="B1767" s="46" t="s">
        <v>758</v>
      </c>
      <c r="C1767" s="315"/>
      <c r="D1767" s="316"/>
      <c r="E1767" s="315"/>
      <c r="F1767" s="315"/>
      <c r="G1767" s="315"/>
      <c r="H1767" s="153"/>
      <c r="I1767" s="12"/>
      <c r="J1767" s="46" t="s">
        <v>1996</v>
      </c>
      <c r="K1767" s="12"/>
      <c r="L1767" s="359">
        <v>39.56</v>
      </c>
      <c r="M1767" s="289">
        <v>1</v>
      </c>
      <c r="N1767" s="360">
        <v>1</v>
      </c>
      <c r="O1767" s="61"/>
      <c r="P1767" s="61" t="s">
        <v>213</v>
      </c>
      <c r="Q1767" s="12"/>
      <c r="R1767" s="192" t="str">
        <f t="shared" si="40"/>
        <v>1kilos</v>
      </c>
      <c r="S1767" s="198">
        <f t="shared" si="41"/>
        <v>1</v>
      </c>
      <c r="T1767" s="199" t="str">
        <f t="shared" si="42"/>
        <v>1kilos</v>
      </c>
      <c r="U1767" s="200">
        <f t="shared" si="43"/>
        <v>39.56</v>
      </c>
      <c r="V1767" s="12"/>
      <c r="W1767" s="12"/>
    </row>
    <row r="1768" spans="1:23" x14ac:dyDescent="0.3">
      <c r="A1768" s="193" t="e">
        <f ca="1"/>
        <v>#NAME?</v>
      </c>
      <c r="B1768" s="46" t="s">
        <v>1632</v>
      </c>
      <c r="C1768" s="315"/>
      <c r="D1768" s="316"/>
      <c r="E1768" s="315"/>
      <c r="F1768" s="315"/>
      <c r="G1768" s="315"/>
      <c r="H1768" s="153"/>
      <c r="I1768" s="12"/>
      <c r="J1768" s="46" t="s">
        <v>1996</v>
      </c>
      <c r="K1768" s="12"/>
      <c r="L1768" s="359">
        <v>31.5</v>
      </c>
      <c r="M1768" s="289">
        <v>1</v>
      </c>
      <c r="N1768" s="360">
        <v>1</v>
      </c>
      <c r="O1768" s="61"/>
      <c r="P1768" s="61" t="s">
        <v>213</v>
      </c>
      <c r="Q1768" s="12"/>
      <c r="R1768" s="192" t="str">
        <f t="shared" si="40"/>
        <v>1kilos</v>
      </c>
      <c r="S1768" s="198">
        <f t="shared" si="41"/>
        <v>1</v>
      </c>
      <c r="T1768" s="199" t="str">
        <f t="shared" si="42"/>
        <v>1kilos</v>
      </c>
      <c r="U1768" s="200">
        <f t="shared" si="43"/>
        <v>31.5</v>
      </c>
      <c r="V1768" s="12"/>
      <c r="W1768" s="12"/>
    </row>
    <row r="1769" spans="1:23" x14ac:dyDescent="0.3">
      <c r="A1769" s="193" t="e">
        <f ca="1"/>
        <v>#NAME?</v>
      </c>
      <c r="B1769" s="46" t="s">
        <v>1644</v>
      </c>
      <c r="C1769" s="315"/>
      <c r="D1769" s="316"/>
      <c r="E1769" s="315"/>
      <c r="F1769" s="315"/>
      <c r="G1769" s="315"/>
      <c r="H1769" s="153"/>
      <c r="I1769" s="12"/>
      <c r="J1769" s="96" t="s">
        <v>1994</v>
      </c>
      <c r="K1769" s="12"/>
      <c r="L1769" s="368">
        <v>20</v>
      </c>
      <c r="M1769" s="332">
        <v>1</v>
      </c>
      <c r="N1769" s="360">
        <v>1</v>
      </c>
      <c r="O1769" s="61"/>
      <c r="P1769" s="61" t="s">
        <v>213</v>
      </c>
      <c r="Q1769" s="12"/>
      <c r="R1769" s="192" t="str">
        <f t="shared" si="40"/>
        <v>1kilos</v>
      </c>
      <c r="S1769" s="198">
        <f t="shared" si="41"/>
        <v>1</v>
      </c>
      <c r="T1769" s="199" t="str">
        <f t="shared" si="42"/>
        <v>1kilos</v>
      </c>
      <c r="U1769" s="200">
        <f t="shared" si="43"/>
        <v>20</v>
      </c>
      <c r="V1769" s="12"/>
      <c r="W1769" s="12"/>
    </row>
    <row r="1770" spans="1:23" x14ac:dyDescent="0.3">
      <c r="A1770" s="193" t="e">
        <f ca="1"/>
        <v>#NAME?</v>
      </c>
      <c r="B1770" s="46" t="s">
        <v>766</v>
      </c>
      <c r="C1770" s="315"/>
      <c r="D1770" s="316"/>
      <c r="E1770" s="315"/>
      <c r="F1770" s="315"/>
      <c r="G1770" s="315"/>
      <c r="H1770" s="153"/>
      <c r="I1770" s="12"/>
      <c r="J1770" s="96" t="s">
        <v>1997</v>
      </c>
      <c r="K1770" s="12"/>
      <c r="L1770" s="368">
        <v>22.8</v>
      </c>
      <c r="M1770" s="332">
        <v>201</v>
      </c>
      <c r="N1770" s="360">
        <v>1</v>
      </c>
      <c r="O1770" s="61"/>
      <c r="P1770" s="61" t="s">
        <v>39</v>
      </c>
      <c r="Q1770" s="12"/>
      <c r="R1770" s="192" t="str">
        <f t="shared" si="40"/>
        <v>1grams</v>
      </c>
      <c r="S1770" s="198">
        <f t="shared" si="41"/>
        <v>201</v>
      </c>
      <c r="T1770" s="199" t="str">
        <f t="shared" si="42"/>
        <v>201grams</v>
      </c>
      <c r="U1770" s="200">
        <f t="shared" si="43"/>
        <v>4582.8</v>
      </c>
      <c r="V1770" s="12"/>
      <c r="W1770" s="12"/>
    </row>
    <row r="1771" spans="1:23" x14ac:dyDescent="0.3">
      <c r="A1771" s="193" t="e">
        <f ca="1"/>
        <v>#NAME?</v>
      </c>
      <c r="B1771" s="46" t="s">
        <v>768</v>
      </c>
      <c r="C1771" s="315"/>
      <c r="D1771" s="316"/>
      <c r="E1771" s="315"/>
      <c r="F1771" s="315"/>
      <c r="G1771" s="315"/>
      <c r="H1771" s="153"/>
      <c r="I1771" s="12"/>
      <c r="J1771" s="96" t="s">
        <v>1945</v>
      </c>
      <c r="K1771" s="12"/>
      <c r="L1771" s="368">
        <v>105.84</v>
      </c>
      <c r="M1771" s="332">
        <v>1</v>
      </c>
      <c r="N1771" s="360">
        <v>1</v>
      </c>
      <c r="O1771" s="61"/>
      <c r="P1771" s="61" t="s">
        <v>213</v>
      </c>
      <c r="Q1771" s="12"/>
      <c r="R1771" s="192" t="str">
        <f t="shared" si="40"/>
        <v>1kilos</v>
      </c>
      <c r="S1771" s="198">
        <f t="shared" si="41"/>
        <v>1</v>
      </c>
      <c r="T1771" s="199" t="str">
        <f t="shared" si="42"/>
        <v>1kilos</v>
      </c>
      <c r="U1771" s="200">
        <f t="shared" si="43"/>
        <v>105.84</v>
      </c>
      <c r="V1771" s="12"/>
      <c r="W1771" s="12"/>
    </row>
    <row r="1772" spans="1:23" x14ac:dyDescent="0.3">
      <c r="A1772" s="193" t="e">
        <f ca="1"/>
        <v>#NAME?</v>
      </c>
      <c r="B1772" s="46" t="s">
        <v>1998</v>
      </c>
      <c r="C1772" s="315"/>
      <c r="D1772" s="316"/>
      <c r="E1772" s="315"/>
      <c r="F1772" s="315"/>
      <c r="G1772" s="315"/>
      <c r="H1772" s="153"/>
      <c r="I1772" s="12"/>
      <c r="J1772" s="46" t="s">
        <v>1999</v>
      </c>
      <c r="K1772" s="12"/>
      <c r="L1772" s="368">
        <v>26.35</v>
      </c>
      <c r="M1772" s="289">
        <v>6</v>
      </c>
      <c r="N1772" s="360">
        <v>1</v>
      </c>
      <c r="O1772" s="61"/>
      <c r="P1772" s="61" t="s">
        <v>92</v>
      </c>
      <c r="Q1772" s="12"/>
      <c r="R1772" s="192" t="str">
        <f t="shared" si="40"/>
        <v>1pieces</v>
      </c>
      <c r="S1772" s="198">
        <f t="shared" si="41"/>
        <v>6</v>
      </c>
      <c r="T1772" s="199" t="str">
        <f t="shared" si="42"/>
        <v>6pieces</v>
      </c>
      <c r="U1772" s="200">
        <f t="shared" si="43"/>
        <v>158.10000000000002</v>
      </c>
      <c r="V1772" s="12"/>
      <c r="W1772" s="12"/>
    </row>
    <row r="1773" spans="1:23" x14ac:dyDescent="0.3">
      <c r="A1773" s="193" t="e">
        <f ca="1"/>
        <v>#NAME?</v>
      </c>
      <c r="B1773" s="46" t="s">
        <v>2000</v>
      </c>
      <c r="C1773" s="315"/>
      <c r="D1773" s="316"/>
      <c r="E1773" s="315"/>
      <c r="F1773" s="315"/>
      <c r="G1773" s="315"/>
      <c r="H1773" s="153"/>
      <c r="I1773" s="12"/>
      <c r="J1773" s="46" t="s">
        <v>1939</v>
      </c>
      <c r="K1773" s="12"/>
      <c r="L1773" s="368">
        <v>25.55</v>
      </c>
      <c r="M1773" s="289">
        <v>48</v>
      </c>
      <c r="N1773" s="360">
        <v>1</v>
      </c>
      <c r="O1773" s="61"/>
      <c r="P1773" s="61" t="s">
        <v>92</v>
      </c>
      <c r="Q1773" s="12"/>
      <c r="R1773" s="192" t="str">
        <f t="shared" si="40"/>
        <v>1pieces</v>
      </c>
      <c r="S1773" s="198">
        <f t="shared" si="41"/>
        <v>48</v>
      </c>
      <c r="T1773" s="199" t="str">
        <f t="shared" si="42"/>
        <v>48pieces</v>
      </c>
      <c r="U1773" s="200">
        <f t="shared" si="43"/>
        <v>1226.4000000000001</v>
      </c>
      <c r="V1773" s="12"/>
      <c r="W1773" s="12"/>
    </row>
    <row r="1774" spans="1:23" x14ac:dyDescent="0.3">
      <c r="A1774" s="193" t="e">
        <f ca="1"/>
        <v>#NAME?</v>
      </c>
      <c r="B1774" s="46" t="s">
        <v>1661</v>
      </c>
      <c r="C1774" s="315"/>
      <c r="D1774" s="316"/>
      <c r="E1774" s="315"/>
      <c r="F1774" s="315"/>
      <c r="G1774" s="315"/>
      <c r="H1774" s="153"/>
      <c r="I1774" s="12"/>
      <c r="J1774" s="46" t="s">
        <v>1945</v>
      </c>
      <c r="K1774" s="12"/>
      <c r="L1774" s="359">
        <v>260</v>
      </c>
      <c r="M1774" s="289">
        <v>0</v>
      </c>
      <c r="N1774" s="374">
        <v>1</v>
      </c>
      <c r="O1774" s="61"/>
      <c r="P1774" s="61" t="s">
        <v>213</v>
      </c>
      <c r="Q1774" s="12"/>
      <c r="R1774" s="192" t="str">
        <f t="shared" si="40"/>
        <v>1kilos</v>
      </c>
      <c r="S1774" s="198">
        <f t="shared" si="41"/>
        <v>0</v>
      </c>
      <c r="T1774" s="199" t="str">
        <f t="shared" si="42"/>
        <v>0kilos</v>
      </c>
      <c r="U1774" s="200">
        <f t="shared" si="43"/>
        <v>0</v>
      </c>
      <c r="V1774" s="12"/>
      <c r="W1774" s="12"/>
    </row>
    <row r="1775" spans="1:23" x14ac:dyDescent="0.3">
      <c r="A1775" s="193" t="e">
        <f ca="1"/>
        <v>#NAME?</v>
      </c>
      <c r="B1775" s="46" t="s">
        <v>1663</v>
      </c>
      <c r="C1775" s="315"/>
      <c r="D1775" s="316"/>
      <c r="E1775" s="315"/>
      <c r="F1775" s="315"/>
      <c r="G1775" s="315"/>
      <c r="H1775" s="153"/>
      <c r="I1775" s="12"/>
      <c r="J1775" s="46" t="s">
        <v>1945</v>
      </c>
      <c r="K1775" s="12"/>
      <c r="L1775" s="359">
        <v>95</v>
      </c>
      <c r="M1775" s="289">
        <v>0</v>
      </c>
      <c r="N1775" s="374">
        <v>1</v>
      </c>
      <c r="O1775" s="61"/>
      <c r="P1775" s="61" t="s">
        <v>213</v>
      </c>
      <c r="Q1775" s="12"/>
      <c r="R1775" s="192" t="str">
        <f t="shared" si="40"/>
        <v>1kilos</v>
      </c>
      <c r="S1775" s="198">
        <f t="shared" si="41"/>
        <v>0</v>
      </c>
      <c r="T1775" s="199" t="str">
        <f t="shared" si="42"/>
        <v>0kilos</v>
      </c>
      <c r="U1775" s="200">
        <f t="shared" si="43"/>
        <v>0</v>
      </c>
      <c r="V1775" s="12"/>
      <c r="W1775" s="12"/>
    </row>
    <row r="1776" spans="1:23" x14ac:dyDescent="0.3">
      <c r="A1776" s="193" t="e">
        <f ca="1"/>
        <v>#NAME?</v>
      </c>
      <c r="B1776" s="46" t="s">
        <v>2001</v>
      </c>
      <c r="C1776" s="315"/>
      <c r="D1776" s="316"/>
      <c r="E1776" s="315"/>
      <c r="F1776" s="315"/>
      <c r="G1776" s="315"/>
      <c r="H1776" s="153"/>
      <c r="I1776" s="12"/>
      <c r="J1776" s="46" t="s">
        <v>1947</v>
      </c>
      <c r="K1776" s="12"/>
      <c r="L1776" s="359">
        <v>27.7</v>
      </c>
      <c r="M1776" s="289">
        <v>18</v>
      </c>
      <c r="N1776" s="374">
        <v>1</v>
      </c>
      <c r="O1776" s="61"/>
      <c r="P1776" s="61" t="s">
        <v>304</v>
      </c>
      <c r="Q1776" s="12"/>
      <c r="R1776" s="192" t="str">
        <f t="shared" si="40"/>
        <v>1packs</v>
      </c>
      <c r="S1776" s="198">
        <f t="shared" si="41"/>
        <v>18</v>
      </c>
      <c r="T1776" s="199" t="str">
        <f t="shared" si="42"/>
        <v>18packs</v>
      </c>
      <c r="U1776" s="200">
        <f t="shared" si="43"/>
        <v>498.59999999999997</v>
      </c>
      <c r="V1776" s="12"/>
      <c r="W1776" s="12"/>
    </row>
    <row r="1777" spans="1:23" x14ac:dyDescent="0.3">
      <c r="A1777" s="193" t="e">
        <f ca="1"/>
        <v>#NAME?</v>
      </c>
      <c r="B1777" s="46" t="s">
        <v>1667</v>
      </c>
      <c r="C1777" s="315"/>
      <c r="D1777" s="316"/>
      <c r="E1777" s="315"/>
      <c r="F1777" s="315"/>
      <c r="G1777" s="315"/>
      <c r="H1777" s="153"/>
      <c r="I1777" s="12"/>
      <c r="J1777" s="46" t="s">
        <v>1945</v>
      </c>
      <c r="K1777" s="12"/>
      <c r="L1777" s="359">
        <v>120</v>
      </c>
      <c r="M1777" s="289">
        <v>1</v>
      </c>
      <c r="N1777" s="374">
        <v>1</v>
      </c>
      <c r="O1777" s="61"/>
      <c r="P1777" s="61" t="s">
        <v>213</v>
      </c>
      <c r="Q1777" s="12"/>
      <c r="R1777" s="192" t="str">
        <f t="shared" si="40"/>
        <v>1kilos</v>
      </c>
      <c r="S1777" s="198">
        <f t="shared" si="41"/>
        <v>1</v>
      </c>
      <c r="T1777" s="199" t="str">
        <f t="shared" si="42"/>
        <v>1kilos</v>
      </c>
      <c r="U1777" s="200">
        <f t="shared" si="43"/>
        <v>120</v>
      </c>
      <c r="V1777" s="12"/>
      <c r="W1777" s="12"/>
    </row>
    <row r="1778" spans="1:23" x14ac:dyDescent="0.3">
      <c r="A1778" s="193" t="e">
        <f ca="1"/>
        <v>#NAME?</v>
      </c>
      <c r="B1778" s="46" t="s">
        <v>2002</v>
      </c>
      <c r="C1778" s="315"/>
      <c r="D1778" s="316"/>
      <c r="E1778" s="315"/>
      <c r="F1778" s="315"/>
      <c r="G1778" s="315"/>
      <c r="H1778" s="153"/>
      <c r="I1778" s="12"/>
      <c r="J1778" s="46" t="s">
        <v>2003</v>
      </c>
      <c r="K1778" s="12"/>
      <c r="L1778" s="359">
        <v>5.85</v>
      </c>
      <c r="M1778" s="289">
        <v>60</v>
      </c>
      <c r="N1778" s="374">
        <v>1</v>
      </c>
      <c r="O1778" s="61"/>
      <c r="P1778" s="61" t="s">
        <v>92</v>
      </c>
      <c r="Q1778" s="12"/>
      <c r="R1778" s="192" t="str">
        <f t="shared" si="40"/>
        <v>1pieces</v>
      </c>
      <c r="S1778" s="198">
        <f t="shared" si="41"/>
        <v>60</v>
      </c>
      <c r="T1778" s="199" t="str">
        <f t="shared" si="42"/>
        <v>60pieces</v>
      </c>
      <c r="U1778" s="200">
        <f t="shared" si="43"/>
        <v>351</v>
      </c>
      <c r="V1778" s="12"/>
      <c r="W1778" s="12"/>
    </row>
    <row r="1779" spans="1:23" x14ac:dyDescent="0.3">
      <c r="A1779" s="193" t="e">
        <f ca="1"/>
        <v>#NAME?</v>
      </c>
      <c r="B1779" s="46" t="s">
        <v>2004</v>
      </c>
      <c r="C1779" s="315"/>
      <c r="D1779" s="316"/>
      <c r="E1779" s="315"/>
      <c r="F1779" s="315"/>
      <c r="G1779" s="315"/>
      <c r="H1779" s="153"/>
      <c r="I1779" s="12"/>
      <c r="J1779" s="170"/>
      <c r="K1779" s="12"/>
      <c r="L1779" s="359">
        <v>15.3</v>
      </c>
      <c r="M1779" s="289">
        <v>25</v>
      </c>
      <c r="N1779" s="374">
        <v>1</v>
      </c>
      <c r="O1779" s="61"/>
      <c r="P1779" s="61" t="s">
        <v>92</v>
      </c>
      <c r="Q1779" s="12"/>
      <c r="R1779" s="192" t="str">
        <f t="shared" si="40"/>
        <v>1pieces</v>
      </c>
      <c r="S1779" s="198">
        <f t="shared" si="41"/>
        <v>25</v>
      </c>
      <c r="T1779" s="199" t="str">
        <f t="shared" si="42"/>
        <v>25pieces</v>
      </c>
      <c r="U1779" s="200">
        <f t="shared" si="43"/>
        <v>382.5</v>
      </c>
      <c r="V1779" s="12"/>
      <c r="W1779" s="12"/>
    </row>
    <row r="1780" spans="1:23" x14ac:dyDescent="0.3">
      <c r="A1780" s="193" t="e">
        <f ca="1"/>
        <v>#NAME?</v>
      </c>
      <c r="B1780" s="46" t="s">
        <v>1735</v>
      </c>
      <c r="C1780" s="315"/>
      <c r="D1780" s="316"/>
      <c r="E1780" s="315"/>
      <c r="F1780" s="315"/>
      <c r="G1780" s="315"/>
      <c r="H1780" s="153"/>
      <c r="I1780" s="12"/>
      <c r="J1780" s="47" t="s">
        <v>2005</v>
      </c>
      <c r="K1780" s="12"/>
      <c r="L1780" s="372">
        <v>16.16</v>
      </c>
      <c r="M1780" s="332">
        <v>60</v>
      </c>
      <c r="N1780" s="374">
        <v>1</v>
      </c>
      <c r="O1780" s="61"/>
      <c r="P1780" s="61" t="s">
        <v>92</v>
      </c>
      <c r="Q1780" s="12"/>
      <c r="R1780" s="192" t="str">
        <f t="shared" si="40"/>
        <v>1pieces</v>
      </c>
      <c r="S1780" s="198">
        <f t="shared" si="41"/>
        <v>60</v>
      </c>
      <c r="T1780" s="199" t="str">
        <f t="shared" si="42"/>
        <v>60pieces</v>
      </c>
      <c r="U1780" s="200">
        <f t="shared" si="43"/>
        <v>969.6</v>
      </c>
      <c r="V1780" s="12"/>
      <c r="W1780" s="12"/>
    </row>
    <row r="1781" spans="1:23" x14ac:dyDescent="0.3">
      <c r="A1781" s="193" t="e">
        <f ca="1"/>
        <v>#NAME?</v>
      </c>
      <c r="B1781" s="46" t="s">
        <v>1735</v>
      </c>
      <c r="C1781" s="315"/>
      <c r="D1781" s="316"/>
      <c r="E1781" s="315"/>
      <c r="F1781" s="315"/>
      <c r="G1781" s="315"/>
      <c r="H1781" s="153"/>
      <c r="I1781" s="12"/>
      <c r="J1781" s="96" t="s">
        <v>2006</v>
      </c>
      <c r="K1781" s="12"/>
      <c r="L1781" s="368">
        <v>10.16</v>
      </c>
      <c r="M1781" s="332">
        <v>31</v>
      </c>
      <c r="N1781" s="374">
        <v>1</v>
      </c>
      <c r="O1781" s="61"/>
      <c r="P1781" s="61" t="s">
        <v>92</v>
      </c>
      <c r="Q1781" s="12"/>
      <c r="R1781" s="192" t="str">
        <f t="shared" si="40"/>
        <v>1pieces</v>
      </c>
      <c r="S1781" s="198">
        <f t="shared" si="41"/>
        <v>31</v>
      </c>
      <c r="T1781" s="199" t="str">
        <f t="shared" si="42"/>
        <v>31pieces</v>
      </c>
      <c r="U1781" s="200">
        <f t="shared" si="43"/>
        <v>314.95999999999998</v>
      </c>
      <c r="V1781" s="12"/>
      <c r="W1781" s="12"/>
    </row>
    <row r="1782" spans="1:23" x14ac:dyDescent="0.3">
      <c r="A1782" s="193" t="e">
        <f ca="1"/>
        <v>#NAME?</v>
      </c>
      <c r="B1782" s="46" t="s">
        <v>1735</v>
      </c>
      <c r="C1782" s="315"/>
      <c r="D1782" s="316"/>
      <c r="E1782" s="315"/>
      <c r="F1782" s="315"/>
      <c r="G1782" s="315"/>
      <c r="H1782" s="153"/>
      <c r="I1782" s="12"/>
      <c r="J1782" s="96" t="s">
        <v>1736</v>
      </c>
      <c r="K1782" s="12"/>
      <c r="L1782" s="368">
        <v>16.8</v>
      </c>
      <c r="M1782" s="332">
        <v>46</v>
      </c>
      <c r="N1782" s="374">
        <v>1</v>
      </c>
      <c r="O1782" s="61"/>
      <c r="P1782" s="61" t="s">
        <v>92</v>
      </c>
      <c r="Q1782" s="12"/>
      <c r="R1782" s="192" t="str">
        <f t="shared" si="40"/>
        <v>1pieces</v>
      </c>
      <c r="S1782" s="198">
        <f t="shared" si="41"/>
        <v>46</v>
      </c>
      <c r="T1782" s="199" t="str">
        <f t="shared" si="42"/>
        <v>46pieces</v>
      </c>
      <c r="U1782" s="200">
        <f t="shared" si="43"/>
        <v>772.80000000000007</v>
      </c>
      <c r="V1782" s="12"/>
      <c r="W1782" s="12"/>
    </row>
    <row r="1783" spans="1:23" x14ac:dyDescent="0.3">
      <c r="A1783" s="193" t="e">
        <f ca="1"/>
        <v>#NAME?</v>
      </c>
      <c r="B1783" s="46" t="s">
        <v>286</v>
      </c>
      <c r="C1783" s="315"/>
      <c r="D1783" s="316"/>
      <c r="E1783" s="315"/>
      <c r="F1783" s="315"/>
      <c r="G1783" s="315"/>
      <c r="H1783" s="153"/>
      <c r="I1783" s="12"/>
      <c r="J1783" s="96" t="s">
        <v>1929</v>
      </c>
      <c r="K1783" s="12"/>
      <c r="L1783" s="368">
        <v>73</v>
      </c>
      <c r="M1783" s="332">
        <v>4</v>
      </c>
      <c r="N1783" s="374">
        <v>1</v>
      </c>
      <c r="O1783" s="61"/>
      <c r="P1783" s="61" t="s">
        <v>200</v>
      </c>
      <c r="Q1783" s="12"/>
      <c r="R1783" s="192" t="str">
        <f t="shared" si="40"/>
        <v>1gal</v>
      </c>
      <c r="S1783" s="198">
        <f t="shared" si="41"/>
        <v>4</v>
      </c>
      <c r="T1783" s="199" t="str">
        <f t="shared" si="42"/>
        <v>4gal</v>
      </c>
      <c r="U1783" s="200">
        <f t="shared" si="43"/>
        <v>292</v>
      </c>
      <c r="V1783" s="12"/>
      <c r="W1783" s="12"/>
    </row>
    <row r="1784" spans="1:23" x14ac:dyDescent="0.3">
      <c r="A1784" s="193" t="e">
        <f ca="1"/>
        <v>#NAME?</v>
      </c>
      <c r="B1784" s="46" t="s">
        <v>2007</v>
      </c>
      <c r="C1784" s="315"/>
      <c r="D1784" s="316"/>
      <c r="E1784" s="315"/>
      <c r="F1784" s="315"/>
      <c r="G1784" s="315"/>
      <c r="H1784" s="153"/>
      <c r="I1784" s="12"/>
      <c r="J1784" s="239"/>
      <c r="K1784" s="12"/>
      <c r="L1784" s="368">
        <v>23.45</v>
      </c>
      <c r="M1784" s="332">
        <v>2</v>
      </c>
      <c r="N1784" s="374">
        <v>1</v>
      </c>
      <c r="O1784" s="61"/>
      <c r="P1784" s="61" t="s">
        <v>92</v>
      </c>
      <c r="Q1784" s="12"/>
      <c r="R1784" s="192" t="str">
        <f t="shared" si="40"/>
        <v>1pieces</v>
      </c>
      <c r="S1784" s="198">
        <f t="shared" si="41"/>
        <v>2</v>
      </c>
      <c r="T1784" s="199" t="str">
        <f t="shared" si="42"/>
        <v>2pieces</v>
      </c>
      <c r="U1784" s="200">
        <f t="shared" si="43"/>
        <v>46.9</v>
      </c>
      <c r="V1784" s="12"/>
      <c r="W1784" s="12"/>
    </row>
    <row r="1785" spans="1:23" x14ac:dyDescent="0.3">
      <c r="A1785" s="193" t="e">
        <f ca="1"/>
        <v>#NAME?</v>
      </c>
      <c r="B1785" s="46" t="s">
        <v>786</v>
      </c>
      <c r="C1785" s="315"/>
      <c r="D1785" s="316"/>
      <c r="E1785" s="315"/>
      <c r="F1785" s="315"/>
      <c r="G1785" s="315"/>
      <c r="H1785" s="153"/>
      <c r="I1785" s="12"/>
      <c r="J1785" s="96" t="s">
        <v>1999</v>
      </c>
      <c r="K1785" s="12"/>
      <c r="L1785" s="368">
        <v>27.75</v>
      </c>
      <c r="M1785" s="332">
        <v>6</v>
      </c>
      <c r="N1785" s="374">
        <v>1</v>
      </c>
      <c r="O1785" s="61"/>
      <c r="P1785" s="61" t="s">
        <v>92</v>
      </c>
      <c r="Q1785" s="12"/>
      <c r="R1785" s="192" t="str">
        <f t="shared" si="40"/>
        <v>1pieces</v>
      </c>
      <c r="S1785" s="198">
        <f t="shared" si="41"/>
        <v>6</v>
      </c>
      <c r="T1785" s="199" t="str">
        <f t="shared" si="42"/>
        <v>6pieces</v>
      </c>
      <c r="U1785" s="200">
        <f t="shared" si="43"/>
        <v>166.5</v>
      </c>
      <c r="V1785" s="12"/>
      <c r="W1785" s="12"/>
    </row>
    <row r="1786" spans="1:23" x14ac:dyDescent="0.3">
      <c r="A1786" s="193" t="e">
        <f ca="1"/>
        <v>#NAME?</v>
      </c>
      <c r="B1786" s="46" t="s">
        <v>83</v>
      </c>
      <c r="C1786" s="315"/>
      <c r="D1786" s="316"/>
      <c r="E1786" s="315"/>
      <c r="F1786" s="315"/>
      <c r="G1786" s="315"/>
      <c r="H1786" s="153"/>
      <c r="I1786" s="12"/>
      <c r="J1786" s="96" t="s">
        <v>1792</v>
      </c>
      <c r="K1786" s="12"/>
      <c r="L1786" s="368">
        <v>82</v>
      </c>
      <c r="M1786" s="332">
        <v>17</v>
      </c>
      <c r="N1786" s="374">
        <v>1</v>
      </c>
      <c r="O1786" s="61"/>
      <c r="P1786" s="61" t="s">
        <v>213</v>
      </c>
      <c r="Q1786" s="12"/>
      <c r="R1786" s="192" t="str">
        <f t="shared" si="40"/>
        <v>1kilos</v>
      </c>
      <c r="S1786" s="198">
        <f t="shared" si="41"/>
        <v>17</v>
      </c>
      <c r="T1786" s="199" t="str">
        <f t="shared" si="42"/>
        <v>17kilos</v>
      </c>
      <c r="U1786" s="200">
        <f t="shared" si="43"/>
        <v>1394</v>
      </c>
      <c r="V1786" s="12"/>
      <c r="W1786" s="12"/>
    </row>
    <row r="1787" spans="1:23" x14ac:dyDescent="0.3">
      <c r="A1787" s="193" t="e">
        <f ca="1"/>
        <v>#NAME?</v>
      </c>
      <c r="B1787" s="46" t="s">
        <v>84</v>
      </c>
      <c r="C1787" s="315"/>
      <c r="D1787" s="316"/>
      <c r="E1787" s="315"/>
      <c r="F1787" s="315"/>
      <c r="G1787" s="315"/>
      <c r="H1787" s="153"/>
      <c r="I1787" s="12"/>
      <c r="J1787" s="96" t="s">
        <v>1792</v>
      </c>
      <c r="K1787" s="12"/>
      <c r="L1787" s="368">
        <v>85.5</v>
      </c>
      <c r="M1787" s="332">
        <v>7</v>
      </c>
      <c r="N1787" s="374">
        <v>1</v>
      </c>
      <c r="O1787" s="377"/>
      <c r="P1787" s="377" t="s">
        <v>213</v>
      </c>
      <c r="Q1787" s="12"/>
      <c r="R1787" s="192" t="str">
        <f t="shared" si="40"/>
        <v>1kilos</v>
      </c>
      <c r="S1787" s="198">
        <f t="shared" si="41"/>
        <v>7</v>
      </c>
      <c r="T1787" s="199" t="str">
        <f t="shared" si="42"/>
        <v>7kilos</v>
      </c>
      <c r="U1787" s="200">
        <f t="shared" si="43"/>
        <v>598.5</v>
      </c>
      <c r="V1787" s="12"/>
      <c r="W1787" s="12"/>
    </row>
    <row r="1788" spans="1:23" x14ac:dyDescent="0.3">
      <c r="A1788" s="193" t="e">
        <f ca="1"/>
        <v>#NAME?</v>
      </c>
      <c r="B1788" s="46" t="s">
        <v>1802</v>
      </c>
      <c r="C1788" s="315"/>
      <c r="D1788" s="316"/>
      <c r="E1788" s="315"/>
      <c r="F1788" s="315"/>
      <c r="G1788" s="315"/>
      <c r="H1788" s="153"/>
      <c r="I1788" s="12"/>
      <c r="J1788" s="96" t="s">
        <v>2008</v>
      </c>
      <c r="K1788" s="12"/>
      <c r="L1788" s="368">
        <v>65</v>
      </c>
      <c r="M1788" s="332">
        <v>12</v>
      </c>
      <c r="N1788" s="374">
        <v>1</v>
      </c>
      <c r="O1788" s="61"/>
      <c r="P1788" s="61" t="s">
        <v>213</v>
      </c>
      <c r="Q1788" s="12"/>
      <c r="R1788" s="192" t="str">
        <f t="shared" si="40"/>
        <v>1kilos</v>
      </c>
      <c r="S1788" s="198">
        <f t="shared" si="41"/>
        <v>12</v>
      </c>
      <c r="T1788" s="199" t="str">
        <f t="shared" si="42"/>
        <v>12kilos</v>
      </c>
      <c r="U1788" s="200">
        <f t="shared" si="43"/>
        <v>780</v>
      </c>
      <c r="V1788" s="12"/>
      <c r="W1788" s="12"/>
    </row>
    <row r="1789" spans="1:23" x14ac:dyDescent="0.3">
      <c r="A1789" s="193" t="e">
        <f ca="1"/>
        <v>#NAME?</v>
      </c>
      <c r="B1789" s="46" t="s">
        <v>1808</v>
      </c>
      <c r="C1789" s="315"/>
      <c r="D1789" s="316"/>
      <c r="E1789" s="315"/>
      <c r="F1789" s="315"/>
      <c r="G1789" s="315"/>
      <c r="H1789" s="153"/>
      <c r="I1789" s="12"/>
      <c r="J1789" s="96" t="s">
        <v>1945</v>
      </c>
      <c r="K1789" s="12"/>
      <c r="L1789" s="368">
        <v>85</v>
      </c>
      <c r="M1789" s="332">
        <v>0</v>
      </c>
      <c r="N1789" s="374">
        <v>1</v>
      </c>
      <c r="O1789" s="61"/>
      <c r="P1789" s="61" t="s">
        <v>213</v>
      </c>
      <c r="Q1789" s="12"/>
      <c r="R1789" s="192" t="str">
        <f t="shared" si="40"/>
        <v>1kilos</v>
      </c>
      <c r="S1789" s="198">
        <f t="shared" si="41"/>
        <v>0</v>
      </c>
      <c r="T1789" s="199" t="str">
        <f t="shared" si="42"/>
        <v>0kilos</v>
      </c>
      <c r="U1789" s="200">
        <f t="shared" si="43"/>
        <v>0</v>
      </c>
      <c r="V1789" s="12"/>
      <c r="W1789" s="12"/>
    </row>
    <row r="1790" spans="1:23" x14ac:dyDescent="0.3">
      <c r="A1790" s="193" t="e">
        <f ca="1"/>
        <v>#NAME?</v>
      </c>
      <c r="B1790" s="46" t="s">
        <v>1809</v>
      </c>
      <c r="C1790" s="315"/>
      <c r="D1790" s="316"/>
      <c r="E1790" s="315"/>
      <c r="F1790" s="315"/>
      <c r="G1790" s="315"/>
      <c r="H1790" s="153"/>
      <c r="I1790" s="12"/>
      <c r="J1790" s="96" t="s">
        <v>1928</v>
      </c>
      <c r="K1790" s="12"/>
      <c r="L1790" s="368">
        <v>265</v>
      </c>
      <c r="M1790" s="332">
        <v>8</v>
      </c>
      <c r="N1790" s="374">
        <v>1</v>
      </c>
      <c r="O1790" s="61"/>
      <c r="P1790" s="61" t="s">
        <v>213</v>
      </c>
      <c r="Q1790" s="12"/>
      <c r="R1790" s="192" t="str">
        <f t="shared" si="40"/>
        <v>1kilos</v>
      </c>
      <c r="S1790" s="198">
        <f t="shared" si="41"/>
        <v>8</v>
      </c>
      <c r="T1790" s="199" t="str">
        <f t="shared" si="42"/>
        <v>8kilos</v>
      </c>
      <c r="U1790" s="200">
        <f t="shared" si="43"/>
        <v>2120</v>
      </c>
      <c r="V1790" s="12"/>
      <c r="W1790" s="12"/>
    </row>
    <row r="1791" spans="1:23" x14ac:dyDescent="0.3">
      <c r="A1791" s="193" t="e">
        <f ca="1"/>
        <v>#NAME?</v>
      </c>
      <c r="B1791" s="46" t="s">
        <v>1810</v>
      </c>
      <c r="C1791" s="315"/>
      <c r="D1791" s="316"/>
      <c r="E1791" s="315"/>
      <c r="F1791" s="315"/>
      <c r="G1791" s="315"/>
      <c r="H1791" s="153"/>
      <c r="I1791" s="12"/>
      <c r="J1791" s="96" t="s">
        <v>1945</v>
      </c>
      <c r="K1791" s="12"/>
      <c r="L1791" s="368">
        <v>10</v>
      </c>
      <c r="M1791" s="332">
        <v>1</v>
      </c>
      <c r="N1791" s="374">
        <v>1</v>
      </c>
      <c r="O1791" s="61"/>
      <c r="P1791" s="61" t="s">
        <v>213</v>
      </c>
      <c r="Q1791" s="12"/>
      <c r="R1791" s="192" t="str">
        <f t="shared" si="40"/>
        <v>1kilos</v>
      </c>
      <c r="S1791" s="198">
        <f t="shared" si="41"/>
        <v>1</v>
      </c>
      <c r="T1791" s="199" t="str">
        <f t="shared" si="42"/>
        <v>1kilos</v>
      </c>
      <c r="U1791" s="200">
        <f t="shared" si="43"/>
        <v>10</v>
      </c>
      <c r="V1791" s="12"/>
      <c r="W1791" s="12"/>
    </row>
    <row r="1792" spans="1:23" x14ac:dyDescent="0.3">
      <c r="A1792" s="193" t="e">
        <f ca="1"/>
        <v>#NAME?</v>
      </c>
      <c r="B1792" s="46" t="s">
        <v>2009</v>
      </c>
      <c r="C1792" s="315"/>
      <c r="D1792" s="316"/>
      <c r="E1792" s="315"/>
      <c r="F1792" s="315"/>
      <c r="G1792" s="315"/>
      <c r="H1792" s="153"/>
      <c r="I1792" s="12"/>
      <c r="J1792" s="239"/>
      <c r="K1792" s="12"/>
      <c r="L1792" s="368">
        <v>22.37</v>
      </c>
      <c r="M1792" s="332">
        <v>11</v>
      </c>
      <c r="N1792" s="374">
        <v>1</v>
      </c>
      <c r="O1792" s="61"/>
      <c r="P1792" s="61" t="s">
        <v>92</v>
      </c>
      <c r="Q1792" s="12"/>
      <c r="R1792" s="192" t="str">
        <f t="shared" si="40"/>
        <v>1pieces</v>
      </c>
      <c r="S1792" s="198">
        <f t="shared" si="41"/>
        <v>11</v>
      </c>
      <c r="T1792" s="199" t="str">
        <f t="shared" si="42"/>
        <v>11pieces</v>
      </c>
      <c r="U1792" s="200">
        <f t="shared" si="43"/>
        <v>246.07000000000002</v>
      </c>
      <c r="V1792" s="12"/>
      <c r="W1792" s="12"/>
    </row>
    <row r="1793" spans="1:23" x14ac:dyDescent="0.3">
      <c r="A1793" s="193" t="e">
        <f ca="1"/>
        <v>#NAME?</v>
      </c>
      <c r="B1793" s="46" t="s">
        <v>2010</v>
      </c>
      <c r="C1793" s="315"/>
      <c r="D1793" s="316"/>
      <c r="E1793" s="315"/>
      <c r="F1793" s="315"/>
      <c r="G1793" s="315"/>
      <c r="H1793" s="153"/>
      <c r="I1793" s="12"/>
      <c r="J1793" s="239"/>
      <c r="K1793" s="12"/>
      <c r="L1793" s="368">
        <v>14.45</v>
      </c>
      <c r="M1793" s="332">
        <v>28</v>
      </c>
      <c r="N1793" s="374">
        <v>1</v>
      </c>
      <c r="O1793" s="61"/>
      <c r="P1793" s="61" t="s">
        <v>92</v>
      </c>
      <c r="Q1793" s="12"/>
      <c r="R1793" s="192" t="str">
        <f t="shared" si="40"/>
        <v>1pieces</v>
      </c>
      <c r="S1793" s="198">
        <f t="shared" si="41"/>
        <v>28</v>
      </c>
      <c r="T1793" s="199" t="str">
        <f t="shared" si="42"/>
        <v>28pieces</v>
      </c>
      <c r="U1793" s="200">
        <f t="shared" si="43"/>
        <v>404.59999999999997</v>
      </c>
      <c r="V1793" s="12"/>
      <c r="W1793" s="12"/>
    </row>
    <row r="1794" spans="1:23" x14ac:dyDescent="0.3">
      <c r="A1794" s="193" t="e">
        <f ca="1"/>
        <v>#NAME?</v>
      </c>
      <c r="B1794" s="46" t="s">
        <v>2011</v>
      </c>
      <c r="C1794" s="315"/>
      <c r="D1794" s="316"/>
      <c r="E1794" s="315"/>
      <c r="F1794" s="315"/>
      <c r="G1794" s="315"/>
      <c r="H1794" s="153"/>
      <c r="I1794" s="12"/>
      <c r="J1794" s="96" t="s">
        <v>1928</v>
      </c>
      <c r="K1794" s="12"/>
      <c r="L1794" s="368">
        <v>180</v>
      </c>
      <c r="M1794" s="332">
        <v>2</v>
      </c>
      <c r="N1794" s="374">
        <v>1</v>
      </c>
      <c r="O1794" s="61"/>
      <c r="P1794" s="61" t="s">
        <v>213</v>
      </c>
      <c r="Q1794" s="12"/>
      <c r="R1794" s="192" t="str">
        <f t="shared" ref="R1794:R1808" si="44">CONCATENATE(N1794,P1794)</f>
        <v>1kilos</v>
      </c>
      <c r="S1794" s="198">
        <f t="shared" ref="S1794:S1808" si="45">M1794*N1794</f>
        <v>2</v>
      </c>
      <c r="T1794" s="199" t="str">
        <f t="shared" ref="T1794:T1808" si="46">CONCATENATE(S1794,Q1794,P1794)</f>
        <v>2kilos</v>
      </c>
      <c r="U1794" s="200">
        <f t="shared" ref="U1794:U1808" si="47">L1794*M1794</f>
        <v>360</v>
      </c>
      <c r="V1794" s="12"/>
      <c r="W1794" s="12"/>
    </row>
    <row r="1795" spans="1:23" x14ac:dyDescent="0.3">
      <c r="A1795" s="193" t="e">
        <f ca="1"/>
        <v>#NAME?</v>
      </c>
      <c r="B1795" s="46" t="s">
        <v>806</v>
      </c>
      <c r="C1795" s="315"/>
      <c r="D1795" s="316"/>
      <c r="E1795" s="315"/>
      <c r="F1795" s="315"/>
      <c r="G1795" s="315"/>
      <c r="H1795" s="153"/>
      <c r="I1795" s="12"/>
      <c r="J1795" s="239"/>
      <c r="K1795" s="12"/>
      <c r="L1795" s="368">
        <v>21.45</v>
      </c>
      <c r="M1795" s="332">
        <v>4</v>
      </c>
      <c r="N1795" s="374">
        <v>1</v>
      </c>
      <c r="O1795" s="61"/>
      <c r="P1795" s="61" t="s">
        <v>92</v>
      </c>
      <c r="Q1795" s="12"/>
      <c r="R1795" s="192" t="str">
        <f t="shared" si="44"/>
        <v>1pieces</v>
      </c>
      <c r="S1795" s="198">
        <f t="shared" si="45"/>
        <v>4</v>
      </c>
      <c r="T1795" s="199" t="str">
        <f t="shared" si="46"/>
        <v>4pieces</v>
      </c>
      <c r="U1795" s="200">
        <f t="shared" si="47"/>
        <v>85.8</v>
      </c>
      <c r="V1795" s="12"/>
      <c r="W1795" s="12"/>
    </row>
    <row r="1796" spans="1:23" x14ac:dyDescent="0.3">
      <c r="A1796" s="193" t="e">
        <f ca="1"/>
        <v>#NAME?</v>
      </c>
      <c r="B1796" s="46" t="s">
        <v>1825</v>
      </c>
      <c r="C1796" s="315"/>
      <c r="D1796" s="316"/>
      <c r="E1796" s="315"/>
      <c r="F1796" s="315"/>
      <c r="G1796" s="315"/>
      <c r="H1796" s="153"/>
      <c r="I1796" s="12"/>
      <c r="J1796" s="96" t="s">
        <v>1994</v>
      </c>
      <c r="K1796" s="12"/>
      <c r="L1796" s="368">
        <v>36.520000000000003</v>
      </c>
      <c r="M1796" s="332">
        <v>2</v>
      </c>
      <c r="N1796" s="374">
        <v>1</v>
      </c>
      <c r="O1796" s="61"/>
      <c r="P1796" s="61" t="s">
        <v>304</v>
      </c>
      <c r="Q1796" s="12"/>
      <c r="R1796" s="192" t="str">
        <f t="shared" si="44"/>
        <v>1packs</v>
      </c>
      <c r="S1796" s="198">
        <f t="shared" si="45"/>
        <v>2</v>
      </c>
      <c r="T1796" s="199" t="str">
        <f t="shared" si="46"/>
        <v>2packs</v>
      </c>
      <c r="U1796" s="200">
        <f t="shared" si="47"/>
        <v>73.040000000000006</v>
      </c>
      <c r="V1796" s="12"/>
      <c r="W1796" s="12"/>
    </row>
    <row r="1797" spans="1:23" x14ac:dyDescent="0.3">
      <c r="A1797" s="193" t="e">
        <f ca="1"/>
        <v>#NAME?</v>
      </c>
      <c r="B1797" s="46" t="s">
        <v>1841</v>
      </c>
      <c r="C1797" s="315"/>
      <c r="D1797" s="316"/>
      <c r="E1797" s="315"/>
      <c r="F1797" s="315"/>
      <c r="G1797" s="315"/>
      <c r="H1797" s="153"/>
      <c r="I1797" s="12"/>
      <c r="J1797" s="239"/>
      <c r="K1797" s="12"/>
      <c r="L1797" s="368">
        <v>5.68</v>
      </c>
      <c r="M1797" s="332">
        <v>57</v>
      </c>
      <c r="N1797" s="374">
        <v>1</v>
      </c>
      <c r="O1797" s="61"/>
      <c r="P1797" s="61" t="s">
        <v>92</v>
      </c>
      <c r="Q1797" s="12"/>
      <c r="R1797" s="192" t="str">
        <f t="shared" si="44"/>
        <v>1pieces</v>
      </c>
      <c r="S1797" s="198">
        <f t="shared" si="45"/>
        <v>57</v>
      </c>
      <c r="T1797" s="199" t="str">
        <f t="shared" si="46"/>
        <v>57pieces</v>
      </c>
      <c r="U1797" s="200">
        <f t="shared" si="47"/>
        <v>323.76</v>
      </c>
      <c r="V1797" s="12"/>
      <c r="W1797" s="12"/>
    </row>
    <row r="1798" spans="1:23" x14ac:dyDescent="0.3">
      <c r="A1798" s="193" t="e">
        <f ca="1"/>
        <v>#NAME?</v>
      </c>
      <c r="B1798" s="46" t="s">
        <v>808</v>
      </c>
      <c r="C1798" s="315"/>
      <c r="D1798" s="316"/>
      <c r="E1798" s="315"/>
      <c r="F1798" s="315"/>
      <c r="G1798" s="315"/>
      <c r="H1798" s="153"/>
      <c r="I1798" s="12"/>
      <c r="J1798" s="96" t="s">
        <v>1928</v>
      </c>
      <c r="K1798" s="12"/>
      <c r="L1798" s="368">
        <v>155</v>
      </c>
      <c r="M1798" s="332">
        <v>10</v>
      </c>
      <c r="N1798" s="374">
        <v>1</v>
      </c>
      <c r="O1798" s="61"/>
      <c r="P1798" s="61" t="s">
        <v>213</v>
      </c>
      <c r="Q1798" s="12"/>
      <c r="R1798" s="192" t="str">
        <f t="shared" si="44"/>
        <v>1kilos</v>
      </c>
      <c r="S1798" s="198">
        <f t="shared" si="45"/>
        <v>10</v>
      </c>
      <c r="T1798" s="199" t="str">
        <f t="shared" si="46"/>
        <v>10kilos</v>
      </c>
      <c r="U1798" s="200">
        <f t="shared" si="47"/>
        <v>1550</v>
      </c>
      <c r="V1798" s="12"/>
      <c r="W1798" s="12"/>
    </row>
    <row r="1799" spans="1:23" x14ac:dyDescent="0.3">
      <c r="A1799" s="193" t="e">
        <f ca="1"/>
        <v>#NAME?</v>
      </c>
      <c r="B1799" s="46" t="s">
        <v>1833</v>
      </c>
      <c r="C1799" s="315"/>
      <c r="D1799" s="316"/>
      <c r="E1799" s="315"/>
      <c r="F1799" s="315"/>
      <c r="G1799" s="315"/>
      <c r="H1799" s="153"/>
      <c r="I1799" s="12"/>
      <c r="J1799" s="96" t="s">
        <v>1945</v>
      </c>
      <c r="K1799" s="12"/>
      <c r="L1799" s="368">
        <v>40</v>
      </c>
      <c r="M1799" s="332">
        <v>1</v>
      </c>
      <c r="N1799" s="374">
        <v>1</v>
      </c>
      <c r="O1799" s="61"/>
      <c r="P1799" s="61" t="s">
        <v>213</v>
      </c>
      <c r="Q1799" s="12"/>
      <c r="R1799" s="192" t="str">
        <f t="shared" si="44"/>
        <v>1kilos</v>
      </c>
      <c r="S1799" s="198">
        <f t="shared" si="45"/>
        <v>1</v>
      </c>
      <c r="T1799" s="199" t="str">
        <f t="shared" si="46"/>
        <v>1kilos</v>
      </c>
      <c r="U1799" s="200">
        <f t="shared" si="47"/>
        <v>40</v>
      </c>
      <c r="V1799" s="12"/>
      <c r="W1799" s="12"/>
    </row>
    <row r="1800" spans="1:23" x14ac:dyDescent="0.3">
      <c r="A1800" s="193" t="e">
        <f ca="1"/>
        <v>#NAME?</v>
      </c>
      <c r="B1800" s="46" t="s">
        <v>288</v>
      </c>
      <c r="C1800" s="315"/>
      <c r="D1800" s="316"/>
      <c r="E1800" s="315"/>
      <c r="F1800" s="315"/>
      <c r="G1800" s="315"/>
      <c r="H1800" s="153"/>
      <c r="I1800" s="12"/>
      <c r="J1800" s="96" t="s">
        <v>2012</v>
      </c>
      <c r="K1800" s="12"/>
      <c r="L1800" s="368">
        <v>27.5</v>
      </c>
      <c r="M1800" s="332">
        <v>15</v>
      </c>
      <c r="N1800" s="374">
        <v>1</v>
      </c>
      <c r="O1800" s="61"/>
      <c r="P1800" s="61" t="s">
        <v>304</v>
      </c>
      <c r="Q1800" s="12"/>
      <c r="R1800" s="192" t="str">
        <f t="shared" si="44"/>
        <v>1packs</v>
      </c>
      <c r="S1800" s="198">
        <f t="shared" si="45"/>
        <v>15</v>
      </c>
      <c r="T1800" s="199" t="str">
        <f t="shared" si="46"/>
        <v>15packs</v>
      </c>
      <c r="U1800" s="200">
        <f t="shared" si="47"/>
        <v>412.5</v>
      </c>
      <c r="V1800" s="12"/>
      <c r="W1800" s="12"/>
    </row>
    <row r="1801" spans="1:23" x14ac:dyDescent="0.3">
      <c r="A1801" s="193" t="e">
        <f ca="1"/>
        <v>#NAME?</v>
      </c>
      <c r="B1801" s="46" t="s">
        <v>290</v>
      </c>
      <c r="C1801" s="315"/>
      <c r="D1801" s="316"/>
      <c r="E1801" s="315"/>
      <c r="F1801" s="315"/>
      <c r="G1801" s="315"/>
      <c r="H1801" s="153"/>
      <c r="I1801" s="12"/>
      <c r="J1801" s="96" t="s">
        <v>1929</v>
      </c>
      <c r="K1801" s="12"/>
      <c r="L1801" s="368">
        <v>135</v>
      </c>
      <c r="M1801" s="332">
        <v>1</v>
      </c>
      <c r="N1801" s="374">
        <v>1</v>
      </c>
      <c r="O1801" s="61"/>
      <c r="P1801" s="61" t="s">
        <v>200</v>
      </c>
      <c r="Q1801" s="12"/>
      <c r="R1801" s="192" t="str">
        <f t="shared" si="44"/>
        <v>1gal</v>
      </c>
      <c r="S1801" s="198">
        <f t="shared" si="45"/>
        <v>1</v>
      </c>
      <c r="T1801" s="199" t="str">
        <f t="shared" si="46"/>
        <v>1gal</v>
      </c>
      <c r="U1801" s="200">
        <f t="shared" si="47"/>
        <v>135</v>
      </c>
      <c r="V1801" s="12"/>
      <c r="W1801" s="12"/>
    </row>
    <row r="1802" spans="1:23" x14ac:dyDescent="0.3">
      <c r="A1802" s="193" t="e">
        <f ca="1"/>
        <v>#NAME?</v>
      </c>
      <c r="B1802" s="46" t="s">
        <v>2013</v>
      </c>
      <c r="C1802" s="315"/>
      <c r="D1802" s="316"/>
      <c r="E1802" s="315"/>
      <c r="F1802" s="315"/>
      <c r="G1802" s="315"/>
      <c r="H1802" s="153"/>
      <c r="I1802" s="12"/>
      <c r="J1802" s="239"/>
      <c r="K1802" s="12"/>
      <c r="L1802" s="368">
        <v>24.8</v>
      </c>
      <c r="M1802" s="332">
        <v>18</v>
      </c>
      <c r="N1802" s="374">
        <v>1</v>
      </c>
      <c r="O1802" s="61"/>
      <c r="P1802" s="61" t="s">
        <v>92</v>
      </c>
      <c r="Q1802" s="12"/>
      <c r="R1802" s="192" t="str">
        <f t="shared" si="44"/>
        <v>1pieces</v>
      </c>
      <c r="S1802" s="198">
        <f t="shared" si="45"/>
        <v>18</v>
      </c>
      <c r="T1802" s="199" t="str">
        <f t="shared" si="46"/>
        <v>18pieces</v>
      </c>
      <c r="U1802" s="200">
        <f t="shared" si="47"/>
        <v>446.40000000000003</v>
      </c>
      <c r="V1802" s="12"/>
      <c r="W1802" s="12"/>
    </row>
    <row r="1803" spans="1:23" x14ac:dyDescent="0.3">
      <c r="A1803" s="193" t="e">
        <f ca="1"/>
        <v>#NAME?</v>
      </c>
      <c r="B1803" s="46" t="s">
        <v>338</v>
      </c>
      <c r="C1803" s="315"/>
      <c r="D1803" s="316"/>
      <c r="E1803" s="315"/>
      <c r="F1803" s="315"/>
      <c r="G1803" s="315"/>
      <c r="H1803" s="153"/>
      <c r="I1803" s="12"/>
      <c r="J1803" s="96" t="s">
        <v>2014</v>
      </c>
      <c r="K1803" s="12"/>
      <c r="L1803" s="368">
        <v>16.2</v>
      </c>
      <c r="M1803" s="332">
        <v>12</v>
      </c>
      <c r="N1803" s="374">
        <v>1</v>
      </c>
      <c r="O1803" s="61"/>
      <c r="P1803" s="61" t="s">
        <v>92</v>
      </c>
      <c r="Q1803" s="12"/>
      <c r="R1803" s="192" t="str">
        <f t="shared" si="44"/>
        <v>1pieces</v>
      </c>
      <c r="S1803" s="198">
        <f t="shared" si="45"/>
        <v>12</v>
      </c>
      <c r="T1803" s="199" t="str">
        <f t="shared" si="46"/>
        <v>12pieces</v>
      </c>
      <c r="U1803" s="200">
        <f t="shared" si="47"/>
        <v>194.39999999999998</v>
      </c>
      <c r="V1803" s="12"/>
      <c r="W1803" s="12"/>
    </row>
    <row r="1804" spans="1:23" x14ac:dyDescent="0.3">
      <c r="A1804" s="193" t="e">
        <f ca="1"/>
        <v>#NAME?</v>
      </c>
      <c r="B1804" s="46" t="s">
        <v>340</v>
      </c>
      <c r="C1804" s="315"/>
      <c r="D1804" s="316"/>
      <c r="E1804" s="315"/>
      <c r="F1804" s="315"/>
      <c r="G1804" s="315"/>
      <c r="H1804" s="153"/>
      <c r="I1804" s="12"/>
      <c r="J1804" s="96" t="s">
        <v>2015</v>
      </c>
      <c r="K1804" s="12"/>
      <c r="L1804" s="368">
        <v>4.9800000000000004</v>
      </c>
      <c r="M1804" s="332">
        <v>12</v>
      </c>
      <c r="N1804" s="374">
        <v>1</v>
      </c>
      <c r="O1804" s="61"/>
      <c r="P1804" s="61" t="s">
        <v>92</v>
      </c>
      <c r="Q1804" s="12"/>
      <c r="R1804" s="192" t="str">
        <f t="shared" si="44"/>
        <v>1pieces</v>
      </c>
      <c r="S1804" s="198">
        <f t="shared" si="45"/>
        <v>12</v>
      </c>
      <c r="T1804" s="199" t="str">
        <f t="shared" si="46"/>
        <v>12pieces</v>
      </c>
      <c r="U1804" s="200">
        <f t="shared" si="47"/>
        <v>59.760000000000005</v>
      </c>
      <c r="V1804" s="12"/>
      <c r="W1804" s="12"/>
    </row>
    <row r="1805" spans="1:23" x14ac:dyDescent="0.3">
      <c r="A1805" s="193" t="e">
        <f ca="1"/>
        <v>#NAME?</v>
      </c>
      <c r="B1805" s="46" t="s">
        <v>2016</v>
      </c>
      <c r="C1805" s="315"/>
      <c r="D1805" s="316"/>
      <c r="E1805" s="315"/>
      <c r="F1805" s="315"/>
      <c r="G1805" s="315"/>
      <c r="H1805" s="153"/>
      <c r="I1805" s="12"/>
      <c r="J1805" s="239"/>
      <c r="K1805" s="12"/>
      <c r="L1805" s="368">
        <v>6.95</v>
      </c>
      <c r="M1805" s="332">
        <v>60</v>
      </c>
      <c r="N1805" s="374">
        <v>1</v>
      </c>
      <c r="O1805" s="61"/>
      <c r="P1805" s="61" t="s">
        <v>92</v>
      </c>
      <c r="Q1805" s="12"/>
      <c r="R1805" s="192" t="str">
        <f t="shared" si="44"/>
        <v>1pieces</v>
      </c>
      <c r="S1805" s="198">
        <f t="shared" si="45"/>
        <v>60</v>
      </c>
      <c r="T1805" s="199" t="str">
        <f t="shared" si="46"/>
        <v>60pieces</v>
      </c>
      <c r="U1805" s="200">
        <f t="shared" si="47"/>
        <v>417</v>
      </c>
      <c r="V1805" s="12"/>
      <c r="W1805" s="12"/>
    </row>
    <row r="1806" spans="1:23" x14ac:dyDescent="0.3">
      <c r="A1806" s="193" t="e">
        <f ca="1"/>
        <v>#NAME?</v>
      </c>
      <c r="B1806" s="46" t="s">
        <v>291</v>
      </c>
      <c r="C1806" s="315"/>
      <c r="D1806" s="316"/>
      <c r="E1806" s="315"/>
      <c r="F1806" s="315"/>
      <c r="G1806" s="315"/>
      <c r="H1806" s="153"/>
      <c r="I1806" s="12"/>
      <c r="J1806" s="96" t="s">
        <v>1929</v>
      </c>
      <c r="K1806" s="12"/>
      <c r="L1806" s="368">
        <v>70</v>
      </c>
      <c r="M1806" s="332">
        <v>2</v>
      </c>
      <c r="N1806" s="374">
        <v>1</v>
      </c>
      <c r="O1806" s="61"/>
      <c r="P1806" s="61" t="s">
        <v>1948</v>
      </c>
      <c r="Q1806" s="12"/>
      <c r="R1806" s="192" t="str">
        <f t="shared" si="44"/>
        <v>1bottle</v>
      </c>
      <c r="S1806" s="198">
        <f t="shared" si="45"/>
        <v>2</v>
      </c>
      <c r="T1806" s="199" t="str">
        <f t="shared" si="46"/>
        <v>2bottle</v>
      </c>
      <c r="U1806" s="200">
        <f t="shared" si="47"/>
        <v>140</v>
      </c>
      <c r="V1806" s="12"/>
      <c r="W1806" s="12"/>
    </row>
    <row r="1807" spans="1:23" x14ac:dyDescent="0.3">
      <c r="A1807" s="193" t="e">
        <f ca="1"/>
        <v>#NAME?</v>
      </c>
      <c r="B1807" s="46" t="s">
        <v>1870</v>
      </c>
      <c r="C1807" s="315"/>
      <c r="D1807" s="316"/>
      <c r="E1807" s="315"/>
      <c r="F1807" s="315"/>
      <c r="G1807" s="315"/>
      <c r="H1807" s="153"/>
      <c r="I1807" s="12"/>
      <c r="J1807" s="96" t="s">
        <v>865</v>
      </c>
      <c r="K1807" s="12"/>
      <c r="L1807" s="368">
        <v>42.3</v>
      </c>
      <c r="M1807" s="332">
        <v>4</v>
      </c>
      <c r="N1807" s="374">
        <v>1</v>
      </c>
      <c r="O1807" s="61"/>
      <c r="P1807" s="61" t="s">
        <v>39</v>
      </c>
      <c r="Q1807" s="12"/>
      <c r="R1807" s="192" t="str">
        <f t="shared" si="44"/>
        <v>1grams</v>
      </c>
      <c r="S1807" s="198">
        <f t="shared" si="45"/>
        <v>4</v>
      </c>
      <c r="T1807" s="199" t="str">
        <f t="shared" si="46"/>
        <v>4grams</v>
      </c>
      <c r="U1807" s="200">
        <f t="shared" si="47"/>
        <v>169.2</v>
      </c>
      <c r="V1807" s="12"/>
      <c r="W1807" s="12"/>
    </row>
    <row r="1808" spans="1:23" x14ac:dyDescent="0.3">
      <c r="A1808" s="193" t="e">
        <f ca="1"/>
        <v>#NAME?</v>
      </c>
      <c r="B1808" s="46" t="s">
        <v>2017</v>
      </c>
      <c r="C1808" s="315"/>
      <c r="D1808" s="316"/>
      <c r="E1808" s="315"/>
      <c r="F1808" s="315"/>
      <c r="G1808" s="315"/>
      <c r="H1808" s="153"/>
      <c r="I1808" s="12"/>
      <c r="J1808" s="96" t="s">
        <v>2018</v>
      </c>
      <c r="K1808" s="12"/>
      <c r="L1808" s="368">
        <v>10</v>
      </c>
      <c r="M1808" s="332">
        <v>145</v>
      </c>
      <c r="N1808" s="374">
        <v>1</v>
      </c>
      <c r="O1808" s="61"/>
      <c r="P1808" s="61" t="s">
        <v>92</v>
      </c>
      <c r="Q1808" s="12"/>
      <c r="R1808" s="192" t="str">
        <f t="shared" si="44"/>
        <v>1pieces</v>
      </c>
      <c r="S1808" s="198">
        <f t="shared" si="45"/>
        <v>145</v>
      </c>
      <c r="T1808" s="199" t="str">
        <f t="shared" si="46"/>
        <v>145pieces</v>
      </c>
      <c r="U1808" s="200">
        <f t="shared" si="47"/>
        <v>1450</v>
      </c>
      <c r="V1808" s="12"/>
      <c r="W1808" s="12"/>
    </row>
    <row r="1809" spans="1:23" x14ac:dyDescent="0.3">
      <c r="A1809" s="193" t="str">
        <f ca="1"/>
        <v/>
      </c>
      <c r="B1809" s="378"/>
      <c r="C1809" s="315"/>
      <c r="D1809" s="316"/>
      <c r="E1809" s="315"/>
      <c r="F1809" s="315"/>
      <c r="G1809" s="315"/>
      <c r="H1809" s="153"/>
      <c r="I1809" s="12"/>
      <c r="J1809" s="170"/>
      <c r="K1809" s="12"/>
      <c r="L1809" s="379"/>
      <c r="M1809" s="380"/>
      <c r="N1809" s="380"/>
      <c r="O1809" s="12"/>
      <c r="P1809" s="381"/>
      <c r="Q1809" s="12"/>
      <c r="R1809" s="12"/>
      <c r="S1809" s="382"/>
      <c r="T1809" s="383"/>
      <c r="U1809" s="384"/>
      <c r="V1809" s="12"/>
      <c r="W1809" s="12"/>
    </row>
    <row r="1810" spans="1:23" x14ac:dyDescent="0.3">
      <c r="A1810" s="193" t="str">
        <f ca="1"/>
        <v/>
      </c>
      <c r="B1810" s="378"/>
      <c r="C1810" s="315"/>
      <c r="D1810" s="316"/>
      <c r="E1810" s="315"/>
      <c r="F1810" s="315"/>
      <c r="G1810" s="315"/>
      <c r="H1810" s="153"/>
      <c r="I1810" s="12"/>
      <c r="J1810" s="170"/>
      <c r="K1810" s="12"/>
      <c r="L1810" s="379"/>
      <c r="M1810" s="380"/>
      <c r="N1810" s="380"/>
      <c r="O1810" s="12"/>
      <c r="P1810" s="381"/>
      <c r="Q1810" s="12"/>
      <c r="R1810" s="12"/>
      <c r="S1810" s="382"/>
      <c r="T1810" s="383"/>
      <c r="U1810" s="384"/>
      <c r="V1810" s="12"/>
      <c r="W1810" s="12"/>
    </row>
    <row r="1811" spans="1:23" x14ac:dyDescent="0.3">
      <c r="A1811" s="193" t="str">
        <f ca="1"/>
        <v/>
      </c>
      <c r="B1811" s="378"/>
      <c r="C1811" s="315"/>
      <c r="D1811" s="316"/>
      <c r="E1811" s="315"/>
      <c r="F1811" s="315"/>
      <c r="G1811" s="315"/>
      <c r="H1811" s="153"/>
      <c r="I1811" s="12"/>
      <c r="J1811" s="170"/>
      <c r="K1811" s="12"/>
      <c r="L1811" s="379"/>
      <c r="M1811" s="380"/>
      <c r="N1811" s="380"/>
      <c r="O1811" s="12"/>
      <c r="P1811" s="381"/>
      <c r="Q1811" s="12"/>
      <c r="R1811" s="12"/>
      <c r="S1811" s="382"/>
      <c r="T1811" s="383"/>
      <c r="U1811" s="384"/>
      <c r="V1811" s="12"/>
      <c r="W1811" s="12"/>
    </row>
    <row r="1812" spans="1:23" x14ac:dyDescent="0.3">
      <c r="A1812" s="193" t="str">
        <f ca="1"/>
        <v/>
      </c>
      <c r="B1812" s="378"/>
      <c r="C1812" s="315"/>
      <c r="D1812" s="316"/>
      <c r="E1812" s="315"/>
      <c r="F1812" s="315"/>
      <c r="G1812" s="315"/>
      <c r="H1812" s="153"/>
      <c r="I1812" s="12"/>
      <c r="J1812" s="170"/>
      <c r="K1812" s="12"/>
      <c r="L1812" s="379"/>
      <c r="M1812" s="380"/>
      <c r="N1812" s="380"/>
      <c r="O1812" s="12"/>
      <c r="P1812" s="381"/>
      <c r="Q1812" s="12"/>
      <c r="R1812" s="12"/>
      <c r="S1812" s="382"/>
      <c r="T1812" s="383"/>
      <c r="U1812" s="384"/>
      <c r="V1812" s="12"/>
      <c r="W1812" s="12"/>
    </row>
    <row r="1813" spans="1:23" x14ac:dyDescent="0.3">
      <c r="A1813" s="193" t="str">
        <f ca="1"/>
        <v/>
      </c>
      <c r="B1813" s="378"/>
      <c r="C1813" s="315"/>
      <c r="D1813" s="316"/>
      <c r="E1813" s="315"/>
      <c r="F1813" s="315"/>
      <c r="G1813" s="315"/>
      <c r="H1813" s="153"/>
      <c r="I1813" s="12"/>
      <c r="J1813" s="170"/>
      <c r="K1813" s="12"/>
      <c r="L1813" s="379"/>
      <c r="M1813" s="380"/>
      <c r="N1813" s="380"/>
      <c r="O1813" s="12"/>
      <c r="P1813" s="381"/>
      <c r="Q1813" s="12"/>
      <c r="R1813" s="12"/>
      <c r="S1813" s="382"/>
      <c r="T1813" s="383"/>
      <c r="U1813" s="384"/>
      <c r="V1813" s="12"/>
      <c r="W1813" s="12"/>
    </row>
    <row r="1814" spans="1:23" x14ac:dyDescent="0.3">
      <c r="A1814" s="193" t="str">
        <f ca="1"/>
        <v/>
      </c>
      <c r="B1814" s="378"/>
      <c r="C1814" s="315"/>
      <c r="D1814" s="316"/>
      <c r="E1814" s="315"/>
      <c r="F1814" s="315"/>
      <c r="G1814" s="315"/>
      <c r="H1814" s="153"/>
      <c r="I1814" s="12"/>
      <c r="J1814" s="170"/>
      <c r="K1814" s="12"/>
      <c r="L1814" s="379"/>
      <c r="M1814" s="380"/>
      <c r="N1814" s="380"/>
      <c r="O1814" s="12"/>
      <c r="P1814" s="381"/>
      <c r="Q1814" s="12"/>
      <c r="R1814" s="12"/>
      <c r="S1814" s="382"/>
      <c r="T1814" s="383"/>
      <c r="U1814" s="384"/>
      <c r="V1814" s="12"/>
      <c r="W1814" s="12"/>
    </row>
    <row r="1815" spans="1:23" x14ac:dyDescent="0.3">
      <c r="A1815" s="193" t="str">
        <f ca="1"/>
        <v/>
      </c>
      <c r="B1815" s="378"/>
      <c r="C1815" s="315"/>
      <c r="D1815" s="316"/>
      <c r="E1815" s="315"/>
      <c r="F1815" s="315"/>
      <c r="G1815" s="315"/>
      <c r="H1815" s="153"/>
      <c r="I1815" s="12"/>
      <c r="J1815" s="170"/>
      <c r="K1815" s="12"/>
      <c r="L1815" s="379"/>
      <c r="M1815" s="380"/>
      <c r="N1815" s="380"/>
      <c r="O1815" s="12"/>
      <c r="P1815" s="381"/>
      <c r="Q1815" s="12"/>
      <c r="R1815" s="12"/>
      <c r="S1815" s="382"/>
      <c r="T1815" s="383"/>
      <c r="U1815" s="384"/>
      <c r="V1815" s="12"/>
      <c r="W1815" s="12"/>
    </row>
    <row r="1816" spans="1:23" x14ac:dyDescent="0.3">
      <c r="A1816" s="193" t="str">
        <f ca="1"/>
        <v/>
      </c>
      <c r="B1816" s="378"/>
      <c r="C1816" s="315"/>
      <c r="D1816" s="316"/>
      <c r="E1816" s="315"/>
      <c r="F1816" s="315"/>
      <c r="G1816" s="315"/>
      <c r="H1816" s="153"/>
      <c r="I1816" s="12"/>
      <c r="J1816" s="170"/>
      <c r="K1816" s="12"/>
      <c r="L1816" s="379"/>
      <c r="M1816" s="380"/>
      <c r="N1816" s="380"/>
      <c r="O1816" s="12"/>
      <c r="P1816" s="381"/>
      <c r="Q1816" s="12"/>
      <c r="R1816" s="12"/>
      <c r="S1816" s="382"/>
      <c r="T1816" s="383"/>
      <c r="U1816" s="384"/>
      <c r="V1816" s="12"/>
      <c r="W1816" s="12"/>
    </row>
    <row r="1817" spans="1:23" x14ac:dyDescent="0.3">
      <c r="A1817" s="193" t="str">
        <f ca="1"/>
        <v/>
      </c>
      <c r="B1817" s="378"/>
      <c r="C1817" s="315"/>
      <c r="D1817" s="316"/>
      <c r="E1817" s="315"/>
      <c r="F1817" s="315"/>
      <c r="G1817" s="315"/>
      <c r="H1817" s="153"/>
      <c r="I1817" s="12"/>
      <c r="J1817" s="170"/>
      <c r="K1817" s="12"/>
      <c r="L1817" s="379"/>
      <c r="M1817" s="380"/>
      <c r="N1817" s="380"/>
      <c r="O1817" s="12"/>
      <c r="P1817" s="381"/>
      <c r="Q1817" s="12"/>
      <c r="R1817" s="12"/>
      <c r="S1817" s="382"/>
      <c r="T1817" s="383"/>
      <c r="U1817" s="384"/>
      <c r="V1817" s="12"/>
      <c r="W1817" s="12"/>
    </row>
    <row r="1818" spans="1:23" x14ac:dyDescent="0.3">
      <c r="A1818" s="193" t="str">
        <f ca="1"/>
        <v/>
      </c>
      <c r="B1818" s="378"/>
      <c r="C1818" s="315"/>
      <c r="D1818" s="316"/>
      <c r="E1818" s="315"/>
      <c r="F1818" s="315"/>
      <c r="G1818" s="315"/>
      <c r="H1818" s="153"/>
      <c r="I1818" s="12"/>
      <c r="J1818" s="170"/>
      <c r="K1818" s="12"/>
      <c r="L1818" s="379"/>
      <c r="M1818" s="380"/>
      <c r="N1818" s="380"/>
      <c r="O1818" s="12"/>
      <c r="P1818" s="381"/>
      <c r="Q1818" s="12"/>
      <c r="R1818" s="12"/>
      <c r="S1818" s="382"/>
      <c r="T1818" s="383"/>
      <c r="U1818" s="384"/>
      <c r="V1818" s="12"/>
      <c r="W1818" s="12"/>
    </row>
    <row r="1819" spans="1:23" x14ac:dyDescent="0.3">
      <c r="A1819" s="193" t="str">
        <f ca="1"/>
        <v/>
      </c>
      <c r="B1819" s="378"/>
      <c r="C1819" s="315"/>
      <c r="D1819" s="316"/>
      <c r="E1819" s="315"/>
      <c r="F1819" s="315"/>
      <c r="G1819" s="315"/>
      <c r="H1819" s="153"/>
      <c r="I1819" s="12"/>
      <c r="J1819" s="170"/>
      <c r="K1819" s="12"/>
      <c r="L1819" s="379"/>
      <c r="M1819" s="380"/>
      <c r="N1819" s="380"/>
      <c r="O1819" s="12"/>
      <c r="P1819" s="381"/>
      <c r="Q1819" s="12"/>
      <c r="R1819" s="12"/>
      <c r="S1819" s="382"/>
      <c r="T1819" s="383"/>
      <c r="U1819" s="384"/>
      <c r="V1819" s="12"/>
      <c r="W1819" s="12"/>
    </row>
    <row r="1820" spans="1:23" x14ac:dyDescent="0.3">
      <c r="A1820" s="193" t="str">
        <f ca="1"/>
        <v/>
      </c>
      <c r="B1820" s="378"/>
      <c r="C1820" s="315"/>
      <c r="D1820" s="316"/>
      <c r="E1820" s="315"/>
      <c r="F1820" s="315"/>
      <c r="G1820" s="315"/>
      <c r="H1820" s="153"/>
      <c r="I1820" s="12"/>
      <c r="J1820" s="170"/>
      <c r="K1820" s="12"/>
      <c r="L1820" s="379"/>
      <c r="M1820" s="380"/>
      <c r="N1820" s="380"/>
      <c r="O1820" s="12"/>
      <c r="P1820" s="381"/>
      <c r="Q1820" s="12"/>
      <c r="R1820" s="12"/>
      <c r="S1820" s="382"/>
      <c r="T1820" s="383"/>
      <c r="U1820" s="384"/>
      <c r="V1820" s="12"/>
      <c r="W1820" s="12"/>
    </row>
    <row r="1821" spans="1:23" x14ac:dyDescent="0.3">
      <c r="A1821" s="193" t="str">
        <f ca="1"/>
        <v/>
      </c>
      <c r="B1821" s="378"/>
      <c r="C1821" s="315"/>
      <c r="D1821" s="316"/>
      <c r="E1821" s="315"/>
      <c r="F1821" s="315"/>
      <c r="G1821" s="315"/>
      <c r="H1821" s="153"/>
      <c r="I1821" s="12"/>
      <c r="J1821" s="170"/>
      <c r="K1821" s="12"/>
      <c r="L1821" s="379"/>
      <c r="M1821" s="380"/>
      <c r="N1821" s="380"/>
      <c r="O1821" s="12"/>
      <c r="P1821" s="381"/>
      <c r="Q1821" s="12"/>
      <c r="R1821" s="12"/>
      <c r="S1821" s="382"/>
      <c r="T1821" s="383"/>
      <c r="U1821" s="384"/>
      <c r="V1821" s="12"/>
      <c r="W1821" s="12"/>
    </row>
    <row r="1822" spans="1:23" x14ac:dyDescent="0.3">
      <c r="A1822" s="193" t="str">
        <f ca="1"/>
        <v/>
      </c>
      <c r="B1822" s="378"/>
      <c r="C1822" s="315"/>
      <c r="D1822" s="316"/>
      <c r="E1822" s="315"/>
      <c r="F1822" s="315"/>
      <c r="G1822" s="315"/>
      <c r="H1822" s="153"/>
      <c r="I1822" s="12"/>
      <c r="J1822" s="170"/>
      <c r="K1822" s="12"/>
      <c r="L1822" s="379"/>
      <c r="M1822" s="380"/>
      <c r="N1822" s="380"/>
      <c r="O1822" s="12"/>
      <c r="P1822" s="381"/>
      <c r="Q1822" s="12"/>
      <c r="R1822" s="12"/>
      <c r="S1822" s="382"/>
      <c r="T1822" s="383"/>
      <c r="U1822" s="384"/>
      <c r="V1822" s="12"/>
      <c r="W1822" s="12"/>
    </row>
    <row r="1823" spans="1:23" x14ac:dyDescent="0.3">
      <c r="A1823" s="193" t="str">
        <f ca="1"/>
        <v/>
      </c>
      <c r="B1823" s="378"/>
      <c r="C1823" s="315"/>
      <c r="D1823" s="316"/>
      <c r="E1823" s="315"/>
      <c r="F1823" s="315"/>
      <c r="G1823" s="315"/>
      <c r="H1823" s="153"/>
      <c r="I1823" s="12"/>
      <c r="J1823" s="170"/>
      <c r="K1823" s="12"/>
      <c r="L1823" s="379"/>
      <c r="M1823" s="380"/>
      <c r="N1823" s="380"/>
      <c r="O1823" s="12"/>
      <c r="P1823" s="381"/>
      <c r="Q1823" s="12"/>
      <c r="R1823" s="12"/>
      <c r="S1823" s="382"/>
      <c r="T1823" s="383"/>
      <c r="U1823" s="384"/>
      <c r="V1823" s="12"/>
      <c r="W1823" s="12"/>
    </row>
    <row r="1824" spans="1:23" x14ac:dyDescent="0.3">
      <c r="A1824" s="193" t="str">
        <f ca="1"/>
        <v/>
      </c>
      <c r="B1824" s="378"/>
      <c r="C1824" s="315"/>
      <c r="D1824" s="316"/>
      <c r="E1824" s="315"/>
      <c r="F1824" s="315"/>
      <c r="G1824" s="315"/>
      <c r="H1824" s="153"/>
      <c r="I1824" s="12"/>
      <c r="J1824" s="170"/>
      <c r="K1824" s="12"/>
      <c r="L1824" s="379"/>
      <c r="M1824" s="380"/>
      <c r="N1824" s="380"/>
      <c r="O1824" s="12"/>
      <c r="P1824" s="381"/>
      <c r="Q1824" s="12"/>
      <c r="R1824" s="12"/>
      <c r="S1824" s="382"/>
      <c r="T1824" s="383"/>
      <c r="U1824" s="384"/>
      <c r="V1824" s="12"/>
      <c r="W1824" s="12"/>
    </row>
    <row r="1825" spans="1:23" x14ac:dyDescent="0.3">
      <c r="A1825" s="193" t="str">
        <f ca="1"/>
        <v/>
      </c>
      <c r="B1825" s="378"/>
      <c r="C1825" s="315"/>
      <c r="D1825" s="316"/>
      <c r="E1825" s="315"/>
      <c r="F1825" s="315"/>
      <c r="G1825" s="315"/>
      <c r="H1825" s="153"/>
      <c r="I1825" s="12"/>
      <c r="J1825" s="170"/>
      <c r="K1825" s="12"/>
      <c r="L1825" s="379"/>
      <c r="M1825" s="380"/>
      <c r="N1825" s="380"/>
      <c r="O1825" s="12"/>
      <c r="P1825" s="381"/>
      <c r="Q1825" s="12"/>
      <c r="R1825" s="12"/>
      <c r="S1825" s="382"/>
      <c r="T1825" s="383"/>
      <c r="U1825" s="384"/>
      <c r="V1825" s="12"/>
      <c r="W1825" s="12"/>
    </row>
    <row r="1826" spans="1:23" x14ac:dyDescent="0.3">
      <c r="A1826" s="193" t="str">
        <f ca="1"/>
        <v/>
      </c>
      <c r="B1826" s="378"/>
      <c r="C1826" s="315"/>
      <c r="D1826" s="316"/>
      <c r="E1826" s="315"/>
      <c r="F1826" s="315"/>
      <c r="G1826" s="315"/>
      <c r="H1826" s="153"/>
      <c r="I1826" s="12"/>
      <c r="J1826" s="170"/>
      <c r="K1826" s="12"/>
      <c r="L1826" s="379"/>
      <c r="M1826" s="380"/>
      <c r="N1826" s="380"/>
      <c r="O1826" s="12"/>
      <c r="P1826" s="381"/>
      <c r="Q1826" s="12"/>
      <c r="R1826" s="12"/>
      <c r="S1826" s="382"/>
      <c r="T1826" s="383"/>
      <c r="U1826" s="384"/>
      <c r="V1826" s="12"/>
      <c r="W1826" s="12"/>
    </row>
    <row r="1827" spans="1:23" x14ac:dyDescent="0.3">
      <c r="A1827" s="193" t="str">
        <f ca="1"/>
        <v/>
      </c>
      <c r="B1827" s="378"/>
      <c r="C1827" s="315"/>
      <c r="D1827" s="316"/>
      <c r="E1827" s="315"/>
      <c r="F1827" s="315"/>
      <c r="G1827" s="315"/>
      <c r="H1827" s="153"/>
      <c r="I1827" s="12"/>
      <c r="J1827" s="170"/>
      <c r="K1827" s="12"/>
      <c r="L1827" s="379"/>
      <c r="M1827" s="380"/>
      <c r="N1827" s="380"/>
      <c r="O1827" s="12"/>
      <c r="P1827" s="381"/>
      <c r="Q1827" s="12"/>
      <c r="R1827" s="12"/>
      <c r="S1827" s="382"/>
      <c r="T1827" s="383"/>
      <c r="U1827" s="384"/>
      <c r="V1827" s="12"/>
      <c r="W1827" s="12"/>
    </row>
    <row r="1828" spans="1:23" x14ac:dyDescent="0.3">
      <c r="A1828" s="193" t="str">
        <f ca="1"/>
        <v/>
      </c>
      <c r="B1828" s="378"/>
      <c r="C1828" s="315"/>
      <c r="D1828" s="316"/>
      <c r="E1828" s="315"/>
      <c r="F1828" s="315"/>
      <c r="G1828" s="315"/>
      <c r="H1828" s="153"/>
      <c r="I1828" s="12"/>
      <c r="J1828" s="170"/>
      <c r="K1828" s="12"/>
      <c r="L1828" s="379"/>
      <c r="M1828" s="380"/>
      <c r="N1828" s="380"/>
      <c r="O1828" s="12"/>
      <c r="P1828" s="381"/>
      <c r="Q1828" s="12"/>
      <c r="R1828" s="12"/>
      <c r="S1828" s="382"/>
      <c r="T1828" s="383"/>
      <c r="U1828" s="384"/>
      <c r="V1828" s="12"/>
      <c r="W1828" s="12"/>
    </row>
    <row r="1829" spans="1:23" x14ac:dyDescent="0.3">
      <c r="A1829" s="193" t="str">
        <f ca="1"/>
        <v/>
      </c>
      <c r="B1829" s="378"/>
      <c r="C1829" s="315"/>
      <c r="D1829" s="316"/>
      <c r="E1829" s="315"/>
      <c r="F1829" s="315"/>
      <c r="G1829" s="315"/>
      <c r="H1829" s="153"/>
      <c r="I1829" s="12"/>
      <c r="J1829" s="170"/>
      <c r="K1829" s="12"/>
      <c r="L1829" s="379"/>
      <c r="M1829" s="380"/>
      <c r="N1829" s="380"/>
      <c r="O1829" s="12"/>
      <c r="P1829" s="381"/>
      <c r="Q1829" s="12"/>
      <c r="R1829" s="12"/>
      <c r="S1829" s="382"/>
      <c r="T1829" s="383"/>
      <c r="U1829" s="384"/>
      <c r="V1829" s="12"/>
      <c r="W1829" s="12"/>
    </row>
    <row r="1830" spans="1:23" x14ac:dyDescent="0.3">
      <c r="A1830" s="193" t="str">
        <f ca="1"/>
        <v/>
      </c>
      <c r="B1830" s="378"/>
      <c r="C1830" s="315"/>
      <c r="D1830" s="316"/>
      <c r="E1830" s="315"/>
      <c r="F1830" s="315"/>
      <c r="G1830" s="315"/>
      <c r="H1830" s="153"/>
      <c r="I1830" s="12"/>
      <c r="J1830" s="170"/>
      <c r="K1830" s="12"/>
      <c r="L1830" s="379"/>
      <c r="M1830" s="380"/>
      <c r="N1830" s="380"/>
      <c r="O1830" s="12"/>
      <c r="P1830" s="381"/>
      <c r="Q1830" s="12"/>
      <c r="R1830" s="12"/>
      <c r="S1830" s="382"/>
      <c r="T1830" s="383"/>
      <c r="U1830" s="384"/>
      <c r="V1830" s="12"/>
      <c r="W1830" s="12"/>
    </row>
    <row r="1831" spans="1:23" x14ac:dyDescent="0.3">
      <c r="A1831" s="193" t="str">
        <f ca="1"/>
        <v/>
      </c>
      <c r="B1831" s="378"/>
      <c r="C1831" s="315"/>
      <c r="D1831" s="316"/>
      <c r="E1831" s="315"/>
      <c r="F1831" s="315"/>
      <c r="G1831" s="315"/>
      <c r="H1831" s="153"/>
      <c r="I1831" s="12"/>
      <c r="J1831" s="170"/>
      <c r="K1831" s="12"/>
      <c r="L1831" s="379"/>
      <c r="M1831" s="380"/>
      <c r="N1831" s="380"/>
      <c r="O1831" s="12"/>
      <c r="P1831" s="381"/>
      <c r="Q1831" s="12"/>
      <c r="R1831" s="12"/>
      <c r="S1831" s="382"/>
      <c r="T1831" s="383"/>
      <c r="U1831" s="384"/>
      <c r="V1831" s="12"/>
      <c r="W1831" s="12"/>
    </row>
    <row r="1832" spans="1:23" x14ac:dyDescent="0.3">
      <c r="A1832" s="193" t="str">
        <f ca="1"/>
        <v/>
      </c>
      <c r="B1832" s="378"/>
      <c r="C1832" s="315"/>
      <c r="D1832" s="316"/>
      <c r="E1832" s="315"/>
      <c r="F1832" s="315"/>
      <c r="G1832" s="315"/>
      <c r="H1832" s="153"/>
      <c r="I1832" s="12"/>
      <c r="J1832" s="170"/>
      <c r="K1832" s="12"/>
      <c r="L1832" s="379"/>
      <c r="M1832" s="380"/>
      <c r="N1832" s="380"/>
      <c r="O1832" s="12"/>
      <c r="P1832" s="381"/>
      <c r="Q1832" s="12"/>
      <c r="R1832" s="12"/>
      <c r="S1832" s="382"/>
      <c r="T1832" s="383"/>
      <c r="U1832" s="384"/>
      <c r="V1832" s="12"/>
      <c r="W1832" s="12"/>
    </row>
    <row r="1833" spans="1:23" x14ac:dyDescent="0.3">
      <c r="A1833" s="193" t="str">
        <f ca="1"/>
        <v/>
      </c>
      <c r="B1833" s="378"/>
      <c r="C1833" s="315"/>
      <c r="D1833" s="316"/>
      <c r="E1833" s="315"/>
      <c r="F1833" s="315"/>
      <c r="G1833" s="315"/>
      <c r="H1833" s="153"/>
      <c r="I1833" s="12"/>
      <c r="J1833" s="170"/>
      <c r="K1833" s="12"/>
      <c r="L1833" s="379"/>
      <c r="M1833" s="380"/>
      <c r="N1833" s="380"/>
      <c r="O1833" s="12"/>
      <c r="P1833" s="381"/>
      <c r="Q1833" s="12"/>
      <c r="R1833" s="12"/>
      <c r="S1833" s="382"/>
      <c r="T1833" s="383"/>
      <c r="U1833" s="384"/>
      <c r="V1833" s="12"/>
      <c r="W1833" s="12"/>
    </row>
    <row r="1834" spans="1:23" x14ac:dyDescent="0.3">
      <c r="A1834" s="193" t="str">
        <f ca="1"/>
        <v/>
      </c>
      <c r="B1834" s="378"/>
      <c r="C1834" s="315"/>
      <c r="D1834" s="316"/>
      <c r="E1834" s="315"/>
      <c r="F1834" s="315"/>
      <c r="G1834" s="315"/>
      <c r="H1834" s="153"/>
      <c r="I1834" s="12"/>
      <c r="J1834" s="170"/>
      <c r="K1834" s="12"/>
      <c r="L1834" s="379"/>
      <c r="M1834" s="380"/>
      <c r="N1834" s="380"/>
      <c r="O1834" s="12"/>
      <c r="P1834" s="381"/>
      <c r="Q1834" s="12"/>
      <c r="R1834" s="12"/>
      <c r="S1834" s="382"/>
      <c r="T1834" s="383"/>
      <c r="U1834" s="384"/>
      <c r="V1834" s="12"/>
      <c r="W1834" s="12"/>
    </row>
    <row r="1835" spans="1:23" x14ac:dyDescent="0.3">
      <c r="A1835" s="193" t="str">
        <f ca="1"/>
        <v/>
      </c>
      <c r="B1835" s="378"/>
      <c r="C1835" s="315"/>
      <c r="D1835" s="316"/>
      <c r="E1835" s="315"/>
      <c r="F1835" s="315"/>
      <c r="G1835" s="315"/>
      <c r="H1835" s="153"/>
      <c r="I1835" s="12"/>
      <c r="J1835" s="170"/>
      <c r="K1835" s="12"/>
      <c r="L1835" s="379"/>
      <c r="M1835" s="380"/>
      <c r="N1835" s="380"/>
      <c r="O1835" s="12"/>
      <c r="P1835" s="381"/>
      <c r="Q1835" s="12"/>
      <c r="R1835" s="12"/>
      <c r="S1835" s="382"/>
      <c r="T1835" s="383"/>
      <c r="U1835" s="384"/>
      <c r="V1835" s="12"/>
      <c r="W1835" s="12"/>
    </row>
    <row r="1836" spans="1:23" x14ac:dyDescent="0.3">
      <c r="A1836" s="193" t="str">
        <f ca="1"/>
        <v/>
      </c>
      <c r="B1836" s="378"/>
      <c r="C1836" s="315"/>
      <c r="D1836" s="316"/>
      <c r="E1836" s="315"/>
      <c r="F1836" s="315"/>
      <c r="G1836" s="315"/>
      <c r="H1836" s="153"/>
      <c r="I1836" s="12"/>
      <c r="J1836" s="170"/>
      <c r="K1836" s="12"/>
      <c r="L1836" s="379"/>
      <c r="M1836" s="380"/>
      <c r="N1836" s="380"/>
      <c r="O1836" s="12"/>
      <c r="P1836" s="381"/>
      <c r="Q1836" s="12"/>
      <c r="R1836" s="12"/>
      <c r="S1836" s="382"/>
      <c r="T1836" s="383"/>
      <c r="U1836" s="384"/>
      <c r="V1836" s="12"/>
      <c r="W1836" s="12"/>
    </row>
    <row r="1837" spans="1:23" x14ac:dyDescent="0.3">
      <c r="A1837" s="193" t="str">
        <f ca="1"/>
        <v/>
      </c>
      <c r="B1837" s="378"/>
      <c r="C1837" s="315"/>
      <c r="D1837" s="316"/>
      <c r="E1837" s="315"/>
      <c r="F1837" s="315"/>
      <c r="G1837" s="315"/>
      <c r="H1837" s="153"/>
      <c r="I1837" s="12"/>
      <c r="J1837" s="170"/>
      <c r="K1837" s="12"/>
      <c r="L1837" s="379"/>
      <c r="M1837" s="380"/>
      <c r="N1837" s="380"/>
      <c r="O1837" s="12"/>
      <c r="P1837" s="381"/>
      <c r="Q1837" s="12"/>
      <c r="R1837" s="12"/>
      <c r="S1837" s="382"/>
      <c r="T1837" s="383"/>
      <c r="U1837" s="384"/>
      <c r="V1837" s="12"/>
      <c r="W1837" s="12"/>
    </row>
    <row r="1838" spans="1:23" x14ac:dyDescent="0.3">
      <c r="A1838" s="193" t="str">
        <f ca="1"/>
        <v/>
      </c>
      <c r="B1838" s="378"/>
      <c r="C1838" s="315"/>
      <c r="D1838" s="316"/>
      <c r="E1838" s="315"/>
      <c r="F1838" s="315"/>
      <c r="G1838" s="315"/>
      <c r="H1838" s="153"/>
      <c r="I1838" s="12"/>
      <c r="J1838" s="170"/>
      <c r="K1838" s="12"/>
      <c r="L1838" s="379"/>
      <c r="M1838" s="380"/>
      <c r="N1838" s="380"/>
      <c r="O1838" s="12"/>
      <c r="P1838" s="381"/>
      <c r="Q1838" s="12"/>
      <c r="R1838" s="12"/>
      <c r="S1838" s="382"/>
      <c r="T1838" s="383"/>
      <c r="U1838" s="384"/>
      <c r="V1838" s="12"/>
      <c r="W1838" s="12"/>
    </row>
    <row r="1839" spans="1:23" x14ac:dyDescent="0.3">
      <c r="A1839" s="193" t="str">
        <f ca="1"/>
        <v/>
      </c>
      <c r="B1839" s="378"/>
      <c r="C1839" s="315"/>
      <c r="D1839" s="316"/>
      <c r="E1839" s="315"/>
      <c r="F1839" s="315"/>
      <c r="G1839" s="315"/>
      <c r="H1839" s="153"/>
      <c r="I1839" s="12"/>
      <c r="J1839" s="170"/>
      <c r="K1839" s="12"/>
      <c r="L1839" s="379"/>
      <c r="M1839" s="380"/>
      <c r="N1839" s="380"/>
      <c r="O1839" s="12"/>
      <c r="P1839" s="381"/>
      <c r="Q1839" s="12"/>
      <c r="R1839" s="12"/>
      <c r="S1839" s="382"/>
      <c r="T1839" s="383"/>
      <c r="U1839" s="384"/>
      <c r="V1839" s="12"/>
      <c r="W1839" s="12"/>
    </row>
    <row r="1840" spans="1:23" x14ac:dyDescent="0.3">
      <c r="A1840" s="193" t="str">
        <f ca="1"/>
        <v/>
      </c>
      <c r="B1840" s="378"/>
      <c r="C1840" s="315"/>
      <c r="D1840" s="316"/>
      <c r="E1840" s="315"/>
      <c r="F1840" s="315"/>
      <c r="G1840" s="315"/>
      <c r="H1840" s="153"/>
      <c r="I1840" s="12"/>
      <c r="J1840" s="170"/>
      <c r="K1840" s="12"/>
      <c r="L1840" s="379"/>
      <c r="M1840" s="380"/>
      <c r="N1840" s="380"/>
      <c r="O1840" s="12"/>
      <c r="P1840" s="381"/>
      <c r="Q1840" s="12"/>
      <c r="R1840" s="12"/>
      <c r="S1840" s="382"/>
      <c r="T1840" s="383"/>
      <c r="U1840" s="384"/>
      <c r="V1840" s="12"/>
      <c r="W1840" s="12"/>
    </row>
    <row r="1841" spans="1:23" x14ac:dyDescent="0.3">
      <c r="A1841" s="193" t="str">
        <f ca="1"/>
        <v/>
      </c>
      <c r="B1841" s="378"/>
      <c r="C1841" s="315"/>
      <c r="D1841" s="316"/>
      <c r="E1841" s="315"/>
      <c r="F1841" s="315"/>
      <c r="G1841" s="315"/>
      <c r="H1841" s="153"/>
      <c r="I1841" s="12"/>
      <c r="J1841" s="170"/>
      <c r="K1841" s="12"/>
      <c r="L1841" s="379"/>
      <c r="M1841" s="380"/>
      <c r="N1841" s="380"/>
      <c r="O1841" s="12"/>
      <c r="P1841" s="381"/>
      <c r="Q1841" s="12"/>
      <c r="R1841" s="12"/>
      <c r="S1841" s="382"/>
      <c r="T1841" s="383"/>
      <c r="U1841" s="384"/>
      <c r="V1841" s="12"/>
      <c r="W1841" s="12"/>
    </row>
    <row r="1842" spans="1:23" x14ac:dyDescent="0.3">
      <c r="A1842" s="193" t="str">
        <f ca="1"/>
        <v/>
      </c>
      <c r="B1842" s="378"/>
      <c r="C1842" s="315"/>
      <c r="D1842" s="316"/>
      <c r="E1842" s="315"/>
      <c r="F1842" s="315"/>
      <c r="G1842" s="315"/>
      <c r="H1842" s="153"/>
      <c r="I1842" s="12"/>
      <c r="J1842" s="170"/>
      <c r="K1842" s="12"/>
      <c r="L1842" s="379"/>
      <c r="M1842" s="380"/>
      <c r="N1842" s="380"/>
      <c r="O1842" s="12"/>
      <c r="P1842" s="381"/>
      <c r="Q1842" s="12"/>
      <c r="R1842" s="12"/>
      <c r="S1842" s="382"/>
      <c r="T1842" s="383"/>
      <c r="U1842" s="384"/>
      <c r="V1842" s="12"/>
      <c r="W1842" s="12"/>
    </row>
    <row r="1843" spans="1:23" x14ac:dyDescent="0.3">
      <c r="A1843" s="193" t="str">
        <f ca="1"/>
        <v/>
      </c>
      <c r="B1843" s="378"/>
      <c r="C1843" s="315"/>
      <c r="D1843" s="316"/>
      <c r="E1843" s="315"/>
      <c r="F1843" s="315"/>
      <c r="G1843" s="315"/>
      <c r="H1843" s="153"/>
      <c r="I1843" s="12"/>
      <c r="J1843" s="170"/>
      <c r="K1843" s="12"/>
      <c r="L1843" s="379"/>
      <c r="M1843" s="380"/>
      <c r="N1843" s="380"/>
      <c r="O1843" s="12"/>
      <c r="P1843" s="381"/>
      <c r="Q1843" s="12"/>
      <c r="R1843" s="12"/>
      <c r="S1843" s="382"/>
      <c r="T1843" s="383"/>
      <c r="U1843" s="384"/>
      <c r="V1843" s="12"/>
      <c r="W1843" s="12"/>
    </row>
    <row r="1844" spans="1:23" x14ac:dyDescent="0.3">
      <c r="A1844" s="193" t="str">
        <f ca="1"/>
        <v/>
      </c>
      <c r="B1844" s="378"/>
      <c r="C1844" s="315"/>
      <c r="D1844" s="316"/>
      <c r="E1844" s="315"/>
      <c r="F1844" s="315"/>
      <c r="G1844" s="315"/>
      <c r="H1844" s="153"/>
      <c r="I1844" s="12"/>
      <c r="J1844" s="170"/>
      <c r="K1844" s="12"/>
      <c r="L1844" s="379"/>
      <c r="M1844" s="380"/>
      <c r="N1844" s="380"/>
      <c r="O1844" s="12"/>
      <c r="P1844" s="381"/>
      <c r="Q1844" s="12"/>
      <c r="R1844" s="12"/>
      <c r="S1844" s="382"/>
      <c r="T1844" s="383"/>
      <c r="U1844" s="384"/>
      <c r="V1844" s="12"/>
      <c r="W1844" s="12"/>
    </row>
    <row r="1845" spans="1:23" x14ac:dyDescent="0.3">
      <c r="A1845" s="193" t="str">
        <f ca="1"/>
        <v/>
      </c>
      <c r="B1845" s="378"/>
      <c r="C1845" s="315"/>
      <c r="D1845" s="316"/>
      <c r="E1845" s="315"/>
      <c r="F1845" s="315"/>
      <c r="G1845" s="315"/>
      <c r="H1845" s="153"/>
      <c r="I1845" s="12"/>
      <c r="J1845" s="170"/>
      <c r="K1845" s="12"/>
      <c r="L1845" s="379"/>
      <c r="M1845" s="380"/>
      <c r="N1845" s="380"/>
      <c r="O1845" s="12"/>
      <c r="P1845" s="381"/>
      <c r="Q1845" s="12"/>
      <c r="R1845" s="12"/>
      <c r="S1845" s="382"/>
      <c r="T1845" s="383"/>
      <c r="U1845" s="384"/>
      <c r="V1845" s="12"/>
      <c r="W1845" s="12"/>
    </row>
    <row r="1846" spans="1:23" x14ac:dyDescent="0.3">
      <c r="A1846" s="193" t="str">
        <f ca="1"/>
        <v/>
      </c>
      <c r="B1846" s="378"/>
      <c r="C1846" s="315"/>
      <c r="D1846" s="316"/>
      <c r="E1846" s="315"/>
      <c r="F1846" s="315"/>
      <c r="G1846" s="315"/>
      <c r="H1846" s="153"/>
      <c r="I1846" s="12"/>
      <c r="J1846" s="170"/>
      <c r="K1846" s="12"/>
      <c r="L1846" s="379"/>
      <c r="M1846" s="380"/>
      <c r="N1846" s="380"/>
      <c r="O1846" s="12"/>
      <c r="P1846" s="381"/>
      <c r="Q1846" s="12"/>
      <c r="R1846" s="12"/>
      <c r="S1846" s="382"/>
      <c r="T1846" s="383"/>
      <c r="U1846" s="384"/>
      <c r="V1846" s="12"/>
      <c r="W1846" s="12"/>
    </row>
    <row r="1847" spans="1:23" x14ac:dyDescent="0.3">
      <c r="A1847" s="193" t="str">
        <f ca="1"/>
        <v/>
      </c>
      <c r="B1847" s="378"/>
      <c r="C1847" s="315"/>
      <c r="D1847" s="316"/>
      <c r="E1847" s="315"/>
      <c r="F1847" s="315"/>
      <c r="G1847" s="315"/>
      <c r="H1847" s="153"/>
      <c r="I1847" s="12"/>
      <c r="J1847" s="170"/>
      <c r="K1847" s="12"/>
      <c r="L1847" s="379"/>
      <c r="M1847" s="380"/>
      <c r="N1847" s="380"/>
      <c r="O1847" s="12"/>
      <c r="P1847" s="381"/>
      <c r="Q1847" s="12"/>
      <c r="R1847" s="12"/>
      <c r="S1847" s="382"/>
      <c r="T1847" s="383"/>
      <c r="U1847" s="384"/>
      <c r="V1847" s="12"/>
      <c r="W1847" s="12"/>
    </row>
    <row r="1848" spans="1:23" x14ac:dyDescent="0.3">
      <c r="A1848" s="193" t="str">
        <f ca="1"/>
        <v/>
      </c>
      <c r="B1848" s="378"/>
      <c r="C1848" s="315"/>
      <c r="D1848" s="316"/>
      <c r="E1848" s="315"/>
      <c r="F1848" s="315"/>
      <c r="G1848" s="315"/>
      <c r="H1848" s="153"/>
      <c r="I1848" s="12"/>
      <c r="J1848" s="170"/>
      <c r="K1848" s="12"/>
      <c r="L1848" s="379"/>
      <c r="M1848" s="380"/>
      <c r="N1848" s="380"/>
      <c r="O1848" s="12"/>
      <c r="P1848" s="381"/>
      <c r="Q1848" s="12"/>
      <c r="R1848" s="12"/>
      <c r="S1848" s="382"/>
      <c r="T1848" s="383"/>
      <c r="U1848" s="384"/>
      <c r="V1848" s="12"/>
      <c r="W1848" s="12"/>
    </row>
    <row r="1849" spans="1:23" x14ac:dyDescent="0.3">
      <c r="A1849" s="193" t="str">
        <f ca="1"/>
        <v/>
      </c>
      <c r="B1849" s="378"/>
      <c r="C1849" s="315"/>
      <c r="D1849" s="316"/>
      <c r="E1849" s="315"/>
      <c r="F1849" s="315"/>
      <c r="G1849" s="315"/>
      <c r="H1849" s="153"/>
      <c r="I1849" s="12"/>
      <c r="J1849" s="170"/>
      <c r="K1849" s="12"/>
      <c r="L1849" s="379"/>
      <c r="M1849" s="380"/>
      <c r="N1849" s="380"/>
      <c r="O1849" s="12"/>
      <c r="P1849" s="381"/>
      <c r="Q1849" s="12"/>
      <c r="R1849" s="12"/>
      <c r="S1849" s="382"/>
      <c r="T1849" s="383"/>
      <c r="U1849" s="384"/>
      <c r="V1849" s="12"/>
      <c r="W1849" s="12"/>
    </row>
    <row r="1850" spans="1:23" x14ac:dyDescent="0.3">
      <c r="A1850" s="193" t="str">
        <f ca="1"/>
        <v/>
      </c>
      <c r="B1850" s="378"/>
      <c r="C1850" s="315"/>
      <c r="D1850" s="316"/>
      <c r="E1850" s="315"/>
      <c r="F1850" s="315"/>
      <c r="G1850" s="315"/>
      <c r="H1850" s="153"/>
      <c r="I1850" s="12"/>
      <c r="J1850" s="170"/>
      <c r="K1850" s="12"/>
      <c r="L1850" s="379"/>
      <c r="M1850" s="380"/>
      <c r="N1850" s="380"/>
      <c r="O1850" s="12"/>
      <c r="P1850" s="381"/>
      <c r="Q1850" s="12"/>
      <c r="R1850" s="12"/>
      <c r="S1850" s="382"/>
      <c r="T1850" s="383"/>
      <c r="U1850" s="384"/>
      <c r="V1850" s="12"/>
      <c r="W1850" s="12"/>
    </row>
    <row r="1851" spans="1:23" x14ac:dyDescent="0.3">
      <c r="A1851" s="193" t="str">
        <f ca="1"/>
        <v/>
      </c>
      <c r="B1851" s="378"/>
      <c r="C1851" s="315"/>
      <c r="D1851" s="316"/>
      <c r="E1851" s="315"/>
      <c r="F1851" s="315"/>
      <c r="G1851" s="315"/>
      <c r="H1851" s="153"/>
      <c r="I1851" s="12"/>
      <c r="J1851" s="170"/>
      <c r="K1851" s="12"/>
      <c r="L1851" s="379"/>
      <c r="M1851" s="380"/>
      <c r="N1851" s="380"/>
      <c r="O1851" s="12"/>
      <c r="P1851" s="381"/>
      <c r="Q1851" s="12"/>
      <c r="R1851" s="12"/>
      <c r="S1851" s="382"/>
      <c r="T1851" s="383"/>
      <c r="U1851" s="384"/>
      <c r="V1851" s="12"/>
      <c r="W1851" s="12"/>
    </row>
    <row r="1852" spans="1:23" x14ac:dyDescent="0.3">
      <c r="A1852" s="193" t="str">
        <f ca="1"/>
        <v/>
      </c>
      <c r="B1852" s="378"/>
      <c r="C1852" s="315"/>
      <c r="D1852" s="316"/>
      <c r="E1852" s="315"/>
      <c r="F1852" s="315"/>
      <c r="G1852" s="315"/>
      <c r="H1852" s="153"/>
      <c r="I1852" s="12"/>
      <c r="J1852" s="170"/>
      <c r="K1852" s="12"/>
      <c r="L1852" s="379"/>
      <c r="M1852" s="380"/>
      <c r="N1852" s="380"/>
      <c r="O1852" s="12"/>
      <c r="P1852" s="381"/>
      <c r="Q1852" s="12"/>
      <c r="R1852" s="12"/>
      <c r="S1852" s="382"/>
      <c r="T1852" s="383"/>
      <c r="U1852" s="384"/>
      <c r="V1852" s="12"/>
      <c r="W1852" s="12"/>
    </row>
    <row r="1853" spans="1:23" x14ac:dyDescent="0.3">
      <c r="A1853" s="193" t="str">
        <f ca="1"/>
        <v/>
      </c>
      <c r="B1853" s="378"/>
      <c r="C1853" s="315"/>
      <c r="D1853" s="316"/>
      <c r="E1853" s="315"/>
      <c r="F1853" s="315"/>
      <c r="G1853" s="315"/>
      <c r="H1853" s="153"/>
      <c r="I1853" s="12"/>
      <c r="J1853" s="170"/>
      <c r="K1853" s="12"/>
      <c r="L1853" s="379"/>
      <c r="M1853" s="380"/>
      <c r="N1853" s="380"/>
      <c r="O1853" s="12"/>
      <c r="P1853" s="381"/>
      <c r="Q1853" s="12"/>
      <c r="R1853" s="12"/>
      <c r="S1853" s="382"/>
      <c r="T1853" s="383"/>
      <c r="U1853" s="384"/>
      <c r="V1853" s="12"/>
      <c r="W1853" s="12"/>
    </row>
    <row r="1854" spans="1:23" x14ac:dyDescent="0.3">
      <c r="A1854" s="193" t="str">
        <f ca="1"/>
        <v/>
      </c>
      <c r="B1854" s="378"/>
      <c r="C1854" s="315"/>
      <c r="D1854" s="316"/>
      <c r="E1854" s="315"/>
      <c r="F1854" s="315"/>
      <c r="G1854" s="315"/>
      <c r="H1854" s="153"/>
      <c r="I1854" s="12"/>
      <c r="J1854" s="170"/>
      <c r="K1854" s="12"/>
      <c r="L1854" s="379"/>
      <c r="M1854" s="380"/>
      <c r="N1854" s="380"/>
      <c r="O1854" s="12"/>
      <c r="P1854" s="381"/>
      <c r="Q1854" s="12"/>
      <c r="R1854" s="12"/>
      <c r="S1854" s="382"/>
      <c r="T1854" s="383"/>
      <c r="U1854" s="384"/>
      <c r="V1854" s="12"/>
      <c r="W1854" s="12"/>
    </row>
    <row r="1855" spans="1:23" x14ac:dyDescent="0.3">
      <c r="A1855" s="193" t="str">
        <f ca="1"/>
        <v/>
      </c>
      <c r="B1855" s="378"/>
      <c r="C1855" s="315"/>
      <c r="D1855" s="316"/>
      <c r="E1855" s="315"/>
      <c r="F1855" s="315"/>
      <c r="G1855" s="315"/>
      <c r="H1855" s="153"/>
      <c r="I1855" s="12"/>
      <c r="J1855" s="170"/>
      <c r="K1855" s="12"/>
      <c r="L1855" s="379"/>
      <c r="M1855" s="380"/>
      <c r="N1855" s="380"/>
      <c r="O1855" s="12"/>
      <c r="P1855" s="381"/>
      <c r="Q1855" s="12"/>
      <c r="R1855" s="12"/>
      <c r="S1855" s="382"/>
      <c r="T1855" s="383"/>
      <c r="U1855" s="384"/>
      <c r="V1855" s="12"/>
      <c r="W1855" s="12"/>
    </row>
    <row r="1856" spans="1:23" x14ac:dyDescent="0.3">
      <c r="A1856" s="193" t="str">
        <f ca="1"/>
        <v/>
      </c>
      <c r="B1856" s="378"/>
      <c r="C1856" s="315"/>
      <c r="D1856" s="316"/>
      <c r="E1856" s="315"/>
      <c r="F1856" s="315"/>
      <c r="G1856" s="315"/>
      <c r="H1856" s="153"/>
      <c r="I1856" s="12"/>
      <c r="J1856" s="170"/>
      <c r="K1856" s="12"/>
      <c r="L1856" s="379"/>
      <c r="M1856" s="380"/>
      <c r="N1856" s="380"/>
      <c r="O1856" s="12"/>
      <c r="P1856" s="381"/>
      <c r="Q1856" s="12"/>
      <c r="R1856" s="12"/>
      <c r="S1856" s="382"/>
      <c r="T1856" s="383"/>
      <c r="U1856" s="384"/>
      <c r="V1856" s="12"/>
      <c r="W1856" s="12"/>
    </row>
    <row r="1857" spans="1:23" x14ac:dyDescent="0.3">
      <c r="A1857" s="193" t="str">
        <f ca="1"/>
        <v/>
      </c>
      <c r="B1857" s="378"/>
      <c r="C1857" s="315"/>
      <c r="D1857" s="316"/>
      <c r="E1857" s="315"/>
      <c r="F1857" s="315"/>
      <c r="G1857" s="315"/>
      <c r="H1857" s="153"/>
      <c r="I1857" s="12"/>
      <c r="J1857" s="170"/>
      <c r="K1857" s="12"/>
      <c r="L1857" s="379"/>
      <c r="M1857" s="380"/>
      <c r="N1857" s="380"/>
      <c r="O1857" s="12"/>
      <c r="P1857" s="381"/>
      <c r="Q1857" s="12"/>
      <c r="R1857" s="12"/>
      <c r="S1857" s="382"/>
      <c r="T1857" s="383"/>
      <c r="U1857" s="384"/>
      <c r="V1857" s="12"/>
      <c r="W1857" s="12"/>
    </row>
    <row r="1858" spans="1:23" x14ac:dyDescent="0.3">
      <c r="A1858" s="193" t="str">
        <f ca="1"/>
        <v/>
      </c>
      <c r="B1858" s="378"/>
      <c r="C1858" s="315"/>
      <c r="D1858" s="316"/>
      <c r="E1858" s="315"/>
      <c r="F1858" s="315"/>
      <c r="G1858" s="315"/>
      <c r="H1858" s="153"/>
      <c r="I1858" s="12"/>
      <c r="J1858" s="170"/>
      <c r="K1858" s="12"/>
      <c r="L1858" s="379"/>
      <c r="M1858" s="380"/>
      <c r="N1858" s="380"/>
      <c r="O1858" s="12"/>
      <c r="P1858" s="381"/>
      <c r="Q1858" s="12"/>
      <c r="R1858" s="12"/>
      <c r="S1858" s="382"/>
      <c r="T1858" s="383"/>
      <c r="U1858" s="384"/>
      <c r="V1858" s="12"/>
      <c r="W1858" s="12"/>
    </row>
    <row r="1859" spans="1:23" x14ac:dyDescent="0.3">
      <c r="A1859" s="193" t="str">
        <f ca="1"/>
        <v/>
      </c>
      <c r="B1859" s="378"/>
      <c r="C1859" s="315"/>
      <c r="D1859" s="316"/>
      <c r="E1859" s="315"/>
      <c r="F1859" s="315"/>
      <c r="G1859" s="315"/>
      <c r="H1859" s="153"/>
      <c r="I1859" s="12"/>
      <c r="J1859" s="170"/>
      <c r="K1859" s="12"/>
      <c r="L1859" s="379"/>
      <c r="M1859" s="380"/>
      <c r="N1859" s="380"/>
      <c r="O1859" s="12"/>
      <c r="P1859" s="381"/>
      <c r="Q1859" s="12"/>
      <c r="R1859" s="12"/>
      <c r="S1859" s="382"/>
      <c r="T1859" s="383"/>
      <c r="U1859" s="384"/>
      <c r="V1859" s="12"/>
      <c r="W1859" s="12"/>
    </row>
    <row r="1860" spans="1:23" x14ac:dyDescent="0.3">
      <c r="A1860" s="193" t="str">
        <f ca="1"/>
        <v/>
      </c>
      <c r="B1860" s="378"/>
      <c r="C1860" s="315"/>
      <c r="D1860" s="316"/>
      <c r="E1860" s="315"/>
      <c r="F1860" s="315"/>
      <c r="G1860" s="315"/>
      <c r="H1860" s="153"/>
      <c r="I1860" s="12"/>
      <c r="J1860" s="170"/>
      <c r="K1860" s="12"/>
      <c r="L1860" s="379"/>
      <c r="M1860" s="380"/>
      <c r="N1860" s="380"/>
      <c r="O1860" s="12"/>
      <c r="P1860" s="381"/>
      <c r="Q1860" s="12"/>
      <c r="R1860" s="12"/>
      <c r="S1860" s="382"/>
      <c r="T1860" s="383"/>
      <c r="U1860" s="384"/>
      <c r="V1860" s="12"/>
      <c r="W1860" s="12"/>
    </row>
    <row r="1861" spans="1:23" x14ac:dyDescent="0.3">
      <c r="A1861" s="193" t="str">
        <f ca="1"/>
        <v/>
      </c>
      <c r="B1861" s="378"/>
      <c r="C1861" s="315"/>
      <c r="D1861" s="316"/>
      <c r="E1861" s="315"/>
      <c r="F1861" s="315"/>
      <c r="G1861" s="315"/>
      <c r="H1861" s="153"/>
      <c r="I1861" s="12"/>
      <c r="J1861" s="170"/>
      <c r="K1861" s="12"/>
      <c r="L1861" s="379"/>
      <c r="M1861" s="380"/>
      <c r="N1861" s="380"/>
      <c r="O1861" s="12"/>
      <c r="P1861" s="381"/>
      <c r="Q1861" s="12"/>
      <c r="R1861" s="12"/>
      <c r="S1861" s="382"/>
      <c r="T1861" s="383"/>
      <c r="U1861" s="384"/>
      <c r="V1861" s="12"/>
      <c r="W1861" s="12"/>
    </row>
    <row r="1862" spans="1:23" x14ac:dyDescent="0.3">
      <c r="A1862" s="193" t="str">
        <f ca="1"/>
        <v/>
      </c>
      <c r="B1862" s="378"/>
      <c r="C1862" s="315"/>
      <c r="D1862" s="316"/>
      <c r="E1862" s="315"/>
      <c r="F1862" s="315"/>
      <c r="G1862" s="315"/>
      <c r="H1862" s="153"/>
      <c r="I1862" s="12"/>
      <c r="J1862" s="170"/>
      <c r="K1862" s="12"/>
      <c r="L1862" s="379"/>
      <c r="M1862" s="380"/>
      <c r="N1862" s="380"/>
      <c r="O1862" s="12"/>
      <c r="P1862" s="381"/>
      <c r="Q1862" s="12"/>
      <c r="R1862" s="12"/>
      <c r="S1862" s="382"/>
      <c r="T1862" s="383"/>
      <c r="U1862" s="384"/>
      <c r="V1862" s="12"/>
      <c r="W1862" s="12"/>
    </row>
    <row r="1863" spans="1:23" x14ac:dyDescent="0.3">
      <c r="A1863" s="193" t="str">
        <f ca="1"/>
        <v/>
      </c>
      <c r="B1863" s="378"/>
      <c r="C1863" s="315"/>
      <c r="D1863" s="316"/>
      <c r="E1863" s="315"/>
      <c r="F1863" s="315"/>
      <c r="G1863" s="315"/>
      <c r="H1863" s="153"/>
      <c r="I1863" s="12"/>
      <c r="J1863" s="170"/>
      <c r="K1863" s="12"/>
      <c r="L1863" s="379"/>
      <c r="M1863" s="380"/>
      <c r="N1863" s="380"/>
      <c r="O1863" s="12"/>
      <c r="P1863" s="381"/>
      <c r="Q1863" s="12"/>
      <c r="R1863" s="12"/>
      <c r="S1863" s="382"/>
      <c r="T1863" s="383"/>
      <c r="U1863" s="384"/>
      <c r="V1863" s="12"/>
      <c r="W1863" s="12"/>
    </row>
    <row r="1864" spans="1:23" x14ac:dyDescent="0.3">
      <c r="A1864" s="193" t="str">
        <f ca="1"/>
        <v/>
      </c>
      <c r="B1864" s="378"/>
      <c r="C1864" s="315"/>
      <c r="D1864" s="316"/>
      <c r="E1864" s="315"/>
      <c r="F1864" s="315"/>
      <c r="G1864" s="315"/>
      <c r="H1864" s="153"/>
      <c r="I1864" s="12"/>
      <c r="J1864" s="170"/>
      <c r="K1864" s="12"/>
      <c r="L1864" s="379"/>
      <c r="M1864" s="380"/>
      <c r="N1864" s="380"/>
      <c r="O1864" s="12"/>
      <c r="P1864" s="381"/>
      <c r="Q1864" s="12"/>
      <c r="R1864" s="12"/>
      <c r="S1864" s="382"/>
      <c r="T1864" s="383"/>
      <c r="U1864" s="384"/>
      <c r="V1864" s="12"/>
      <c r="W1864" s="12"/>
    </row>
    <row r="1865" spans="1:23" x14ac:dyDescent="0.3">
      <c r="A1865" s="193" t="str">
        <f ca="1"/>
        <v/>
      </c>
      <c r="B1865" s="378"/>
      <c r="C1865" s="315"/>
      <c r="D1865" s="316"/>
      <c r="E1865" s="315"/>
      <c r="F1865" s="315"/>
      <c r="G1865" s="315"/>
      <c r="H1865" s="153"/>
      <c r="I1865" s="12"/>
      <c r="J1865" s="170"/>
      <c r="K1865" s="12"/>
      <c r="L1865" s="379"/>
      <c r="M1865" s="380"/>
      <c r="N1865" s="380"/>
      <c r="O1865" s="12"/>
      <c r="P1865" s="381"/>
      <c r="Q1865" s="12"/>
      <c r="R1865" s="12"/>
      <c r="S1865" s="382"/>
      <c r="T1865" s="383"/>
      <c r="U1865" s="384"/>
      <c r="V1865" s="12"/>
      <c r="W1865" s="12"/>
    </row>
    <row r="1866" spans="1:23" x14ac:dyDescent="0.3">
      <c r="A1866" s="193" t="str">
        <f ca="1"/>
        <v/>
      </c>
      <c r="B1866" s="378"/>
      <c r="C1866" s="315"/>
      <c r="D1866" s="316"/>
      <c r="E1866" s="315"/>
      <c r="F1866" s="315"/>
      <c r="G1866" s="315"/>
      <c r="H1866" s="153"/>
      <c r="I1866" s="12"/>
      <c r="J1866" s="170"/>
      <c r="K1866" s="12"/>
      <c r="L1866" s="379"/>
      <c r="M1866" s="380"/>
      <c r="N1866" s="380"/>
      <c r="O1866" s="12"/>
      <c r="P1866" s="381"/>
      <c r="Q1866" s="12"/>
      <c r="R1866" s="12"/>
      <c r="S1866" s="382"/>
      <c r="T1866" s="383"/>
      <c r="U1866" s="384"/>
      <c r="V1866" s="12"/>
      <c r="W1866" s="12"/>
    </row>
    <row r="1867" spans="1:23" x14ac:dyDescent="0.3">
      <c r="A1867" s="193" t="str">
        <f ca="1"/>
        <v/>
      </c>
      <c r="B1867" s="378"/>
      <c r="C1867" s="315"/>
      <c r="D1867" s="316"/>
      <c r="E1867" s="315"/>
      <c r="F1867" s="315"/>
      <c r="G1867" s="315"/>
      <c r="H1867" s="153"/>
      <c r="I1867" s="12"/>
      <c r="J1867" s="170"/>
      <c r="K1867" s="12"/>
      <c r="L1867" s="379"/>
      <c r="M1867" s="380"/>
      <c r="N1867" s="380"/>
      <c r="O1867" s="12"/>
      <c r="P1867" s="381"/>
      <c r="Q1867" s="12"/>
      <c r="R1867" s="12"/>
      <c r="S1867" s="382"/>
      <c r="T1867" s="383"/>
      <c r="U1867" s="384"/>
      <c r="V1867" s="12"/>
      <c r="W1867" s="12"/>
    </row>
    <row r="1868" spans="1:23" x14ac:dyDescent="0.3">
      <c r="A1868" s="193" t="str">
        <f ca="1"/>
        <v/>
      </c>
      <c r="B1868" s="378"/>
      <c r="C1868" s="315"/>
      <c r="D1868" s="316"/>
      <c r="E1868" s="315"/>
      <c r="F1868" s="315"/>
      <c r="G1868" s="315"/>
      <c r="H1868" s="153"/>
      <c r="I1868" s="12"/>
      <c r="J1868" s="170"/>
      <c r="K1868" s="12"/>
      <c r="L1868" s="379"/>
      <c r="M1868" s="380"/>
      <c r="N1868" s="380"/>
      <c r="O1868" s="12"/>
      <c r="P1868" s="381"/>
      <c r="Q1868" s="12"/>
      <c r="R1868" s="12"/>
      <c r="S1868" s="382"/>
      <c r="T1868" s="383"/>
      <c r="U1868" s="384"/>
      <c r="V1868" s="12"/>
      <c r="W1868" s="12"/>
    </row>
    <row r="1869" spans="1:23" x14ac:dyDescent="0.3">
      <c r="A1869" s="193" t="str">
        <f ca="1"/>
        <v/>
      </c>
      <c r="B1869" s="378"/>
      <c r="C1869" s="315"/>
      <c r="D1869" s="316"/>
      <c r="E1869" s="315"/>
      <c r="F1869" s="315"/>
      <c r="G1869" s="315"/>
      <c r="H1869" s="153"/>
      <c r="I1869" s="12"/>
      <c r="J1869" s="170"/>
      <c r="K1869" s="12"/>
      <c r="L1869" s="379"/>
      <c r="M1869" s="380"/>
      <c r="N1869" s="380"/>
      <c r="O1869" s="12"/>
      <c r="P1869" s="381"/>
      <c r="Q1869" s="12"/>
      <c r="R1869" s="12"/>
      <c r="S1869" s="382"/>
      <c r="T1869" s="383"/>
      <c r="U1869" s="384"/>
      <c r="V1869" s="12"/>
      <c r="W1869" s="12"/>
    </row>
    <row r="1870" spans="1:23" x14ac:dyDescent="0.3">
      <c r="A1870" s="193" t="str">
        <f ca="1"/>
        <v/>
      </c>
      <c r="B1870" s="378"/>
      <c r="C1870" s="315"/>
      <c r="D1870" s="316"/>
      <c r="E1870" s="315"/>
      <c r="F1870" s="315"/>
      <c r="G1870" s="315"/>
      <c r="H1870" s="153"/>
      <c r="I1870" s="12"/>
      <c r="J1870" s="170"/>
      <c r="K1870" s="12"/>
      <c r="L1870" s="379"/>
      <c r="M1870" s="380"/>
      <c r="N1870" s="380"/>
      <c r="O1870" s="12"/>
      <c r="P1870" s="381"/>
      <c r="Q1870" s="12"/>
      <c r="R1870" s="12"/>
      <c r="S1870" s="382"/>
      <c r="T1870" s="383"/>
      <c r="U1870" s="384"/>
      <c r="V1870" s="12"/>
      <c r="W1870" s="12"/>
    </row>
    <row r="1871" spans="1:23" x14ac:dyDescent="0.3">
      <c r="A1871" s="193" t="str">
        <f ca="1"/>
        <v/>
      </c>
      <c r="B1871" s="378"/>
      <c r="C1871" s="315"/>
      <c r="D1871" s="316"/>
      <c r="E1871" s="315"/>
      <c r="F1871" s="315"/>
      <c r="G1871" s="315"/>
      <c r="H1871" s="153"/>
      <c r="I1871" s="12"/>
      <c r="J1871" s="170"/>
      <c r="K1871" s="12"/>
      <c r="L1871" s="379"/>
      <c r="M1871" s="380"/>
      <c r="N1871" s="380"/>
      <c r="O1871" s="12"/>
      <c r="P1871" s="381"/>
      <c r="Q1871" s="12"/>
      <c r="R1871" s="12"/>
      <c r="S1871" s="382"/>
      <c r="T1871" s="383"/>
      <c r="U1871" s="384"/>
      <c r="V1871" s="12"/>
      <c r="W1871" s="12"/>
    </row>
    <row r="1872" spans="1:23" x14ac:dyDescent="0.3">
      <c r="A1872" s="193" t="str">
        <f ca="1"/>
        <v/>
      </c>
      <c r="B1872" s="378"/>
      <c r="C1872" s="315"/>
      <c r="D1872" s="316"/>
      <c r="E1872" s="315"/>
      <c r="F1872" s="315"/>
      <c r="G1872" s="315"/>
      <c r="H1872" s="153"/>
      <c r="I1872" s="12"/>
      <c r="J1872" s="170"/>
      <c r="K1872" s="12"/>
      <c r="L1872" s="379"/>
      <c r="M1872" s="380"/>
      <c r="N1872" s="380"/>
      <c r="O1872" s="12"/>
      <c r="P1872" s="381"/>
      <c r="Q1872" s="12"/>
      <c r="R1872" s="12"/>
      <c r="S1872" s="382"/>
      <c r="T1872" s="383"/>
      <c r="U1872" s="384"/>
      <c r="V1872" s="12"/>
      <c r="W1872" s="12"/>
    </row>
    <row r="1873" spans="1:23" x14ac:dyDescent="0.3">
      <c r="A1873" s="193" t="str">
        <f ca="1"/>
        <v/>
      </c>
      <c r="B1873" s="378"/>
      <c r="C1873" s="315"/>
      <c r="D1873" s="316"/>
      <c r="E1873" s="315"/>
      <c r="F1873" s="315"/>
      <c r="G1873" s="315"/>
      <c r="H1873" s="153"/>
      <c r="I1873" s="12"/>
      <c r="J1873" s="170"/>
      <c r="K1873" s="12"/>
      <c r="L1873" s="379"/>
      <c r="M1873" s="380"/>
      <c r="N1873" s="380"/>
      <c r="O1873" s="12"/>
      <c r="P1873" s="381"/>
      <c r="Q1873" s="12"/>
      <c r="R1873" s="12"/>
      <c r="S1873" s="382"/>
      <c r="T1873" s="383"/>
      <c r="U1873" s="384"/>
      <c r="V1873" s="12"/>
      <c r="W1873" s="12"/>
    </row>
    <row r="1874" spans="1:23" x14ac:dyDescent="0.3">
      <c r="A1874" s="193" t="str">
        <f ca="1"/>
        <v/>
      </c>
      <c r="B1874" s="378"/>
      <c r="C1874" s="315"/>
      <c r="D1874" s="316"/>
      <c r="E1874" s="315"/>
      <c r="F1874" s="315"/>
      <c r="G1874" s="315"/>
      <c r="H1874" s="153"/>
      <c r="I1874" s="12"/>
      <c r="J1874" s="170"/>
      <c r="K1874" s="12"/>
      <c r="L1874" s="379"/>
      <c r="M1874" s="380"/>
      <c r="N1874" s="380"/>
      <c r="O1874" s="12"/>
      <c r="P1874" s="381"/>
      <c r="Q1874" s="12"/>
      <c r="R1874" s="12"/>
      <c r="S1874" s="382"/>
      <c r="T1874" s="383"/>
      <c r="U1874" s="384"/>
      <c r="V1874" s="12"/>
      <c r="W1874" s="12"/>
    </row>
    <row r="1875" spans="1:23" x14ac:dyDescent="0.3">
      <c r="A1875" s="193" t="str">
        <f ca="1"/>
        <v/>
      </c>
      <c r="B1875" s="378"/>
      <c r="C1875" s="315"/>
      <c r="D1875" s="316"/>
      <c r="E1875" s="315"/>
      <c r="F1875" s="315"/>
      <c r="G1875" s="315"/>
      <c r="H1875" s="153"/>
      <c r="I1875" s="12"/>
      <c r="J1875" s="170"/>
      <c r="K1875" s="12"/>
      <c r="L1875" s="379"/>
      <c r="M1875" s="380"/>
      <c r="N1875" s="380"/>
      <c r="O1875" s="12"/>
      <c r="P1875" s="381"/>
      <c r="Q1875" s="12"/>
      <c r="R1875" s="12"/>
      <c r="S1875" s="382"/>
      <c r="T1875" s="383"/>
      <c r="U1875" s="384"/>
      <c r="V1875" s="12"/>
      <c r="W1875" s="12"/>
    </row>
    <row r="1876" spans="1:23" x14ac:dyDescent="0.3">
      <c r="A1876" s="193" t="str">
        <f ca="1"/>
        <v/>
      </c>
      <c r="B1876" s="378"/>
      <c r="C1876" s="315"/>
      <c r="D1876" s="316"/>
      <c r="E1876" s="315"/>
      <c r="F1876" s="315"/>
      <c r="G1876" s="315"/>
      <c r="H1876" s="153"/>
      <c r="I1876" s="12"/>
      <c r="J1876" s="170"/>
      <c r="K1876" s="12"/>
      <c r="L1876" s="379"/>
      <c r="M1876" s="380"/>
      <c r="N1876" s="380"/>
      <c r="O1876" s="12"/>
      <c r="P1876" s="381"/>
      <c r="Q1876" s="12"/>
      <c r="R1876" s="12"/>
      <c r="S1876" s="382"/>
      <c r="T1876" s="383"/>
      <c r="U1876" s="384"/>
      <c r="V1876" s="12"/>
      <c r="W1876" s="12"/>
    </row>
    <row r="1877" spans="1:23" x14ac:dyDescent="0.3">
      <c r="A1877" s="193" t="str">
        <f ca="1"/>
        <v/>
      </c>
      <c r="B1877" s="378"/>
      <c r="C1877" s="315"/>
      <c r="D1877" s="316"/>
      <c r="E1877" s="315"/>
      <c r="F1877" s="315"/>
      <c r="G1877" s="315"/>
      <c r="H1877" s="153"/>
      <c r="I1877" s="12"/>
      <c r="J1877" s="170"/>
      <c r="K1877" s="12"/>
      <c r="L1877" s="379"/>
      <c r="M1877" s="380"/>
      <c r="N1877" s="380"/>
      <c r="O1877" s="12"/>
      <c r="P1877" s="381"/>
      <c r="Q1877" s="12"/>
      <c r="R1877" s="12"/>
      <c r="S1877" s="382"/>
      <c r="T1877" s="383"/>
      <c r="U1877" s="384"/>
      <c r="V1877" s="12"/>
      <c r="W1877" s="12"/>
    </row>
    <row r="1878" spans="1:23" x14ac:dyDescent="0.3">
      <c r="A1878" s="193" t="str">
        <f ca="1"/>
        <v/>
      </c>
      <c r="B1878" s="378"/>
      <c r="C1878" s="315"/>
      <c r="D1878" s="316"/>
      <c r="E1878" s="315"/>
      <c r="F1878" s="315"/>
      <c r="G1878" s="315"/>
      <c r="H1878" s="153"/>
      <c r="I1878" s="12"/>
      <c r="J1878" s="170"/>
      <c r="K1878" s="12"/>
      <c r="L1878" s="379"/>
      <c r="M1878" s="380"/>
      <c r="N1878" s="380"/>
      <c r="O1878" s="12"/>
      <c r="P1878" s="381"/>
      <c r="Q1878" s="12"/>
      <c r="R1878" s="12"/>
      <c r="S1878" s="382"/>
      <c r="T1878" s="383"/>
      <c r="U1878" s="384"/>
      <c r="V1878" s="12"/>
      <c r="W1878" s="12"/>
    </row>
    <row r="1879" spans="1:23" x14ac:dyDescent="0.3">
      <c r="A1879" s="193" t="str">
        <f ca="1"/>
        <v/>
      </c>
      <c r="B1879" s="378"/>
      <c r="C1879" s="315"/>
      <c r="D1879" s="316"/>
      <c r="E1879" s="315"/>
      <c r="F1879" s="315"/>
      <c r="G1879" s="315"/>
      <c r="H1879" s="153"/>
      <c r="I1879" s="12"/>
      <c r="J1879" s="170"/>
      <c r="K1879" s="12"/>
      <c r="L1879" s="379"/>
      <c r="M1879" s="380"/>
      <c r="N1879" s="380"/>
      <c r="O1879" s="12"/>
      <c r="P1879" s="381"/>
      <c r="Q1879" s="12"/>
      <c r="R1879" s="12"/>
      <c r="S1879" s="382"/>
      <c r="T1879" s="383"/>
      <c r="U1879" s="384"/>
      <c r="V1879" s="12"/>
      <c r="W1879" s="12"/>
    </row>
    <row r="1880" spans="1:23" x14ac:dyDescent="0.3">
      <c r="A1880" s="193" t="str">
        <f ca="1"/>
        <v/>
      </c>
      <c r="B1880" s="378"/>
      <c r="C1880" s="315"/>
      <c r="D1880" s="316"/>
      <c r="E1880" s="315"/>
      <c r="F1880" s="315"/>
      <c r="G1880" s="315"/>
      <c r="H1880" s="153"/>
      <c r="I1880" s="12"/>
      <c r="J1880" s="170"/>
      <c r="K1880" s="12"/>
      <c r="L1880" s="379"/>
      <c r="M1880" s="380"/>
      <c r="N1880" s="380"/>
      <c r="O1880" s="12"/>
      <c r="P1880" s="381"/>
      <c r="Q1880" s="12"/>
      <c r="R1880" s="12"/>
      <c r="S1880" s="382"/>
      <c r="T1880" s="383"/>
      <c r="U1880" s="384"/>
      <c r="V1880" s="12"/>
      <c r="W1880" s="12"/>
    </row>
    <row r="1881" spans="1:23" x14ac:dyDescent="0.3">
      <c r="A1881" s="193" t="str">
        <f ca="1"/>
        <v/>
      </c>
      <c r="B1881" s="378"/>
      <c r="C1881" s="315"/>
      <c r="D1881" s="316"/>
      <c r="E1881" s="315"/>
      <c r="F1881" s="315"/>
      <c r="G1881" s="315"/>
      <c r="H1881" s="153"/>
      <c r="I1881" s="12"/>
      <c r="J1881" s="170"/>
      <c r="K1881" s="12"/>
      <c r="L1881" s="379"/>
      <c r="M1881" s="380"/>
      <c r="N1881" s="380"/>
      <c r="O1881" s="12"/>
      <c r="P1881" s="381"/>
      <c r="Q1881" s="12"/>
      <c r="R1881" s="12"/>
      <c r="S1881" s="382"/>
      <c r="T1881" s="383"/>
      <c r="U1881" s="384"/>
      <c r="V1881" s="12"/>
      <c r="W1881" s="12"/>
    </row>
    <row r="1882" spans="1:23" x14ac:dyDescent="0.3">
      <c r="A1882" s="193" t="str">
        <f ca="1"/>
        <v/>
      </c>
      <c r="B1882" s="378"/>
      <c r="C1882" s="315"/>
      <c r="D1882" s="316"/>
      <c r="E1882" s="315"/>
      <c r="F1882" s="315"/>
      <c r="G1882" s="315"/>
      <c r="H1882" s="153"/>
      <c r="I1882" s="12"/>
      <c r="J1882" s="170"/>
      <c r="K1882" s="12"/>
      <c r="L1882" s="379"/>
      <c r="M1882" s="380"/>
      <c r="N1882" s="380"/>
      <c r="O1882" s="12"/>
      <c r="P1882" s="381"/>
      <c r="Q1882" s="12"/>
      <c r="R1882" s="12"/>
      <c r="S1882" s="382"/>
      <c r="T1882" s="383"/>
      <c r="U1882" s="384"/>
      <c r="V1882" s="12"/>
      <c r="W1882" s="12"/>
    </row>
    <row r="1883" spans="1:23" x14ac:dyDescent="0.3">
      <c r="A1883" s="193" t="str">
        <f ca="1"/>
        <v/>
      </c>
      <c r="B1883" s="378"/>
      <c r="C1883" s="315"/>
      <c r="D1883" s="316"/>
      <c r="E1883" s="315"/>
      <c r="F1883" s="315"/>
      <c r="G1883" s="315"/>
      <c r="H1883" s="153"/>
      <c r="I1883" s="12"/>
      <c r="J1883" s="170"/>
      <c r="K1883" s="12"/>
      <c r="L1883" s="379"/>
      <c r="M1883" s="380"/>
      <c r="N1883" s="380"/>
      <c r="O1883" s="12"/>
      <c r="P1883" s="381"/>
      <c r="Q1883" s="12"/>
      <c r="R1883" s="12"/>
      <c r="S1883" s="382"/>
      <c r="T1883" s="383"/>
      <c r="U1883" s="384"/>
      <c r="V1883" s="12"/>
      <c r="W1883" s="12"/>
    </row>
    <row r="1884" spans="1:23" x14ac:dyDescent="0.3">
      <c r="A1884" s="193" t="str">
        <f ca="1"/>
        <v/>
      </c>
      <c r="B1884" s="378"/>
      <c r="C1884" s="315"/>
      <c r="D1884" s="316"/>
      <c r="E1884" s="315"/>
      <c r="F1884" s="315"/>
      <c r="G1884" s="315"/>
      <c r="H1884" s="153"/>
      <c r="I1884" s="12"/>
      <c r="J1884" s="170"/>
      <c r="K1884" s="12"/>
      <c r="L1884" s="379"/>
      <c r="M1884" s="380"/>
      <c r="N1884" s="380"/>
      <c r="O1884" s="12"/>
      <c r="P1884" s="381"/>
      <c r="Q1884" s="12"/>
      <c r="R1884" s="12"/>
      <c r="S1884" s="382"/>
      <c r="T1884" s="383"/>
      <c r="U1884" s="384"/>
      <c r="V1884" s="12"/>
      <c r="W1884" s="12"/>
    </row>
    <row r="1885" spans="1:23" x14ac:dyDescent="0.3">
      <c r="A1885" s="193" t="str">
        <f ca="1"/>
        <v/>
      </c>
      <c r="B1885" s="378"/>
      <c r="C1885" s="315"/>
      <c r="D1885" s="316"/>
      <c r="E1885" s="315"/>
      <c r="F1885" s="315"/>
      <c r="G1885" s="315"/>
      <c r="H1885" s="153"/>
      <c r="I1885" s="12"/>
      <c r="J1885" s="170"/>
      <c r="K1885" s="12"/>
      <c r="L1885" s="379"/>
      <c r="M1885" s="380"/>
      <c r="N1885" s="380"/>
      <c r="O1885" s="12"/>
      <c r="P1885" s="381"/>
      <c r="Q1885" s="12"/>
      <c r="R1885" s="12"/>
      <c r="S1885" s="382"/>
      <c r="T1885" s="383"/>
      <c r="U1885" s="384"/>
      <c r="V1885" s="12"/>
      <c r="W1885" s="12"/>
    </row>
    <row r="1886" spans="1:23" x14ac:dyDescent="0.3">
      <c r="A1886" s="193" t="str">
        <f ca="1"/>
        <v/>
      </c>
      <c r="B1886" s="378"/>
      <c r="C1886" s="315"/>
      <c r="D1886" s="316"/>
      <c r="E1886" s="315"/>
      <c r="F1886" s="315"/>
      <c r="G1886" s="315"/>
      <c r="H1886" s="153"/>
      <c r="I1886" s="12"/>
      <c r="J1886" s="170"/>
      <c r="K1886" s="12"/>
      <c r="L1886" s="379"/>
      <c r="M1886" s="380"/>
      <c r="N1886" s="380"/>
      <c r="O1886" s="12"/>
      <c r="P1886" s="381"/>
      <c r="Q1886" s="12"/>
      <c r="R1886" s="12"/>
      <c r="S1886" s="382"/>
      <c r="T1886" s="383"/>
      <c r="U1886" s="384"/>
      <c r="V1886" s="12"/>
      <c r="W1886" s="12"/>
    </row>
    <row r="1887" spans="1:23" x14ac:dyDescent="0.3">
      <c r="A1887" s="193" t="str">
        <f ca="1"/>
        <v/>
      </c>
      <c r="B1887" s="378"/>
      <c r="C1887" s="315"/>
      <c r="D1887" s="316"/>
      <c r="E1887" s="315"/>
      <c r="F1887" s="315"/>
      <c r="G1887" s="315"/>
      <c r="H1887" s="153"/>
      <c r="I1887" s="12"/>
      <c r="J1887" s="170"/>
      <c r="K1887" s="12"/>
      <c r="L1887" s="379"/>
      <c r="M1887" s="380"/>
      <c r="N1887" s="380"/>
      <c r="O1887" s="12"/>
      <c r="P1887" s="381"/>
      <c r="Q1887" s="12"/>
      <c r="R1887" s="12"/>
      <c r="S1887" s="382"/>
      <c r="T1887" s="383"/>
      <c r="U1887" s="384"/>
      <c r="V1887" s="12"/>
      <c r="W1887" s="12"/>
    </row>
    <row r="1888" spans="1:23" x14ac:dyDescent="0.3">
      <c r="A1888" s="193" t="str">
        <f ca="1"/>
        <v/>
      </c>
      <c r="B1888" s="378"/>
      <c r="C1888" s="315"/>
      <c r="D1888" s="316"/>
      <c r="E1888" s="315"/>
      <c r="F1888" s="315"/>
      <c r="G1888" s="315"/>
      <c r="H1888" s="153"/>
      <c r="I1888" s="12"/>
      <c r="J1888" s="170"/>
      <c r="K1888" s="12"/>
      <c r="L1888" s="379"/>
      <c r="M1888" s="380"/>
      <c r="N1888" s="380"/>
      <c r="O1888" s="12"/>
      <c r="P1888" s="381"/>
      <c r="Q1888" s="12"/>
      <c r="R1888" s="12"/>
      <c r="S1888" s="382"/>
      <c r="T1888" s="383"/>
      <c r="U1888" s="384"/>
      <c r="V1888" s="12"/>
      <c r="W1888" s="12"/>
    </row>
    <row r="1889" spans="1:23" x14ac:dyDescent="0.3">
      <c r="A1889" s="193" t="str">
        <f ca="1"/>
        <v/>
      </c>
      <c r="B1889" s="378"/>
      <c r="C1889" s="315"/>
      <c r="D1889" s="316"/>
      <c r="E1889" s="315"/>
      <c r="F1889" s="315"/>
      <c r="G1889" s="315"/>
      <c r="H1889" s="153"/>
      <c r="I1889" s="12"/>
      <c r="J1889" s="170"/>
      <c r="K1889" s="12"/>
      <c r="L1889" s="379"/>
      <c r="M1889" s="380"/>
      <c r="N1889" s="380"/>
      <c r="O1889" s="12"/>
      <c r="P1889" s="381"/>
      <c r="Q1889" s="12"/>
      <c r="R1889" s="12"/>
      <c r="S1889" s="382"/>
      <c r="T1889" s="383"/>
      <c r="U1889" s="384"/>
      <c r="V1889" s="12"/>
      <c r="W1889" s="12"/>
    </row>
    <row r="1890" spans="1:23" x14ac:dyDescent="0.3">
      <c r="A1890" s="193" t="str">
        <f ca="1"/>
        <v/>
      </c>
      <c r="B1890" s="378"/>
      <c r="C1890" s="315"/>
      <c r="D1890" s="316"/>
      <c r="E1890" s="315"/>
      <c r="F1890" s="315"/>
      <c r="G1890" s="315"/>
      <c r="H1890" s="153"/>
      <c r="I1890" s="12"/>
      <c r="J1890" s="170"/>
      <c r="K1890" s="12"/>
      <c r="L1890" s="379"/>
      <c r="M1890" s="380"/>
      <c r="N1890" s="380"/>
      <c r="O1890" s="12"/>
      <c r="P1890" s="381"/>
      <c r="Q1890" s="12"/>
      <c r="R1890" s="12"/>
      <c r="S1890" s="382"/>
      <c r="T1890" s="383"/>
      <c r="U1890" s="384"/>
      <c r="V1890" s="12"/>
      <c r="W1890" s="12"/>
    </row>
    <row r="1891" spans="1:23" x14ac:dyDescent="0.3">
      <c r="A1891" s="193" t="str">
        <f ca="1"/>
        <v/>
      </c>
      <c r="B1891" s="378"/>
      <c r="C1891" s="315"/>
      <c r="D1891" s="316"/>
      <c r="E1891" s="315"/>
      <c r="F1891" s="315"/>
      <c r="G1891" s="315"/>
      <c r="H1891" s="153"/>
      <c r="I1891" s="12"/>
      <c r="J1891" s="170"/>
      <c r="K1891" s="12"/>
      <c r="L1891" s="379"/>
      <c r="M1891" s="380"/>
      <c r="N1891" s="380"/>
      <c r="O1891" s="12"/>
      <c r="P1891" s="381"/>
      <c r="Q1891" s="12"/>
      <c r="R1891" s="12"/>
      <c r="S1891" s="382"/>
      <c r="T1891" s="383"/>
      <c r="U1891" s="384"/>
      <c r="V1891" s="12"/>
      <c r="W1891" s="12"/>
    </row>
    <row r="1892" spans="1:23" x14ac:dyDescent="0.3">
      <c r="A1892" s="193" t="str">
        <f ca="1"/>
        <v/>
      </c>
      <c r="B1892" s="378"/>
      <c r="C1892" s="315"/>
      <c r="D1892" s="316"/>
      <c r="E1892" s="315"/>
      <c r="F1892" s="315"/>
      <c r="G1892" s="315"/>
      <c r="H1892" s="153"/>
      <c r="I1892" s="12"/>
      <c r="J1892" s="170"/>
      <c r="K1892" s="12"/>
      <c r="L1892" s="379"/>
      <c r="M1892" s="380"/>
      <c r="N1892" s="380"/>
      <c r="O1892" s="12"/>
      <c r="P1892" s="381"/>
      <c r="Q1892" s="12"/>
      <c r="R1892" s="12"/>
      <c r="S1892" s="382"/>
      <c r="T1892" s="383"/>
      <c r="U1892" s="384"/>
      <c r="V1892" s="12"/>
      <c r="W1892" s="12"/>
    </row>
    <row r="1893" spans="1:23" x14ac:dyDescent="0.3">
      <c r="A1893" s="193" t="str">
        <f ca="1"/>
        <v/>
      </c>
      <c r="B1893" s="378"/>
      <c r="C1893" s="315"/>
      <c r="D1893" s="316"/>
      <c r="E1893" s="315"/>
      <c r="F1893" s="315"/>
      <c r="G1893" s="315"/>
      <c r="H1893" s="153"/>
      <c r="I1893" s="12"/>
      <c r="J1893" s="170"/>
      <c r="K1893" s="12"/>
      <c r="L1893" s="379"/>
      <c r="M1893" s="380"/>
      <c r="N1893" s="380"/>
      <c r="O1893" s="12"/>
      <c r="P1893" s="381"/>
      <c r="Q1893" s="12"/>
      <c r="R1893" s="12"/>
      <c r="S1893" s="382"/>
      <c r="T1893" s="383"/>
      <c r="U1893" s="384"/>
      <c r="V1893" s="12"/>
      <c r="W1893" s="12"/>
    </row>
    <row r="1894" spans="1:23" x14ac:dyDescent="0.3">
      <c r="A1894" s="193" t="str">
        <f ca="1"/>
        <v/>
      </c>
      <c r="B1894" s="378"/>
      <c r="C1894" s="315"/>
      <c r="D1894" s="316"/>
      <c r="E1894" s="315"/>
      <c r="F1894" s="315"/>
      <c r="G1894" s="315"/>
      <c r="H1894" s="153"/>
      <c r="I1894" s="12"/>
      <c r="J1894" s="170"/>
      <c r="K1894" s="12"/>
      <c r="L1894" s="379"/>
      <c r="M1894" s="380"/>
      <c r="N1894" s="380"/>
      <c r="O1894" s="12"/>
      <c r="P1894" s="381"/>
      <c r="Q1894" s="12"/>
      <c r="R1894" s="12"/>
      <c r="S1894" s="382"/>
      <c r="T1894" s="383"/>
      <c r="U1894" s="384"/>
      <c r="V1894" s="12"/>
      <c r="W1894" s="12"/>
    </row>
    <row r="1895" spans="1:23" x14ac:dyDescent="0.3">
      <c r="A1895" s="193" t="str">
        <f ca="1"/>
        <v/>
      </c>
      <c r="B1895" s="378"/>
      <c r="C1895" s="315"/>
      <c r="D1895" s="316"/>
      <c r="E1895" s="315"/>
      <c r="F1895" s="315"/>
      <c r="G1895" s="315"/>
      <c r="H1895" s="153"/>
      <c r="I1895" s="12"/>
      <c r="J1895" s="170"/>
      <c r="K1895" s="12"/>
      <c r="L1895" s="379"/>
      <c r="M1895" s="380"/>
      <c r="N1895" s="380"/>
      <c r="O1895" s="12"/>
      <c r="P1895" s="381"/>
      <c r="Q1895" s="12"/>
      <c r="R1895" s="12"/>
      <c r="S1895" s="382"/>
      <c r="T1895" s="383"/>
      <c r="U1895" s="384"/>
      <c r="V1895" s="12"/>
      <c r="W1895" s="12"/>
    </row>
    <row r="1896" spans="1:23" x14ac:dyDescent="0.3">
      <c r="A1896" s="193" t="str">
        <f ca="1"/>
        <v/>
      </c>
      <c r="B1896" s="378"/>
      <c r="C1896" s="315"/>
      <c r="D1896" s="316"/>
      <c r="E1896" s="315"/>
      <c r="F1896" s="315"/>
      <c r="G1896" s="315"/>
      <c r="H1896" s="153"/>
      <c r="I1896" s="12"/>
      <c r="J1896" s="170"/>
      <c r="K1896" s="12"/>
      <c r="L1896" s="379"/>
      <c r="M1896" s="380"/>
      <c r="N1896" s="380"/>
      <c r="O1896" s="12"/>
      <c r="P1896" s="381"/>
      <c r="Q1896" s="12"/>
      <c r="R1896" s="12"/>
      <c r="S1896" s="382"/>
      <c r="T1896" s="383"/>
      <c r="U1896" s="384"/>
      <c r="V1896" s="12"/>
      <c r="W1896" s="12"/>
    </row>
    <row r="1897" spans="1:23" x14ac:dyDescent="0.3">
      <c r="A1897" s="193" t="str">
        <f ca="1"/>
        <v/>
      </c>
      <c r="B1897" s="378"/>
      <c r="C1897" s="315"/>
      <c r="D1897" s="316"/>
      <c r="E1897" s="315"/>
      <c r="F1897" s="315"/>
      <c r="G1897" s="315"/>
      <c r="H1897" s="153"/>
      <c r="I1897" s="12"/>
      <c r="J1897" s="170"/>
      <c r="K1897" s="12"/>
      <c r="L1897" s="379"/>
      <c r="M1897" s="380"/>
      <c r="N1897" s="380"/>
      <c r="O1897" s="12"/>
      <c r="P1897" s="381"/>
      <c r="Q1897" s="12"/>
      <c r="R1897" s="12"/>
      <c r="S1897" s="382"/>
      <c r="T1897" s="383"/>
      <c r="U1897" s="384"/>
      <c r="V1897" s="12"/>
      <c r="W1897" s="12"/>
    </row>
    <row r="1898" spans="1:23" x14ac:dyDescent="0.3">
      <c r="A1898" s="193" t="str">
        <f ca="1"/>
        <v/>
      </c>
      <c r="B1898" s="378"/>
      <c r="C1898" s="315"/>
      <c r="D1898" s="316"/>
      <c r="E1898" s="315"/>
      <c r="F1898" s="315"/>
      <c r="G1898" s="315"/>
      <c r="H1898" s="153"/>
      <c r="I1898" s="12"/>
      <c r="J1898" s="170"/>
      <c r="K1898" s="12"/>
      <c r="L1898" s="379"/>
      <c r="M1898" s="380"/>
      <c r="N1898" s="380"/>
      <c r="O1898" s="12"/>
      <c r="P1898" s="381"/>
      <c r="Q1898" s="12"/>
      <c r="R1898" s="12"/>
      <c r="S1898" s="382"/>
      <c r="T1898" s="383"/>
      <c r="U1898" s="384"/>
      <c r="V1898" s="12"/>
      <c r="W1898" s="12"/>
    </row>
    <row r="1899" spans="1:23" x14ac:dyDescent="0.3">
      <c r="A1899" s="193" t="str">
        <f ca="1"/>
        <v/>
      </c>
      <c r="B1899" s="378"/>
      <c r="C1899" s="315"/>
      <c r="D1899" s="316"/>
      <c r="E1899" s="315"/>
      <c r="F1899" s="315"/>
      <c r="G1899" s="315"/>
      <c r="H1899" s="153"/>
      <c r="I1899" s="12"/>
      <c r="J1899" s="170"/>
      <c r="K1899" s="12"/>
      <c r="L1899" s="379"/>
      <c r="M1899" s="380"/>
      <c r="N1899" s="380"/>
      <c r="O1899" s="12"/>
      <c r="P1899" s="381"/>
      <c r="Q1899" s="12"/>
      <c r="R1899" s="12"/>
      <c r="S1899" s="382"/>
      <c r="T1899" s="383"/>
      <c r="U1899" s="384"/>
      <c r="V1899" s="12"/>
      <c r="W1899" s="12"/>
    </row>
    <row r="1900" spans="1:23" x14ac:dyDescent="0.3">
      <c r="A1900" s="193" t="str">
        <f ca="1"/>
        <v/>
      </c>
      <c r="B1900" s="378"/>
      <c r="C1900" s="315"/>
      <c r="D1900" s="316"/>
      <c r="E1900" s="315"/>
      <c r="F1900" s="315"/>
      <c r="G1900" s="315"/>
      <c r="H1900" s="153"/>
      <c r="I1900" s="12"/>
      <c r="J1900" s="170"/>
      <c r="K1900" s="12"/>
      <c r="L1900" s="379"/>
      <c r="M1900" s="380"/>
      <c r="N1900" s="380"/>
      <c r="O1900" s="12"/>
      <c r="P1900" s="381"/>
      <c r="Q1900" s="12"/>
      <c r="R1900" s="12"/>
      <c r="S1900" s="382"/>
      <c r="T1900" s="383"/>
      <c r="U1900" s="384"/>
      <c r="V1900" s="12"/>
      <c r="W1900" s="12"/>
    </row>
    <row r="1901" spans="1:23" x14ac:dyDescent="0.3">
      <c r="A1901" s="193" t="str">
        <f ca="1"/>
        <v/>
      </c>
      <c r="B1901" s="378"/>
      <c r="C1901" s="315"/>
      <c r="D1901" s="316"/>
      <c r="E1901" s="315"/>
      <c r="F1901" s="315"/>
      <c r="G1901" s="315"/>
      <c r="H1901" s="153"/>
      <c r="I1901" s="12"/>
      <c r="J1901" s="170"/>
      <c r="K1901" s="12"/>
      <c r="L1901" s="379"/>
      <c r="M1901" s="380"/>
      <c r="N1901" s="380"/>
      <c r="O1901" s="12"/>
      <c r="P1901" s="381"/>
      <c r="Q1901" s="12"/>
      <c r="R1901" s="12"/>
      <c r="S1901" s="382"/>
      <c r="T1901" s="383"/>
      <c r="U1901" s="384"/>
      <c r="V1901" s="12"/>
      <c r="W1901" s="12"/>
    </row>
    <row r="1902" spans="1:23" x14ac:dyDescent="0.3">
      <c r="A1902" s="193" t="str">
        <f ca="1"/>
        <v/>
      </c>
      <c r="B1902" s="378"/>
      <c r="C1902" s="315"/>
      <c r="D1902" s="316"/>
      <c r="E1902" s="315"/>
      <c r="F1902" s="315"/>
      <c r="G1902" s="315"/>
      <c r="H1902" s="153"/>
      <c r="I1902" s="12"/>
      <c r="J1902" s="170"/>
      <c r="K1902" s="12"/>
      <c r="L1902" s="379"/>
      <c r="M1902" s="380"/>
      <c r="N1902" s="380"/>
      <c r="O1902" s="12"/>
      <c r="P1902" s="381"/>
      <c r="Q1902" s="12"/>
      <c r="R1902" s="12"/>
      <c r="S1902" s="382"/>
      <c r="T1902" s="383"/>
      <c r="U1902" s="384"/>
      <c r="V1902" s="12"/>
      <c r="W1902" s="12"/>
    </row>
    <row r="1903" spans="1:23" x14ac:dyDescent="0.3">
      <c r="A1903" s="193" t="str">
        <f ca="1"/>
        <v/>
      </c>
      <c r="B1903" s="378"/>
      <c r="C1903" s="315"/>
      <c r="D1903" s="316"/>
      <c r="E1903" s="315"/>
      <c r="F1903" s="315"/>
      <c r="G1903" s="315"/>
      <c r="H1903" s="153"/>
      <c r="I1903" s="12"/>
      <c r="J1903" s="170"/>
      <c r="K1903" s="12"/>
      <c r="L1903" s="379"/>
      <c r="M1903" s="380"/>
      <c r="N1903" s="380"/>
      <c r="O1903" s="12"/>
      <c r="P1903" s="381"/>
      <c r="Q1903" s="12"/>
      <c r="R1903" s="12"/>
      <c r="S1903" s="382"/>
      <c r="T1903" s="383"/>
      <c r="U1903" s="384"/>
      <c r="V1903" s="12"/>
      <c r="W1903" s="12"/>
    </row>
    <row r="1904" spans="1:23" x14ac:dyDescent="0.3">
      <c r="A1904" s="193" t="str">
        <f ca="1"/>
        <v/>
      </c>
      <c r="B1904" s="378"/>
      <c r="C1904" s="315"/>
      <c r="D1904" s="316"/>
      <c r="E1904" s="315"/>
      <c r="F1904" s="315"/>
      <c r="G1904" s="315"/>
      <c r="H1904" s="153"/>
      <c r="I1904" s="12"/>
      <c r="J1904" s="170"/>
      <c r="K1904" s="12"/>
      <c r="L1904" s="379"/>
      <c r="M1904" s="380"/>
      <c r="N1904" s="380"/>
      <c r="O1904" s="12"/>
      <c r="P1904" s="381"/>
      <c r="Q1904" s="12"/>
      <c r="R1904" s="12"/>
      <c r="S1904" s="382"/>
      <c r="T1904" s="383"/>
      <c r="U1904" s="384"/>
      <c r="V1904" s="12"/>
      <c r="W1904" s="12"/>
    </row>
    <row r="1905" spans="1:23" x14ac:dyDescent="0.3">
      <c r="A1905" s="193" t="str">
        <f ca="1"/>
        <v/>
      </c>
      <c r="B1905" s="378"/>
      <c r="C1905" s="315"/>
      <c r="D1905" s="316"/>
      <c r="E1905" s="315"/>
      <c r="F1905" s="315"/>
      <c r="G1905" s="315"/>
      <c r="H1905" s="153"/>
      <c r="I1905" s="12"/>
      <c r="J1905" s="170"/>
      <c r="K1905" s="12"/>
      <c r="L1905" s="379"/>
      <c r="M1905" s="380"/>
      <c r="N1905" s="380"/>
      <c r="O1905" s="12"/>
      <c r="P1905" s="381"/>
      <c r="Q1905" s="12"/>
      <c r="R1905" s="12"/>
      <c r="S1905" s="382"/>
      <c r="T1905" s="383"/>
      <c r="U1905" s="384"/>
      <c r="V1905" s="12"/>
      <c r="W1905" s="12"/>
    </row>
    <row r="1906" spans="1:23" x14ac:dyDescent="0.3">
      <c r="A1906" s="193" t="str">
        <f ca="1"/>
        <v/>
      </c>
      <c r="B1906" s="378"/>
      <c r="C1906" s="315"/>
      <c r="D1906" s="316"/>
      <c r="E1906" s="315"/>
      <c r="F1906" s="315"/>
      <c r="G1906" s="315"/>
      <c r="H1906" s="153"/>
      <c r="I1906" s="12"/>
      <c r="J1906" s="170"/>
      <c r="K1906" s="12"/>
      <c r="L1906" s="379"/>
      <c r="M1906" s="380"/>
      <c r="N1906" s="380"/>
      <c r="O1906" s="12"/>
      <c r="P1906" s="381"/>
      <c r="Q1906" s="12"/>
      <c r="R1906" s="12"/>
      <c r="S1906" s="382"/>
      <c r="T1906" s="383"/>
      <c r="U1906" s="384"/>
      <c r="V1906" s="12"/>
      <c r="W1906" s="12"/>
    </row>
    <row r="1907" spans="1:23" x14ac:dyDescent="0.3">
      <c r="A1907" s="193" t="str">
        <f ca="1"/>
        <v/>
      </c>
      <c r="B1907" s="378"/>
      <c r="C1907" s="315"/>
      <c r="D1907" s="316"/>
      <c r="E1907" s="315"/>
      <c r="F1907" s="315"/>
      <c r="G1907" s="315"/>
      <c r="H1907" s="153"/>
      <c r="I1907" s="12"/>
      <c r="J1907" s="170"/>
      <c r="K1907" s="12"/>
      <c r="L1907" s="379"/>
      <c r="M1907" s="380"/>
      <c r="N1907" s="380"/>
      <c r="O1907" s="12"/>
      <c r="P1907" s="381"/>
      <c r="Q1907" s="12"/>
      <c r="R1907" s="12"/>
      <c r="S1907" s="382"/>
      <c r="T1907" s="383"/>
      <c r="U1907" s="384"/>
      <c r="V1907" s="12"/>
      <c r="W1907" s="12"/>
    </row>
    <row r="1908" spans="1:23" x14ac:dyDescent="0.3">
      <c r="A1908" s="193" t="str">
        <f ca="1"/>
        <v/>
      </c>
      <c r="B1908" s="378"/>
      <c r="C1908" s="315"/>
      <c r="D1908" s="316"/>
      <c r="E1908" s="315"/>
      <c r="F1908" s="315"/>
      <c r="G1908" s="315"/>
      <c r="H1908" s="153"/>
      <c r="I1908" s="12"/>
      <c r="J1908" s="170"/>
      <c r="K1908" s="12"/>
      <c r="L1908" s="379"/>
      <c r="M1908" s="380"/>
      <c r="N1908" s="380"/>
      <c r="O1908" s="12"/>
      <c r="P1908" s="381"/>
      <c r="Q1908" s="12"/>
      <c r="R1908" s="12"/>
      <c r="S1908" s="382"/>
      <c r="T1908" s="383"/>
      <c r="U1908" s="384"/>
      <c r="V1908" s="12"/>
      <c r="W1908" s="12"/>
    </row>
    <row r="1909" spans="1:23" x14ac:dyDescent="0.3">
      <c r="A1909" s="193" t="str">
        <f ca="1"/>
        <v/>
      </c>
      <c r="B1909" s="378"/>
      <c r="C1909" s="315"/>
      <c r="D1909" s="316"/>
      <c r="E1909" s="315"/>
      <c r="F1909" s="315"/>
      <c r="G1909" s="315"/>
      <c r="H1909" s="153"/>
      <c r="I1909" s="12"/>
      <c r="J1909" s="170"/>
      <c r="K1909" s="12"/>
      <c r="L1909" s="379"/>
      <c r="M1909" s="380"/>
      <c r="N1909" s="380"/>
      <c r="O1909" s="12"/>
      <c r="P1909" s="381"/>
      <c r="Q1909" s="12"/>
      <c r="R1909" s="12"/>
      <c r="S1909" s="382"/>
      <c r="T1909" s="383"/>
      <c r="U1909" s="384"/>
      <c r="V1909" s="12"/>
      <c r="W1909" s="12"/>
    </row>
    <row r="1910" spans="1:23" x14ac:dyDescent="0.3">
      <c r="A1910" s="193" t="str">
        <f ca="1"/>
        <v/>
      </c>
      <c r="B1910" s="378"/>
      <c r="C1910" s="315"/>
      <c r="D1910" s="316"/>
      <c r="E1910" s="315"/>
      <c r="F1910" s="315"/>
      <c r="G1910" s="315"/>
      <c r="H1910" s="153"/>
      <c r="I1910" s="12"/>
      <c r="J1910" s="170"/>
      <c r="K1910" s="12"/>
      <c r="L1910" s="379"/>
      <c r="M1910" s="380"/>
      <c r="N1910" s="380"/>
      <c r="O1910" s="12"/>
      <c r="P1910" s="381"/>
      <c r="Q1910" s="12"/>
      <c r="R1910" s="12"/>
      <c r="S1910" s="382"/>
      <c r="T1910" s="383"/>
      <c r="U1910" s="384"/>
      <c r="V1910" s="12"/>
      <c r="W1910" s="12"/>
    </row>
    <row r="1911" spans="1:23" x14ac:dyDescent="0.3">
      <c r="A1911" s="193" t="str">
        <f ca="1"/>
        <v/>
      </c>
      <c r="B1911" s="378"/>
      <c r="C1911" s="315"/>
      <c r="D1911" s="316"/>
      <c r="E1911" s="315"/>
      <c r="F1911" s="315"/>
      <c r="G1911" s="315"/>
      <c r="H1911" s="153"/>
      <c r="I1911" s="12"/>
      <c r="J1911" s="170"/>
      <c r="K1911" s="12"/>
      <c r="L1911" s="379"/>
      <c r="M1911" s="380"/>
      <c r="N1911" s="380"/>
      <c r="O1911" s="12"/>
      <c r="P1911" s="381"/>
      <c r="Q1911" s="12"/>
      <c r="R1911" s="12"/>
      <c r="S1911" s="382"/>
      <c r="T1911" s="383"/>
      <c r="U1911" s="384"/>
      <c r="V1911" s="12"/>
      <c r="W1911" s="12"/>
    </row>
    <row r="1912" spans="1:23" x14ac:dyDescent="0.3">
      <c r="A1912" s="193" t="str">
        <f ca="1"/>
        <v/>
      </c>
      <c r="B1912" s="378"/>
      <c r="C1912" s="315"/>
      <c r="D1912" s="316"/>
      <c r="E1912" s="315"/>
      <c r="F1912" s="315"/>
      <c r="G1912" s="315"/>
      <c r="H1912" s="153"/>
      <c r="I1912" s="12"/>
      <c r="J1912" s="170"/>
      <c r="K1912" s="12"/>
      <c r="L1912" s="379"/>
      <c r="M1912" s="380"/>
      <c r="N1912" s="380"/>
      <c r="O1912" s="12"/>
      <c r="P1912" s="381"/>
      <c r="Q1912" s="12"/>
      <c r="R1912" s="12"/>
      <c r="S1912" s="382"/>
      <c r="T1912" s="383"/>
      <c r="U1912" s="384"/>
      <c r="V1912" s="12"/>
      <c r="W1912" s="12"/>
    </row>
    <row r="1913" spans="1:23" x14ac:dyDescent="0.3">
      <c r="A1913" s="193" t="str">
        <f ca="1"/>
        <v/>
      </c>
      <c r="B1913" s="378"/>
      <c r="C1913" s="315"/>
      <c r="D1913" s="316"/>
      <c r="E1913" s="315"/>
      <c r="F1913" s="315"/>
      <c r="G1913" s="315"/>
      <c r="H1913" s="153"/>
      <c r="I1913" s="12"/>
      <c r="J1913" s="170"/>
      <c r="K1913" s="12"/>
      <c r="L1913" s="379"/>
      <c r="M1913" s="380"/>
      <c r="N1913" s="380"/>
      <c r="O1913" s="12"/>
      <c r="P1913" s="381"/>
      <c r="Q1913" s="12"/>
      <c r="R1913" s="12"/>
      <c r="S1913" s="382"/>
      <c r="T1913" s="383"/>
      <c r="U1913" s="384"/>
      <c r="V1913" s="12"/>
      <c r="W1913" s="12"/>
    </row>
    <row r="1914" spans="1:23" x14ac:dyDescent="0.3">
      <c r="A1914" s="193" t="str">
        <f ca="1"/>
        <v/>
      </c>
      <c r="B1914" s="378"/>
      <c r="C1914" s="315"/>
      <c r="D1914" s="316"/>
      <c r="E1914" s="315"/>
      <c r="F1914" s="315"/>
      <c r="G1914" s="315"/>
      <c r="H1914" s="153"/>
      <c r="I1914" s="12"/>
      <c r="J1914" s="170"/>
      <c r="K1914" s="12"/>
      <c r="L1914" s="379"/>
      <c r="M1914" s="380"/>
      <c r="N1914" s="380"/>
      <c r="O1914" s="12"/>
      <c r="P1914" s="381"/>
      <c r="Q1914" s="12"/>
      <c r="R1914" s="12"/>
      <c r="S1914" s="382"/>
      <c r="T1914" s="383"/>
      <c r="U1914" s="384"/>
      <c r="V1914" s="12"/>
      <c r="W1914" s="12"/>
    </row>
    <row r="1915" spans="1:23" x14ac:dyDescent="0.3">
      <c r="A1915" s="193" t="str">
        <f ca="1"/>
        <v/>
      </c>
      <c r="B1915" s="378"/>
      <c r="C1915" s="315"/>
      <c r="D1915" s="316"/>
      <c r="E1915" s="315"/>
      <c r="F1915" s="315"/>
      <c r="G1915" s="315"/>
      <c r="H1915" s="153"/>
      <c r="I1915" s="12"/>
      <c r="J1915" s="170"/>
      <c r="K1915" s="12"/>
      <c r="L1915" s="379"/>
      <c r="M1915" s="380"/>
      <c r="N1915" s="380"/>
      <c r="O1915" s="12"/>
      <c r="P1915" s="381"/>
      <c r="Q1915" s="12"/>
      <c r="R1915" s="12"/>
      <c r="S1915" s="382"/>
      <c r="T1915" s="383"/>
      <c r="U1915" s="384"/>
      <c r="V1915" s="12"/>
      <c r="W1915" s="12"/>
    </row>
    <row r="1916" spans="1:23" x14ac:dyDescent="0.3">
      <c r="A1916" s="193" t="str">
        <f ca="1"/>
        <v/>
      </c>
      <c r="B1916" s="378"/>
      <c r="C1916" s="315"/>
      <c r="D1916" s="316"/>
      <c r="E1916" s="315"/>
      <c r="F1916" s="315"/>
      <c r="G1916" s="315"/>
      <c r="H1916" s="153"/>
      <c r="I1916" s="12"/>
      <c r="J1916" s="170"/>
      <c r="K1916" s="12"/>
      <c r="L1916" s="379"/>
      <c r="M1916" s="380"/>
      <c r="N1916" s="380"/>
      <c r="O1916" s="12"/>
      <c r="P1916" s="381"/>
      <c r="Q1916" s="12"/>
      <c r="R1916" s="12"/>
      <c r="S1916" s="382"/>
      <c r="T1916" s="383"/>
      <c r="U1916" s="384"/>
      <c r="V1916" s="12"/>
      <c r="W1916" s="12"/>
    </row>
    <row r="1917" spans="1:23" x14ac:dyDescent="0.3">
      <c r="A1917" s="193" t="str">
        <f ca="1"/>
        <v/>
      </c>
      <c r="B1917" s="378"/>
      <c r="C1917" s="315"/>
      <c r="D1917" s="316"/>
      <c r="E1917" s="315"/>
      <c r="F1917" s="315"/>
      <c r="G1917" s="315"/>
      <c r="H1917" s="153"/>
      <c r="I1917" s="12"/>
      <c r="J1917" s="170"/>
      <c r="K1917" s="12"/>
      <c r="L1917" s="379"/>
      <c r="M1917" s="380"/>
      <c r="N1917" s="380"/>
      <c r="O1917" s="12"/>
      <c r="P1917" s="381"/>
      <c r="Q1917" s="12"/>
      <c r="R1917" s="12"/>
      <c r="S1917" s="382"/>
      <c r="T1917" s="383"/>
      <c r="U1917" s="384"/>
      <c r="V1917" s="12"/>
      <c r="W1917" s="12"/>
    </row>
    <row r="1918" spans="1:23" x14ac:dyDescent="0.3">
      <c r="A1918" s="193" t="str">
        <f ca="1"/>
        <v/>
      </c>
      <c r="B1918" s="378"/>
      <c r="C1918" s="315"/>
      <c r="D1918" s="316"/>
      <c r="E1918" s="315"/>
      <c r="F1918" s="315"/>
      <c r="G1918" s="315"/>
      <c r="H1918" s="153"/>
      <c r="I1918" s="12"/>
      <c r="J1918" s="170"/>
      <c r="K1918" s="12"/>
      <c r="L1918" s="379"/>
      <c r="M1918" s="380"/>
      <c r="N1918" s="380"/>
      <c r="O1918" s="12"/>
      <c r="P1918" s="381"/>
      <c r="Q1918" s="12"/>
      <c r="R1918" s="12"/>
      <c r="S1918" s="382"/>
      <c r="T1918" s="383"/>
      <c r="U1918" s="384"/>
      <c r="V1918" s="12"/>
      <c r="W1918" s="12"/>
    </row>
    <row r="1919" spans="1:23" x14ac:dyDescent="0.3">
      <c r="A1919" s="193" t="str">
        <f ca="1"/>
        <v/>
      </c>
      <c r="B1919" s="378"/>
      <c r="C1919" s="315"/>
      <c r="D1919" s="316"/>
      <c r="E1919" s="315"/>
      <c r="F1919" s="315"/>
      <c r="G1919" s="315"/>
      <c r="H1919" s="153"/>
      <c r="I1919" s="12"/>
      <c r="J1919" s="170"/>
      <c r="K1919" s="12"/>
      <c r="L1919" s="379"/>
      <c r="M1919" s="380"/>
      <c r="N1919" s="380"/>
      <c r="O1919" s="12"/>
      <c r="P1919" s="381"/>
      <c r="Q1919" s="12"/>
      <c r="R1919" s="12"/>
      <c r="S1919" s="382"/>
      <c r="T1919" s="383"/>
      <c r="U1919" s="384"/>
      <c r="V1919" s="12"/>
      <c r="W1919" s="12"/>
    </row>
    <row r="1920" spans="1:23" x14ac:dyDescent="0.3">
      <c r="A1920" s="193" t="str">
        <f ca="1"/>
        <v/>
      </c>
      <c r="B1920" s="378"/>
      <c r="C1920" s="315"/>
      <c r="D1920" s="316"/>
      <c r="E1920" s="315"/>
      <c r="F1920" s="315"/>
      <c r="G1920" s="315"/>
      <c r="H1920" s="153"/>
      <c r="I1920" s="12"/>
      <c r="J1920" s="170"/>
      <c r="K1920" s="12"/>
      <c r="L1920" s="379"/>
      <c r="M1920" s="380"/>
      <c r="N1920" s="380"/>
      <c r="O1920" s="12"/>
      <c r="P1920" s="381"/>
      <c r="Q1920" s="12"/>
      <c r="R1920" s="12"/>
      <c r="S1920" s="382"/>
      <c r="T1920" s="383"/>
      <c r="U1920" s="384"/>
      <c r="V1920" s="12"/>
      <c r="W1920" s="12"/>
    </row>
    <row r="1921" spans="1:23" x14ac:dyDescent="0.3">
      <c r="A1921" s="193" t="str">
        <f ca="1"/>
        <v/>
      </c>
      <c r="B1921" s="378"/>
      <c r="C1921" s="315"/>
      <c r="D1921" s="316"/>
      <c r="E1921" s="315"/>
      <c r="F1921" s="315"/>
      <c r="G1921" s="315"/>
      <c r="H1921" s="153"/>
      <c r="I1921" s="12"/>
      <c r="J1921" s="170"/>
      <c r="K1921" s="12"/>
      <c r="L1921" s="379"/>
      <c r="M1921" s="380"/>
      <c r="N1921" s="380"/>
      <c r="O1921" s="12"/>
      <c r="P1921" s="381"/>
      <c r="Q1921" s="12"/>
      <c r="R1921" s="12"/>
      <c r="S1921" s="382"/>
      <c r="T1921" s="383"/>
      <c r="U1921" s="384"/>
      <c r="V1921" s="12"/>
      <c r="W1921" s="12"/>
    </row>
    <row r="1922" spans="1:23" x14ac:dyDescent="0.3">
      <c r="A1922" s="193" t="str">
        <f ca="1"/>
        <v/>
      </c>
      <c r="B1922" s="378"/>
      <c r="C1922" s="315"/>
      <c r="D1922" s="316"/>
      <c r="E1922" s="315"/>
      <c r="F1922" s="315"/>
      <c r="G1922" s="315"/>
      <c r="H1922" s="153"/>
      <c r="I1922" s="12"/>
      <c r="J1922" s="170"/>
      <c r="K1922" s="12"/>
      <c r="L1922" s="379"/>
      <c r="M1922" s="380"/>
      <c r="N1922" s="380"/>
      <c r="O1922" s="12"/>
      <c r="P1922" s="381"/>
      <c r="Q1922" s="12"/>
      <c r="R1922" s="12"/>
      <c r="S1922" s="382"/>
      <c r="T1922" s="383"/>
      <c r="U1922" s="384"/>
      <c r="V1922" s="12"/>
      <c r="W1922" s="12"/>
    </row>
    <row r="1923" spans="1:23" x14ac:dyDescent="0.3">
      <c r="A1923" s="193" t="str">
        <f ca="1"/>
        <v/>
      </c>
      <c r="B1923" s="378"/>
      <c r="C1923" s="315"/>
      <c r="D1923" s="316"/>
      <c r="E1923" s="315"/>
      <c r="F1923" s="315"/>
      <c r="G1923" s="315"/>
      <c r="H1923" s="153"/>
      <c r="I1923" s="12"/>
      <c r="J1923" s="170"/>
      <c r="K1923" s="12"/>
      <c r="L1923" s="379"/>
      <c r="M1923" s="380"/>
      <c r="N1923" s="380"/>
      <c r="O1923" s="12"/>
      <c r="P1923" s="381"/>
      <c r="Q1923" s="12"/>
      <c r="R1923" s="12"/>
      <c r="S1923" s="382"/>
      <c r="T1923" s="383"/>
      <c r="U1923" s="384"/>
      <c r="V1923" s="12"/>
      <c r="W1923" s="12"/>
    </row>
    <row r="1924" spans="1:23" x14ac:dyDescent="0.3">
      <c r="A1924" s="193" t="str">
        <f ca="1"/>
        <v/>
      </c>
      <c r="B1924" s="378"/>
      <c r="C1924" s="315"/>
      <c r="D1924" s="316"/>
      <c r="E1924" s="315"/>
      <c r="F1924" s="315"/>
      <c r="G1924" s="315"/>
      <c r="H1924" s="153"/>
      <c r="I1924" s="12"/>
      <c r="J1924" s="170"/>
      <c r="K1924" s="12"/>
      <c r="L1924" s="379"/>
      <c r="M1924" s="380"/>
      <c r="N1924" s="380"/>
      <c r="O1924" s="12"/>
      <c r="P1924" s="381"/>
      <c r="Q1924" s="12"/>
      <c r="R1924" s="12"/>
      <c r="S1924" s="382"/>
      <c r="T1924" s="383"/>
      <c r="U1924" s="384"/>
      <c r="V1924" s="12"/>
      <c r="W1924" s="12"/>
    </row>
    <row r="1925" spans="1:23" x14ac:dyDescent="0.3">
      <c r="A1925" s="193" t="str">
        <f ca="1"/>
        <v/>
      </c>
      <c r="B1925" s="378"/>
      <c r="C1925" s="315"/>
      <c r="D1925" s="316"/>
      <c r="E1925" s="315"/>
      <c r="F1925" s="315"/>
      <c r="G1925" s="315"/>
      <c r="H1925" s="153"/>
      <c r="I1925" s="12"/>
      <c r="J1925" s="170"/>
      <c r="K1925" s="12"/>
      <c r="L1925" s="379"/>
      <c r="M1925" s="380"/>
      <c r="N1925" s="380"/>
      <c r="O1925" s="12"/>
      <c r="P1925" s="381"/>
      <c r="Q1925" s="12"/>
      <c r="R1925" s="12"/>
      <c r="S1925" s="382"/>
      <c r="T1925" s="383"/>
      <c r="U1925" s="384"/>
      <c r="V1925" s="12"/>
      <c r="W1925" s="12"/>
    </row>
    <row r="1926" spans="1:23" x14ac:dyDescent="0.3">
      <c r="A1926" s="193" t="str">
        <f ca="1"/>
        <v/>
      </c>
      <c r="B1926" s="378"/>
      <c r="C1926" s="315"/>
      <c r="D1926" s="316"/>
      <c r="E1926" s="315"/>
      <c r="F1926" s="315"/>
      <c r="G1926" s="315"/>
      <c r="H1926" s="153"/>
      <c r="I1926" s="12"/>
      <c r="J1926" s="170"/>
      <c r="K1926" s="12"/>
      <c r="L1926" s="379"/>
      <c r="M1926" s="380"/>
      <c r="N1926" s="380"/>
      <c r="O1926" s="12"/>
      <c r="P1926" s="381"/>
      <c r="Q1926" s="12"/>
      <c r="R1926" s="12"/>
      <c r="S1926" s="382"/>
      <c r="T1926" s="383"/>
      <c r="U1926" s="384"/>
      <c r="V1926" s="12"/>
      <c r="W1926" s="12"/>
    </row>
    <row r="1927" spans="1:23" x14ac:dyDescent="0.3">
      <c r="A1927" s="193" t="str">
        <f ca="1"/>
        <v/>
      </c>
      <c r="B1927" s="378"/>
      <c r="C1927" s="315"/>
      <c r="D1927" s="316"/>
      <c r="E1927" s="315"/>
      <c r="F1927" s="315"/>
      <c r="G1927" s="315"/>
      <c r="H1927" s="153"/>
      <c r="I1927" s="12"/>
      <c r="J1927" s="170"/>
      <c r="K1927" s="12"/>
      <c r="L1927" s="379"/>
      <c r="M1927" s="380"/>
      <c r="N1927" s="380"/>
      <c r="O1927" s="12"/>
      <c r="P1927" s="381"/>
      <c r="Q1927" s="12"/>
      <c r="R1927" s="12"/>
      <c r="S1927" s="382"/>
      <c r="T1927" s="383"/>
      <c r="U1927" s="384"/>
      <c r="V1927" s="12"/>
      <c r="W1927" s="12"/>
    </row>
    <row r="1928" spans="1:23" x14ac:dyDescent="0.3">
      <c r="A1928" s="193" t="str">
        <f ca="1"/>
        <v/>
      </c>
      <c r="B1928" s="378"/>
      <c r="C1928" s="315"/>
      <c r="D1928" s="316"/>
      <c r="E1928" s="315"/>
      <c r="F1928" s="315"/>
      <c r="G1928" s="315"/>
      <c r="H1928" s="153"/>
      <c r="I1928" s="12"/>
      <c r="J1928" s="170"/>
      <c r="K1928" s="12"/>
      <c r="L1928" s="379"/>
      <c r="M1928" s="380"/>
      <c r="N1928" s="380"/>
      <c r="O1928" s="12"/>
      <c r="P1928" s="381"/>
      <c r="Q1928" s="12"/>
      <c r="R1928" s="12"/>
      <c r="S1928" s="382"/>
      <c r="T1928" s="383"/>
      <c r="U1928" s="384"/>
      <c r="V1928" s="12"/>
      <c r="W1928" s="12"/>
    </row>
    <row r="1929" spans="1:23" x14ac:dyDescent="0.3">
      <c r="A1929" s="193" t="str">
        <f ca="1"/>
        <v/>
      </c>
      <c r="B1929" s="378"/>
      <c r="C1929" s="315"/>
      <c r="D1929" s="316"/>
      <c r="E1929" s="315"/>
      <c r="F1929" s="315"/>
      <c r="G1929" s="315"/>
      <c r="H1929" s="153"/>
      <c r="I1929" s="12"/>
      <c r="J1929" s="170"/>
      <c r="K1929" s="12"/>
      <c r="L1929" s="379"/>
      <c r="M1929" s="380"/>
      <c r="N1929" s="380"/>
      <c r="O1929" s="12"/>
      <c r="P1929" s="381"/>
      <c r="Q1929" s="12"/>
      <c r="R1929" s="12"/>
      <c r="S1929" s="382"/>
      <c r="T1929" s="383"/>
      <c r="U1929" s="384"/>
      <c r="V1929" s="12"/>
      <c r="W1929" s="12"/>
    </row>
    <row r="1930" spans="1:23" x14ac:dyDescent="0.3">
      <c r="A1930" s="193" t="str">
        <f ca="1"/>
        <v/>
      </c>
      <c r="B1930" s="378"/>
      <c r="C1930" s="315"/>
      <c r="D1930" s="316"/>
      <c r="E1930" s="315"/>
      <c r="F1930" s="315"/>
      <c r="G1930" s="315"/>
      <c r="H1930" s="153"/>
      <c r="I1930" s="12"/>
      <c r="J1930" s="170"/>
      <c r="K1930" s="12"/>
      <c r="L1930" s="379"/>
      <c r="M1930" s="380"/>
      <c r="N1930" s="380"/>
      <c r="O1930" s="12"/>
      <c r="P1930" s="381"/>
      <c r="Q1930" s="12"/>
      <c r="R1930" s="12"/>
      <c r="S1930" s="382"/>
      <c r="T1930" s="383"/>
      <c r="U1930" s="384"/>
      <c r="V1930" s="12"/>
      <c r="W1930" s="12"/>
    </row>
    <row r="1931" spans="1:23" x14ac:dyDescent="0.3">
      <c r="A1931" s="193" t="str">
        <f ca="1"/>
        <v/>
      </c>
      <c r="B1931" s="378"/>
      <c r="C1931" s="315"/>
      <c r="D1931" s="316"/>
      <c r="E1931" s="315"/>
      <c r="F1931" s="315"/>
      <c r="G1931" s="315"/>
      <c r="H1931" s="153"/>
      <c r="I1931" s="12"/>
      <c r="J1931" s="170"/>
      <c r="K1931" s="12"/>
      <c r="L1931" s="379"/>
      <c r="M1931" s="380"/>
      <c r="N1931" s="380"/>
      <c r="O1931" s="12"/>
      <c r="P1931" s="381"/>
      <c r="Q1931" s="12"/>
      <c r="R1931" s="12"/>
      <c r="S1931" s="382"/>
      <c r="T1931" s="383"/>
      <c r="U1931" s="384"/>
      <c r="V1931" s="12"/>
      <c r="W1931" s="12"/>
    </row>
    <row r="1932" spans="1:23" x14ac:dyDescent="0.3">
      <c r="A1932" s="193" t="str">
        <f ca="1"/>
        <v/>
      </c>
      <c r="B1932" s="378"/>
      <c r="C1932" s="315"/>
      <c r="D1932" s="316"/>
      <c r="E1932" s="315"/>
      <c r="F1932" s="315"/>
      <c r="G1932" s="315"/>
      <c r="H1932" s="153"/>
      <c r="I1932" s="12"/>
      <c r="J1932" s="170"/>
      <c r="K1932" s="12"/>
      <c r="L1932" s="379"/>
      <c r="M1932" s="380"/>
      <c r="N1932" s="380"/>
      <c r="O1932" s="12"/>
      <c r="P1932" s="381"/>
      <c r="Q1932" s="12"/>
      <c r="R1932" s="12"/>
      <c r="S1932" s="382"/>
      <c r="T1932" s="383"/>
      <c r="U1932" s="384"/>
      <c r="V1932" s="12"/>
      <c r="W1932" s="12"/>
    </row>
    <row r="1933" spans="1:23" x14ac:dyDescent="0.3">
      <c r="A1933" s="193" t="str">
        <f ca="1"/>
        <v/>
      </c>
      <c r="B1933" s="378"/>
      <c r="C1933" s="315"/>
      <c r="D1933" s="316"/>
      <c r="E1933" s="315"/>
      <c r="F1933" s="315"/>
      <c r="G1933" s="315"/>
      <c r="H1933" s="153"/>
      <c r="I1933" s="12"/>
      <c r="J1933" s="170"/>
      <c r="K1933" s="12"/>
      <c r="L1933" s="379"/>
      <c r="M1933" s="380"/>
      <c r="N1933" s="380"/>
      <c r="O1933" s="12"/>
      <c r="P1933" s="381"/>
      <c r="Q1933" s="12"/>
      <c r="R1933" s="12"/>
      <c r="S1933" s="382"/>
      <c r="T1933" s="383"/>
      <c r="U1933" s="384"/>
      <c r="V1933" s="12"/>
      <c r="W1933" s="12"/>
    </row>
    <row r="1934" spans="1:23" x14ac:dyDescent="0.3">
      <c r="A1934" s="193" t="str">
        <f ca="1"/>
        <v/>
      </c>
      <c r="B1934" s="378"/>
      <c r="C1934" s="315"/>
      <c r="D1934" s="316"/>
      <c r="E1934" s="315"/>
      <c r="F1934" s="315"/>
      <c r="G1934" s="315"/>
      <c r="H1934" s="153"/>
      <c r="I1934" s="12"/>
      <c r="J1934" s="170"/>
      <c r="K1934" s="12"/>
      <c r="L1934" s="379"/>
      <c r="M1934" s="380"/>
      <c r="N1934" s="380"/>
      <c r="O1934" s="12"/>
      <c r="P1934" s="381"/>
      <c r="Q1934" s="12"/>
      <c r="R1934" s="12"/>
      <c r="S1934" s="382"/>
      <c r="T1934" s="383"/>
      <c r="U1934" s="384"/>
      <c r="V1934" s="12"/>
      <c r="W1934" s="12"/>
    </row>
    <row r="1935" spans="1:23" x14ac:dyDescent="0.3">
      <c r="A1935" s="193" t="str">
        <f ca="1"/>
        <v/>
      </c>
      <c r="B1935" s="378"/>
      <c r="C1935" s="315"/>
      <c r="D1935" s="316"/>
      <c r="E1935" s="315"/>
      <c r="F1935" s="315"/>
      <c r="G1935" s="315"/>
      <c r="H1935" s="153"/>
      <c r="I1935" s="12"/>
      <c r="J1935" s="170"/>
      <c r="K1935" s="12"/>
      <c r="L1935" s="379"/>
      <c r="M1935" s="380"/>
      <c r="N1935" s="380"/>
      <c r="O1935" s="12"/>
      <c r="P1935" s="381"/>
      <c r="Q1935" s="12"/>
      <c r="R1935" s="12"/>
      <c r="S1935" s="382"/>
      <c r="T1935" s="383"/>
      <c r="U1935" s="384"/>
      <c r="V1935" s="12"/>
      <c r="W1935" s="12"/>
    </row>
    <row r="1936" spans="1:23" x14ac:dyDescent="0.3">
      <c r="A1936" s="193" t="str">
        <f ca="1"/>
        <v/>
      </c>
      <c r="B1936" s="378"/>
      <c r="C1936" s="315"/>
      <c r="D1936" s="316"/>
      <c r="E1936" s="315"/>
      <c r="F1936" s="315"/>
      <c r="G1936" s="315"/>
      <c r="H1936" s="153"/>
      <c r="I1936" s="12"/>
      <c r="J1936" s="170"/>
      <c r="K1936" s="12"/>
      <c r="L1936" s="379"/>
      <c r="M1936" s="380"/>
      <c r="N1936" s="380"/>
      <c r="O1936" s="12"/>
      <c r="P1936" s="381"/>
      <c r="Q1936" s="12"/>
      <c r="R1936" s="12"/>
      <c r="S1936" s="382"/>
      <c r="T1936" s="383"/>
      <c r="U1936" s="384"/>
      <c r="V1936" s="12"/>
      <c r="W1936" s="12"/>
    </row>
    <row r="1937" spans="1:23" x14ac:dyDescent="0.3">
      <c r="A1937" s="193" t="str">
        <f ca="1"/>
        <v/>
      </c>
      <c r="B1937" s="378"/>
      <c r="C1937" s="315"/>
      <c r="D1937" s="316"/>
      <c r="E1937" s="315"/>
      <c r="F1937" s="315"/>
      <c r="G1937" s="315"/>
      <c r="H1937" s="153"/>
      <c r="I1937" s="12"/>
      <c r="J1937" s="170"/>
      <c r="K1937" s="12"/>
      <c r="L1937" s="379"/>
      <c r="M1937" s="380"/>
      <c r="N1937" s="380"/>
      <c r="O1937" s="12"/>
      <c r="P1937" s="381"/>
      <c r="Q1937" s="12"/>
      <c r="R1937" s="12"/>
      <c r="S1937" s="382"/>
      <c r="T1937" s="383"/>
      <c r="U1937" s="384"/>
      <c r="V1937" s="12"/>
      <c r="W1937" s="12"/>
    </row>
    <row r="1938" spans="1:23" x14ac:dyDescent="0.3">
      <c r="A1938" s="193" t="str">
        <f ca="1"/>
        <v/>
      </c>
      <c r="B1938" s="378"/>
      <c r="C1938" s="315"/>
      <c r="D1938" s="316"/>
      <c r="E1938" s="315"/>
      <c r="F1938" s="315"/>
      <c r="G1938" s="315"/>
      <c r="H1938" s="153"/>
      <c r="I1938" s="12"/>
      <c r="J1938" s="170"/>
      <c r="K1938" s="12"/>
      <c r="L1938" s="379"/>
      <c r="M1938" s="380"/>
      <c r="N1938" s="380"/>
      <c r="O1938" s="12"/>
      <c r="P1938" s="381"/>
      <c r="Q1938" s="12"/>
      <c r="R1938" s="12"/>
      <c r="S1938" s="382"/>
      <c r="T1938" s="383"/>
      <c r="U1938" s="384"/>
      <c r="V1938" s="12"/>
      <c r="W1938" s="12"/>
    </row>
    <row r="1939" spans="1:23" x14ac:dyDescent="0.3">
      <c r="A1939" s="193" t="str">
        <f ca="1"/>
        <v/>
      </c>
      <c r="B1939" s="378"/>
      <c r="C1939" s="315"/>
      <c r="D1939" s="316"/>
      <c r="E1939" s="315"/>
      <c r="F1939" s="315"/>
      <c r="G1939" s="315"/>
      <c r="H1939" s="153"/>
      <c r="I1939" s="12"/>
      <c r="J1939" s="170"/>
      <c r="K1939" s="12"/>
      <c r="L1939" s="379"/>
      <c r="M1939" s="380"/>
      <c r="N1939" s="380"/>
      <c r="O1939" s="12"/>
      <c r="P1939" s="381"/>
      <c r="Q1939" s="12"/>
      <c r="R1939" s="12"/>
      <c r="S1939" s="382"/>
      <c r="T1939" s="383"/>
      <c r="U1939" s="384"/>
      <c r="V1939" s="12"/>
      <c r="W1939" s="12"/>
    </row>
    <row r="1940" spans="1:23" x14ac:dyDescent="0.3">
      <c r="A1940" s="193" t="str">
        <f ca="1"/>
        <v/>
      </c>
      <c r="B1940" s="378"/>
      <c r="C1940" s="315"/>
      <c r="D1940" s="316"/>
      <c r="E1940" s="315"/>
      <c r="F1940" s="315"/>
      <c r="G1940" s="315"/>
      <c r="H1940" s="153"/>
      <c r="I1940" s="12"/>
      <c r="J1940" s="170"/>
      <c r="K1940" s="12"/>
      <c r="L1940" s="379"/>
      <c r="M1940" s="380"/>
      <c r="N1940" s="380"/>
      <c r="O1940" s="12"/>
      <c r="P1940" s="381"/>
      <c r="Q1940" s="12"/>
      <c r="R1940" s="12"/>
      <c r="S1940" s="382"/>
      <c r="T1940" s="383"/>
      <c r="U1940" s="384"/>
      <c r="V1940" s="12"/>
      <c r="W1940" s="12"/>
    </row>
    <row r="1941" spans="1:23" x14ac:dyDescent="0.3">
      <c r="A1941" s="193" t="str">
        <f ca="1"/>
        <v/>
      </c>
      <c r="B1941" s="378"/>
      <c r="C1941" s="315"/>
      <c r="D1941" s="316"/>
      <c r="E1941" s="315"/>
      <c r="F1941" s="315"/>
      <c r="G1941" s="315"/>
      <c r="H1941" s="153"/>
      <c r="I1941" s="12"/>
      <c r="J1941" s="170"/>
      <c r="K1941" s="12"/>
      <c r="L1941" s="379"/>
      <c r="M1941" s="380"/>
      <c r="N1941" s="380"/>
      <c r="O1941" s="12"/>
      <c r="P1941" s="381"/>
      <c r="Q1941" s="12"/>
      <c r="R1941" s="12"/>
      <c r="S1941" s="382"/>
      <c r="T1941" s="383"/>
      <c r="U1941" s="384"/>
      <c r="V1941" s="12"/>
      <c r="W1941" s="12"/>
    </row>
    <row r="1942" spans="1:23" x14ac:dyDescent="0.3">
      <c r="A1942" s="193" t="str">
        <f ca="1"/>
        <v/>
      </c>
      <c r="B1942" s="378"/>
      <c r="C1942" s="315"/>
      <c r="D1942" s="316"/>
      <c r="E1942" s="315"/>
      <c r="F1942" s="315"/>
      <c r="G1942" s="315"/>
      <c r="H1942" s="153"/>
      <c r="I1942" s="12"/>
      <c r="J1942" s="170"/>
      <c r="K1942" s="12"/>
      <c r="L1942" s="379"/>
      <c r="M1942" s="380"/>
      <c r="N1942" s="380"/>
      <c r="O1942" s="12"/>
      <c r="P1942" s="381"/>
      <c r="Q1942" s="12"/>
      <c r="R1942" s="12"/>
      <c r="S1942" s="382"/>
      <c r="T1942" s="383"/>
      <c r="U1942" s="384"/>
      <c r="V1942" s="12"/>
      <c r="W1942" s="12"/>
    </row>
    <row r="1943" spans="1:23" x14ac:dyDescent="0.3">
      <c r="A1943" s="193" t="str">
        <f ca="1"/>
        <v/>
      </c>
      <c r="B1943" s="378"/>
      <c r="C1943" s="315"/>
      <c r="D1943" s="316"/>
      <c r="E1943" s="315"/>
      <c r="F1943" s="315"/>
      <c r="G1943" s="315"/>
      <c r="H1943" s="153"/>
      <c r="I1943" s="12"/>
      <c r="J1943" s="170"/>
      <c r="K1943" s="12"/>
      <c r="L1943" s="379"/>
      <c r="M1943" s="380"/>
      <c r="N1943" s="380"/>
      <c r="O1943" s="12"/>
      <c r="P1943" s="381"/>
      <c r="Q1943" s="12"/>
      <c r="R1943" s="12"/>
      <c r="S1943" s="382"/>
      <c r="T1943" s="383"/>
      <c r="U1943" s="384"/>
      <c r="V1943" s="12"/>
      <c r="W1943" s="12"/>
    </row>
    <row r="1944" spans="1:23" x14ac:dyDescent="0.3">
      <c r="A1944" s="193" t="str">
        <f ca="1"/>
        <v/>
      </c>
      <c r="B1944" s="378"/>
      <c r="C1944" s="315"/>
      <c r="D1944" s="316"/>
      <c r="E1944" s="315"/>
      <c r="F1944" s="315"/>
      <c r="G1944" s="315"/>
      <c r="H1944" s="153"/>
      <c r="I1944" s="12"/>
      <c r="J1944" s="170"/>
      <c r="K1944" s="12"/>
      <c r="L1944" s="379"/>
      <c r="M1944" s="380"/>
      <c r="N1944" s="380"/>
      <c r="O1944" s="12"/>
      <c r="P1944" s="381"/>
      <c r="Q1944" s="12"/>
      <c r="R1944" s="12"/>
      <c r="S1944" s="382"/>
      <c r="T1944" s="383"/>
      <c r="U1944" s="384"/>
      <c r="V1944" s="12"/>
      <c r="W1944" s="12"/>
    </row>
    <row r="1945" spans="1:23" x14ac:dyDescent="0.3">
      <c r="A1945" s="193" t="str">
        <f ca="1"/>
        <v/>
      </c>
      <c r="B1945" s="378"/>
      <c r="C1945" s="315"/>
      <c r="D1945" s="316"/>
      <c r="E1945" s="315"/>
      <c r="F1945" s="315"/>
      <c r="G1945" s="315"/>
      <c r="H1945" s="153"/>
      <c r="I1945" s="12"/>
      <c r="J1945" s="170"/>
      <c r="K1945" s="12"/>
      <c r="L1945" s="379"/>
      <c r="M1945" s="380"/>
      <c r="N1945" s="380"/>
      <c r="O1945" s="12"/>
      <c r="P1945" s="381"/>
      <c r="Q1945" s="12"/>
      <c r="R1945" s="12"/>
      <c r="S1945" s="382"/>
      <c r="T1945" s="383"/>
      <c r="U1945" s="384"/>
      <c r="V1945" s="12"/>
      <c r="W1945" s="12"/>
    </row>
    <row r="1946" spans="1:23" x14ac:dyDescent="0.3">
      <c r="A1946" s="193" t="str">
        <f ca="1"/>
        <v/>
      </c>
      <c r="B1946" s="378"/>
      <c r="C1946" s="315"/>
      <c r="D1946" s="316"/>
      <c r="E1946" s="315"/>
      <c r="F1946" s="315"/>
      <c r="G1946" s="315"/>
      <c r="H1946" s="153"/>
      <c r="I1946" s="12"/>
      <c r="J1946" s="170"/>
      <c r="K1946" s="12"/>
      <c r="L1946" s="379"/>
      <c r="M1946" s="380"/>
      <c r="N1946" s="380"/>
      <c r="O1946" s="12"/>
      <c r="P1946" s="381"/>
      <c r="Q1946" s="12"/>
      <c r="R1946" s="12"/>
      <c r="S1946" s="382"/>
      <c r="T1946" s="383"/>
      <c r="U1946" s="384"/>
      <c r="V1946" s="12"/>
      <c r="W1946" s="12"/>
    </row>
    <row r="1947" spans="1:23" x14ac:dyDescent="0.3">
      <c r="A1947" s="193" t="str">
        <f ca="1"/>
        <v/>
      </c>
      <c r="B1947" s="378"/>
      <c r="C1947" s="315"/>
      <c r="D1947" s="316"/>
      <c r="E1947" s="315"/>
      <c r="F1947" s="315"/>
      <c r="G1947" s="315"/>
      <c r="H1947" s="153"/>
      <c r="I1947" s="12"/>
      <c r="J1947" s="170"/>
      <c r="K1947" s="12"/>
      <c r="L1947" s="379"/>
      <c r="M1947" s="380"/>
      <c r="N1947" s="380"/>
      <c r="O1947" s="12"/>
      <c r="P1947" s="381"/>
      <c r="Q1947" s="12"/>
      <c r="R1947" s="12"/>
      <c r="S1947" s="382"/>
      <c r="T1947" s="383"/>
      <c r="U1947" s="384"/>
      <c r="V1947" s="12"/>
      <c r="W1947" s="12"/>
    </row>
    <row r="1948" spans="1:23" x14ac:dyDescent="0.3">
      <c r="A1948" s="193" t="str">
        <f ca="1"/>
        <v/>
      </c>
      <c r="B1948" s="378"/>
      <c r="C1948" s="315"/>
      <c r="D1948" s="316"/>
      <c r="E1948" s="315"/>
      <c r="F1948" s="315"/>
      <c r="G1948" s="315"/>
      <c r="H1948" s="153"/>
      <c r="I1948" s="12"/>
      <c r="J1948" s="170"/>
      <c r="K1948" s="12"/>
      <c r="L1948" s="379"/>
      <c r="M1948" s="380"/>
      <c r="N1948" s="380"/>
      <c r="O1948" s="12"/>
      <c r="P1948" s="381"/>
      <c r="Q1948" s="12"/>
      <c r="R1948" s="12"/>
      <c r="S1948" s="382"/>
      <c r="T1948" s="383"/>
      <c r="U1948" s="384"/>
      <c r="V1948" s="12"/>
      <c r="W1948" s="12"/>
    </row>
    <row r="1949" spans="1:23" x14ac:dyDescent="0.3">
      <c r="A1949" s="193" t="str">
        <f ca="1"/>
        <v/>
      </c>
      <c r="B1949" s="378"/>
      <c r="C1949" s="315"/>
      <c r="D1949" s="316"/>
      <c r="E1949" s="315"/>
      <c r="F1949" s="315"/>
      <c r="G1949" s="315"/>
      <c r="H1949" s="153"/>
      <c r="I1949" s="12"/>
      <c r="J1949" s="170"/>
      <c r="K1949" s="12"/>
      <c r="L1949" s="379"/>
      <c r="M1949" s="380"/>
      <c r="N1949" s="380"/>
      <c r="O1949" s="12"/>
      <c r="P1949" s="381"/>
      <c r="Q1949" s="12"/>
      <c r="R1949" s="12"/>
      <c r="S1949" s="382"/>
      <c r="T1949" s="383"/>
      <c r="U1949" s="384"/>
      <c r="V1949" s="12"/>
      <c r="W1949" s="12"/>
    </row>
    <row r="1950" spans="1:23" x14ac:dyDescent="0.3">
      <c r="A1950" s="193" t="str">
        <f ca="1"/>
        <v/>
      </c>
      <c r="B1950" s="378"/>
      <c r="C1950" s="315"/>
      <c r="D1950" s="316"/>
      <c r="E1950" s="315"/>
      <c r="F1950" s="315"/>
      <c r="G1950" s="315"/>
      <c r="H1950" s="153"/>
      <c r="I1950" s="12"/>
      <c r="J1950" s="170"/>
      <c r="K1950" s="12"/>
      <c r="L1950" s="379"/>
      <c r="M1950" s="380"/>
      <c r="N1950" s="380"/>
      <c r="O1950" s="12"/>
      <c r="P1950" s="381"/>
      <c r="Q1950" s="12"/>
      <c r="R1950" s="12"/>
      <c r="S1950" s="382"/>
      <c r="T1950" s="383"/>
      <c r="U1950" s="384"/>
      <c r="V1950" s="12"/>
      <c r="W1950" s="12"/>
    </row>
    <row r="1951" spans="1:23" x14ac:dyDescent="0.3">
      <c r="A1951" s="193" t="str">
        <f ca="1"/>
        <v/>
      </c>
      <c r="B1951" s="378"/>
      <c r="C1951" s="315"/>
      <c r="D1951" s="316"/>
      <c r="E1951" s="315"/>
      <c r="F1951" s="315"/>
      <c r="G1951" s="315"/>
      <c r="H1951" s="153"/>
      <c r="I1951" s="12"/>
      <c r="J1951" s="170"/>
      <c r="K1951" s="12"/>
      <c r="L1951" s="379"/>
      <c r="M1951" s="380"/>
      <c r="N1951" s="380"/>
      <c r="O1951" s="12"/>
      <c r="P1951" s="381"/>
      <c r="Q1951" s="12"/>
      <c r="R1951" s="12"/>
      <c r="S1951" s="382"/>
      <c r="T1951" s="383"/>
      <c r="U1951" s="384"/>
      <c r="V1951" s="12"/>
      <c r="W1951" s="12"/>
    </row>
    <row r="1952" spans="1:23" x14ac:dyDescent="0.3">
      <c r="A1952" s="193" t="str">
        <f ca="1"/>
        <v/>
      </c>
      <c r="B1952" s="378"/>
      <c r="C1952" s="315"/>
      <c r="D1952" s="316"/>
      <c r="E1952" s="315"/>
      <c r="F1952" s="315"/>
      <c r="G1952" s="315"/>
      <c r="H1952" s="153"/>
      <c r="I1952" s="12"/>
      <c r="J1952" s="170"/>
      <c r="K1952" s="12"/>
      <c r="L1952" s="379"/>
      <c r="M1952" s="380"/>
      <c r="N1952" s="380"/>
      <c r="O1952" s="12"/>
      <c r="P1952" s="381"/>
      <c r="Q1952" s="12"/>
      <c r="R1952" s="12"/>
      <c r="S1952" s="382"/>
      <c r="T1952" s="383"/>
      <c r="U1952" s="384"/>
      <c r="V1952" s="12"/>
      <c r="W1952" s="12"/>
    </row>
    <row r="1953" spans="1:23" x14ac:dyDescent="0.3">
      <c r="A1953" s="193" t="str">
        <f ca="1"/>
        <v/>
      </c>
      <c r="B1953" s="378"/>
      <c r="C1953" s="315"/>
      <c r="D1953" s="316"/>
      <c r="E1953" s="315"/>
      <c r="F1953" s="315"/>
      <c r="G1953" s="315"/>
      <c r="H1953" s="153"/>
      <c r="I1953" s="12"/>
      <c r="J1953" s="170"/>
      <c r="K1953" s="12"/>
      <c r="L1953" s="379"/>
      <c r="M1953" s="380"/>
      <c r="N1953" s="380"/>
      <c r="O1953" s="12"/>
      <c r="P1953" s="381"/>
      <c r="Q1953" s="12"/>
      <c r="R1953" s="12"/>
      <c r="S1953" s="382"/>
      <c r="T1953" s="383"/>
      <c r="U1953" s="384"/>
      <c r="V1953" s="12"/>
      <c r="W1953" s="12"/>
    </row>
    <row r="1954" spans="1:23" x14ac:dyDescent="0.3">
      <c r="A1954" s="193" t="str">
        <f ca="1"/>
        <v/>
      </c>
      <c r="B1954" s="378"/>
      <c r="C1954" s="315"/>
      <c r="D1954" s="316"/>
      <c r="E1954" s="315"/>
      <c r="F1954" s="315"/>
      <c r="G1954" s="315"/>
      <c r="H1954" s="153"/>
      <c r="I1954" s="12"/>
      <c r="J1954" s="170"/>
      <c r="K1954" s="12"/>
      <c r="L1954" s="379"/>
      <c r="M1954" s="380"/>
      <c r="N1954" s="380"/>
      <c r="O1954" s="12"/>
      <c r="P1954" s="381"/>
      <c r="Q1954" s="12"/>
      <c r="R1954" s="12"/>
      <c r="S1954" s="382"/>
      <c r="T1954" s="383"/>
      <c r="U1954" s="384"/>
      <c r="V1954" s="12"/>
      <c r="W1954" s="12"/>
    </row>
    <row r="1955" spans="1:23" x14ac:dyDescent="0.3">
      <c r="A1955" s="193" t="str">
        <f ca="1"/>
        <v/>
      </c>
      <c r="B1955" s="378"/>
      <c r="C1955" s="315"/>
      <c r="D1955" s="316"/>
      <c r="E1955" s="315"/>
      <c r="F1955" s="315"/>
      <c r="G1955" s="315"/>
      <c r="H1955" s="153"/>
      <c r="I1955" s="12"/>
      <c r="J1955" s="170"/>
      <c r="K1955" s="12"/>
      <c r="L1955" s="379"/>
      <c r="M1955" s="380"/>
      <c r="N1955" s="380"/>
      <c r="O1955" s="12"/>
      <c r="P1955" s="381"/>
      <c r="Q1955" s="12"/>
      <c r="R1955" s="12"/>
      <c r="S1955" s="382"/>
      <c r="T1955" s="383"/>
      <c r="U1955" s="384"/>
      <c r="V1955" s="12"/>
      <c r="W1955" s="12"/>
    </row>
    <row r="1956" spans="1:23" x14ac:dyDescent="0.3">
      <c r="A1956" s="193" t="str">
        <f ca="1"/>
        <v/>
      </c>
      <c r="B1956" s="378"/>
      <c r="C1956" s="315"/>
      <c r="D1956" s="316"/>
      <c r="E1956" s="315"/>
      <c r="F1956" s="315"/>
      <c r="G1956" s="315"/>
      <c r="H1956" s="153"/>
      <c r="I1956" s="12"/>
      <c r="J1956" s="170"/>
      <c r="K1956" s="12"/>
      <c r="L1956" s="379"/>
      <c r="M1956" s="380"/>
      <c r="N1956" s="380"/>
      <c r="O1956" s="12"/>
      <c r="P1956" s="381"/>
      <c r="Q1956" s="12"/>
      <c r="R1956" s="12"/>
      <c r="S1956" s="382"/>
      <c r="T1956" s="383"/>
      <c r="U1956" s="384"/>
      <c r="V1956" s="12"/>
      <c r="W1956" s="12"/>
    </row>
    <row r="1957" spans="1:23" x14ac:dyDescent="0.3">
      <c r="A1957" s="193" t="str">
        <f ca="1"/>
        <v/>
      </c>
      <c r="B1957" s="378"/>
      <c r="C1957" s="315"/>
      <c r="D1957" s="316"/>
      <c r="E1957" s="315"/>
      <c r="F1957" s="315"/>
      <c r="G1957" s="315"/>
      <c r="H1957" s="153"/>
      <c r="I1957" s="12"/>
      <c r="J1957" s="170"/>
      <c r="K1957" s="12"/>
      <c r="L1957" s="379"/>
      <c r="M1957" s="380"/>
      <c r="N1957" s="380"/>
      <c r="O1957" s="12"/>
      <c r="P1957" s="381"/>
      <c r="Q1957" s="12"/>
      <c r="R1957" s="12"/>
      <c r="S1957" s="382"/>
      <c r="T1957" s="383"/>
      <c r="U1957" s="384"/>
      <c r="V1957" s="12"/>
      <c r="W1957" s="12"/>
    </row>
    <row r="1958" spans="1:23" x14ac:dyDescent="0.3">
      <c r="A1958" s="193" t="str">
        <f ca="1"/>
        <v/>
      </c>
      <c r="B1958" s="378"/>
      <c r="C1958" s="315"/>
      <c r="D1958" s="316"/>
      <c r="E1958" s="315"/>
      <c r="F1958" s="315"/>
      <c r="G1958" s="315"/>
      <c r="H1958" s="153"/>
      <c r="I1958" s="12"/>
      <c r="J1958" s="170"/>
      <c r="K1958" s="12"/>
      <c r="L1958" s="379"/>
      <c r="M1958" s="380"/>
      <c r="N1958" s="380"/>
      <c r="O1958" s="12"/>
      <c r="P1958" s="381"/>
      <c r="Q1958" s="12"/>
      <c r="R1958" s="12"/>
      <c r="S1958" s="382"/>
      <c r="T1958" s="383"/>
      <c r="U1958" s="384"/>
      <c r="V1958" s="12"/>
      <c r="W1958" s="12"/>
    </row>
    <row r="1959" spans="1:23" x14ac:dyDescent="0.3">
      <c r="A1959" s="193" t="str">
        <f ca="1"/>
        <v/>
      </c>
      <c r="B1959" s="378"/>
      <c r="C1959" s="315"/>
      <c r="D1959" s="316"/>
      <c r="E1959" s="315"/>
      <c r="F1959" s="315"/>
      <c r="G1959" s="315"/>
      <c r="H1959" s="153"/>
      <c r="I1959" s="12"/>
      <c r="J1959" s="170"/>
      <c r="K1959" s="12"/>
      <c r="L1959" s="379"/>
      <c r="M1959" s="380"/>
      <c r="N1959" s="380"/>
      <c r="O1959" s="12"/>
      <c r="P1959" s="381"/>
      <c r="Q1959" s="12"/>
      <c r="R1959" s="12"/>
      <c r="S1959" s="382"/>
      <c r="T1959" s="383"/>
      <c r="U1959" s="384"/>
      <c r="V1959" s="12"/>
      <c r="W1959" s="12"/>
    </row>
    <row r="1960" spans="1:23" x14ac:dyDescent="0.3">
      <c r="A1960" s="193" t="str">
        <f ca="1"/>
        <v/>
      </c>
      <c r="B1960" s="378"/>
      <c r="C1960" s="315"/>
      <c r="D1960" s="316"/>
      <c r="E1960" s="315"/>
      <c r="F1960" s="315"/>
      <c r="G1960" s="315"/>
      <c r="H1960" s="153"/>
      <c r="I1960" s="12"/>
      <c r="J1960" s="170"/>
      <c r="K1960" s="12"/>
      <c r="L1960" s="379"/>
      <c r="M1960" s="380"/>
      <c r="N1960" s="380"/>
      <c r="O1960" s="12"/>
      <c r="P1960" s="381"/>
      <c r="Q1960" s="12"/>
      <c r="R1960" s="12"/>
      <c r="S1960" s="382"/>
      <c r="T1960" s="383"/>
      <c r="U1960" s="384"/>
      <c r="V1960" s="12"/>
      <c r="W1960" s="12"/>
    </row>
    <row r="1961" spans="1:23" x14ac:dyDescent="0.3">
      <c r="A1961" s="193" t="str">
        <f ca="1"/>
        <v/>
      </c>
      <c r="B1961" s="378"/>
      <c r="C1961" s="315"/>
      <c r="D1961" s="316"/>
      <c r="E1961" s="315"/>
      <c r="F1961" s="315"/>
      <c r="G1961" s="315"/>
      <c r="H1961" s="153"/>
      <c r="I1961" s="12"/>
      <c r="J1961" s="170"/>
      <c r="K1961" s="12"/>
      <c r="L1961" s="379"/>
      <c r="M1961" s="380"/>
      <c r="N1961" s="380"/>
      <c r="O1961" s="12"/>
      <c r="P1961" s="381"/>
      <c r="Q1961" s="12"/>
      <c r="R1961" s="12"/>
      <c r="S1961" s="382"/>
      <c r="T1961" s="383"/>
      <c r="U1961" s="384"/>
      <c r="V1961" s="12"/>
      <c r="W1961" s="12"/>
    </row>
    <row r="1962" spans="1:23" x14ac:dyDescent="0.3">
      <c r="A1962" s="193" t="str">
        <f ca="1"/>
        <v/>
      </c>
      <c r="B1962" s="378"/>
      <c r="C1962" s="315"/>
      <c r="D1962" s="316"/>
      <c r="E1962" s="315"/>
      <c r="F1962" s="315"/>
      <c r="G1962" s="315"/>
      <c r="H1962" s="153"/>
      <c r="I1962" s="12"/>
      <c r="J1962" s="170"/>
      <c r="K1962" s="12"/>
      <c r="L1962" s="379"/>
      <c r="M1962" s="380"/>
      <c r="N1962" s="380"/>
      <c r="O1962" s="12"/>
      <c r="P1962" s="381"/>
      <c r="Q1962" s="12"/>
      <c r="R1962" s="12"/>
      <c r="S1962" s="382"/>
      <c r="T1962" s="383"/>
      <c r="U1962" s="384"/>
      <c r="V1962" s="12"/>
      <c r="W1962" s="12"/>
    </row>
    <row r="1963" spans="1:23" x14ac:dyDescent="0.3">
      <c r="A1963" s="193" t="str">
        <f ca="1"/>
        <v/>
      </c>
      <c r="B1963" s="378"/>
      <c r="C1963" s="315"/>
      <c r="D1963" s="316"/>
      <c r="E1963" s="315"/>
      <c r="F1963" s="315"/>
      <c r="G1963" s="315"/>
      <c r="H1963" s="153"/>
      <c r="I1963" s="12"/>
      <c r="J1963" s="170"/>
      <c r="K1963" s="12"/>
      <c r="L1963" s="379"/>
      <c r="M1963" s="380"/>
      <c r="N1963" s="380"/>
      <c r="O1963" s="12"/>
      <c r="P1963" s="381"/>
      <c r="Q1963" s="12"/>
      <c r="R1963" s="12"/>
      <c r="S1963" s="382"/>
      <c r="T1963" s="383"/>
      <c r="U1963" s="384"/>
      <c r="V1963" s="12"/>
      <c r="W1963" s="12"/>
    </row>
    <row r="1964" spans="1:23" x14ac:dyDescent="0.3">
      <c r="A1964" s="193" t="str">
        <f ca="1"/>
        <v/>
      </c>
      <c r="B1964" s="378"/>
      <c r="C1964" s="315"/>
      <c r="D1964" s="316"/>
      <c r="E1964" s="315"/>
      <c r="F1964" s="315"/>
      <c r="G1964" s="315"/>
      <c r="H1964" s="153"/>
      <c r="I1964" s="12"/>
      <c r="J1964" s="170"/>
      <c r="K1964" s="12"/>
      <c r="L1964" s="379"/>
      <c r="M1964" s="380"/>
      <c r="N1964" s="380"/>
      <c r="O1964" s="12"/>
      <c r="P1964" s="381"/>
      <c r="Q1964" s="12"/>
      <c r="R1964" s="12"/>
      <c r="S1964" s="382"/>
      <c r="T1964" s="383"/>
      <c r="U1964" s="384"/>
      <c r="V1964" s="12"/>
      <c r="W1964" s="12"/>
    </row>
    <row r="1965" spans="1:23" x14ac:dyDescent="0.3">
      <c r="A1965" s="193" t="str">
        <f ca="1"/>
        <v/>
      </c>
      <c r="B1965" s="378"/>
      <c r="C1965" s="315"/>
      <c r="D1965" s="316"/>
      <c r="E1965" s="315"/>
      <c r="F1965" s="315"/>
      <c r="G1965" s="315"/>
      <c r="H1965" s="153"/>
      <c r="I1965" s="12"/>
      <c r="J1965" s="170"/>
      <c r="K1965" s="12"/>
      <c r="L1965" s="379"/>
      <c r="M1965" s="380"/>
      <c r="N1965" s="380"/>
      <c r="O1965" s="12"/>
      <c r="P1965" s="381"/>
      <c r="Q1965" s="12"/>
      <c r="R1965" s="12"/>
      <c r="S1965" s="382"/>
      <c r="T1965" s="383"/>
      <c r="U1965" s="384"/>
      <c r="V1965" s="12"/>
      <c r="W1965" s="12"/>
    </row>
    <row r="1966" spans="1:23" x14ac:dyDescent="0.3">
      <c r="A1966" s="193" t="str">
        <f ca="1"/>
        <v/>
      </c>
      <c r="B1966" s="378"/>
      <c r="C1966" s="315"/>
      <c r="D1966" s="316"/>
      <c r="E1966" s="315"/>
      <c r="F1966" s="315"/>
      <c r="G1966" s="315"/>
      <c r="H1966" s="153"/>
      <c r="I1966" s="12"/>
      <c r="J1966" s="170"/>
      <c r="K1966" s="12"/>
      <c r="L1966" s="379"/>
      <c r="M1966" s="380"/>
      <c r="N1966" s="380"/>
      <c r="O1966" s="12"/>
      <c r="P1966" s="381"/>
      <c r="Q1966" s="12"/>
      <c r="R1966" s="12"/>
      <c r="S1966" s="382"/>
      <c r="T1966" s="383"/>
      <c r="U1966" s="384"/>
      <c r="V1966" s="12"/>
      <c r="W1966" s="12"/>
    </row>
    <row r="1967" spans="1:23" x14ac:dyDescent="0.3">
      <c r="A1967" s="193" t="str">
        <f ca="1"/>
        <v/>
      </c>
      <c r="B1967" s="378"/>
      <c r="C1967" s="315"/>
      <c r="D1967" s="316"/>
      <c r="E1967" s="315"/>
      <c r="F1967" s="315"/>
      <c r="G1967" s="315"/>
      <c r="H1967" s="153"/>
      <c r="I1967" s="12"/>
      <c r="J1967" s="170"/>
      <c r="K1967" s="12"/>
      <c r="L1967" s="379"/>
      <c r="M1967" s="380"/>
      <c r="N1967" s="380"/>
      <c r="O1967" s="12"/>
      <c r="P1967" s="381"/>
      <c r="Q1967" s="12"/>
      <c r="R1967" s="12"/>
      <c r="S1967" s="382"/>
      <c r="T1967" s="383"/>
      <c r="U1967" s="384"/>
      <c r="V1967" s="12"/>
      <c r="W1967" s="12"/>
    </row>
    <row r="1968" spans="1:23" x14ac:dyDescent="0.3">
      <c r="A1968" s="193" t="str">
        <f ca="1"/>
        <v/>
      </c>
      <c r="B1968" s="378"/>
      <c r="C1968" s="315"/>
      <c r="D1968" s="316"/>
      <c r="E1968" s="315"/>
      <c r="F1968" s="315"/>
      <c r="G1968" s="315"/>
      <c r="H1968" s="153"/>
      <c r="I1968" s="12"/>
      <c r="J1968" s="170"/>
      <c r="K1968" s="12"/>
      <c r="L1968" s="379"/>
      <c r="M1968" s="380"/>
      <c r="N1968" s="380"/>
      <c r="O1968" s="12"/>
      <c r="P1968" s="381"/>
      <c r="Q1968" s="12"/>
      <c r="R1968" s="12"/>
      <c r="S1968" s="382"/>
      <c r="T1968" s="383"/>
      <c r="U1968" s="384"/>
      <c r="V1968" s="12"/>
      <c r="W1968" s="12"/>
    </row>
    <row r="1969" spans="1:23" x14ac:dyDescent="0.3">
      <c r="A1969" s="193" t="str">
        <f ca="1"/>
        <v/>
      </c>
      <c r="B1969" s="378"/>
      <c r="C1969" s="315"/>
      <c r="D1969" s="316"/>
      <c r="E1969" s="315"/>
      <c r="F1969" s="315"/>
      <c r="G1969" s="315"/>
      <c r="H1969" s="153"/>
      <c r="I1969" s="12"/>
      <c r="J1969" s="170"/>
      <c r="K1969" s="12"/>
      <c r="L1969" s="379"/>
      <c r="M1969" s="380"/>
      <c r="N1969" s="380"/>
      <c r="O1969" s="12"/>
      <c r="P1969" s="381"/>
      <c r="Q1969" s="12"/>
      <c r="R1969" s="12"/>
      <c r="S1969" s="382"/>
      <c r="T1969" s="383"/>
      <c r="U1969" s="384"/>
      <c r="V1969" s="12"/>
      <c r="W1969" s="12"/>
    </row>
    <row r="1970" spans="1:23" x14ac:dyDescent="0.3">
      <c r="A1970" s="193" t="str">
        <f ca="1"/>
        <v/>
      </c>
      <c r="B1970" s="378"/>
      <c r="C1970" s="315"/>
      <c r="D1970" s="316"/>
      <c r="E1970" s="315"/>
      <c r="F1970" s="315"/>
      <c r="G1970" s="315"/>
      <c r="H1970" s="153"/>
      <c r="I1970" s="12"/>
      <c r="J1970" s="170"/>
      <c r="K1970" s="12"/>
      <c r="L1970" s="379"/>
      <c r="M1970" s="380"/>
      <c r="N1970" s="380"/>
      <c r="O1970" s="12"/>
      <c r="P1970" s="381"/>
      <c r="Q1970" s="12"/>
      <c r="R1970" s="12"/>
      <c r="S1970" s="382"/>
      <c r="T1970" s="383"/>
      <c r="U1970" s="384"/>
      <c r="V1970" s="12"/>
      <c r="W1970" s="12"/>
    </row>
    <row r="1971" spans="1:23" x14ac:dyDescent="0.3">
      <c r="A1971" s="193" t="str">
        <f ca="1"/>
        <v/>
      </c>
      <c r="B1971" s="378"/>
      <c r="C1971" s="315"/>
      <c r="D1971" s="316"/>
      <c r="E1971" s="315"/>
      <c r="F1971" s="315"/>
      <c r="G1971" s="315"/>
      <c r="H1971" s="153"/>
      <c r="I1971" s="12"/>
      <c r="J1971" s="170"/>
      <c r="K1971" s="12"/>
      <c r="L1971" s="379"/>
      <c r="M1971" s="380"/>
      <c r="N1971" s="380"/>
      <c r="O1971" s="12"/>
      <c r="P1971" s="381"/>
      <c r="Q1971" s="12"/>
      <c r="R1971" s="12"/>
      <c r="S1971" s="382"/>
      <c r="T1971" s="383"/>
      <c r="U1971" s="384"/>
      <c r="V1971" s="12"/>
      <c r="W1971" s="12"/>
    </row>
    <row r="1972" spans="1:23" x14ac:dyDescent="0.3">
      <c r="A1972" s="193" t="str">
        <f ca="1"/>
        <v/>
      </c>
      <c r="B1972" s="378"/>
      <c r="C1972" s="315"/>
      <c r="D1972" s="316"/>
      <c r="E1972" s="315"/>
      <c r="F1972" s="315"/>
      <c r="G1972" s="315"/>
      <c r="H1972" s="153"/>
      <c r="I1972" s="12"/>
      <c r="J1972" s="170"/>
      <c r="K1972" s="12"/>
      <c r="L1972" s="379"/>
      <c r="M1972" s="380"/>
      <c r="N1972" s="380"/>
      <c r="O1972" s="12"/>
      <c r="P1972" s="381"/>
      <c r="Q1972" s="12"/>
      <c r="R1972" s="12"/>
      <c r="S1972" s="382"/>
      <c r="T1972" s="383"/>
      <c r="U1972" s="384"/>
      <c r="V1972" s="12"/>
      <c r="W1972" s="12"/>
    </row>
    <row r="1973" spans="1:23" x14ac:dyDescent="0.3">
      <c r="A1973" s="193" t="str">
        <f ca="1"/>
        <v/>
      </c>
      <c r="B1973" s="378"/>
      <c r="C1973" s="315"/>
      <c r="D1973" s="316"/>
      <c r="E1973" s="315"/>
      <c r="F1973" s="315"/>
      <c r="G1973" s="315"/>
      <c r="H1973" s="153"/>
      <c r="I1973" s="12"/>
      <c r="J1973" s="170"/>
      <c r="K1973" s="12"/>
      <c r="L1973" s="379"/>
      <c r="M1973" s="380"/>
      <c r="N1973" s="380"/>
      <c r="O1973" s="12"/>
      <c r="P1973" s="381"/>
      <c r="Q1973" s="12"/>
      <c r="R1973" s="12"/>
      <c r="S1973" s="382"/>
      <c r="T1973" s="383"/>
      <c r="U1973" s="384"/>
      <c r="V1973" s="12"/>
      <c r="W1973" s="12"/>
    </row>
    <row r="1974" spans="1:23" x14ac:dyDescent="0.3">
      <c r="A1974" s="193" t="str">
        <f ca="1"/>
        <v/>
      </c>
      <c r="B1974" s="378"/>
      <c r="C1974" s="315"/>
      <c r="D1974" s="316"/>
      <c r="E1974" s="315"/>
      <c r="F1974" s="315"/>
      <c r="G1974" s="315"/>
      <c r="H1974" s="153"/>
      <c r="I1974" s="12"/>
      <c r="J1974" s="170"/>
      <c r="K1974" s="12"/>
      <c r="L1974" s="379"/>
      <c r="M1974" s="380"/>
      <c r="N1974" s="380"/>
      <c r="O1974" s="12"/>
      <c r="P1974" s="381"/>
      <c r="Q1974" s="12"/>
      <c r="R1974" s="12"/>
      <c r="S1974" s="382"/>
      <c r="T1974" s="383"/>
      <c r="U1974" s="384"/>
      <c r="V1974" s="12"/>
      <c r="W1974" s="12"/>
    </row>
    <row r="1975" spans="1:23" x14ac:dyDescent="0.3">
      <c r="A1975" s="193" t="str">
        <f ca="1"/>
        <v/>
      </c>
      <c r="B1975" s="378"/>
      <c r="C1975" s="315"/>
      <c r="D1975" s="316"/>
      <c r="E1975" s="315"/>
      <c r="F1975" s="315"/>
      <c r="G1975" s="315"/>
      <c r="H1975" s="153"/>
      <c r="I1975" s="12"/>
      <c r="J1975" s="170"/>
      <c r="K1975" s="12"/>
      <c r="L1975" s="379"/>
      <c r="M1975" s="380"/>
      <c r="N1975" s="380"/>
      <c r="O1975" s="12"/>
      <c r="P1975" s="381"/>
      <c r="Q1975" s="12"/>
      <c r="R1975" s="12"/>
      <c r="S1975" s="382"/>
      <c r="T1975" s="383"/>
      <c r="U1975" s="384"/>
      <c r="V1975" s="12"/>
      <c r="W1975" s="12"/>
    </row>
    <row r="1976" spans="1:23" x14ac:dyDescent="0.3">
      <c r="A1976" s="193" t="str">
        <f ca="1"/>
        <v/>
      </c>
      <c r="B1976" s="378"/>
      <c r="C1976" s="315"/>
      <c r="D1976" s="316"/>
      <c r="E1976" s="315"/>
      <c r="F1976" s="315"/>
      <c r="G1976" s="315"/>
      <c r="H1976" s="153"/>
      <c r="I1976" s="12"/>
      <c r="J1976" s="170"/>
      <c r="K1976" s="12"/>
      <c r="L1976" s="379"/>
      <c r="M1976" s="380"/>
      <c r="N1976" s="380"/>
      <c r="O1976" s="12"/>
      <c r="P1976" s="381"/>
      <c r="Q1976" s="12"/>
      <c r="R1976" s="12"/>
      <c r="S1976" s="382"/>
      <c r="T1976" s="383"/>
      <c r="U1976" s="384"/>
      <c r="V1976" s="12"/>
      <c r="W1976" s="12"/>
    </row>
    <row r="1977" spans="1:23" x14ac:dyDescent="0.3">
      <c r="A1977" s="193" t="str">
        <f ca="1"/>
        <v/>
      </c>
      <c r="B1977" s="378"/>
      <c r="C1977" s="315"/>
      <c r="D1977" s="316"/>
      <c r="E1977" s="315"/>
      <c r="F1977" s="315"/>
      <c r="G1977" s="315"/>
      <c r="H1977" s="153"/>
      <c r="I1977" s="12"/>
      <c r="J1977" s="170"/>
      <c r="K1977" s="12"/>
      <c r="L1977" s="379"/>
      <c r="M1977" s="380"/>
      <c r="N1977" s="380"/>
      <c r="O1977" s="12"/>
      <c r="P1977" s="381"/>
      <c r="Q1977" s="12"/>
      <c r="R1977" s="12"/>
      <c r="S1977" s="382"/>
      <c r="T1977" s="383"/>
      <c r="U1977" s="384"/>
      <c r="V1977" s="12"/>
      <c r="W1977" s="12"/>
    </row>
    <row r="1978" spans="1:23" x14ac:dyDescent="0.3">
      <c r="A1978" s="193" t="str">
        <f ca="1"/>
        <v/>
      </c>
      <c r="B1978" s="378"/>
      <c r="C1978" s="315"/>
      <c r="D1978" s="316"/>
      <c r="E1978" s="315"/>
      <c r="F1978" s="315"/>
      <c r="G1978" s="315"/>
      <c r="H1978" s="153"/>
      <c r="I1978" s="12"/>
      <c r="J1978" s="170"/>
      <c r="K1978" s="12"/>
      <c r="L1978" s="379"/>
      <c r="M1978" s="380"/>
      <c r="N1978" s="380"/>
      <c r="O1978" s="12"/>
      <c r="P1978" s="381"/>
      <c r="Q1978" s="12"/>
      <c r="R1978" s="12"/>
      <c r="S1978" s="382"/>
      <c r="T1978" s="383"/>
      <c r="U1978" s="384"/>
      <c r="V1978" s="12"/>
      <c r="W1978" s="12"/>
    </row>
    <row r="1979" spans="1:23" x14ac:dyDescent="0.3">
      <c r="A1979" s="193" t="str">
        <f ca="1"/>
        <v/>
      </c>
      <c r="B1979" s="378"/>
      <c r="C1979" s="315"/>
      <c r="D1979" s="316"/>
      <c r="E1979" s="315"/>
      <c r="F1979" s="315"/>
      <c r="G1979" s="315"/>
      <c r="H1979" s="153"/>
      <c r="I1979" s="12"/>
      <c r="J1979" s="170"/>
      <c r="K1979" s="12"/>
      <c r="L1979" s="379"/>
      <c r="M1979" s="380"/>
      <c r="N1979" s="380"/>
      <c r="O1979" s="12"/>
      <c r="P1979" s="381"/>
      <c r="Q1979" s="12"/>
      <c r="R1979" s="12"/>
      <c r="S1979" s="382"/>
      <c r="T1979" s="383"/>
      <c r="U1979" s="384"/>
      <c r="V1979" s="12"/>
      <c r="W1979" s="12"/>
    </row>
    <row r="1980" spans="1:23" x14ac:dyDescent="0.3">
      <c r="A1980" s="193" t="str">
        <f ca="1"/>
        <v/>
      </c>
      <c r="B1980" s="378"/>
      <c r="C1980" s="315"/>
      <c r="D1980" s="316"/>
      <c r="E1980" s="315"/>
      <c r="F1980" s="315"/>
      <c r="G1980" s="315"/>
      <c r="H1980" s="153"/>
      <c r="I1980" s="12"/>
      <c r="J1980" s="170"/>
      <c r="K1980" s="12"/>
      <c r="L1980" s="379"/>
      <c r="M1980" s="380"/>
      <c r="N1980" s="380"/>
      <c r="O1980" s="12"/>
      <c r="P1980" s="381"/>
      <c r="Q1980" s="12"/>
      <c r="R1980" s="12"/>
      <c r="S1980" s="382"/>
      <c r="T1980" s="383"/>
      <c r="U1980" s="384"/>
      <c r="V1980" s="12"/>
      <c r="W1980" s="12"/>
    </row>
    <row r="1981" spans="1:23" x14ac:dyDescent="0.3">
      <c r="A1981" s="193" t="str">
        <f ca="1"/>
        <v/>
      </c>
      <c r="B1981" s="378"/>
      <c r="C1981" s="315"/>
      <c r="D1981" s="316"/>
      <c r="E1981" s="315"/>
      <c r="F1981" s="315"/>
      <c r="G1981" s="315"/>
      <c r="H1981" s="153"/>
      <c r="I1981" s="12"/>
      <c r="J1981" s="170"/>
      <c r="K1981" s="12"/>
      <c r="L1981" s="379"/>
      <c r="M1981" s="380"/>
      <c r="N1981" s="380"/>
      <c r="O1981" s="12"/>
      <c r="P1981" s="381"/>
      <c r="Q1981" s="12"/>
      <c r="R1981" s="12"/>
      <c r="S1981" s="382"/>
      <c r="T1981" s="383"/>
      <c r="U1981" s="384"/>
      <c r="V1981" s="12"/>
      <c r="W1981" s="12"/>
    </row>
    <row r="1982" spans="1:23" x14ac:dyDescent="0.3">
      <c r="A1982" s="193" t="str">
        <f ca="1"/>
        <v/>
      </c>
      <c r="B1982" s="378"/>
      <c r="C1982" s="315"/>
      <c r="D1982" s="316"/>
      <c r="E1982" s="315"/>
      <c r="F1982" s="315"/>
      <c r="G1982" s="315"/>
      <c r="H1982" s="153"/>
      <c r="I1982" s="12"/>
      <c r="J1982" s="170"/>
      <c r="K1982" s="12"/>
      <c r="L1982" s="379"/>
      <c r="M1982" s="380"/>
      <c r="N1982" s="380"/>
      <c r="O1982" s="12"/>
      <c r="P1982" s="381"/>
      <c r="Q1982" s="12"/>
      <c r="R1982" s="12"/>
      <c r="S1982" s="382"/>
      <c r="T1982" s="383"/>
      <c r="U1982" s="384"/>
      <c r="V1982" s="12"/>
      <c r="W1982" s="12"/>
    </row>
    <row r="1983" spans="1:23" x14ac:dyDescent="0.3">
      <c r="A1983" s="193" t="str">
        <f ca="1"/>
        <v/>
      </c>
      <c r="B1983" s="378"/>
      <c r="C1983" s="315"/>
      <c r="D1983" s="316"/>
      <c r="E1983" s="315"/>
      <c r="F1983" s="315"/>
      <c r="G1983" s="315"/>
      <c r="H1983" s="153"/>
      <c r="I1983" s="12"/>
      <c r="J1983" s="170"/>
      <c r="K1983" s="12"/>
      <c r="L1983" s="379"/>
      <c r="M1983" s="380"/>
      <c r="N1983" s="380"/>
      <c r="O1983" s="12"/>
      <c r="P1983" s="381"/>
      <c r="Q1983" s="12"/>
      <c r="R1983" s="12"/>
      <c r="S1983" s="382"/>
      <c r="T1983" s="383"/>
      <c r="U1983" s="384"/>
      <c r="V1983" s="12"/>
      <c r="W1983" s="12"/>
    </row>
    <row r="1984" spans="1:23" x14ac:dyDescent="0.3">
      <c r="A1984" s="193" t="str">
        <f ca="1"/>
        <v/>
      </c>
      <c r="B1984" s="378"/>
      <c r="C1984" s="315"/>
      <c r="D1984" s="316"/>
      <c r="E1984" s="315"/>
      <c r="F1984" s="315"/>
      <c r="G1984" s="315"/>
      <c r="H1984" s="153"/>
      <c r="I1984" s="12"/>
      <c r="J1984" s="170"/>
      <c r="K1984" s="12"/>
      <c r="L1984" s="379"/>
      <c r="M1984" s="380"/>
      <c r="N1984" s="380"/>
      <c r="O1984" s="12"/>
      <c r="P1984" s="381"/>
      <c r="Q1984" s="12"/>
      <c r="R1984" s="12"/>
      <c r="S1984" s="382"/>
      <c r="T1984" s="383"/>
      <c r="U1984" s="384"/>
      <c r="V1984" s="12"/>
      <c r="W1984" s="12"/>
    </row>
    <row r="1985" spans="1:23" x14ac:dyDescent="0.3">
      <c r="A1985" s="193" t="str">
        <f ca="1"/>
        <v/>
      </c>
      <c r="B1985" s="378"/>
      <c r="C1985" s="315"/>
      <c r="D1985" s="316"/>
      <c r="E1985" s="315"/>
      <c r="F1985" s="315"/>
      <c r="G1985" s="315"/>
      <c r="H1985" s="153"/>
      <c r="I1985" s="12"/>
      <c r="J1985" s="170"/>
      <c r="K1985" s="12"/>
      <c r="L1985" s="379"/>
      <c r="M1985" s="380"/>
      <c r="N1985" s="380"/>
      <c r="O1985" s="12"/>
      <c r="P1985" s="381"/>
      <c r="Q1985" s="12"/>
      <c r="R1985" s="12"/>
      <c r="S1985" s="382"/>
      <c r="T1985" s="383"/>
      <c r="U1985" s="384"/>
      <c r="V1985" s="12"/>
      <c r="W1985" s="12"/>
    </row>
    <row r="1986" spans="1:23" x14ac:dyDescent="0.3">
      <c r="A1986" s="193" t="str">
        <f ca="1"/>
        <v/>
      </c>
      <c r="B1986" s="378"/>
      <c r="C1986" s="315"/>
      <c r="D1986" s="316"/>
      <c r="E1986" s="315"/>
      <c r="F1986" s="315"/>
      <c r="G1986" s="315"/>
      <c r="H1986" s="153"/>
      <c r="I1986" s="12"/>
      <c r="J1986" s="170"/>
      <c r="K1986" s="12"/>
      <c r="L1986" s="379"/>
      <c r="M1986" s="380"/>
      <c r="N1986" s="380"/>
      <c r="O1986" s="12"/>
      <c r="P1986" s="381"/>
      <c r="Q1986" s="12"/>
      <c r="R1986" s="12"/>
      <c r="S1986" s="382"/>
      <c r="T1986" s="383"/>
      <c r="U1986" s="384"/>
      <c r="V1986" s="12"/>
      <c r="W1986" s="12"/>
    </row>
    <row r="1987" spans="1:23" x14ac:dyDescent="0.3">
      <c r="A1987" s="193" t="str">
        <f ca="1"/>
        <v/>
      </c>
      <c r="B1987" s="378"/>
      <c r="C1987" s="315"/>
      <c r="D1987" s="316"/>
      <c r="E1987" s="315"/>
      <c r="F1987" s="315"/>
      <c r="G1987" s="315"/>
      <c r="H1987" s="153"/>
      <c r="I1987" s="12"/>
      <c r="J1987" s="170"/>
      <c r="K1987" s="12"/>
      <c r="L1987" s="379"/>
      <c r="M1987" s="380"/>
      <c r="N1987" s="380"/>
      <c r="O1987" s="12"/>
      <c r="P1987" s="381"/>
      <c r="Q1987" s="12"/>
      <c r="R1987" s="12"/>
      <c r="S1987" s="382"/>
      <c r="T1987" s="383"/>
      <c r="U1987" s="384"/>
      <c r="V1987" s="12"/>
      <c r="W1987" s="12"/>
    </row>
    <row r="1988" spans="1:23" x14ac:dyDescent="0.3">
      <c r="A1988" s="193" t="str">
        <f ca="1"/>
        <v/>
      </c>
      <c r="B1988" s="378"/>
      <c r="C1988" s="315"/>
      <c r="D1988" s="316"/>
      <c r="E1988" s="315"/>
      <c r="F1988" s="315"/>
      <c r="G1988" s="315"/>
      <c r="H1988" s="153"/>
      <c r="I1988" s="12"/>
      <c r="J1988" s="170"/>
      <c r="K1988" s="12"/>
      <c r="L1988" s="379"/>
      <c r="M1988" s="380"/>
      <c r="N1988" s="380"/>
      <c r="O1988" s="12"/>
      <c r="P1988" s="381"/>
      <c r="Q1988" s="12"/>
      <c r="R1988" s="12"/>
      <c r="S1988" s="382"/>
      <c r="T1988" s="383"/>
      <c r="U1988" s="384"/>
      <c r="V1988" s="12"/>
      <c r="W1988" s="12"/>
    </row>
    <row r="1989" spans="1:23" x14ac:dyDescent="0.3">
      <c r="A1989" s="193" t="str">
        <f ca="1"/>
        <v/>
      </c>
      <c r="B1989" s="378"/>
      <c r="C1989" s="315"/>
      <c r="D1989" s="316"/>
      <c r="E1989" s="315"/>
      <c r="F1989" s="315"/>
      <c r="G1989" s="315"/>
      <c r="H1989" s="153"/>
      <c r="I1989" s="12"/>
      <c r="J1989" s="170"/>
      <c r="K1989" s="12"/>
      <c r="L1989" s="379"/>
      <c r="M1989" s="380"/>
      <c r="N1989" s="380"/>
      <c r="O1989" s="12"/>
      <c r="P1989" s="381"/>
      <c r="Q1989" s="12"/>
      <c r="R1989" s="12"/>
      <c r="S1989" s="382"/>
      <c r="T1989" s="383"/>
      <c r="U1989" s="384"/>
      <c r="V1989" s="12"/>
      <c r="W1989" s="12"/>
    </row>
    <row r="1990" spans="1:23" x14ac:dyDescent="0.3">
      <c r="A1990" s="193" t="str">
        <f ca="1"/>
        <v/>
      </c>
      <c r="B1990" s="378"/>
      <c r="C1990" s="315"/>
      <c r="D1990" s="316"/>
      <c r="E1990" s="315"/>
      <c r="F1990" s="315"/>
      <c r="G1990" s="315"/>
      <c r="H1990" s="153"/>
      <c r="I1990" s="12"/>
      <c r="J1990" s="170"/>
      <c r="K1990" s="12"/>
      <c r="L1990" s="379"/>
      <c r="M1990" s="380"/>
      <c r="N1990" s="380"/>
      <c r="O1990" s="12"/>
      <c r="P1990" s="381"/>
      <c r="Q1990" s="12"/>
      <c r="R1990" s="12"/>
      <c r="S1990" s="382"/>
      <c r="T1990" s="383"/>
      <c r="U1990" s="384"/>
      <c r="V1990" s="12"/>
      <c r="W1990" s="12"/>
    </row>
    <row r="1991" spans="1:23" x14ac:dyDescent="0.3">
      <c r="A1991" s="193" t="str">
        <f ca="1"/>
        <v/>
      </c>
      <c r="B1991" s="378"/>
      <c r="C1991" s="315"/>
      <c r="D1991" s="316"/>
      <c r="E1991" s="315"/>
      <c r="F1991" s="315"/>
      <c r="G1991" s="315"/>
      <c r="H1991" s="153"/>
      <c r="I1991" s="12"/>
      <c r="J1991" s="170"/>
      <c r="K1991" s="12"/>
      <c r="L1991" s="379"/>
      <c r="M1991" s="380"/>
      <c r="N1991" s="380"/>
      <c r="O1991" s="12"/>
      <c r="P1991" s="381"/>
      <c r="Q1991" s="12"/>
      <c r="R1991" s="12"/>
      <c r="S1991" s="382"/>
      <c r="T1991" s="383"/>
      <c r="U1991" s="384"/>
      <c r="V1991" s="12"/>
      <c r="W1991" s="12"/>
    </row>
    <row r="1992" spans="1:23" x14ac:dyDescent="0.3">
      <c r="A1992" s="193" t="str">
        <f ca="1"/>
        <v/>
      </c>
      <c r="B1992" s="378"/>
      <c r="C1992" s="315"/>
      <c r="D1992" s="316"/>
      <c r="E1992" s="315"/>
      <c r="F1992" s="315"/>
      <c r="G1992" s="315"/>
      <c r="H1992" s="153"/>
      <c r="I1992" s="12"/>
      <c r="J1992" s="170"/>
      <c r="K1992" s="12"/>
      <c r="L1992" s="379"/>
      <c r="M1992" s="380"/>
      <c r="N1992" s="380"/>
      <c r="O1992" s="12"/>
      <c r="P1992" s="381"/>
      <c r="Q1992" s="12"/>
      <c r="R1992" s="12"/>
      <c r="S1992" s="382"/>
      <c r="T1992" s="383"/>
      <c r="U1992" s="384"/>
      <c r="V1992" s="12"/>
      <c r="W1992" s="12"/>
    </row>
    <row r="1993" spans="1:23" x14ac:dyDescent="0.3">
      <c r="A1993" s="193" t="str">
        <f ca="1"/>
        <v/>
      </c>
      <c r="B1993" s="378"/>
      <c r="C1993" s="315"/>
      <c r="D1993" s="316"/>
      <c r="E1993" s="315"/>
      <c r="F1993" s="315"/>
      <c r="G1993" s="315"/>
      <c r="H1993" s="153"/>
      <c r="I1993" s="12"/>
      <c r="J1993" s="170"/>
      <c r="K1993" s="12"/>
      <c r="L1993" s="379"/>
      <c r="M1993" s="380"/>
      <c r="N1993" s="380"/>
      <c r="O1993" s="12"/>
      <c r="P1993" s="381"/>
      <c r="Q1993" s="12"/>
      <c r="R1993" s="12"/>
      <c r="S1993" s="382"/>
      <c r="T1993" s="383"/>
      <c r="U1993" s="384"/>
      <c r="V1993" s="12"/>
      <c r="W1993" s="12"/>
    </row>
    <row r="1994" spans="1:23" x14ac:dyDescent="0.3">
      <c r="A1994" s="193" t="str">
        <f ca="1"/>
        <v/>
      </c>
      <c r="B1994" s="378"/>
      <c r="C1994" s="315"/>
      <c r="D1994" s="316"/>
      <c r="E1994" s="315"/>
      <c r="F1994" s="315"/>
      <c r="G1994" s="315"/>
      <c r="H1994" s="153"/>
      <c r="I1994" s="12"/>
      <c r="J1994" s="170"/>
      <c r="K1994" s="12"/>
      <c r="L1994" s="379"/>
      <c r="M1994" s="380"/>
      <c r="N1994" s="380"/>
      <c r="O1994" s="12"/>
      <c r="P1994" s="381"/>
      <c r="Q1994" s="12"/>
      <c r="R1994" s="12"/>
      <c r="S1994" s="382"/>
      <c r="T1994" s="383"/>
      <c r="U1994" s="384"/>
      <c r="V1994" s="12"/>
      <c r="W1994" s="12"/>
    </row>
    <row r="1995" spans="1:23" x14ac:dyDescent="0.3">
      <c r="A1995" s="193" t="str">
        <f ca="1"/>
        <v/>
      </c>
      <c r="B1995" s="378"/>
      <c r="C1995" s="315"/>
      <c r="D1995" s="316"/>
      <c r="E1995" s="315"/>
      <c r="F1995" s="315"/>
      <c r="G1995" s="315"/>
      <c r="H1995" s="153"/>
      <c r="I1995" s="12"/>
      <c r="J1995" s="170"/>
      <c r="K1995" s="12"/>
      <c r="L1995" s="379"/>
      <c r="M1995" s="380"/>
      <c r="N1995" s="380"/>
      <c r="O1995" s="12"/>
      <c r="P1995" s="381"/>
      <c r="Q1995" s="12"/>
      <c r="R1995" s="12"/>
      <c r="S1995" s="382"/>
      <c r="T1995" s="383"/>
      <c r="U1995" s="384"/>
      <c r="V1995" s="12"/>
      <c r="W1995" s="12"/>
    </row>
    <row r="1996" spans="1:23" x14ac:dyDescent="0.3">
      <c r="A1996" s="193" t="str">
        <f ca="1"/>
        <v/>
      </c>
      <c r="B1996" s="378"/>
      <c r="C1996" s="315"/>
      <c r="D1996" s="316"/>
      <c r="E1996" s="315"/>
      <c r="F1996" s="315"/>
      <c r="G1996" s="315"/>
      <c r="H1996" s="153"/>
      <c r="I1996" s="12"/>
      <c r="J1996" s="170"/>
      <c r="K1996" s="12"/>
      <c r="L1996" s="379"/>
      <c r="M1996" s="380"/>
      <c r="N1996" s="380"/>
      <c r="O1996" s="12"/>
      <c r="P1996" s="381"/>
      <c r="Q1996" s="12"/>
      <c r="R1996" s="12"/>
      <c r="S1996" s="382"/>
      <c r="T1996" s="383"/>
      <c r="U1996" s="384"/>
      <c r="V1996" s="12"/>
      <c r="W1996" s="12"/>
    </row>
    <row r="1997" spans="1:23" x14ac:dyDescent="0.3">
      <c r="A1997" s="193" t="str">
        <f ca="1"/>
        <v/>
      </c>
      <c r="B1997" s="378"/>
      <c r="C1997" s="315"/>
      <c r="D1997" s="316"/>
      <c r="E1997" s="315"/>
      <c r="F1997" s="315"/>
      <c r="G1997" s="315"/>
      <c r="H1997" s="153"/>
      <c r="I1997" s="12"/>
      <c r="J1997" s="170"/>
      <c r="K1997" s="12"/>
      <c r="L1997" s="379"/>
      <c r="M1997" s="380"/>
      <c r="N1997" s="380"/>
      <c r="O1997" s="12"/>
      <c r="P1997" s="381"/>
      <c r="Q1997" s="12"/>
      <c r="R1997" s="12"/>
      <c r="S1997" s="382"/>
      <c r="T1997" s="383"/>
      <c r="U1997" s="384"/>
      <c r="V1997" s="12"/>
      <c r="W1997" s="12"/>
    </row>
    <row r="1998" spans="1:23" x14ac:dyDescent="0.3">
      <c r="A1998" s="193" t="str">
        <f ca="1"/>
        <v/>
      </c>
      <c r="B1998" s="378"/>
      <c r="C1998" s="315"/>
      <c r="D1998" s="316"/>
      <c r="E1998" s="315"/>
      <c r="F1998" s="315"/>
      <c r="G1998" s="315"/>
      <c r="H1998" s="153"/>
      <c r="I1998" s="12"/>
      <c r="J1998" s="170"/>
      <c r="K1998" s="12"/>
      <c r="L1998" s="379"/>
      <c r="M1998" s="380"/>
      <c r="N1998" s="380"/>
      <c r="O1998" s="12"/>
      <c r="P1998" s="381"/>
      <c r="Q1998" s="12"/>
      <c r="R1998" s="12"/>
      <c r="S1998" s="382"/>
      <c r="T1998" s="383"/>
      <c r="U1998" s="384"/>
      <c r="V1998" s="12"/>
      <c r="W1998" s="12"/>
    </row>
    <row r="1999" spans="1:23" x14ac:dyDescent="0.3">
      <c r="A1999" s="193" t="str">
        <f ca="1"/>
        <v/>
      </c>
      <c r="B1999" s="378"/>
      <c r="C1999" s="315"/>
      <c r="D1999" s="316"/>
      <c r="E1999" s="315"/>
      <c r="F1999" s="315"/>
      <c r="G1999" s="315"/>
      <c r="H1999" s="153"/>
      <c r="I1999" s="12"/>
      <c r="J1999" s="170"/>
      <c r="K1999" s="12"/>
      <c r="L1999" s="379"/>
      <c r="M1999" s="380"/>
      <c r="N1999" s="380"/>
      <c r="O1999" s="12"/>
      <c r="P1999" s="381"/>
      <c r="Q1999" s="12"/>
      <c r="R1999" s="12"/>
      <c r="S1999" s="382"/>
      <c r="T1999" s="383"/>
      <c r="U1999" s="384"/>
      <c r="V1999" s="12"/>
      <c r="W1999" s="12"/>
    </row>
    <row r="2000" spans="1:23" x14ac:dyDescent="0.3">
      <c r="A2000" s="193" t="str">
        <f ca="1"/>
        <v/>
      </c>
      <c r="B2000" s="378"/>
      <c r="C2000" s="315"/>
      <c r="D2000" s="316"/>
      <c r="E2000" s="315"/>
      <c r="F2000" s="315"/>
      <c r="G2000" s="315"/>
      <c r="H2000" s="153"/>
      <c r="I2000" s="12"/>
      <c r="J2000" s="170"/>
      <c r="K2000" s="12"/>
      <c r="L2000" s="379"/>
      <c r="M2000" s="380"/>
      <c r="N2000" s="380"/>
      <c r="O2000" s="12"/>
      <c r="P2000" s="381"/>
      <c r="Q2000" s="12"/>
      <c r="R2000" s="12"/>
      <c r="S2000" s="382"/>
      <c r="T2000" s="383"/>
      <c r="U2000" s="384"/>
      <c r="V2000" s="12"/>
      <c r="W2000" s="12"/>
    </row>
    <row r="2001" spans="1:23" x14ac:dyDescent="0.3">
      <c r="A2001" s="193" t="str">
        <f ca="1"/>
        <v/>
      </c>
      <c r="B2001" s="378"/>
      <c r="C2001" s="315"/>
      <c r="D2001" s="316"/>
      <c r="E2001" s="315"/>
      <c r="F2001" s="315"/>
      <c r="G2001" s="315"/>
      <c r="H2001" s="153"/>
      <c r="I2001" s="12"/>
      <c r="J2001" s="170"/>
      <c r="K2001" s="12"/>
      <c r="L2001" s="379"/>
      <c r="M2001" s="380"/>
      <c r="N2001" s="380"/>
      <c r="O2001" s="12"/>
      <c r="P2001" s="381"/>
      <c r="Q2001" s="12"/>
      <c r="R2001" s="12"/>
      <c r="S2001" s="382"/>
      <c r="T2001" s="383"/>
      <c r="U2001" s="384"/>
      <c r="V2001" s="12"/>
      <c r="W2001" s="12"/>
    </row>
    <row r="2002" spans="1:23" x14ac:dyDescent="0.3">
      <c r="A2002" s="193" t="str">
        <f ca="1"/>
        <v/>
      </c>
      <c r="B2002" s="378"/>
      <c r="C2002" s="315"/>
      <c r="D2002" s="316"/>
      <c r="E2002" s="315"/>
      <c r="F2002" s="315"/>
      <c r="G2002" s="315"/>
      <c r="H2002" s="153"/>
      <c r="I2002" s="12"/>
      <c r="J2002" s="170"/>
      <c r="K2002" s="12"/>
      <c r="L2002" s="379"/>
      <c r="M2002" s="380"/>
      <c r="N2002" s="380"/>
      <c r="O2002" s="12"/>
      <c r="P2002" s="381"/>
      <c r="Q2002" s="12"/>
      <c r="R2002" s="12"/>
      <c r="S2002" s="382"/>
      <c r="T2002" s="383"/>
      <c r="U2002" s="384"/>
      <c r="V2002" s="12"/>
      <c r="W2002" s="12"/>
    </row>
    <row r="2003" spans="1:23" x14ac:dyDescent="0.3">
      <c r="A2003" s="193" t="str">
        <f ca="1"/>
        <v/>
      </c>
      <c r="B2003" s="378"/>
      <c r="C2003" s="315"/>
      <c r="D2003" s="316"/>
      <c r="E2003" s="315"/>
      <c r="F2003" s="315"/>
      <c r="G2003" s="315"/>
      <c r="H2003" s="153"/>
      <c r="I2003" s="12"/>
      <c r="J2003" s="170"/>
      <c r="K2003" s="12"/>
      <c r="L2003" s="379"/>
      <c r="M2003" s="380"/>
      <c r="N2003" s="380"/>
      <c r="O2003" s="12"/>
      <c r="P2003" s="381"/>
      <c r="Q2003" s="12"/>
      <c r="R2003" s="12"/>
      <c r="S2003" s="382"/>
      <c r="T2003" s="383"/>
      <c r="U2003" s="384"/>
      <c r="V2003" s="12"/>
      <c r="W2003" s="12"/>
    </row>
    <row r="2004" spans="1:23" x14ac:dyDescent="0.3">
      <c r="A2004" s="193" t="str">
        <f ca="1"/>
        <v/>
      </c>
      <c r="B2004" s="378"/>
      <c r="C2004" s="315"/>
      <c r="D2004" s="316"/>
      <c r="E2004" s="315"/>
      <c r="F2004" s="315"/>
      <c r="G2004" s="315"/>
      <c r="H2004" s="153"/>
      <c r="I2004" s="12"/>
      <c r="J2004" s="170"/>
      <c r="K2004" s="12"/>
      <c r="L2004" s="379"/>
      <c r="M2004" s="380"/>
      <c r="N2004" s="380"/>
      <c r="O2004" s="12"/>
      <c r="P2004" s="381"/>
      <c r="Q2004" s="12"/>
      <c r="R2004" s="12"/>
      <c r="S2004" s="382"/>
      <c r="T2004" s="383"/>
      <c r="U2004" s="384"/>
      <c r="V2004" s="12"/>
      <c r="W2004" s="12"/>
    </row>
    <row r="2005" spans="1:23" x14ac:dyDescent="0.3">
      <c r="A2005" s="193" t="str">
        <f ca="1"/>
        <v/>
      </c>
      <c r="B2005" s="378"/>
      <c r="C2005" s="315"/>
      <c r="D2005" s="316"/>
      <c r="E2005" s="315"/>
      <c r="F2005" s="315"/>
      <c r="G2005" s="315"/>
      <c r="H2005" s="153"/>
      <c r="I2005" s="12"/>
      <c r="J2005" s="170"/>
      <c r="K2005" s="12"/>
      <c r="L2005" s="379"/>
      <c r="M2005" s="380"/>
      <c r="N2005" s="380"/>
      <c r="O2005" s="12"/>
      <c r="P2005" s="381"/>
      <c r="Q2005" s="12"/>
      <c r="R2005" s="12"/>
      <c r="S2005" s="382"/>
      <c r="T2005" s="383"/>
      <c r="U2005" s="384"/>
      <c r="V2005" s="12"/>
      <c r="W2005" s="12"/>
    </row>
    <row r="2006" spans="1:23" x14ac:dyDescent="0.3">
      <c r="A2006" s="193" t="str">
        <f ca="1"/>
        <v/>
      </c>
      <c r="B2006" s="378"/>
      <c r="C2006" s="315"/>
      <c r="D2006" s="316"/>
      <c r="E2006" s="315"/>
      <c r="F2006" s="315"/>
      <c r="G2006" s="315"/>
      <c r="H2006" s="153"/>
      <c r="I2006" s="12"/>
      <c r="J2006" s="170"/>
      <c r="K2006" s="12"/>
      <c r="L2006" s="379"/>
      <c r="M2006" s="380"/>
      <c r="N2006" s="380"/>
      <c r="O2006" s="12"/>
      <c r="P2006" s="381"/>
      <c r="Q2006" s="12"/>
      <c r="R2006" s="12"/>
      <c r="S2006" s="382"/>
      <c r="T2006" s="383"/>
      <c r="U2006" s="384"/>
      <c r="V2006" s="12"/>
      <c r="W2006" s="12"/>
    </row>
    <row r="2007" spans="1:23" x14ac:dyDescent="0.3">
      <c r="A2007" s="193" t="str">
        <f ca="1"/>
        <v/>
      </c>
      <c r="B2007" s="378"/>
      <c r="C2007" s="315"/>
      <c r="D2007" s="316"/>
      <c r="E2007" s="315"/>
      <c r="F2007" s="315"/>
      <c r="G2007" s="315"/>
      <c r="H2007" s="153"/>
      <c r="I2007" s="12"/>
      <c r="J2007" s="170"/>
      <c r="K2007" s="12"/>
      <c r="L2007" s="379"/>
      <c r="M2007" s="380"/>
      <c r="N2007" s="380"/>
      <c r="O2007" s="12"/>
      <c r="P2007" s="381"/>
      <c r="Q2007" s="12"/>
      <c r="R2007" s="12"/>
      <c r="S2007" s="382"/>
      <c r="T2007" s="383"/>
      <c r="U2007" s="384"/>
      <c r="V2007" s="12"/>
      <c r="W2007" s="12"/>
    </row>
    <row r="2008" spans="1:23" x14ac:dyDescent="0.3">
      <c r="A2008" s="193" t="str">
        <f ca="1"/>
        <v/>
      </c>
      <c r="B2008" s="378"/>
      <c r="C2008" s="315"/>
      <c r="D2008" s="316"/>
      <c r="E2008" s="315"/>
      <c r="F2008" s="315"/>
      <c r="G2008" s="315"/>
      <c r="H2008" s="153"/>
      <c r="I2008" s="12"/>
      <c r="J2008" s="170"/>
      <c r="K2008" s="12"/>
      <c r="L2008" s="379"/>
      <c r="M2008" s="380"/>
      <c r="N2008" s="380"/>
      <c r="O2008" s="12"/>
      <c r="P2008" s="381"/>
      <c r="Q2008" s="12"/>
      <c r="R2008" s="12"/>
      <c r="S2008" s="382"/>
      <c r="T2008" s="383"/>
      <c r="U2008" s="384"/>
      <c r="V2008" s="12"/>
      <c r="W2008" s="12"/>
    </row>
    <row r="2009" spans="1:23" x14ac:dyDescent="0.3">
      <c r="A2009" s="193" t="str">
        <f ca="1"/>
        <v/>
      </c>
      <c r="B2009" s="378"/>
      <c r="C2009" s="315"/>
      <c r="D2009" s="316"/>
      <c r="E2009" s="315"/>
      <c r="F2009" s="315"/>
      <c r="G2009" s="315"/>
      <c r="H2009" s="153"/>
      <c r="I2009" s="12"/>
      <c r="J2009" s="170"/>
      <c r="K2009" s="12"/>
      <c r="L2009" s="379"/>
      <c r="M2009" s="380"/>
      <c r="N2009" s="380"/>
      <c r="O2009" s="12"/>
      <c r="P2009" s="381"/>
      <c r="Q2009" s="12"/>
      <c r="R2009" s="12"/>
      <c r="S2009" s="382"/>
      <c r="T2009" s="383"/>
      <c r="U2009" s="384"/>
      <c r="V2009" s="12"/>
      <c r="W2009" s="12"/>
    </row>
    <row r="2010" spans="1:23" x14ac:dyDescent="0.3">
      <c r="A2010" s="193" t="str">
        <f ca="1"/>
        <v/>
      </c>
      <c r="B2010" s="378"/>
      <c r="C2010" s="315"/>
      <c r="D2010" s="316"/>
      <c r="E2010" s="315"/>
      <c r="F2010" s="315"/>
      <c r="G2010" s="315"/>
      <c r="H2010" s="153"/>
      <c r="I2010" s="12"/>
      <c r="J2010" s="170"/>
      <c r="K2010" s="12"/>
      <c r="L2010" s="379"/>
      <c r="M2010" s="380"/>
      <c r="N2010" s="380"/>
      <c r="O2010" s="12"/>
      <c r="P2010" s="381"/>
      <c r="Q2010" s="12"/>
      <c r="R2010" s="12"/>
      <c r="S2010" s="382"/>
      <c r="T2010" s="383"/>
      <c r="U2010" s="384"/>
      <c r="V2010" s="12"/>
      <c r="W2010" s="12"/>
    </row>
    <row r="2011" spans="1:23" x14ac:dyDescent="0.3">
      <c r="A2011" s="193" t="str">
        <f ca="1"/>
        <v/>
      </c>
      <c r="B2011" s="378"/>
      <c r="C2011" s="315"/>
      <c r="D2011" s="316"/>
      <c r="E2011" s="315"/>
      <c r="F2011" s="315"/>
      <c r="G2011" s="315"/>
      <c r="H2011" s="153"/>
      <c r="I2011" s="12"/>
      <c r="J2011" s="170"/>
      <c r="K2011" s="12"/>
      <c r="L2011" s="379"/>
      <c r="M2011" s="380"/>
      <c r="N2011" s="380"/>
      <c r="O2011" s="12"/>
      <c r="P2011" s="381"/>
      <c r="Q2011" s="12"/>
      <c r="R2011" s="12"/>
      <c r="S2011" s="382"/>
      <c r="T2011" s="383"/>
      <c r="U2011" s="384"/>
      <c r="V2011" s="12"/>
      <c r="W2011" s="12"/>
    </row>
    <row r="2012" spans="1:23" x14ac:dyDescent="0.3">
      <c r="A2012" s="193" t="str">
        <f ca="1"/>
        <v/>
      </c>
      <c r="B2012" s="378"/>
      <c r="C2012" s="315"/>
      <c r="D2012" s="316"/>
      <c r="E2012" s="315"/>
      <c r="F2012" s="315"/>
      <c r="G2012" s="315"/>
      <c r="H2012" s="153"/>
      <c r="I2012" s="12"/>
      <c r="J2012" s="170"/>
      <c r="K2012" s="12"/>
      <c r="L2012" s="379"/>
      <c r="M2012" s="380"/>
      <c r="N2012" s="380"/>
      <c r="O2012" s="12"/>
      <c r="P2012" s="381"/>
      <c r="Q2012" s="12"/>
      <c r="R2012" s="12"/>
      <c r="S2012" s="382"/>
      <c r="T2012" s="383"/>
      <c r="U2012" s="384"/>
      <c r="V2012" s="12"/>
      <c r="W2012" s="12"/>
    </row>
    <row r="2013" spans="1:23" x14ac:dyDescent="0.3">
      <c r="A2013" s="193" t="str">
        <f ca="1"/>
        <v/>
      </c>
      <c r="B2013" s="378"/>
      <c r="C2013" s="315"/>
      <c r="D2013" s="316"/>
      <c r="E2013" s="315"/>
      <c r="F2013" s="315"/>
      <c r="G2013" s="315"/>
      <c r="H2013" s="153"/>
      <c r="I2013" s="12"/>
      <c r="J2013" s="170"/>
      <c r="K2013" s="12"/>
      <c r="L2013" s="379"/>
      <c r="M2013" s="380"/>
      <c r="N2013" s="380"/>
      <c r="O2013" s="12"/>
      <c r="P2013" s="381"/>
      <c r="Q2013" s="12"/>
      <c r="R2013" s="12"/>
      <c r="S2013" s="382"/>
      <c r="T2013" s="383"/>
      <c r="U2013" s="384"/>
      <c r="V2013" s="12"/>
      <c r="W2013" s="12"/>
    </row>
    <row r="2014" spans="1:23" x14ac:dyDescent="0.3">
      <c r="A2014" s="193" t="str">
        <f ca="1"/>
        <v/>
      </c>
      <c r="B2014" s="378"/>
      <c r="C2014" s="315"/>
      <c r="D2014" s="316"/>
      <c r="E2014" s="315"/>
      <c r="F2014" s="315"/>
      <c r="G2014" s="315"/>
      <c r="H2014" s="153"/>
      <c r="I2014" s="12"/>
      <c r="J2014" s="170"/>
      <c r="K2014" s="12"/>
      <c r="L2014" s="379"/>
      <c r="M2014" s="380"/>
      <c r="N2014" s="380"/>
      <c r="O2014" s="12"/>
      <c r="P2014" s="381"/>
      <c r="Q2014" s="12"/>
      <c r="R2014" s="12"/>
      <c r="S2014" s="382"/>
      <c r="T2014" s="383"/>
      <c r="U2014" s="384"/>
      <c r="V2014" s="12"/>
      <c r="W2014" s="12"/>
    </row>
    <row r="2015" spans="1:23" x14ac:dyDescent="0.3">
      <c r="A2015" s="193" t="str">
        <f ca="1"/>
        <v/>
      </c>
      <c r="B2015" s="378"/>
      <c r="C2015" s="315"/>
      <c r="D2015" s="316"/>
      <c r="E2015" s="315"/>
      <c r="F2015" s="315"/>
      <c r="G2015" s="315"/>
      <c r="H2015" s="153"/>
      <c r="I2015" s="12"/>
      <c r="J2015" s="170"/>
      <c r="K2015" s="12"/>
      <c r="L2015" s="379"/>
      <c r="M2015" s="380"/>
      <c r="N2015" s="380"/>
      <c r="O2015" s="12"/>
      <c r="P2015" s="381"/>
      <c r="Q2015" s="12"/>
      <c r="R2015" s="12"/>
      <c r="S2015" s="382"/>
      <c r="T2015" s="383"/>
      <c r="U2015" s="384"/>
      <c r="V2015" s="12"/>
      <c r="W2015" s="12"/>
    </row>
    <row r="2016" spans="1:23" x14ac:dyDescent="0.3">
      <c r="A2016" s="193" t="str">
        <f ca="1"/>
        <v/>
      </c>
      <c r="B2016" s="378"/>
      <c r="C2016" s="315"/>
      <c r="D2016" s="316"/>
      <c r="E2016" s="315"/>
      <c r="F2016" s="315"/>
      <c r="G2016" s="315"/>
      <c r="H2016" s="153"/>
      <c r="I2016" s="12"/>
      <c r="J2016" s="170"/>
      <c r="K2016" s="12"/>
      <c r="L2016" s="379"/>
      <c r="M2016" s="380"/>
      <c r="N2016" s="380"/>
      <c r="O2016" s="12"/>
      <c r="P2016" s="381"/>
      <c r="Q2016" s="12"/>
      <c r="R2016" s="12"/>
      <c r="S2016" s="382"/>
      <c r="T2016" s="383"/>
      <c r="U2016" s="384"/>
      <c r="V2016" s="12"/>
      <c r="W2016" s="12"/>
    </row>
    <row r="2017" spans="1:23" x14ac:dyDescent="0.3">
      <c r="A2017" s="193" t="str">
        <f ca="1"/>
        <v/>
      </c>
      <c r="B2017" s="378"/>
      <c r="C2017" s="315"/>
      <c r="D2017" s="316"/>
      <c r="E2017" s="315"/>
      <c r="F2017" s="315"/>
      <c r="G2017" s="315"/>
      <c r="H2017" s="153"/>
      <c r="I2017" s="12"/>
      <c r="J2017" s="170"/>
      <c r="K2017" s="12"/>
      <c r="L2017" s="379"/>
      <c r="M2017" s="380"/>
      <c r="N2017" s="380"/>
      <c r="O2017" s="12"/>
      <c r="P2017" s="381"/>
      <c r="Q2017" s="12"/>
      <c r="R2017" s="12"/>
      <c r="S2017" s="382"/>
      <c r="T2017" s="383"/>
      <c r="U2017" s="384"/>
      <c r="V2017" s="12"/>
      <c r="W2017" s="12"/>
    </row>
    <row r="2018" spans="1:23" x14ac:dyDescent="0.3">
      <c r="A2018" s="193" t="str">
        <f ca="1"/>
        <v/>
      </c>
      <c r="B2018" s="378"/>
      <c r="C2018" s="315"/>
      <c r="D2018" s="316"/>
      <c r="E2018" s="315"/>
      <c r="F2018" s="315"/>
      <c r="G2018" s="315"/>
      <c r="H2018" s="153"/>
      <c r="I2018" s="12"/>
      <c r="J2018" s="170"/>
      <c r="K2018" s="12"/>
      <c r="L2018" s="379"/>
      <c r="M2018" s="380"/>
      <c r="N2018" s="380"/>
      <c r="O2018" s="12"/>
      <c r="P2018" s="381"/>
      <c r="Q2018" s="12"/>
      <c r="R2018" s="12"/>
      <c r="S2018" s="382"/>
      <c r="T2018" s="383"/>
      <c r="U2018" s="384"/>
      <c r="V2018" s="12"/>
      <c r="W2018" s="12"/>
    </row>
    <row r="2019" spans="1:23" x14ac:dyDescent="0.3">
      <c r="A2019" s="193" t="str">
        <f ca="1"/>
        <v/>
      </c>
      <c r="B2019" s="378"/>
      <c r="C2019" s="315"/>
      <c r="D2019" s="316"/>
      <c r="E2019" s="315"/>
      <c r="F2019" s="315"/>
      <c r="G2019" s="315"/>
      <c r="H2019" s="153"/>
      <c r="I2019" s="12"/>
      <c r="J2019" s="170"/>
      <c r="K2019" s="12"/>
      <c r="L2019" s="379"/>
      <c r="M2019" s="380"/>
      <c r="N2019" s="380"/>
      <c r="O2019" s="12"/>
      <c r="P2019" s="381"/>
      <c r="Q2019" s="12"/>
      <c r="R2019" s="12"/>
      <c r="S2019" s="382"/>
      <c r="T2019" s="383"/>
      <c r="U2019" s="384"/>
      <c r="V2019" s="12"/>
      <c r="W2019" s="12"/>
    </row>
    <row r="2020" spans="1:23" x14ac:dyDescent="0.3">
      <c r="A2020" s="193" t="str">
        <f ca="1"/>
        <v/>
      </c>
      <c r="B2020" s="378"/>
      <c r="C2020" s="315"/>
      <c r="D2020" s="316"/>
      <c r="E2020" s="315"/>
      <c r="F2020" s="315"/>
      <c r="G2020" s="315"/>
      <c r="H2020" s="153"/>
      <c r="I2020" s="12"/>
      <c r="J2020" s="170"/>
      <c r="K2020" s="12"/>
      <c r="L2020" s="379"/>
      <c r="M2020" s="380"/>
      <c r="N2020" s="380"/>
      <c r="O2020" s="12"/>
      <c r="P2020" s="381"/>
      <c r="Q2020" s="12"/>
      <c r="R2020" s="12"/>
      <c r="S2020" s="382"/>
      <c r="T2020" s="383"/>
      <c r="U2020" s="384"/>
      <c r="V2020" s="12"/>
      <c r="W2020" s="12"/>
    </row>
    <row r="2021" spans="1:23" x14ac:dyDescent="0.3">
      <c r="A2021" s="193" t="str">
        <f ca="1"/>
        <v/>
      </c>
      <c r="B2021" s="378"/>
      <c r="C2021" s="315"/>
      <c r="D2021" s="316"/>
      <c r="E2021" s="315"/>
      <c r="F2021" s="315"/>
      <c r="G2021" s="315"/>
      <c r="H2021" s="153"/>
      <c r="I2021" s="12"/>
      <c r="J2021" s="170"/>
      <c r="K2021" s="12"/>
      <c r="L2021" s="379"/>
      <c r="M2021" s="380"/>
      <c r="N2021" s="380"/>
      <c r="O2021" s="12"/>
      <c r="P2021" s="381"/>
      <c r="Q2021" s="12"/>
      <c r="R2021" s="12"/>
      <c r="S2021" s="382"/>
      <c r="T2021" s="383"/>
      <c r="U2021" s="384"/>
      <c r="V2021" s="12"/>
      <c r="W2021" s="12"/>
    </row>
    <row r="2022" spans="1:23" x14ac:dyDescent="0.3">
      <c r="A2022" s="193" t="str">
        <f ca="1"/>
        <v/>
      </c>
      <c r="B2022" s="378"/>
      <c r="C2022" s="315"/>
      <c r="D2022" s="316"/>
      <c r="E2022" s="315"/>
      <c r="F2022" s="315"/>
      <c r="G2022" s="315"/>
      <c r="H2022" s="153"/>
      <c r="I2022" s="12"/>
      <c r="J2022" s="170"/>
      <c r="K2022" s="12"/>
      <c r="L2022" s="379"/>
      <c r="M2022" s="380"/>
      <c r="N2022" s="380"/>
      <c r="O2022" s="12"/>
      <c r="P2022" s="381"/>
      <c r="Q2022" s="12"/>
      <c r="R2022" s="12"/>
      <c r="S2022" s="382"/>
      <c r="T2022" s="383"/>
      <c r="U2022" s="384"/>
      <c r="V2022" s="12"/>
      <c r="W2022" s="12"/>
    </row>
    <row r="2023" spans="1:23" x14ac:dyDescent="0.3">
      <c r="A2023" s="193" t="str">
        <f ca="1"/>
        <v/>
      </c>
      <c r="B2023" s="378"/>
      <c r="C2023" s="315"/>
      <c r="D2023" s="316"/>
      <c r="E2023" s="315"/>
      <c r="F2023" s="315"/>
      <c r="G2023" s="315"/>
      <c r="H2023" s="153"/>
      <c r="I2023" s="12"/>
      <c r="J2023" s="170"/>
      <c r="K2023" s="12"/>
      <c r="L2023" s="379"/>
      <c r="M2023" s="380"/>
      <c r="N2023" s="380"/>
      <c r="O2023" s="12"/>
      <c r="P2023" s="381"/>
      <c r="Q2023" s="12"/>
      <c r="R2023" s="12"/>
      <c r="S2023" s="382"/>
      <c r="T2023" s="383"/>
      <c r="U2023" s="384"/>
      <c r="V2023" s="12"/>
      <c r="W2023" s="12"/>
    </row>
    <row r="2024" spans="1:23" x14ac:dyDescent="0.3">
      <c r="A2024" s="193" t="str">
        <f ca="1"/>
        <v/>
      </c>
      <c r="B2024" s="378"/>
      <c r="C2024" s="315"/>
      <c r="D2024" s="316"/>
      <c r="E2024" s="315"/>
      <c r="F2024" s="315"/>
      <c r="G2024" s="315"/>
      <c r="H2024" s="153"/>
      <c r="I2024" s="12"/>
      <c r="J2024" s="170"/>
      <c r="K2024" s="12"/>
      <c r="L2024" s="379"/>
      <c r="M2024" s="380"/>
      <c r="N2024" s="380"/>
      <c r="O2024" s="12"/>
      <c r="P2024" s="381"/>
      <c r="Q2024" s="12"/>
      <c r="R2024" s="12"/>
      <c r="S2024" s="382"/>
      <c r="T2024" s="383"/>
      <c r="U2024" s="384"/>
      <c r="V2024" s="12"/>
      <c r="W2024" s="12"/>
    </row>
    <row r="2025" spans="1:23" x14ac:dyDescent="0.3">
      <c r="A2025" s="193" t="str">
        <f ca="1"/>
        <v/>
      </c>
      <c r="B2025" s="378"/>
      <c r="C2025" s="315"/>
      <c r="D2025" s="316"/>
      <c r="E2025" s="315"/>
      <c r="F2025" s="315"/>
      <c r="G2025" s="315"/>
      <c r="H2025" s="153"/>
      <c r="I2025" s="12"/>
      <c r="J2025" s="12"/>
      <c r="K2025" s="12"/>
      <c r="L2025" s="379"/>
      <c r="M2025" s="380"/>
      <c r="N2025" s="380"/>
      <c r="O2025" s="12"/>
      <c r="P2025" s="381"/>
      <c r="Q2025" s="12"/>
      <c r="R2025" s="12"/>
      <c r="S2025" s="382"/>
      <c r="T2025" s="383"/>
      <c r="U2025" s="384"/>
      <c r="V2025" s="12"/>
      <c r="W2025" s="12"/>
    </row>
    <row r="2026" spans="1:23" x14ac:dyDescent="0.3">
      <c r="A2026" s="193" t="str">
        <f ca="1"/>
        <v/>
      </c>
      <c r="B2026" s="378"/>
      <c r="C2026" s="315"/>
      <c r="D2026" s="316"/>
      <c r="E2026" s="315"/>
      <c r="F2026" s="315"/>
      <c r="G2026" s="315"/>
      <c r="H2026" s="153"/>
      <c r="I2026" s="12"/>
      <c r="J2026" s="12"/>
      <c r="K2026" s="12"/>
      <c r="L2026" s="379"/>
      <c r="M2026" s="380"/>
      <c r="N2026" s="380"/>
      <c r="O2026" s="12"/>
      <c r="P2026" s="381"/>
      <c r="Q2026" s="12"/>
      <c r="R2026" s="12"/>
      <c r="S2026" s="382"/>
      <c r="T2026" s="383"/>
      <c r="U2026" s="384"/>
      <c r="V2026" s="12"/>
      <c r="W2026" s="12"/>
    </row>
    <row r="2027" spans="1:23" x14ac:dyDescent="0.3">
      <c r="A2027" s="193" t="str">
        <f ca="1"/>
        <v/>
      </c>
      <c r="B2027" s="378"/>
      <c r="C2027" s="315"/>
      <c r="D2027" s="316"/>
      <c r="E2027" s="315"/>
      <c r="F2027" s="315"/>
      <c r="G2027" s="315"/>
      <c r="H2027" s="153"/>
      <c r="I2027" s="12"/>
      <c r="J2027" s="12"/>
      <c r="K2027" s="12"/>
      <c r="L2027" s="379"/>
      <c r="M2027" s="380"/>
      <c r="N2027" s="380"/>
      <c r="O2027" s="12"/>
      <c r="P2027" s="381"/>
      <c r="Q2027" s="12"/>
      <c r="R2027" s="12"/>
      <c r="S2027" s="382"/>
      <c r="T2027" s="383"/>
      <c r="U2027" s="384"/>
      <c r="V2027" s="12"/>
      <c r="W2027" s="12"/>
    </row>
    <row r="2028" spans="1:23" x14ac:dyDescent="0.3">
      <c r="A2028" s="193" t="str">
        <f ca="1"/>
        <v/>
      </c>
      <c r="B2028" s="378"/>
      <c r="C2028" s="315"/>
      <c r="D2028" s="316"/>
      <c r="E2028" s="315"/>
      <c r="F2028" s="315"/>
      <c r="G2028" s="315"/>
      <c r="H2028" s="153"/>
      <c r="I2028" s="12"/>
      <c r="J2028" s="12"/>
      <c r="K2028" s="12"/>
      <c r="L2028" s="379"/>
      <c r="M2028" s="380"/>
      <c r="N2028" s="380"/>
      <c r="O2028" s="12"/>
      <c r="P2028" s="381"/>
      <c r="Q2028" s="12"/>
      <c r="R2028" s="12"/>
      <c r="S2028" s="382"/>
      <c r="T2028" s="383"/>
      <c r="U2028" s="384"/>
      <c r="V2028" s="12"/>
      <c r="W2028" s="12"/>
    </row>
    <row r="2029" spans="1:23" x14ac:dyDescent="0.3">
      <c r="A2029" s="193" t="str">
        <f ca="1"/>
        <v/>
      </c>
      <c r="B2029" s="378"/>
      <c r="C2029" s="315"/>
      <c r="D2029" s="316"/>
      <c r="E2029" s="315"/>
      <c r="F2029" s="315"/>
      <c r="G2029" s="315"/>
      <c r="H2029" s="153"/>
      <c r="I2029" s="12"/>
      <c r="J2029" s="12"/>
      <c r="K2029" s="12"/>
      <c r="L2029" s="379"/>
      <c r="M2029" s="380"/>
      <c r="N2029" s="380"/>
      <c r="O2029" s="12"/>
      <c r="P2029" s="381"/>
      <c r="Q2029" s="12"/>
      <c r="R2029" s="12"/>
      <c r="S2029" s="382"/>
      <c r="T2029" s="383"/>
      <c r="U2029" s="384"/>
      <c r="V2029" s="12"/>
      <c r="W2029" s="12"/>
    </row>
    <row r="2030" spans="1:23" x14ac:dyDescent="0.3">
      <c r="A2030" s="193" t="str">
        <f ca="1"/>
        <v/>
      </c>
      <c r="B2030" s="378"/>
      <c r="C2030" s="315"/>
      <c r="D2030" s="316"/>
      <c r="E2030" s="315"/>
      <c r="F2030" s="315"/>
      <c r="G2030" s="315"/>
      <c r="H2030" s="153"/>
      <c r="I2030" s="12"/>
      <c r="J2030" s="12"/>
      <c r="K2030" s="12"/>
      <c r="L2030" s="379"/>
      <c r="M2030" s="380"/>
      <c r="N2030" s="380"/>
      <c r="O2030" s="12"/>
      <c r="P2030" s="381"/>
      <c r="Q2030" s="12"/>
      <c r="R2030" s="12"/>
      <c r="S2030" s="382"/>
      <c r="T2030" s="383"/>
      <c r="U2030" s="384"/>
      <c r="V2030" s="12"/>
      <c r="W2030" s="12"/>
    </row>
    <row r="2031" spans="1:23" x14ac:dyDescent="0.3">
      <c r="A2031" s="193" t="str">
        <f ca="1"/>
        <v/>
      </c>
      <c r="B2031" s="378"/>
      <c r="C2031" s="315"/>
      <c r="D2031" s="316"/>
      <c r="E2031" s="315"/>
      <c r="F2031" s="315"/>
      <c r="G2031" s="315"/>
      <c r="H2031" s="153"/>
      <c r="I2031" s="12"/>
      <c r="J2031" s="12"/>
      <c r="K2031" s="12"/>
      <c r="L2031" s="379"/>
      <c r="M2031" s="380"/>
      <c r="N2031" s="380"/>
      <c r="O2031" s="12"/>
      <c r="P2031" s="381"/>
      <c r="Q2031" s="12"/>
      <c r="R2031" s="12"/>
      <c r="S2031" s="382"/>
      <c r="T2031" s="383"/>
      <c r="U2031" s="384"/>
      <c r="V2031" s="12"/>
      <c r="W2031" s="12"/>
    </row>
    <row r="2032" spans="1:23" x14ac:dyDescent="0.3">
      <c r="A2032" s="193" t="str">
        <f ca="1"/>
        <v/>
      </c>
      <c r="B2032" s="378"/>
      <c r="C2032" s="315"/>
      <c r="D2032" s="316"/>
      <c r="E2032" s="315"/>
      <c r="F2032" s="315"/>
      <c r="G2032" s="315"/>
      <c r="H2032" s="153"/>
      <c r="I2032" s="12"/>
      <c r="J2032" s="12"/>
      <c r="K2032" s="12"/>
      <c r="L2032" s="379"/>
      <c r="M2032" s="380"/>
      <c r="N2032" s="380"/>
      <c r="O2032" s="12"/>
      <c r="P2032" s="381"/>
      <c r="Q2032" s="12"/>
      <c r="R2032" s="12"/>
      <c r="S2032" s="382"/>
      <c r="T2032" s="383"/>
      <c r="U2032" s="384"/>
      <c r="V2032" s="12"/>
      <c r="W2032" s="12"/>
    </row>
    <row r="2033" spans="1:23" x14ac:dyDescent="0.3">
      <c r="A2033" s="193" t="str">
        <f ca="1"/>
        <v/>
      </c>
      <c r="B2033" s="378"/>
      <c r="C2033" s="315"/>
      <c r="D2033" s="316"/>
      <c r="E2033" s="315"/>
      <c r="F2033" s="315"/>
      <c r="G2033" s="315"/>
      <c r="H2033" s="153"/>
      <c r="I2033" s="12"/>
      <c r="J2033" s="12"/>
      <c r="K2033" s="12"/>
      <c r="L2033" s="379"/>
      <c r="M2033" s="380"/>
      <c r="N2033" s="380"/>
      <c r="O2033" s="12"/>
      <c r="P2033" s="381"/>
      <c r="Q2033" s="12"/>
      <c r="R2033" s="12"/>
      <c r="S2033" s="382"/>
      <c r="T2033" s="383"/>
      <c r="U2033" s="384"/>
      <c r="V2033" s="12"/>
      <c r="W2033" s="12"/>
    </row>
    <row r="2034" spans="1:23" x14ac:dyDescent="0.3">
      <c r="A2034" s="193" t="str">
        <f ca="1"/>
        <v/>
      </c>
      <c r="B2034" s="378"/>
      <c r="C2034" s="315"/>
      <c r="D2034" s="316"/>
      <c r="E2034" s="315"/>
      <c r="F2034" s="315"/>
      <c r="G2034" s="315"/>
      <c r="H2034" s="153"/>
      <c r="I2034" s="12"/>
      <c r="J2034" s="12"/>
      <c r="K2034" s="12"/>
      <c r="L2034" s="379"/>
      <c r="M2034" s="380"/>
      <c r="N2034" s="380"/>
      <c r="O2034" s="12"/>
      <c r="P2034" s="381"/>
      <c r="Q2034" s="12"/>
      <c r="R2034" s="12"/>
      <c r="S2034" s="382"/>
      <c r="T2034" s="383"/>
      <c r="U2034" s="384"/>
      <c r="V2034" s="12"/>
      <c r="W2034" s="12"/>
    </row>
    <row r="2035" spans="1:23" x14ac:dyDescent="0.3">
      <c r="A2035" s="193" t="str">
        <f ca="1"/>
        <v/>
      </c>
      <c r="B2035" s="378"/>
      <c r="C2035" s="315"/>
      <c r="D2035" s="316"/>
      <c r="E2035" s="315"/>
      <c r="F2035" s="315"/>
      <c r="G2035" s="315"/>
      <c r="H2035" s="153"/>
      <c r="I2035" s="12"/>
      <c r="J2035" s="12"/>
      <c r="K2035" s="12"/>
      <c r="L2035" s="379"/>
      <c r="M2035" s="380"/>
      <c r="N2035" s="380"/>
      <c r="O2035" s="12"/>
      <c r="P2035" s="381"/>
      <c r="Q2035" s="12"/>
      <c r="R2035" s="12"/>
      <c r="S2035" s="382"/>
      <c r="T2035" s="383"/>
      <c r="U2035" s="384"/>
      <c r="V2035" s="12"/>
      <c r="W2035" s="12"/>
    </row>
    <row r="2036" spans="1:23" x14ac:dyDescent="0.3">
      <c r="A2036" s="193" t="str">
        <f ca="1"/>
        <v/>
      </c>
      <c r="B2036" s="378"/>
      <c r="C2036" s="315"/>
      <c r="D2036" s="316"/>
      <c r="E2036" s="315"/>
      <c r="F2036" s="315"/>
      <c r="G2036" s="315"/>
      <c r="H2036" s="153"/>
      <c r="I2036" s="12"/>
      <c r="J2036" s="12"/>
      <c r="K2036" s="12"/>
      <c r="L2036" s="379"/>
      <c r="M2036" s="380"/>
      <c r="N2036" s="380"/>
      <c r="O2036" s="12"/>
      <c r="P2036" s="381"/>
      <c r="Q2036" s="12"/>
      <c r="R2036" s="12"/>
      <c r="S2036" s="382"/>
      <c r="T2036" s="383"/>
      <c r="U2036" s="384"/>
      <c r="V2036" s="12"/>
      <c r="W2036" s="12"/>
    </row>
    <row r="2037" spans="1:23" x14ac:dyDescent="0.3">
      <c r="A2037" s="193" t="str">
        <f ca="1"/>
        <v/>
      </c>
      <c r="B2037" s="378"/>
      <c r="C2037" s="315"/>
      <c r="D2037" s="316"/>
      <c r="E2037" s="315"/>
      <c r="F2037" s="315"/>
      <c r="G2037" s="315"/>
      <c r="H2037" s="153"/>
      <c r="I2037" s="12"/>
      <c r="J2037" s="12"/>
      <c r="K2037" s="12"/>
      <c r="L2037" s="379"/>
      <c r="M2037" s="380"/>
      <c r="N2037" s="380"/>
      <c r="O2037" s="12"/>
      <c r="P2037" s="381"/>
      <c r="Q2037" s="12"/>
      <c r="R2037" s="12"/>
      <c r="S2037" s="382"/>
      <c r="T2037" s="383"/>
      <c r="U2037" s="384"/>
      <c r="V2037" s="12"/>
      <c r="W2037" s="12"/>
    </row>
    <row r="2038" spans="1:23" x14ac:dyDescent="0.3">
      <c r="A2038" s="193" t="str">
        <f ca="1"/>
        <v/>
      </c>
      <c r="B2038" s="378"/>
      <c r="C2038" s="315"/>
      <c r="D2038" s="316"/>
      <c r="E2038" s="315"/>
      <c r="F2038" s="315"/>
      <c r="G2038" s="315"/>
      <c r="H2038" s="153"/>
      <c r="I2038" s="12"/>
      <c r="J2038" s="12"/>
      <c r="K2038" s="12"/>
      <c r="L2038" s="379"/>
      <c r="M2038" s="380"/>
      <c r="N2038" s="380"/>
      <c r="O2038" s="12"/>
      <c r="P2038" s="381"/>
      <c r="Q2038" s="12"/>
      <c r="R2038" s="12"/>
      <c r="S2038" s="382"/>
      <c r="T2038" s="383"/>
      <c r="U2038" s="384"/>
      <c r="V2038" s="12"/>
      <c r="W2038" s="12"/>
    </row>
    <row r="2039" spans="1:23" x14ac:dyDescent="0.3">
      <c r="A2039" s="193" t="str">
        <f ca="1"/>
        <v/>
      </c>
      <c r="B2039" s="378"/>
      <c r="C2039" s="315"/>
      <c r="D2039" s="316"/>
      <c r="E2039" s="315"/>
      <c r="F2039" s="315"/>
      <c r="G2039" s="315"/>
      <c r="H2039" s="153"/>
      <c r="I2039" s="12"/>
      <c r="J2039" s="12"/>
      <c r="K2039" s="12"/>
      <c r="L2039" s="379"/>
      <c r="M2039" s="380"/>
      <c r="N2039" s="380"/>
      <c r="O2039" s="12"/>
      <c r="P2039" s="381"/>
      <c r="Q2039" s="12"/>
      <c r="R2039" s="12"/>
      <c r="S2039" s="382"/>
      <c r="T2039" s="383"/>
      <c r="U2039" s="384"/>
      <c r="V2039" s="12"/>
      <c r="W2039" s="12"/>
    </row>
    <row r="2040" spans="1:23" x14ac:dyDescent="0.3">
      <c r="A2040" s="193" t="str">
        <f ca="1"/>
        <v/>
      </c>
      <c r="B2040" s="378"/>
      <c r="C2040" s="315"/>
      <c r="D2040" s="316"/>
      <c r="E2040" s="315"/>
      <c r="F2040" s="315"/>
      <c r="G2040" s="315"/>
      <c r="H2040" s="153"/>
      <c r="I2040" s="12"/>
      <c r="J2040" s="12"/>
      <c r="K2040" s="12"/>
      <c r="L2040" s="379"/>
      <c r="M2040" s="380"/>
      <c r="N2040" s="380"/>
      <c r="O2040" s="12"/>
      <c r="P2040" s="381"/>
      <c r="Q2040" s="12"/>
      <c r="R2040" s="12"/>
      <c r="S2040" s="382"/>
      <c r="T2040" s="383"/>
      <c r="U2040" s="384"/>
      <c r="V2040" s="12"/>
      <c r="W2040" s="12"/>
    </row>
    <row r="2041" spans="1:23" x14ac:dyDescent="0.3">
      <c r="A2041" s="193" t="str">
        <f ca="1"/>
        <v/>
      </c>
      <c r="B2041" s="378"/>
      <c r="C2041" s="315"/>
      <c r="D2041" s="316"/>
      <c r="E2041" s="315"/>
      <c r="F2041" s="315"/>
      <c r="G2041" s="315"/>
      <c r="H2041" s="153"/>
      <c r="I2041" s="12"/>
      <c r="J2041" s="12"/>
      <c r="K2041" s="12"/>
      <c r="L2041" s="379"/>
      <c r="M2041" s="380"/>
      <c r="N2041" s="380"/>
      <c r="O2041" s="12"/>
      <c r="P2041" s="381"/>
      <c r="Q2041" s="12"/>
      <c r="R2041" s="12"/>
      <c r="S2041" s="382"/>
      <c r="T2041" s="383"/>
      <c r="U2041" s="384"/>
      <c r="V2041" s="12"/>
      <c r="W2041" s="12"/>
    </row>
    <row r="2042" spans="1:23" x14ac:dyDescent="0.3">
      <c r="A2042" s="193" t="str">
        <f ca="1"/>
        <v/>
      </c>
      <c r="B2042" s="378"/>
      <c r="C2042" s="315"/>
      <c r="D2042" s="316"/>
      <c r="E2042" s="315"/>
      <c r="F2042" s="315"/>
      <c r="G2042" s="315"/>
      <c r="H2042" s="153"/>
      <c r="I2042" s="12"/>
      <c r="J2042" s="12"/>
      <c r="K2042" s="12"/>
      <c r="L2042" s="379"/>
      <c r="M2042" s="380"/>
      <c r="N2042" s="380"/>
      <c r="O2042" s="12"/>
      <c r="P2042" s="381"/>
      <c r="Q2042" s="12"/>
      <c r="R2042" s="12"/>
      <c r="S2042" s="382"/>
      <c r="T2042" s="383"/>
      <c r="U2042" s="384"/>
      <c r="V2042" s="12"/>
      <c r="W2042" s="12"/>
    </row>
    <row r="2043" spans="1:23" x14ac:dyDescent="0.3">
      <c r="A2043" s="193" t="str">
        <f ca="1"/>
        <v/>
      </c>
      <c r="B2043" s="378"/>
      <c r="C2043" s="315"/>
      <c r="D2043" s="316"/>
      <c r="E2043" s="315"/>
      <c r="F2043" s="315"/>
      <c r="G2043" s="315"/>
      <c r="H2043" s="153"/>
      <c r="I2043" s="12"/>
      <c r="J2043" s="12"/>
      <c r="K2043" s="12"/>
      <c r="L2043" s="379"/>
      <c r="M2043" s="380"/>
      <c r="N2043" s="380"/>
      <c r="O2043" s="12"/>
      <c r="P2043" s="381"/>
      <c r="Q2043" s="12"/>
      <c r="R2043" s="12"/>
      <c r="S2043" s="382"/>
      <c r="T2043" s="383"/>
      <c r="U2043" s="384"/>
      <c r="V2043" s="12"/>
      <c r="W2043" s="12"/>
    </row>
    <row r="2044" spans="1:23" x14ac:dyDescent="0.3">
      <c r="A2044" s="193" t="str">
        <f ca="1"/>
        <v/>
      </c>
      <c r="B2044" s="378"/>
      <c r="C2044" s="315"/>
      <c r="D2044" s="316"/>
      <c r="E2044" s="315"/>
      <c r="F2044" s="315"/>
      <c r="G2044" s="315"/>
      <c r="H2044" s="153"/>
      <c r="I2044" s="12"/>
      <c r="J2044" s="12"/>
      <c r="K2044" s="12"/>
      <c r="L2044" s="379"/>
      <c r="M2044" s="380"/>
      <c r="N2044" s="380"/>
      <c r="O2044" s="12"/>
      <c r="P2044" s="381"/>
      <c r="Q2044" s="12"/>
      <c r="R2044" s="12"/>
      <c r="S2044" s="382"/>
      <c r="T2044" s="383"/>
      <c r="U2044" s="384"/>
      <c r="V2044" s="12"/>
      <c r="W2044" s="12"/>
    </row>
    <row r="2045" spans="1:23" x14ac:dyDescent="0.3">
      <c r="A2045" s="193" t="str">
        <f ca="1"/>
        <v/>
      </c>
      <c r="B2045" s="378"/>
      <c r="C2045" s="315"/>
      <c r="D2045" s="316"/>
      <c r="E2045" s="315"/>
      <c r="F2045" s="315"/>
      <c r="G2045" s="315"/>
      <c r="H2045" s="153"/>
      <c r="I2045" s="12"/>
      <c r="J2045" s="12"/>
      <c r="K2045" s="12"/>
      <c r="L2045" s="379"/>
      <c r="M2045" s="380"/>
      <c r="N2045" s="380"/>
      <c r="O2045" s="12"/>
      <c r="P2045" s="381"/>
      <c r="Q2045" s="12"/>
      <c r="R2045" s="12"/>
      <c r="S2045" s="382"/>
      <c r="T2045" s="383"/>
      <c r="U2045" s="384"/>
      <c r="V2045" s="12"/>
      <c r="W2045" s="12"/>
    </row>
    <row r="2046" spans="1:23" x14ac:dyDescent="0.3">
      <c r="A2046" s="193" t="str">
        <f ca="1"/>
        <v/>
      </c>
      <c r="B2046" s="378"/>
      <c r="C2046" s="315"/>
      <c r="D2046" s="316"/>
      <c r="E2046" s="315"/>
      <c r="F2046" s="315"/>
      <c r="G2046" s="315"/>
      <c r="H2046" s="153"/>
      <c r="I2046" s="12"/>
      <c r="J2046" s="12"/>
      <c r="K2046" s="12"/>
      <c r="L2046" s="379"/>
      <c r="M2046" s="380"/>
      <c r="N2046" s="380"/>
      <c r="O2046" s="12"/>
      <c r="P2046" s="381"/>
      <c r="Q2046" s="12"/>
      <c r="R2046" s="12"/>
      <c r="S2046" s="382"/>
      <c r="T2046" s="383"/>
      <c r="U2046" s="384"/>
      <c r="V2046" s="12"/>
      <c r="W2046" s="12"/>
    </row>
    <row r="2047" spans="1:23" x14ac:dyDescent="0.3">
      <c r="A2047" s="193" t="str">
        <f ca="1"/>
        <v/>
      </c>
      <c r="B2047" s="378"/>
      <c r="C2047" s="315"/>
      <c r="D2047" s="316"/>
      <c r="E2047" s="315"/>
      <c r="F2047" s="315"/>
      <c r="G2047" s="315"/>
      <c r="H2047" s="153"/>
      <c r="I2047" s="12"/>
      <c r="J2047" s="12"/>
      <c r="K2047" s="12"/>
      <c r="L2047" s="379"/>
      <c r="M2047" s="380"/>
      <c r="N2047" s="380"/>
      <c r="O2047" s="12"/>
      <c r="P2047" s="381"/>
      <c r="Q2047" s="12"/>
      <c r="R2047" s="12"/>
      <c r="S2047" s="382"/>
      <c r="T2047" s="383"/>
      <c r="U2047" s="384"/>
      <c r="V2047" s="12"/>
      <c r="W2047" s="12"/>
    </row>
    <row r="2048" spans="1:23" x14ac:dyDescent="0.3">
      <c r="A2048" s="193" t="str">
        <f ca="1"/>
        <v/>
      </c>
      <c r="B2048" s="378"/>
      <c r="C2048" s="315"/>
      <c r="D2048" s="316"/>
      <c r="E2048" s="315"/>
      <c r="F2048" s="315"/>
      <c r="G2048" s="315"/>
      <c r="H2048" s="153"/>
      <c r="I2048" s="12"/>
      <c r="J2048" s="12"/>
      <c r="K2048" s="12"/>
      <c r="L2048" s="379"/>
      <c r="M2048" s="380"/>
      <c r="N2048" s="380"/>
      <c r="O2048" s="12"/>
      <c r="P2048" s="381"/>
      <c r="Q2048" s="12"/>
      <c r="R2048" s="12"/>
      <c r="S2048" s="382"/>
      <c r="T2048" s="383"/>
      <c r="U2048" s="384"/>
      <c r="V2048" s="12"/>
      <c r="W2048" s="12"/>
    </row>
    <row r="2049" spans="1:23" x14ac:dyDescent="0.3">
      <c r="A2049" s="193" t="str">
        <f ca="1"/>
        <v/>
      </c>
      <c r="B2049" s="378"/>
      <c r="C2049" s="315"/>
      <c r="D2049" s="316"/>
      <c r="E2049" s="315"/>
      <c r="F2049" s="315"/>
      <c r="G2049" s="315"/>
      <c r="H2049" s="153"/>
      <c r="I2049" s="12"/>
      <c r="J2049" s="12"/>
      <c r="K2049" s="12"/>
      <c r="L2049" s="379"/>
      <c r="M2049" s="380"/>
      <c r="N2049" s="380"/>
      <c r="O2049" s="12"/>
      <c r="P2049" s="381"/>
      <c r="Q2049" s="12"/>
      <c r="R2049" s="12"/>
      <c r="S2049" s="382"/>
      <c r="T2049" s="383"/>
      <c r="U2049" s="384"/>
      <c r="V2049" s="12"/>
      <c r="W2049" s="12"/>
    </row>
    <row r="2050" spans="1:23" x14ac:dyDescent="0.3">
      <c r="A2050" s="193" t="str">
        <f ca="1"/>
        <v/>
      </c>
      <c r="B2050" s="378"/>
      <c r="C2050" s="315"/>
      <c r="D2050" s="316"/>
      <c r="E2050" s="315"/>
      <c r="F2050" s="315"/>
      <c r="G2050" s="315"/>
      <c r="H2050" s="153"/>
      <c r="I2050" s="12"/>
      <c r="J2050" s="12"/>
      <c r="K2050" s="12"/>
      <c r="L2050" s="379"/>
      <c r="M2050" s="380"/>
      <c r="N2050" s="380"/>
      <c r="O2050" s="12"/>
      <c r="P2050" s="381"/>
      <c r="Q2050" s="12"/>
      <c r="R2050" s="12"/>
      <c r="S2050" s="382"/>
      <c r="T2050" s="383"/>
      <c r="U2050" s="384"/>
      <c r="V2050" s="12"/>
      <c r="W2050" s="12"/>
    </row>
    <row r="2051" spans="1:23" x14ac:dyDescent="0.3">
      <c r="A2051" s="193" t="str">
        <f ca="1"/>
        <v/>
      </c>
      <c r="B2051" s="378"/>
      <c r="C2051" s="315"/>
      <c r="D2051" s="316"/>
      <c r="E2051" s="315"/>
      <c r="F2051" s="315"/>
      <c r="G2051" s="315"/>
      <c r="H2051" s="153"/>
      <c r="I2051" s="12"/>
      <c r="J2051" s="12"/>
      <c r="K2051" s="12"/>
      <c r="L2051" s="379"/>
      <c r="M2051" s="380"/>
      <c r="N2051" s="380"/>
      <c r="O2051" s="12"/>
      <c r="P2051" s="381"/>
      <c r="Q2051" s="12"/>
      <c r="R2051" s="12"/>
      <c r="S2051" s="382"/>
      <c r="T2051" s="383"/>
      <c r="U2051" s="384"/>
      <c r="V2051" s="12"/>
      <c r="W2051" s="12"/>
    </row>
    <row r="2052" spans="1:23" x14ac:dyDescent="0.3">
      <c r="A2052" s="193" t="str">
        <f ca="1"/>
        <v/>
      </c>
      <c r="B2052" s="378"/>
      <c r="C2052" s="315"/>
      <c r="D2052" s="316"/>
      <c r="E2052" s="315"/>
      <c r="F2052" s="315"/>
      <c r="G2052" s="315"/>
      <c r="H2052" s="153"/>
      <c r="I2052" s="12"/>
      <c r="J2052" s="12"/>
      <c r="K2052" s="12"/>
      <c r="L2052" s="379"/>
      <c r="M2052" s="380"/>
      <c r="N2052" s="380"/>
      <c r="O2052" s="12"/>
      <c r="P2052" s="381"/>
      <c r="Q2052" s="12"/>
      <c r="R2052" s="12"/>
      <c r="S2052" s="382"/>
      <c r="T2052" s="383"/>
      <c r="U2052" s="384"/>
      <c r="V2052" s="12"/>
      <c r="W2052" s="12"/>
    </row>
    <row r="2053" spans="1:23" x14ac:dyDescent="0.3">
      <c r="A2053" s="193" t="str">
        <f ca="1"/>
        <v/>
      </c>
      <c r="B2053" s="378"/>
      <c r="C2053" s="315"/>
      <c r="D2053" s="316"/>
      <c r="E2053" s="315"/>
      <c r="F2053" s="315"/>
      <c r="G2053" s="315"/>
      <c r="H2053" s="153"/>
      <c r="I2053" s="12"/>
      <c r="J2053" s="12"/>
      <c r="K2053" s="12"/>
      <c r="L2053" s="379"/>
      <c r="M2053" s="380"/>
      <c r="N2053" s="380"/>
      <c r="O2053" s="12"/>
      <c r="P2053" s="381"/>
      <c r="Q2053" s="12"/>
      <c r="R2053" s="12"/>
      <c r="S2053" s="382"/>
      <c r="T2053" s="383"/>
      <c r="U2053" s="384"/>
      <c r="V2053" s="12"/>
      <c r="W2053" s="12"/>
    </row>
    <row r="2054" spans="1:23" x14ac:dyDescent="0.3">
      <c r="A2054" s="193" t="str">
        <f ca="1"/>
        <v/>
      </c>
      <c r="B2054" s="378"/>
      <c r="C2054" s="315"/>
      <c r="D2054" s="316"/>
      <c r="E2054" s="315"/>
      <c r="F2054" s="315"/>
      <c r="G2054" s="315"/>
      <c r="H2054" s="153"/>
      <c r="I2054" s="12"/>
      <c r="J2054" s="12"/>
      <c r="K2054" s="12"/>
      <c r="L2054" s="379"/>
      <c r="M2054" s="380"/>
      <c r="N2054" s="380"/>
      <c r="O2054" s="12"/>
      <c r="P2054" s="381"/>
      <c r="Q2054" s="12"/>
      <c r="R2054" s="12"/>
      <c r="S2054" s="382"/>
      <c r="T2054" s="383"/>
      <c r="U2054" s="384"/>
      <c r="V2054" s="12"/>
      <c r="W2054" s="12"/>
    </row>
    <row r="2055" spans="1:23" x14ac:dyDescent="0.3">
      <c r="A2055" s="193" t="str">
        <f ca="1"/>
        <v/>
      </c>
      <c r="B2055" s="378"/>
      <c r="C2055" s="315"/>
      <c r="D2055" s="316"/>
      <c r="E2055" s="315"/>
      <c r="F2055" s="315"/>
      <c r="G2055" s="315"/>
      <c r="H2055" s="153"/>
      <c r="I2055" s="12"/>
      <c r="J2055" s="12"/>
      <c r="K2055" s="12"/>
      <c r="L2055" s="379"/>
      <c r="M2055" s="380"/>
      <c r="N2055" s="380"/>
      <c r="O2055" s="12"/>
      <c r="P2055" s="381"/>
      <c r="Q2055" s="12"/>
      <c r="R2055" s="12"/>
      <c r="S2055" s="382"/>
      <c r="T2055" s="383"/>
      <c r="U2055" s="384"/>
      <c r="V2055" s="12"/>
      <c r="W2055" s="12"/>
    </row>
    <row r="2056" spans="1:23" x14ac:dyDescent="0.3">
      <c r="A2056" s="193" t="str">
        <f ca="1"/>
        <v/>
      </c>
      <c r="B2056" s="378"/>
      <c r="C2056" s="315"/>
      <c r="D2056" s="316"/>
      <c r="E2056" s="315"/>
      <c r="F2056" s="315"/>
      <c r="G2056" s="315"/>
      <c r="H2056" s="153"/>
      <c r="I2056" s="12"/>
      <c r="J2056" s="12"/>
      <c r="K2056" s="12"/>
      <c r="L2056" s="379"/>
      <c r="M2056" s="380"/>
      <c r="N2056" s="380"/>
      <c r="O2056" s="12"/>
      <c r="P2056" s="381"/>
      <c r="Q2056" s="12"/>
      <c r="R2056" s="12"/>
      <c r="S2056" s="382"/>
      <c r="T2056" s="383"/>
      <c r="U2056" s="384"/>
      <c r="V2056" s="12"/>
      <c r="W2056" s="12"/>
    </row>
    <row r="2057" spans="1:23" x14ac:dyDescent="0.3">
      <c r="A2057" s="193" t="str">
        <f ca="1"/>
        <v/>
      </c>
      <c r="B2057" s="378"/>
      <c r="C2057" s="315"/>
      <c r="D2057" s="316"/>
      <c r="E2057" s="315"/>
      <c r="F2057" s="315"/>
      <c r="G2057" s="315"/>
      <c r="H2057" s="153"/>
      <c r="I2057" s="12"/>
      <c r="J2057" s="12"/>
      <c r="K2057" s="12"/>
      <c r="L2057" s="379"/>
      <c r="M2057" s="380"/>
      <c r="N2057" s="380"/>
      <c r="O2057" s="12"/>
      <c r="P2057" s="381"/>
      <c r="Q2057" s="12"/>
      <c r="R2057" s="12"/>
      <c r="S2057" s="382"/>
      <c r="T2057" s="383"/>
      <c r="U2057" s="384"/>
      <c r="V2057" s="12"/>
      <c r="W2057" s="12"/>
    </row>
    <row r="2058" spans="1:23" x14ac:dyDescent="0.3">
      <c r="A2058" s="193" t="str">
        <f ca="1"/>
        <v/>
      </c>
      <c r="B2058" s="378"/>
      <c r="C2058" s="315"/>
      <c r="D2058" s="316"/>
      <c r="E2058" s="315"/>
      <c r="F2058" s="315"/>
      <c r="G2058" s="315"/>
      <c r="H2058" s="153"/>
      <c r="I2058" s="12"/>
      <c r="J2058" s="12"/>
      <c r="K2058" s="12"/>
      <c r="L2058" s="379"/>
      <c r="M2058" s="380"/>
      <c r="N2058" s="380"/>
      <c r="O2058" s="12"/>
      <c r="P2058" s="381"/>
      <c r="Q2058" s="12"/>
      <c r="R2058" s="12"/>
      <c r="S2058" s="382"/>
      <c r="T2058" s="383"/>
      <c r="U2058" s="384"/>
      <c r="V2058" s="12"/>
      <c r="W2058" s="12"/>
    </row>
    <row r="2059" spans="1:23" x14ac:dyDescent="0.3">
      <c r="A2059" s="193" t="str">
        <f ca="1"/>
        <v/>
      </c>
      <c r="B2059" s="378"/>
      <c r="C2059" s="315"/>
      <c r="D2059" s="316"/>
      <c r="E2059" s="315"/>
      <c r="F2059" s="315"/>
      <c r="G2059" s="315"/>
      <c r="H2059" s="153"/>
      <c r="I2059" s="12"/>
      <c r="J2059" s="12"/>
      <c r="K2059" s="12"/>
      <c r="L2059" s="379"/>
      <c r="M2059" s="380"/>
      <c r="N2059" s="380"/>
      <c r="O2059" s="12"/>
      <c r="P2059" s="381"/>
      <c r="Q2059" s="12"/>
      <c r="R2059" s="12"/>
      <c r="S2059" s="382"/>
      <c r="T2059" s="383"/>
      <c r="U2059" s="384"/>
      <c r="V2059" s="12"/>
      <c r="W2059" s="12"/>
    </row>
    <row r="2060" spans="1:23" x14ac:dyDescent="0.3">
      <c r="A2060" s="193" t="str">
        <f ca="1"/>
        <v/>
      </c>
      <c r="B2060" s="378"/>
      <c r="C2060" s="315"/>
      <c r="D2060" s="316"/>
      <c r="E2060" s="315"/>
      <c r="F2060" s="315"/>
      <c r="G2060" s="315"/>
      <c r="H2060" s="153"/>
      <c r="I2060" s="12"/>
      <c r="J2060" s="12"/>
      <c r="K2060" s="12"/>
      <c r="L2060" s="379"/>
      <c r="M2060" s="380"/>
      <c r="N2060" s="380"/>
      <c r="O2060" s="12"/>
      <c r="P2060" s="381"/>
      <c r="Q2060" s="12"/>
      <c r="R2060" s="12"/>
      <c r="S2060" s="382"/>
      <c r="T2060" s="383"/>
      <c r="U2060" s="384"/>
      <c r="V2060" s="12"/>
      <c r="W2060" s="12"/>
    </row>
    <row r="2061" spans="1:23" x14ac:dyDescent="0.3">
      <c r="A2061" s="193" t="str">
        <f ca="1"/>
        <v/>
      </c>
      <c r="B2061" s="378"/>
      <c r="C2061" s="315"/>
      <c r="D2061" s="316"/>
      <c r="E2061" s="315"/>
      <c r="F2061" s="315"/>
      <c r="G2061" s="315"/>
      <c r="H2061" s="153"/>
      <c r="I2061" s="12"/>
      <c r="J2061" s="12"/>
      <c r="K2061" s="12"/>
      <c r="L2061" s="379"/>
      <c r="M2061" s="380"/>
      <c r="N2061" s="380"/>
      <c r="O2061" s="12"/>
      <c r="P2061" s="381"/>
      <c r="Q2061" s="12"/>
      <c r="R2061" s="12"/>
      <c r="S2061" s="382"/>
      <c r="T2061" s="383"/>
      <c r="U2061" s="384"/>
      <c r="V2061" s="12"/>
      <c r="W2061" s="12"/>
    </row>
    <row r="2062" spans="1:23" x14ac:dyDescent="0.3">
      <c r="A2062" s="193" t="str">
        <f ca="1"/>
        <v/>
      </c>
      <c r="B2062" s="378"/>
      <c r="C2062" s="315"/>
      <c r="D2062" s="316"/>
      <c r="E2062" s="315"/>
      <c r="F2062" s="315"/>
      <c r="G2062" s="315"/>
      <c r="H2062" s="153"/>
      <c r="I2062" s="12"/>
      <c r="J2062" s="12"/>
      <c r="K2062" s="12"/>
      <c r="L2062" s="379"/>
      <c r="M2062" s="380"/>
      <c r="N2062" s="380"/>
      <c r="O2062" s="12"/>
      <c r="P2062" s="381"/>
      <c r="Q2062" s="12"/>
      <c r="R2062" s="12"/>
      <c r="S2062" s="382"/>
      <c r="T2062" s="383"/>
      <c r="U2062" s="384"/>
      <c r="V2062" s="12"/>
      <c r="W2062" s="12"/>
    </row>
    <row r="2063" spans="1:23" x14ac:dyDescent="0.3">
      <c r="A2063" s="193" t="str">
        <f ca="1"/>
        <v/>
      </c>
      <c r="B2063" s="378"/>
      <c r="C2063" s="315"/>
      <c r="D2063" s="316"/>
      <c r="E2063" s="315"/>
      <c r="F2063" s="315"/>
      <c r="G2063" s="315"/>
      <c r="H2063" s="153"/>
      <c r="I2063" s="12"/>
      <c r="J2063" s="12"/>
      <c r="K2063" s="12"/>
      <c r="L2063" s="379"/>
      <c r="M2063" s="380"/>
      <c r="N2063" s="380"/>
      <c r="O2063" s="12"/>
      <c r="P2063" s="381"/>
      <c r="Q2063" s="12"/>
      <c r="R2063" s="12"/>
      <c r="S2063" s="382"/>
      <c r="T2063" s="383"/>
      <c r="U2063" s="384"/>
      <c r="V2063" s="12"/>
      <c r="W2063" s="12"/>
    </row>
    <row r="2064" spans="1:23" x14ac:dyDescent="0.3">
      <c r="A2064" s="193" t="str">
        <f ca="1"/>
        <v/>
      </c>
      <c r="B2064" s="378"/>
      <c r="C2064" s="315"/>
      <c r="D2064" s="316"/>
      <c r="E2064" s="315"/>
      <c r="F2064" s="315"/>
      <c r="G2064" s="315"/>
      <c r="H2064" s="153"/>
      <c r="I2064" s="12"/>
      <c r="J2064" s="12"/>
      <c r="K2064" s="12"/>
      <c r="L2064" s="379"/>
      <c r="M2064" s="380"/>
      <c r="N2064" s="380"/>
      <c r="O2064" s="12"/>
      <c r="P2064" s="381"/>
      <c r="Q2064" s="12"/>
      <c r="R2064" s="12"/>
      <c r="S2064" s="382"/>
      <c r="T2064" s="383"/>
      <c r="U2064" s="384"/>
      <c r="V2064" s="12"/>
      <c r="W2064" s="12"/>
    </row>
    <row r="2065" spans="1:23" x14ac:dyDescent="0.3">
      <c r="A2065" s="193" t="str">
        <f ca="1"/>
        <v/>
      </c>
      <c r="B2065" s="378"/>
      <c r="C2065" s="315"/>
      <c r="D2065" s="316"/>
      <c r="E2065" s="315"/>
      <c r="F2065" s="315"/>
      <c r="G2065" s="315"/>
      <c r="H2065" s="153"/>
      <c r="I2065" s="12"/>
      <c r="J2065" s="12"/>
      <c r="K2065" s="12"/>
      <c r="L2065" s="379"/>
      <c r="M2065" s="380"/>
      <c r="N2065" s="380"/>
      <c r="O2065" s="12"/>
      <c r="P2065" s="381"/>
      <c r="Q2065" s="12"/>
      <c r="R2065" s="12"/>
      <c r="S2065" s="382"/>
      <c r="T2065" s="383"/>
      <c r="U2065" s="384"/>
      <c r="V2065" s="12"/>
      <c r="W2065" s="12"/>
    </row>
    <row r="2066" spans="1:23" x14ac:dyDescent="0.3">
      <c r="A2066" s="193" t="str">
        <f ca="1"/>
        <v/>
      </c>
      <c r="B2066" s="378"/>
      <c r="C2066" s="315"/>
      <c r="D2066" s="316"/>
      <c r="E2066" s="315"/>
      <c r="F2066" s="315"/>
      <c r="G2066" s="315"/>
      <c r="H2066" s="153"/>
      <c r="I2066" s="12"/>
      <c r="J2066" s="12"/>
      <c r="K2066" s="12"/>
      <c r="L2066" s="379"/>
      <c r="M2066" s="380"/>
      <c r="N2066" s="380"/>
      <c r="O2066" s="12"/>
      <c r="P2066" s="381"/>
      <c r="Q2066" s="12"/>
      <c r="R2066" s="12"/>
      <c r="S2066" s="382"/>
      <c r="T2066" s="383"/>
      <c r="U2066" s="384"/>
      <c r="V2066" s="12"/>
      <c r="W2066" s="12"/>
    </row>
    <row r="2067" spans="1:23" x14ac:dyDescent="0.3">
      <c r="A2067" s="193" t="str">
        <f ca="1"/>
        <v/>
      </c>
      <c r="B2067" s="378"/>
      <c r="C2067" s="315"/>
      <c r="D2067" s="316"/>
      <c r="E2067" s="315"/>
      <c r="F2067" s="315"/>
      <c r="G2067" s="315"/>
      <c r="H2067" s="153"/>
      <c r="I2067" s="12"/>
      <c r="J2067" s="12"/>
      <c r="K2067" s="12"/>
      <c r="L2067" s="379"/>
      <c r="M2067" s="380"/>
      <c r="N2067" s="380"/>
      <c r="O2067" s="12"/>
      <c r="P2067" s="381"/>
      <c r="Q2067" s="12"/>
      <c r="R2067" s="12"/>
      <c r="S2067" s="382"/>
      <c r="T2067" s="383"/>
      <c r="U2067" s="384"/>
      <c r="V2067" s="12"/>
      <c r="W2067" s="12"/>
    </row>
    <row r="2068" spans="1:23" x14ac:dyDescent="0.3">
      <c r="A2068" s="193" t="str">
        <f ca="1"/>
        <v/>
      </c>
      <c r="B2068" s="378"/>
      <c r="C2068" s="315"/>
      <c r="D2068" s="316"/>
      <c r="E2068" s="315"/>
      <c r="F2068" s="315"/>
      <c r="G2068" s="315"/>
      <c r="H2068" s="153"/>
      <c r="I2068" s="12"/>
      <c r="J2068" s="12"/>
      <c r="K2068" s="12"/>
      <c r="L2068" s="379"/>
      <c r="M2068" s="380"/>
      <c r="N2068" s="380"/>
      <c r="O2068" s="12"/>
      <c r="P2068" s="381"/>
      <c r="Q2068" s="12"/>
      <c r="R2068" s="12"/>
      <c r="S2068" s="382"/>
      <c r="T2068" s="383"/>
      <c r="U2068" s="384"/>
      <c r="V2068" s="12"/>
      <c r="W2068" s="12"/>
    </row>
    <row r="2069" spans="1:23" x14ac:dyDescent="0.3">
      <c r="A2069" s="193" t="str">
        <f ca="1"/>
        <v/>
      </c>
      <c r="B2069" s="378"/>
      <c r="C2069" s="315"/>
      <c r="D2069" s="316"/>
      <c r="E2069" s="315"/>
      <c r="F2069" s="315"/>
      <c r="G2069" s="315"/>
      <c r="H2069" s="153"/>
      <c r="I2069" s="12"/>
      <c r="J2069" s="12"/>
      <c r="K2069" s="12"/>
      <c r="L2069" s="379"/>
      <c r="M2069" s="380"/>
      <c r="N2069" s="380"/>
      <c r="O2069" s="12"/>
      <c r="P2069" s="381"/>
      <c r="Q2069" s="12"/>
      <c r="R2069" s="12"/>
      <c r="S2069" s="382"/>
      <c r="T2069" s="383"/>
      <c r="U2069" s="384"/>
      <c r="V2069" s="12"/>
      <c r="W2069" s="12"/>
    </row>
    <row r="2070" spans="1:23" x14ac:dyDescent="0.3">
      <c r="A2070" s="193" t="str">
        <f ca="1"/>
        <v/>
      </c>
      <c r="B2070" s="378"/>
      <c r="C2070" s="315"/>
      <c r="D2070" s="316"/>
      <c r="E2070" s="315"/>
      <c r="F2070" s="315"/>
      <c r="G2070" s="315"/>
      <c r="H2070" s="153"/>
      <c r="I2070" s="12"/>
      <c r="J2070" s="12"/>
      <c r="K2070" s="12"/>
      <c r="L2070" s="379"/>
      <c r="M2070" s="380"/>
      <c r="N2070" s="380"/>
      <c r="O2070" s="12"/>
      <c r="P2070" s="381"/>
      <c r="Q2070" s="12"/>
      <c r="R2070" s="12"/>
      <c r="S2070" s="382"/>
      <c r="T2070" s="383"/>
      <c r="U2070" s="384"/>
      <c r="V2070" s="12"/>
      <c r="W2070" s="12"/>
    </row>
    <row r="2071" spans="1:23" x14ac:dyDescent="0.3">
      <c r="A2071" s="193" t="str">
        <f ca="1"/>
        <v/>
      </c>
      <c r="B2071" s="378"/>
      <c r="C2071" s="315"/>
      <c r="D2071" s="316"/>
      <c r="E2071" s="315"/>
      <c r="F2071" s="315"/>
      <c r="G2071" s="315"/>
      <c r="H2071" s="153"/>
      <c r="I2071" s="12"/>
      <c r="J2071" s="12"/>
      <c r="K2071" s="12"/>
      <c r="L2071" s="379"/>
      <c r="M2071" s="380"/>
      <c r="N2071" s="380"/>
      <c r="O2071" s="12"/>
      <c r="P2071" s="381"/>
      <c r="Q2071" s="12"/>
      <c r="R2071" s="12"/>
      <c r="S2071" s="382"/>
      <c r="T2071" s="383"/>
      <c r="U2071" s="384"/>
      <c r="V2071" s="12"/>
      <c r="W2071" s="12"/>
    </row>
    <row r="2072" spans="1:23" x14ac:dyDescent="0.3">
      <c r="A2072" s="193" t="str">
        <f ca="1"/>
        <v/>
      </c>
      <c r="B2072" s="378"/>
      <c r="C2072" s="315"/>
      <c r="D2072" s="316"/>
      <c r="E2072" s="315"/>
      <c r="F2072" s="315"/>
      <c r="G2072" s="315"/>
      <c r="H2072" s="153"/>
      <c r="I2072" s="12"/>
      <c r="J2072" s="12"/>
      <c r="K2072" s="12"/>
      <c r="L2072" s="379"/>
      <c r="M2072" s="380"/>
      <c r="N2072" s="380"/>
      <c r="O2072" s="12"/>
      <c r="P2072" s="381"/>
      <c r="Q2072" s="12"/>
      <c r="R2072" s="12"/>
      <c r="S2072" s="382"/>
      <c r="T2072" s="383"/>
      <c r="U2072" s="384"/>
      <c r="V2072" s="12"/>
      <c r="W2072" s="12"/>
    </row>
    <row r="2073" spans="1:23" x14ac:dyDescent="0.3">
      <c r="A2073" s="193" t="str">
        <f ca="1"/>
        <v/>
      </c>
      <c r="B2073" s="378"/>
      <c r="C2073" s="315"/>
      <c r="D2073" s="316"/>
      <c r="E2073" s="315"/>
      <c r="F2073" s="315"/>
      <c r="G2073" s="315"/>
      <c r="H2073" s="153"/>
      <c r="I2073" s="12"/>
      <c r="J2073" s="12"/>
      <c r="K2073" s="12"/>
      <c r="L2073" s="379"/>
      <c r="M2073" s="380"/>
      <c r="N2073" s="380"/>
      <c r="O2073" s="12"/>
      <c r="P2073" s="381"/>
      <c r="Q2073" s="12"/>
      <c r="R2073" s="12"/>
      <c r="S2073" s="382"/>
      <c r="T2073" s="383"/>
      <c r="U2073" s="384"/>
      <c r="V2073" s="12"/>
      <c r="W2073" s="12"/>
    </row>
    <row r="2074" spans="1:23" x14ac:dyDescent="0.3">
      <c r="A2074" s="193" t="str">
        <f ca="1"/>
        <v/>
      </c>
      <c r="B2074" s="378"/>
      <c r="C2074" s="315"/>
      <c r="D2074" s="316"/>
      <c r="E2074" s="315"/>
      <c r="F2074" s="315"/>
      <c r="G2074" s="315"/>
      <c r="H2074" s="153"/>
      <c r="I2074" s="12"/>
      <c r="J2074" s="12"/>
      <c r="K2074" s="12"/>
      <c r="L2074" s="379"/>
      <c r="M2074" s="380"/>
      <c r="N2074" s="380"/>
      <c r="O2074" s="12"/>
      <c r="P2074" s="381"/>
      <c r="Q2074" s="12"/>
      <c r="R2074" s="12"/>
      <c r="S2074" s="382"/>
      <c r="T2074" s="383"/>
      <c r="U2074" s="384"/>
      <c r="V2074" s="12"/>
      <c r="W2074" s="12"/>
    </row>
    <row r="2075" spans="1:23" x14ac:dyDescent="0.3">
      <c r="A2075" s="193" t="str">
        <f ca="1"/>
        <v/>
      </c>
      <c r="B2075" s="378"/>
      <c r="C2075" s="315"/>
      <c r="D2075" s="316"/>
      <c r="E2075" s="315"/>
      <c r="F2075" s="315"/>
      <c r="G2075" s="315"/>
      <c r="H2075" s="153"/>
      <c r="I2075" s="12"/>
      <c r="J2075" s="12"/>
      <c r="K2075" s="12"/>
      <c r="L2075" s="379"/>
      <c r="M2075" s="380"/>
      <c r="N2075" s="380"/>
      <c r="O2075" s="12"/>
      <c r="P2075" s="381"/>
      <c r="Q2075" s="12"/>
      <c r="R2075" s="12"/>
      <c r="S2075" s="382"/>
      <c r="T2075" s="383"/>
      <c r="U2075" s="384"/>
      <c r="V2075" s="12"/>
      <c r="W2075" s="12"/>
    </row>
    <row r="2076" spans="1:23" x14ac:dyDescent="0.3">
      <c r="A2076" s="193" t="str">
        <f ca="1"/>
        <v/>
      </c>
      <c r="B2076" s="378"/>
      <c r="C2076" s="315"/>
      <c r="D2076" s="316"/>
      <c r="E2076" s="315"/>
      <c r="F2076" s="315"/>
      <c r="G2076" s="315"/>
      <c r="H2076" s="153"/>
      <c r="I2076" s="12"/>
      <c r="J2076" s="12"/>
      <c r="K2076" s="12"/>
      <c r="L2076" s="379"/>
      <c r="M2076" s="380"/>
      <c r="N2076" s="380"/>
      <c r="O2076" s="12"/>
      <c r="P2076" s="381"/>
      <c r="Q2076" s="12"/>
      <c r="R2076" s="12"/>
      <c r="S2076" s="382"/>
      <c r="T2076" s="383"/>
      <c r="U2076" s="384"/>
      <c r="V2076" s="12"/>
      <c r="W2076" s="12"/>
    </row>
    <row r="2077" spans="1:23" x14ac:dyDescent="0.3">
      <c r="A2077" s="193" t="str">
        <f ca="1"/>
        <v/>
      </c>
      <c r="B2077" s="378"/>
      <c r="C2077" s="315"/>
      <c r="D2077" s="316"/>
      <c r="E2077" s="315"/>
      <c r="F2077" s="315"/>
      <c r="G2077" s="315"/>
      <c r="H2077" s="153"/>
      <c r="I2077" s="12"/>
      <c r="J2077" s="12"/>
      <c r="K2077" s="12"/>
      <c r="L2077" s="379"/>
      <c r="M2077" s="380"/>
      <c r="N2077" s="380"/>
      <c r="O2077" s="12"/>
      <c r="P2077" s="381"/>
      <c r="Q2077" s="12"/>
      <c r="R2077" s="12"/>
      <c r="S2077" s="382"/>
      <c r="T2077" s="383"/>
      <c r="U2077" s="384"/>
      <c r="V2077" s="12"/>
      <c r="W2077" s="12"/>
    </row>
    <row r="2078" spans="1:23" x14ac:dyDescent="0.3">
      <c r="A2078" s="193" t="str">
        <f ca="1"/>
        <v/>
      </c>
      <c r="B2078" s="378"/>
      <c r="C2078" s="315"/>
      <c r="D2078" s="316"/>
      <c r="E2078" s="315"/>
      <c r="F2078" s="315"/>
      <c r="G2078" s="315"/>
      <c r="H2078" s="153"/>
      <c r="I2078" s="12"/>
      <c r="J2078" s="12"/>
      <c r="K2078" s="12"/>
      <c r="L2078" s="379"/>
      <c r="M2078" s="380"/>
      <c r="N2078" s="380"/>
      <c r="O2078" s="12"/>
      <c r="P2078" s="381"/>
      <c r="Q2078" s="12"/>
      <c r="R2078" s="12"/>
      <c r="S2078" s="382"/>
      <c r="T2078" s="383"/>
      <c r="U2078" s="384"/>
      <c r="V2078" s="12"/>
      <c r="W2078" s="12"/>
    </row>
    <row r="2079" spans="1:23" x14ac:dyDescent="0.3">
      <c r="A2079" s="193" t="str">
        <f ca="1"/>
        <v/>
      </c>
      <c r="B2079" s="378"/>
      <c r="C2079" s="315"/>
      <c r="D2079" s="316"/>
      <c r="E2079" s="315"/>
      <c r="F2079" s="315"/>
      <c r="G2079" s="315"/>
      <c r="H2079" s="153"/>
      <c r="I2079" s="12"/>
      <c r="J2079" s="12"/>
      <c r="K2079" s="12"/>
      <c r="L2079" s="379"/>
      <c r="M2079" s="380"/>
      <c r="N2079" s="380"/>
      <c r="O2079" s="12"/>
      <c r="P2079" s="381"/>
      <c r="Q2079" s="12"/>
      <c r="R2079" s="12"/>
      <c r="S2079" s="382"/>
      <c r="T2079" s="383"/>
      <c r="U2079" s="384"/>
      <c r="V2079" s="12"/>
      <c r="W2079" s="12"/>
    </row>
    <row r="2080" spans="1:23" x14ac:dyDescent="0.3">
      <c r="A2080" s="193" t="str">
        <f ca="1"/>
        <v/>
      </c>
      <c r="B2080" s="378"/>
      <c r="C2080" s="315"/>
      <c r="D2080" s="316"/>
      <c r="E2080" s="315"/>
      <c r="F2080" s="315"/>
      <c r="G2080" s="315"/>
      <c r="H2080" s="153"/>
      <c r="I2080" s="12"/>
      <c r="J2080" s="12"/>
      <c r="K2080" s="12"/>
      <c r="L2080" s="379"/>
      <c r="M2080" s="380"/>
      <c r="N2080" s="380"/>
      <c r="O2080" s="12"/>
      <c r="P2080" s="381"/>
      <c r="Q2080" s="12"/>
      <c r="R2080" s="12"/>
      <c r="S2080" s="382"/>
      <c r="T2080" s="383"/>
      <c r="U2080" s="384"/>
      <c r="V2080" s="12"/>
      <c r="W2080" s="12"/>
    </row>
    <row r="2081" spans="1:23" x14ac:dyDescent="0.3">
      <c r="A2081" s="193" t="str">
        <f ca="1"/>
        <v/>
      </c>
      <c r="B2081" s="378"/>
      <c r="C2081" s="315"/>
      <c r="D2081" s="316"/>
      <c r="E2081" s="315"/>
      <c r="F2081" s="315"/>
      <c r="G2081" s="315"/>
      <c r="H2081" s="153"/>
      <c r="I2081" s="12"/>
      <c r="J2081" s="12"/>
      <c r="K2081" s="12"/>
      <c r="L2081" s="379"/>
      <c r="M2081" s="380"/>
      <c r="N2081" s="380"/>
      <c r="O2081" s="12"/>
      <c r="P2081" s="381"/>
      <c r="Q2081" s="12"/>
      <c r="R2081" s="12"/>
      <c r="S2081" s="382"/>
      <c r="T2081" s="383"/>
      <c r="U2081" s="384"/>
      <c r="V2081" s="12"/>
      <c r="W2081" s="12"/>
    </row>
    <row r="2082" spans="1:23" x14ac:dyDescent="0.3">
      <c r="A2082" s="193" t="str">
        <f ca="1"/>
        <v/>
      </c>
      <c r="B2082" s="378"/>
      <c r="C2082" s="315"/>
      <c r="D2082" s="316"/>
      <c r="E2082" s="315"/>
      <c r="F2082" s="315"/>
      <c r="G2082" s="315"/>
      <c r="H2082" s="153"/>
      <c r="I2082" s="12"/>
      <c r="J2082" s="12"/>
      <c r="K2082" s="12"/>
      <c r="L2082" s="379"/>
      <c r="M2082" s="380"/>
      <c r="N2082" s="380"/>
      <c r="O2082" s="12"/>
      <c r="P2082" s="381"/>
      <c r="Q2082" s="12"/>
      <c r="R2082" s="12"/>
      <c r="S2082" s="382"/>
      <c r="T2082" s="383"/>
      <c r="U2082" s="384"/>
      <c r="V2082" s="12"/>
      <c r="W2082" s="12"/>
    </row>
    <row r="2083" spans="1:23" x14ac:dyDescent="0.3">
      <c r="A2083" s="193" t="str">
        <f ca="1"/>
        <v/>
      </c>
      <c r="B2083" s="378"/>
      <c r="C2083" s="315"/>
      <c r="D2083" s="316"/>
      <c r="E2083" s="315"/>
      <c r="F2083" s="315"/>
      <c r="G2083" s="315"/>
      <c r="H2083" s="153"/>
      <c r="I2083" s="12"/>
      <c r="J2083" s="12"/>
      <c r="K2083" s="12"/>
      <c r="L2083" s="379"/>
      <c r="M2083" s="380"/>
      <c r="N2083" s="380"/>
      <c r="O2083" s="12"/>
      <c r="P2083" s="381"/>
      <c r="Q2083" s="12"/>
      <c r="R2083" s="12"/>
      <c r="S2083" s="382"/>
      <c r="T2083" s="383"/>
      <c r="U2083" s="384"/>
      <c r="V2083" s="12"/>
      <c r="W2083" s="12"/>
    </row>
    <row r="2084" spans="1:23" x14ac:dyDescent="0.3">
      <c r="A2084" s="193" t="str">
        <f ca="1"/>
        <v/>
      </c>
      <c r="B2084" s="378"/>
      <c r="C2084" s="315"/>
      <c r="D2084" s="316"/>
      <c r="E2084" s="315"/>
      <c r="F2084" s="315"/>
      <c r="G2084" s="315"/>
      <c r="H2084" s="153"/>
      <c r="I2084" s="12"/>
      <c r="J2084" s="12"/>
      <c r="K2084" s="12"/>
      <c r="L2084" s="379"/>
      <c r="M2084" s="380"/>
      <c r="N2084" s="380"/>
      <c r="O2084" s="12"/>
      <c r="P2084" s="381"/>
      <c r="Q2084" s="12"/>
      <c r="R2084" s="12"/>
      <c r="S2084" s="382"/>
      <c r="T2084" s="383"/>
      <c r="U2084" s="384"/>
      <c r="V2084" s="12"/>
      <c r="W2084" s="12"/>
    </row>
    <row r="2085" spans="1:23" x14ac:dyDescent="0.3">
      <c r="A2085" s="193" t="str">
        <f ca="1"/>
        <v/>
      </c>
      <c r="B2085" s="378"/>
      <c r="C2085" s="315"/>
      <c r="D2085" s="316"/>
      <c r="E2085" s="315"/>
      <c r="F2085" s="315"/>
      <c r="G2085" s="315"/>
      <c r="H2085" s="153"/>
      <c r="I2085" s="12"/>
      <c r="J2085" s="12"/>
      <c r="K2085" s="12"/>
      <c r="L2085" s="379"/>
      <c r="M2085" s="380"/>
      <c r="N2085" s="380"/>
      <c r="O2085" s="12"/>
      <c r="P2085" s="381"/>
      <c r="Q2085" s="12"/>
      <c r="R2085" s="12"/>
      <c r="S2085" s="382"/>
      <c r="T2085" s="383"/>
      <c r="U2085" s="384"/>
      <c r="V2085" s="12"/>
      <c r="W2085" s="12"/>
    </row>
    <row r="2086" spans="1:23" x14ac:dyDescent="0.3">
      <c r="A2086" s="193" t="str">
        <f ca="1"/>
        <v/>
      </c>
      <c r="B2086" s="378"/>
      <c r="C2086" s="315"/>
      <c r="D2086" s="316"/>
      <c r="E2086" s="315"/>
      <c r="F2086" s="315"/>
      <c r="G2086" s="315"/>
      <c r="H2086" s="153"/>
      <c r="I2086" s="12"/>
      <c r="J2086" s="12"/>
      <c r="K2086" s="12"/>
      <c r="L2086" s="379"/>
      <c r="M2086" s="380"/>
      <c r="N2086" s="380"/>
      <c r="O2086" s="12"/>
      <c r="P2086" s="381"/>
      <c r="Q2086" s="12"/>
      <c r="R2086" s="12"/>
      <c r="S2086" s="382"/>
      <c r="T2086" s="383"/>
      <c r="U2086" s="384"/>
      <c r="V2086" s="12"/>
      <c r="W2086" s="12"/>
    </row>
    <row r="2087" spans="1:23" x14ac:dyDescent="0.3">
      <c r="A2087" s="193" t="str">
        <f ca="1"/>
        <v/>
      </c>
      <c r="B2087" s="378"/>
      <c r="C2087" s="315"/>
      <c r="D2087" s="316"/>
      <c r="E2087" s="315"/>
      <c r="F2087" s="315"/>
      <c r="G2087" s="315"/>
      <c r="H2087" s="153"/>
      <c r="I2087" s="12"/>
      <c r="J2087" s="12"/>
      <c r="K2087" s="12"/>
      <c r="L2087" s="379"/>
      <c r="M2087" s="380"/>
      <c r="N2087" s="380"/>
      <c r="O2087" s="12"/>
      <c r="P2087" s="381"/>
      <c r="Q2087" s="12"/>
      <c r="R2087" s="12"/>
      <c r="S2087" s="382"/>
      <c r="T2087" s="383"/>
      <c r="U2087" s="384"/>
      <c r="V2087" s="12"/>
      <c r="W2087" s="12"/>
    </row>
    <row r="2088" spans="1:23" x14ac:dyDescent="0.3">
      <c r="A2088" s="193" t="str">
        <f ca="1"/>
        <v/>
      </c>
      <c r="B2088" s="378"/>
      <c r="C2088" s="315"/>
      <c r="D2088" s="316"/>
      <c r="E2088" s="315"/>
      <c r="F2088" s="315"/>
      <c r="G2088" s="315"/>
      <c r="H2088" s="153"/>
      <c r="I2088" s="12"/>
      <c r="J2088" s="12"/>
      <c r="K2088" s="12"/>
      <c r="L2088" s="379"/>
      <c r="M2088" s="380"/>
      <c r="N2088" s="380"/>
      <c r="O2088" s="12"/>
      <c r="P2088" s="381"/>
      <c r="Q2088" s="12"/>
      <c r="R2088" s="12"/>
      <c r="S2088" s="382"/>
      <c r="T2088" s="383"/>
      <c r="U2088" s="384"/>
      <c r="V2088" s="12"/>
      <c r="W2088" s="12"/>
    </row>
    <row r="2089" spans="1:23" x14ac:dyDescent="0.3">
      <c r="A2089" s="193" t="str">
        <f ca="1"/>
        <v/>
      </c>
      <c r="B2089" s="378"/>
      <c r="C2089" s="315"/>
      <c r="D2089" s="316"/>
      <c r="E2089" s="315"/>
      <c r="F2089" s="315"/>
      <c r="G2089" s="315"/>
      <c r="H2089" s="153"/>
      <c r="I2089" s="12"/>
      <c r="J2089" s="12"/>
      <c r="K2089" s="12"/>
      <c r="L2089" s="379"/>
      <c r="M2089" s="380"/>
      <c r="N2089" s="380"/>
      <c r="O2089" s="12"/>
      <c r="P2089" s="381"/>
      <c r="Q2089" s="12"/>
      <c r="R2089" s="12"/>
      <c r="S2089" s="382"/>
      <c r="T2089" s="383"/>
      <c r="U2089" s="384"/>
      <c r="V2089" s="12"/>
      <c r="W2089" s="12"/>
    </row>
    <row r="2090" spans="1:23" x14ac:dyDescent="0.3">
      <c r="A2090" s="193" t="str">
        <f ca="1"/>
        <v/>
      </c>
      <c r="B2090" s="378"/>
      <c r="C2090" s="315"/>
      <c r="D2090" s="316"/>
      <c r="E2090" s="315"/>
      <c r="F2090" s="315"/>
      <c r="G2090" s="315"/>
      <c r="H2090" s="153"/>
      <c r="I2090" s="12"/>
      <c r="J2090" s="12"/>
      <c r="K2090" s="12"/>
      <c r="L2090" s="379"/>
      <c r="M2090" s="380"/>
      <c r="N2090" s="380"/>
      <c r="O2090" s="12"/>
      <c r="P2090" s="381"/>
      <c r="Q2090" s="12"/>
      <c r="R2090" s="12"/>
      <c r="S2090" s="382"/>
      <c r="T2090" s="383"/>
      <c r="U2090" s="384"/>
      <c r="V2090" s="12"/>
      <c r="W2090" s="12"/>
    </row>
    <row r="2091" spans="1:23" x14ac:dyDescent="0.3">
      <c r="A2091" s="193" t="str">
        <f ca="1"/>
        <v/>
      </c>
      <c r="B2091" s="378"/>
      <c r="C2091" s="315"/>
      <c r="D2091" s="316"/>
      <c r="E2091" s="315"/>
      <c r="F2091" s="315"/>
      <c r="G2091" s="315"/>
      <c r="H2091" s="153"/>
      <c r="I2091" s="12"/>
      <c r="J2091" s="12"/>
      <c r="K2091" s="12"/>
      <c r="L2091" s="379"/>
      <c r="M2091" s="380"/>
      <c r="N2091" s="380"/>
      <c r="O2091" s="12"/>
      <c r="P2091" s="381"/>
      <c r="Q2091" s="12"/>
      <c r="R2091" s="12"/>
      <c r="S2091" s="382"/>
      <c r="T2091" s="383"/>
      <c r="U2091" s="384"/>
      <c r="V2091" s="12"/>
      <c r="W2091" s="12"/>
    </row>
    <row r="2092" spans="1:23" x14ac:dyDescent="0.3">
      <c r="A2092" s="193" t="str">
        <f ca="1"/>
        <v/>
      </c>
      <c r="B2092" s="378"/>
      <c r="C2092" s="315"/>
      <c r="D2092" s="316"/>
      <c r="E2092" s="315"/>
      <c r="F2092" s="315"/>
      <c r="G2092" s="315"/>
      <c r="H2092" s="153"/>
      <c r="I2092" s="12"/>
      <c r="J2092" s="12"/>
      <c r="K2092" s="12"/>
      <c r="L2092" s="379"/>
      <c r="M2092" s="380"/>
      <c r="N2092" s="380"/>
      <c r="O2092" s="12"/>
      <c r="P2092" s="381"/>
      <c r="Q2092" s="12"/>
      <c r="R2092" s="12"/>
      <c r="S2092" s="382"/>
      <c r="T2092" s="383"/>
      <c r="U2092" s="384"/>
      <c r="V2092" s="12"/>
      <c r="W2092" s="12"/>
    </row>
    <row r="2093" spans="1:23" x14ac:dyDescent="0.3">
      <c r="A2093" s="193" t="str">
        <f ca="1"/>
        <v/>
      </c>
      <c r="B2093" s="378"/>
      <c r="C2093" s="315"/>
      <c r="D2093" s="316"/>
      <c r="E2093" s="315"/>
      <c r="F2093" s="315"/>
      <c r="G2093" s="315"/>
      <c r="H2093" s="153"/>
      <c r="I2093" s="12"/>
      <c r="J2093" s="12"/>
      <c r="K2093" s="12"/>
      <c r="L2093" s="379"/>
      <c r="M2093" s="380"/>
      <c r="N2093" s="380"/>
      <c r="O2093" s="12"/>
      <c r="P2093" s="381"/>
      <c r="Q2093" s="12"/>
      <c r="R2093" s="12"/>
      <c r="S2093" s="382"/>
      <c r="T2093" s="383"/>
      <c r="U2093" s="384"/>
      <c r="V2093" s="12"/>
      <c r="W2093" s="12"/>
    </row>
    <row r="2094" spans="1:23" x14ac:dyDescent="0.3">
      <c r="A2094" s="193" t="str">
        <f ca="1"/>
        <v/>
      </c>
      <c r="B2094" s="378"/>
      <c r="C2094" s="315"/>
      <c r="D2094" s="316"/>
      <c r="E2094" s="315"/>
      <c r="F2094" s="315"/>
      <c r="G2094" s="315"/>
      <c r="H2094" s="153"/>
      <c r="I2094" s="12"/>
      <c r="J2094" s="12"/>
      <c r="K2094" s="12"/>
      <c r="L2094" s="379"/>
      <c r="M2094" s="380"/>
      <c r="N2094" s="380"/>
      <c r="O2094" s="12"/>
      <c r="P2094" s="381"/>
      <c r="Q2094" s="12"/>
      <c r="R2094" s="12"/>
      <c r="S2094" s="382"/>
      <c r="T2094" s="383"/>
      <c r="U2094" s="384"/>
      <c r="V2094" s="12"/>
      <c r="W2094" s="12"/>
    </row>
    <row r="2095" spans="1:23" x14ac:dyDescent="0.3">
      <c r="A2095" s="193" t="str">
        <f ca="1"/>
        <v/>
      </c>
      <c r="B2095" s="378"/>
      <c r="C2095" s="315"/>
      <c r="D2095" s="316"/>
      <c r="E2095" s="315"/>
      <c r="F2095" s="315"/>
      <c r="G2095" s="315"/>
      <c r="H2095" s="153"/>
      <c r="I2095" s="12"/>
      <c r="J2095" s="12"/>
      <c r="K2095" s="12"/>
      <c r="L2095" s="379"/>
      <c r="M2095" s="380"/>
      <c r="N2095" s="380"/>
      <c r="O2095" s="12"/>
      <c r="P2095" s="381"/>
      <c r="Q2095" s="12"/>
      <c r="R2095" s="12"/>
      <c r="S2095" s="382"/>
      <c r="T2095" s="383"/>
      <c r="U2095" s="384"/>
      <c r="V2095" s="12"/>
      <c r="W2095" s="12"/>
    </row>
    <row r="2096" spans="1:23" x14ac:dyDescent="0.3">
      <c r="A2096" s="193" t="str">
        <f ca="1"/>
        <v/>
      </c>
      <c r="B2096" s="378"/>
      <c r="C2096" s="315"/>
      <c r="D2096" s="316"/>
      <c r="E2096" s="315"/>
      <c r="F2096" s="315"/>
      <c r="G2096" s="315"/>
      <c r="H2096" s="153"/>
      <c r="I2096" s="12"/>
      <c r="J2096" s="12"/>
      <c r="K2096" s="12"/>
      <c r="L2096" s="379"/>
      <c r="M2096" s="380"/>
      <c r="N2096" s="380"/>
      <c r="O2096" s="12"/>
      <c r="P2096" s="381"/>
      <c r="Q2096" s="12"/>
      <c r="R2096" s="12"/>
      <c r="S2096" s="382"/>
      <c r="T2096" s="383"/>
      <c r="U2096" s="384"/>
      <c r="V2096" s="12"/>
      <c r="W2096" s="12"/>
    </row>
    <row r="2097" spans="1:23" x14ac:dyDescent="0.3">
      <c r="A2097" s="193" t="str">
        <f ca="1"/>
        <v/>
      </c>
      <c r="B2097" s="378"/>
      <c r="C2097" s="315"/>
      <c r="D2097" s="316"/>
      <c r="E2097" s="315"/>
      <c r="F2097" s="315"/>
      <c r="G2097" s="315"/>
      <c r="H2097" s="153"/>
      <c r="I2097" s="12"/>
      <c r="J2097" s="12"/>
      <c r="K2097" s="12"/>
      <c r="L2097" s="379"/>
      <c r="M2097" s="380"/>
      <c r="N2097" s="380"/>
      <c r="O2097" s="12"/>
      <c r="P2097" s="381"/>
      <c r="Q2097" s="12"/>
      <c r="R2097" s="12"/>
      <c r="S2097" s="382"/>
      <c r="T2097" s="383"/>
      <c r="U2097" s="384"/>
      <c r="V2097" s="12"/>
      <c r="W2097" s="12"/>
    </row>
    <row r="2098" spans="1:23" x14ac:dyDescent="0.3">
      <c r="A2098" s="193" t="str">
        <f ca="1"/>
        <v/>
      </c>
      <c r="B2098" s="378"/>
      <c r="C2098" s="315"/>
      <c r="D2098" s="316"/>
      <c r="E2098" s="315"/>
      <c r="F2098" s="315"/>
      <c r="G2098" s="315"/>
      <c r="H2098" s="153"/>
      <c r="I2098" s="12"/>
      <c r="J2098" s="12"/>
      <c r="K2098" s="12"/>
      <c r="L2098" s="379"/>
      <c r="M2098" s="380"/>
      <c r="N2098" s="380"/>
      <c r="O2098" s="12"/>
      <c r="P2098" s="381"/>
      <c r="Q2098" s="12"/>
      <c r="R2098" s="12"/>
      <c r="S2098" s="382"/>
      <c r="T2098" s="383"/>
      <c r="U2098" s="384"/>
      <c r="V2098" s="12"/>
      <c r="W2098" s="12"/>
    </row>
    <row r="2099" spans="1:23" x14ac:dyDescent="0.3">
      <c r="A2099" s="193" t="str">
        <f ca="1"/>
        <v/>
      </c>
      <c r="B2099" s="378"/>
      <c r="C2099" s="315"/>
      <c r="D2099" s="316"/>
      <c r="E2099" s="315"/>
      <c r="F2099" s="315"/>
      <c r="G2099" s="315"/>
      <c r="H2099" s="153"/>
      <c r="I2099" s="12"/>
      <c r="J2099" s="12"/>
      <c r="K2099" s="12"/>
      <c r="L2099" s="379"/>
      <c r="M2099" s="380"/>
      <c r="N2099" s="380"/>
      <c r="O2099" s="12"/>
      <c r="P2099" s="381"/>
      <c r="Q2099" s="12"/>
      <c r="R2099" s="12"/>
      <c r="S2099" s="382"/>
      <c r="T2099" s="383"/>
      <c r="U2099" s="384"/>
      <c r="V2099" s="12"/>
      <c r="W2099" s="12"/>
    </row>
    <row r="2100" spans="1:23" x14ac:dyDescent="0.3">
      <c r="A2100" s="193" t="str">
        <f ca="1"/>
        <v/>
      </c>
      <c r="B2100" s="378"/>
      <c r="C2100" s="315"/>
      <c r="D2100" s="316"/>
      <c r="E2100" s="315"/>
      <c r="F2100" s="315"/>
      <c r="G2100" s="315"/>
      <c r="H2100" s="153"/>
      <c r="I2100" s="12"/>
      <c r="J2100" s="12"/>
      <c r="K2100" s="12"/>
      <c r="L2100" s="379"/>
      <c r="M2100" s="380"/>
      <c r="N2100" s="380"/>
      <c r="O2100" s="12"/>
      <c r="P2100" s="381"/>
      <c r="Q2100" s="12"/>
      <c r="R2100" s="12"/>
      <c r="S2100" s="382"/>
      <c r="T2100" s="383"/>
      <c r="U2100" s="384"/>
      <c r="V2100" s="12"/>
      <c r="W2100" s="12"/>
    </row>
    <row r="2101" spans="1:23" x14ac:dyDescent="0.3">
      <c r="A2101" s="193" t="str">
        <f ca="1"/>
        <v/>
      </c>
      <c r="B2101" s="378"/>
      <c r="C2101" s="315"/>
      <c r="D2101" s="316"/>
      <c r="E2101" s="315"/>
      <c r="F2101" s="315"/>
      <c r="G2101" s="315"/>
      <c r="H2101" s="153"/>
      <c r="I2101" s="12"/>
      <c r="J2101" s="12"/>
      <c r="K2101" s="12"/>
      <c r="L2101" s="379"/>
      <c r="M2101" s="380"/>
      <c r="N2101" s="380"/>
      <c r="O2101" s="12"/>
      <c r="P2101" s="381"/>
      <c r="Q2101" s="12"/>
      <c r="R2101" s="12"/>
      <c r="S2101" s="382"/>
      <c r="T2101" s="383"/>
      <c r="U2101" s="384"/>
      <c r="V2101" s="12"/>
      <c r="W2101" s="12"/>
    </row>
    <row r="2102" spans="1:23" x14ac:dyDescent="0.3">
      <c r="A2102" s="193" t="str">
        <f ca="1"/>
        <v/>
      </c>
      <c r="B2102" s="378"/>
      <c r="C2102" s="315"/>
      <c r="D2102" s="316"/>
      <c r="E2102" s="315"/>
      <c r="F2102" s="315"/>
      <c r="G2102" s="315"/>
      <c r="H2102" s="153"/>
      <c r="I2102" s="12"/>
      <c r="J2102" s="12"/>
      <c r="K2102" s="12"/>
      <c r="L2102" s="379"/>
      <c r="M2102" s="380"/>
      <c r="N2102" s="380"/>
      <c r="O2102" s="12"/>
      <c r="P2102" s="381"/>
      <c r="Q2102" s="12"/>
      <c r="R2102" s="12"/>
      <c r="S2102" s="382"/>
      <c r="T2102" s="383"/>
      <c r="U2102" s="384"/>
      <c r="V2102" s="12"/>
      <c r="W2102" s="12"/>
    </row>
    <row r="2103" spans="1:23" x14ac:dyDescent="0.3">
      <c r="A2103" s="193" t="str">
        <f ca="1"/>
        <v/>
      </c>
      <c r="B2103" s="378"/>
      <c r="C2103" s="315"/>
      <c r="D2103" s="316"/>
      <c r="E2103" s="315"/>
      <c r="F2103" s="315"/>
      <c r="G2103" s="315"/>
      <c r="H2103" s="153"/>
      <c r="I2103" s="12"/>
      <c r="J2103" s="12"/>
      <c r="K2103" s="12"/>
      <c r="L2103" s="379"/>
      <c r="M2103" s="380"/>
      <c r="N2103" s="380"/>
      <c r="O2103" s="12"/>
      <c r="P2103" s="381"/>
      <c r="Q2103" s="12"/>
      <c r="R2103" s="12"/>
      <c r="S2103" s="382"/>
      <c r="T2103" s="383"/>
      <c r="U2103" s="384"/>
      <c r="V2103" s="12"/>
      <c r="W2103" s="12"/>
    </row>
    <row r="2104" spans="1:23" x14ac:dyDescent="0.3">
      <c r="A2104" s="193" t="str">
        <f ca="1"/>
        <v/>
      </c>
      <c r="B2104" s="378"/>
      <c r="C2104" s="315"/>
      <c r="D2104" s="316"/>
      <c r="E2104" s="315"/>
      <c r="F2104" s="315"/>
      <c r="G2104" s="315"/>
      <c r="H2104" s="153"/>
      <c r="I2104" s="12"/>
      <c r="J2104" s="12"/>
      <c r="K2104" s="12"/>
      <c r="L2104" s="379"/>
      <c r="M2104" s="380"/>
      <c r="N2104" s="380"/>
      <c r="O2104" s="12"/>
      <c r="P2104" s="381"/>
      <c r="Q2104" s="12"/>
      <c r="R2104" s="12"/>
      <c r="S2104" s="382"/>
      <c r="T2104" s="383"/>
      <c r="U2104" s="384"/>
      <c r="V2104" s="12"/>
      <c r="W2104" s="12"/>
    </row>
    <row r="2105" spans="1:23" x14ac:dyDescent="0.3">
      <c r="A2105" s="193" t="str">
        <f ca="1"/>
        <v/>
      </c>
      <c r="B2105" s="378"/>
      <c r="C2105" s="315"/>
      <c r="D2105" s="316"/>
      <c r="E2105" s="315"/>
      <c r="F2105" s="315"/>
      <c r="G2105" s="315"/>
      <c r="H2105" s="153"/>
      <c r="I2105" s="12"/>
      <c r="J2105" s="12"/>
      <c r="K2105" s="12"/>
      <c r="L2105" s="379"/>
      <c r="M2105" s="380"/>
      <c r="N2105" s="380"/>
      <c r="O2105" s="12"/>
      <c r="P2105" s="381"/>
      <c r="Q2105" s="12"/>
      <c r="R2105" s="12"/>
      <c r="S2105" s="382"/>
      <c r="T2105" s="383"/>
      <c r="U2105" s="384"/>
      <c r="V2105" s="12"/>
      <c r="W2105" s="12"/>
    </row>
    <row r="2106" spans="1:23" x14ac:dyDescent="0.3">
      <c r="A2106" s="193" t="str">
        <f ca="1"/>
        <v/>
      </c>
      <c r="B2106" s="378"/>
      <c r="C2106" s="315"/>
      <c r="D2106" s="316"/>
      <c r="E2106" s="315"/>
      <c r="F2106" s="315"/>
      <c r="G2106" s="315"/>
      <c r="H2106" s="153"/>
      <c r="I2106" s="12"/>
      <c r="J2106" s="12"/>
      <c r="K2106" s="12"/>
      <c r="L2106" s="379"/>
      <c r="M2106" s="380"/>
      <c r="N2106" s="380"/>
      <c r="O2106" s="12"/>
      <c r="P2106" s="381"/>
      <c r="Q2106" s="12"/>
      <c r="R2106" s="12"/>
      <c r="S2106" s="382"/>
      <c r="T2106" s="383"/>
      <c r="U2106" s="384"/>
      <c r="V2106" s="12"/>
      <c r="W2106" s="12"/>
    </row>
    <row r="2107" spans="1:23" x14ac:dyDescent="0.3">
      <c r="A2107" s="193" t="str">
        <f ca="1"/>
        <v/>
      </c>
      <c r="B2107" s="378"/>
      <c r="C2107" s="315"/>
      <c r="D2107" s="316"/>
      <c r="E2107" s="315"/>
      <c r="F2107" s="315"/>
      <c r="G2107" s="315"/>
      <c r="H2107" s="153"/>
      <c r="I2107" s="12"/>
      <c r="J2107" s="12"/>
      <c r="K2107" s="12"/>
      <c r="L2107" s="379"/>
      <c r="M2107" s="380"/>
      <c r="N2107" s="380"/>
      <c r="O2107" s="12"/>
      <c r="P2107" s="381"/>
      <c r="Q2107" s="12"/>
      <c r="R2107" s="12"/>
      <c r="S2107" s="382"/>
      <c r="T2107" s="383"/>
      <c r="U2107" s="384"/>
      <c r="V2107" s="12"/>
      <c r="W2107" s="12"/>
    </row>
    <row r="2108" spans="1:23" x14ac:dyDescent="0.3">
      <c r="A2108" s="193" t="str">
        <f ca="1"/>
        <v/>
      </c>
      <c r="B2108" s="378"/>
      <c r="C2108" s="315"/>
      <c r="D2108" s="316"/>
      <c r="E2108" s="315"/>
      <c r="F2108" s="315"/>
      <c r="G2108" s="315"/>
      <c r="H2108" s="153"/>
      <c r="I2108" s="12"/>
      <c r="J2108" s="12"/>
      <c r="K2108" s="12"/>
      <c r="L2108" s="379"/>
      <c r="M2108" s="380"/>
      <c r="N2108" s="380"/>
      <c r="O2108" s="12"/>
      <c r="P2108" s="381"/>
      <c r="Q2108" s="12"/>
      <c r="R2108" s="12"/>
      <c r="S2108" s="382"/>
      <c r="T2108" s="383"/>
      <c r="U2108" s="384"/>
      <c r="V2108" s="12"/>
      <c r="W2108" s="12"/>
    </row>
    <row r="2109" spans="1:23" x14ac:dyDescent="0.3">
      <c r="A2109" s="193" t="str">
        <f ca="1"/>
        <v/>
      </c>
      <c r="B2109" s="378"/>
      <c r="C2109" s="315"/>
      <c r="D2109" s="316"/>
      <c r="E2109" s="315"/>
      <c r="F2109" s="315"/>
      <c r="G2109" s="315"/>
      <c r="H2109" s="153"/>
      <c r="I2109" s="12"/>
      <c r="J2109" s="12"/>
      <c r="K2109" s="12"/>
      <c r="L2109" s="379"/>
      <c r="M2109" s="380"/>
      <c r="N2109" s="380"/>
      <c r="O2109" s="12"/>
      <c r="P2109" s="381"/>
      <c r="Q2109" s="12"/>
      <c r="R2109" s="12"/>
      <c r="S2109" s="382"/>
      <c r="T2109" s="383"/>
      <c r="U2109" s="384"/>
      <c r="V2109" s="12"/>
      <c r="W2109" s="12"/>
    </row>
    <row r="2110" spans="1:23" x14ac:dyDescent="0.3">
      <c r="A2110" s="193" t="str">
        <f ca="1"/>
        <v/>
      </c>
      <c r="B2110" s="378"/>
      <c r="C2110" s="315"/>
      <c r="D2110" s="316"/>
      <c r="E2110" s="315"/>
      <c r="F2110" s="315"/>
      <c r="G2110" s="315"/>
      <c r="H2110" s="153"/>
      <c r="I2110" s="12"/>
      <c r="J2110" s="12"/>
      <c r="K2110" s="12"/>
      <c r="L2110" s="379"/>
      <c r="M2110" s="380"/>
      <c r="N2110" s="380"/>
      <c r="O2110" s="12"/>
      <c r="P2110" s="381"/>
      <c r="Q2110" s="12"/>
      <c r="R2110" s="12"/>
      <c r="S2110" s="382"/>
      <c r="T2110" s="383"/>
      <c r="U2110" s="384"/>
      <c r="V2110" s="12"/>
      <c r="W2110" s="12"/>
    </row>
    <row r="2111" spans="1:23" x14ac:dyDescent="0.3">
      <c r="A2111" s="193" t="str">
        <f ca="1"/>
        <v/>
      </c>
      <c r="B2111" s="378"/>
      <c r="C2111" s="315"/>
      <c r="D2111" s="316"/>
      <c r="E2111" s="315"/>
      <c r="F2111" s="315"/>
      <c r="G2111" s="315"/>
      <c r="H2111" s="153"/>
      <c r="I2111" s="12"/>
      <c r="J2111" s="12"/>
      <c r="K2111" s="12"/>
      <c r="L2111" s="379"/>
      <c r="M2111" s="380"/>
      <c r="N2111" s="380"/>
      <c r="O2111" s="12"/>
      <c r="P2111" s="381"/>
      <c r="Q2111" s="12"/>
      <c r="R2111" s="12"/>
      <c r="S2111" s="382"/>
      <c r="T2111" s="383"/>
      <c r="U2111" s="384"/>
      <c r="V2111" s="12"/>
      <c r="W2111" s="12"/>
    </row>
    <row r="2112" spans="1:23" x14ac:dyDescent="0.3">
      <c r="A2112" s="193" t="str">
        <f ca="1"/>
        <v/>
      </c>
      <c r="B2112" s="378"/>
      <c r="C2112" s="315"/>
      <c r="D2112" s="316"/>
      <c r="E2112" s="315"/>
      <c r="F2112" s="315"/>
      <c r="G2112" s="315"/>
      <c r="H2112" s="153"/>
      <c r="I2112" s="12"/>
      <c r="J2112" s="12"/>
      <c r="K2112" s="12"/>
      <c r="L2112" s="379"/>
      <c r="M2112" s="380"/>
      <c r="N2112" s="380"/>
      <c r="O2112" s="12"/>
      <c r="P2112" s="381"/>
      <c r="Q2112" s="12"/>
      <c r="R2112" s="12"/>
      <c r="S2112" s="382"/>
      <c r="T2112" s="383"/>
      <c r="U2112" s="384"/>
      <c r="V2112" s="12"/>
      <c r="W2112" s="12"/>
    </row>
    <row r="2113" spans="1:23" x14ac:dyDescent="0.3">
      <c r="A2113" s="193" t="str">
        <f ca="1"/>
        <v/>
      </c>
      <c r="B2113" s="378"/>
      <c r="C2113" s="315"/>
      <c r="D2113" s="316"/>
      <c r="E2113" s="315"/>
      <c r="F2113" s="315"/>
      <c r="G2113" s="315"/>
      <c r="H2113" s="153"/>
      <c r="I2113" s="12"/>
      <c r="J2113" s="12"/>
      <c r="K2113" s="12"/>
      <c r="L2113" s="379"/>
      <c r="M2113" s="380"/>
      <c r="N2113" s="380"/>
      <c r="O2113" s="12"/>
      <c r="P2113" s="381"/>
      <c r="Q2113" s="12"/>
      <c r="R2113" s="12"/>
      <c r="S2113" s="382"/>
      <c r="T2113" s="383"/>
      <c r="U2113" s="384"/>
      <c r="V2113" s="12"/>
      <c r="W2113" s="12"/>
    </row>
    <row r="2114" spans="1:23" x14ac:dyDescent="0.3">
      <c r="A2114" s="193" t="str">
        <f ca="1"/>
        <v/>
      </c>
      <c r="B2114" s="378"/>
      <c r="C2114" s="315"/>
      <c r="D2114" s="316"/>
      <c r="E2114" s="315"/>
      <c r="F2114" s="315"/>
      <c r="G2114" s="315"/>
      <c r="H2114" s="153"/>
      <c r="I2114" s="12"/>
      <c r="J2114" s="12"/>
      <c r="K2114" s="12"/>
      <c r="L2114" s="379"/>
      <c r="M2114" s="380"/>
      <c r="N2114" s="380"/>
      <c r="O2114" s="12"/>
      <c r="P2114" s="381"/>
      <c r="Q2114" s="12"/>
      <c r="R2114" s="12"/>
      <c r="S2114" s="382"/>
      <c r="T2114" s="383"/>
      <c r="U2114" s="384"/>
      <c r="V2114" s="12"/>
      <c r="W2114" s="12"/>
    </row>
    <row r="2115" spans="1:23" x14ac:dyDescent="0.3">
      <c r="A2115" s="193" t="str">
        <f ca="1"/>
        <v/>
      </c>
      <c r="B2115" s="378"/>
      <c r="C2115" s="315"/>
      <c r="D2115" s="316"/>
      <c r="E2115" s="315"/>
      <c r="F2115" s="315"/>
      <c r="G2115" s="315"/>
      <c r="H2115" s="153"/>
      <c r="I2115" s="12"/>
      <c r="J2115" s="12"/>
      <c r="K2115" s="12"/>
      <c r="L2115" s="379"/>
      <c r="M2115" s="380"/>
      <c r="N2115" s="380"/>
      <c r="O2115" s="12"/>
      <c r="P2115" s="381"/>
      <c r="Q2115" s="12"/>
      <c r="R2115" s="12"/>
      <c r="S2115" s="382"/>
      <c r="T2115" s="383"/>
      <c r="U2115" s="384"/>
      <c r="V2115" s="12"/>
      <c r="W2115" s="12"/>
    </row>
    <row r="2116" spans="1:23" x14ac:dyDescent="0.3">
      <c r="A2116" s="193" t="str">
        <f ca="1"/>
        <v/>
      </c>
      <c r="B2116" s="378"/>
      <c r="C2116" s="315"/>
      <c r="D2116" s="316"/>
      <c r="E2116" s="315"/>
      <c r="F2116" s="315"/>
      <c r="G2116" s="315"/>
      <c r="H2116" s="153"/>
      <c r="I2116" s="12"/>
      <c r="J2116" s="12"/>
      <c r="K2116" s="12"/>
      <c r="L2116" s="379"/>
      <c r="M2116" s="380"/>
      <c r="N2116" s="380"/>
      <c r="O2116" s="12"/>
      <c r="P2116" s="381"/>
      <c r="Q2116" s="12"/>
      <c r="R2116" s="12"/>
      <c r="S2116" s="382"/>
      <c r="T2116" s="383"/>
      <c r="U2116" s="384"/>
      <c r="V2116" s="12"/>
      <c r="W2116" s="12"/>
    </row>
    <row r="2117" spans="1:23" x14ac:dyDescent="0.3">
      <c r="A2117" s="193" t="str">
        <f ca="1"/>
        <v/>
      </c>
      <c r="B2117" s="378"/>
      <c r="C2117" s="315"/>
      <c r="D2117" s="316"/>
      <c r="E2117" s="315"/>
      <c r="F2117" s="315"/>
      <c r="G2117" s="315"/>
      <c r="H2117" s="153"/>
      <c r="I2117" s="12"/>
      <c r="J2117" s="12"/>
      <c r="K2117" s="12"/>
      <c r="L2117" s="379"/>
      <c r="M2117" s="380"/>
      <c r="N2117" s="380"/>
      <c r="O2117" s="12"/>
      <c r="P2117" s="381"/>
      <c r="Q2117" s="12"/>
      <c r="R2117" s="12"/>
      <c r="S2117" s="382"/>
      <c r="T2117" s="383"/>
      <c r="U2117" s="384"/>
      <c r="V2117" s="12"/>
      <c r="W2117" s="12"/>
    </row>
    <row r="2118" spans="1:23" x14ac:dyDescent="0.3">
      <c r="A2118" s="193" t="str">
        <f ca="1"/>
        <v/>
      </c>
      <c r="B2118" s="378"/>
      <c r="C2118" s="315"/>
      <c r="D2118" s="316"/>
      <c r="E2118" s="315"/>
      <c r="F2118" s="315"/>
      <c r="G2118" s="315"/>
      <c r="H2118" s="153"/>
      <c r="I2118" s="12"/>
      <c r="J2118" s="12"/>
      <c r="K2118" s="12"/>
      <c r="L2118" s="379"/>
      <c r="M2118" s="380"/>
      <c r="N2118" s="380"/>
      <c r="O2118" s="12"/>
      <c r="P2118" s="381"/>
      <c r="Q2118" s="12"/>
      <c r="R2118" s="12"/>
      <c r="S2118" s="382"/>
      <c r="T2118" s="383"/>
      <c r="U2118" s="384"/>
      <c r="V2118" s="12"/>
      <c r="W2118" s="12"/>
    </row>
    <row r="2119" spans="1:23" x14ac:dyDescent="0.3">
      <c r="A2119" s="193" t="str">
        <f ca="1"/>
        <v/>
      </c>
      <c r="B2119" s="378"/>
      <c r="C2119" s="315"/>
      <c r="D2119" s="316"/>
      <c r="E2119" s="315"/>
      <c r="F2119" s="315"/>
      <c r="G2119" s="315"/>
      <c r="H2119" s="153"/>
      <c r="I2119" s="12"/>
      <c r="J2119" s="12"/>
      <c r="K2119" s="12"/>
      <c r="L2119" s="379"/>
      <c r="M2119" s="380"/>
      <c r="N2119" s="380"/>
      <c r="O2119" s="12"/>
      <c r="P2119" s="381"/>
      <c r="Q2119" s="12"/>
      <c r="R2119" s="12"/>
      <c r="S2119" s="382"/>
      <c r="T2119" s="383"/>
      <c r="U2119" s="384"/>
      <c r="V2119" s="12"/>
      <c r="W2119" s="12"/>
    </row>
    <row r="2120" spans="1:23" x14ac:dyDescent="0.3">
      <c r="A2120" s="193" t="str">
        <f ca="1"/>
        <v/>
      </c>
      <c r="B2120" s="378"/>
      <c r="C2120" s="315"/>
      <c r="D2120" s="316"/>
      <c r="E2120" s="315"/>
      <c r="F2120" s="315"/>
      <c r="G2120" s="315"/>
      <c r="H2120" s="153"/>
      <c r="I2120" s="12"/>
      <c r="J2120" s="12"/>
      <c r="K2120" s="12"/>
      <c r="L2120" s="379"/>
      <c r="M2120" s="380"/>
      <c r="N2120" s="380"/>
      <c r="O2120" s="12"/>
      <c r="P2120" s="381"/>
      <c r="Q2120" s="12"/>
      <c r="R2120" s="12"/>
      <c r="S2120" s="382"/>
      <c r="T2120" s="383"/>
      <c r="U2120" s="384"/>
      <c r="V2120" s="12"/>
      <c r="W2120" s="12"/>
    </row>
    <row r="2121" spans="1:23" x14ac:dyDescent="0.3">
      <c r="A2121" s="193" t="str">
        <f ca="1"/>
        <v/>
      </c>
      <c r="B2121" s="378"/>
      <c r="C2121" s="315"/>
      <c r="D2121" s="316"/>
      <c r="E2121" s="315"/>
      <c r="F2121" s="315"/>
      <c r="G2121" s="315"/>
      <c r="H2121" s="153"/>
      <c r="I2121" s="12"/>
      <c r="J2121" s="12"/>
      <c r="K2121" s="12"/>
      <c r="L2121" s="379"/>
      <c r="M2121" s="380"/>
      <c r="N2121" s="380"/>
      <c r="O2121" s="12"/>
      <c r="P2121" s="381"/>
      <c r="Q2121" s="12"/>
      <c r="R2121" s="12"/>
      <c r="S2121" s="382"/>
      <c r="T2121" s="383"/>
      <c r="U2121" s="384"/>
      <c r="V2121" s="12"/>
      <c r="W2121" s="12"/>
    </row>
    <row r="2122" spans="1:23" x14ac:dyDescent="0.3">
      <c r="A2122" s="193" t="str">
        <f ca="1"/>
        <v/>
      </c>
      <c r="B2122" s="378"/>
      <c r="C2122" s="315"/>
      <c r="D2122" s="316"/>
      <c r="E2122" s="315"/>
      <c r="F2122" s="315"/>
      <c r="G2122" s="315"/>
      <c r="H2122" s="153"/>
      <c r="I2122" s="12"/>
      <c r="J2122" s="12"/>
      <c r="K2122" s="12"/>
      <c r="L2122" s="379"/>
      <c r="M2122" s="380"/>
      <c r="N2122" s="380"/>
      <c r="O2122" s="12"/>
      <c r="P2122" s="381"/>
      <c r="Q2122" s="12"/>
      <c r="R2122" s="12"/>
      <c r="S2122" s="382"/>
      <c r="T2122" s="383"/>
      <c r="U2122" s="384"/>
      <c r="V2122" s="12"/>
      <c r="W2122" s="12"/>
    </row>
    <row r="2123" spans="1:23" x14ac:dyDescent="0.3">
      <c r="A2123" s="193" t="str">
        <f ca="1"/>
        <v/>
      </c>
      <c r="B2123" s="378"/>
      <c r="C2123" s="315"/>
      <c r="D2123" s="316"/>
      <c r="E2123" s="315"/>
      <c r="F2123" s="315"/>
      <c r="G2123" s="315"/>
      <c r="H2123" s="153"/>
      <c r="I2123" s="12"/>
      <c r="J2123" s="12"/>
      <c r="K2123" s="12"/>
      <c r="L2123" s="379"/>
      <c r="M2123" s="380"/>
      <c r="N2123" s="380"/>
      <c r="O2123" s="12"/>
      <c r="P2123" s="381"/>
      <c r="Q2123" s="12"/>
      <c r="R2123" s="12"/>
      <c r="S2123" s="382"/>
      <c r="T2123" s="383"/>
      <c r="U2123" s="384"/>
      <c r="V2123" s="12"/>
      <c r="W2123" s="12"/>
    </row>
    <row r="2124" spans="1:23" x14ac:dyDescent="0.3">
      <c r="A2124" s="193" t="str">
        <f ca="1"/>
        <v/>
      </c>
      <c r="B2124" s="378"/>
      <c r="C2124" s="315"/>
      <c r="D2124" s="316"/>
      <c r="E2124" s="315"/>
      <c r="F2124" s="315"/>
      <c r="G2124" s="315"/>
      <c r="H2124" s="153"/>
      <c r="I2124" s="12"/>
      <c r="J2124" s="12"/>
      <c r="K2124" s="12"/>
      <c r="L2124" s="379"/>
      <c r="M2124" s="380"/>
      <c r="N2124" s="380"/>
      <c r="O2124" s="12"/>
      <c r="P2124" s="381"/>
      <c r="Q2124" s="12"/>
      <c r="R2124" s="12"/>
      <c r="S2124" s="382"/>
      <c r="T2124" s="383"/>
      <c r="U2124" s="384"/>
      <c r="V2124" s="12"/>
      <c r="W2124" s="12"/>
    </row>
    <row r="2125" spans="1:23" x14ac:dyDescent="0.3">
      <c r="A2125" s="193" t="str">
        <f ca="1"/>
        <v/>
      </c>
      <c r="B2125" s="378"/>
      <c r="C2125" s="315"/>
      <c r="D2125" s="316"/>
      <c r="E2125" s="315"/>
      <c r="F2125" s="315"/>
      <c r="G2125" s="315"/>
      <c r="H2125" s="153"/>
      <c r="I2125" s="12"/>
      <c r="J2125" s="12"/>
      <c r="K2125" s="12"/>
      <c r="L2125" s="379"/>
      <c r="M2125" s="380"/>
      <c r="N2125" s="380"/>
      <c r="O2125" s="12"/>
      <c r="P2125" s="381"/>
      <c r="Q2125" s="12"/>
      <c r="R2125" s="12"/>
      <c r="S2125" s="382"/>
      <c r="T2125" s="383"/>
      <c r="U2125" s="384"/>
      <c r="V2125" s="12"/>
      <c r="W2125" s="12"/>
    </row>
    <row r="2126" spans="1:23" x14ac:dyDescent="0.3">
      <c r="A2126" s="193" t="str">
        <f ca="1"/>
        <v/>
      </c>
      <c r="B2126" s="378"/>
      <c r="C2126" s="315"/>
      <c r="D2126" s="316"/>
      <c r="E2126" s="315"/>
      <c r="F2126" s="315"/>
      <c r="G2126" s="315"/>
      <c r="H2126" s="153"/>
      <c r="I2126" s="12"/>
      <c r="J2126" s="12"/>
      <c r="K2126" s="12"/>
      <c r="L2126" s="379"/>
      <c r="M2126" s="380"/>
      <c r="N2126" s="380"/>
      <c r="O2126" s="12"/>
      <c r="P2126" s="381"/>
      <c r="Q2126" s="12"/>
      <c r="R2126" s="12"/>
      <c r="S2126" s="382"/>
      <c r="T2126" s="383"/>
      <c r="U2126" s="384"/>
      <c r="V2126" s="12"/>
      <c r="W2126" s="12"/>
    </row>
    <row r="2127" spans="1:23" x14ac:dyDescent="0.3">
      <c r="A2127" s="193" t="str">
        <f ca="1"/>
        <v/>
      </c>
      <c r="B2127" s="378"/>
      <c r="C2127" s="315"/>
      <c r="D2127" s="316"/>
      <c r="E2127" s="315"/>
      <c r="F2127" s="315"/>
      <c r="G2127" s="315"/>
      <c r="H2127" s="153"/>
      <c r="I2127" s="12"/>
      <c r="J2127" s="12"/>
      <c r="K2127" s="12"/>
      <c r="L2127" s="379"/>
      <c r="M2127" s="380"/>
      <c r="N2127" s="380"/>
      <c r="O2127" s="12"/>
      <c r="P2127" s="381"/>
      <c r="Q2127" s="12"/>
      <c r="R2127" s="12"/>
      <c r="S2127" s="382"/>
      <c r="T2127" s="383"/>
      <c r="U2127" s="384"/>
      <c r="V2127" s="12"/>
      <c r="W2127" s="12"/>
    </row>
    <row r="2128" spans="1:23" x14ac:dyDescent="0.3">
      <c r="A2128" s="193" t="str">
        <f ca="1"/>
        <v/>
      </c>
      <c r="B2128" s="378"/>
      <c r="C2128" s="315"/>
      <c r="D2128" s="316"/>
      <c r="E2128" s="315"/>
      <c r="F2128" s="315"/>
      <c r="G2128" s="315"/>
      <c r="H2128" s="153"/>
      <c r="I2128" s="12"/>
      <c r="J2128" s="12"/>
      <c r="K2128" s="12"/>
      <c r="L2128" s="379"/>
      <c r="M2128" s="380"/>
      <c r="N2128" s="380"/>
      <c r="O2128" s="12"/>
      <c r="P2128" s="381"/>
      <c r="Q2128" s="12"/>
      <c r="R2128" s="12"/>
      <c r="S2128" s="382"/>
      <c r="T2128" s="383"/>
      <c r="U2128" s="384"/>
      <c r="V2128" s="12"/>
      <c r="W2128" s="12"/>
    </row>
    <row r="2129" spans="1:23" x14ac:dyDescent="0.3">
      <c r="A2129" s="193" t="str">
        <f ca="1"/>
        <v/>
      </c>
      <c r="B2129" s="378"/>
      <c r="C2129" s="315"/>
      <c r="D2129" s="316"/>
      <c r="E2129" s="315"/>
      <c r="F2129" s="315"/>
      <c r="G2129" s="315"/>
      <c r="H2129" s="153"/>
      <c r="I2129" s="12"/>
      <c r="J2129" s="12"/>
      <c r="K2129" s="12"/>
      <c r="L2129" s="379"/>
      <c r="M2129" s="380"/>
      <c r="N2129" s="380"/>
      <c r="O2129" s="12"/>
      <c r="P2129" s="381"/>
      <c r="Q2129" s="12"/>
      <c r="R2129" s="12"/>
      <c r="S2129" s="382"/>
      <c r="T2129" s="383"/>
      <c r="U2129" s="384"/>
      <c r="V2129" s="12"/>
      <c r="W2129" s="12"/>
    </row>
    <row r="2130" spans="1:23" x14ac:dyDescent="0.3">
      <c r="A2130" s="193" t="str">
        <f ca="1"/>
        <v/>
      </c>
      <c r="B2130" s="378"/>
      <c r="C2130" s="315"/>
      <c r="D2130" s="316"/>
      <c r="E2130" s="315"/>
      <c r="F2130" s="315"/>
      <c r="G2130" s="315"/>
      <c r="H2130" s="153"/>
      <c r="I2130" s="12"/>
      <c r="J2130" s="12"/>
      <c r="K2130" s="12"/>
      <c r="L2130" s="379"/>
      <c r="M2130" s="380"/>
      <c r="N2130" s="380"/>
      <c r="O2130" s="12"/>
      <c r="P2130" s="381"/>
      <c r="Q2130" s="12"/>
      <c r="R2130" s="12"/>
      <c r="S2130" s="382"/>
      <c r="T2130" s="383"/>
      <c r="U2130" s="384"/>
      <c r="V2130" s="12"/>
      <c r="W2130" s="12"/>
    </row>
    <row r="2131" spans="1:23" x14ac:dyDescent="0.3">
      <c r="A2131" s="193" t="str">
        <f ca="1"/>
        <v/>
      </c>
      <c r="B2131" s="378"/>
      <c r="C2131" s="315"/>
      <c r="D2131" s="316"/>
      <c r="E2131" s="315"/>
      <c r="F2131" s="315"/>
      <c r="G2131" s="315"/>
      <c r="H2131" s="153"/>
      <c r="I2131" s="12"/>
      <c r="J2131" s="12"/>
      <c r="K2131" s="12"/>
      <c r="L2131" s="379"/>
      <c r="M2131" s="380"/>
      <c r="N2131" s="380"/>
      <c r="O2131" s="12"/>
      <c r="P2131" s="381"/>
      <c r="Q2131" s="12"/>
      <c r="R2131" s="12"/>
      <c r="S2131" s="382"/>
      <c r="T2131" s="383"/>
      <c r="U2131" s="384"/>
      <c r="V2131" s="12"/>
      <c r="W2131" s="12"/>
    </row>
    <row r="2132" spans="1:23" x14ac:dyDescent="0.3">
      <c r="A2132" s="193" t="str">
        <f ca="1"/>
        <v/>
      </c>
      <c r="B2132" s="378"/>
      <c r="C2132" s="315"/>
      <c r="D2132" s="316"/>
      <c r="E2132" s="315"/>
      <c r="F2132" s="315"/>
      <c r="G2132" s="315"/>
      <c r="H2132" s="153"/>
      <c r="I2132" s="12"/>
      <c r="J2132" s="12"/>
      <c r="K2132" s="12"/>
      <c r="L2132" s="379"/>
      <c r="M2132" s="380"/>
      <c r="N2132" s="380"/>
      <c r="O2132" s="12"/>
      <c r="P2132" s="381"/>
      <c r="Q2132" s="12"/>
      <c r="R2132" s="12"/>
      <c r="S2132" s="382"/>
      <c r="T2132" s="383"/>
      <c r="U2132" s="384"/>
      <c r="V2132" s="12"/>
      <c r="W2132" s="12"/>
    </row>
    <row r="2133" spans="1:23" x14ac:dyDescent="0.3">
      <c r="A2133" s="193" t="str">
        <f ca="1"/>
        <v/>
      </c>
      <c r="B2133" s="378"/>
      <c r="C2133" s="315"/>
      <c r="D2133" s="316"/>
      <c r="E2133" s="315"/>
      <c r="F2133" s="315"/>
      <c r="G2133" s="315"/>
      <c r="H2133" s="153"/>
      <c r="I2133" s="12"/>
      <c r="J2133" s="12"/>
      <c r="K2133" s="12"/>
      <c r="L2133" s="379"/>
      <c r="M2133" s="380"/>
      <c r="N2133" s="380"/>
      <c r="O2133" s="12"/>
      <c r="P2133" s="381"/>
      <c r="Q2133" s="12"/>
      <c r="R2133" s="12"/>
      <c r="S2133" s="382"/>
      <c r="T2133" s="383"/>
      <c r="U2133" s="384"/>
      <c r="V2133" s="12"/>
      <c r="W2133" s="12"/>
    </row>
    <row r="2134" spans="1:23" x14ac:dyDescent="0.3">
      <c r="A2134" s="193" t="str">
        <f ca="1"/>
        <v/>
      </c>
      <c r="B2134" s="378"/>
      <c r="C2134" s="315"/>
      <c r="D2134" s="316"/>
      <c r="E2134" s="315"/>
      <c r="F2134" s="315"/>
      <c r="G2134" s="315"/>
      <c r="H2134" s="153"/>
      <c r="I2134" s="12"/>
      <c r="J2134" s="12"/>
      <c r="K2134" s="12"/>
      <c r="L2134" s="379"/>
      <c r="M2134" s="380"/>
      <c r="N2134" s="380"/>
      <c r="O2134" s="12"/>
      <c r="P2134" s="381"/>
      <c r="Q2134" s="12"/>
      <c r="R2134" s="12"/>
      <c r="S2134" s="382"/>
      <c r="T2134" s="383"/>
      <c r="U2134" s="384"/>
      <c r="V2134" s="12"/>
      <c r="W2134" s="12"/>
    </row>
    <row r="2135" spans="1:23" x14ac:dyDescent="0.3">
      <c r="A2135" s="193" t="str">
        <f ca="1"/>
        <v/>
      </c>
      <c r="B2135" s="378"/>
      <c r="C2135" s="315"/>
      <c r="D2135" s="316"/>
      <c r="E2135" s="315"/>
      <c r="F2135" s="315"/>
      <c r="G2135" s="315"/>
      <c r="H2135" s="153"/>
      <c r="I2135" s="12"/>
      <c r="J2135" s="12"/>
      <c r="K2135" s="12"/>
      <c r="L2135" s="379"/>
      <c r="M2135" s="380"/>
      <c r="N2135" s="380"/>
      <c r="O2135" s="12"/>
      <c r="P2135" s="381"/>
      <c r="Q2135" s="12"/>
      <c r="R2135" s="12"/>
      <c r="S2135" s="382"/>
      <c r="T2135" s="383"/>
      <c r="U2135" s="384"/>
      <c r="V2135" s="12"/>
      <c r="W2135" s="12"/>
    </row>
    <row r="2136" spans="1:23" x14ac:dyDescent="0.3">
      <c r="A2136" s="193" t="str">
        <f ca="1"/>
        <v/>
      </c>
      <c r="B2136" s="378"/>
      <c r="C2136" s="315"/>
      <c r="D2136" s="316"/>
      <c r="E2136" s="315"/>
      <c r="F2136" s="315"/>
      <c r="G2136" s="315"/>
      <c r="H2136" s="153"/>
      <c r="I2136" s="12"/>
      <c r="J2136" s="12"/>
      <c r="K2136" s="12"/>
      <c r="L2136" s="379"/>
      <c r="M2136" s="380"/>
      <c r="N2136" s="380"/>
      <c r="O2136" s="12"/>
      <c r="P2136" s="381"/>
      <c r="Q2136" s="12"/>
      <c r="R2136" s="12"/>
      <c r="S2136" s="382"/>
      <c r="T2136" s="383"/>
      <c r="U2136" s="384"/>
      <c r="V2136" s="12"/>
      <c r="W2136" s="12"/>
    </row>
    <row r="2137" spans="1:23" x14ac:dyDescent="0.3">
      <c r="A2137" s="193" t="str">
        <f ca="1"/>
        <v/>
      </c>
      <c r="B2137" s="378"/>
      <c r="C2137" s="315"/>
      <c r="D2137" s="316"/>
      <c r="E2137" s="315"/>
      <c r="F2137" s="315"/>
      <c r="G2137" s="315"/>
      <c r="H2137" s="153"/>
      <c r="I2137" s="12"/>
      <c r="J2137" s="12"/>
      <c r="K2137" s="12"/>
      <c r="L2137" s="379"/>
      <c r="M2137" s="380"/>
      <c r="N2137" s="380"/>
      <c r="O2137" s="12"/>
      <c r="P2137" s="381"/>
      <c r="Q2137" s="12"/>
      <c r="R2137" s="12"/>
      <c r="S2137" s="382"/>
      <c r="T2137" s="383"/>
      <c r="U2137" s="384"/>
      <c r="V2137" s="12"/>
      <c r="W2137" s="12"/>
    </row>
    <row r="2138" spans="1:23" x14ac:dyDescent="0.3">
      <c r="A2138" s="193" t="str">
        <f ca="1"/>
        <v/>
      </c>
      <c r="B2138" s="378"/>
      <c r="C2138" s="315"/>
      <c r="D2138" s="316"/>
      <c r="E2138" s="315"/>
      <c r="F2138" s="315"/>
      <c r="G2138" s="315"/>
      <c r="H2138" s="153"/>
      <c r="I2138" s="12"/>
      <c r="J2138" s="12"/>
      <c r="K2138" s="12"/>
      <c r="L2138" s="379"/>
      <c r="M2138" s="380"/>
      <c r="N2138" s="380"/>
      <c r="O2138" s="12"/>
      <c r="P2138" s="381"/>
      <c r="Q2138" s="12"/>
      <c r="R2138" s="12"/>
      <c r="S2138" s="382"/>
      <c r="T2138" s="383"/>
      <c r="U2138" s="384"/>
      <c r="V2138" s="12"/>
      <c r="W2138" s="12"/>
    </row>
    <row r="2139" spans="1:23" x14ac:dyDescent="0.3">
      <c r="A2139" s="193" t="str">
        <f ca="1"/>
        <v/>
      </c>
      <c r="B2139" s="378"/>
      <c r="C2139" s="315"/>
      <c r="D2139" s="316"/>
      <c r="E2139" s="315"/>
      <c r="F2139" s="315"/>
      <c r="G2139" s="315"/>
      <c r="H2139" s="153"/>
      <c r="I2139" s="12"/>
      <c r="J2139" s="12"/>
      <c r="K2139" s="12"/>
      <c r="L2139" s="379"/>
      <c r="M2139" s="380"/>
      <c r="N2139" s="380"/>
      <c r="O2139" s="12"/>
      <c r="P2139" s="381"/>
      <c r="Q2139" s="12"/>
      <c r="R2139" s="12"/>
      <c r="S2139" s="382"/>
      <c r="T2139" s="383"/>
      <c r="U2139" s="384"/>
      <c r="V2139" s="12"/>
      <c r="W2139" s="12"/>
    </row>
    <row r="2140" spans="1:23" x14ac:dyDescent="0.3">
      <c r="A2140" s="193" t="str">
        <f ca="1"/>
        <v/>
      </c>
      <c r="B2140" s="378"/>
      <c r="C2140" s="315"/>
      <c r="D2140" s="316"/>
      <c r="E2140" s="315"/>
      <c r="F2140" s="315"/>
      <c r="G2140" s="315"/>
      <c r="H2140" s="153"/>
      <c r="I2140" s="12"/>
      <c r="J2140" s="12"/>
      <c r="K2140" s="12"/>
      <c r="L2140" s="379"/>
      <c r="M2140" s="380"/>
      <c r="N2140" s="380"/>
      <c r="O2140" s="12"/>
      <c r="P2140" s="381"/>
      <c r="Q2140" s="12"/>
      <c r="R2140" s="12"/>
      <c r="S2140" s="382"/>
      <c r="T2140" s="383"/>
      <c r="U2140" s="384"/>
      <c r="V2140" s="12"/>
      <c r="W2140" s="12"/>
    </row>
    <row r="2141" spans="1:23" x14ac:dyDescent="0.3">
      <c r="A2141" s="193" t="str">
        <f ca="1"/>
        <v/>
      </c>
      <c r="B2141" s="378"/>
      <c r="C2141" s="315"/>
      <c r="D2141" s="316"/>
      <c r="E2141" s="315"/>
      <c r="F2141" s="315"/>
      <c r="G2141" s="315"/>
      <c r="H2141" s="153"/>
      <c r="I2141" s="12"/>
      <c r="J2141" s="12"/>
      <c r="K2141" s="12"/>
      <c r="L2141" s="379"/>
      <c r="M2141" s="380"/>
      <c r="N2141" s="380"/>
      <c r="O2141" s="12"/>
      <c r="P2141" s="381"/>
      <c r="Q2141" s="12"/>
      <c r="R2141" s="12"/>
      <c r="S2141" s="382"/>
      <c r="T2141" s="383"/>
      <c r="U2141" s="384"/>
      <c r="V2141" s="12"/>
      <c r="W2141" s="12"/>
    </row>
    <row r="2142" spans="1:23" x14ac:dyDescent="0.3">
      <c r="A2142" s="193" t="str">
        <f ca="1"/>
        <v/>
      </c>
      <c r="B2142" s="378"/>
      <c r="C2142" s="315"/>
      <c r="D2142" s="316"/>
      <c r="E2142" s="315"/>
      <c r="F2142" s="315"/>
      <c r="G2142" s="315"/>
      <c r="H2142" s="153"/>
      <c r="I2142" s="12"/>
      <c r="J2142" s="12"/>
      <c r="K2142" s="12"/>
      <c r="L2142" s="379"/>
      <c r="M2142" s="380"/>
      <c r="N2142" s="380"/>
      <c r="O2142" s="12"/>
      <c r="P2142" s="381"/>
      <c r="Q2142" s="12"/>
      <c r="R2142" s="12"/>
      <c r="S2142" s="382"/>
      <c r="T2142" s="383"/>
      <c r="U2142" s="384"/>
      <c r="V2142" s="12"/>
      <c r="W2142" s="12"/>
    </row>
    <row r="2143" spans="1:23" x14ac:dyDescent="0.3">
      <c r="A2143" s="193" t="str">
        <f ca="1"/>
        <v/>
      </c>
      <c r="B2143" s="378"/>
      <c r="C2143" s="315"/>
      <c r="D2143" s="316"/>
      <c r="E2143" s="315"/>
      <c r="F2143" s="315"/>
      <c r="G2143" s="315"/>
      <c r="H2143" s="153"/>
      <c r="I2143" s="12"/>
      <c r="J2143" s="12"/>
      <c r="K2143" s="12"/>
      <c r="L2143" s="379"/>
      <c r="M2143" s="380"/>
      <c r="N2143" s="380"/>
      <c r="O2143" s="12"/>
      <c r="P2143" s="381"/>
      <c r="Q2143" s="12"/>
      <c r="R2143" s="12"/>
      <c r="S2143" s="382"/>
      <c r="T2143" s="383"/>
      <c r="U2143" s="384"/>
      <c r="V2143" s="12"/>
      <c r="W2143" s="12"/>
    </row>
    <row r="2144" spans="1:23" x14ac:dyDescent="0.3">
      <c r="A2144" s="193" t="str">
        <f ca="1"/>
        <v/>
      </c>
      <c r="B2144" s="378"/>
      <c r="C2144" s="315"/>
      <c r="D2144" s="316"/>
      <c r="E2144" s="315"/>
      <c r="F2144" s="315"/>
      <c r="G2144" s="315"/>
      <c r="H2144" s="153"/>
      <c r="I2144" s="12"/>
      <c r="J2144" s="12"/>
      <c r="K2144" s="12"/>
      <c r="L2144" s="379"/>
      <c r="M2144" s="380"/>
      <c r="N2144" s="380"/>
      <c r="O2144" s="12"/>
      <c r="P2144" s="381"/>
      <c r="Q2144" s="12"/>
      <c r="R2144" s="12"/>
      <c r="S2144" s="382"/>
      <c r="T2144" s="383"/>
      <c r="U2144" s="384"/>
      <c r="V2144" s="12"/>
      <c r="W2144" s="12"/>
    </row>
    <row r="2145" spans="1:23" x14ac:dyDescent="0.3">
      <c r="A2145" s="193" t="str">
        <f ca="1"/>
        <v/>
      </c>
      <c r="B2145" s="378"/>
      <c r="C2145" s="315"/>
      <c r="D2145" s="316"/>
      <c r="E2145" s="315"/>
      <c r="F2145" s="315"/>
      <c r="G2145" s="315"/>
      <c r="H2145" s="153"/>
      <c r="I2145" s="12"/>
      <c r="J2145" s="12"/>
      <c r="K2145" s="12"/>
      <c r="L2145" s="379"/>
      <c r="M2145" s="380"/>
      <c r="N2145" s="380"/>
      <c r="O2145" s="12"/>
      <c r="P2145" s="381"/>
      <c r="Q2145" s="12"/>
      <c r="R2145" s="12"/>
      <c r="S2145" s="382"/>
      <c r="T2145" s="383"/>
      <c r="U2145" s="384"/>
      <c r="V2145" s="12"/>
      <c r="W2145" s="12"/>
    </row>
    <row r="2146" spans="1:23" x14ac:dyDescent="0.3">
      <c r="A2146" s="193" t="str">
        <f ca="1"/>
        <v/>
      </c>
      <c r="B2146" s="378"/>
      <c r="C2146" s="315"/>
      <c r="D2146" s="316"/>
      <c r="E2146" s="315"/>
      <c r="F2146" s="315"/>
      <c r="G2146" s="315"/>
      <c r="H2146" s="153"/>
      <c r="I2146" s="12"/>
      <c r="J2146" s="12"/>
      <c r="K2146" s="12"/>
      <c r="L2146" s="379"/>
      <c r="M2146" s="380"/>
      <c r="N2146" s="380"/>
      <c r="O2146" s="12"/>
      <c r="P2146" s="381"/>
      <c r="Q2146" s="12"/>
      <c r="R2146" s="12"/>
      <c r="S2146" s="382"/>
      <c r="T2146" s="383"/>
      <c r="U2146" s="384"/>
      <c r="V2146" s="12"/>
      <c r="W2146" s="12"/>
    </row>
    <row r="2147" spans="1:23" x14ac:dyDescent="0.3">
      <c r="A2147" s="193" t="str">
        <f ca="1"/>
        <v/>
      </c>
      <c r="B2147" s="378"/>
      <c r="C2147" s="315"/>
      <c r="D2147" s="316"/>
      <c r="E2147" s="315"/>
      <c r="F2147" s="315"/>
      <c r="G2147" s="315"/>
      <c r="H2147" s="153"/>
      <c r="I2147" s="12"/>
      <c r="J2147" s="12"/>
      <c r="K2147" s="12"/>
      <c r="L2147" s="379"/>
      <c r="M2147" s="380"/>
      <c r="N2147" s="380"/>
      <c r="O2147" s="12"/>
      <c r="P2147" s="381"/>
      <c r="Q2147" s="12"/>
      <c r="R2147" s="12"/>
      <c r="S2147" s="382"/>
      <c r="T2147" s="383"/>
      <c r="U2147" s="384"/>
      <c r="V2147" s="12"/>
      <c r="W2147" s="12"/>
    </row>
    <row r="2148" spans="1:23" x14ac:dyDescent="0.3">
      <c r="A2148" s="193" t="str">
        <f ca="1"/>
        <v/>
      </c>
      <c r="B2148" s="378"/>
      <c r="C2148" s="315"/>
      <c r="D2148" s="316"/>
      <c r="E2148" s="315"/>
      <c r="F2148" s="315"/>
      <c r="G2148" s="315"/>
      <c r="H2148" s="153"/>
      <c r="I2148" s="12"/>
      <c r="J2148" s="12"/>
      <c r="K2148" s="12"/>
      <c r="L2148" s="379"/>
      <c r="M2148" s="380"/>
      <c r="N2148" s="380"/>
      <c r="O2148" s="12"/>
      <c r="P2148" s="381"/>
      <c r="Q2148" s="12"/>
      <c r="R2148" s="12"/>
      <c r="S2148" s="382"/>
      <c r="T2148" s="383"/>
      <c r="U2148" s="384"/>
      <c r="V2148" s="12"/>
      <c r="W2148" s="12"/>
    </row>
    <row r="2149" spans="1:23" x14ac:dyDescent="0.3">
      <c r="A2149" s="193" t="str">
        <f ca="1"/>
        <v/>
      </c>
      <c r="B2149" s="378"/>
      <c r="C2149" s="315"/>
      <c r="D2149" s="316"/>
      <c r="E2149" s="315"/>
      <c r="F2149" s="315"/>
      <c r="G2149" s="315"/>
      <c r="H2149" s="153"/>
      <c r="I2149" s="12"/>
      <c r="J2149" s="12"/>
      <c r="K2149" s="12"/>
      <c r="L2149" s="379"/>
      <c r="M2149" s="380"/>
      <c r="N2149" s="380"/>
      <c r="O2149" s="12"/>
      <c r="P2149" s="381"/>
      <c r="Q2149" s="12"/>
      <c r="R2149" s="12"/>
      <c r="S2149" s="382"/>
      <c r="T2149" s="383"/>
      <c r="U2149" s="384"/>
      <c r="V2149" s="12"/>
      <c r="W2149" s="12"/>
    </row>
    <row r="2150" spans="1:23" x14ac:dyDescent="0.3">
      <c r="A2150" s="193" t="str">
        <f ca="1"/>
        <v/>
      </c>
      <c r="B2150" s="378"/>
      <c r="C2150" s="315"/>
      <c r="D2150" s="316"/>
      <c r="E2150" s="315"/>
      <c r="F2150" s="315"/>
      <c r="G2150" s="315"/>
      <c r="H2150" s="153"/>
      <c r="I2150" s="12"/>
      <c r="J2150" s="12"/>
      <c r="K2150" s="12"/>
      <c r="L2150" s="379"/>
      <c r="M2150" s="380"/>
      <c r="N2150" s="380"/>
      <c r="O2150" s="12"/>
      <c r="P2150" s="381"/>
      <c r="Q2150" s="12"/>
      <c r="R2150" s="12"/>
      <c r="S2150" s="382"/>
      <c r="T2150" s="383"/>
      <c r="U2150" s="384"/>
      <c r="V2150" s="12"/>
      <c r="W2150" s="12"/>
    </row>
    <row r="2151" spans="1:23" x14ac:dyDescent="0.3">
      <c r="A2151" s="193" t="str">
        <f ca="1"/>
        <v/>
      </c>
      <c r="B2151" s="378"/>
      <c r="C2151" s="315"/>
      <c r="D2151" s="316"/>
      <c r="E2151" s="315"/>
      <c r="F2151" s="315"/>
      <c r="G2151" s="315"/>
      <c r="H2151" s="153"/>
      <c r="I2151" s="12"/>
      <c r="J2151" s="12"/>
      <c r="K2151" s="12"/>
      <c r="L2151" s="379"/>
      <c r="M2151" s="380"/>
      <c r="N2151" s="380"/>
      <c r="O2151" s="12"/>
      <c r="P2151" s="381"/>
      <c r="Q2151" s="12"/>
      <c r="R2151" s="12"/>
      <c r="S2151" s="382"/>
      <c r="T2151" s="383"/>
      <c r="U2151" s="384"/>
      <c r="V2151" s="12"/>
      <c r="W2151" s="12"/>
    </row>
    <row r="2152" spans="1:23" x14ac:dyDescent="0.3">
      <c r="A2152" s="193" t="str">
        <f ca="1"/>
        <v/>
      </c>
      <c r="B2152" s="378"/>
      <c r="C2152" s="315"/>
      <c r="D2152" s="316"/>
      <c r="E2152" s="315"/>
      <c r="F2152" s="315"/>
      <c r="G2152" s="315"/>
      <c r="H2152" s="153"/>
      <c r="I2152" s="12"/>
      <c r="J2152" s="12"/>
      <c r="K2152" s="12"/>
      <c r="L2152" s="379"/>
      <c r="M2152" s="380"/>
      <c r="N2152" s="380"/>
      <c r="O2152" s="12"/>
      <c r="P2152" s="381"/>
      <c r="Q2152" s="12"/>
      <c r="R2152" s="12"/>
      <c r="S2152" s="382"/>
      <c r="T2152" s="383"/>
      <c r="U2152" s="384"/>
      <c r="V2152" s="12"/>
      <c r="W2152" s="12"/>
    </row>
    <row r="2153" spans="1:23" x14ac:dyDescent="0.3">
      <c r="A2153" s="193" t="str">
        <f ca="1"/>
        <v/>
      </c>
      <c r="B2153" s="378"/>
      <c r="C2153" s="315"/>
      <c r="D2153" s="316"/>
      <c r="E2153" s="315"/>
      <c r="F2153" s="315"/>
      <c r="G2153" s="315"/>
      <c r="H2153" s="153"/>
      <c r="I2153" s="12"/>
      <c r="J2153" s="12"/>
      <c r="K2153" s="12"/>
      <c r="L2153" s="379"/>
      <c r="M2153" s="380"/>
      <c r="N2153" s="380"/>
      <c r="O2153" s="12"/>
      <c r="P2153" s="381"/>
      <c r="Q2153" s="12"/>
      <c r="R2153" s="12"/>
      <c r="S2153" s="382"/>
      <c r="T2153" s="383"/>
      <c r="U2153" s="384"/>
      <c r="V2153" s="12"/>
      <c r="W2153" s="12"/>
    </row>
    <row r="2154" spans="1:23" x14ac:dyDescent="0.3">
      <c r="A2154" s="193" t="str">
        <f ca="1"/>
        <v/>
      </c>
      <c r="B2154" s="378"/>
      <c r="C2154" s="315"/>
      <c r="D2154" s="316"/>
      <c r="E2154" s="315"/>
      <c r="F2154" s="315"/>
      <c r="G2154" s="315"/>
      <c r="H2154" s="153"/>
      <c r="I2154" s="12"/>
      <c r="J2154" s="12"/>
      <c r="K2154" s="12"/>
      <c r="L2154" s="379"/>
      <c r="M2154" s="380"/>
      <c r="N2154" s="380"/>
      <c r="O2154" s="12"/>
      <c r="P2154" s="381"/>
      <c r="Q2154" s="12"/>
      <c r="R2154" s="12"/>
      <c r="S2154" s="382"/>
      <c r="T2154" s="383"/>
      <c r="U2154" s="384"/>
      <c r="V2154" s="12"/>
      <c r="W2154" s="12"/>
    </row>
    <row r="2155" spans="1:23" x14ac:dyDescent="0.3">
      <c r="A2155" s="193" t="str">
        <f ca="1"/>
        <v/>
      </c>
      <c r="B2155" s="378"/>
      <c r="C2155" s="315"/>
      <c r="D2155" s="316"/>
      <c r="E2155" s="315"/>
      <c r="F2155" s="315"/>
      <c r="G2155" s="315"/>
      <c r="H2155" s="153"/>
      <c r="I2155" s="12"/>
      <c r="J2155" s="12"/>
      <c r="K2155" s="12"/>
      <c r="L2155" s="379"/>
      <c r="M2155" s="380"/>
      <c r="N2155" s="380"/>
      <c r="O2155" s="12"/>
      <c r="P2155" s="381"/>
      <c r="Q2155" s="12"/>
      <c r="R2155" s="12"/>
      <c r="S2155" s="382"/>
      <c r="T2155" s="383"/>
      <c r="U2155" s="384"/>
      <c r="V2155" s="12"/>
      <c r="W2155" s="12"/>
    </row>
    <row r="2156" spans="1:23" x14ac:dyDescent="0.3">
      <c r="A2156" s="193" t="str">
        <f ca="1"/>
        <v/>
      </c>
      <c r="B2156" s="378"/>
      <c r="C2156" s="315"/>
      <c r="D2156" s="316"/>
      <c r="E2156" s="315"/>
      <c r="F2156" s="315"/>
      <c r="G2156" s="315"/>
      <c r="H2156" s="153"/>
      <c r="I2156" s="12"/>
      <c r="J2156" s="12"/>
      <c r="K2156" s="12"/>
      <c r="L2156" s="379"/>
      <c r="M2156" s="380"/>
      <c r="N2156" s="380"/>
      <c r="O2156" s="12"/>
      <c r="P2156" s="381"/>
      <c r="Q2156" s="12"/>
      <c r="R2156" s="12"/>
      <c r="S2156" s="382"/>
      <c r="T2156" s="383"/>
      <c r="U2156" s="384"/>
      <c r="V2156" s="12"/>
      <c r="W2156" s="12"/>
    </row>
    <row r="2157" spans="1:23" x14ac:dyDescent="0.3">
      <c r="A2157" s="193" t="str">
        <f ca="1"/>
        <v/>
      </c>
      <c r="B2157" s="378"/>
      <c r="C2157" s="315"/>
      <c r="D2157" s="316"/>
      <c r="E2157" s="315"/>
      <c r="F2157" s="315"/>
      <c r="G2157" s="315"/>
      <c r="H2157" s="153"/>
      <c r="I2157" s="12"/>
      <c r="J2157" s="12"/>
      <c r="K2157" s="12"/>
      <c r="L2157" s="379"/>
      <c r="M2157" s="380"/>
      <c r="N2157" s="380"/>
      <c r="O2157" s="12"/>
      <c r="P2157" s="381"/>
      <c r="Q2157" s="12"/>
      <c r="R2157" s="12"/>
      <c r="S2157" s="382"/>
      <c r="T2157" s="383"/>
      <c r="U2157" s="384"/>
      <c r="V2157" s="12"/>
      <c r="W2157" s="12"/>
    </row>
    <row r="2158" spans="1:23" x14ac:dyDescent="0.3">
      <c r="A2158" s="193" t="str">
        <f ca="1"/>
        <v/>
      </c>
      <c r="B2158" s="378"/>
      <c r="C2158" s="315"/>
      <c r="D2158" s="316"/>
      <c r="E2158" s="315"/>
      <c r="F2158" s="315"/>
      <c r="G2158" s="315"/>
      <c r="H2158" s="153"/>
      <c r="I2158" s="12"/>
      <c r="J2158" s="12"/>
      <c r="K2158" s="12"/>
      <c r="L2158" s="379"/>
      <c r="M2158" s="380"/>
      <c r="N2158" s="380"/>
      <c r="O2158" s="12"/>
      <c r="P2158" s="381"/>
      <c r="Q2158" s="12"/>
      <c r="R2158" s="12"/>
      <c r="S2158" s="382"/>
      <c r="T2158" s="383"/>
      <c r="U2158" s="384"/>
      <c r="V2158" s="12"/>
      <c r="W2158" s="12"/>
    </row>
    <row r="2159" spans="1:23" x14ac:dyDescent="0.3">
      <c r="A2159" s="193" t="str">
        <f ca="1"/>
        <v/>
      </c>
      <c r="B2159" s="378"/>
      <c r="C2159" s="315"/>
      <c r="D2159" s="316"/>
      <c r="E2159" s="315"/>
      <c r="F2159" s="315"/>
      <c r="G2159" s="315"/>
      <c r="H2159" s="153"/>
      <c r="I2159" s="12"/>
      <c r="J2159" s="12"/>
      <c r="K2159" s="12"/>
      <c r="L2159" s="379"/>
      <c r="M2159" s="380"/>
      <c r="N2159" s="380"/>
      <c r="O2159" s="12"/>
      <c r="P2159" s="381"/>
      <c r="Q2159" s="12"/>
      <c r="R2159" s="12"/>
      <c r="S2159" s="382"/>
      <c r="T2159" s="383"/>
      <c r="U2159" s="384"/>
      <c r="V2159" s="12"/>
      <c r="W2159" s="12"/>
    </row>
    <row r="2160" spans="1:23" x14ac:dyDescent="0.3">
      <c r="A2160" s="193" t="str">
        <f ca="1"/>
        <v/>
      </c>
      <c r="B2160" s="378"/>
      <c r="C2160" s="315"/>
      <c r="D2160" s="316"/>
      <c r="E2160" s="315"/>
      <c r="F2160" s="315"/>
      <c r="G2160" s="315"/>
      <c r="H2160" s="153"/>
      <c r="I2160" s="12"/>
      <c r="J2160" s="12"/>
      <c r="K2160" s="12"/>
      <c r="L2160" s="379"/>
      <c r="M2160" s="380"/>
      <c r="N2160" s="380"/>
      <c r="O2160" s="12"/>
      <c r="P2160" s="381"/>
      <c r="Q2160" s="12"/>
      <c r="R2160" s="12"/>
      <c r="S2160" s="382"/>
      <c r="T2160" s="383"/>
      <c r="U2160" s="384"/>
      <c r="V2160" s="12"/>
      <c r="W2160" s="12"/>
    </row>
    <row r="2161" spans="1:23" x14ac:dyDescent="0.3">
      <c r="A2161" s="193" t="str">
        <f ca="1"/>
        <v/>
      </c>
      <c r="B2161" s="378"/>
      <c r="C2161" s="315"/>
      <c r="D2161" s="316"/>
      <c r="E2161" s="315"/>
      <c r="F2161" s="315"/>
      <c r="G2161" s="315"/>
      <c r="H2161" s="153"/>
      <c r="I2161" s="12"/>
      <c r="J2161" s="12"/>
      <c r="K2161" s="12"/>
      <c r="L2161" s="379"/>
      <c r="M2161" s="380"/>
      <c r="N2161" s="380"/>
      <c r="O2161" s="12"/>
      <c r="P2161" s="381"/>
      <c r="Q2161" s="12"/>
      <c r="R2161" s="12"/>
      <c r="S2161" s="382"/>
      <c r="T2161" s="383"/>
      <c r="U2161" s="384"/>
      <c r="V2161" s="12"/>
      <c r="W2161" s="12"/>
    </row>
    <row r="2162" spans="1:23" x14ac:dyDescent="0.3">
      <c r="A2162" s="193" t="str">
        <f ca="1"/>
        <v/>
      </c>
      <c r="B2162" s="378"/>
      <c r="C2162" s="315"/>
      <c r="D2162" s="316"/>
      <c r="E2162" s="315"/>
      <c r="F2162" s="315"/>
      <c r="G2162" s="315"/>
      <c r="H2162" s="153"/>
      <c r="I2162" s="12"/>
      <c r="J2162" s="12"/>
      <c r="K2162" s="12"/>
      <c r="L2162" s="379"/>
      <c r="M2162" s="380"/>
      <c r="N2162" s="380"/>
      <c r="O2162" s="12"/>
      <c r="P2162" s="381"/>
      <c r="Q2162" s="12"/>
      <c r="R2162" s="12"/>
      <c r="S2162" s="382"/>
      <c r="T2162" s="383"/>
      <c r="U2162" s="384"/>
      <c r="V2162" s="12"/>
      <c r="W2162" s="12"/>
    </row>
    <row r="2163" spans="1:23" x14ac:dyDescent="0.3">
      <c r="A2163" s="193" t="str">
        <f ca="1"/>
        <v/>
      </c>
      <c r="B2163" s="378"/>
      <c r="C2163" s="315"/>
      <c r="D2163" s="316"/>
      <c r="E2163" s="315"/>
      <c r="F2163" s="315"/>
      <c r="G2163" s="315"/>
      <c r="H2163" s="153"/>
      <c r="I2163" s="12"/>
      <c r="J2163" s="12"/>
      <c r="K2163" s="12"/>
      <c r="L2163" s="379"/>
      <c r="M2163" s="380"/>
      <c r="N2163" s="380"/>
      <c r="O2163" s="12"/>
      <c r="P2163" s="381"/>
      <c r="Q2163" s="12"/>
      <c r="R2163" s="12"/>
      <c r="S2163" s="382"/>
      <c r="T2163" s="383"/>
      <c r="U2163" s="384"/>
      <c r="V2163" s="12"/>
      <c r="W2163" s="12"/>
    </row>
    <row r="2164" spans="1:23" x14ac:dyDescent="0.3">
      <c r="A2164" s="193" t="str">
        <f ca="1"/>
        <v/>
      </c>
      <c r="B2164" s="378"/>
      <c r="C2164" s="315"/>
      <c r="D2164" s="316"/>
      <c r="E2164" s="315"/>
      <c r="F2164" s="315"/>
      <c r="G2164" s="315"/>
      <c r="H2164" s="153"/>
      <c r="I2164" s="12"/>
      <c r="J2164" s="12"/>
      <c r="K2164" s="12"/>
      <c r="L2164" s="379"/>
      <c r="M2164" s="380"/>
      <c r="N2164" s="380"/>
      <c r="O2164" s="12"/>
      <c r="P2164" s="381"/>
      <c r="Q2164" s="12"/>
      <c r="R2164" s="12"/>
      <c r="S2164" s="382"/>
      <c r="T2164" s="383"/>
      <c r="U2164" s="384"/>
      <c r="V2164" s="12"/>
      <c r="W2164" s="12"/>
    </row>
    <row r="2165" spans="1:23" x14ac:dyDescent="0.3">
      <c r="A2165" s="193" t="str">
        <f ca="1"/>
        <v/>
      </c>
      <c r="B2165" s="378"/>
      <c r="C2165" s="315"/>
      <c r="D2165" s="316"/>
      <c r="E2165" s="315"/>
      <c r="F2165" s="315"/>
      <c r="G2165" s="315"/>
      <c r="H2165" s="153"/>
      <c r="I2165" s="12"/>
      <c r="J2165" s="12"/>
      <c r="K2165" s="12"/>
      <c r="L2165" s="379"/>
      <c r="M2165" s="380"/>
      <c r="N2165" s="380"/>
      <c r="O2165" s="12"/>
      <c r="P2165" s="381"/>
      <c r="Q2165" s="12"/>
      <c r="R2165" s="12"/>
      <c r="S2165" s="382"/>
      <c r="T2165" s="383"/>
      <c r="U2165" s="384"/>
      <c r="V2165" s="12"/>
      <c r="W2165" s="12"/>
    </row>
    <row r="2166" spans="1:23" x14ac:dyDescent="0.3">
      <c r="A2166" s="193" t="str">
        <f ca="1"/>
        <v/>
      </c>
      <c r="B2166" s="378"/>
      <c r="C2166" s="315"/>
      <c r="D2166" s="316"/>
      <c r="E2166" s="315"/>
      <c r="F2166" s="315"/>
      <c r="G2166" s="315"/>
      <c r="H2166" s="153"/>
      <c r="I2166" s="12"/>
      <c r="J2166" s="12"/>
      <c r="K2166" s="12"/>
      <c r="L2166" s="379"/>
      <c r="M2166" s="380"/>
      <c r="N2166" s="380"/>
      <c r="O2166" s="12"/>
      <c r="P2166" s="381"/>
      <c r="Q2166" s="12"/>
      <c r="R2166" s="12"/>
      <c r="S2166" s="382"/>
      <c r="T2166" s="383"/>
      <c r="U2166" s="384"/>
      <c r="V2166" s="12"/>
      <c r="W2166" s="12"/>
    </row>
    <row r="2167" spans="1:23" x14ac:dyDescent="0.3">
      <c r="A2167" s="193" t="str">
        <f ca="1"/>
        <v/>
      </c>
      <c r="B2167" s="378"/>
      <c r="C2167" s="315"/>
      <c r="D2167" s="316"/>
      <c r="E2167" s="315"/>
      <c r="F2167" s="315"/>
      <c r="G2167" s="315"/>
      <c r="H2167" s="153"/>
      <c r="I2167" s="12"/>
      <c r="J2167" s="12"/>
      <c r="K2167" s="12"/>
      <c r="L2167" s="379"/>
      <c r="M2167" s="380"/>
      <c r="N2167" s="380"/>
      <c r="O2167" s="12"/>
      <c r="P2167" s="381"/>
      <c r="Q2167" s="12"/>
      <c r="R2167" s="12"/>
      <c r="S2167" s="382"/>
      <c r="T2167" s="383"/>
      <c r="U2167" s="384"/>
      <c r="V2167" s="12"/>
      <c r="W2167" s="12"/>
    </row>
    <row r="2168" spans="1:23" x14ac:dyDescent="0.3">
      <c r="A2168" s="193" t="str">
        <f ca="1"/>
        <v/>
      </c>
      <c r="B2168" s="378"/>
      <c r="C2168" s="315"/>
      <c r="D2168" s="316"/>
      <c r="E2168" s="315"/>
      <c r="F2168" s="315"/>
      <c r="G2168" s="315"/>
      <c r="H2168" s="153"/>
      <c r="I2168" s="12"/>
      <c r="J2168" s="12"/>
      <c r="K2168" s="12"/>
      <c r="L2168" s="379"/>
      <c r="M2168" s="380"/>
      <c r="N2168" s="380"/>
      <c r="O2168" s="12"/>
      <c r="P2168" s="381"/>
      <c r="Q2168" s="12"/>
      <c r="R2168" s="12"/>
      <c r="S2168" s="382"/>
      <c r="T2168" s="383"/>
      <c r="U2168" s="384"/>
      <c r="V2168" s="12"/>
      <c r="W2168" s="12"/>
    </row>
    <row r="2169" spans="1:23" x14ac:dyDescent="0.3">
      <c r="A2169" s="193" t="str">
        <f ca="1"/>
        <v/>
      </c>
      <c r="B2169" s="378"/>
      <c r="C2169" s="315"/>
      <c r="D2169" s="316"/>
      <c r="E2169" s="315"/>
      <c r="F2169" s="315"/>
      <c r="G2169" s="315"/>
      <c r="H2169" s="153"/>
      <c r="I2169" s="12"/>
      <c r="J2169" s="12"/>
      <c r="K2169" s="12"/>
      <c r="L2169" s="379"/>
      <c r="M2169" s="380"/>
      <c r="N2169" s="380"/>
      <c r="O2169" s="12"/>
      <c r="P2169" s="381"/>
      <c r="Q2169" s="12"/>
      <c r="R2169" s="12"/>
      <c r="S2169" s="382"/>
      <c r="T2169" s="383"/>
      <c r="U2169" s="384"/>
      <c r="V2169" s="12"/>
      <c r="W2169" s="12"/>
    </row>
    <row r="2170" spans="1:23" x14ac:dyDescent="0.3">
      <c r="A2170" s="193" t="str">
        <f ca="1"/>
        <v/>
      </c>
      <c r="B2170" s="378"/>
      <c r="C2170" s="315"/>
      <c r="D2170" s="316"/>
      <c r="E2170" s="315"/>
      <c r="F2170" s="315"/>
      <c r="G2170" s="315"/>
      <c r="H2170" s="153"/>
      <c r="I2170" s="12"/>
      <c r="J2170" s="12"/>
      <c r="K2170" s="12"/>
      <c r="L2170" s="379"/>
      <c r="M2170" s="380"/>
      <c r="N2170" s="380"/>
      <c r="O2170" s="12"/>
      <c r="P2170" s="381"/>
      <c r="Q2170" s="12"/>
      <c r="R2170" s="12"/>
      <c r="S2170" s="382"/>
      <c r="T2170" s="383"/>
      <c r="U2170" s="384"/>
      <c r="V2170" s="12"/>
      <c r="W2170" s="12"/>
    </row>
    <row r="2171" spans="1:23" x14ac:dyDescent="0.3">
      <c r="A2171" s="193" t="str">
        <f ca="1"/>
        <v/>
      </c>
      <c r="B2171" s="378"/>
      <c r="C2171" s="315"/>
      <c r="D2171" s="316"/>
      <c r="E2171" s="315"/>
      <c r="F2171" s="315"/>
      <c r="G2171" s="315"/>
      <c r="H2171" s="153"/>
      <c r="I2171" s="12"/>
      <c r="J2171" s="12"/>
      <c r="K2171" s="12"/>
      <c r="L2171" s="379"/>
      <c r="M2171" s="380"/>
      <c r="N2171" s="380"/>
      <c r="O2171" s="12"/>
      <c r="P2171" s="381"/>
      <c r="Q2171" s="12"/>
      <c r="R2171" s="12"/>
      <c r="S2171" s="382"/>
      <c r="T2171" s="383"/>
      <c r="U2171" s="384"/>
      <c r="V2171" s="12"/>
      <c r="W2171" s="12"/>
    </row>
    <row r="2172" spans="1:23" x14ac:dyDescent="0.3">
      <c r="A2172" s="193" t="str">
        <f ca="1"/>
        <v/>
      </c>
      <c r="B2172" s="378"/>
      <c r="C2172" s="315"/>
      <c r="D2172" s="316"/>
      <c r="E2172" s="315"/>
      <c r="F2172" s="315"/>
      <c r="G2172" s="315"/>
      <c r="H2172" s="153"/>
      <c r="I2172" s="12"/>
      <c r="J2172" s="12"/>
      <c r="K2172" s="12"/>
      <c r="L2172" s="379"/>
      <c r="M2172" s="380"/>
      <c r="N2172" s="380"/>
      <c r="O2172" s="12"/>
      <c r="P2172" s="381"/>
      <c r="Q2172" s="12"/>
      <c r="R2172" s="12"/>
      <c r="S2172" s="382"/>
      <c r="T2172" s="383"/>
      <c r="U2172" s="384"/>
      <c r="V2172" s="12"/>
      <c r="W2172" s="12"/>
    </row>
    <row r="2173" spans="1:23" x14ac:dyDescent="0.3">
      <c r="A2173" s="193" t="str">
        <f ca="1"/>
        <v/>
      </c>
      <c r="B2173" s="378"/>
      <c r="C2173" s="315"/>
      <c r="D2173" s="316"/>
      <c r="E2173" s="315"/>
      <c r="F2173" s="315"/>
      <c r="G2173" s="315"/>
      <c r="H2173" s="153"/>
      <c r="I2173" s="12"/>
      <c r="J2173" s="12"/>
      <c r="K2173" s="12"/>
      <c r="L2173" s="379"/>
      <c r="M2173" s="380"/>
      <c r="N2173" s="380"/>
      <c r="O2173" s="12"/>
      <c r="P2173" s="381"/>
      <c r="Q2173" s="12"/>
      <c r="R2173" s="12"/>
      <c r="S2173" s="382"/>
      <c r="T2173" s="383"/>
      <c r="U2173" s="384"/>
      <c r="V2173" s="12"/>
      <c r="W2173" s="12"/>
    </row>
    <row r="2174" spans="1:23" x14ac:dyDescent="0.3">
      <c r="A2174" s="193" t="str">
        <f ca="1"/>
        <v/>
      </c>
      <c r="B2174" s="378"/>
      <c r="C2174" s="315"/>
      <c r="D2174" s="316"/>
      <c r="E2174" s="315"/>
      <c r="F2174" s="315"/>
      <c r="G2174" s="315"/>
      <c r="H2174" s="153"/>
      <c r="I2174" s="12"/>
      <c r="J2174" s="12"/>
      <c r="K2174" s="12"/>
      <c r="L2174" s="379"/>
      <c r="M2174" s="380"/>
      <c r="N2174" s="380"/>
      <c r="O2174" s="12"/>
      <c r="P2174" s="381"/>
      <c r="Q2174" s="12"/>
      <c r="R2174" s="12"/>
      <c r="S2174" s="382"/>
      <c r="T2174" s="383"/>
      <c r="U2174" s="384"/>
      <c r="V2174" s="12"/>
      <c r="W2174" s="12"/>
    </row>
    <row r="2175" spans="1:23" x14ac:dyDescent="0.3">
      <c r="A2175" s="193" t="str">
        <f ca="1"/>
        <v/>
      </c>
      <c r="B2175" s="378"/>
      <c r="C2175" s="315"/>
      <c r="D2175" s="316"/>
      <c r="E2175" s="315"/>
      <c r="F2175" s="315"/>
      <c r="G2175" s="315"/>
      <c r="H2175" s="153"/>
      <c r="I2175" s="12"/>
      <c r="J2175" s="12"/>
      <c r="K2175" s="12"/>
      <c r="L2175" s="379"/>
      <c r="M2175" s="380"/>
      <c r="N2175" s="380"/>
      <c r="O2175" s="12"/>
      <c r="P2175" s="381"/>
      <c r="Q2175" s="12"/>
      <c r="R2175" s="12"/>
      <c r="S2175" s="382"/>
      <c r="T2175" s="383"/>
      <c r="U2175" s="384"/>
      <c r="V2175" s="12"/>
      <c r="W2175" s="12"/>
    </row>
    <row r="2176" spans="1:23" x14ac:dyDescent="0.3">
      <c r="A2176" s="193" t="str">
        <f ca="1"/>
        <v/>
      </c>
      <c r="B2176" s="378"/>
      <c r="C2176" s="315"/>
      <c r="D2176" s="316"/>
      <c r="E2176" s="315"/>
      <c r="F2176" s="315"/>
      <c r="G2176" s="315"/>
      <c r="H2176" s="153"/>
      <c r="I2176" s="12"/>
      <c r="J2176" s="12"/>
      <c r="K2176" s="12"/>
      <c r="L2176" s="379"/>
      <c r="M2176" s="380"/>
      <c r="N2176" s="380"/>
      <c r="O2176" s="12"/>
      <c r="P2176" s="381"/>
      <c r="Q2176" s="12"/>
      <c r="R2176" s="12"/>
      <c r="S2176" s="382"/>
      <c r="T2176" s="383"/>
      <c r="U2176" s="384"/>
      <c r="V2176" s="12"/>
      <c r="W2176" s="12"/>
    </row>
    <row r="2177" spans="1:23" x14ac:dyDescent="0.3">
      <c r="A2177" s="193" t="str">
        <f ca="1"/>
        <v/>
      </c>
      <c r="B2177" s="378"/>
      <c r="C2177" s="315"/>
      <c r="D2177" s="316"/>
      <c r="E2177" s="315"/>
      <c r="F2177" s="315"/>
      <c r="G2177" s="315"/>
      <c r="H2177" s="153"/>
      <c r="I2177" s="12"/>
      <c r="J2177" s="12"/>
      <c r="K2177" s="12"/>
      <c r="L2177" s="379"/>
      <c r="M2177" s="380"/>
      <c r="N2177" s="380"/>
      <c r="O2177" s="12"/>
      <c r="P2177" s="381"/>
      <c r="Q2177" s="12"/>
      <c r="R2177" s="12"/>
      <c r="S2177" s="382"/>
      <c r="T2177" s="383"/>
      <c r="U2177" s="384"/>
      <c r="V2177" s="12"/>
      <c r="W2177" s="12"/>
    </row>
    <row r="2178" spans="1:23" x14ac:dyDescent="0.3">
      <c r="A2178" s="193" t="str">
        <f ca="1"/>
        <v/>
      </c>
      <c r="B2178" s="378"/>
      <c r="C2178" s="315"/>
      <c r="D2178" s="316"/>
      <c r="E2178" s="315"/>
      <c r="F2178" s="315"/>
      <c r="G2178" s="315"/>
      <c r="H2178" s="153"/>
      <c r="I2178" s="12"/>
      <c r="J2178" s="12"/>
      <c r="K2178" s="12"/>
      <c r="L2178" s="379"/>
      <c r="M2178" s="380"/>
      <c r="N2178" s="380"/>
      <c r="O2178" s="12"/>
      <c r="P2178" s="381"/>
      <c r="Q2178" s="12"/>
      <c r="R2178" s="12"/>
      <c r="S2178" s="382"/>
      <c r="T2178" s="383"/>
      <c r="U2178" s="384"/>
      <c r="V2178" s="12"/>
      <c r="W2178" s="12"/>
    </row>
    <row r="2179" spans="1:23" x14ac:dyDescent="0.3">
      <c r="A2179" s="193" t="str">
        <f ca="1"/>
        <v/>
      </c>
      <c r="B2179" s="378"/>
      <c r="C2179" s="315"/>
      <c r="D2179" s="316"/>
      <c r="E2179" s="315"/>
      <c r="F2179" s="315"/>
      <c r="G2179" s="315"/>
      <c r="H2179" s="153"/>
      <c r="I2179" s="12"/>
      <c r="J2179" s="12"/>
      <c r="K2179" s="12"/>
      <c r="L2179" s="379"/>
      <c r="M2179" s="380"/>
      <c r="N2179" s="380"/>
      <c r="O2179" s="12"/>
      <c r="P2179" s="381"/>
      <c r="Q2179" s="12"/>
      <c r="R2179" s="12"/>
      <c r="S2179" s="382"/>
      <c r="T2179" s="383"/>
      <c r="U2179" s="384"/>
      <c r="V2179" s="12"/>
      <c r="W2179" s="12"/>
    </row>
    <row r="2180" spans="1:23" x14ac:dyDescent="0.3">
      <c r="A2180" s="193" t="str">
        <f ca="1"/>
        <v/>
      </c>
      <c r="B2180" s="378"/>
      <c r="C2180" s="315"/>
      <c r="D2180" s="316"/>
      <c r="E2180" s="315"/>
      <c r="F2180" s="315"/>
      <c r="G2180" s="315"/>
      <c r="H2180" s="153"/>
      <c r="I2180" s="12"/>
      <c r="J2180" s="12"/>
      <c r="K2180" s="12"/>
      <c r="L2180" s="379"/>
      <c r="M2180" s="380"/>
      <c r="N2180" s="380"/>
      <c r="O2180" s="12"/>
      <c r="P2180" s="381"/>
      <c r="Q2180" s="12"/>
      <c r="R2180" s="12"/>
      <c r="S2180" s="382"/>
      <c r="T2180" s="383"/>
      <c r="U2180" s="384"/>
      <c r="V2180" s="12"/>
      <c r="W2180" s="12"/>
    </row>
    <row r="2181" spans="1:23" x14ac:dyDescent="0.3">
      <c r="A2181" s="193" t="str">
        <f ca="1"/>
        <v/>
      </c>
      <c r="B2181" s="378"/>
      <c r="C2181" s="315"/>
      <c r="D2181" s="316"/>
      <c r="E2181" s="315"/>
      <c r="F2181" s="315"/>
      <c r="G2181" s="315"/>
      <c r="H2181" s="153"/>
      <c r="I2181" s="12"/>
      <c r="J2181" s="12"/>
      <c r="K2181" s="12"/>
      <c r="L2181" s="379"/>
      <c r="M2181" s="380"/>
      <c r="N2181" s="380"/>
      <c r="O2181" s="12"/>
      <c r="P2181" s="381"/>
      <c r="Q2181" s="12"/>
      <c r="R2181" s="12"/>
      <c r="S2181" s="382"/>
      <c r="T2181" s="383"/>
      <c r="U2181" s="384"/>
      <c r="V2181" s="12"/>
      <c r="W2181" s="12"/>
    </row>
    <row r="2182" spans="1:23" x14ac:dyDescent="0.3">
      <c r="A2182" s="193" t="str">
        <f ca="1"/>
        <v/>
      </c>
      <c r="B2182" s="378"/>
      <c r="C2182" s="315"/>
      <c r="D2182" s="316"/>
      <c r="E2182" s="315"/>
      <c r="F2182" s="315"/>
      <c r="G2182" s="315"/>
      <c r="H2182" s="153"/>
      <c r="I2182" s="12"/>
      <c r="J2182" s="12"/>
      <c r="K2182" s="12"/>
      <c r="L2182" s="379"/>
      <c r="M2182" s="380"/>
      <c r="N2182" s="380"/>
      <c r="O2182" s="12"/>
      <c r="P2182" s="381"/>
      <c r="Q2182" s="12"/>
      <c r="R2182" s="12"/>
      <c r="S2182" s="382"/>
      <c r="T2182" s="383"/>
      <c r="U2182" s="384"/>
      <c r="V2182" s="12"/>
      <c r="W2182" s="12"/>
    </row>
    <row r="2183" spans="1:23" x14ac:dyDescent="0.3">
      <c r="A2183" s="193" t="str">
        <f ca="1"/>
        <v/>
      </c>
      <c r="B2183" s="378"/>
      <c r="C2183" s="315"/>
      <c r="D2183" s="316"/>
      <c r="E2183" s="315"/>
      <c r="F2183" s="315"/>
      <c r="G2183" s="315"/>
      <c r="H2183" s="153"/>
      <c r="I2183" s="12"/>
      <c r="J2183" s="12"/>
      <c r="K2183" s="12"/>
      <c r="L2183" s="379"/>
      <c r="M2183" s="380"/>
      <c r="N2183" s="380"/>
      <c r="O2183" s="12"/>
      <c r="P2183" s="381"/>
      <c r="Q2183" s="12"/>
      <c r="R2183" s="12"/>
      <c r="S2183" s="382"/>
      <c r="T2183" s="383"/>
      <c r="U2183" s="384"/>
      <c r="V2183" s="12"/>
      <c r="W2183" s="12"/>
    </row>
    <row r="2184" spans="1:23" x14ac:dyDescent="0.3">
      <c r="A2184" s="193" t="str">
        <f ca="1"/>
        <v/>
      </c>
      <c r="B2184" s="378"/>
      <c r="C2184" s="315"/>
      <c r="D2184" s="316"/>
      <c r="E2184" s="315"/>
      <c r="F2184" s="315"/>
      <c r="G2184" s="315"/>
      <c r="H2184" s="153"/>
      <c r="I2184" s="12"/>
      <c r="J2184" s="12"/>
      <c r="K2184" s="12"/>
      <c r="L2184" s="379"/>
      <c r="M2184" s="380"/>
      <c r="N2184" s="380"/>
      <c r="O2184" s="12"/>
      <c r="P2184" s="381"/>
      <c r="Q2184" s="12"/>
      <c r="R2184" s="12"/>
      <c r="S2184" s="382"/>
      <c r="T2184" s="383"/>
      <c r="U2184" s="384"/>
      <c r="V2184" s="12"/>
      <c r="W2184" s="12"/>
    </row>
    <row r="2185" spans="1:23" x14ac:dyDescent="0.3">
      <c r="A2185" s="193" t="str">
        <f ca="1"/>
        <v/>
      </c>
      <c r="B2185" s="378"/>
      <c r="C2185" s="315"/>
      <c r="D2185" s="316"/>
      <c r="E2185" s="315"/>
      <c r="F2185" s="315"/>
      <c r="G2185" s="315"/>
      <c r="H2185" s="153"/>
      <c r="I2185" s="12"/>
      <c r="J2185" s="12"/>
      <c r="K2185" s="12"/>
      <c r="L2185" s="379"/>
      <c r="M2185" s="380"/>
      <c r="N2185" s="380"/>
      <c r="O2185" s="12"/>
      <c r="P2185" s="381"/>
      <c r="Q2185" s="12"/>
      <c r="R2185" s="12"/>
      <c r="S2185" s="382"/>
      <c r="T2185" s="383"/>
      <c r="U2185" s="384"/>
      <c r="V2185" s="12"/>
      <c r="W2185" s="12"/>
    </row>
    <row r="2186" spans="1:23" x14ac:dyDescent="0.3">
      <c r="A2186" s="193" t="str">
        <f ca="1"/>
        <v/>
      </c>
      <c r="B2186" s="378"/>
      <c r="C2186" s="315"/>
      <c r="D2186" s="316"/>
      <c r="E2186" s="315"/>
      <c r="F2186" s="315"/>
      <c r="G2186" s="315"/>
      <c r="H2186" s="153"/>
      <c r="I2186" s="12"/>
      <c r="J2186" s="12"/>
      <c r="K2186" s="12"/>
      <c r="L2186" s="379"/>
      <c r="M2186" s="380"/>
      <c r="N2186" s="380"/>
      <c r="O2186" s="12"/>
      <c r="P2186" s="381"/>
      <c r="Q2186" s="12"/>
      <c r="R2186" s="12"/>
      <c r="S2186" s="382"/>
      <c r="T2186" s="383"/>
      <c r="U2186" s="384"/>
      <c r="V2186" s="12"/>
      <c r="W2186" s="12"/>
    </row>
    <row r="2187" spans="1:23" x14ac:dyDescent="0.3">
      <c r="A2187" s="193" t="str">
        <f ca="1"/>
        <v/>
      </c>
      <c r="B2187" s="378"/>
      <c r="C2187" s="315"/>
      <c r="D2187" s="316"/>
      <c r="E2187" s="315"/>
      <c r="F2187" s="315"/>
      <c r="G2187" s="315"/>
      <c r="H2187" s="153"/>
      <c r="I2187" s="12"/>
      <c r="J2187" s="12"/>
      <c r="K2187" s="12"/>
      <c r="L2187" s="379"/>
      <c r="M2187" s="380"/>
      <c r="N2187" s="380"/>
      <c r="O2187" s="12"/>
      <c r="P2187" s="381"/>
      <c r="Q2187" s="12"/>
      <c r="R2187" s="12"/>
      <c r="S2187" s="382"/>
      <c r="T2187" s="383"/>
      <c r="U2187" s="384"/>
      <c r="V2187" s="12"/>
      <c r="W2187" s="12"/>
    </row>
    <row r="2188" spans="1:23" x14ac:dyDescent="0.3">
      <c r="A2188" s="193" t="str">
        <f ca="1"/>
        <v/>
      </c>
      <c r="B2188" s="378"/>
      <c r="C2188" s="315"/>
      <c r="D2188" s="316"/>
      <c r="E2188" s="315"/>
      <c r="F2188" s="315"/>
      <c r="G2188" s="315"/>
      <c r="H2188" s="153"/>
      <c r="I2188" s="12"/>
      <c r="J2188" s="12"/>
      <c r="K2188" s="12"/>
      <c r="L2188" s="379"/>
      <c r="M2188" s="380"/>
      <c r="N2188" s="380"/>
      <c r="O2188" s="12"/>
      <c r="P2188" s="381"/>
      <c r="Q2188" s="12"/>
      <c r="R2188" s="12"/>
      <c r="S2188" s="382"/>
      <c r="T2188" s="383"/>
      <c r="U2188" s="384"/>
      <c r="V2188" s="12"/>
      <c r="W2188" s="12"/>
    </row>
    <row r="2189" spans="1:23" x14ac:dyDescent="0.3">
      <c r="A2189" s="193" t="str">
        <f ca="1"/>
        <v/>
      </c>
      <c r="B2189" s="378"/>
      <c r="C2189" s="315"/>
      <c r="D2189" s="316"/>
      <c r="E2189" s="315"/>
      <c r="F2189" s="315"/>
      <c r="G2189" s="315"/>
      <c r="H2189" s="153"/>
      <c r="I2189" s="12"/>
      <c r="J2189" s="12"/>
      <c r="K2189" s="12"/>
      <c r="L2189" s="379"/>
      <c r="M2189" s="380"/>
      <c r="N2189" s="380"/>
      <c r="O2189" s="12"/>
      <c r="P2189" s="381"/>
      <c r="Q2189" s="12"/>
      <c r="R2189" s="12"/>
      <c r="S2189" s="382"/>
      <c r="T2189" s="383"/>
      <c r="U2189" s="384"/>
      <c r="V2189" s="12"/>
      <c r="W2189" s="12"/>
    </row>
    <row r="2190" spans="1:23" x14ac:dyDescent="0.3">
      <c r="A2190" s="193" t="str">
        <f ca="1"/>
        <v/>
      </c>
      <c r="B2190" s="378"/>
      <c r="C2190" s="315"/>
      <c r="D2190" s="316"/>
      <c r="E2190" s="315"/>
      <c r="F2190" s="315"/>
      <c r="G2190" s="315"/>
      <c r="H2190" s="153"/>
      <c r="I2190" s="12"/>
      <c r="J2190" s="12"/>
      <c r="K2190" s="12"/>
      <c r="L2190" s="379"/>
      <c r="M2190" s="380"/>
      <c r="N2190" s="380"/>
      <c r="O2190" s="12"/>
      <c r="P2190" s="381"/>
      <c r="Q2190" s="12"/>
      <c r="R2190" s="12"/>
      <c r="S2190" s="382"/>
      <c r="T2190" s="383"/>
      <c r="U2190" s="384"/>
      <c r="V2190" s="12"/>
      <c r="W2190" s="12"/>
    </row>
    <row r="2191" spans="1:23" x14ac:dyDescent="0.3">
      <c r="A2191" s="193" t="str">
        <f ca="1"/>
        <v/>
      </c>
      <c r="B2191" s="378"/>
      <c r="C2191" s="315"/>
      <c r="D2191" s="316"/>
      <c r="E2191" s="315"/>
      <c r="F2191" s="315"/>
      <c r="G2191" s="315"/>
      <c r="H2191" s="153"/>
      <c r="I2191" s="12"/>
      <c r="J2191" s="12"/>
      <c r="K2191" s="12"/>
      <c r="L2191" s="379"/>
      <c r="M2191" s="380"/>
      <c r="N2191" s="380"/>
      <c r="O2191" s="12"/>
      <c r="P2191" s="381"/>
      <c r="Q2191" s="12"/>
      <c r="R2191" s="12"/>
      <c r="S2191" s="382"/>
      <c r="T2191" s="383"/>
      <c r="U2191" s="384"/>
      <c r="V2191" s="12"/>
      <c r="W2191" s="12"/>
    </row>
    <row r="2192" spans="1:23" x14ac:dyDescent="0.3">
      <c r="A2192" s="193" t="str">
        <f ca="1"/>
        <v/>
      </c>
      <c r="B2192" s="378"/>
      <c r="C2192" s="315"/>
      <c r="D2192" s="316"/>
      <c r="E2192" s="315"/>
      <c r="F2192" s="315"/>
      <c r="G2192" s="315"/>
      <c r="H2192" s="153"/>
      <c r="I2192" s="12"/>
      <c r="J2192" s="12"/>
      <c r="K2192" s="12"/>
      <c r="L2192" s="379"/>
      <c r="M2192" s="380"/>
      <c r="N2192" s="380"/>
      <c r="O2192" s="12"/>
      <c r="P2192" s="381"/>
      <c r="Q2192" s="12"/>
      <c r="R2192" s="12"/>
      <c r="S2192" s="382"/>
      <c r="T2192" s="383"/>
      <c r="U2192" s="384"/>
      <c r="V2192" s="12"/>
      <c r="W2192" s="12"/>
    </row>
    <row r="2193" spans="1:23" x14ac:dyDescent="0.3">
      <c r="A2193" s="193" t="str">
        <f ca="1"/>
        <v/>
      </c>
      <c r="B2193" s="378"/>
      <c r="C2193" s="315"/>
      <c r="D2193" s="316"/>
      <c r="E2193" s="315"/>
      <c r="F2193" s="315"/>
      <c r="G2193" s="315"/>
      <c r="H2193" s="153"/>
      <c r="I2193" s="12"/>
      <c r="J2193" s="12"/>
      <c r="K2193" s="12"/>
      <c r="L2193" s="379"/>
      <c r="M2193" s="380"/>
      <c r="N2193" s="380"/>
      <c r="O2193" s="12"/>
      <c r="P2193" s="381"/>
      <c r="Q2193" s="12"/>
      <c r="R2193" s="12"/>
      <c r="S2193" s="382"/>
      <c r="T2193" s="383"/>
      <c r="U2193" s="384"/>
      <c r="V2193" s="12"/>
      <c r="W2193" s="12"/>
    </row>
    <row r="2194" spans="1:23" x14ac:dyDescent="0.3">
      <c r="A2194" s="193" t="str">
        <f ca="1"/>
        <v/>
      </c>
      <c r="B2194" s="378"/>
      <c r="C2194" s="315"/>
      <c r="D2194" s="316"/>
      <c r="E2194" s="315"/>
      <c r="F2194" s="315"/>
      <c r="G2194" s="315"/>
      <c r="H2194" s="153"/>
      <c r="I2194" s="12"/>
      <c r="J2194" s="12"/>
      <c r="K2194" s="12"/>
      <c r="L2194" s="379"/>
      <c r="M2194" s="380"/>
      <c r="N2194" s="380"/>
      <c r="O2194" s="12"/>
      <c r="P2194" s="381"/>
      <c r="Q2194" s="12"/>
      <c r="R2194" s="12"/>
      <c r="S2194" s="382"/>
      <c r="T2194" s="383"/>
      <c r="U2194" s="384"/>
      <c r="V2194" s="12"/>
      <c r="W2194" s="12"/>
    </row>
    <row r="2195" spans="1:23" x14ac:dyDescent="0.3">
      <c r="A2195" s="193" t="str">
        <f ca="1"/>
        <v/>
      </c>
      <c r="B2195" s="378"/>
      <c r="C2195" s="315"/>
      <c r="D2195" s="316"/>
      <c r="E2195" s="315"/>
      <c r="F2195" s="315"/>
      <c r="G2195" s="315"/>
      <c r="H2195" s="153"/>
      <c r="I2195" s="12"/>
      <c r="J2195" s="12"/>
      <c r="K2195" s="12"/>
      <c r="L2195" s="379"/>
      <c r="M2195" s="380"/>
      <c r="N2195" s="380"/>
      <c r="O2195" s="12"/>
      <c r="P2195" s="381"/>
      <c r="Q2195" s="12"/>
      <c r="R2195" s="12"/>
      <c r="S2195" s="382"/>
      <c r="T2195" s="383"/>
      <c r="U2195" s="384"/>
      <c r="V2195" s="12"/>
      <c r="W2195" s="12"/>
    </row>
    <row r="2196" spans="1:23" x14ac:dyDescent="0.3">
      <c r="A2196" s="193" t="str">
        <f ca="1"/>
        <v/>
      </c>
      <c r="B2196" s="378"/>
      <c r="C2196" s="315"/>
      <c r="D2196" s="316"/>
      <c r="E2196" s="315"/>
      <c r="F2196" s="315"/>
      <c r="G2196" s="315"/>
      <c r="H2196" s="153"/>
      <c r="I2196" s="12"/>
      <c r="J2196" s="12"/>
      <c r="K2196" s="12"/>
      <c r="L2196" s="379"/>
      <c r="M2196" s="380"/>
      <c r="N2196" s="380"/>
      <c r="O2196" s="12"/>
      <c r="P2196" s="381"/>
      <c r="Q2196" s="12"/>
      <c r="R2196" s="12"/>
      <c r="S2196" s="382"/>
      <c r="T2196" s="383"/>
      <c r="U2196" s="384"/>
      <c r="V2196" s="12"/>
      <c r="W2196" s="12"/>
    </row>
    <row r="2197" spans="1:23" x14ac:dyDescent="0.3">
      <c r="A2197" s="193" t="str">
        <f ca="1"/>
        <v/>
      </c>
      <c r="B2197" s="378"/>
      <c r="C2197" s="315"/>
      <c r="D2197" s="316"/>
      <c r="E2197" s="315"/>
      <c r="F2197" s="315"/>
      <c r="G2197" s="315"/>
      <c r="H2197" s="153"/>
      <c r="I2197" s="12"/>
      <c r="J2197" s="12"/>
      <c r="K2197" s="12"/>
      <c r="L2197" s="379"/>
      <c r="M2197" s="380"/>
      <c r="N2197" s="380"/>
      <c r="O2197" s="12"/>
      <c r="P2197" s="381"/>
      <c r="Q2197" s="12"/>
      <c r="R2197" s="12"/>
      <c r="S2197" s="382"/>
      <c r="T2197" s="383"/>
      <c r="U2197" s="384"/>
      <c r="V2197" s="12"/>
      <c r="W2197" s="12"/>
    </row>
    <row r="2198" spans="1:23" x14ac:dyDescent="0.3">
      <c r="A2198" s="193" t="str">
        <f ca="1"/>
        <v/>
      </c>
      <c r="B2198" s="378"/>
      <c r="C2198" s="315"/>
      <c r="D2198" s="316"/>
      <c r="E2198" s="315"/>
      <c r="F2198" s="315"/>
      <c r="G2198" s="315"/>
      <c r="H2198" s="153"/>
      <c r="I2198" s="12"/>
      <c r="J2198" s="12"/>
      <c r="K2198" s="12"/>
      <c r="L2198" s="379"/>
      <c r="M2198" s="380"/>
      <c r="N2198" s="380"/>
      <c r="O2198" s="12"/>
      <c r="P2198" s="381"/>
      <c r="Q2198" s="12"/>
      <c r="R2198" s="12"/>
      <c r="S2198" s="382"/>
      <c r="T2198" s="383"/>
      <c r="U2198" s="384"/>
      <c r="V2198" s="12"/>
      <c r="W2198" s="12"/>
    </row>
    <row r="2199" spans="1:23" x14ac:dyDescent="0.3">
      <c r="A2199" s="193" t="str">
        <f ca="1"/>
        <v/>
      </c>
      <c r="B2199" s="378"/>
      <c r="C2199" s="315"/>
      <c r="D2199" s="316"/>
      <c r="E2199" s="315"/>
      <c r="F2199" s="315"/>
      <c r="G2199" s="315"/>
      <c r="H2199" s="153"/>
      <c r="I2199" s="12"/>
      <c r="J2199" s="12"/>
      <c r="K2199" s="12"/>
      <c r="L2199" s="379"/>
      <c r="M2199" s="380"/>
      <c r="N2199" s="380"/>
      <c r="O2199" s="12"/>
      <c r="P2199" s="381"/>
      <c r="Q2199" s="12"/>
      <c r="R2199" s="12"/>
      <c r="S2199" s="382"/>
      <c r="T2199" s="383"/>
      <c r="U2199" s="384"/>
      <c r="V2199" s="12"/>
      <c r="W2199" s="12"/>
    </row>
    <row r="2200" spans="1:23" x14ac:dyDescent="0.3">
      <c r="A2200" s="193" t="str">
        <f ca="1"/>
        <v/>
      </c>
      <c r="B2200" s="378"/>
      <c r="C2200" s="315"/>
      <c r="D2200" s="316"/>
      <c r="E2200" s="315"/>
      <c r="F2200" s="315"/>
      <c r="G2200" s="315"/>
      <c r="H2200" s="153"/>
      <c r="I2200" s="12"/>
      <c r="J2200" s="12"/>
      <c r="K2200" s="12"/>
      <c r="L2200" s="379"/>
      <c r="M2200" s="380"/>
      <c r="N2200" s="380"/>
      <c r="O2200" s="12"/>
      <c r="P2200" s="381"/>
      <c r="Q2200" s="12"/>
      <c r="R2200" s="12"/>
      <c r="S2200" s="382"/>
      <c r="T2200" s="383"/>
      <c r="U2200" s="384"/>
      <c r="V2200" s="12"/>
      <c r="W2200" s="12"/>
    </row>
    <row r="2201" spans="1:23" x14ac:dyDescent="0.3">
      <c r="A2201" s="193" t="str">
        <f ca="1"/>
        <v/>
      </c>
      <c r="B2201" s="378"/>
      <c r="C2201" s="315"/>
      <c r="D2201" s="316"/>
      <c r="E2201" s="315"/>
      <c r="F2201" s="315"/>
      <c r="G2201" s="315"/>
      <c r="H2201" s="153"/>
      <c r="I2201" s="12"/>
      <c r="J2201" s="12"/>
      <c r="K2201" s="12"/>
      <c r="L2201" s="379"/>
      <c r="M2201" s="380"/>
      <c r="N2201" s="380"/>
      <c r="O2201" s="12"/>
      <c r="P2201" s="381"/>
      <c r="Q2201" s="12"/>
      <c r="R2201" s="12"/>
      <c r="S2201" s="382"/>
      <c r="T2201" s="383"/>
      <c r="U2201" s="384"/>
      <c r="V2201" s="12"/>
      <c r="W2201" s="12"/>
    </row>
    <row r="2202" spans="1:23" x14ac:dyDescent="0.3">
      <c r="A2202" s="193" t="str">
        <f ca="1"/>
        <v/>
      </c>
      <c r="B2202" s="378"/>
      <c r="C2202" s="315"/>
      <c r="D2202" s="316"/>
      <c r="E2202" s="315"/>
      <c r="F2202" s="315"/>
      <c r="G2202" s="315"/>
      <c r="H2202" s="153"/>
      <c r="I2202" s="12"/>
      <c r="J2202" s="12"/>
      <c r="K2202" s="12"/>
      <c r="L2202" s="379"/>
      <c r="M2202" s="380"/>
      <c r="N2202" s="380"/>
      <c r="O2202" s="12"/>
      <c r="P2202" s="381"/>
      <c r="Q2202" s="12"/>
      <c r="R2202" s="12"/>
      <c r="S2202" s="382"/>
      <c r="T2202" s="383"/>
      <c r="U2202" s="384"/>
      <c r="V2202" s="12"/>
      <c r="W2202" s="12"/>
    </row>
    <row r="2203" spans="1:23" x14ac:dyDescent="0.3">
      <c r="A2203" s="193" t="str">
        <f ca="1"/>
        <v/>
      </c>
      <c r="B2203" s="378"/>
      <c r="C2203" s="315"/>
      <c r="D2203" s="316"/>
      <c r="E2203" s="315"/>
      <c r="F2203" s="315"/>
      <c r="G2203" s="315"/>
      <c r="H2203" s="153"/>
      <c r="I2203" s="12"/>
      <c r="J2203" s="12"/>
      <c r="K2203" s="12"/>
      <c r="L2203" s="379"/>
      <c r="M2203" s="380"/>
      <c r="N2203" s="380"/>
      <c r="O2203" s="12"/>
      <c r="P2203" s="381"/>
      <c r="Q2203" s="12"/>
      <c r="R2203" s="12"/>
      <c r="S2203" s="382"/>
      <c r="T2203" s="383"/>
      <c r="U2203" s="384"/>
      <c r="V2203" s="12"/>
      <c r="W2203" s="12"/>
    </row>
    <row r="2204" spans="1:23" x14ac:dyDescent="0.3">
      <c r="A2204" s="193" t="str">
        <f ca="1"/>
        <v/>
      </c>
      <c r="B2204" s="378"/>
      <c r="C2204" s="315"/>
      <c r="D2204" s="316"/>
      <c r="E2204" s="315"/>
      <c r="F2204" s="315"/>
      <c r="G2204" s="315"/>
      <c r="H2204" s="153"/>
      <c r="I2204" s="12"/>
      <c r="J2204" s="12"/>
      <c r="K2204" s="12"/>
      <c r="L2204" s="379"/>
      <c r="M2204" s="380"/>
      <c r="N2204" s="380"/>
      <c r="O2204" s="12"/>
      <c r="P2204" s="381"/>
      <c r="Q2204" s="12"/>
      <c r="R2204" s="12"/>
      <c r="S2204" s="382"/>
      <c r="T2204" s="383"/>
      <c r="U2204" s="384"/>
      <c r="V2204" s="12"/>
      <c r="W2204" s="12"/>
    </row>
    <row r="2205" spans="1:23" x14ac:dyDescent="0.3">
      <c r="A2205" s="193" t="str">
        <f ca="1"/>
        <v/>
      </c>
      <c r="B2205" s="378"/>
      <c r="C2205" s="315"/>
      <c r="D2205" s="316"/>
      <c r="E2205" s="315"/>
      <c r="F2205" s="315"/>
      <c r="G2205" s="315"/>
      <c r="H2205" s="153"/>
      <c r="I2205" s="12"/>
      <c r="J2205" s="12"/>
      <c r="K2205" s="12"/>
      <c r="L2205" s="379"/>
      <c r="M2205" s="380"/>
      <c r="N2205" s="380"/>
      <c r="O2205" s="12"/>
      <c r="P2205" s="381"/>
      <c r="Q2205" s="12"/>
      <c r="R2205" s="12"/>
      <c r="S2205" s="382"/>
      <c r="T2205" s="383"/>
      <c r="U2205" s="384"/>
      <c r="V2205" s="12"/>
      <c r="W2205" s="12"/>
    </row>
    <row r="2206" spans="1:23" x14ac:dyDescent="0.3">
      <c r="A2206" s="193" t="str">
        <f ca="1"/>
        <v/>
      </c>
      <c r="B2206" s="378"/>
      <c r="C2206" s="315"/>
      <c r="D2206" s="316"/>
      <c r="E2206" s="315"/>
      <c r="F2206" s="315"/>
      <c r="G2206" s="315"/>
      <c r="H2206" s="153"/>
      <c r="I2206" s="12"/>
      <c r="J2206" s="12"/>
      <c r="K2206" s="12"/>
      <c r="L2206" s="379"/>
      <c r="M2206" s="380"/>
      <c r="N2206" s="380"/>
      <c r="O2206" s="12"/>
      <c r="P2206" s="381"/>
      <c r="Q2206" s="12"/>
      <c r="R2206" s="12"/>
      <c r="S2206" s="382"/>
      <c r="T2206" s="383"/>
      <c r="U2206" s="384"/>
      <c r="V2206" s="12"/>
      <c r="W2206" s="12"/>
    </row>
    <row r="2207" spans="1:23" x14ac:dyDescent="0.3">
      <c r="A2207" s="193" t="str">
        <f ca="1"/>
        <v/>
      </c>
      <c r="B2207" s="378"/>
      <c r="C2207" s="315"/>
      <c r="D2207" s="316"/>
      <c r="E2207" s="315"/>
      <c r="F2207" s="315"/>
      <c r="G2207" s="315"/>
      <c r="H2207" s="153"/>
      <c r="I2207" s="12"/>
      <c r="J2207" s="12"/>
      <c r="K2207" s="12"/>
      <c r="L2207" s="379"/>
      <c r="M2207" s="380"/>
      <c r="N2207" s="380"/>
      <c r="O2207" s="12"/>
      <c r="P2207" s="381"/>
      <c r="Q2207" s="12"/>
      <c r="R2207" s="12"/>
      <c r="S2207" s="382"/>
      <c r="T2207" s="383"/>
      <c r="U2207" s="384"/>
      <c r="V2207" s="12"/>
      <c r="W2207" s="12"/>
    </row>
    <row r="2208" spans="1:23" x14ac:dyDescent="0.3">
      <c r="A2208" s="193" t="str">
        <f ca="1"/>
        <v/>
      </c>
      <c r="B2208" s="378"/>
      <c r="C2208" s="315"/>
      <c r="D2208" s="316"/>
      <c r="E2208" s="315"/>
      <c r="F2208" s="315"/>
      <c r="G2208" s="315"/>
      <c r="H2208" s="153"/>
      <c r="I2208" s="12"/>
      <c r="J2208" s="12"/>
      <c r="K2208" s="12"/>
      <c r="L2208" s="379"/>
      <c r="M2208" s="380"/>
      <c r="N2208" s="380"/>
      <c r="O2208" s="12"/>
      <c r="P2208" s="381"/>
      <c r="Q2208" s="12"/>
      <c r="R2208" s="12"/>
      <c r="S2208" s="382"/>
      <c r="T2208" s="383"/>
      <c r="U2208" s="384"/>
      <c r="V2208" s="12"/>
      <c r="W2208" s="12"/>
    </row>
    <row r="2209" spans="1:23" x14ac:dyDescent="0.3">
      <c r="A2209" s="193" t="str">
        <f ca="1"/>
        <v/>
      </c>
      <c r="B2209" s="378"/>
      <c r="C2209" s="315"/>
      <c r="D2209" s="316"/>
      <c r="E2209" s="315"/>
      <c r="F2209" s="315"/>
      <c r="G2209" s="315"/>
      <c r="H2209" s="153"/>
      <c r="I2209" s="12"/>
      <c r="J2209" s="12"/>
      <c r="K2209" s="12"/>
      <c r="L2209" s="379"/>
      <c r="M2209" s="380"/>
      <c r="N2209" s="380"/>
      <c r="O2209" s="12"/>
      <c r="P2209" s="381"/>
      <c r="Q2209" s="12"/>
      <c r="R2209" s="12"/>
      <c r="S2209" s="382"/>
      <c r="T2209" s="383"/>
      <c r="U2209" s="384"/>
      <c r="V2209" s="12"/>
      <c r="W2209" s="12"/>
    </row>
    <row r="2210" spans="1:23" x14ac:dyDescent="0.3">
      <c r="A2210" s="193" t="str">
        <f ca="1"/>
        <v/>
      </c>
      <c r="B2210" s="378"/>
      <c r="C2210" s="315"/>
      <c r="D2210" s="316"/>
      <c r="E2210" s="315"/>
      <c r="F2210" s="315"/>
      <c r="G2210" s="315"/>
      <c r="H2210" s="153"/>
      <c r="I2210" s="12"/>
      <c r="J2210" s="12"/>
      <c r="K2210" s="12"/>
      <c r="L2210" s="379"/>
      <c r="M2210" s="380"/>
      <c r="N2210" s="380"/>
      <c r="O2210" s="12"/>
      <c r="P2210" s="381"/>
      <c r="Q2210" s="12"/>
      <c r="R2210" s="12"/>
      <c r="S2210" s="382"/>
      <c r="T2210" s="383"/>
      <c r="U2210" s="384"/>
      <c r="V2210" s="12"/>
      <c r="W2210" s="12"/>
    </row>
    <row r="2211" spans="1:23" x14ac:dyDescent="0.3">
      <c r="A2211" s="193" t="str">
        <f ca="1"/>
        <v/>
      </c>
      <c r="B2211" s="378"/>
      <c r="C2211" s="315"/>
      <c r="D2211" s="316"/>
      <c r="E2211" s="315"/>
      <c r="F2211" s="315"/>
      <c r="G2211" s="315"/>
      <c r="H2211" s="153"/>
      <c r="I2211" s="12"/>
      <c r="J2211" s="12"/>
      <c r="K2211" s="12"/>
      <c r="L2211" s="379"/>
      <c r="M2211" s="380"/>
      <c r="N2211" s="380"/>
      <c r="O2211" s="12"/>
      <c r="P2211" s="381"/>
      <c r="Q2211" s="12"/>
      <c r="R2211" s="12"/>
      <c r="S2211" s="382"/>
      <c r="T2211" s="383"/>
      <c r="U2211" s="384"/>
      <c r="V2211" s="12"/>
      <c r="W2211" s="12"/>
    </row>
    <row r="2212" spans="1:23" x14ac:dyDescent="0.3">
      <c r="A2212" s="193" t="str">
        <f ca="1"/>
        <v/>
      </c>
      <c r="B2212" s="378"/>
      <c r="C2212" s="315"/>
      <c r="D2212" s="316"/>
      <c r="E2212" s="315"/>
      <c r="F2212" s="315"/>
      <c r="G2212" s="315"/>
      <c r="H2212" s="153"/>
      <c r="I2212" s="12"/>
      <c r="J2212" s="12"/>
      <c r="K2212" s="12"/>
      <c r="L2212" s="379"/>
      <c r="M2212" s="380"/>
      <c r="N2212" s="380"/>
      <c r="O2212" s="12"/>
      <c r="P2212" s="381"/>
      <c r="Q2212" s="12"/>
      <c r="R2212" s="12"/>
      <c r="S2212" s="382"/>
      <c r="T2212" s="383"/>
      <c r="U2212" s="384"/>
      <c r="V2212" s="12"/>
      <c r="W2212" s="12"/>
    </row>
    <row r="2213" spans="1:23" x14ac:dyDescent="0.3">
      <c r="A2213" s="193" t="str">
        <f ca="1"/>
        <v/>
      </c>
      <c r="B2213" s="378"/>
      <c r="C2213" s="315"/>
      <c r="D2213" s="316"/>
      <c r="E2213" s="315"/>
      <c r="F2213" s="315"/>
      <c r="G2213" s="315"/>
      <c r="H2213" s="153"/>
      <c r="I2213" s="12"/>
      <c r="J2213" s="12"/>
      <c r="K2213" s="12"/>
      <c r="L2213" s="379"/>
      <c r="M2213" s="380"/>
      <c r="N2213" s="380"/>
      <c r="O2213" s="12"/>
      <c r="P2213" s="381"/>
      <c r="Q2213" s="12"/>
      <c r="R2213" s="12"/>
      <c r="S2213" s="382"/>
      <c r="T2213" s="383"/>
      <c r="U2213" s="384"/>
      <c r="V2213" s="12"/>
      <c r="W2213" s="12"/>
    </row>
    <row r="2214" spans="1:23" x14ac:dyDescent="0.3">
      <c r="A2214" s="193" t="str">
        <f ca="1"/>
        <v/>
      </c>
      <c r="B2214" s="378"/>
      <c r="C2214" s="315"/>
      <c r="D2214" s="316"/>
      <c r="E2214" s="315"/>
      <c r="F2214" s="315"/>
      <c r="G2214" s="315"/>
      <c r="H2214" s="153"/>
      <c r="I2214" s="12"/>
      <c r="J2214" s="12"/>
      <c r="K2214" s="12"/>
      <c r="L2214" s="379"/>
      <c r="M2214" s="380"/>
      <c r="N2214" s="380"/>
      <c r="O2214" s="12"/>
      <c r="P2214" s="381"/>
      <c r="Q2214" s="12"/>
      <c r="R2214" s="12"/>
      <c r="S2214" s="382"/>
      <c r="T2214" s="383"/>
      <c r="U2214" s="384"/>
      <c r="V2214" s="12"/>
      <c r="W2214" s="12"/>
    </row>
    <row r="2215" spans="1:23" x14ac:dyDescent="0.3">
      <c r="A2215" s="193" t="str">
        <f ca="1"/>
        <v/>
      </c>
      <c r="B2215" s="378"/>
      <c r="C2215" s="315"/>
      <c r="D2215" s="316"/>
      <c r="E2215" s="315"/>
      <c r="F2215" s="315"/>
      <c r="G2215" s="315"/>
      <c r="H2215" s="153"/>
      <c r="I2215" s="12"/>
      <c r="J2215" s="12"/>
      <c r="K2215" s="12"/>
      <c r="L2215" s="379"/>
      <c r="M2215" s="380"/>
      <c r="N2215" s="380"/>
      <c r="O2215" s="12"/>
      <c r="P2215" s="381"/>
      <c r="Q2215" s="12"/>
      <c r="R2215" s="12"/>
      <c r="S2215" s="382"/>
      <c r="T2215" s="383"/>
      <c r="U2215" s="384"/>
      <c r="V2215" s="12"/>
      <c r="W2215" s="12"/>
    </row>
    <row r="2216" spans="1:23" x14ac:dyDescent="0.3">
      <c r="A2216" s="193" t="str">
        <f ca="1"/>
        <v/>
      </c>
      <c r="B2216" s="378"/>
      <c r="C2216" s="315"/>
      <c r="D2216" s="316"/>
      <c r="E2216" s="315"/>
      <c r="F2216" s="315"/>
      <c r="G2216" s="315"/>
      <c r="H2216" s="153"/>
      <c r="I2216" s="12"/>
      <c r="J2216" s="12"/>
      <c r="K2216" s="12"/>
      <c r="L2216" s="379"/>
      <c r="M2216" s="380"/>
      <c r="N2216" s="380"/>
      <c r="O2216" s="12"/>
      <c r="P2216" s="381"/>
      <c r="Q2216" s="12"/>
      <c r="R2216" s="12"/>
      <c r="S2216" s="382"/>
      <c r="T2216" s="383"/>
      <c r="U2216" s="384"/>
      <c r="V2216" s="12"/>
      <c r="W2216" s="12"/>
    </row>
    <row r="2217" spans="1:23" x14ac:dyDescent="0.3">
      <c r="A2217" s="193" t="str">
        <f ca="1"/>
        <v/>
      </c>
      <c r="B2217" s="378"/>
      <c r="C2217" s="315"/>
      <c r="D2217" s="316"/>
      <c r="E2217" s="315"/>
      <c r="F2217" s="315"/>
      <c r="G2217" s="315"/>
      <c r="H2217" s="153"/>
      <c r="I2217" s="12"/>
      <c r="J2217" s="12"/>
      <c r="K2217" s="12"/>
      <c r="L2217" s="379"/>
      <c r="M2217" s="380"/>
      <c r="N2217" s="380"/>
      <c r="O2217" s="12"/>
      <c r="P2217" s="381"/>
      <c r="Q2217" s="12"/>
      <c r="R2217" s="12"/>
      <c r="S2217" s="382"/>
      <c r="T2217" s="383"/>
      <c r="U2217" s="384"/>
      <c r="V2217" s="12"/>
      <c r="W2217" s="12"/>
    </row>
    <row r="2218" spans="1:23" x14ac:dyDescent="0.3">
      <c r="A2218" s="193" t="str">
        <f ca="1"/>
        <v/>
      </c>
      <c r="B2218" s="378"/>
      <c r="C2218" s="315"/>
      <c r="D2218" s="316"/>
      <c r="E2218" s="315"/>
      <c r="F2218" s="315"/>
      <c r="G2218" s="315"/>
      <c r="H2218" s="153"/>
      <c r="I2218" s="12"/>
      <c r="J2218" s="12"/>
      <c r="K2218" s="12"/>
      <c r="L2218" s="379"/>
      <c r="M2218" s="380"/>
      <c r="N2218" s="380"/>
      <c r="O2218" s="12"/>
      <c r="P2218" s="381"/>
      <c r="Q2218" s="12"/>
      <c r="R2218" s="12"/>
      <c r="S2218" s="382"/>
      <c r="T2218" s="383"/>
      <c r="U2218" s="384"/>
      <c r="V2218" s="12"/>
      <c r="W2218" s="12"/>
    </row>
    <row r="2219" spans="1:23" x14ac:dyDescent="0.3">
      <c r="A2219" s="193" t="str">
        <f ca="1"/>
        <v/>
      </c>
      <c r="B2219" s="378"/>
      <c r="C2219" s="315"/>
      <c r="D2219" s="316"/>
      <c r="E2219" s="315"/>
      <c r="F2219" s="315"/>
      <c r="G2219" s="315"/>
      <c r="H2219" s="153"/>
      <c r="I2219" s="12"/>
      <c r="J2219" s="12"/>
      <c r="K2219" s="12"/>
      <c r="L2219" s="379"/>
      <c r="M2219" s="380"/>
      <c r="N2219" s="380"/>
      <c r="O2219" s="12"/>
      <c r="P2219" s="381"/>
      <c r="Q2219" s="12"/>
      <c r="R2219" s="12"/>
      <c r="S2219" s="382"/>
      <c r="T2219" s="383"/>
      <c r="U2219" s="384"/>
      <c r="V2219" s="12"/>
      <c r="W2219" s="12"/>
    </row>
    <row r="2220" spans="1:23" x14ac:dyDescent="0.3">
      <c r="A2220" s="193" t="str">
        <f ca="1"/>
        <v/>
      </c>
      <c r="B2220" s="378"/>
      <c r="C2220" s="315"/>
      <c r="D2220" s="316"/>
      <c r="E2220" s="315"/>
      <c r="F2220" s="315"/>
      <c r="G2220" s="315"/>
      <c r="H2220" s="153"/>
      <c r="I2220" s="12"/>
      <c r="J2220" s="12"/>
      <c r="K2220" s="12"/>
      <c r="L2220" s="379"/>
      <c r="M2220" s="380"/>
      <c r="N2220" s="380"/>
      <c r="O2220" s="12"/>
      <c r="P2220" s="381"/>
      <c r="Q2220" s="12"/>
      <c r="R2220" s="12"/>
      <c r="S2220" s="382"/>
      <c r="T2220" s="383"/>
      <c r="U2220" s="384"/>
      <c r="V2220" s="12"/>
      <c r="W2220" s="12"/>
    </row>
    <row r="2221" spans="1:23" x14ac:dyDescent="0.3">
      <c r="A2221" s="193" t="str">
        <f ca="1"/>
        <v/>
      </c>
      <c r="B2221" s="378"/>
      <c r="C2221" s="315"/>
      <c r="D2221" s="316"/>
      <c r="E2221" s="315"/>
      <c r="F2221" s="315"/>
      <c r="G2221" s="315"/>
      <c r="H2221" s="153"/>
      <c r="I2221" s="12"/>
      <c r="J2221" s="12"/>
      <c r="K2221" s="12"/>
      <c r="L2221" s="379"/>
      <c r="M2221" s="380"/>
      <c r="N2221" s="380"/>
      <c r="O2221" s="12"/>
      <c r="P2221" s="381"/>
      <c r="Q2221" s="12"/>
      <c r="R2221" s="12"/>
      <c r="S2221" s="382"/>
      <c r="T2221" s="383"/>
      <c r="U2221" s="384"/>
      <c r="V2221" s="12"/>
      <c r="W2221" s="12"/>
    </row>
    <row r="2222" spans="1:23" x14ac:dyDescent="0.3">
      <c r="A2222" s="193" t="str">
        <f ca="1"/>
        <v/>
      </c>
      <c r="B2222" s="378"/>
      <c r="C2222" s="315"/>
      <c r="D2222" s="316"/>
      <c r="E2222" s="315"/>
      <c r="F2222" s="315"/>
      <c r="G2222" s="315"/>
      <c r="H2222" s="153"/>
      <c r="I2222" s="12"/>
      <c r="J2222" s="12"/>
      <c r="K2222" s="12"/>
      <c r="L2222" s="379"/>
      <c r="M2222" s="380"/>
      <c r="N2222" s="380"/>
      <c r="O2222" s="12"/>
      <c r="P2222" s="381"/>
      <c r="Q2222" s="12"/>
      <c r="R2222" s="12"/>
      <c r="S2222" s="382"/>
      <c r="T2222" s="383"/>
      <c r="U2222" s="384"/>
      <c r="V2222" s="12"/>
      <c r="W2222" s="12"/>
    </row>
    <row r="2223" spans="1:23" x14ac:dyDescent="0.3">
      <c r="A2223" s="193" t="str">
        <f ca="1"/>
        <v/>
      </c>
      <c r="B2223" s="378"/>
      <c r="C2223" s="315"/>
      <c r="D2223" s="316"/>
      <c r="E2223" s="315"/>
      <c r="F2223" s="315"/>
      <c r="G2223" s="315"/>
      <c r="H2223" s="153"/>
      <c r="I2223" s="12"/>
      <c r="J2223" s="12"/>
      <c r="K2223" s="12"/>
      <c r="L2223" s="379"/>
      <c r="M2223" s="380"/>
      <c r="N2223" s="380"/>
      <c r="O2223" s="12"/>
      <c r="P2223" s="381"/>
      <c r="Q2223" s="12"/>
      <c r="R2223" s="12"/>
      <c r="S2223" s="382"/>
      <c r="T2223" s="383"/>
      <c r="U2223" s="384"/>
      <c r="V2223" s="12"/>
      <c r="W2223" s="12"/>
    </row>
    <row r="2224" spans="1:23" x14ac:dyDescent="0.3">
      <c r="A2224" s="193" t="str">
        <f ca="1"/>
        <v/>
      </c>
      <c r="B2224" s="378"/>
      <c r="C2224" s="315"/>
      <c r="D2224" s="316"/>
      <c r="E2224" s="315"/>
      <c r="F2224" s="315"/>
      <c r="G2224" s="315"/>
      <c r="H2224" s="153"/>
      <c r="I2224" s="12"/>
      <c r="J2224" s="12"/>
      <c r="K2224" s="12"/>
      <c r="L2224" s="379"/>
      <c r="M2224" s="380"/>
      <c r="N2224" s="380"/>
      <c r="O2224" s="12"/>
      <c r="P2224" s="381"/>
      <c r="Q2224" s="12"/>
      <c r="R2224" s="12"/>
      <c r="S2224" s="382"/>
      <c r="T2224" s="383"/>
      <c r="U2224" s="384"/>
      <c r="V2224" s="12"/>
      <c r="W2224" s="12"/>
    </row>
    <row r="2225" spans="1:23" x14ac:dyDescent="0.3">
      <c r="A2225" s="193" t="str">
        <f ca="1"/>
        <v/>
      </c>
      <c r="B2225" s="378"/>
      <c r="C2225" s="315"/>
      <c r="D2225" s="316"/>
      <c r="E2225" s="315"/>
      <c r="F2225" s="315"/>
      <c r="G2225" s="315"/>
      <c r="H2225" s="153"/>
      <c r="I2225" s="12"/>
      <c r="J2225" s="12"/>
      <c r="K2225" s="12"/>
      <c r="L2225" s="379"/>
      <c r="M2225" s="380"/>
      <c r="N2225" s="380"/>
      <c r="O2225" s="12"/>
      <c r="P2225" s="381"/>
      <c r="Q2225" s="12"/>
      <c r="R2225" s="12"/>
      <c r="S2225" s="382"/>
      <c r="T2225" s="383"/>
      <c r="U2225" s="384"/>
      <c r="V2225" s="12"/>
      <c r="W2225" s="12"/>
    </row>
    <row r="2226" spans="1:23" x14ac:dyDescent="0.3">
      <c r="A2226" s="193" t="str">
        <f ca="1"/>
        <v/>
      </c>
      <c r="B2226" s="378"/>
      <c r="C2226" s="315"/>
      <c r="D2226" s="316"/>
      <c r="E2226" s="315"/>
      <c r="F2226" s="315"/>
      <c r="G2226" s="315"/>
      <c r="H2226" s="153"/>
      <c r="I2226" s="12"/>
      <c r="J2226" s="12"/>
      <c r="K2226" s="12"/>
      <c r="L2226" s="379"/>
      <c r="M2226" s="380"/>
      <c r="N2226" s="380"/>
      <c r="O2226" s="12"/>
      <c r="P2226" s="381"/>
      <c r="Q2226" s="12"/>
      <c r="R2226" s="12"/>
      <c r="S2226" s="382"/>
      <c r="T2226" s="383"/>
      <c r="U2226" s="384"/>
      <c r="V2226" s="12"/>
      <c r="W2226" s="12"/>
    </row>
    <row r="2227" spans="1:23" x14ac:dyDescent="0.3">
      <c r="A2227" s="193" t="str">
        <f ca="1"/>
        <v/>
      </c>
      <c r="B2227" s="378"/>
      <c r="C2227" s="315"/>
      <c r="D2227" s="316"/>
      <c r="E2227" s="315"/>
      <c r="F2227" s="315"/>
      <c r="G2227" s="315"/>
      <c r="H2227" s="153"/>
      <c r="I2227" s="12"/>
      <c r="J2227" s="12"/>
      <c r="K2227" s="12"/>
      <c r="L2227" s="379"/>
      <c r="M2227" s="380"/>
      <c r="N2227" s="380"/>
      <c r="O2227" s="12"/>
      <c r="P2227" s="381"/>
      <c r="Q2227" s="12"/>
      <c r="R2227" s="12"/>
      <c r="S2227" s="382"/>
      <c r="T2227" s="383"/>
      <c r="U2227" s="384"/>
      <c r="V2227" s="12"/>
      <c r="W2227" s="12"/>
    </row>
    <row r="2228" spans="1:23" x14ac:dyDescent="0.3">
      <c r="A2228" s="193" t="str">
        <f ca="1"/>
        <v/>
      </c>
      <c r="B2228" s="378"/>
      <c r="C2228" s="315"/>
      <c r="D2228" s="316"/>
      <c r="E2228" s="315"/>
      <c r="F2228" s="315"/>
      <c r="G2228" s="315"/>
      <c r="H2228" s="153"/>
      <c r="I2228" s="12"/>
      <c r="J2228" s="12"/>
      <c r="K2228" s="12"/>
      <c r="L2228" s="379"/>
      <c r="M2228" s="380"/>
      <c r="N2228" s="380"/>
      <c r="O2228" s="12"/>
      <c r="P2228" s="381"/>
      <c r="Q2228" s="12"/>
      <c r="R2228" s="12"/>
      <c r="S2228" s="382"/>
      <c r="T2228" s="383"/>
      <c r="U2228" s="384"/>
      <c r="V2228" s="12"/>
      <c r="W2228" s="12"/>
    </row>
    <row r="2229" spans="1:23" x14ac:dyDescent="0.3">
      <c r="A2229" s="193" t="str">
        <f ca="1"/>
        <v/>
      </c>
      <c r="B2229" s="378"/>
      <c r="C2229" s="315"/>
      <c r="D2229" s="316"/>
      <c r="E2229" s="315"/>
      <c r="F2229" s="315"/>
      <c r="G2229" s="315"/>
      <c r="H2229" s="153"/>
      <c r="I2229" s="12"/>
      <c r="J2229" s="12"/>
      <c r="K2229" s="12"/>
      <c r="L2229" s="379"/>
      <c r="M2229" s="380"/>
      <c r="N2229" s="380"/>
      <c r="O2229" s="12"/>
      <c r="P2229" s="381"/>
      <c r="Q2229" s="12"/>
      <c r="R2229" s="12"/>
      <c r="S2229" s="382"/>
      <c r="T2229" s="383"/>
      <c r="U2229" s="384"/>
      <c r="V2229" s="12"/>
      <c r="W2229" s="12"/>
    </row>
    <row r="2230" spans="1:23" x14ac:dyDescent="0.3">
      <c r="A2230" s="193" t="str">
        <f ca="1"/>
        <v/>
      </c>
      <c r="B2230" s="378"/>
      <c r="C2230" s="315"/>
      <c r="D2230" s="316"/>
      <c r="E2230" s="315"/>
      <c r="F2230" s="315"/>
      <c r="G2230" s="315"/>
      <c r="H2230" s="153"/>
      <c r="I2230" s="12"/>
      <c r="J2230" s="12"/>
      <c r="K2230" s="12"/>
      <c r="L2230" s="379"/>
      <c r="M2230" s="380"/>
      <c r="N2230" s="380"/>
      <c r="O2230" s="12"/>
      <c r="P2230" s="381"/>
      <c r="Q2230" s="12"/>
      <c r="R2230" s="12"/>
      <c r="S2230" s="382"/>
      <c r="T2230" s="383"/>
      <c r="U2230" s="384"/>
      <c r="V2230" s="12"/>
      <c r="W2230" s="12"/>
    </row>
    <row r="2231" spans="1:23" x14ac:dyDescent="0.3">
      <c r="A2231" s="193" t="str">
        <f ca="1"/>
        <v/>
      </c>
      <c r="B2231" s="378"/>
      <c r="C2231" s="315"/>
      <c r="D2231" s="316"/>
      <c r="E2231" s="315"/>
      <c r="F2231" s="315"/>
      <c r="G2231" s="315"/>
      <c r="H2231" s="153"/>
      <c r="I2231" s="12"/>
      <c r="J2231" s="12"/>
      <c r="K2231" s="12"/>
      <c r="L2231" s="379"/>
      <c r="M2231" s="380"/>
      <c r="N2231" s="380"/>
      <c r="O2231" s="12"/>
      <c r="P2231" s="381"/>
      <c r="Q2231" s="12"/>
      <c r="R2231" s="12"/>
      <c r="S2231" s="382"/>
      <c r="T2231" s="383"/>
      <c r="U2231" s="384"/>
      <c r="V2231" s="12"/>
      <c r="W2231" s="12"/>
    </row>
    <row r="2232" spans="1:23" x14ac:dyDescent="0.3">
      <c r="A2232" s="193" t="str">
        <f ca="1"/>
        <v/>
      </c>
      <c r="B2232" s="378"/>
      <c r="C2232" s="315"/>
      <c r="D2232" s="316"/>
      <c r="E2232" s="315"/>
      <c r="F2232" s="315"/>
      <c r="G2232" s="315"/>
      <c r="H2232" s="153"/>
      <c r="I2232" s="12"/>
      <c r="J2232" s="12"/>
      <c r="K2232" s="12"/>
      <c r="L2232" s="379"/>
      <c r="M2232" s="380"/>
      <c r="N2232" s="380"/>
      <c r="O2232" s="12"/>
      <c r="P2232" s="381"/>
      <c r="Q2232" s="12"/>
      <c r="R2232" s="12"/>
      <c r="S2232" s="382"/>
      <c r="T2232" s="383"/>
      <c r="U2232" s="384"/>
      <c r="V2232" s="12"/>
      <c r="W2232" s="12"/>
    </row>
    <row r="2233" spans="1:23" x14ac:dyDescent="0.3">
      <c r="A2233" s="193" t="str">
        <f ca="1"/>
        <v/>
      </c>
      <c r="B2233" s="378"/>
      <c r="C2233" s="315"/>
      <c r="D2233" s="316"/>
      <c r="E2233" s="315"/>
      <c r="F2233" s="315"/>
      <c r="G2233" s="315"/>
      <c r="H2233" s="153"/>
      <c r="I2233" s="12"/>
      <c r="J2233" s="12"/>
      <c r="K2233" s="12"/>
      <c r="L2233" s="379"/>
      <c r="M2233" s="380"/>
      <c r="N2233" s="380"/>
      <c r="O2233" s="12"/>
      <c r="P2233" s="381"/>
      <c r="Q2233" s="12"/>
      <c r="R2233" s="12"/>
      <c r="S2233" s="382"/>
      <c r="T2233" s="383"/>
      <c r="U2233" s="384"/>
      <c r="V2233" s="12"/>
      <c r="W2233" s="12"/>
    </row>
    <row r="2234" spans="1:23" x14ac:dyDescent="0.3">
      <c r="A2234" s="193" t="str">
        <f ca="1"/>
        <v/>
      </c>
      <c r="B2234" s="378"/>
      <c r="C2234" s="315"/>
      <c r="D2234" s="316"/>
      <c r="E2234" s="315"/>
      <c r="F2234" s="315"/>
      <c r="G2234" s="315"/>
      <c r="H2234" s="153"/>
      <c r="I2234" s="12"/>
      <c r="J2234" s="12"/>
      <c r="K2234" s="12"/>
      <c r="L2234" s="379"/>
      <c r="M2234" s="380"/>
      <c r="N2234" s="380"/>
      <c r="O2234" s="12"/>
      <c r="P2234" s="381"/>
      <c r="Q2234" s="12"/>
      <c r="R2234" s="12"/>
      <c r="S2234" s="382"/>
      <c r="T2234" s="383"/>
      <c r="U2234" s="384"/>
      <c r="V2234" s="12"/>
      <c r="W2234" s="12"/>
    </row>
    <row r="2235" spans="1:23" x14ac:dyDescent="0.3">
      <c r="A2235" s="193" t="str">
        <f ca="1"/>
        <v/>
      </c>
      <c r="B2235" s="378"/>
      <c r="C2235" s="315"/>
      <c r="D2235" s="316"/>
      <c r="E2235" s="315"/>
      <c r="F2235" s="315"/>
      <c r="G2235" s="315"/>
      <c r="H2235" s="153"/>
      <c r="I2235" s="12"/>
      <c r="J2235" s="12"/>
      <c r="K2235" s="12"/>
      <c r="L2235" s="379"/>
      <c r="M2235" s="380"/>
      <c r="N2235" s="380"/>
      <c r="O2235" s="12"/>
      <c r="P2235" s="381"/>
      <c r="Q2235" s="12"/>
      <c r="R2235" s="12"/>
      <c r="S2235" s="382"/>
      <c r="T2235" s="383"/>
      <c r="U2235" s="384"/>
      <c r="V2235" s="12"/>
      <c r="W2235" s="12"/>
    </row>
    <row r="2236" spans="1:23" x14ac:dyDescent="0.3">
      <c r="A2236" s="193" t="str">
        <f ca="1"/>
        <v/>
      </c>
      <c r="B2236" s="378"/>
      <c r="C2236" s="315"/>
      <c r="D2236" s="316"/>
      <c r="E2236" s="315"/>
      <c r="F2236" s="315"/>
      <c r="G2236" s="315"/>
      <c r="H2236" s="153"/>
      <c r="I2236" s="12"/>
      <c r="J2236" s="12"/>
      <c r="K2236" s="12"/>
      <c r="L2236" s="379"/>
      <c r="M2236" s="380"/>
      <c r="N2236" s="380"/>
      <c r="O2236" s="12"/>
      <c r="P2236" s="381"/>
      <c r="Q2236" s="12"/>
      <c r="R2236" s="12"/>
      <c r="S2236" s="382"/>
      <c r="T2236" s="383"/>
      <c r="U2236" s="384"/>
      <c r="V2236" s="12"/>
      <c r="W2236" s="12"/>
    </row>
    <row r="2237" spans="1:23" x14ac:dyDescent="0.3">
      <c r="A2237" s="193" t="str">
        <f ca="1"/>
        <v/>
      </c>
      <c r="B2237" s="378"/>
      <c r="C2237" s="315"/>
      <c r="D2237" s="316"/>
      <c r="E2237" s="315"/>
      <c r="F2237" s="315"/>
      <c r="G2237" s="315"/>
      <c r="H2237" s="153"/>
      <c r="I2237" s="12"/>
      <c r="J2237" s="12"/>
      <c r="K2237" s="12"/>
      <c r="L2237" s="379"/>
      <c r="M2237" s="380"/>
      <c r="N2237" s="380"/>
      <c r="O2237" s="12"/>
      <c r="P2237" s="381"/>
      <c r="Q2237" s="12"/>
      <c r="R2237" s="12"/>
      <c r="S2237" s="382"/>
      <c r="T2237" s="383"/>
      <c r="U2237" s="384"/>
      <c r="V2237" s="12"/>
      <c r="W2237" s="12"/>
    </row>
    <row r="2238" spans="1:23" x14ac:dyDescent="0.3">
      <c r="A2238" s="193" t="str">
        <f ca="1"/>
        <v/>
      </c>
      <c r="B2238" s="378"/>
      <c r="C2238" s="315"/>
      <c r="D2238" s="316"/>
      <c r="E2238" s="315"/>
      <c r="F2238" s="315"/>
      <c r="G2238" s="315"/>
      <c r="H2238" s="153"/>
      <c r="I2238" s="12"/>
      <c r="J2238" s="12"/>
      <c r="K2238" s="12"/>
      <c r="L2238" s="379"/>
      <c r="M2238" s="380"/>
      <c r="N2238" s="380"/>
      <c r="O2238" s="12"/>
      <c r="P2238" s="381"/>
      <c r="Q2238" s="12"/>
      <c r="R2238" s="12"/>
      <c r="S2238" s="382"/>
      <c r="T2238" s="383"/>
      <c r="U2238" s="384"/>
      <c r="V2238" s="12"/>
      <c r="W2238" s="12"/>
    </row>
    <row r="2239" spans="1:23" x14ac:dyDescent="0.3">
      <c r="A2239" s="193" t="str">
        <f ca="1"/>
        <v/>
      </c>
      <c r="B2239" s="378"/>
      <c r="C2239" s="315"/>
      <c r="D2239" s="316"/>
      <c r="E2239" s="315"/>
      <c r="F2239" s="315"/>
      <c r="G2239" s="315"/>
      <c r="H2239" s="153"/>
      <c r="I2239" s="12"/>
      <c r="J2239" s="12"/>
      <c r="K2239" s="12"/>
      <c r="L2239" s="379"/>
      <c r="M2239" s="380"/>
      <c r="N2239" s="380"/>
      <c r="O2239" s="12"/>
      <c r="P2239" s="381"/>
      <c r="Q2239" s="12"/>
      <c r="R2239" s="12"/>
      <c r="S2239" s="382"/>
      <c r="T2239" s="383"/>
      <c r="U2239" s="384"/>
      <c r="V2239" s="12"/>
      <c r="W2239" s="12"/>
    </row>
    <row r="2240" spans="1:23" x14ac:dyDescent="0.3">
      <c r="A2240" s="193" t="str">
        <f ca="1"/>
        <v/>
      </c>
      <c r="B2240" s="378"/>
      <c r="C2240" s="315"/>
      <c r="D2240" s="316"/>
      <c r="E2240" s="315"/>
      <c r="F2240" s="315"/>
      <c r="G2240" s="315"/>
      <c r="H2240" s="153"/>
      <c r="I2240" s="12"/>
      <c r="J2240" s="12"/>
      <c r="K2240" s="12"/>
      <c r="L2240" s="379"/>
      <c r="M2240" s="380"/>
      <c r="N2240" s="380"/>
      <c r="O2240" s="12"/>
      <c r="P2240" s="381"/>
      <c r="Q2240" s="12"/>
      <c r="R2240" s="12"/>
      <c r="S2240" s="382"/>
      <c r="T2240" s="383"/>
      <c r="U2240" s="384"/>
      <c r="V2240" s="12"/>
      <c r="W2240" s="12"/>
    </row>
    <row r="2241" spans="1:23" x14ac:dyDescent="0.3">
      <c r="A2241" s="193" t="str">
        <f ca="1"/>
        <v/>
      </c>
      <c r="B2241" s="378"/>
      <c r="C2241" s="315"/>
      <c r="D2241" s="316"/>
      <c r="E2241" s="315"/>
      <c r="F2241" s="315"/>
      <c r="G2241" s="315"/>
      <c r="H2241" s="153"/>
      <c r="I2241" s="12"/>
      <c r="J2241" s="12"/>
      <c r="K2241" s="12"/>
      <c r="L2241" s="379"/>
      <c r="M2241" s="380"/>
      <c r="N2241" s="380"/>
      <c r="O2241" s="12"/>
      <c r="P2241" s="381"/>
      <c r="Q2241" s="12"/>
      <c r="R2241" s="12"/>
      <c r="S2241" s="382"/>
      <c r="T2241" s="383"/>
      <c r="U2241" s="384"/>
      <c r="V2241" s="12"/>
      <c r="W2241" s="12"/>
    </row>
    <row r="2242" spans="1:23" x14ac:dyDescent="0.3">
      <c r="A2242" s="193" t="str">
        <f ca="1"/>
        <v/>
      </c>
      <c r="B2242" s="378"/>
      <c r="C2242" s="315"/>
      <c r="D2242" s="316"/>
      <c r="E2242" s="315"/>
      <c r="F2242" s="315"/>
      <c r="G2242" s="315"/>
      <c r="H2242" s="153"/>
      <c r="I2242" s="12"/>
      <c r="J2242" s="12"/>
      <c r="K2242" s="12"/>
      <c r="L2242" s="379"/>
      <c r="M2242" s="380"/>
      <c r="N2242" s="380"/>
      <c r="O2242" s="12"/>
      <c r="P2242" s="381"/>
      <c r="Q2242" s="12"/>
      <c r="R2242" s="12"/>
      <c r="S2242" s="382"/>
      <c r="T2242" s="383"/>
      <c r="U2242" s="384"/>
      <c r="V2242" s="12"/>
      <c r="W2242" s="12"/>
    </row>
    <row r="2243" spans="1:23" x14ac:dyDescent="0.3">
      <c r="A2243" s="193" t="str">
        <f ca="1"/>
        <v/>
      </c>
      <c r="B2243" s="378"/>
      <c r="C2243" s="315"/>
      <c r="D2243" s="316"/>
      <c r="E2243" s="315"/>
      <c r="F2243" s="315"/>
      <c r="G2243" s="315"/>
      <c r="H2243" s="153"/>
      <c r="I2243" s="12"/>
      <c r="J2243" s="12"/>
      <c r="K2243" s="12"/>
      <c r="L2243" s="379"/>
      <c r="M2243" s="380"/>
      <c r="N2243" s="380"/>
      <c r="O2243" s="12"/>
      <c r="P2243" s="381"/>
      <c r="Q2243" s="12"/>
      <c r="R2243" s="12"/>
      <c r="S2243" s="382"/>
      <c r="T2243" s="383"/>
      <c r="U2243" s="384"/>
      <c r="V2243" s="12"/>
      <c r="W2243" s="12"/>
    </row>
    <row r="2244" spans="1:23" x14ac:dyDescent="0.3">
      <c r="A2244" s="193" t="str">
        <f ca="1"/>
        <v/>
      </c>
      <c r="B2244" s="378"/>
      <c r="C2244" s="315"/>
      <c r="D2244" s="316"/>
      <c r="E2244" s="315"/>
      <c r="F2244" s="315"/>
      <c r="G2244" s="315"/>
      <c r="H2244" s="153"/>
      <c r="I2244" s="12"/>
      <c r="J2244" s="12"/>
      <c r="K2244" s="12"/>
      <c r="L2244" s="379"/>
      <c r="M2244" s="380"/>
      <c r="N2244" s="380"/>
      <c r="O2244" s="12"/>
      <c r="P2244" s="381"/>
      <c r="Q2244" s="12"/>
      <c r="R2244" s="12"/>
      <c r="S2244" s="382"/>
      <c r="T2244" s="383"/>
      <c r="U2244" s="384"/>
      <c r="V2244" s="12"/>
      <c r="W2244" s="12"/>
    </row>
    <row r="2245" spans="1:23" x14ac:dyDescent="0.3">
      <c r="A2245" s="193" t="str">
        <f ca="1"/>
        <v/>
      </c>
      <c r="B2245" s="378"/>
      <c r="C2245" s="315"/>
      <c r="D2245" s="316"/>
      <c r="E2245" s="315"/>
      <c r="F2245" s="315"/>
      <c r="G2245" s="315"/>
      <c r="H2245" s="153"/>
      <c r="I2245" s="12"/>
      <c r="J2245" s="12"/>
      <c r="K2245" s="12"/>
      <c r="L2245" s="379"/>
      <c r="M2245" s="380"/>
      <c r="N2245" s="380"/>
      <c r="O2245" s="12"/>
      <c r="P2245" s="381"/>
      <c r="Q2245" s="12"/>
      <c r="R2245" s="12"/>
      <c r="S2245" s="382"/>
      <c r="T2245" s="383"/>
      <c r="U2245" s="384"/>
      <c r="V2245" s="12"/>
      <c r="W2245" s="12"/>
    </row>
    <row r="2246" spans="1:23" x14ac:dyDescent="0.3">
      <c r="A2246" s="193" t="str">
        <f ca="1"/>
        <v/>
      </c>
      <c r="B2246" s="378"/>
      <c r="C2246" s="315"/>
      <c r="D2246" s="316"/>
      <c r="E2246" s="315"/>
      <c r="F2246" s="315"/>
      <c r="G2246" s="315"/>
      <c r="H2246" s="153"/>
      <c r="I2246" s="12"/>
      <c r="J2246" s="12"/>
      <c r="K2246" s="12"/>
      <c r="L2246" s="379"/>
      <c r="M2246" s="380"/>
      <c r="N2246" s="380"/>
      <c r="O2246" s="12"/>
      <c r="P2246" s="381"/>
      <c r="Q2246" s="12"/>
      <c r="R2246" s="12"/>
      <c r="S2246" s="382"/>
      <c r="T2246" s="383"/>
      <c r="U2246" s="384"/>
      <c r="V2246" s="12"/>
      <c r="W2246" s="12"/>
    </row>
    <row r="2247" spans="1:23" x14ac:dyDescent="0.3">
      <c r="A2247" s="193" t="str">
        <f ca="1"/>
        <v/>
      </c>
      <c r="B2247" s="378"/>
      <c r="C2247" s="315"/>
      <c r="D2247" s="316"/>
      <c r="E2247" s="315"/>
      <c r="F2247" s="315"/>
      <c r="G2247" s="315"/>
      <c r="H2247" s="153"/>
      <c r="I2247" s="12"/>
      <c r="J2247" s="12"/>
      <c r="K2247" s="12"/>
      <c r="L2247" s="379"/>
      <c r="M2247" s="380"/>
      <c r="N2247" s="380"/>
      <c r="O2247" s="12"/>
      <c r="P2247" s="381"/>
      <c r="Q2247" s="12"/>
      <c r="R2247" s="12"/>
      <c r="S2247" s="382"/>
      <c r="T2247" s="383"/>
      <c r="U2247" s="384"/>
      <c r="V2247" s="12"/>
      <c r="W2247" s="12"/>
    </row>
    <row r="2248" spans="1:23" x14ac:dyDescent="0.3">
      <c r="A2248" s="193" t="str">
        <f ca="1"/>
        <v/>
      </c>
      <c r="B2248" s="378"/>
      <c r="C2248" s="315"/>
      <c r="D2248" s="316"/>
      <c r="E2248" s="315"/>
      <c r="F2248" s="315"/>
      <c r="G2248" s="315"/>
      <c r="H2248" s="153"/>
      <c r="I2248" s="12"/>
      <c r="J2248" s="12"/>
      <c r="K2248" s="12"/>
      <c r="L2248" s="379"/>
      <c r="M2248" s="380"/>
      <c r="N2248" s="380"/>
      <c r="O2248" s="12"/>
      <c r="P2248" s="381"/>
      <c r="Q2248" s="12"/>
      <c r="R2248" s="12"/>
      <c r="S2248" s="382"/>
      <c r="T2248" s="383"/>
      <c r="U2248" s="384"/>
      <c r="V2248" s="12"/>
      <c r="W2248" s="12"/>
    </row>
    <row r="2249" spans="1:23" x14ac:dyDescent="0.3">
      <c r="A2249" s="193" t="str">
        <f ca="1"/>
        <v/>
      </c>
      <c r="B2249" s="378"/>
      <c r="C2249" s="315"/>
      <c r="D2249" s="316"/>
      <c r="E2249" s="315"/>
      <c r="F2249" s="315"/>
      <c r="G2249" s="315"/>
      <c r="H2249" s="153"/>
      <c r="I2249" s="12"/>
      <c r="J2249" s="12"/>
      <c r="K2249" s="12"/>
      <c r="L2249" s="379"/>
      <c r="M2249" s="380"/>
      <c r="N2249" s="380"/>
      <c r="O2249" s="12"/>
      <c r="P2249" s="381"/>
      <c r="Q2249" s="12"/>
      <c r="R2249" s="12"/>
      <c r="S2249" s="382"/>
      <c r="T2249" s="383"/>
      <c r="U2249" s="384"/>
      <c r="V2249" s="12"/>
      <c r="W2249" s="12"/>
    </row>
    <row r="2250" spans="1:23" x14ac:dyDescent="0.3">
      <c r="A2250" s="193" t="str">
        <f ca="1"/>
        <v/>
      </c>
      <c r="B2250" s="378"/>
      <c r="C2250" s="315"/>
      <c r="D2250" s="316"/>
      <c r="E2250" s="315"/>
      <c r="F2250" s="315"/>
      <c r="G2250" s="315"/>
      <c r="H2250" s="153"/>
      <c r="I2250" s="12"/>
      <c r="J2250" s="12"/>
      <c r="K2250" s="12"/>
      <c r="L2250" s="379"/>
      <c r="M2250" s="380"/>
      <c r="N2250" s="380"/>
      <c r="O2250" s="12"/>
      <c r="P2250" s="381"/>
      <c r="Q2250" s="12"/>
      <c r="R2250" s="12"/>
      <c r="S2250" s="382"/>
      <c r="T2250" s="383"/>
      <c r="U2250" s="384"/>
      <c r="V2250" s="12"/>
      <c r="W2250" s="12"/>
    </row>
    <row r="2251" spans="1:23" x14ac:dyDescent="0.3">
      <c r="A2251" s="193" t="str">
        <f ca="1"/>
        <v/>
      </c>
      <c r="B2251" s="378"/>
      <c r="C2251" s="315"/>
      <c r="D2251" s="316"/>
      <c r="E2251" s="315"/>
      <c r="F2251" s="315"/>
      <c r="G2251" s="315"/>
      <c r="H2251" s="153"/>
      <c r="I2251" s="12"/>
      <c r="J2251" s="12"/>
      <c r="K2251" s="12"/>
      <c r="L2251" s="379"/>
      <c r="M2251" s="380"/>
      <c r="N2251" s="380"/>
      <c r="O2251" s="12"/>
      <c r="P2251" s="381"/>
      <c r="Q2251" s="12"/>
      <c r="R2251" s="12"/>
      <c r="S2251" s="382"/>
      <c r="T2251" s="383"/>
      <c r="U2251" s="384"/>
      <c r="V2251" s="12"/>
      <c r="W2251" s="12"/>
    </row>
    <row r="2252" spans="1:23" x14ac:dyDescent="0.3">
      <c r="A2252" s="193" t="str">
        <f ca="1"/>
        <v/>
      </c>
      <c r="B2252" s="378"/>
      <c r="C2252" s="315"/>
      <c r="D2252" s="316"/>
      <c r="E2252" s="315"/>
      <c r="F2252" s="315"/>
      <c r="G2252" s="315"/>
      <c r="H2252" s="153"/>
      <c r="I2252" s="12"/>
      <c r="J2252" s="12"/>
      <c r="K2252" s="12"/>
      <c r="L2252" s="379"/>
      <c r="M2252" s="380"/>
      <c r="N2252" s="380"/>
      <c r="O2252" s="12"/>
      <c r="P2252" s="381"/>
      <c r="Q2252" s="12"/>
      <c r="R2252" s="12"/>
      <c r="S2252" s="382"/>
      <c r="T2252" s="383"/>
      <c r="U2252" s="384"/>
      <c r="V2252" s="12"/>
      <c r="W2252" s="12"/>
    </row>
    <row r="2253" spans="1:23" x14ac:dyDescent="0.3">
      <c r="A2253" s="193" t="str">
        <f ca="1"/>
        <v/>
      </c>
      <c r="B2253" s="378"/>
      <c r="C2253" s="315"/>
      <c r="D2253" s="316"/>
      <c r="E2253" s="315"/>
      <c r="F2253" s="315"/>
      <c r="G2253" s="315"/>
      <c r="H2253" s="153"/>
      <c r="I2253" s="12"/>
      <c r="J2253" s="12"/>
      <c r="K2253" s="12"/>
      <c r="L2253" s="379"/>
      <c r="M2253" s="380"/>
      <c r="N2253" s="380"/>
      <c r="O2253" s="12"/>
      <c r="P2253" s="381"/>
      <c r="Q2253" s="12"/>
      <c r="R2253" s="12"/>
      <c r="S2253" s="382"/>
      <c r="T2253" s="383"/>
      <c r="U2253" s="384"/>
      <c r="V2253" s="12"/>
      <c r="W2253" s="12"/>
    </row>
    <row r="2254" spans="1:23" x14ac:dyDescent="0.3">
      <c r="A2254" s="193" t="str">
        <f ca="1"/>
        <v/>
      </c>
      <c r="B2254" s="378"/>
      <c r="C2254" s="315"/>
      <c r="D2254" s="316"/>
      <c r="E2254" s="315"/>
      <c r="F2254" s="315"/>
      <c r="G2254" s="315"/>
      <c r="H2254" s="153"/>
      <c r="I2254" s="12"/>
      <c r="J2254" s="12"/>
      <c r="K2254" s="12"/>
      <c r="L2254" s="379"/>
      <c r="M2254" s="380"/>
      <c r="N2254" s="380"/>
      <c r="O2254" s="12"/>
      <c r="P2254" s="381"/>
      <c r="Q2254" s="12"/>
      <c r="R2254" s="12"/>
      <c r="S2254" s="382"/>
      <c r="T2254" s="383"/>
      <c r="U2254" s="384"/>
      <c r="V2254" s="12"/>
      <c r="W2254" s="12"/>
    </row>
    <row r="2255" spans="1:23" x14ac:dyDescent="0.3">
      <c r="A2255" s="193" t="str">
        <f ca="1"/>
        <v/>
      </c>
      <c r="B2255" s="378"/>
      <c r="C2255" s="315"/>
      <c r="D2255" s="316"/>
      <c r="E2255" s="315"/>
      <c r="F2255" s="315"/>
      <c r="G2255" s="315"/>
      <c r="H2255" s="153"/>
      <c r="I2255" s="12"/>
      <c r="J2255" s="12"/>
      <c r="K2255" s="12"/>
      <c r="L2255" s="379"/>
      <c r="M2255" s="380"/>
      <c r="N2255" s="380"/>
      <c r="O2255" s="12"/>
      <c r="P2255" s="381"/>
      <c r="Q2255" s="12"/>
      <c r="R2255" s="12"/>
      <c r="S2255" s="382"/>
      <c r="T2255" s="383"/>
      <c r="U2255" s="384"/>
      <c r="V2255" s="12"/>
      <c r="W2255" s="12"/>
    </row>
    <row r="2256" spans="1:23" x14ac:dyDescent="0.3">
      <c r="A2256" s="193" t="str">
        <f ca="1"/>
        <v/>
      </c>
      <c r="B2256" s="378"/>
      <c r="C2256" s="315"/>
      <c r="D2256" s="316"/>
      <c r="E2256" s="315"/>
      <c r="F2256" s="315"/>
      <c r="G2256" s="315"/>
      <c r="H2256" s="153"/>
      <c r="I2256" s="12"/>
      <c r="J2256" s="12"/>
      <c r="K2256" s="12"/>
      <c r="L2256" s="379"/>
      <c r="M2256" s="380"/>
      <c r="N2256" s="380"/>
      <c r="O2256" s="12"/>
      <c r="P2256" s="381"/>
      <c r="Q2256" s="12"/>
      <c r="R2256" s="12"/>
      <c r="S2256" s="382"/>
      <c r="T2256" s="383"/>
      <c r="U2256" s="384"/>
      <c r="V2256" s="12"/>
      <c r="W2256" s="12"/>
    </row>
    <row r="2257" spans="1:23" x14ac:dyDescent="0.3">
      <c r="A2257" s="193" t="str">
        <f ca="1"/>
        <v/>
      </c>
      <c r="B2257" s="378"/>
      <c r="C2257" s="315"/>
      <c r="D2257" s="316"/>
      <c r="E2257" s="315"/>
      <c r="F2257" s="315"/>
      <c r="G2257" s="315"/>
      <c r="H2257" s="153"/>
      <c r="I2257" s="12"/>
      <c r="J2257" s="12"/>
      <c r="K2257" s="12"/>
      <c r="L2257" s="379"/>
      <c r="M2257" s="380"/>
      <c r="N2257" s="380"/>
      <c r="O2257" s="12"/>
      <c r="P2257" s="381"/>
      <c r="Q2257" s="12"/>
      <c r="R2257" s="12"/>
      <c r="S2257" s="382"/>
      <c r="T2257" s="383"/>
      <c r="U2257" s="384"/>
      <c r="V2257" s="12"/>
      <c r="W2257" s="12"/>
    </row>
    <row r="2258" spans="1:23" x14ac:dyDescent="0.3">
      <c r="A2258" s="193" t="str">
        <f ca="1"/>
        <v/>
      </c>
      <c r="B2258" s="378"/>
      <c r="C2258" s="315"/>
      <c r="D2258" s="316"/>
      <c r="E2258" s="315"/>
      <c r="F2258" s="315"/>
      <c r="G2258" s="315"/>
      <c r="H2258" s="153"/>
      <c r="I2258" s="12"/>
      <c r="J2258" s="12"/>
      <c r="K2258" s="12"/>
      <c r="L2258" s="379"/>
      <c r="M2258" s="380"/>
      <c r="N2258" s="380"/>
      <c r="O2258" s="12"/>
      <c r="P2258" s="381"/>
      <c r="Q2258" s="12"/>
      <c r="R2258" s="12"/>
      <c r="S2258" s="382"/>
      <c r="T2258" s="383"/>
      <c r="U2258" s="384"/>
      <c r="V2258" s="12"/>
      <c r="W2258" s="12"/>
    </row>
    <row r="2259" spans="1:23" x14ac:dyDescent="0.3">
      <c r="A2259" s="193" t="str">
        <f ca="1"/>
        <v/>
      </c>
      <c r="B2259" s="378"/>
      <c r="C2259" s="315"/>
      <c r="D2259" s="316"/>
      <c r="E2259" s="315"/>
      <c r="F2259" s="315"/>
      <c r="G2259" s="315"/>
      <c r="H2259" s="153"/>
      <c r="I2259" s="12"/>
      <c r="J2259" s="12"/>
      <c r="K2259" s="12"/>
      <c r="L2259" s="379"/>
      <c r="M2259" s="380"/>
      <c r="N2259" s="380"/>
      <c r="O2259" s="12"/>
      <c r="P2259" s="381"/>
      <c r="Q2259" s="12"/>
      <c r="R2259" s="12"/>
      <c r="S2259" s="382"/>
      <c r="T2259" s="383"/>
      <c r="U2259" s="384"/>
      <c r="V2259" s="12"/>
      <c r="W2259" s="12"/>
    </row>
    <row r="2260" spans="1:23" x14ac:dyDescent="0.3">
      <c r="A2260" s="193" t="str">
        <f ca="1"/>
        <v/>
      </c>
      <c r="B2260" s="378"/>
      <c r="C2260" s="315"/>
      <c r="D2260" s="316"/>
      <c r="E2260" s="315"/>
      <c r="F2260" s="315"/>
      <c r="G2260" s="315"/>
      <c r="H2260" s="153"/>
      <c r="I2260" s="12"/>
      <c r="J2260" s="12"/>
      <c r="K2260" s="12"/>
      <c r="L2260" s="379"/>
      <c r="M2260" s="380"/>
      <c r="N2260" s="380"/>
      <c r="O2260" s="12"/>
      <c r="P2260" s="381"/>
      <c r="Q2260" s="12"/>
      <c r="R2260" s="12"/>
      <c r="S2260" s="382"/>
      <c r="T2260" s="383"/>
      <c r="U2260" s="384"/>
      <c r="V2260" s="12"/>
      <c r="W2260" s="12"/>
    </row>
    <row r="2261" spans="1:23" x14ac:dyDescent="0.3">
      <c r="A2261" s="193" t="str">
        <f ca="1"/>
        <v/>
      </c>
      <c r="B2261" s="378"/>
      <c r="C2261" s="315"/>
      <c r="D2261" s="316"/>
      <c r="E2261" s="315"/>
      <c r="F2261" s="315"/>
      <c r="G2261" s="315"/>
      <c r="H2261" s="153"/>
      <c r="I2261" s="12"/>
      <c r="J2261" s="12"/>
      <c r="K2261" s="12"/>
      <c r="L2261" s="379"/>
      <c r="M2261" s="380"/>
      <c r="N2261" s="380"/>
      <c r="O2261" s="12"/>
      <c r="P2261" s="381"/>
      <c r="Q2261" s="12"/>
      <c r="R2261" s="12"/>
      <c r="S2261" s="382"/>
      <c r="T2261" s="383"/>
      <c r="U2261" s="384"/>
      <c r="V2261" s="12"/>
      <c r="W2261" s="12"/>
    </row>
    <row r="2262" spans="1:23" x14ac:dyDescent="0.3">
      <c r="A2262" s="193" t="str">
        <f ca="1"/>
        <v/>
      </c>
      <c r="B2262" s="378"/>
      <c r="C2262" s="315"/>
      <c r="D2262" s="316"/>
      <c r="E2262" s="315"/>
      <c r="F2262" s="315"/>
      <c r="G2262" s="315"/>
      <c r="H2262" s="153"/>
      <c r="I2262" s="12"/>
      <c r="J2262" s="12"/>
      <c r="K2262" s="12"/>
      <c r="L2262" s="379"/>
      <c r="M2262" s="380"/>
      <c r="N2262" s="380"/>
      <c r="O2262" s="12"/>
      <c r="P2262" s="381"/>
      <c r="Q2262" s="12"/>
      <c r="R2262" s="12"/>
      <c r="S2262" s="382"/>
      <c r="T2262" s="383"/>
      <c r="U2262" s="384"/>
      <c r="V2262" s="12"/>
      <c r="W2262" s="12"/>
    </row>
    <row r="2263" spans="1:23" x14ac:dyDescent="0.3">
      <c r="A2263" s="193" t="str">
        <f ca="1"/>
        <v/>
      </c>
      <c r="B2263" s="378"/>
      <c r="C2263" s="315"/>
      <c r="D2263" s="316"/>
      <c r="E2263" s="315"/>
      <c r="F2263" s="315"/>
      <c r="G2263" s="315"/>
      <c r="H2263" s="153"/>
      <c r="I2263" s="12"/>
      <c r="J2263" s="12"/>
      <c r="K2263" s="12"/>
      <c r="L2263" s="379"/>
      <c r="M2263" s="380"/>
      <c r="N2263" s="380"/>
      <c r="O2263" s="12"/>
      <c r="P2263" s="381"/>
      <c r="Q2263" s="12"/>
      <c r="R2263" s="12"/>
      <c r="S2263" s="382"/>
      <c r="T2263" s="383"/>
      <c r="U2263" s="384"/>
      <c r="V2263" s="12"/>
      <c r="W2263" s="12"/>
    </row>
    <row r="2264" spans="1:23" x14ac:dyDescent="0.3">
      <c r="A2264" s="193" t="str">
        <f ca="1"/>
        <v/>
      </c>
      <c r="B2264" s="378"/>
      <c r="C2264" s="315"/>
      <c r="D2264" s="316"/>
      <c r="E2264" s="315"/>
      <c r="F2264" s="315"/>
      <c r="G2264" s="315"/>
      <c r="H2264" s="153"/>
      <c r="I2264" s="12"/>
      <c r="J2264" s="12"/>
      <c r="K2264" s="12"/>
      <c r="L2264" s="379"/>
      <c r="M2264" s="380"/>
      <c r="N2264" s="380"/>
      <c r="O2264" s="12"/>
      <c r="P2264" s="381"/>
      <c r="Q2264" s="12"/>
      <c r="R2264" s="12"/>
      <c r="S2264" s="382"/>
      <c r="T2264" s="383"/>
      <c r="U2264" s="384"/>
      <c r="V2264" s="12"/>
      <c r="W2264" s="12"/>
    </row>
    <row r="2265" spans="1:23" x14ac:dyDescent="0.3">
      <c r="A2265" s="193" t="str">
        <f ca="1"/>
        <v/>
      </c>
      <c r="B2265" s="378"/>
      <c r="C2265" s="315"/>
      <c r="D2265" s="316"/>
      <c r="E2265" s="315"/>
      <c r="F2265" s="315"/>
      <c r="G2265" s="315"/>
      <c r="H2265" s="153"/>
      <c r="I2265" s="12"/>
      <c r="J2265" s="12"/>
      <c r="K2265" s="12"/>
      <c r="L2265" s="379"/>
      <c r="M2265" s="380"/>
      <c r="N2265" s="380"/>
      <c r="O2265" s="12"/>
      <c r="P2265" s="381"/>
      <c r="Q2265" s="12"/>
      <c r="R2265" s="12"/>
      <c r="S2265" s="382"/>
      <c r="T2265" s="383"/>
      <c r="U2265" s="384"/>
      <c r="V2265" s="12"/>
      <c r="W2265" s="12"/>
    </row>
    <row r="2266" spans="1:23" x14ac:dyDescent="0.3">
      <c r="A2266" s="193" t="str">
        <f ca="1"/>
        <v/>
      </c>
      <c r="B2266" s="378"/>
      <c r="C2266" s="315"/>
      <c r="D2266" s="316"/>
      <c r="E2266" s="315"/>
      <c r="F2266" s="315"/>
      <c r="G2266" s="315"/>
      <c r="H2266" s="153"/>
      <c r="I2266" s="12"/>
      <c r="J2266" s="12"/>
      <c r="K2266" s="12"/>
      <c r="L2266" s="379"/>
      <c r="M2266" s="380"/>
      <c r="N2266" s="380"/>
      <c r="O2266" s="12"/>
      <c r="P2266" s="381"/>
      <c r="Q2266" s="12"/>
      <c r="R2266" s="12"/>
      <c r="S2266" s="382"/>
      <c r="T2266" s="383"/>
      <c r="U2266" s="384"/>
      <c r="V2266" s="12"/>
      <c r="W2266" s="12"/>
    </row>
    <row r="2267" spans="1:23" x14ac:dyDescent="0.3">
      <c r="A2267" s="193" t="str">
        <f ca="1"/>
        <v/>
      </c>
      <c r="B2267" s="378"/>
      <c r="C2267" s="315"/>
      <c r="D2267" s="316"/>
      <c r="E2267" s="315"/>
      <c r="F2267" s="315"/>
      <c r="G2267" s="315"/>
      <c r="H2267" s="153"/>
      <c r="I2267" s="12"/>
      <c r="J2267" s="12"/>
      <c r="K2267" s="12"/>
      <c r="L2267" s="379"/>
      <c r="M2267" s="380"/>
      <c r="N2267" s="380"/>
      <c r="O2267" s="12"/>
      <c r="P2267" s="381"/>
      <c r="Q2267" s="12"/>
      <c r="R2267" s="12"/>
      <c r="S2267" s="382"/>
      <c r="T2267" s="383"/>
      <c r="U2267" s="384"/>
      <c r="V2267" s="12"/>
      <c r="W2267" s="12"/>
    </row>
    <row r="2268" spans="1:23" x14ac:dyDescent="0.3">
      <c r="A2268" s="193" t="str">
        <f ca="1"/>
        <v/>
      </c>
      <c r="B2268" s="378"/>
      <c r="C2268" s="315"/>
      <c r="D2268" s="316"/>
      <c r="E2268" s="315"/>
      <c r="F2268" s="315"/>
      <c r="G2268" s="315"/>
      <c r="H2268" s="153"/>
      <c r="I2268" s="12"/>
      <c r="J2268" s="12"/>
      <c r="K2268" s="12"/>
      <c r="L2268" s="379"/>
      <c r="M2268" s="380"/>
      <c r="N2268" s="380"/>
      <c r="O2268" s="12"/>
      <c r="P2268" s="381"/>
      <c r="Q2268" s="12"/>
      <c r="R2268" s="12"/>
      <c r="S2268" s="382"/>
      <c r="T2268" s="383"/>
      <c r="U2268" s="384"/>
      <c r="V2268" s="12"/>
      <c r="W2268" s="12"/>
    </row>
    <row r="2269" spans="1:23" x14ac:dyDescent="0.3">
      <c r="A2269" s="193" t="str">
        <f ca="1"/>
        <v/>
      </c>
      <c r="B2269" s="378"/>
      <c r="C2269" s="315"/>
      <c r="D2269" s="316"/>
      <c r="E2269" s="315"/>
      <c r="F2269" s="315"/>
      <c r="G2269" s="315"/>
      <c r="H2269" s="153"/>
      <c r="I2269" s="12"/>
      <c r="J2269" s="12"/>
      <c r="K2269" s="12"/>
      <c r="L2269" s="379"/>
      <c r="M2269" s="380"/>
      <c r="N2269" s="380"/>
      <c r="O2269" s="12"/>
      <c r="P2269" s="381"/>
      <c r="Q2269" s="12"/>
      <c r="R2269" s="12"/>
      <c r="S2269" s="382"/>
      <c r="T2269" s="383"/>
      <c r="U2269" s="384"/>
      <c r="V2269" s="12"/>
      <c r="W2269" s="12"/>
    </row>
    <row r="2270" spans="1:23" x14ac:dyDescent="0.3">
      <c r="A2270" s="193" t="str">
        <f ca="1"/>
        <v/>
      </c>
      <c r="B2270" s="378"/>
      <c r="C2270" s="315"/>
      <c r="D2270" s="316"/>
      <c r="E2270" s="315"/>
      <c r="F2270" s="315"/>
      <c r="G2270" s="315"/>
      <c r="H2270" s="153"/>
      <c r="I2270" s="12"/>
      <c r="J2270" s="12"/>
      <c r="K2270" s="12"/>
      <c r="L2270" s="379"/>
      <c r="M2270" s="380"/>
      <c r="N2270" s="380"/>
      <c r="O2270" s="12"/>
      <c r="P2270" s="381"/>
      <c r="Q2270" s="12"/>
      <c r="R2270" s="12"/>
      <c r="S2270" s="382"/>
      <c r="T2270" s="383"/>
      <c r="U2270" s="384"/>
      <c r="V2270" s="12"/>
      <c r="W2270" s="12"/>
    </row>
    <row r="2271" spans="1:23" x14ac:dyDescent="0.3">
      <c r="A2271" s="193" t="str">
        <f ca="1"/>
        <v/>
      </c>
      <c r="B2271" s="378"/>
      <c r="C2271" s="315"/>
      <c r="D2271" s="316"/>
      <c r="E2271" s="315"/>
      <c r="F2271" s="315"/>
      <c r="G2271" s="315"/>
      <c r="H2271" s="153"/>
      <c r="I2271" s="12"/>
      <c r="J2271" s="12"/>
      <c r="K2271" s="12"/>
      <c r="L2271" s="379"/>
      <c r="M2271" s="380"/>
      <c r="N2271" s="380"/>
      <c r="O2271" s="12"/>
      <c r="P2271" s="381"/>
      <c r="Q2271" s="12"/>
      <c r="R2271" s="12"/>
      <c r="S2271" s="382"/>
      <c r="T2271" s="383"/>
      <c r="U2271" s="384"/>
      <c r="V2271" s="12"/>
      <c r="W2271" s="12"/>
    </row>
    <row r="2272" spans="1:23" x14ac:dyDescent="0.3">
      <c r="A2272" s="193" t="str">
        <f ca="1"/>
        <v/>
      </c>
      <c r="B2272" s="378"/>
      <c r="C2272" s="315"/>
      <c r="D2272" s="316"/>
      <c r="E2272" s="315"/>
      <c r="F2272" s="315"/>
      <c r="G2272" s="315"/>
      <c r="H2272" s="153"/>
      <c r="I2272" s="12"/>
      <c r="J2272" s="12"/>
      <c r="K2272" s="12"/>
      <c r="L2272" s="379"/>
      <c r="M2272" s="380"/>
      <c r="N2272" s="380"/>
      <c r="O2272" s="12"/>
      <c r="P2272" s="381"/>
      <c r="Q2272" s="12"/>
      <c r="R2272" s="12"/>
      <c r="S2272" s="382"/>
      <c r="T2272" s="383"/>
      <c r="U2272" s="384"/>
      <c r="V2272" s="12"/>
      <c r="W2272" s="12"/>
    </row>
    <row r="2273" spans="1:23" x14ac:dyDescent="0.3">
      <c r="A2273" s="193" t="str">
        <f ca="1"/>
        <v/>
      </c>
      <c r="B2273" s="378"/>
      <c r="C2273" s="315"/>
      <c r="D2273" s="316"/>
      <c r="E2273" s="315"/>
      <c r="F2273" s="315"/>
      <c r="G2273" s="315"/>
      <c r="H2273" s="153"/>
      <c r="I2273" s="12"/>
      <c r="J2273" s="12"/>
      <c r="K2273" s="12"/>
      <c r="L2273" s="379"/>
      <c r="M2273" s="380"/>
      <c r="N2273" s="380"/>
      <c r="O2273" s="12"/>
      <c r="P2273" s="381"/>
      <c r="Q2273" s="12"/>
      <c r="R2273" s="12"/>
      <c r="S2273" s="382"/>
      <c r="T2273" s="383"/>
      <c r="U2273" s="384"/>
      <c r="V2273" s="12"/>
      <c r="W2273" s="12"/>
    </row>
    <row r="2274" spans="1:23" x14ac:dyDescent="0.3">
      <c r="A2274" s="193" t="str">
        <f ca="1"/>
        <v/>
      </c>
      <c r="B2274" s="378"/>
      <c r="C2274" s="315"/>
      <c r="D2274" s="316"/>
      <c r="E2274" s="315"/>
      <c r="F2274" s="315"/>
      <c r="G2274" s="315"/>
      <c r="H2274" s="153"/>
      <c r="I2274" s="12"/>
      <c r="J2274" s="12"/>
      <c r="K2274" s="12"/>
      <c r="L2274" s="379"/>
      <c r="M2274" s="380"/>
      <c r="N2274" s="380"/>
      <c r="O2274" s="12"/>
      <c r="P2274" s="381"/>
      <c r="Q2274" s="12"/>
      <c r="R2274" s="12"/>
      <c r="S2274" s="382"/>
      <c r="T2274" s="383"/>
      <c r="U2274" s="384"/>
      <c r="V2274" s="12"/>
      <c r="W2274" s="12"/>
    </row>
    <row r="2275" spans="1:23" x14ac:dyDescent="0.3">
      <c r="A2275" s="193" t="str">
        <f ca="1"/>
        <v/>
      </c>
      <c r="B2275" s="378"/>
      <c r="C2275" s="315"/>
      <c r="D2275" s="316"/>
      <c r="E2275" s="315"/>
      <c r="F2275" s="315"/>
      <c r="G2275" s="315"/>
      <c r="H2275" s="153"/>
      <c r="I2275" s="12"/>
      <c r="J2275" s="12"/>
      <c r="K2275" s="12"/>
      <c r="L2275" s="379"/>
      <c r="M2275" s="380"/>
      <c r="N2275" s="380"/>
      <c r="O2275" s="12"/>
      <c r="P2275" s="381"/>
      <c r="Q2275" s="12"/>
      <c r="R2275" s="12"/>
      <c r="S2275" s="382"/>
      <c r="T2275" s="383"/>
      <c r="U2275" s="384"/>
      <c r="V2275" s="12"/>
      <c r="W2275" s="12"/>
    </row>
    <row r="2276" spans="1:23" x14ac:dyDescent="0.3">
      <c r="A2276" s="193" t="str">
        <f ca="1"/>
        <v/>
      </c>
      <c r="B2276" s="378"/>
      <c r="C2276" s="315"/>
      <c r="D2276" s="316"/>
      <c r="E2276" s="315"/>
      <c r="F2276" s="315"/>
      <c r="G2276" s="315"/>
      <c r="H2276" s="153"/>
      <c r="I2276" s="12"/>
      <c r="J2276" s="12"/>
      <c r="K2276" s="12"/>
      <c r="L2276" s="379"/>
      <c r="M2276" s="380"/>
      <c r="N2276" s="380"/>
      <c r="O2276" s="12"/>
      <c r="P2276" s="381"/>
      <c r="Q2276" s="12"/>
      <c r="R2276" s="12"/>
      <c r="S2276" s="382"/>
      <c r="T2276" s="383"/>
      <c r="U2276" s="384"/>
      <c r="V2276" s="12"/>
      <c r="W2276" s="12"/>
    </row>
    <row r="2277" spans="1:23" x14ac:dyDescent="0.3">
      <c r="A2277" s="193" t="str">
        <f ca="1"/>
        <v/>
      </c>
      <c r="B2277" s="378"/>
      <c r="C2277" s="315"/>
      <c r="D2277" s="316"/>
      <c r="E2277" s="315"/>
      <c r="F2277" s="315"/>
      <c r="G2277" s="315"/>
      <c r="H2277" s="153"/>
      <c r="I2277" s="12"/>
      <c r="J2277" s="12"/>
      <c r="K2277" s="12"/>
      <c r="L2277" s="379"/>
      <c r="M2277" s="380"/>
      <c r="N2277" s="380"/>
      <c r="O2277" s="12"/>
      <c r="P2277" s="381"/>
      <c r="Q2277" s="12"/>
      <c r="R2277" s="12"/>
      <c r="S2277" s="382"/>
      <c r="T2277" s="383"/>
      <c r="U2277" s="384"/>
      <c r="V2277" s="12"/>
      <c r="W2277" s="12"/>
    </row>
    <row r="2278" spans="1:23" x14ac:dyDescent="0.3">
      <c r="A2278" s="193" t="str">
        <f ca="1"/>
        <v/>
      </c>
      <c r="B2278" s="378"/>
      <c r="C2278" s="315"/>
      <c r="D2278" s="316"/>
      <c r="E2278" s="315"/>
      <c r="F2278" s="315"/>
      <c r="G2278" s="315"/>
      <c r="H2278" s="153"/>
      <c r="I2278" s="12"/>
      <c r="J2278" s="12"/>
      <c r="K2278" s="12"/>
      <c r="L2278" s="379"/>
      <c r="M2278" s="380"/>
      <c r="N2278" s="380"/>
      <c r="O2278" s="12"/>
      <c r="P2278" s="381"/>
      <c r="Q2278" s="12"/>
      <c r="R2278" s="12"/>
      <c r="S2278" s="382"/>
      <c r="T2278" s="383"/>
      <c r="U2278" s="384"/>
      <c r="V2278" s="12"/>
      <c r="W2278" s="12"/>
    </row>
    <row r="2279" spans="1:23" x14ac:dyDescent="0.3">
      <c r="A2279" s="193" t="str">
        <f ca="1"/>
        <v/>
      </c>
      <c r="B2279" s="378"/>
      <c r="C2279" s="315"/>
      <c r="D2279" s="316"/>
      <c r="E2279" s="315"/>
      <c r="F2279" s="315"/>
      <c r="G2279" s="315"/>
      <c r="H2279" s="153"/>
      <c r="I2279" s="12"/>
      <c r="J2279" s="12"/>
      <c r="K2279" s="12"/>
      <c r="L2279" s="379"/>
      <c r="M2279" s="380"/>
      <c r="N2279" s="380"/>
      <c r="O2279" s="12"/>
      <c r="P2279" s="381"/>
      <c r="Q2279" s="12"/>
      <c r="R2279" s="12"/>
      <c r="S2279" s="382"/>
      <c r="T2279" s="383"/>
      <c r="U2279" s="384"/>
      <c r="V2279" s="12"/>
      <c r="W2279" s="12"/>
    </row>
    <row r="2280" spans="1:23" x14ac:dyDescent="0.3">
      <c r="A2280" s="193" t="str">
        <f ca="1"/>
        <v/>
      </c>
      <c r="B2280" s="378"/>
      <c r="C2280" s="315"/>
      <c r="D2280" s="316"/>
      <c r="E2280" s="315"/>
      <c r="F2280" s="315"/>
      <c r="G2280" s="315"/>
      <c r="H2280" s="153"/>
      <c r="I2280" s="12"/>
      <c r="J2280" s="12"/>
      <c r="K2280" s="12"/>
      <c r="L2280" s="379"/>
      <c r="M2280" s="380"/>
      <c r="N2280" s="380"/>
      <c r="O2280" s="12"/>
      <c r="P2280" s="381"/>
      <c r="Q2280" s="12"/>
      <c r="R2280" s="12"/>
      <c r="S2280" s="382"/>
      <c r="T2280" s="383"/>
      <c r="U2280" s="384"/>
      <c r="V2280" s="12"/>
      <c r="W2280" s="12"/>
    </row>
    <row r="2281" spans="1:23" x14ac:dyDescent="0.3">
      <c r="A2281" s="193" t="str">
        <f ca="1"/>
        <v/>
      </c>
      <c r="B2281" s="378"/>
      <c r="C2281" s="315"/>
      <c r="D2281" s="316"/>
      <c r="E2281" s="315"/>
      <c r="F2281" s="315"/>
      <c r="G2281" s="315"/>
      <c r="H2281" s="153"/>
      <c r="I2281" s="12"/>
      <c r="J2281" s="12"/>
      <c r="K2281" s="12"/>
      <c r="L2281" s="379"/>
      <c r="M2281" s="380"/>
      <c r="N2281" s="380"/>
      <c r="O2281" s="12"/>
      <c r="P2281" s="381"/>
      <c r="Q2281" s="12"/>
      <c r="R2281" s="12"/>
      <c r="S2281" s="382"/>
      <c r="T2281" s="383"/>
      <c r="U2281" s="384"/>
      <c r="V2281" s="12"/>
      <c r="W2281" s="12"/>
    </row>
    <row r="2282" spans="1:23" x14ac:dyDescent="0.3">
      <c r="A2282" s="193" t="str">
        <f ca="1"/>
        <v/>
      </c>
      <c r="B2282" s="378"/>
      <c r="C2282" s="315"/>
      <c r="D2282" s="316"/>
      <c r="E2282" s="315"/>
      <c r="F2282" s="315"/>
      <c r="G2282" s="315"/>
      <c r="H2282" s="153"/>
      <c r="I2282" s="12"/>
      <c r="J2282" s="12"/>
      <c r="K2282" s="12"/>
      <c r="L2282" s="379"/>
      <c r="M2282" s="380"/>
      <c r="N2282" s="380"/>
      <c r="O2282" s="12"/>
      <c r="P2282" s="381"/>
      <c r="Q2282" s="12"/>
      <c r="R2282" s="12"/>
      <c r="S2282" s="382"/>
      <c r="T2282" s="383"/>
      <c r="U2282" s="384"/>
      <c r="V2282" s="12"/>
      <c r="W2282" s="12"/>
    </row>
    <row r="2283" spans="1:23" x14ac:dyDescent="0.3">
      <c r="A2283" s="193" t="str">
        <f ca="1"/>
        <v/>
      </c>
      <c r="B2283" s="378"/>
      <c r="C2283" s="315"/>
      <c r="D2283" s="316"/>
      <c r="E2283" s="315"/>
      <c r="F2283" s="315"/>
      <c r="G2283" s="315"/>
      <c r="H2283" s="153"/>
      <c r="I2283" s="12"/>
      <c r="J2283" s="12"/>
      <c r="K2283" s="12"/>
      <c r="L2283" s="379"/>
      <c r="M2283" s="380"/>
      <c r="N2283" s="380"/>
      <c r="O2283" s="12"/>
      <c r="P2283" s="381"/>
      <c r="Q2283" s="12"/>
      <c r="R2283" s="12"/>
      <c r="S2283" s="382"/>
      <c r="T2283" s="383"/>
      <c r="U2283" s="384"/>
      <c r="V2283" s="12"/>
      <c r="W2283" s="12"/>
    </row>
    <row r="2284" spans="1:23" x14ac:dyDescent="0.3">
      <c r="A2284" s="193" t="str">
        <f ca="1"/>
        <v/>
      </c>
      <c r="B2284" s="378"/>
      <c r="C2284" s="315"/>
      <c r="D2284" s="316"/>
      <c r="E2284" s="315"/>
      <c r="F2284" s="315"/>
      <c r="G2284" s="315"/>
      <c r="H2284" s="153"/>
      <c r="I2284" s="12"/>
      <c r="J2284" s="12"/>
      <c r="K2284" s="12"/>
      <c r="L2284" s="379"/>
      <c r="M2284" s="380"/>
      <c r="N2284" s="380"/>
      <c r="O2284" s="12"/>
      <c r="P2284" s="381"/>
      <c r="Q2284" s="12"/>
      <c r="R2284" s="12"/>
      <c r="S2284" s="382"/>
      <c r="T2284" s="383"/>
      <c r="U2284" s="384"/>
      <c r="V2284" s="12"/>
      <c r="W2284" s="12"/>
    </row>
    <row r="2285" spans="1:23" x14ac:dyDescent="0.3">
      <c r="A2285" s="193" t="str">
        <f ca="1"/>
        <v/>
      </c>
      <c r="B2285" s="378"/>
      <c r="C2285" s="315"/>
      <c r="D2285" s="316"/>
      <c r="E2285" s="315"/>
      <c r="F2285" s="315"/>
      <c r="G2285" s="315"/>
      <c r="H2285" s="153"/>
      <c r="I2285" s="12"/>
      <c r="J2285" s="12"/>
      <c r="K2285" s="12"/>
      <c r="L2285" s="379"/>
      <c r="M2285" s="380"/>
      <c r="N2285" s="380"/>
      <c r="O2285" s="12"/>
      <c r="P2285" s="381"/>
      <c r="Q2285" s="12"/>
      <c r="R2285" s="12"/>
      <c r="S2285" s="382"/>
      <c r="T2285" s="383"/>
      <c r="U2285" s="384"/>
      <c r="V2285" s="12"/>
      <c r="W2285" s="12"/>
    </row>
    <row r="2286" spans="1:23" x14ac:dyDescent="0.3">
      <c r="A2286" s="193" t="str">
        <f ca="1"/>
        <v/>
      </c>
      <c r="B2286" s="378"/>
      <c r="C2286" s="315"/>
      <c r="D2286" s="316"/>
      <c r="E2286" s="315"/>
      <c r="F2286" s="315"/>
      <c r="G2286" s="315"/>
      <c r="H2286" s="153"/>
      <c r="I2286" s="12"/>
      <c r="J2286" s="12"/>
      <c r="K2286" s="12"/>
      <c r="L2286" s="379"/>
      <c r="M2286" s="380"/>
      <c r="N2286" s="380"/>
      <c r="O2286" s="12"/>
      <c r="P2286" s="381"/>
      <c r="Q2286" s="12"/>
      <c r="R2286" s="12"/>
      <c r="S2286" s="382"/>
      <c r="T2286" s="383"/>
      <c r="U2286" s="384"/>
      <c r="V2286" s="12"/>
      <c r="W2286" s="12"/>
    </row>
    <row r="2287" spans="1:23" x14ac:dyDescent="0.3">
      <c r="A2287" s="193" t="str">
        <f ca="1"/>
        <v/>
      </c>
      <c r="B2287" s="378"/>
      <c r="C2287" s="315"/>
      <c r="D2287" s="316"/>
      <c r="E2287" s="315"/>
      <c r="F2287" s="315"/>
      <c r="G2287" s="315"/>
      <c r="H2287" s="153"/>
      <c r="I2287" s="12"/>
      <c r="J2287" s="12"/>
      <c r="K2287" s="12"/>
      <c r="L2287" s="379"/>
      <c r="M2287" s="380"/>
      <c r="N2287" s="380"/>
      <c r="O2287" s="12"/>
      <c r="P2287" s="381"/>
      <c r="Q2287" s="12"/>
      <c r="R2287" s="12"/>
      <c r="S2287" s="382"/>
      <c r="T2287" s="383"/>
      <c r="U2287" s="384"/>
      <c r="V2287" s="12"/>
      <c r="W2287" s="12"/>
    </row>
    <row r="2288" spans="1:23" x14ac:dyDescent="0.3">
      <c r="A2288" s="193" t="str">
        <f ca="1"/>
        <v/>
      </c>
      <c r="B2288" s="378"/>
      <c r="C2288" s="315"/>
      <c r="D2288" s="316"/>
      <c r="E2288" s="315"/>
      <c r="F2288" s="315"/>
      <c r="G2288" s="315"/>
      <c r="H2288" s="153"/>
      <c r="I2288" s="12"/>
      <c r="J2288" s="12"/>
      <c r="K2288" s="12"/>
      <c r="L2288" s="379"/>
      <c r="M2288" s="380"/>
      <c r="N2288" s="380"/>
      <c r="O2288" s="12"/>
      <c r="P2288" s="381"/>
      <c r="Q2288" s="12"/>
      <c r="R2288" s="12"/>
      <c r="S2288" s="382"/>
      <c r="T2288" s="383"/>
      <c r="U2288" s="384"/>
      <c r="V2288" s="12"/>
      <c r="W2288" s="12"/>
    </row>
    <row r="2289" spans="1:23" x14ac:dyDescent="0.3">
      <c r="A2289" s="193" t="str">
        <f ca="1"/>
        <v/>
      </c>
      <c r="B2289" s="378"/>
      <c r="C2289" s="315"/>
      <c r="D2289" s="316"/>
      <c r="E2289" s="315"/>
      <c r="F2289" s="315"/>
      <c r="G2289" s="315"/>
      <c r="H2289" s="153"/>
      <c r="I2289" s="12"/>
      <c r="J2289" s="12"/>
      <c r="K2289" s="12"/>
      <c r="L2289" s="379"/>
      <c r="M2289" s="380"/>
      <c r="N2289" s="380"/>
      <c r="O2289" s="12"/>
      <c r="P2289" s="381"/>
      <c r="Q2289" s="12"/>
      <c r="R2289" s="12"/>
      <c r="S2289" s="382"/>
      <c r="T2289" s="383"/>
      <c r="U2289" s="384"/>
      <c r="V2289" s="12"/>
      <c r="W2289" s="12"/>
    </row>
    <row r="2290" spans="1:23" x14ac:dyDescent="0.3">
      <c r="A2290" s="193" t="str">
        <f ca="1"/>
        <v/>
      </c>
      <c r="B2290" s="378"/>
      <c r="C2290" s="315"/>
      <c r="D2290" s="316"/>
      <c r="E2290" s="315"/>
      <c r="F2290" s="315"/>
      <c r="G2290" s="315"/>
      <c r="H2290" s="153"/>
      <c r="I2290" s="12"/>
      <c r="J2290" s="12"/>
      <c r="K2290" s="12"/>
      <c r="L2290" s="379"/>
      <c r="M2290" s="380"/>
      <c r="N2290" s="380"/>
      <c r="O2290" s="12"/>
      <c r="P2290" s="381"/>
      <c r="Q2290" s="12"/>
      <c r="R2290" s="12"/>
      <c r="S2290" s="382"/>
      <c r="T2290" s="383"/>
      <c r="U2290" s="384"/>
      <c r="V2290" s="12"/>
      <c r="W2290" s="12"/>
    </row>
    <row r="2291" spans="1:23" x14ac:dyDescent="0.3">
      <c r="A2291" s="193" t="str">
        <f ca="1"/>
        <v/>
      </c>
      <c r="B2291" s="378"/>
      <c r="C2291" s="315"/>
      <c r="D2291" s="316"/>
      <c r="E2291" s="315"/>
      <c r="F2291" s="315"/>
      <c r="G2291" s="315"/>
      <c r="H2291" s="153"/>
      <c r="I2291" s="12"/>
      <c r="J2291" s="12"/>
      <c r="K2291" s="12"/>
      <c r="L2291" s="379"/>
      <c r="M2291" s="380"/>
      <c r="N2291" s="380"/>
      <c r="O2291" s="12"/>
      <c r="P2291" s="381"/>
      <c r="Q2291" s="12"/>
      <c r="R2291" s="12"/>
      <c r="S2291" s="382"/>
      <c r="T2291" s="383"/>
      <c r="U2291" s="384"/>
      <c r="V2291" s="12"/>
      <c r="W2291" s="12"/>
    </row>
    <row r="2292" spans="1:23" x14ac:dyDescent="0.3">
      <c r="A2292" s="193" t="str">
        <f ca="1"/>
        <v/>
      </c>
      <c r="B2292" s="378"/>
      <c r="C2292" s="315"/>
      <c r="D2292" s="316"/>
      <c r="E2292" s="315"/>
      <c r="F2292" s="315"/>
      <c r="G2292" s="315"/>
      <c r="H2292" s="153"/>
      <c r="I2292" s="12"/>
      <c r="J2292" s="12"/>
      <c r="K2292" s="12"/>
      <c r="L2292" s="379"/>
      <c r="M2292" s="380"/>
      <c r="N2292" s="380"/>
      <c r="O2292" s="12"/>
      <c r="P2292" s="381"/>
      <c r="Q2292" s="12"/>
      <c r="R2292" s="12"/>
      <c r="S2292" s="382"/>
      <c r="T2292" s="383"/>
      <c r="U2292" s="384"/>
      <c r="V2292" s="12"/>
      <c r="W2292" s="12"/>
    </row>
    <row r="2293" spans="1:23" x14ac:dyDescent="0.3">
      <c r="A2293" s="193" t="str">
        <f ca="1"/>
        <v/>
      </c>
      <c r="B2293" s="378"/>
      <c r="C2293" s="315"/>
      <c r="D2293" s="316"/>
      <c r="E2293" s="315"/>
      <c r="F2293" s="315"/>
      <c r="G2293" s="315"/>
      <c r="H2293" s="153"/>
      <c r="I2293" s="12"/>
      <c r="J2293" s="12"/>
      <c r="K2293" s="12"/>
      <c r="L2293" s="379"/>
      <c r="M2293" s="380"/>
      <c r="N2293" s="380"/>
      <c r="O2293" s="12"/>
      <c r="P2293" s="381"/>
      <c r="Q2293" s="12"/>
      <c r="R2293" s="12"/>
      <c r="S2293" s="382"/>
      <c r="T2293" s="383"/>
      <c r="U2293" s="384"/>
      <c r="V2293" s="12"/>
      <c r="W2293" s="12"/>
    </row>
    <row r="2294" spans="1:23" x14ac:dyDescent="0.3">
      <c r="A2294" s="193" t="str">
        <f ca="1"/>
        <v/>
      </c>
      <c r="B2294" s="378"/>
      <c r="C2294" s="315"/>
      <c r="D2294" s="316"/>
      <c r="E2294" s="315"/>
      <c r="F2294" s="315"/>
      <c r="G2294" s="315"/>
      <c r="H2294" s="153"/>
      <c r="I2294" s="12"/>
      <c r="J2294" s="12"/>
      <c r="K2294" s="12"/>
      <c r="L2294" s="379"/>
      <c r="M2294" s="380"/>
      <c r="N2294" s="380"/>
      <c r="O2294" s="12"/>
      <c r="P2294" s="381"/>
      <c r="Q2294" s="12"/>
      <c r="R2294" s="12"/>
      <c r="S2294" s="382"/>
      <c r="T2294" s="383"/>
      <c r="U2294" s="384"/>
      <c r="V2294" s="12"/>
      <c r="W2294" s="12"/>
    </row>
    <row r="2295" spans="1:23" x14ac:dyDescent="0.3">
      <c r="A2295" s="193" t="str">
        <f ca="1"/>
        <v/>
      </c>
      <c r="B2295" s="378"/>
      <c r="C2295" s="315"/>
      <c r="D2295" s="316"/>
      <c r="E2295" s="315"/>
      <c r="F2295" s="315"/>
      <c r="G2295" s="315"/>
      <c r="H2295" s="153"/>
      <c r="I2295" s="12"/>
      <c r="J2295" s="12"/>
      <c r="K2295" s="12"/>
      <c r="L2295" s="379"/>
      <c r="M2295" s="380"/>
      <c r="N2295" s="380"/>
      <c r="O2295" s="12"/>
      <c r="P2295" s="381"/>
      <c r="Q2295" s="12"/>
      <c r="R2295" s="12"/>
      <c r="S2295" s="382"/>
      <c r="T2295" s="383"/>
      <c r="U2295" s="384"/>
      <c r="V2295" s="12"/>
      <c r="W2295" s="12"/>
    </row>
    <row r="2296" spans="1:23" x14ac:dyDescent="0.3">
      <c r="A2296" s="193" t="str">
        <f ca="1"/>
        <v/>
      </c>
      <c r="B2296" s="378"/>
      <c r="C2296" s="315"/>
      <c r="D2296" s="316"/>
      <c r="E2296" s="315"/>
      <c r="F2296" s="315"/>
      <c r="G2296" s="315"/>
      <c r="H2296" s="153"/>
      <c r="I2296" s="12"/>
      <c r="J2296" s="12"/>
      <c r="K2296" s="12"/>
      <c r="L2296" s="379"/>
      <c r="M2296" s="380"/>
      <c r="N2296" s="380"/>
      <c r="O2296" s="12"/>
      <c r="P2296" s="381"/>
      <c r="Q2296" s="12"/>
      <c r="R2296" s="12"/>
      <c r="S2296" s="382"/>
      <c r="T2296" s="383"/>
      <c r="U2296" s="384"/>
      <c r="V2296" s="12"/>
      <c r="W2296" s="12"/>
    </row>
    <row r="2297" spans="1:23" x14ac:dyDescent="0.3">
      <c r="A2297" s="193" t="str">
        <f ca="1"/>
        <v/>
      </c>
      <c r="B2297" s="378"/>
      <c r="C2297" s="315"/>
      <c r="D2297" s="316"/>
      <c r="E2297" s="315"/>
      <c r="F2297" s="315"/>
      <c r="G2297" s="315"/>
      <c r="H2297" s="153"/>
      <c r="I2297" s="12"/>
      <c r="J2297" s="12"/>
      <c r="K2297" s="12"/>
      <c r="L2297" s="379"/>
      <c r="M2297" s="380"/>
      <c r="N2297" s="380"/>
      <c r="O2297" s="12"/>
      <c r="P2297" s="381"/>
      <c r="Q2297" s="12"/>
      <c r="R2297" s="12"/>
      <c r="S2297" s="382"/>
      <c r="T2297" s="383"/>
      <c r="U2297" s="384"/>
      <c r="V2297" s="12"/>
      <c r="W2297" s="12"/>
    </row>
    <row r="2298" spans="1:23" x14ac:dyDescent="0.3">
      <c r="A2298" s="193" t="str">
        <f ca="1"/>
        <v/>
      </c>
      <c r="B2298" s="378"/>
      <c r="C2298" s="315"/>
      <c r="D2298" s="316"/>
      <c r="E2298" s="315"/>
      <c r="F2298" s="315"/>
      <c r="G2298" s="315"/>
      <c r="H2298" s="153"/>
      <c r="I2298" s="12"/>
      <c r="J2298" s="12"/>
      <c r="K2298" s="12"/>
      <c r="L2298" s="379"/>
      <c r="M2298" s="380"/>
      <c r="N2298" s="380"/>
      <c r="O2298" s="12"/>
      <c r="P2298" s="381"/>
      <c r="Q2298" s="12"/>
      <c r="R2298" s="12"/>
      <c r="S2298" s="382"/>
      <c r="T2298" s="383"/>
      <c r="U2298" s="384"/>
      <c r="V2298" s="12"/>
      <c r="W2298" s="12"/>
    </row>
    <row r="2299" spans="1:23" x14ac:dyDescent="0.3">
      <c r="A2299" s="193" t="str">
        <f ca="1"/>
        <v/>
      </c>
      <c r="B2299" s="378"/>
      <c r="C2299" s="315"/>
      <c r="D2299" s="316"/>
      <c r="E2299" s="315"/>
      <c r="F2299" s="315"/>
      <c r="G2299" s="315"/>
      <c r="H2299" s="153"/>
      <c r="I2299" s="12"/>
      <c r="J2299" s="12"/>
      <c r="K2299" s="12"/>
      <c r="L2299" s="379"/>
      <c r="M2299" s="380"/>
      <c r="N2299" s="380"/>
      <c r="O2299" s="12"/>
      <c r="P2299" s="381"/>
      <c r="Q2299" s="12"/>
      <c r="R2299" s="12"/>
      <c r="S2299" s="382"/>
      <c r="T2299" s="383"/>
      <c r="U2299" s="384"/>
      <c r="V2299" s="12"/>
      <c r="W2299" s="12"/>
    </row>
    <row r="2300" spans="1:23" x14ac:dyDescent="0.3">
      <c r="A2300" s="193" t="str">
        <f ca="1"/>
        <v/>
      </c>
      <c r="B2300" s="378"/>
      <c r="C2300" s="315"/>
      <c r="D2300" s="316"/>
      <c r="E2300" s="315"/>
      <c r="F2300" s="315"/>
      <c r="G2300" s="315"/>
      <c r="H2300" s="153"/>
      <c r="I2300" s="12"/>
      <c r="J2300" s="12"/>
      <c r="K2300" s="12"/>
      <c r="L2300" s="379"/>
      <c r="M2300" s="380"/>
      <c r="N2300" s="380"/>
      <c r="O2300" s="12"/>
      <c r="P2300" s="381"/>
      <c r="Q2300" s="12"/>
      <c r="R2300" s="12"/>
      <c r="S2300" s="382"/>
      <c r="T2300" s="383"/>
      <c r="U2300" s="384"/>
      <c r="V2300" s="12"/>
      <c r="W2300" s="12"/>
    </row>
    <row r="2301" spans="1:23" x14ac:dyDescent="0.3">
      <c r="A2301" s="193" t="str">
        <f ca="1"/>
        <v/>
      </c>
      <c r="B2301" s="378"/>
      <c r="C2301" s="315"/>
      <c r="D2301" s="316"/>
      <c r="E2301" s="315"/>
      <c r="F2301" s="315"/>
      <c r="G2301" s="315"/>
      <c r="H2301" s="153"/>
      <c r="I2301" s="12"/>
      <c r="J2301" s="12"/>
      <c r="K2301" s="12"/>
      <c r="L2301" s="379"/>
      <c r="M2301" s="380"/>
      <c r="N2301" s="380"/>
      <c r="O2301" s="12"/>
      <c r="P2301" s="381"/>
      <c r="Q2301" s="12"/>
      <c r="R2301" s="12"/>
      <c r="S2301" s="382"/>
      <c r="T2301" s="383"/>
      <c r="U2301" s="384"/>
      <c r="V2301" s="12"/>
      <c r="W2301" s="12"/>
    </row>
    <row r="2302" spans="1:23" x14ac:dyDescent="0.3">
      <c r="A2302" s="193" t="str">
        <f ca="1"/>
        <v/>
      </c>
      <c r="B2302" s="378"/>
      <c r="C2302" s="315"/>
      <c r="D2302" s="316"/>
      <c r="E2302" s="315"/>
      <c r="F2302" s="315"/>
      <c r="G2302" s="315"/>
      <c r="H2302" s="153"/>
      <c r="I2302" s="12"/>
      <c r="J2302" s="12"/>
      <c r="K2302" s="12"/>
      <c r="L2302" s="379"/>
      <c r="M2302" s="380"/>
      <c r="N2302" s="380"/>
      <c r="O2302" s="12"/>
      <c r="P2302" s="381"/>
      <c r="Q2302" s="12"/>
      <c r="R2302" s="12"/>
      <c r="S2302" s="382"/>
      <c r="T2302" s="383"/>
      <c r="U2302" s="384"/>
      <c r="V2302" s="12"/>
      <c r="W2302" s="12"/>
    </row>
    <row r="2303" spans="1:23" x14ac:dyDescent="0.3">
      <c r="A2303" s="193" t="str">
        <f ca="1"/>
        <v/>
      </c>
      <c r="B2303" s="378"/>
      <c r="C2303" s="315"/>
      <c r="D2303" s="316"/>
      <c r="E2303" s="315"/>
      <c r="F2303" s="315"/>
      <c r="G2303" s="315"/>
      <c r="H2303" s="153"/>
      <c r="I2303" s="12"/>
      <c r="J2303" s="12"/>
      <c r="K2303" s="12"/>
      <c r="L2303" s="379"/>
      <c r="M2303" s="380"/>
      <c r="N2303" s="380"/>
      <c r="O2303" s="12"/>
      <c r="P2303" s="381"/>
      <c r="Q2303" s="12"/>
      <c r="R2303" s="12"/>
      <c r="S2303" s="382"/>
      <c r="T2303" s="383"/>
      <c r="U2303" s="384"/>
      <c r="V2303" s="12"/>
      <c r="W2303" s="12"/>
    </row>
    <row r="2304" spans="1:23" x14ac:dyDescent="0.3">
      <c r="A2304" s="193" t="str">
        <f ca="1"/>
        <v/>
      </c>
      <c r="B2304" s="378"/>
      <c r="C2304" s="315"/>
      <c r="D2304" s="316"/>
      <c r="E2304" s="315"/>
      <c r="F2304" s="315"/>
      <c r="G2304" s="315"/>
      <c r="H2304" s="153"/>
      <c r="I2304" s="12"/>
      <c r="J2304" s="12"/>
      <c r="K2304" s="12"/>
      <c r="L2304" s="379"/>
      <c r="M2304" s="380"/>
      <c r="N2304" s="380"/>
      <c r="O2304" s="12"/>
      <c r="P2304" s="381"/>
      <c r="Q2304" s="12"/>
      <c r="R2304" s="12"/>
      <c r="S2304" s="382"/>
      <c r="T2304" s="383"/>
      <c r="U2304" s="384"/>
      <c r="V2304" s="12"/>
      <c r="W2304" s="12"/>
    </row>
    <row r="2305" spans="1:23" x14ac:dyDescent="0.3">
      <c r="A2305" s="193" t="str">
        <f ca="1"/>
        <v/>
      </c>
      <c r="B2305" s="378"/>
      <c r="C2305" s="315"/>
      <c r="D2305" s="316"/>
      <c r="E2305" s="315"/>
      <c r="F2305" s="315"/>
      <c r="G2305" s="315"/>
      <c r="H2305" s="153"/>
      <c r="I2305" s="12"/>
      <c r="J2305" s="12"/>
      <c r="K2305" s="12"/>
      <c r="L2305" s="379"/>
      <c r="M2305" s="380"/>
      <c r="N2305" s="380"/>
      <c r="O2305" s="12"/>
      <c r="P2305" s="381"/>
      <c r="Q2305" s="12"/>
      <c r="R2305" s="12"/>
      <c r="S2305" s="382"/>
      <c r="T2305" s="383"/>
      <c r="U2305" s="384"/>
      <c r="V2305" s="12"/>
      <c r="W2305" s="12"/>
    </row>
    <row r="2306" spans="1:23" x14ac:dyDescent="0.3">
      <c r="A2306" s="193" t="str">
        <f ca="1"/>
        <v/>
      </c>
      <c r="B2306" s="378"/>
      <c r="C2306" s="315"/>
      <c r="D2306" s="316"/>
      <c r="E2306" s="315"/>
      <c r="F2306" s="315"/>
      <c r="G2306" s="315"/>
      <c r="H2306" s="153"/>
      <c r="I2306" s="12"/>
      <c r="J2306" s="12"/>
      <c r="K2306" s="12"/>
      <c r="L2306" s="379"/>
      <c r="M2306" s="380"/>
      <c r="N2306" s="380"/>
      <c r="O2306" s="12"/>
      <c r="P2306" s="381"/>
      <c r="Q2306" s="12"/>
      <c r="R2306" s="12"/>
      <c r="S2306" s="382"/>
      <c r="T2306" s="383"/>
      <c r="U2306" s="384"/>
      <c r="V2306" s="12"/>
      <c r="W2306" s="12"/>
    </row>
    <row r="2307" spans="1:23" x14ac:dyDescent="0.3">
      <c r="A2307" s="193" t="str">
        <f ca="1"/>
        <v/>
      </c>
      <c r="B2307" s="378"/>
      <c r="C2307" s="315"/>
      <c r="D2307" s="316"/>
      <c r="E2307" s="315"/>
      <c r="F2307" s="315"/>
      <c r="G2307" s="315"/>
      <c r="H2307" s="153"/>
      <c r="I2307" s="12"/>
      <c r="J2307" s="12"/>
      <c r="K2307" s="12"/>
      <c r="L2307" s="379"/>
      <c r="M2307" s="380"/>
      <c r="N2307" s="380"/>
      <c r="O2307" s="12"/>
      <c r="P2307" s="381"/>
      <c r="Q2307" s="12"/>
      <c r="R2307" s="12"/>
      <c r="S2307" s="382"/>
      <c r="T2307" s="383"/>
      <c r="U2307" s="384"/>
      <c r="V2307" s="12"/>
      <c r="W2307" s="12"/>
    </row>
    <row r="2308" spans="1:23" x14ac:dyDescent="0.3">
      <c r="A2308" s="193" t="str">
        <f ca="1"/>
        <v/>
      </c>
      <c r="B2308" s="378"/>
      <c r="C2308" s="315"/>
      <c r="D2308" s="316"/>
      <c r="E2308" s="315"/>
      <c r="F2308" s="315"/>
      <c r="G2308" s="315"/>
      <c r="H2308" s="153"/>
      <c r="I2308" s="12"/>
      <c r="J2308" s="12"/>
      <c r="K2308" s="12"/>
      <c r="L2308" s="379"/>
      <c r="M2308" s="380"/>
      <c r="N2308" s="380"/>
      <c r="O2308" s="12"/>
      <c r="P2308" s="381"/>
      <c r="Q2308" s="12"/>
      <c r="R2308" s="12"/>
      <c r="S2308" s="382"/>
      <c r="T2308" s="383"/>
      <c r="U2308" s="384"/>
      <c r="V2308" s="12"/>
      <c r="W2308" s="12"/>
    </row>
    <row r="2309" spans="1:23" x14ac:dyDescent="0.3">
      <c r="A2309" s="193" t="str">
        <f ca="1"/>
        <v/>
      </c>
      <c r="B2309" s="378"/>
      <c r="C2309" s="315"/>
      <c r="D2309" s="316"/>
      <c r="E2309" s="315"/>
      <c r="F2309" s="315"/>
      <c r="G2309" s="315"/>
      <c r="H2309" s="153"/>
      <c r="I2309" s="12"/>
      <c r="J2309" s="12"/>
      <c r="K2309" s="12"/>
      <c r="L2309" s="379"/>
      <c r="M2309" s="380"/>
      <c r="N2309" s="380"/>
      <c r="O2309" s="12"/>
      <c r="P2309" s="381"/>
      <c r="Q2309" s="12"/>
      <c r="R2309" s="12"/>
      <c r="S2309" s="382"/>
      <c r="T2309" s="383"/>
      <c r="U2309" s="384"/>
      <c r="V2309" s="12"/>
      <c r="W2309" s="12"/>
    </row>
    <row r="2310" spans="1:23" x14ac:dyDescent="0.3">
      <c r="A2310" s="193" t="str">
        <f ca="1"/>
        <v/>
      </c>
      <c r="B2310" s="378"/>
      <c r="C2310" s="315"/>
      <c r="D2310" s="316"/>
      <c r="E2310" s="315"/>
      <c r="F2310" s="315"/>
      <c r="G2310" s="315"/>
      <c r="H2310" s="153"/>
      <c r="I2310" s="12"/>
      <c r="J2310" s="12"/>
      <c r="K2310" s="12"/>
      <c r="L2310" s="379"/>
      <c r="M2310" s="380"/>
      <c r="N2310" s="380"/>
      <c r="O2310" s="12"/>
      <c r="P2310" s="381"/>
      <c r="Q2310" s="12"/>
      <c r="R2310" s="12"/>
      <c r="S2310" s="382"/>
      <c r="T2310" s="383"/>
      <c r="U2310" s="384"/>
      <c r="V2310" s="12"/>
      <c r="W2310" s="12"/>
    </row>
    <row r="2311" spans="1:23" x14ac:dyDescent="0.3">
      <c r="A2311" s="193" t="str">
        <f ca="1"/>
        <v/>
      </c>
      <c r="B2311" s="378"/>
      <c r="C2311" s="315"/>
      <c r="D2311" s="316"/>
      <c r="E2311" s="315"/>
      <c r="F2311" s="315"/>
      <c r="G2311" s="315"/>
      <c r="H2311" s="153"/>
      <c r="I2311" s="12"/>
      <c r="J2311" s="12"/>
      <c r="K2311" s="12"/>
      <c r="L2311" s="379"/>
      <c r="M2311" s="380"/>
      <c r="N2311" s="380"/>
      <c r="O2311" s="12"/>
      <c r="P2311" s="381"/>
      <c r="Q2311" s="12"/>
      <c r="R2311" s="12"/>
      <c r="S2311" s="382"/>
      <c r="T2311" s="383"/>
      <c r="U2311" s="384"/>
      <c r="V2311" s="12"/>
      <c r="W2311" s="12"/>
    </row>
    <row r="2312" spans="1:23" x14ac:dyDescent="0.3">
      <c r="A2312" s="193" t="str">
        <f ca="1"/>
        <v/>
      </c>
      <c r="B2312" s="378"/>
      <c r="C2312" s="315"/>
      <c r="D2312" s="316"/>
      <c r="E2312" s="315"/>
      <c r="F2312" s="315"/>
      <c r="G2312" s="315"/>
      <c r="H2312" s="153"/>
      <c r="I2312" s="12"/>
      <c r="J2312" s="12"/>
      <c r="K2312" s="12"/>
      <c r="L2312" s="379"/>
      <c r="M2312" s="380"/>
      <c r="N2312" s="380"/>
      <c r="O2312" s="12"/>
      <c r="P2312" s="381"/>
      <c r="Q2312" s="12"/>
      <c r="R2312" s="12"/>
      <c r="S2312" s="382"/>
      <c r="T2312" s="383"/>
      <c r="U2312" s="384"/>
      <c r="V2312" s="12"/>
      <c r="W2312" s="12"/>
    </row>
    <row r="2313" spans="1:23" x14ac:dyDescent="0.3">
      <c r="A2313" s="193" t="str">
        <f ca="1"/>
        <v/>
      </c>
      <c r="B2313" s="378"/>
      <c r="C2313" s="315"/>
      <c r="D2313" s="316"/>
      <c r="E2313" s="315"/>
      <c r="F2313" s="315"/>
      <c r="G2313" s="315"/>
      <c r="H2313" s="153"/>
      <c r="I2313" s="12"/>
      <c r="J2313" s="12"/>
      <c r="K2313" s="12"/>
      <c r="L2313" s="379"/>
      <c r="M2313" s="380"/>
      <c r="N2313" s="380"/>
      <c r="O2313" s="12"/>
      <c r="P2313" s="381"/>
      <c r="Q2313" s="12"/>
      <c r="R2313" s="12"/>
      <c r="S2313" s="382"/>
      <c r="T2313" s="383"/>
      <c r="U2313" s="384"/>
      <c r="V2313" s="12"/>
      <c r="W2313" s="12"/>
    </row>
    <row r="2314" spans="1:23" x14ac:dyDescent="0.3">
      <c r="A2314" s="193" t="str">
        <f ca="1"/>
        <v/>
      </c>
      <c r="B2314" s="378"/>
      <c r="C2314" s="315"/>
      <c r="D2314" s="316"/>
      <c r="E2314" s="315"/>
      <c r="F2314" s="315"/>
      <c r="G2314" s="315"/>
      <c r="H2314" s="153"/>
      <c r="I2314" s="12"/>
      <c r="J2314" s="12"/>
      <c r="K2314" s="12"/>
      <c r="L2314" s="379"/>
      <c r="M2314" s="380"/>
      <c r="N2314" s="380"/>
      <c r="O2314" s="12"/>
      <c r="P2314" s="381"/>
      <c r="Q2314" s="12"/>
      <c r="R2314" s="12"/>
      <c r="S2314" s="382"/>
      <c r="T2314" s="383"/>
      <c r="U2314" s="384"/>
      <c r="V2314" s="12"/>
      <c r="W2314" s="12"/>
    </row>
    <row r="2315" spans="1:23" x14ac:dyDescent="0.3">
      <c r="A2315" s="193" t="str">
        <f ca="1"/>
        <v/>
      </c>
      <c r="B2315" s="378"/>
      <c r="C2315" s="315"/>
      <c r="D2315" s="316"/>
      <c r="E2315" s="315"/>
      <c r="F2315" s="315"/>
      <c r="G2315" s="315"/>
      <c r="H2315" s="153"/>
      <c r="I2315" s="12"/>
      <c r="J2315" s="12"/>
      <c r="K2315" s="12"/>
      <c r="L2315" s="379"/>
      <c r="M2315" s="380"/>
      <c r="N2315" s="380"/>
      <c r="O2315" s="12"/>
      <c r="P2315" s="381"/>
      <c r="Q2315" s="12"/>
      <c r="R2315" s="12"/>
      <c r="S2315" s="382"/>
      <c r="T2315" s="383"/>
      <c r="U2315" s="384"/>
      <c r="V2315" s="12"/>
      <c r="W2315" s="12"/>
    </row>
    <row r="2316" spans="1:23" x14ac:dyDescent="0.3">
      <c r="A2316" s="193" t="str">
        <f ca="1"/>
        <v/>
      </c>
      <c r="B2316" s="378"/>
      <c r="C2316" s="315"/>
      <c r="D2316" s="316"/>
      <c r="E2316" s="315"/>
      <c r="F2316" s="315"/>
      <c r="G2316" s="315"/>
      <c r="H2316" s="153"/>
      <c r="I2316" s="12"/>
      <c r="J2316" s="12"/>
      <c r="K2316" s="12"/>
      <c r="L2316" s="379"/>
      <c r="M2316" s="380"/>
      <c r="N2316" s="380"/>
      <c r="O2316" s="12"/>
      <c r="P2316" s="381"/>
      <c r="Q2316" s="12"/>
      <c r="R2316" s="12"/>
      <c r="S2316" s="382"/>
      <c r="T2316" s="383"/>
      <c r="U2316" s="384"/>
      <c r="V2316" s="12"/>
      <c r="W2316" s="12"/>
    </row>
    <row r="2317" spans="1:23" x14ac:dyDescent="0.3">
      <c r="A2317" s="193" t="str">
        <f ca="1"/>
        <v/>
      </c>
      <c r="B2317" s="378"/>
      <c r="C2317" s="315"/>
      <c r="D2317" s="316"/>
      <c r="E2317" s="315"/>
      <c r="F2317" s="315"/>
      <c r="G2317" s="315"/>
      <c r="H2317" s="153"/>
      <c r="I2317" s="12"/>
      <c r="J2317" s="12"/>
      <c r="K2317" s="12"/>
      <c r="L2317" s="379"/>
      <c r="M2317" s="380"/>
      <c r="N2317" s="380"/>
      <c r="O2317" s="12"/>
      <c r="P2317" s="381"/>
      <c r="Q2317" s="12"/>
      <c r="R2317" s="12"/>
      <c r="S2317" s="382"/>
      <c r="T2317" s="383"/>
      <c r="U2317" s="384"/>
      <c r="V2317" s="12"/>
      <c r="W2317" s="12"/>
    </row>
    <row r="2318" spans="1:23" x14ac:dyDescent="0.3">
      <c r="A2318" s="193" t="str">
        <f ca="1"/>
        <v/>
      </c>
      <c r="B2318" s="378"/>
      <c r="C2318" s="315"/>
      <c r="D2318" s="316"/>
      <c r="E2318" s="315"/>
      <c r="F2318" s="315"/>
      <c r="G2318" s="315"/>
      <c r="H2318" s="153"/>
      <c r="I2318" s="12"/>
      <c r="J2318" s="12"/>
      <c r="K2318" s="12"/>
      <c r="L2318" s="379"/>
      <c r="M2318" s="380"/>
      <c r="N2318" s="380"/>
      <c r="O2318" s="12"/>
      <c r="P2318" s="381"/>
      <c r="Q2318" s="12"/>
      <c r="R2318" s="12"/>
      <c r="S2318" s="382"/>
      <c r="T2318" s="383"/>
      <c r="U2318" s="384"/>
      <c r="V2318" s="12"/>
      <c r="W2318" s="12"/>
    </row>
    <row r="2319" spans="1:23" x14ac:dyDescent="0.3">
      <c r="A2319" s="193" t="str">
        <f ca="1"/>
        <v/>
      </c>
      <c r="B2319" s="378"/>
      <c r="C2319" s="315"/>
      <c r="D2319" s="316"/>
      <c r="E2319" s="315"/>
      <c r="F2319" s="315"/>
      <c r="G2319" s="315"/>
      <c r="H2319" s="153"/>
      <c r="I2319" s="12"/>
      <c r="J2319" s="12"/>
      <c r="K2319" s="12"/>
      <c r="L2319" s="379"/>
      <c r="M2319" s="380"/>
      <c r="N2319" s="380"/>
      <c r="O2319" s="12"/>
      <c r="P2319" s="381"/>
      <c r="Q2319" s="12"/>
      <c r="R2319" s="12"/>
      <c r="S2319" s="382"/>
      <c r="T2319" s="383"/>
      <c r="U2319" s="384"/>
      <c r="V2319" s="12"/>
      <c r="W2319" s="12"/>
    </row>
    <row r="2320" spans="1:23" x14ac:dyDescent="0.3">
      <c r="A2320" s="193" t="str">
        <f ca="1"/>
        <v/>
      </c>
      <c r="B2320" s="378"/>
      <c r="C2320" s="315"/>
      <c r="D2320" s="316"/>
      <c r="E2320" s="315"/>
      <c r="F2320" s="315"/>
      <c r="G2320" s="315"/>
      <c r="H2320" s="153"/>
      <c r="I2320" s="12"/>
      <c r="J2320" s="12"/>
      <c r="K2320" s="12"/>
      <c r="L2320" s="379"/>
      <c r="M2320" s="380"/>
      <c r="N2320" s="380"/>
      <c r="O2320" s="12"/>
      <c r="P2320" s="381"/>
      <c r="Q2320" s="12"/>
      <c r="R2320" s="12"/>
      <c r="S2320" s="382"/>
      <c r="T2320" s="383"/>
      <c r="U2320" s="384"/>
      <c r="V2320" s="12"/>
      <c r="W2320" s="12"/>
    </row>
    <row r="2321" spans="1:23" x14ac:dyDescent="0.3">
      <c r="A2321" s="193" t="str">
        <f ca="1"/>
        <v/>
      </c>
      <c r="B2321" s="378"/>
      <c r="C2321" s="315"/>
      <c r="D2321" s="316"/>
      <c r="E2321" s="315"/>
      <c r="F2321" s="315"/>
      <c r="G2321" s="315"/>
      <c r="H2321" s="153"/>
      <c r="I2321" s="12"/>
      <c r="J2321" s="12"/>
      <c r="K2321" s="12"/>
      <c r="L2321" s="379"/>
      <c r="M2321" s="380"/>
      <c r="N2321" s="380"/>
      <c r="O2321" s="12"/>
      <c r="P2321" s="381"/>
      <c r="Q2321" s="12"/>
      <c r="R2321" s="12"/>
      <c r="S2321" s="382"/>
      <c r="T2321" s="383"/>
      <c r="U2321" s="384"/>
      <c r="V2321" s="12"/>
      <c r="W2321" s="12"/>
    </row>
    <row r="2322" spans="1:23" x14ac:dyDescent="0.3">
      <c r="A2322" s="193" t="str">
        <f ca="1"/>
        <v/>
      </c>
      <c r="B2322" s="378"/>
      <c r="C2322" s="315"/>
      <c r="D2322" s="316"/>
      <c r="E2322" s="315"/>
      <c r="F2322" s="315"/>
      <c r="G2322" s="315"/>
      <c r="H2322" s="153"/>
      <c r="I2322" s="12"/>
      <c r="J2322" s="12"/>
      <c r="K2322" s="12"/>
      <c r="L2322" s="379"/>
      <c r="M2322" s="380"/>
      <c r="N2322" s="380"/>
      <c r="O2322" s="12"/>
      <c r="P2322" s="381"/>
      <c r="Q2322" s="12"/>
      <c r="R2322" s="12"/>
      <c r="S2322" s="382"/>
      <c r="T2322" s="383"/>
      <c r="U2322" s="384"/>
      <c r="V2322" s="12"/>
      <c r="W2322" s="12"/>
    </row>
    <row r="2323" spans="1:23" x14ac:dyDescent="0.3">
      <c r="A2323" s="193" t="str">
        <f ca="1"/>
        <v/>
      </c>
      <c r="B2323" s="378"/>
      <c r="C2323" s="315"/>
      <c r="D2323" s="316"/>
      <c r="E2323" s="315"/>
      <c r="F2323" s="315"/>
      <c r="G2323" s="315"/>
      <c r="H2323" s="153"/>
      <c r="I2323" s="12"/>
      <c r="J2323" s="12"/>
      <c r="K2323" s="12"/>
      <c r="L2323" s="379"/>
      <c r="M2323" s="380"/>
      <c r="N2323" s="380"/>
      <c r="O2323" s="12"/>
      <c r="P2323" s="381"/>
      <c r="Q2323" s="12"/>
      <c r="R2323" s="12"/>
      <c r="S2323" s="382"/>
      <c r="T2323" s="383"/>
      <c r="U2323" s="384"/>
      <c r="V2323" s="12"/>
      <c r="W2323" s="12"/>
    </row>
    <row r="2324" spans="1:23" x14ac:dyDescent="0.3">
      <c r="A2324" s="193" t="str">
        <f ca="1"/>
        <v/>
      </c>
      <c r="B2324" s="378"/>
      <c r="C2324" s="315"/>
      <c r="D2324" s="316"/>
      <c r="E2324" s="315"/>
      <c r="F2324" s="315"/>
      <c r="G2324" s="315"/>
      <c r="H2324" s="153"/>
      <c r="I2324" s="12"/>
      <c r="J2324" s="12"/>
      <c r="K2324" s="12"/>
      <c r="L2324" s="379"/>
      <c r="M2324" s="380"/>
      <c r="N2324" s="380"/>
      <c r="O2324" s="12"/>
      <c r="P2324" s="381"/>
      <c r="Q2324" s="12"/>
      <c r="R2324" s="12"/>
      <c r="S2324" s="382"/>
      <c r="T2324" s="383"/>
      <c r="U2324" s="384"/>
      <c r="V2324" s="12"/>
      <c r="W2324" s="12"/>
    </row>
    <row r="2325" spans="1:23" x14ac:dyDescent="0.3">
      <c r="A2325" s="193" t="str">
        <f ca="1"/>
        <v/>
      </c>
      <c r="B2325" s="378"/>
      <c r="C2325" s="315"/>
      <c r="D2325" s="316"/>
      <c r="E2325" s="315"/>
      <c r="F2325" s="315"/>
      <c r="G2325" s="315"/>
      <c r="H2325" s="153"/>
      <c r="I2325" s="12"/>
      <c r="J2325" s="12"/>
      <c r="K2325" s="12"/>
      <c r="L2325" s="379"/>
      <c r="M2325" s="380"/>
      <c r="N2325" s="380"/>
      <c r="O2325" s="12"/>
      <c r="P2325" s="381"/>
      <c r="Q2325" s="12"/>
      <c r="R2325" s="12"/>
      <c r="S2325" s="382"/>
      <c r="T2325" s="383"/>
      <c r="U2325" s="384"/>
      <c r="V2325" s="12"/>
      <c r="W2325" s="12"/>
    </row>
    <row r="2326" spans="1:23" x14ac:dyDescent="0.3">
      <c r="A2326" s="193" t="str">
        <f ca="1"/>
        <v/>
      </c>
      <c r="B2326" s="378"/>
      <c r="C2326" s="315"/>
      <c r="D2326" s="316"/>
      <c r="E2326" s="315"/>
      <c r="F2326" s="315"/>
      <c r="G2326" s="315"/>
      <c r="H2326" s="153"/>
      <c r="I2326" s="12"/>
      <c r="J2326" s="12"/>
      <c r="K2326" s="12"/>
      <c r="L2326" s="379"/>
      <c r="M2326" s="380"/>
      <c r="N2326" s="380"/>
      <c r="O2326" s="12"/>
      <c r="P2326" s="381"/>
      <c r="Q2326" s="12"/>
      <c r="R2326" s="12"/>
      <c r="S2326" s="382"/>
      <c r="T2326" s="383"/>
      <c r="U2326" s="384"/>
      <c r="V2326" s="12"/>
      <c r="W2326" s="12"/>
    </row>
    <row r="2327" spans="1:23" x14ac:dyDescent="0.3">
      <c r="A2327" s="193" t="str">
        <f ca="1"/>
        <v/>
      </c>
      <c r="B2327" s="378"/>
      <c r="C2327" s="315"/>
      <c r="D2327" s="316"/>
      <c r="E2327" s="315"/>
      <c r="F2327" s="315"/>
      <c r="G2327" s="315"/>
      <c r="H2327" s="153"/>
      <c r="I2327" s="12"/>
      <c r="J2327" s="12"/>
      <c r="K2327" s="12"/>
      <c r="L2327" s="379"/>
      <c r="M2327" s="380"/>
      <c r="N2327" s="380"/>
      <c r="O2327" s="12"/>
      <c r="P2327" s="381"/>
      <c r="Q2327" s="12"/>
      <c r="R2327" s="12"/>
      <c r="S2327" s="382"/>
      <c r="T2327" s="383"/>
      <c r="U2327" s="384"/>
      <c r="V2327" s="12"/>
      <c r="W2327" s="12"/>
    </row>
    <row r="2328" spans="1:23" x14ac:dyDescent="0.3">
      <c r="A2328" s="193" t="str">
        <f ca="1"/>
        <v/>
      </c>
      <c r="B2328" s="378"/>
      <c r="C2328" s="315"/>
      <c r="D2328" s="316"/>
      <c r="E2328" s="315"/>
      <c r="F2328" s="315"/>
      <c r="G2328" s="315"/>
      <c r="H2328" s="153"/>
      <c r="I2328" s="12"/>
      <c r="J2328" s="12"/>
      <c r="K2328" s="12"/>
      <c r="L2328" s="379"/>
      <c r="M2328" s="380"/>
      <c r="N2328" s="380"/>
      <c r="O2328" s="12"/>
      <c r="P2328" s="381"/>
      <c r="Q2328" s="12"/>
      <c r="R2328" s="12"/>
      <c r="S2328" s="382"/>
      <c r="T2328" s="383"/>
      <c r="U2328" s="384"/>
      <c r="V2328" s="12"/>
      <c r="W2328" s="12"/>
    </row>
    <row r="2329" spans="1:23" x14ac:dyDescent="0.3">
      <c r="A2329" s="193" t="str">
        <f ca="1"/>
        <v/>
      </c>
      <c r="B2329" s="378"/>
      <c r="C2329" s="315"/>
      <c r="D2329" s="316"/>
      <c r="E2329" s="315"/>
      <c r="F2329" s="315"/>
      <c r="G2329" s="315"/>
      <c r="H2329" s="153"/>
      <c r="I2329" s="12"/>
      <c r="J2329" s="12"/>
      <c r="K2329" s="12"/>
      <c r="L2329" s="379"/>
      <c r="M2329" s="380"/>
      <c r="N2329" s="380"/>
      <c r="O2329" s="12"/>
      <c r="P2329" s="381"/>
      <c r="Q2329" s="12"/>
      <c r="R2329" s="12"/>
      <c r="S2329" s="382"/>
      <c r="T2329" s="383"/>
      <c r="U2329" s="384"/>
      <c r="V2329" s="12"/>
      <c r="W2329" s="12"/>
    </row>
    <row r="2330" spans="1:23" x14ac:dyDescent="0.3">
      <c r="A2330" s="193" t="str">
        <f ca="1"/>
        <v/>
      </c>
      <c r="B2330" s="378"/>
      <c r="C2330" s="315"/>
      <c r="D2330" s="316"/>
      <c r="E2330" s="315"/>
      <c r="F2330" s="315"/>
      <c r="G2330" s="315"/>
      <c r="H2330" s="153"/>
      <c r="I2330" s="12"/>
      <c r="J2330" s="12"/>
      <c r="K2330" s="12"/>
      <c r="L2330" s="379"/>
      <c r="M2330" s="380"/>
      <c r="N2330" s="380"/>
      <c r="O2330" s="12"/>
      <c r="P2330" s="381"/>
      <c r="Q2330" s="12"/>
      <c r="R2330" s="12"/>
      <c r="S2330" s="382"/>
      <c r="T2330" s="383"/>
      <c r="U2330" s="384"/>
      <c r="V2330" s="12"/>
      <c r="W2330" s="12"/>
    </row>
    <row r="2331" spans="1:23" x14ac:dyDescent="0.3">
      <c r="A2331" s="193" t="str">
        <f ca="1"/>
        <v/>
      </c>
      <c r="B2331" s="378"/>
      <c r="C2331" s="315"/>
      <c r="D2331" s="316"/>
      <c r="E2331" s="315"/>
      <c r="F2331" s="315"/>
      <c r="G2331" s="315"/>
      <c r="H2331" s="153"/>
      <c r="I2331" s="12"/>
      <c r="J2331" s="12"/>
      <c r="K2331" s="12"/>
      <c r="L2331" s="379"/>
      <c r="M2331" s="380"/>
      <c r="N2331" s="380"/>
      <c r="O2331" s="12"/>
      <c r="P2331" s="381"/>
      <c r="Q2331" s="12"/>
      <c r="R2331" s="12"/>
      <c r="S2331" s="382"/>
      <c r="T2331" s="383"/>
      <c r="U2331" s="384"/>
      <c r="V2331" s="12"/>
      <c r="W2331" s="12"/>
    </row>
    <row r="2332" spans="1:23" x14ac:dyDescent="0.3">
      <c r="A2332" s="193" t="str">
        <f ca="1"/>
        <v/>
      </c>
      <c r="B2332" s="378"/>
      <c r="C2332" s="315"/>
      <c r="D2332" s="316"/>
      <c r="E2332" s="315"/>
      <c r="F2332" s="315"/>
      <c r="G2332" s="315"/>
      <c r="H2332" s="153"/>
      <c r="I2332" s="12"/>
      <c r="J2332" s="12"/>
      <c r="K2332" s="12"/>
      <c r="L2332" s="379"/>
      <c r="M2332" s="380"/>
      <c r="N2332" s="380"/>
      <c r="O2332" s="12"/>
      <c r="P2332" s="381"/>
      <c r="Q2332" s="12"/>
      <c r="R2332" s="12"/>
      <c r="S2332" s="382"/>
      <c r="T2332" s="383"/>
      <c r="U2332" s="384"/>
      <c r="V2332" s="12"/>
      <c r="W2332" s="12"/>
    </row>
    <row r="2333" spans="1:23" x14ac:dyDescent="0.3">
      <c r="A2333" s="193" t="str">
        <f ca="1"/>
        <v/>
      </c>
      <c r="B2333" s="378"/>
      <c r="C2333" s="315"/>
      <c r="D2333" s="316"/>
      <c r="E2333" s="315"/>
      <c r="F2333" s="315"/>
      <c r="G2333" s="315"/>
      <c r="H2333" s="153"/>
      <c r="I2333" s="12"/>
      <c r="J2333" s="12"/>
      <c r="K2333" s="12"/>
      <c r="L2333" s="379"/>
      <c r="M2333" s="380"/>
      <c r="N2333" s="380"/>
      <c r="O2333" s="12"/>
      <c r="P2333" s="381"/>
      <c r="Q2333" s="12"/>
      <c r="R2333" s="12"/>
      <c r="S2333" s="382"/>
      <c r="T2333" s="383"/>
      <c r="U2333" s="384"/>
      <c r="V2333" s="12"/>
      <c r="W2333" s="12"/>
    </row>
    <row r="2334" spans="1:23" x14ac:dyDescent="0.3">
      <c r="A2334" s="193" t="str">
        <f ca="1"/>
        <v/>
      </c>
      <c r="B2334" s="378"/>
      <c r="C2334" s="315"/>
      <c r="D2334" s="316"/>
      <c r="E2334" s="315"/>
      <c r="F2334" s="315"/>
      <c r="G2334" s="315"/>
      <c r="H2334" s="153"/>
      <c r="I2334" s="12"/>
      <c r="J2334" s="12"/>
      <c r="K2334" s="12"/>
      <c r="L2334" s="379"/>
      <c r="M2334" s="380"/>
      <c r="N2334" s="380"/>
      <c r="O2334" s="12"/>
      <c r="P2334" s="381"/>
      <c r="Q2334" s="12"/>
      <c r="R2334" s="12"/>
      <c r="S2334" s="382"/>
      <c r="T2334" s="383"/>
      <c r="U2334" s="384"/>
      <c r="V2334" s="12"/>
      <c r="W2334" s="12"/>
    </row>
    <row r="2335" spans="1:23" x14ac:dyDescent="0.3">
      <c r="A2335" s="193" t="str">
        <f ca="1"/>
        <v/>
      </c>
      <c r="B2335" s="378"/>
      <c r="C2335" s="315"/>
      <c r="D2335" s="316"/>
      <c r="E2335" s="315"/>
      <c r="F2335" s="315"/>
      <c r="G2335" s="315"/>
      <c r="H2335" s="153"/>
      <c r="I2335" s="12"/>
      <c r="J2335" s="12"/>
      <c r="K2335" s="12"/>
      <c r="L2335" s="379"/>
      <c r="M2335" s="380"/>
      <c r="N2335" s="380"/>
      <c r="O2335" s="12"/>
      <c r="P2335" s="381"/>
      <c r="Q2335" s="12"/>
      <c r="R2335" s="12"/>
      <c r="S2335" s="382"/>
      <c r="T2335" s="383"/>
      <c r="U2335" s="384"/>
      <c r="V2335" s="12"/>
      <c r="W2335" s="12"/>
    </row>
    <row r="2336" spans="1:23" x14ac:dyDescent="0.3">
      <c r="A2336" s="193" t="str">
        <f ca="1"/>
        <v/>
      </c>
      <c r="B2336" s="378"/>
      <c r="C2336" s="315"/>
      <c r="D2336" s="316"/>
      <c r="E2336" s="315"/>
      <c r="F2336" s="315"/>
      <c r="G2336" s="315"/>
      <c r="H2336" s="153"/>
      <c r="I2336" s="12"/>
      <c r="J2336" s="12"/>
      <c r="K2336" s="12"/>
      <c r="L2336" s="379"/>
      <c r="M2336" s="380"/>
      <c r="N2336" s="380"/>
      <c r="O2336" s="12"/>
      <c r="P2336" s="381"/>
      <c r="Q2336" s="12"/>
      <c r="R2336" s="12"/>
      <c r="S2336" s="382"/>
      <c r="T2336" s="383"/>
      <c r="U2336" s="384"/>
      <c r="V2336" s="12"/>
      <c r="W2336" s="12"/>
    </row>
    <row r="2337" spans="1:23" x14ac:dyDescent="0.3">
      <c r="A2337" s="193" t="str">
        <f ca="1"/>
        <v/>
      </c>
      <c r="B2337" s="378"/>
      <c r="C2337" s="315"/>
      <c r="D2337" s="316"/>
      <c r="E2337" s="315"/>
      <c r="F2337" s="315"/>
      <c r="G2337" s="315"/>
      <c r="H2337" s="153"/>
      <c r="I2337" s="12"/>
      <c r="J2337" s="12"/>
      <c r="K2337" s="12"/>
      <c r="L2337" s="379"/>
      <c r="M2337" s="380"/>
      <c r="N2337" s="380"/>
      <c r="O2337" s="12"/>
      <c r="P2337" s="381"/>
      <c r="Q2337" s="12"/>
      <c r="R2337" s="12"/>
      <c r="S2337" s="382"/>
      <c r="T2337" s="383"/>
      <c r="U2337" s="384"/>
      <c r="V2337" s="12"/>
      <c r="W2337" s="12"/>
    </row>
    <row r="2338" spans="1:23" x14ac:dyDescent="0.3">
      <c r="A2338" s="193" t="str">
        <f ca="1"/>
        <v/>
      </c>
      <c r="B2338" s="378"/>
      <c r="C2338" s="315"/>
      <c r="D2338" s="316"/>
      <c r="E2338" s="315"/>
      <c r="F2338" s="315"/>
      <c r="G2338" s="315"/>
      <c r="H2338" s="153"/>
      <c r="I2338" s="12"/>
      <c r="J2338" s="12"/>
      <c r="K2338" s="12"/>
      <c r="L2338" s="379"/>
      <c r="M2338" s="380"/>
      <c r="N2338" s="380"/>
      <c r="O2338" s="12"/>
      <c r="P2338" s="381"/>
      <c r="Q2338" s="12"/>
      <c r="R2338" s="12"/>
      <c r="S2338" s="382"/>
      <c r="T2338" s="383"/>
      <c r="U2338" s="384"/>
      <c r="V2338" s="12"/>
      <c r="W2338" s="12"/>
    </row>
    <row r="2339" spans="1:23" x14ac:dyDescent="0.3">
      <c r="A2339" s="193" t="str">
        <f ca="1"/>
        <v/>
      </c>
      <c r="B2339" s="378"/>
      <c r="C2339" s="315"/>
      <c r="D2339" s="316"/>
      <c r="E2339" s="315"/>
      <c r="F2339" s="315"/>
      <c r="G2339" s="315"/>
      <c r="H2339" s="153"/>
      <c r="I2339" s="12"/>
      <c r="J2339" s="12"/>
      <c r="K2339" s="12"/>
      <c r="L2339" s="379"/>
      <c r="M2339" s="380"/>
      <c r="N2339" s="380"/>
      <c r="O2339" s="12"/>
      <c r="P2339" s="381"/>
      <c r="Q2339" s="12"/>
      <c r="R2339" s="12"/>
      <c r="S2339" s="382"/>
      <c r="T2339" s="383"/>
      <c r="U2339" s="384"/>
      <c r="V2339" s="12"/>
      <c r="W2339" s="12"/>
    </row>
    <row r="2340" spans="1:23" x14ac:dyDescent="0.3">
      <c r="A2340" s="193" t="str">
        <f ca="1"/>
        <v/>
      </c>
      <c r="B2340" s="378"/>
      <c r="C2340" s="315"/>
      <c r="D2340" s="316"/>
      <c r="E2340" s="315"/>
      <c r="F2340" s="315"/>
      <c r="G2340" s="315"/>
      <c r="H2340" s="153"/>
      <c r="I2340" s="12"/>
      <c r="J2340" s="12"/>
      <c r="K2340" s="12"/>
      <c r="L2340" s="379"/>
      <c r="M2340" s="380"/>
      <c r="N2340" s="380"/>
      <c r="O2340" s="12"/>
      <c r="P2340" s="381"/>
      <c r="Q2340" s="12"/>
      <c r="R2340" s="12"/>
      <c r="S2340" s="382"/>
      <c r="T2340" s="383"/>
      <c r="U2340" s="384"/>
      <c r="V2340" s="12"/>
      <c r="W2340" s="12"/>
    </row>
    <row r="2341" spans="1:23" x14ac:dyDescent="0.3">
      <c r="A2341" s="193" t="str">
        <f ca="1"/>
        <v/>
      </c>
      <c r="B2341" s="378"/>
      <c r="C2341" s="315"/>
      <c r="D2341" s="316"/>
      <c r="E2341" s="315"/>
      <c r="F2341" s="315"/>
      <c r="G2341" s="315"/>
      <c r="H2341" s="153"/>
      <c r="I2341" s="12"/>
      <c r="J2341" s="12"/>
      <c r="K2341" s="12"/>
      <c r="L2341" s="379"/>
      <c r="M2341" s="380"/>
      <c r="N2341" s="380"/>
      <c r="O2341" s="12"/>
      <c r="P2341" s="381"/>
      <c r="Q2341" s="12"/>
      <c r="R2341" s="12"/>
      <c r="S2341" s="382"/>
      <c r="T2341" s="383"/>
      <c r="U2341" s="384"/>
      <c r="V2341" s="12"/>
      <c r="W2341" s="12"/>
    </row>
    <row r="2342" spans="1:23" x14ac:dyDescent="0.3">
      <c r="A2342" s="193" t="str">
        <f ca="1"/>
        <v/>
      </c>
      <c r="B2342" s="378"/>
      <c r="C2342" s="315"/>
      <c r="D2342" s="316"/>
      <c r="E2342" s="315"/>
      <c r="F2342" s="315"/>
      <c r="G2342" s="315"/>
      <c r="H2342" s="153"/>
      <c r="I2342" s="12"/>
      <c r="J2342" s="12"/>
      <c r="K2342" s="12"/>
      <c r="L2342" s="379"/>
      <c r="M2342" s="380"/>
      <c r="N2342" s="380"/>
      <c r="O2342" s="12"/>
      <c r="P2342" s="381"/>
      <c r="Q2342" s="12"/>
      <c r="R2342" s="12"/>
      <c r="S2342" s="382"/>
      <c r="T2342" s="383"/>
      <c r="U2342" s="384"/>
      <c r="V2342" s="12"/>
      <c r="W2342" s="12"/>
    </row>
    <row r="2343" spans="1:23" x14ac:dyDescent="0.3">
      <c r="A2343" s="193" t="str">
        <f ca="1"/>
        <v/>
      </c>
      <c r="B2343" s="378"/>
      <c r="C2343" s="315"/>
      <c r="D2343" s="316"/>
      <c r="E2343" s="315"/>
      <c r="F2343" s="315"/>
      <c r="G2343" s="315"/>
      <c r="H2343" s="153"/>
      <c r="I2343" s="12"/>
      <c r="J2343" s="12"/>
      <c r="K2343" s="12"/>
      <c r="L2343" s="379"/>
      <c r="M2343" s="380"/>
      <c r="N2343" s="380"/>
      <c r="O2343" s="12"/>
      <c r="P2343" s="381"/>
      <c r="Q2343" s="12"/>
      <c r="R2343" s="12"/>
      <c r="S2343" s="382"/>
      <c r="T2343" s="383"/>
      <c r="U2343" s="384"/>
      <c r="V2343" s="12"/>
      <c r="W2343" s="12"/>
    </row>
    <row r="2344" spans="1:23" x14ac:dyDescent="0.3">
      <c r="A2344" s="193" t="str">
        <f ca="1"/>
        <v/>
      </c>
      <c r="B2344" s="378"/>
      <c r="C2344" s="315"/>
      <c r="D2344" s="316"/>
      <c r="E2344" s="315"/>
      <c r="F2344" s="315"/>
      <c r="G2344" s="315"/>
      <c r="H2344" s="153"/>
      <c r="I2344" s="12"/>
      <c r="J2344" s="12"/>
      <c r="K2344" s="12"/>
      <c r="L2344" s="379"/>
      <c r="M2344" s="380"/>
      <c r="N2344" s="380"/>
      <c r="O2344" s="12"/>
      <c r="P2344" s="381"/>
      <c r="Q2344" s="12"/>
      <c r="R2344" s="12"/>
      <c r="S2344" s="382"/>
      <c r="T2344" s="383"/>
      <c r="U2344" s="384"/>
      <c r="V2344" s="12"/>
      <c r="W2344" s="12"/>
    </row>
    <row r="2345" spans="1:23" x14ac:dyDescent="0.3">
      <c r="A2345" s="193" t="str">
        <f ca="1"/>
        <v/>
      </c>
      <c r="B2345" s="378"/>
      <c r="C2345" s="315"/>
      <c r="D2345" s="316"/>
      <c r="E2345" s="315"/>
      <c r="F2345" s="315"/>
      <c r="G2345" s="315"/>
      <c r="H2345" s="153"/>
      <c r="I2345" s="12"/>
      <c r="J2345" s="12"/>
      <c r="K2345" s="12"/>
      <c r="L2345" s="379"/>
      <c r="M2345" s="380"/>
      <c r="N2345" s="380"/>
      <c r="O2345" s="12"/>
      <c r="P2345" s="381"/>
      <c r="Q2345" s="12"/>
      <c r="R2345" s="12"/>
      <c r="S2345" s="382"/>
      <c r="T2345" s="383"/>
      <c r="U2345" s="384"/>
      <c r="V2345" s="12"/>
      <c r="W2345" s="12"/>
    </row>
    <row r="2346" spans="1:23" x14ac:dyDescent="0.3">
      <c r="A2346" s="193" t="str">
        <f ca="1"/>
        <v/>
      </c>
      <c r="B2346" s="378"/>
      <c r="C2346" s="315"/>
      <c r="D2346" s="316"/>
      <c r="E2346" s="315"/>
      <c r="F2346" s="315"/>
      <c r="G2346" s="315"/>
      <c r="H2346" s="153"/>
      <c r="I2346" s="12"/>
      <c r="J2346" s="12"/>
      <c r="K2346" s="12"/>
      <c r="L2346" s="379"/>
      <c r="M2346" s="380"/>
      <c r="N2346" s="380"/>
      <c r="O2346" s="12"/>
      <c r="P2346" s="381"/>
      <c r="Q2346" s="12"/>
      <c r="R2346" s="12"/>
      <c r="S2346" s="382"/>
      <c r="T2346" s="383"/>
      <c r="U2346" s="384"/>
      <c r="V2346" s="12"/>
      <c r="W2346" s="12"/>
    </row>
    <row r="2347" spans="1:23" x14ac:dyDescent="0.3">
      <c r="A2347" s="193" t="str">
        <f ca="1"/>
        <v/>
      </c>
      <c r="B2347" s="378"/>
      <c r="C2347" s="315"/>
      <c r="D2347" s="316"/>
      <c r="E2347" s="315"/>
      <c r="F2347" s="315"/>
      <c r="G2347" s="315"/>
      <c r="H2347" s="153"/>
      <c r="I2347" s="12"/>
      <c r="J2347" s="12"/>
      <c r="K2347" s="12"/>
      <c r="L2347" s="379"/>
      <c r="M2347" s="380"/>
      <c r="N2347" s="380"/>
      <c r="O2347" s="12"/>
      <c r="P2347" s="381"/>
      <c r="Q2347" s="12"/>
      <c r="R2347" s="12"/>
      <c r="S2347" s="382"/>
      <c r="T2347" s="383"/>
      <c r="U2347" s="384"/>
      <c r="V2347" s="12"/>
      <c r="W2347" s="12"/>
    </row>
    <row r="2348" spans="1:23" x14ac:dyDescent="0.3">
      <c r="A2348" s="193" t="str">
        <f ca="1"/>
        <v/>
      </c>
      <c r="B2348" s="378"/>
      <c r="C2348" s="315"/>
      <c r="D2348" s="316"/>
      <c r="E2348" s="315"/>
      <c r="F2348" s="315"/>
      <c r="G2348" s="315"/>
      <c r="H2348" s="153"/>
      <c r="I2348" s="12"/>
      <c r="J2348" s="12"/>
      <c r="K2348" s="12"/>
      <c r="L2348" s="379"/>
      <c r="M2348" s="380"/>
      <c r="N2348" s="380"/>
      <c r="O2348" s="12"/>
      <c r="P2348" s="381"/>
      <c r="Q2348" s="12"/>
      <c r="R2348" s="12"/>
      <c r="S2348" s="382"/>
      <c r="T2348" s="383"/>
      <c r="U2348" s="384"/>
      <c r="V2348" s="12"/>
      <c r="W2348" s="12"/>
    </row>
    <row r="2349" spans="1:23" x14ac:dyDescent="0.3">
      <c r="A2349" s="193" t="str">
        <f ca="1"/>
        <v/>
      </c>
      <c r="B2349" s="378"/>
      <c r="C2349" s="315"/>
      <c r="D2349" s="316"/>
      <c r="E2349" s="315"/>
      <c r="F2349" s="315"/>
      <c r="G2349" s="315"/>
      <c r="H2349" s="153"/>
      <c r="I2349" s="12"/>
      <c r="J2349" s="12"/>
      <c r="K2349" s="12"/>
      <c r="L2349" s="379"/>
      <c r="M2349" s="380"/>
      <c r="N2349" s="380"/>
      <c r="O2349" s="12"/>
      <c r="P2349" s="381"/>
      <c r="Q2349" s="12"/>
      <c r="R2349" s="12"/>
      <c r="S2349" s="382"/>
      <c r="T2349" s="383"/>
      <c r="U2349" s="384"/>
      <c r="V2349" s="12"/>
      <c r="W2349" s="12"/>
    </row>
    <row r="2350" spans="1:23" x14ac:dyDescent="0.3">
      <c r="A2350" s="193" t="str">
        <f ca="1"/>
        <v/>
      </c>
      <c r="B2350" s="378"/>
      <c r="C2350" s="315"/>
      <c r="D2350" s="316"/>
      <c r="E2350" s="315"/>
      <c r="F2350" s="315"/>
      <c r="G2350" s="315"/>
      <c r="H2350" s="153"/>
      <c r="I2350" s="12"/>
      <c r="J2350" s="12"/>
      <c r="K2350" s="12"/>
      <c r="L2350" s="379"/>
      <c r="M2350" s="380"/>
      <c r="N2350" s="380"/>
      <c r="O2350" s="12"/>
      <c r="P2350" s="381"/>
      <c r="Q2350" s="12"/>
      <c r="R2350" s="12"/>
      <c r="S2350" s="382"/>
      <c r="T2350" s="383"/>
      <c r="U2350" s="384"/>
      <c r="V2350" s="12"/>
      <c r="W2350" s="12"/>
    </row>
    <row r="2351" spans="1:23" x14ac:dyDescent="0.3">
      <c r="A2351" s="193" t="str">
        <f ca="1"/>
        <v/>
      </c>
      <c r="B2351" s="378"/>
      <c r="C2351" s="315"/>
      <c r="D2351" s="316"/>
      <c r="E2351" s="315"/>
      <c r="F2351" s="315"/>
      <c r="G2351" s="315"/>
      <c r="H2351" s="153"/>
      <c r="I2351" s="12"/>
      <c r="J2351" s="12"/>
      <c r="K2351" s="12"/>
      <c r="L2351" s="379"/>
      <c r="M2351" s="380"/>
      <c r="N2351" s="380"/>
      <c r="O2351" s="12"/>
      <c r="P2351" s="381"/>
      <c r="Q2351" s="12"/>
      <c r="R2351" s="12"/>
      <c r="S2351" s="382"/>
      <c r="T2351" s="383"/>
      <c r="U2351" s="384"/>
      <c r="V2351" s="12"/>
      <c r="W2351" s="12"/>
    </row>
    <row r="2352" spans="1:23" x14ac:dyDescent="0.3">
      <c r="A2352" s="193" t="str">
        <f ca="1"/>
        <v/>
      </c>
      <c r="B2352" s="378"/>
      <c r="C2352" s="315"/>
      <c r="D2352" s="316"/>
      <c r="E2352" s="315"/>
      <c r="F2352" s="315"/>
      <c r="G2352" s="315"/>
      <c r="H2352" s="153"/>
      <c r="I2352" s="12"/>
      <c r="J2352" s="12"/>
      <c r="K2352" s="12"/>
      <c r="L2352" s="379"/>
      <c r="M2352" s="380"/>
      <c r="N2352" s="380"/>
      <c r="O2352" s="12"/>
      <c r="P2352" s="381"/>
      <c r="Q2352" s="12"/>
      <c r="R2352" s="12"/>
      <c r="S2352" s="382"/>
      <c r="T2352" s="383"/>
      <c r="U2352" s="384"/>
      <c r="V2352" s="12"/>
      <c r="W2352" s="12"/>
    </row>
    <row r="2353" spans="1:23" x14ac:dyDescent="0.3">
      <c r="A2353" s="193" t="str">
        <f ca="1"/>
        <v/>
      </c>
      <c r="B2353" s="378"/>
      <c r="C2353" s="315"/>
      <c r="D2353" s="316"/>
      <c r="E2353" s="315"/>
      <c r="F2353" s="315"/>
      <c r="G2353" s="315"/>
      <c r="H2353" s="153"/>
      <c r="I2353" s="12"/>
      <c r="J2353" s="12"/>
      <c r="K2353" s="12"/>
      <c r="L2353" s="379"/>
      <c r="M2353" s="380"/>
      <c r="N2353" s="380"/>
      <c r="O2353" s="12"/>
      <c r="P2353" s="381"/>
      <c r="Q2353" s="12"/>
      <c r="R2353" s="12"/>
      <c r="S2353" s="382"/>
      <c r="T2353" s="383"/>
      <c r="U2353" s="384"/>
      <c r="V2353" s="12"/>
      <c r="W2353" s="12"/>
    </row>
    <row r="2354" spans="1:23" x14ac:dyDescent="0.3">
      <c r="A2354" s="193" t="str">
        <f ca="1"/>
        <v/>
      </c>
      <c r="B2354" s="378"/>
      <c r="C2354" s="315"/>
      <c r="D2354" s="316"/>
      <c r="E2354" s="315"/>
      <c r="F2354" s="315"/>
      <c r="G2354" s="315"/>
      <c r="H2354" s="153"/>
      <c r="I2354" s="12"/>
      <c r="J2354" s="12"/>
      <c r="K2354" s="12"/>
      <c r="L2354" s="379"/>
      <c r="M2354" s="380"/>
      <c r="N2354" s="380"/>
      <c r="O2354" s="12"/>
      <c r="P2354" s="381"/>
      <c r="Q2354" s="12"/>
      <c r="R2354" s="12"/>
      <c r="S2354" s="382"/>
      <c r="T2354" s="383"/>
      <c r="U2354" s="384"/>
      <c r="V2354" s="12"/>
      <c r="W2354" s="12"/>
    </row>
    <row r="2355" spans="1:23" x14ac:dyDescent="0.3">
      <c r="A2355" s="193" t="str">
        <f ca="1"/>
        <v/>
      </c>
      <c r="B2355" s="378"/>
      <c r="C2355" s="315"/>
      <c r="D2355" s="316"/>
      <c r="E2355" s="315"/>
      <c r="F2355" s="315"/>
      <c r="G2355" s="315"/>
      <c r="H2355" s="153"/>
      <c r="I2355" s="12"/>
      <c r="J2355" s="12"/>
      <c r="K2355" s="12"/>
      <c r="L2355" s="379"/>
      <c r="M2355" s="380"/>
      <c r="N2355" s="380"/>
      <c r="O2355" s="12"/>
      <c r="P2355" s="381"/>
      <c r="Q2355" s="12"/>
      <c r="R2355" s="12"/>
      <c r="S2355" s="382"/>
      <c r="T2355" s="383"/>
      <c r="U2355" s="384"/>
      <c r="V2355" s="12"/>
      <c r="W2355" s="12"/>
    </row>
    <row r="2356" spans="1:23" x14ac:dyDescent="0.3">
      <c r="A2356" s="193" t="str">
        <f ca="1"/>
        <v/>
      </c>
      <c r="B2356" s="378"/>
      <c r="C2356" s="315"/>
      <c r="D2356" s="316"/>
      <c r="E2356" s="315"/>
      <c r="F2356" s="315"/>
      <c r="G2356" s="315"/>
      <c r="H2356" s="153"/>
      <c r="I2356" s="12"/>
      <c r="J2356" s="12"/>
      <c r="K2356" s="12"/>
      <c r="L2356" s="379"/>
      <c r="M2356" s="380"/>
      <c r="N2356" s="380"/>
      <c r="O2356" s="12"/>
      <c r="P2356" s="381"/>
      <c r="Q2356" s="12"/>
      <c r="R2356" s="12"/>
      <c r="S2356" s="382"/>
      <c r="T2356" s="383"/>
      <c r="U2356" s="384"/>
      <c r="V2356" s="12"/>
      <c r="W2356" s="12"/>
    </row>
    <row r="2357" spans="1:23" x14ac:dyDescent="0.3">
      <c r="A2357" s="193" t="str">
        <f ca="1"/>
        <v/>
      </c>
      <c r="B2357" s="378"/>
      <c r="C2357" s="315"/>
      <c r="D2357" s="316"/>
      <c r="E2357" s="315"/>
      <c r="F2357" s="315"/>
      <c r="G2357" s="315"/>
      <c r="H2357" s="153"/>
      <c r="I2357" s="12"/>
      <c r="J2357" s="12"/>
      <c r="K2357" s="12"/>
      <c r="L2357" s="379"/>
      <c r="M2357" s="380"/>
      <c r="N2357" s="380"/>
      <c r="O2357" s="12"/>
      <c r="P2357" s="381"/>
      <c r="Q2357" s="12"/>
      <c r="R2357" s="12"/>
      <c r="S2357" s="382"/>
      <c r="T2357" s="383"/>
      <c r="U2357" s="384"/>
      <c r="V2357" s="12"/>
      <c r="W2357" s="12"/>
    </row>
    <row r="2358" spans="1:23" x14ac:dyDescent="0.3">
      <c r="A2358" s="193" t="str">
        <f ca="1"/>
        <v/>
      </c>
      <c r="B2358" s="378"/>
      <c r="C2358" s="315"/>
      <c r="D2358" s="316"/>
      <c r="E2358" s="315"/>
      <c r="F2358" s="315"/>
      <c r="G2358" s="315"/>
      <c r="H2358" s="153"/>
      <c r="I2358" s="12"/>
      <c r="J2358" s="12"/>
      <c r="K2358" s="12"/>
      <c r="L2358" s="379"/>
      <c r="M2358" s="380"/>
      <c r="N2358" s="380"/>
      <c r="O2358" s="12"/>
      <c r="P2358" s="381"/>
      <c r="Q2358" s="12"/>
      <c r="R2358" s="12"/>
      <c r="S2358" s="382"/>
      <c r="T2358" s="383"/>
      <c r="U2358" s="384"/>
      <c r="V2358" s="12"/>
      <c r="W2358" s="12"/>
    </row>
    <row r="2359" spans="1:23" x14ac:dyDescent="0.3">
      <c r="A2359" s="193" t="str">
        <f ca="1"/>
        <v/>
      </c>
      <c r="B2359" s="378"/>
      <c r="C2359" s="315"/>
      <c r="D2359" s="316"/>
      <c r="E2359" s="315"/>
      <c r="F2359" s="315"/>
      <c r="G2359" s="315"/>
      <c r="H2359" s="153"/>
      <c r="I2359" s="12"/>
      <c r="J2359" s="12"/>
      <c r="K2359" s="12"/>
      <c r="L2359" s="379"/>
      <c r="M2359" s="380"/>
      <c r="N2359" s="380"/>
      <c r="O2359" s="12"/>
      <c r="P2359" s="381"/>
      <c r="Q2359" s="12"/>
      <c r="R2359" s="12"/>
      <c r="S2359" s="382"/>
      <c r="T2359" s="383"/>
      <c r="U2359" s="384"/>
      <c r="V2359" s="12"/>
      <c r="W2359" s="12"/>
    </row>
    <row r="2360" spans="1:23" x14ac:dyDescent="0.3">
      <c r="A2360" s="193" t="str">
        <f ca="1"/>
        <v/>
      </c>
      <c r="B2360" s="378"/>
      <c r="C2360" s="315"/>
      <c r="D2360" s="316"/>
      <c r="E2360" s="315"/>
      <c r="F2360" s="315"/>
      <c r="G2360" s="315"/>
      <c r="H2360" s="153"/>
      <c r="I2360" s="12"/>
      <c r="J2360" s="12"/>
      <c r="K2360" s="12"/>
      <c r="L2360" s="379"/>
      <c r="M2360" s="380"/>
      <c r="N2360" s="380"/>
      <c r="O2360" s="12"/>
      <c r="P2360" s="381"/>
      <c r="Q2360" s="12"/>
      <c r="R2360" s="12"/>
      <c r="S2360" s="382"/>
      <c r="T2360" s="383"/>
      <c r="U2360" s="384"/>
      <c r="V2360" s="12"/>
      <c r="W2360" s="12"/>
    </row>
    <row r="2361" spans="1:23" x14ac:dyDescent="0.3">
      <c r="A2361" s="193" t="str">
        <f ca="1"/>
        <v/>
      </c>
      <c r="B2361" s="378"/>
      <c r="C2361" s="315"/>
      <c r="D2361" s="316"/>
      <c r="E2361" s="315"/>
      <c r="F2361" s="315"/>
      <c r="G2361" s="315"/>
      <c r="H2361" s="153"/>
      <c r="I2361" s="12"/>
      <c r="J2361" s="12"/>
      <c r="K2361" s="12"/>
      <c r="L2361" s="379"/>
      <c r="M2361" s="380"/>
      <c r="N2361" s="380"/>
      <c r="O2361" s="12"/>
      <c r="P2361" s="381"/>
      <c r="Q2361" s="12"/>
      <c r="R2361" s="12"/>
      <c r="S2361" s="382"/>
      <c r="T2361" s="383"/>
      <c r="U2361" s="384"/>
      <c r="V2361" s="12"/>
      <c r="W2361" s="12"/>
    </row>
    <row r="2362" spans="1:23" x14ac:dyDescent="0.3">
      <c r="A2362" s="193" t="str">
        <f ca="1"/>
        <v/>
      </c>
      <c r="B2362" s="378"/>
      <c r="C2362" s="315"/>
      <c r="D2362" s="316"/>
      <c r="E2362" s="315"/>
      <c r="F2362" s="315"/>
      <c r="G2362" s="315"/>
      <c r="H2362" s="153"/>
      <c r="I2362" s="12"/>
      <c r="J2362" s="12"/>
      <c r="K2362" s="12"/>
      <c r="L2362" s="379"/>
      <c r="M2362" s="380"/>
      <c r="N2362" s="380"/>
      <c r="O2362" s="12"/>
      <c r="P2362" s="381"/>
      <c r="Q2362" s="12"/>
      <c r="R2362" s="12"/>
      <c r="S2362" s="382"/>
      <c r="T2362" s="383"/>
      <c r="U2362" s="384"/>
      <c r="V2362" s="12"/>
      <c r="W2362" s="12"/>
    </row>
    <row r="2363" spans="1:23" x14ac:dyDescent="0.3">
      <c r="A2363" s="193" t="str">
        <f ca="1"/>
        <v/>
      </c>
      <c r="B2363" s="378"/>
      <c r="C2363" s="315"/>
      <c r="D2363" s="316"/>
      <c r="E2363" s="315"/>
      <c r="F2363" s="315"/>
      <c r="G2363" s="315"/>
      <c r="H2363" s="153"/>
      <c r="I2363" s="12"/>
      <c r="J2363" s="12"/>
      <c r="K2363" s="12"/>
      <c r="L2363" s="379"/>
      <c r="M2363" s="380"/>
      <c r="N2363" s="380"/>
      <c r="O2363" s="12"/>
      <c r="P2363" s="381"/>
      <c r="Q2363" s="12"/>
      <c r="R2363" s="12"/>
      <c r="S2363" s="382"/>
      <c r="T2363" s="383"/>
      <c r="U2363" s="384"/>
      <c r="V2363" s="12"/>
      <c r="W2363" s="12"/>
    </row>
    <row r="2364" spans="1:23" x14ac:dyDescent="0.3">
      <c r="A2364" s="193" t="str">
        <f ca="1"/>
        <v/>
      </c>
      <c r="B2364" s="378"/>
      <c r="C2364" s="315"/>
      <c r="D2364" s="316"/>
      <c r="E2364" s="315"/>
      <c r="F2364" s="315"/>
      <c r="G2364" s="315"/>
      <c r="H2364" s="153"/>
      <c r="I2364" s="12"/>
      <c r="J2364" s="12"/>
      <c r="K2364" s="12"/>
      <c r="L2364" s="379"/>
      <c r="M2364" s="380"/>
      <c r="N2364" s="380"/>
      <c r="O2364" s="12"/>
      <c r="P2364" s="381"/>
      <c r="Q2364" s="12"/>
      <c r="R2364" s="12"/>
      <c r="S2364" s="382"/>
      <c r="T2364" s="383"/>
      <c r="U2364" s="384"/>
      <c r="V2364" s="12"/>
      <c r="W2364" s="12"/>
    </row>
    <row r="2365" spans="1:23" x14ac:dyDescent="0.3">
      <c r="A2365" s="193" t="str">
        <f ca="1"/>
        <v/>
      </c>
      <c r="B2365" s="378"/>
      <c r="C2365" s="315"/>
      <c r="D2365" s="316"/>
      <c r="E2365" s="315"/>
      <c r="F2365" s="315"/>
      <c r="G2365" s="315"/>
      <c r="H2365" s="153"/>
      <c r="I2365" s="12"/>
      <c r="J2365" s="12"/>
      <c r="K2365" s="12"/>
      <c r="L2365" s="379"/>
      <c r="M2365" s="380"/>
      <c r="N2365" s="380"/>
      <c r="O2365" s="12"/>
      <c r="P2365" s="381"/>
      <c r="Q2365" s="12"/>
      <c r="R2365" s="12"/>
      <c r="S2365" s="382"/>
      <c r="T2365" s="383"/>
      <c r="U2365" s="384"/>
      <c r="V2365" s="12"/>
      <c r="W2365" s="12"/>
    </row>
    <row r="2366" spans="1:23" x14ac:dyDescent="0.3">
      <c r="A2366" s="193" t="str">
        <f ca="1"/>
        <v/>
      </c>
      <c r="B2366" s="378"/>
      <c r="C2366" s="315"/>
      <c r="D2366" s="316"/>
      <c r="E2366" s="315"/>
      <c r="F2366" s="315"/>
      <c r="G2366" s="315"/>
      <c r="H2366" s="153"/>
      <c r="I2366" s="12"/>
      <c r="J2366" s="12"/>
      <c r="K2366" s="12"/>
      <c r="L2366" s="379"/>
      <c r="M2366" s="380"/>
      <c r="N2366" s="380"/>
      <c r="O2366" s="12"/>
      <c r="P2366" s="381"/>
      <c r="Q2366" s="12"/>
      <c r="R2366" s="12"/>
      <c r="S2366" s="382"/>
      <c r="T2366" s="383"/>
      <c r="U2366" s="384"/>
      <c r="V2366" s="12"/>
      <c r="W2366" s="12"/>
    </row>
    <row r="2367" spans="1:23" x14ac:dyDescent="0.3">
      <c r="A2367" s="193" t="str">
        <f ca="1"/>
        <v/>
      </c>
      <c r="B2367" s="378"/>
      <c r="C2367" s="315"/>
      <c r="D2367" s="316"/>
      <c r="E2367" s="315"/>
      <c r="F2367" s="315"/>
      <c r="G2367" s="315"/>
      <c r="H2367" s="153"/>
      <c r="I2367" s="12"/>
      <c r="J2367" s="12"/>
      <c r="K2367" s="12"/>
      <c r="L2367" s="379"/>
      <c r="M2367" s="380"/>
      <c r="N2367" s="380"/>
      <c r="O2367" s="12"/>
      <c r="P2367" s="381"/>
      <c r="Q2367" s="12"/>
      <c r="R2367" s="12"/>
      <c r="S2367" s="382"/>
      <c r="T2367" s="383"/>
      <c r="U2367" s="384"/>
      <c r="V2367" s="12"/>
      <c r="W2367" s="12"/>
    </row>
    <row r="2368" spans="1:23" x14ac:dyDescent="0.3">
      <c r="A2368" s="193" t="str">
        <f ca="1"/>
        <v/>
      </c>
      <c r="B2368" s="378"/>
      <c r="C2368" s="315"/>
      <c r="D2368" s="316"/>
      <c r="E2368" s="315"/>
      <c r="F2368" s="315"/>
      <c r="G2368" s="315"/>
      <c r="H2368" s="153"/>
      <c r="I2368" s="12"/>
      <c r="J2368" s="12"/>
      <c r="K2368" s="12"/>
      <c r="L2368" s="379"/>
      <c r="M2368" s="380"/>
      <c r="N2368" s="380"/>
      <c r="O2368" s="12"/>
      <c r="P2368" s="381"/>
      <c r="Q2368" s="12"/>
      <c r="R2368" s="12"/>
      <c r="S2368" s="382"/>
      <c r="T2368" s="383"/>
      <c r="U2368" s="384"/>
      <c r="V2368" s="12"/>
      <c r="W2368" s="12"/>
    </row>
    <row r="2369" spans="1:23" x14ac:dyDescent="0.3">
      <c r="A2369" s="193" t="str">
        <f ca="1"/>
        <v/>
      </c>
      <c r="B2369" s="378"/>
      <c r="C2369" s="315"/>
      <c r="D2369" s="316"/>
      <c r="E2369" s="315"/>
      <c r="F2369" s="315"/>
      <c r="G2369" s="315"/>
      <c r="H2369" s="153"/>
      <c r="I2369" s="12"/>
      <c r="J2369" s="12"/>
      <c r="K2369" s="12"/>
      <c r="L2369" s="379"/>
      <c r="M2369" s="380"/>
      <c r="N2369" s="380"/>
      <c r="O2369" s="12"/>
      <c r="P2369" s="381"/>
      <c r="Q2369" s="12"/>
      <c r="R2369" s="12"/>
      <c r="S2369" s="382"/>
      <c r="T2369" s="383"/>
      <c r="U2369" s="384"/>
      <c r="V2369" s="12"/>
      <c r="W2369" s="12"/>
    </row>
    <row r="2370" spans="1:23" x14ac:dyDescent="0.3">
      <c r="A2370" s="193" t="str">
        <f ca="1"/>
        <v/>
      </c>
      <c r="B2370" s="378"/>
      <c r="C2370" s="315"/>
      <c r="D2370" s="316"/>
      <c r="E2370" s="315"/>
      <c r="F2370" s="315"/>
      <c r="G2370" s="315"/>
      <c r="H2370" s="153"/>
      <c r="I2370" s="12"/>
      <c r="J2370" s="12"/>
      <c r="K2370" s="12"/>
      <c r="L2370" s="379"/>
      <c r="M2370" s="380"/>
      <c r="N2370" s="380"/>
      <c r="O2370" s="12"/>
      <c r="P2370" s="381"/>
      <c r="Q2370" s="12"/>
      <c r="R2370" s="12"/>
      <c r="S2370" s="382"/>
      <c r="T2370" s="383"/>
      <c r="U2370" s="384"/>
      <c r="V2370" s="12"/>
      <c r="W2370" s="12"/>
    </row>
    <row r="2371" spans="1:23" x14ac:dyDescent="0.3">
      <c r="A2371" s="193" t="str">
        <f ca="1"/>
        <v/>
      </c>
      <c r="B2371" s="378"/>
      <c r="C2371" s="315"/>
      <c r="D2371" s="316"/>
      <c r="E2371" s="315"/>
      <c r="F2371" s="315"/>
      <c r="G2371" s="315"/>
      <c r="H2371" s="153"/>
      <c r="I2371" s="12"/>
      <c r="J2371" s="12"/>
      <c r="K2371" s="12"/>
      <c r="L2371" s="379"/>
      <c r="M2371" s="380"/>
      <c r="N2371" s="380"/>
      <c r="O2371" s="12"/>
      <c r="P2371" s="381"/>
      <c r="Q2371" s="12"/>
      <c r="R2371" s="12"/>
      <c r="S2371" s="382"/>
      <c r="T2371" s="383"/>
      <c r="U2371" s="384"/>
      <c r="V2371" s="12"/>
      <c r="W2371" s="12"/>
    </row>
    <row r="2372" spans="1:23" x14ac:dyDescent="0.3">
      <c r="A2372" s="193" t="str">
        <f ca="1"/>
        <v/>
      </c>
      <c r="B2372" s="378"/>
      <c r="C2372" s="315"/>
      <c r="D2372" s="316"/>
      <c r="E2372" s="315"/>
      <c r="F2372" s="315"/>
      <c r="G2372" s="315"/>
      <c r="H2372" s="153"/>
      <c r="I2372" s="12"/>
      <c r="J2372" s="12"/>
      <c r="K2372" s="12"/>
      <c r="L2372" s="379"/>
      <c r="M2372" s="380"/>
      <c r="N2372" s="380"/>
      <c r="O2372" s="12"/>
      <c r="P2372" s="381"/>
      <c r="Q2372" s="12"/>
      <c r="R2372" s="12"/>
      <c r="S2372" s="382"/>
      <c r="T2372" s="383"/>
      <c r="U2372" s="384"/>
      <c r="V2372" s="12"/>
      <c r="W2372" s="12"/>
    </row>
    <row r="2373" spans="1:23" x14ac:dyDescent="0.3">
      <c r="A2373" s="193" t="str">
        <f ca="1"/>
        <v/>
      </c>
      <c r="B2373" s="378"/>
      <c r="C2373" s="315"/>
      <c r="D2373" s="316"/>
      <c r="E2373" s="315"/>
      <c r="F2373" s="315"/>
      <c r="G2373" s="315"/>
      <c r="H2373" s="153"/>
      <c r="I2373" s="12"/>
      <c r="J2373" s="12"/>
      <c r="K2373" s="12"/>
      <c r="L2373" s="379"/>
      <c r="M2373" s="380"/>
      <c r="N2373" s="380"/>
      <c r="O2373" s="12"/>
      <c r="P2373" s="381"/>
      <c r="Q2373" s="12"/>
      <c r="R2373" s="12"/>
      <c r="S2373" s="382"/>
      <c r="T2373" s="383"/>
      <c r="U2373" s="384"/>
      <c r="V2373" s="12"/>
      <c r="W2373" s="12"/>
    </row>
    <row r="2374" spans="1:23" x14ac:dyDescent="0.3">
      <c r="A2374" s="193" t="str">
        <f ca="1"/>
        <v/>
      </c>
      <c r="B2374" s="378"/>
      <c r="C2374" s="315"/>
      <c r="D2374" s="316"/>
      <c r="E2374" s="315"/>
      <c r="F2374" s="315"/>
      <c r="G2374" s="315"/>
      <c r="H2374" s="153"/>
      <c r="I2374" s="12"/>
      <c r="J2374" s="12"/>
      <c r="K2374" s="12"/>
      <c r="L2374" s="379"/>
      <c r="M2374" s="380"/>
      <c r="N2374" s="380"/>
      <c r="O2374" s="12"/>
      <c r="P2374" s="381"/>
      <c r="Q2374" s="12"/>
      <c r="R2374" s="12"/>
      <c r="S2374" s="382"/>
      <c r="T2374" s="383"/>
      <c r="U2374" s="384"/>
      <c r="V2374" s="12"/>
      <c r="W2374" s="12"/>
    </row>
    <row r="2375" spans="1:23" x14ac:dyDescent="0.3">
      <c r="A2375" s="193" t="str">
        <f ca="1"/>
        <v/>
      </c>
      <c r="B2375" s="378"/>
      <c r="C2375" s="315"/>
      <c r="D2375" s="316"/>
      <c r="E2375" s="315"/>
      <c r="F2375" s="315"/>
      <c r="G2375" s="315"/>
      <c r="H2375" s="153"/>
      <c r="I2375" s="12"/>
      <c r="J2375" s="12"/>
      <c r="K2375" s="12"/>
      <c r="L2375" s="379"/>
      <c r="M2375" s="380"/>
      <c r="N2375" s="380"/>
      <c r="O2375" s="12"/>
      <c r="P2375" s="381"/>
      <c r="Q2375" s="12"/>
      <c r="R2375" s="12"/>
      <c r="S2375" s="382"/>
      <c r="T2375" s="383"/>
      <c r="U2375" s="384"/>
      <c r="V2375" s="12"/>
      <c r="W2375" s="12"/>
    </row>
    <row r="2376" spans="1:23" x14ac:dyDescent="0.3">
      <c r="A2376" s="193" t="str">
        <f ca="1"/>
        <v/>
      </c>
      <c r="B2376" s="378"/>
      <c r="C2376" s="315"/>
      <c r="D2376" s="316"/>
      <c r="E2376" s="315"/>
      <c r="F2376" s="315"/>
      <c r="G2376" s="315"/>
      <c r="H2376" s="153"/>
      <c r="I2376" s="12"/>
      <c r="J2376" s="12"/>
      <c r="K2376" s="12"/>
      <c r="L2376" s="379"/>
      <c r="M2376" s="380"/>
      <c r="N2376" s="380"/>
      <c r="O2376" s="12"/>
      <c r="P2376" s="381"/>
      <c r="Q2376" s="12"/>
      <c r="R2376" s="12"/>
      <c r="S2376" s="382"/>
      <c r="T2376" s="383"/>
      <c r="U2376" s="384"/>
      <c r="V2376" s="12"/>
      <c r="W2376" s="12"/>
    </row>
    <row r="2377" spans="1:23" x14ac:dyDescent="0.3">
      <c r="A2377" s="193" t="str">
        <f ca="1"/>
        <v/>
      </c>
      <c r="B2377" s="378"/>
      <c r="C2377" s="315"/>
      <c r="D2377" s="316"/>
      <c r="E2377" s="315"/>
      <c r="F2377" s="315"/>
      <c r="G2377" s="315"/>
      <c r="H2377" s="153"/>
      <c r="I2377" s="12"/>
      <c r="J2377" s="12"/>
      <c r="K2377" s="12"/>
      <c r="L2377" s="379"/>
      <c r="M2377" s="380"/>
      <c r="N2377" s="380"/>
      <c r="O2377" s="12"/>
      <c r="P2377" s="381"/>
      <c r="Q2377" s="12"/>
      <c r="R2377" s="12"/>
      <c r="S2377" s="382"/>
      <c r="T2377" s="383"/>
      <c r="U2377" s="384"/>
      <c r="V2377" s="12"/>
      <c r="W2377" s="12"/>
    </row>
    <row r="2378" spans="1:23" x14ac:dyDescent="0.3">
      <c r="A2378" s="193" t="str">
        <f ca="1"/>
        <v/>
      </c>
      <c r="B2378" s="378"/>
      <c r="C2378" s="315"/>
      <c r="D2378" s="316"/>
      <c r="E2378" s="315"/>
      <c r="F2378" s="315"/>
      <c r="G2378" s="315"/>
      <c r="H2378" s="153"/>
      <c r="I2378" s="12"/>
      <c r="J2378" s="12"/>
      <c r="K2378" s="12"/>
      <c r="L2378" s="379"/>
      <c r="M2378" s="380"/>
      <c r="N2378" s="380"/>
      <c r="O2378" s="12"/>
      <c r="P2378" s="381"/>
      <c r="Q2378" s="12"/>
      <c r="R2378" s="12"/>
      <c r="S2378" s="382"/>
      <c r="T2378" s="383"/>
      <c r="U2378" s="384"/>
      <c r="V2378" s="12"/>
      <c r="W2378" s="12"/>
    </row>
    <row r="2379" spans="1:23" x14ac:dyDescent="0.3">
      <c r="A2379" s="193" t="str">
        <f ca="1"/>
        <v/>
      </c>
      <c r="B2379" s="378"/>
      <c r="C2379" s="315"/>
      <c r="D2379" s="316"/>
      <c r="E2379" s="315"/>
      <c r="F2379" s="315"/>
      <c r="G2379" s="315"/>
      <c r="H2379" s="153"/>
      <c r="I2379" s="12"/>
      <c r="J2379" s="12"/>
      <c r="K2379" s="12"/>
      <c r="L2379" s="379"/>
      <c r="M2379" s="380"/>
      <c r="N2379" s="380"/>
      <c r="O2379" s="12"/>
      <c r="P2379" s="381"/>
      <c r="Q2379" s="12"/>
      <c r="R2379" s="12"/>
      <c r="S2379" s="382"/>
      <c r="T2379" s="383"/>
      <c r="U2379" s="384"/>
      <c r="V2379" s="12"/>
      <c r="W2379" s="12"/>
    </row>
    <row r="2380" spans="1:23" x14ac:dyDescent="0.3">
      <c r="A2380" s="193" t="str">
        <f ca="1"/>
        <v/>
      </c>
      <c r="B2380" s="378"/>
      <c r="C2380" s="315"/>
      <c r="D2380" s="316"/>
      <c r="E2380" s="315"/>
      <c r="F2380" s="315"/>
      <c r="G2380" s="315"/>
      <c r="H2380" s="153"/>
      <c r="I2380" s="12"/>
      <c r="J2380" s="12"/>
      <c r="K2380" s="12"/>
      <c r="L2380" s="379"/>
      <c r="M2380" s="380"/>
      <c r="N2380" s="380"/>
      <c r="O2380" s="12"/>
      <c r="P2380" s="381"/>
      <c r="Q2380" s="12"/>
      <c r="R2380" s="12"/>
      <c r="S2380" s="382"/>
      <c r="T2380" s="383"/>
      <c r="U2380" s="384"/>
      <c r="V2380" s="12"/>
      <c r="W2380" s="12"/>
    </row>
    <row r="2381" spans="1:23" x14ac:dyDescent="0.3">
      <c r="A2381" s="193" t="str">
        <f ca="1"/>
        <v/>
      </c>
      <c r="B2381" s="378"/>
      <c r="C2381" s="315"/>
      <c r="D2381" s="316"/>
      <c r="E2381" s="315"/>
      <c r="F2381" s="315"/>
      <c r="G2381" s="315"/>
      <c r="H2381" s="153"/>
      <c r="I2381" s="12"/>
      <c r="J2381" s="12"/>
      <c r="K2381" s="12"/>
      <c r="L2381" s="379"/>
      <c r="M2381" s="380"/>
      <c r="N2381" s="380"/>
      <c r="O2381" s="12"/>
      <c r="P2381" s="381"/>
      <c r="Q2381" s="12"/>
      <c r="R2381" s="12"/>
      <c r="S2381" s="382"/>
      <c r="T2381" s="383"/>
      <c r="U2381" s="384"/>
      <c r="V2381" s="12"/>
      <c r="W2381" s="12"/>
    </row>
    <row r="2382" spans="1:23" x14ac:dyDescent="0.3">
      <c r="A2382" s="193" t="str">
        <f ca="1"/>
        <v/>
      </c>
      <c r="B2382" s="378"/>
      <c r="C2382" s="315"/>
      <c r="D2382" s="316"/>
      <c r="E2382" s="315"/>
      <c r="F2382" s="315"/>
      <c r="G2382" s="315"/>
      <c r="H2382" s="153"/>
      <c r="I2382" s="12"/>
      <c r="J2382" s="12"/>
      <c r="K2382" s="12"/>
      <c r="L2382" s="379"/>
      <c r="M2382" s="380"/>
      <c r="N2382" s="380"/>
      <c r="O2382" s="12"/>
      <c r="P2382" s="381"/>
      <c r="Q2382" s="12"/>
      <c r="R2382" s="12"/>
      <c r="S2382" s="382"/>
      <c r="T2382" s="383"/>
      <c r="U2382" s="384"/>
      <c r="V2382" s="12"/>
      <c r="W2382" s="12"/>
    </row>
    <row r="2383" spans="1:23" x14ac:dyDescent="0.3">
      <c r="A2383" s="193" t="str">
        <f ca="1"/>
        <v/>
      </c>
      <c r="B2383" s="378"/>
      <c r="C2383" s="315"/>
      <c r="D2383" s="316"/>
      <c r="E2383" s="315"/>
      <c r="F2383" s="315"/>
      <c r="G2383" s="315"/>
      <c r="H2383" s="153"/>
      <c r="I2383" s="12"/>
      <c r="J2383" s="12"/>
      <c r="K2383" s="12"/>
      <c r="L2383" s="379"/>
      <c r="M2383" s="380"/>
      <c r="N2383" s="380"/>
      <c r="O2383" s="12"/>
      <c r="P2383" s="381"/>
      <c r="Q2383" s="12"/>
      <c r="R2383" s="12"/>
      <c r="S2383" s="382"/>
      <c r="T2383" s="383"/>
      <c r="U2383" s="384"/>
      <c r="V2383" s="12"/>
      <c r="W2383" s="12"/>
    </row>
    <row r="2384" spans="1:23" x14ac:dyDescent="0.3">
      <c r="A2384" s="193" t="str">
        <f ca="1"/>
        <v/>
      </c>
      <c r="B2384" s="378"/>
      <c r="C2384" s="315"/>
      <c r="D2384" s="316"/>
      <c r="E2384" s="315"/>
      <c r="F2384" s="315"/>
      <c r="G2384" s="315"/>
      <c r="H2384" s="153"/>
      <c r="I2384" s="12"/>
      <c r="J2384" s="12"/>
      <c r="K2384" s="12"/>
      <c r="L2384" s="379"/>
      <c r="M2384" s="380"/>
      <c r="N2384" s="380"/>
      <c r="O2384" s="12"/>
      <c r="P2384" s="381"/>
      <c r="Q2384" s="12"/>
      <c r="R2384" s="12"/>
      <c r="S2384" s="382"/>
      <c r="T2384" s="383"/>
      <c r="U2384" s="384"/>
      <c r="V2384" s="12"/>
      <c r="W2384" s="12"/>
    </row>
    <row r="2385" spans="1:23" x14ac:dyDescent="0.3">
      <c r="A2385" s="193" t="str">
        <f ca="1"/>
        <v/>
      </c>
      <c r="B2385" s="378"/>
      <c r="C2385" s="315"/>
      <c r="D2385" s="316"/>
      <c r="E2385" s="315"/>
      <c r="F2385" s="315"/>
      <c r="G2385" s="315"/>
      <c r="H2385" s="153"/>
      <c r="I2385" s="12"/>
      <c r="J2385" s="12"/>
      <c r="K2385" s="12"/>
      <c r="L2385" s="379"/>
      <c r="M2385" s="380"/>
      <c r="N2385" s="380"/>
      <c r="O2385" s="12"/>
      <c r="P2385" s="381"/>
      <c r="Q2385" s="12"/>
      <c r="R2385" s="12"/>
      <c r="S2385" s="382"/>
      <c r="T2385" s="383"/>
      <c r="U2385" s="384"/>
      <c r="V2385" s="12"/>
      <c r="W2385" s="12"/>
    </row>
    <row r="2386" spans="1:23" x14ac:dyDescent="0.3">
      <c r="A2386" s="193" t="str">
        <f ca="1"/>
        <v/>
      </c>
      <c r="B2386" s="378"/>
      <c r="C2386" s="315"/>
      <c r="D2386" s="316"/>
      <c r="E2386" s="315"/>
      <c r="F2386" s="315"/>
      <c r="G2386" s="315"/>
      <c r="H2386" s="153"/>
      <c r="I2386" s="12"/>
      <c r="J2386" s="12"/>
      <c r="K2386" s="12"/>
      <c r="L2386" s="379"/>
      <c r="M2386" s="380"/>
      <c r="N2386" s="380"/>
      <c r="O2386" s="12"/>
      <c r="P2386" s="381"/>
      <c r="Q2386" s="12"/>
      <c r="R2386" s="12"/>
      <c r="S2386" s="382"/>
      <c r="T2386" s="383"/>
      <c r="U2386" s="384"/>
      <c r="V2386" s="12"/>
      <c r="W2386" s="12"/>
    </row>
    <row r="2387" spans="1:23" x14ac:dyDescent="0.3">
      <c r="A2387" s="193" t="str">
        <f ca="1"/>
        <v/>
      </c>
      <c r="B2387" s="378"/>
      <c r="C2387" s="315"/>
      <c r="D2387" s="316"/>
      <c r="E2387" s="315"/>
      <c r="F2387" s="315"/>
      <c r="G2387" s="315"/>
      <c r="H2387" s="153"/>
      <c r="I2387" s="12"/>
      <c r="J2387" s="12"/>
      <c r="K2387" s="12"/>
      <c r="L2387" s="379"/>
      <c r="M2387" s="380"/>
      <c r="N2387" s="380"/>
      <c r="O2387" s="12"/>
      <c r="P2387" s="381"/>
      <c r="Q2387" s="12"/>
      <c r="R2387" s="12"/>
      <c r="S2387" s="382"/>
      <c r="T2387" s="383"/>
      <c r="U2387" s="384"/>
      <c r="V2387" s="12"/>
      <c r="W2387" s="12"/>
    </row>
    <row r="2388" spans="1:23" x14ac:dyDescent="0.3">
      <c r="A2388" s="193" t="str">
        <f ca="1"/>
        <v/>
      </c>
      <c r="B2388" s="378"/>
      <c r="C2388" s="315"/>
      <c r="D2388" s="316"/>
      <c r="E2388" s="315"/>
      <c r="F2388" s="315"/>
      <c r="G2388" s="315"/>
      <c r="H2388" s="153"/>
      <c r="I2388" s="12"/>
      <c r="J2388" s="12"/>
      <c r="K2388" s="12"/>
      <c r="L2388" s="379"/>
      <c r="M2388" s="380"/>
      <c r="N2388" s="380"/>
      <c r="O2388" s="12"/>
      <c r="P2388" s="381"/>
      <c r="Q2388" s="12"/>
      <c r="R2388" s="12"/>
      <c r="S2388" s="382"/>
      <c r="T2388" s="383"/>
      <c r="U2388" s="384"/>
      <c r="V2388" s="12"/>
      <c r="W2388" s="12"/>
    </row>
    <row r="2389" spans="1:23" x14ac:dyDescent="0.3">
      <c r="A2389" s="193" t="str">
        <f ca="1"/>
        <v/>
      </c>
      <c r="B2389" s="378"/>
      <c r="C2389" s="315"/>
      <c r="D2389" s="316"/>
      <c r="E2389" s="315"/>
      <c r="F2389" s="315"/>
      <c r="G2389" s="315"/>
      <c r="H2389" s="153"/>
      <c r="I2389" s="12"/>
      <c r="J2389" s="12"/>
      <c r="K2389" s="12"/>
      <c r="L2389" s="379"/>
      <c r="M2389" s="380"/>
      <c r="N2389" s="380"/>
      <c r="O2389" s="12"/>
      <c r="P2389" s="381"/>
      <c r="Q2389" s="12"/>
      <c r="R2389" s="12"/>
      <c r="S2389" s="382"/>
      <c r="T2389" s="383"/>
      <c r="U2389" s="384"/>
      <c r="V2389" s="12"/>
      <c r="W2389" s="12"/>
    </row>
    <row r="2390" spans="1:23" x14ac:dyDescent="0.3">
      <c r="A2390" s="193" t="str">
        <f ca="1"/>
        <v/>
      </c>
      <c r="B2390" s="378"/>
      <c r="C2390" s="315"/>
      <c r="D2390" s="316"/>
      <c r="E2390" s="315"/>
      <c r="F2390" s="315"/>
      <c r="G2390" s="315"/>
      <c r="H2390" s="153"/>
      <c r="I2390" s="12"/>
      <c r="J2390" s="12"/>
      <c r="K2390" s="12"/>
      <c r="L2390" s="379"/>
      <c r="M2390" s="380"/>
      <c r="N2390" s="380"/>
      <c r="O2390" s="12"/>
      <c r="P2390" s="381"/>
      <c r="Q2390" s="12"/>
      <c r="R2390" s="12"/>
      <c r="S2390" s="382"/>
      <c r="T2390" s="383"/>
      <c r="U2390" s="384"/>
      <c r="V2390" s="12"/>
      <c r="W2390" s="12"/>
    </row>
    <row r="2391" spans="1:23" x14ac:dyDescent="0.3">
      <c r="A2391" s="193" t="str">
        <f ca="1"/>
        <v/>
      </c>
      <c r="B2391" s="378"/>
      <c r="C2391" s="315"/>
      <c r="D2391" s="316"/>
      <c r="E2391" s="315"/>
      <c r="F2391" s="315"/>
      <c r="G2391" s="315"/>
      <c r="H2391" s="153"/>
      <c r="I2391" s="12"/>
      <c r="J2391" s="12"/>
      <c r="K2391" s="12"/>
      <c r="L2391" s="379"/>
      <c r="M2391" s="380"/>
      <c r="N2391" s="380"/>
      <c r="O2391" s="12"/>
      <c r="P2391" s="381"/>
      <c r="Q2391" s="12"/>
      <c r="R2391" s="12"/>
      <c r="S2391" s="382"/>
      <c r="T2391" s="383"/>
      <c r="U2391" s="384"/>
      <c r="V2391" s="12"/>
      <c r="W2391" s="12"/>
    </row>
    <row r="2392" spans="1:23" x14ac:dyDescent="0.3">
      <c r="A2392" s="193" t="str">
        <f ca="1"/>
        <v/>
      </c>
      <c r="B2392" s="378"/>
      <c r="C2392" s="315"/>
      <c r="D2392" s="316"/>
      <c r="E2392" s="315"/>
      <c r="F2392" s="315"/>
      <c r="G2392" s="315"/>
      <c r="H2392" s="153"/>
      <c r="I2392" s="12"/>
      <c r="J2392" s="12"/>
      <c r="K2392" s="12"/>
      <c r="L2392" s="379"/>
      <c r="M2392" s="380"/>
      <c r="N2392" s="380"/>
      <c r="O2392" s="12"/>
      <c r="P2392" s="381"/>
      <c r="Q2392" s="12"/>
      <c r="R2392" s="12"/>
      <c r="S2392" s="382"/>
      <c r="T2392" s="383"/>
      <c r="U2392" s="384"/>
      <c r="V2392" s="12"/>
      <c r="W2392" s="12"/>
    </row>
    <row r="2393" spans="1:23" x14ac:dyDescent="0.3">
      <c r="A2393" s="193" t="str">
        <f ca="1"/>
        <v/>
      </c>
      <c r="B2393" s="378"/>
      <c r="C2393" s="315"/>
      <c r="D2393" s="316"/>
      <c r="E2393" s="315"/>
      <c r="F2393" s="315"/>
      <c r="G2393" s="315"/>
      <c r="H2393" s="153"/>
      <c r="I2393" s="12"/>
      <c r="J2393" s="12"/>
      <c r="K2393" s="12"/>
      <c r="L2393" s="379"/>
      <c r="M2393" s="380"/>
      <c r="N2393" s="380"/>
      <c r="O2393" s="12"/>
      <c r="P2393" s="381"/>
      <c r="Q2393" s="12"/>
      <c r="R2393" s="12"/>
      <c r="S2393" s="382"/>
      <c r="T2393" s="383"/>
      <c r="U2393" s="384"/>
      <c r="V2393" s="12"/>
      <c r="W2393" s="12"/>
    </row>
    <row r="2394" spans="1:23" x14ac:dyDescent="0.3">
      <c r="A2394" s="193" t="str">
        <f ca="1"/>
        <v/>
      </c>
      <c r="B2394" s="378"/>
      <c r="C2394" s="315"/>
      <c r="D2394" s="316"/>
      <c r="E2394" s="315"/>
      <c r="F2394" s="315"/>
      <c r="G2394" s="315"/>
      <c r="H2394" s="153"/>
      <c r="I2394" s="12"/>
      <c r="J2394" s="12"/>
      <c r="K2394" s="12"/>
      <c r="L2394" s="379"/>
      <c r="M2394" s="380"/>
      <c r="N2394" s="380"/>
      <c r="O2394" s="12"/>
      <c r="P2394" s="381"/>
      <c r="Q2394" s="12"/>
      <c r="R2394" s="12"/>
      <c r="S2394" s="382"/>
      <c r="T2394" s="383"/>
      <c r="U2394" s="384"/>
      <c r="V2394" s="12"/>
      <c r="W2394" s="12"/>
    </row>
    <row r="2395" spans="1:23" x14ac:dyDescent="0.3">
      <c r="A2395" s="193" t="str">
        <f ca="1"/>
        <v/>
      </c>
      <c r="B2395" s="378"/>
      <c r="C2395" s="315"/>
      <c r="D2395" s="316"/>
      <c r="E2395" s="315"/>
      <c r="F2395" s="315"/>
      <c r="G2395" s="315"/>
      <c r="H2395" s="153"/>
      <c r="I2395" s="12"/>
      <c r="J2395" s="12"/>
      <c r="K2395" s="12"/>
      <c r="L2395" s="379"/>
      <c r="M2395" s="380"/>
      <c r="N2395" s="380"/>
      <c r="O2395" s="12"/>
      <c r="P2395" s="381"/>
      <c r="Q2395" s="12"/>
      <c r="R2395" s="12"/>
      <c r="S2395" s="382"/>
      <c r="T2395" s="383"/>
      <c r="U2395" s="384"/>
      <c r="V2395" s="12"/>
      <c r="W2395" s="12"/>
    </row>
    <row r="2396" spans="1:23" x14ac:dyDescent="0.3">
      <c r="A2396" s="193" t="str">
        <f ca="1"/>
        <v/>
      </c>
      <c r="B2396" s="378"/>
      <c r="C2396" s="315"/>
      <c r="D2396" s="316"/>
      <c r="E2396" s="315"/>
      <c r="F2396" s="315"/>
      <c r="G2396" s="315"/>
      <c r="H2396" s="153"/>
      <c r="I2396" s="12"/>
      <c r="J2396" s="12"/>
      <c r="K2396" s="12"/>
      <c r="L2396" s="379"/>
      <c r="M2396" s="380"/>
      <c r="N2396" s="380"/>
      <c r="O2396" s="12"/>
      <c r="P2396" s="381"/>
      <c r="Q2396" s="12"/>
      <c r="R2396" s="12"/>
      <c r="S2396" s="382"/>
      <c r="T2396" s="383"/>
      <c r="U2396" s="384"/>
      <c r="V2396" s="12"/>
      <c r="W2396" s="12"/>
    </row>
    <row r="2397" spans="1:23" x14ac:dyDescent="0.3">
      <c r="A2397" s="193" t="str">
        <f ca="1"/>
        <v/>
      </c>
      <c r="B2397" s="378"/>
      <c r="C2397" s="315"/>
      <c r="D2397" s="316"/>
      <c r="E2397" s="315"/>
      <c r="F2397" s="315"/>
      <c r="G2397" s="315"/>
      <c r="H2397" s="153"/>
      <c r="I2397" s="12"/>
      <c r="J2397" s="12"/>
      <c r="K2397" s="12"/>
      <c r="L2397" s="379"/>
      <c r="M2397" s="380"/>
      <c r="N2397" s="380"/>
      <c r="O2397" s="12"/>
      <c r="P2397" s="381"/>
      <c r="Q2397" s="12"/>
      <c r="R2397" s="12"/>
      <c r="S2397" s="382"/>
      <c r="T2397" s="383"/>
      <c r="U2397" s="384"/>
      <c r="V2397" s="12"/>
      <c r="W2397" s="12"/>
    </row>
    <row r="2398" spans="1:23" x14ac:dyDescent="0.3">
      <c r="A2398" s="193" t="str">
        <f ca="1"/>
        <v/>
      </c>
      <c r="B2398" s="378"/>
      <c r="C2398" s="315"/>
      <c r="D2398" s="316"/>
      <c r="E2398" s="315"/>
      <c r="F2398" s="315"/>
      <c r="G2398" s="315"/>
      <c r="H2398" s="153"/>
      <c r="I2398" s="12"/>
      <c r="J2398" s="12"/>
      <c r="K2398" s="12"/>
      <c r="L2398" s="379"/>
      <c r="M2398" s="380"/>
      <c r="N2398" s="380"/>
      <c r="O2398" s="12"/>
      <c r="P2398" s="381"/>
      <c r="Q2398" s="12"/>
      <c r="R2398" s="12"/>
      <c r="S2398" s="382"/>
      <c r="T2398" s="383"/>
      <c r="U2398" s="384"/>
      <c r="V2398" s="12"/>
      <c r="W2398" s="12"/>
    </row>
    <row r="2399" spans="1:23" x14ac:dyDescent="0.3">
      <c r="A2399" s="193" t="str">
        <f ca="1"/>
        <v/>
      </c>
      <c r="B2399" s="378"/>
      <c r="C2399" s="315"/>
      <c r="D2399" s="316"/>
      <c r="E2399" s="315"/>
      <c r="F2399" s="315"/>
      <c r="G2399" s="315"/>
      <c r="H2399" s="153"/>
      <c r="I2399" s="12"/>
      <c r="J2399" s="12"/>
      <c r="K2399" s="12"/>
      <c r="L2399" s="379"/>
      <c r="M2399" s="380"/>
      <c r="N2399" s="380"/>
      <c r="O2399" s="12"/>
      <c r="P2399" s="381"/>
      <c r="Q2399" s="12"/>
      <c r="R2399" s="12"/>
      <c r="S2399" s="382"/>
      <c r="T2399" s="383"/>
      <c r="U2399" s="384"/>
      <c r="V2399" s="12"/>
      <c r="W2399" s="12"/>
    </row>
    <row r="2400" spans="1:23" x14ac:dyDescent="0.3">
      <c r="A2400" s="193" t="str">
        <f ca="1"/>
        <v/>
      </c>
      <c r="B2400" s="378"/>
      <c r="C2400" s="315"/>
      <c r="D2400" s="316"/>
      <c r="E2400" s="315"/>
      <c r="F2400" s="315"/>
      <c r="G2400" s="315"/>
      <c r="H2400" s="153"/>
      <c r="I2400" s="12"/>
      <c r="J2400" s="12"/>
      <c r="K2400" s="12"/>
      <c r="L2400" s="379"/>
      <c r="M2400" s="380"/>
      <c r="N2400" s="380"/>
      <c r="O2400" s="12"/>
      <c r="P2400" s="381"/>
      <c r="Q2400" s="12"/>
      <c r="R2400" s="12"/>
      <c r="S2400" s="382"/>
      <c r="T2400" s="383"/>
      <c r="U2400" s="384"/>
      <c r="V2400" s="12"/>
      <c r="W2400" s="12"/>
    </row>
    <row r="2401" spans="1:23" x14ac:dyDescent="0.3">
      <c r="A2401" s="193" t="str">
        <f ca="1"/>
        <v/>
      </c>
      <c r="B2401" s="378"/>
      <c r="C2401" s="315"/>
      <c r="D2401" s="316"/>
      <c r="E2401" s="315"/>
      <c r="F2401" s="315"/>
      <c r="G2401" s="315"/>
      <c r="H2401" s="153"/>
      <c r="I2401" s="12"/>
      <c r="J2401" s="12"/>
      <c r="K2401" s="12"/>
      <c r="L2401" s="379"/>
      <c r="M2401" s="380"/>
      <c r="N2401" s="380"/>
      <c r="O2401" s="12"/>
      <c r="P2401" s="381"/>
      <c r="Q2401" s="12"/>
      <c r="R2401" s="12"/>
      <c r="S2401" s="382"/>
      <c r="T2401" s="383"/>
      <c r="U2401" s="384"/>
      <c r="V2401" s="12"/>
      <c r="W2401" s="12"/>
    </row>
    <row r="2402" spans="1:23" x14ac:dyDescent="0.3">
      <c r="A2402" s="193" t="str">
        <f ca="1"/>
        <v/>
      </c>
      <c r="B2402" s="378"/>
      <c r="C2402" s="315"/>
      <c r="D2402" s="316"/>
      <c r="E2402" s="315"/>
      <c r="F2402" s="315"/>
      <c r="G2402" s="315"/>
      <c r="H2402" s="153"/>
      <c r="I2402" s="12"/>
      <c r="J2402" s="12"/>
      <c r="K2402" s="12"/>
      <c r="L2402" s="379"/>
      <c r="M2402" s="380"/>
      <c r="N2402" s="380"/>
      <c r="O2402" s="12"/>
      <c r="P2402" s="381"/>
      <c r="Q2402" s="12"/>
      <c r="R2402" s="12"/>
      <c r="S2402" s="382"/>
      <c r="T2402" s="383"/>
      <c r="U2402" s="384"/>
      <c r="V2402" s="12"/>
      <c r="W2402" s="12"/>
    </row>
    <row r="2403" spans="1:23" x14ac:dyDescent="0.3">
      <c r="A2403" s="193" t="str">
        <f ca="1"/>
        <v/>
      </c>
      <c r="B2403" s="378"/>
      <c r="C2403" s="315"/>
      <c r="D2403" s="316"/>
      <c r="E2403" s="315"/>
      <c r="F2403" s="315"/>
      <c r="G2403" s="315"/>
      <c r="H2403" s="153"/>
      <c r="I2403" s="12"/>
      <c r="J2403" s="12"/>
      <c r="K2403" s="12"/>
      <c r="L2403" s="379"/>
      <c r="M2403" s="380"/>
      <c r="N2403" s="380"/>
      <c r="O2403" s="12"/>
      <c r="P2403" s="381"/>
      <c r="Q2403" s="12"/>
      <c r="R2403" s="12"/>
      <c r="S2403" s="382"/>
      <c r="T2403" s="383"/>
      <c r="U2403" s="384"/>
      <c r="V2403" s="12"/>
      <c r="W2403" s="12"/>
    </row>
    <row r="2404" spans="1:23" x14ac:dyDescent="0.3">
      <c r="A2404" s="193" t="str">
        <f ca="1"/>
        <v/>
      </c>
      <c r="B2404" s="378"/>
      <c r="C2404" s="315"/>
      <c r="D2404" s="316"/>
      <c r="E2404" s="315"/>
      <c r="F2404" s="315"/>
      <c r="G2404" s="315"/>
      <c r="H2404" s="153"/>
      <c r="I2404" s="12"/>
      <c r="J2404" s="12"/>
      <c r="K2404" s="12"/>
      <c r="L2404" s="379"/>
      <c r="M2404" s="380"/>
      <c r="N2404" s="380"/>
      <c r="O2404" s="12"/>
      <c r="P2404" s="381"/>
      <c r="Q2404" s="12"/>
      <c r="R2404" s="12"/>
      <c r="S2404" s="382"/>
      <c r="T2404" s="383"/>
      <c r="U2404" s="384"/>
      <c r="V2404" s="12"/>
      <c r="W2404" s="12"/>
    </row>
    <row r="2405" spans="1:23" x14ac:dyDescent="0.3">
      <c r="A2405" s="193" t="str">
        <f ca="1"/>
        <v/>
      </c>
      <c r="B2405" s="378"/>
      <c r="C2405" s="315"/>
      <c r="D2405" s="316"/>
      <c r="E2405" s="315"/>
      <c r="F2405" s="315"/>
      <c r="G2405" s="315"/>
      <c r="H2405" s="153"/>
      <c r="I2405" s="12"/>
      <c r="J2405" s="12"/>
      <c r="K2405" s="12"/>
      <c r="L2405" s="379"/>
      <c r="M2405" s="380"/>
      <c r="N2405" s="380"/>
      <c r="O2405" s="12"/>
      <c r="P2405" s="381"/>
      <c r="Q2405" s="12"/>
      <c r="R2405" s="12"/>
      <c r="S2405" s="382"/>
      <c r="T2405" s="383"/>
      <c r="U2405" s="384"/>
      <c r="V2405" s="12"/>
      <c r="W2405" s="12"/>
    </row>
    <row r="2406" spans="1:23" x14ac:dyDescent="0.3">
      <c r="A2406" s="193" t="str">
        <f ca="1"/>
        <v/>
      </c>
      <c r="B2406" s="378"/>
      <c r="C2406" s="315"/>
      <c r="D2406" s="316"/>
      <c r="E2406" s="315"/>
      <c r="F2406" s="315"/>
      <c r="G2406" s="315"/>
      <c r="H2406" s="153"/>
      <c r="I2406" s="12"/>
      <c r="J2406" s="12"/>
      <c r="K2406" s="12"/>
      <c r="L2406" s="379"/>
      <c r="M2406" s="380"/>
      <c r="N2406" s="380"/>
      <c r="O2406" s="12"/>
      <c r="P2406" s="381"/>
      <c r="Q2406" s="12"/>
      <c r="R2406" s="12"/>
      <c r="S2406" s="382"/>
      <c r="T2406" s="383"/>
      <c r="U2406" s="384"/>
      <c r="V2406" s="12"/>
      <c r="W2406" s="12"/>
    </row>
    <row r="2407" spans="1:23" x14ac:dyDescent="0.3">
      <c r="A2407" s="193" t="str">
        <f ca="1"/>
        <v/>
      </c>
      <c r="B2407" s="378"/>
      <c r="C2407" s="315"/>
      <c r="D2407" s="316"/>
      <c r="E2407" s="315"/>
      <c r="F2407" s="315"/>
      <c r="G2407" s="315"/>
      <c r="H2407" s="153"/>
      <c r="I2407" s="12"/>
      <c r="J2407" s="12"/>
      <c r="K2407" s="12"/>
      <c r="L2407" s="379"/>
      <c r="M2407" s="380"/>
      <c r="N2407" s="380"/>
      <c r="O2407" s="12"/>
      <c r="P2407" s="381"/>
      <c r="Q2407" s="12"/>
      <c r="R2407" s="12"/>
      <c r="S2407" s="382"/>
      <c r="T2407" s="383"/>
      <c r="U2407" s="384"/>
      <c r="V2407" s="12"/>
      <c r="W2407" s="12"/>
    </row>
    <row r="2408" spans="1:23" x14ac:dyDescent="0.3">
      <c r="A2408" s="193" t="str">
        <f ca="1"/>
        <v/>
      </c>
      <c r="B2408" s="378"/>
      <c r="C2408" s="315"/>
      <c r="D2408" s="316"/>
      <c r="E2408" s="315"/>
      <c r="F2408" s="315"/>
      <c r="G2408" s="315"/>
      <c r="H2408" s="153"/>
      <c r="I2408" s="12"/>
      <c r="J2408" s="12"/>
      <c r="K2408" s="12"/>
      <c r="L2408" s="379"/>
      <c r="M2408" s="380"/>
      <c r="N2408" s="380"/>
      <c r="O2408" s="12"/>
      <c r="P2408" s="381"/>
      <c r="Q2408" s="12"/>
      <c r="R2408" s="12"/>
      <c r="S2408" s="382"/>
      <c r="T2408" s="383"/>
      <c r="U2408" s="384"/>
      <c r="V2408" s="12"/>
      <c r="W2408" s="12"/>
    </row>
    <row r="2409" spans="1:23" x14ac:dyDescent="0.3">
      <c r="A2409" s="193" t="str">
        <f ca="1"/>
        <v/>
      </c>
      <c r="B2409" s="378"/>
      <c r="C2409" s="315"/>
      <c r="D2409" s="316"/>
      <c r="E2409" s="315"/>
      <c r="F2409" s="315"/>
      <c r="G2409" s="315"/>
      <c r="H2409" s="153"/>
      <c r="I2409" s="12"/>
      <c r="J2409" s="12"/>
      <c r="K2409" s="12"/>
      <c r="L2409" s="379"/>
      <c r="M2409" s="380"/>
      <c r="N2409" s="380"/>
      <c r="O2409" s="12"/>
      <c r="P2409" s="381"/>
      <c r="Q2409" s="12"/>
      <c r="R2409" s="12"/>
      <c r="S2409" s="382"/>
      <c r="T2409" s="383"/>
      <c r="U2409" s="384"/>
      <c r="V2409" s="12"/>
      <c r="W2409" s="12"/>
    </row>
    <row r="2410" spans="1:23" x14ac:dyDescent="0.3">
      <c r="A2410" s="193" t="str">
        <f ca="1"/>
        <v/>
      </c>
      <c r="B2410" s="378"/>
      <c r="C2410" s="315"/>
      <c r="D2410" s="316"/>
      <c r="E2410" s="315"/>
      <c r="F2410" s="315"/>
      <c r="G2410" s="315"/>
      <c r="H2410" s="153"/>
      <c r="I2410" s="12"/>
      <c r="J2410" s="12"/>
      <c r="K2410" s="12"/>
      <c r="L2410" s="379"/>
      <c r="M2410" s="380"/>
      <c r="N2410" s="380"/>
      <c r="O2410" s="12"/>
      <c r="P2410" s="381"/>
      <c r="Q2410" s="12"/>
      <c r="R2410" s="12"/>
      <c r="S2410" s="382"/>
      <c r="T2410" s="383"/>
      <c r="U2410" s="384"/>
      <c r="V2410" s="12"/>
      <c r="W2410" s="12"/>
    </row>
    <row r="2411" spans="1:23" x14ac:dyDescent="0.3">
      <c r="A2411" s="193" t="str">
        <f ca="1"/>
        <v/>
      </c>
      <c r="B2411" s="378"/>
      <c r="C2411" s="315"/>
      <c r="D2411" s="316"/>
      <c r="E2411" s="315"/>
      <c r="F2411" s="315"/>
      <c r="G2411" s="315"/>
      <c r="H2411" s="153"/>
      <c r="I2411" s="12"/>
      <c r="J2411" s="12"/>
      <c r="K2411" s="12"/>
      <c r="L2411" s="379"/>
      <c r="M2411" s="380"/>
      <c r="N2411" s="380"/>
      <c r="O2411" s="12"/>
      <c r="P2411" s="381"/>
      <c r="Q2411" s="12"/>
      <c r="R2411" s="12"/>
      <c r="S2411" s="382"/>
      <c r="T2411" s="383"/>
      <c r="U2411" s="384"/>
      <c r="V2411" s="12"/>
      <c r="W2411" s="12"/>
    </row>
    <row r="2412" spans="1:23" x14ac:dyDescent="0.3">
      <c r="A2412" s="193" t="str">
        <f ca="1"/>
        <v/>
      </c>
      <c r="B2412" s="378"/>
      <c r="C2412" s="315"/>
      <c r="D2412" s="316"/>
      <c r="E2412" s="315"/>
      <c r="F2412" s="315"/>
      <c r="G2412" s="315"/>
      <c r="H2412" s="153"/>
      <c r="I2412" s="12"/>
      <c r="J2412" s="12"/>
      <c r="K2412" s="12"/>
      <c r="L2412" s="379"/>
      <c r="M2412" s="380"/>
      <c r="N2412" s="380"/>
      <c r="O2412" s="12"/>
      <c r="P2412" s="381"/>
      <c r="Q2412" s="12"/>
      <c r="R2412" s="12"/>
      <c r="S2412" s="382"/>
      <c r="T2412" s="383"/>
      <c r="U2412" s="384"/>
      <c r="V2412" s="12"/>
      <c r="W2412" s="12"/>
    </row>
    <row r="2413" spans="1:23" x14ac:dyDescent="0.3">
      <c r="A2413" s="193" t="str">
        <f ca="1"/>
        <v/>
      </c>
      <c r="B2413" s="378"/>
      <c r="C2413" s="315"/>
      <c r="D2413" s="316"/>
      <c r="E2413" s="315"/>
      <c r="F2413" s="315"/>
      <c r="G2413" s="315"/>
      <c r="H2413" s="153"/>
      <c r="I2413" s="12"/>
      <c r="J2413" s="12"/>
      <c r="K2413" s="12"/>
      <c r="L2413" s="379"/>
      <c r="M2413" s="380"/>
      <c r="N2413" s="380"/>
      <c r="O2413" s="12"/>
      <c r="P2413" s="381"/>
      <c r="Q2413" s="12"/>
      <c r="R2413" s="12"/>
      <c r="S2413" s="382"/>
      <c r="T2413" s="383"/>
      <c r="U2413" s="384"/>
      <c r="V2413" s="12"/>
      <c r="W2413" s="12"/>
    </row>
    <row r="2414" spans="1:23" x14ac:dyDescent="0.3">
      <c r="A2414" s="193" t="str">
        <f ca="1"/>
        <v/>
      </c>
      <c r="B2414" s="378"/>
      <c r="C2414" s="315"/>
      <c r="D2414" s="316"/>
      <c r="E2414" s="315"/>
      <c r="F2414" s="315"/>
      <c r="G2414" s="315"/>
      <c r="H2414" s="153"/>
      <c r="I2414" s="12"/>
      <c r="J2414" s="12"/>
      <c r="K2414" s="12"/>
      <c r="L2414" s="379"/>
      <c r="M2414" s="380"/>
      <c r="N2414" s="380"/>
      <c r="O2414" s="12"/>
      <c r="P2414" s="381"/>
      <c r="Q2414" s="12"/>
      <c r="R2414" s="12"/>
      <c r="S2414" s="382"/>
      <c r="T2414" s="383"/>
      <c r="U2414" s="384"/>
      <c r="V2414" s="12"/>
      <c r="W2414" s="12"/>
    </row>
    <row r="2415" spans="1:23" x14ac:dyDescent="0.3">
      <c r="A2415" s="193" t="str">
        <f ca="1"/>
        <v/>
      </c>
      <c r="B2415" s="378"/>
      <c r="C2415" s="315"/>
      <c r="D2415" s="316"/>
      <c r="E2415" s="315"/>
      <c r="F2415" s="315"/>
      <c r="G2415" s="315"/>
      <c r="H2415" s="153"/>
      <c r="I2415" s="12"/>
      <c r="J2415" s="12"/>
      <c r="K2415" s="12"/>
      <c r="L2415" s="379"/>
      <c r="M2415" s="380"/>
      <c r="N2415" s="380"/>
      <c r="O2415" s="12"/>
      <c r="P2415" s="381"/>
      <c r="Q2415" s="12"/>
      <c r="R2415" s="12"/>
      <c r="S2415" s="382"/>
      <c r="T2415" s="383"/>
      <c r="U2415" s="384"/>
      <c r="V2415" s="12"/>
      <c r="W2415" s="12"/>
    </row>
    <row r="2416" spans="1:23" x14ac:dyDescent="0.3">
      <c r="A2416" s="193" t="str">
        <f ca="1"/>
        <v/>
      </c>
      <c r="B2416" s="378"/>
      <c r="C2416" s="315"/>
      <c r="D2416" s="316"/>
      <c r="E2416" s="315"/>
      <c r="F2416" s="315"/>
      <c r="G2416" s="315"/>
      <c r="H2416" s="153"/>
      <c r="I2416" s="12"/>
      <c r="J2416" s="12"/>
      <c r="K2416" s="12"/>
      <c r="L2416" s="379"/>
      <c r="M2416" s="380"/>
      <c r="N2416" s="380"/>
      <c r="O2416" s="12"/>
      <c r="P2416" s="381"/>
      <c r="Q2416" s="12"/>
      <c r="R2416" s="12"/>
      <c r="S2416" s="382"/>
      <c r="T2416" s="383"/>
      <c r="U2416" s="384"/>
      <c r="V2416" s="12"/>
      <c r="W2416" s="12"/>
    </row>
    <row r="2417" spans="1:23" x14ac:dyDescent="0.3">
      <c r="A2417" s="193" t="str">
        <f ca="1"/>
        <v/>
      </c>
      <c r="B2417" s="378"/>
      <c r="C2417" s="315"/>
      <c r="D2417" s="316"/>
      <c r="E2417" s="315"/>
      <c r="F2417" s="315"/>
      <c r="G2417" s="315"/>
      <c r="H2417" s="153"/>
      <c r="I2417" s="12"/>
      <c r="J2417" s="12"/>
      <c r="K2417" s="12"/>
      <c r="L2417" s="379"/>
      <c r="M2417" s="380"/>
      <c r="N2417" s="380"/>
      <c r="O2417" s="12"/>
      <c r="P2417" s="381"/>
      <c r="Q2417" s="12"/>
      <c r="R2417" s="12"/>
      <c r="S2417" s="382"/>
      <c r="T2417" s="383"/>
      <c r="U2417" s="384"/>
      <c r="V2417" s="12"/>
      <c r="W2417" s="12"/>
    </row>
    <row r="2418" spans="1:23" x14ac:dyDescent="0.3">
      <c r="A2418" s="193" t="str">
        <f ca="1"/>
        <v/>
      </c>
      <c r="B2418" s="378"/>
      <c r="C2418" s="315"/>
      <c r="D2418" s="316"/>
      <c r="E2418" s="315"/>
      <c r="F2418" s="315"/>
      <c r="G2418" s="315"/>
      <c r="H2418" s="153"/>
      <c r="I2418" s="12"/>
      <c r="J2418" s="12"/>
      <c r="K2418" s="12"/>
      <c r="L2418" s="379"/>
      <c r="M2418" s="380"/>
      <c r="N2418" s="380"/>
      <c r="O2418" s="12"/>
      <c r="P2418" s="381"/>
      <c r="Q2418" s="12"/>
      <c r="R2418" s="12"/>
      <c r="S2418" s="382"/>
      <c r="T2418" s="383"/>
      <c r="U2418" s="384"/>
      <c r="V2418" s="12"/>
      <c r="W2418" s="12"/>
    </row>
    <row r="2419" spans="1:23" x14ac:dyDescent="0.3">
      <c r="A2419" s="193" t="str">
        <f ca="1"/>
        <v/>
      </c>
      <c r="B2419" s="378"/>
      <c r="C2419" s="315"/>
      <c r="D2419" s="316"/>
      <c r="E2419" s="315"/>
      <c r="F2419" s="315"/>
      <c r="G2419" s="315"/>
      <c r="H2419" s="153"/>
      <c r="I2419" s="12"/>
      <c r="J2419" s="12"/>
      <c r="K2419" s="12"/>
      <c r="L2419" s="379"/>
      <c r="M2419" s="380"/>
      <c r="N2419" s="380"/>
      <c r="O2419" s="12"/>
      <c r="P2419" s="381"/>
      <c r="Q2419" s="12"/>
      <c r="R2419" s="12"/>
      <c r="S2419" s="382"/>
      <c r="T2419" s="383"/>
      <c r="U2419" s="384"/>
      <c r="V2419" s="12"/>
      <c r="W2419" s="12"/>
    </row>
    <row r="2420" spans="1:23" x14ac:dyDescent="0.3">
      <c r="A2420" s="193" t="str">
        <f ca="1"/>
        <v/>
      </c>
      <c r="B2420" s="378"/>
      <c r="C2420" s="315"/>
      <c r="D2420" s="316"/>
      <c r="E2420" s="315"/>
      <c r="F2420" s="315"/>
      <c r="G2420" s="315"/>
      <c r="H2420" s="153"/>
      <c r="I2420" s="12"/>
      <c r="J2420" s="12"/>
      <c r="K2420" s="12"/>
      <c r="L2420" s="379"/>
      <c r="M2420" s="380"/>
      <c r="N2420" s="380"/>
      <c r="O2420" s="12"/>
      <c r="P2420" s="381"/>
      <c r="Q2420" s="12"/>
      <c r="R2420" s="12"/>
      <c r="S2420" s="382"/>
      <c r="T2420" s="383"/>
      <c r="U2420" s="384"/>
      <c r="V2420" s="12"/>
      <c r="W2420" s="12"/>
    </row>
    <row r="2421" spans="1:23" x14ac:dyDescent="0.3">
      <c r="A2421" s="193" t="str">
        <f ca="1"/>
        <v/>
      </c>
      <c r="B2421" s="378"/>
      <c r="C2421" s="315"/>
      <c r="D2421" s="316"/>
      <c r="E2421" s="315"/>
      <c r="F2421" s="315"/>
      <c r="G2421" s="315"/>
      <c r="H2421" s="153"/>
      <c r="I2421" s="12"/>
      <c r="J2421" s="12"/>
      <c r="K2421" s="12"/>
      <c r="L2421" s="379"/>
      <c r="M2421" s="380"/>
      <c r="N2421" s="380"/>
      <c r="O2421" s="12"/>
      <c r="P2421" s="381"/>
      <c r="Q2421" s="12"/>
      <c r="R2421" s="12"/>
      <c r="S2421" s="382"/>
      <c r="T2421" s="383"/>
      <c r="U2421" s="384"/>
      <c r="V2421" s="12"/>
      <c r="W2421" s="12"/>
    </row>
    <row r="2422" spans="1:23" x14ac:dyDescent="0.3">
      <c r="A2422" s="193" t="str">
        <f ca="1"/>
        <v/>
      </c>
      <c r="B2422" s="378"/>
      <c r="C2422" s="315"/>
      <c r="D2422" s="316"/>
      <c r="E2422" s="315"/>
      <c r="F2422" s="315"/>
      <c r="G2422" s="315"/>
      <c r="H2422" s="153"/>
      <c r="I2422" s="12"/>
      <c r="J2422" s="12"/>
      <c r="K2422" s="12"/>
      <c r="L2422" s="379"/>
      <c r="M2422" s="380"/>
      <c r="N2422" s="380"/>
      <c r="O2422" s="12"/>
      <c r="P2422" s="381"/>
      <c r="Q2422" s="12"/>
      <c r="R2422" s="12"/>
      <c r="S2422" s="382"/>
      <c r="T2422" s="383"/>
      <c r="U2422" s="384"/>
      <c r="V2422" s="12"/>
      <c r="W2422" s="12"/>
    </row>
    <row r="2423" spans="1:23" x14ac:dyDescent="0.3">
      <c r="A2423" s="193" t="str">
        <f ca="1"/>
        <v/>
      </c>
      <c r="B2423" s="378"/>
      <c r="C2423" s="315"/>
      <c r="D2423" s="316"/>
      <c r="E2423" s="315"/>
      <c r="F2423" s="315"/>
      <c r="G2423" s="315"/>
      <c r="H2423" s="153"/>
      <c r="I2423" s="12"/>
      <c r="J2423" s="12"/>
      <c r="K2423" s="12"/>
      <c r="L2423" s="379"/>
      <c r="M2423" s="380"/>
      <c r="N2423" s="380"/>
      <c r="O2423" s="12"/>
      <c r="P2423" s="381"/>
      <c r="Q2423" s="12"/>
      <c r="R2423" s="12"/>
      <c r="S2423" s="382"/>
      <c r="T2423" s="383"/>
      <c r="U2423" s="384"/>
      <c r="V2423" s="12"/>
      <c r="W2423" s="12"/>
    </row>
    <row r="2424" spans="1:23" x14ac:dyDescent="0.3">
      <c r="A2424" s="193" t="str">
        <f ca="1"/>
        <v/>
      </c>
      <c r="B2424" s="378"/>
      <c r="C2424" s="315"/>
      <c r="D2424" s="316"/>
      <c r="E2424" s="315"/>
      <c r="F2424" s="315"/>
      <c r="G2424" s="315"/>
      <c r="H2424" s="153"/>
      <c r="I2424" s="12"/>
      <c r="J2424" s="12"/>
      <c r="K2424" s="12"/>
      <c r="L2424" s="379"/>
      <c r="M2424" s="380"/>
      <c r="N2424" s="380"/>
      <c r="O2424" s="12"/>
      <c r="P2424" s="381"/>
      <c r="Q2424" s="12"/>
      <c r="R2424" s="12"/>
      <c r="S2424" s="382"/>
      <c r="T2424" s="383"/>
      <c r="U2424" s="384"/>
      <c r="V2424" s="12"/>
      <c r="W2424" s="12"/>
    </row>
    <row r="2425" spans="1:23" x14ac:dyDescent="0.3">
      <c r="A2425" s="193" t="str">
        <f ca="1"/>
        <v/>
      </c>
      <c r="B2425" s="378"/>
      <c r="C2425" s="315"/>
      <c r="D2425" s="316"/>
      <c r="E2425" s="315"/>
      <c r="F2425" s="315"/>
      <c r="G2425" s="315"/>
      <c r="H2425" s="153"/>
      <c r="I2425" s="12"/>
      <c r="J2425" s="12"/>
      <c r="K2425" s="12"/>
      <c r="L2425" s="379"/>
      <c r="M2425" s="380"/>
      <c r="N2425" s="380"/>
      <c r="O2425" s="12"/>
      <c r="P2425" s="381"/>
      <c r="Q2425" s="12"/>
      <c r="R2425" s="12"/>
      <c r="S2425" s="382"/>
      <c r="T2425" s="383"/>
      <c r="U2425" s="384"/>
      <c r="V2425" s="12"/>
      <c r="W2425" s="12"/>
    </row>
    <row r="2426" spans="1:23" x14ac:dyDescent="0.3">
      <c r="A2426" s="193" t="str">
        <f ca="1"/>
        <v/>
      </c>
      <c r="B2426" s="378"/>
      <c r="C2426" s="315"/>
      <c r="D2426" s="316"/>
      <c r="E2426" s="315"/>
      <c r="F2426" s="315"/>
      <c r="G2426" s="315"/>
      <c r="H2426" s="153"/>
      <c r="I2426" s="12"/>
      <c r="J2426" s="12"/>
      <c r="K2426" s="12"/>
      <c r="L2426" s="379"/>
      <c r="M2426" s="380"/>
      <c r="N2426" s="380"/>
      <c r="O2426" s="12"/>
      <c r="P2426" s="381"/>
      <c r="Q2426" s="12"/>
      <c r="R2426" s="12"/>
      <c r="S2426" s="382"/>
      <c r="T2426" s="383"/>
      <c r="U2426" s="384"/>
      <c r="V2426" s="12"/>
      <c r="W2426" s="12"/>
    </row>
    <row r="2427" spans="1:23" x14ac:dyDescent="0.3">
      <c r="A2427" s="193" t="str">
        <f ca="1"/>
        <v/>
      </c>
      <c r="B2427" s="378"/>
      <c r="C2427" s="315"/>
      <c r="D2427" s="316"/>
      <c r="E2427" s="315"/>
      <c r="F2427" s="315"/>
      <c r="G2427" s="315"/>
      <c r="H2427" s="153"/>
      <c r="I2427" s="12"/>
      <c r="J2427" s="12"/>
      <c r="K2427" s="12"/>
      <c r="L2427" s="379"/>
      <c r="M2427" s="380"/>
      <c r="N2427" s="380"/>
      <c r="O2427" s="12"/>
      <c r="P2427" s="381"/>
      <c r="Q2427" s="12"/>
      <c r="R2427" s="12"/>
      <c r="S2427" s="382"/>
      <c r="T2427" s="383"/>
      <c r="U2427" s="384"/>
      <c r="V2427" s="12"/>
      <c r="W2427" s="12"/>
    </row>
    <row r="2428" spans="1:23" x14ac:dyDescent="0.3">
      <c r="A2428" s="193" t="str">
        <f ca="1"/>
        <v/>
      </c>
      <c r="B2428" s="378"/>
      <c r="C2428" s="315"/>
      <c r="D2428" s="316"/>
      <c r="E2428" s="315"/>
      <c r="F2428" s="315"/>
      <c r="G2428" s="315"/>
      <c r="H2428" s="153"/>
      <c r="I2428" s="12"/>
      <c r="J2428" s="12"/>
      <c r="K2428" s="12"/>
      <c r="L2428" s="379"/>
      <c r="M2428" s="380"/>
      <c r="N2428" s="380"/>
      <c r="O2428" s="12"/>
      <c r="P2428" s="381"/>
      <c r="Q2428" s="12"/>
      <c r="R2428" s="12"/>
      <c r="S2428" s="382"/>
      <c r="T2428" s="383"/>
      <c r="U2428" s="384"/>
      <c r="V2428" s="12"/>
      <c r="W2428" s="12"/>
    </row>
    <row r="2429" spans="1:23" x14ac:dyDescent="0.3">
      <c r="A2429" s="193" t="str">
        <f ca="1"/>
        <v/>
      </c>
      <c r="B2429" s="378"/>
      <c r="C2429" s="315"/>
      <c r="D2429" s="316"/>
      <c r="E2429" s="315"/>
      <c r="F2429" s="315"/>
      <c r="G2429" s="315"/>
      <c r="H2429" s="153"/>
      <c r="I2429" s="12"/>
      <c r="J2429" s="12"/>
      <c r="K2429" s="12"/>
      <c r="L2429" s="379"/>
      <c r="M2429" s="380"/>
      <c r="N2429" s="380"/>
      <c r="O2429" s="12"/>
      <c r="P2429" s="381"/>
      <c r="Q2429" s="12"/>
      <c r="R2429" s="12"/>
      <c r="S2429" s="382"/>
      <c r="T2429" s="383"/>
      <c r="U2429" s="384"/>
      <c r="V2429" s="12"/>
      <c r="W2429" s="12"/>
    </row>
    <row r="2430" spans="1:23" x14ac:dyDescent="0.3">
      <c r="A2430" s="193" t="str">
        <f ca="1"/>
        <v/>
      </c>
      <c r="B2430" s="378"/>
      <c r="C2430" s="315"/>
      <c r="D2430" s="316"/>
      <c r="E2430" s="315"/>
      <c r="F2430" s="315"/>
      <c r="G2430" s="315"/>
      <c r="H2430" s="153"/>
      <c r="I2430" s="12"/>
      <c r="J2430" s="12"/>
      <c r="K2430" s="12"/>
      <c r="L2430" s="379"/>
      <c r="M2430" s="380"/>
      <c r="N2430" s="380"/>
      <c r="O2430" s="12"/>
      <c r="P2430" s="381"/>
      <c r="Q2430" s="12"/>
      <c r="R2430" s="12"/>
      <c r="S2430" s="382"/>
      <c r="T2430" s="383"/>
      <c r="U2430" s="384"/>
      <c r="V2430" s="12"/>
      <c r="W2430" s="12"/>
    </row>
    <row r="2431" spans="1:23" x14ac:dyDescent="0.3">
      <c r="A2431" s="193" t="str">
        <f ca="1"/>
        <v/>
      </c>
      <c r="B2431" s="378"/>
      <c r="C2431" s="315"/>
      <c r="D2431" s="316"/>
      <c r="E2431" s="315"/>
      <c r="F2431" s="315"/>
      <c r="G2431" s="315"/>
      <c r="H2431" s="153"/>
      <c r="I2431" s="12"/>
      <c r="J2431" s="12"/>
      <c r="K2431" s="12"/>
      <c r="L2431" s="379"/>
      <c r="M2431" s="380"/>
      <c r="N2431" s="380"/>
      <c r="O2431" s="12"/>
      <c r="P2431" s="381"/>
      <c r="Q2431" s="12"/>
      <c r="R2431" s="12"/>
      <c r="S2431" s="382"/>
      <c r="T2431" s="383"/>
      <c r="U2431" s="384"/>
      <c r="V2431" s="12"/>
      <c r="W2431" s="12"/>
    </row>
    <row r="2432" spans="1:23" x14ac:dyDescent="0.3">
      <c r="A2432" s="193" t="str">
        <f ca="1"/>
        <v/>
      </c>
      <c r="B2432" s="378"/>
      <c r="C2432" s="315"/>
      <c r="D2432" s="316"/>
      <c r="E2432" s="315"/>
      <c r="F2432" s="315"/>
      <c r="G2432" s="315"/>
      <c r="H2432" s="153"/>
      <c r="I2432" s="12"/>
      <c r="J2432" s="12"/>
      <c r="K2432" s="12"/>
      <c r="L2432" s="379"/>
      <c r="M2432" s="380"/>
      <c r="N2432" s="380"/>
      <c r="O2432" s="12"/>
      <c r="P2432" s="381"/>
      <c r="Q2432" s="12"/>
      <c r="R2432" s="12"/>
      <c r="S2432" s="382"/>
      <c r="T2432" s="383"/>
      <c r="U2432" s="384"/>
      <c r="V2432" s="12"/>
      <c r="W2432" s="12"/>
    </row>
    <row r="2433" spans="1:23" x14ac:dyDescent="0.3">
      <c r="A2433" s="193" t="str">
        <f ca="1"/>
        <v/>
      </c>
      <c r="B2433" s="378"/>
      <c r="C2433" s="315"/>
      <c r="D2433" s="316"/>
      <c r="E2433" s="315"/>
      <c r="F2433" s="315"/>
      <c r="G2433" s="315"/>
      <c r="H2433" s="153"/>
      <c r="I2433" s="12"/>
      <c r="J2433" s="12"/>
      <c r="K2433" s="12"/>
      <c r="L2433" s="379"/>
      <c r="M2433" s="380"/>
      <c r="N2433" s="380"/>
      <c r="O2433" s="12"/>
      <c r="P2433" s="381"/>
      <c r="Q2433" s="12"/>
      <c r="R2433" s="12"/>
      <c r="S2433" s="382"/>
      <c r="T2433" s="383"/>
      <c r="U2433" s="384"/>
      <c r="V2433" s="12"/>
      <c r="W2433" s="12"/>
    </row>
    <row r="2434" spans="1:23" x14ac:dyDescent="0.3">
      <c r="A2434" s="193" t="str">
        <f ca="1"/>
        <v/>
      </c>
      <c r="B2434" s="378"/>
      <c r="C2434" s="315"/>
      <c r="D2434" s="316"/>
      <c r="E2434" s="315"/>
      <c r="F2434" s="315"/>
      <c r="G2434" s="315"/>
      <c r="H2434" s="153"/>
      <c r="I2434" s="12"/>
      <c r="J2434" s="12"/>
      <c r="K2434" s="12"/>
      <c r="L2434" s="379"/>
      <c r="M2434" s="380"/>
      <c r="N2434" s="380"/>
      <c r="O2434" s="12"/>
      <c r="P2434" s="381"/>
      <c r="Q2434" s="12"/>
      <c r="R2434" s="12"/>
      <c r="S2434" s="382"/>
      <c r="T2434" s="383"/>
      <c r="U2434" s="384"/>
      <c r="V2434" s="12"/>
      <c r="W2434" s="12"/>
    </row>
    <row r="2435" spans="1:23" x14ac:dyDescent="0.3">
      <c r="A2435" s="193" t="str">
        <f ca="1"/>
        <v/>
      </c>
      <c r="B2435" s="378"/>
      <c r="C2435" s="315"/>
      <c r="D2435" s="316"/>
      <c r="E2435" s="315"/>
      <c r="F2435" s="315"/>
      <c r="G2435" s="315"/>
      <c r="H2435" s="153"/>
      <c r="I2435" s="12"/>
      <c r="J2435" s="12"/>
      <c r="K2435" s="12"/>
      <c r="L2435" s="379"/>
      <c r="M2435" s="380"/>
      <c r="N2435" s="380"/>
      <c r="O2435" s="12"/>
      <c r="P2435" s="381"/>
      <c r="Q2435" s="12"/>
      <c r="R2435" s="12"/>
      <c r="S2435" s="382"/>
      <c r="T2435" s="383"/>
      <c r="U2435" s="384"/>
      <c r="V2435" s="12"/>
      <c r="W2435" s="12"/>
    </row>
    <row r="2436" spans="1:23" x14ac:dyDescent="0.3">
      <c r="A2436" s="193" t="str">
        <f ca="1"/>
        <v/>
      </c>
      <c r="B2436" s="378"/>
      <c r="C2436" s="315"/>
      <c r="D2436" s="316"/>
      <c r="E2436" s="315"/>
      <c r="F2436" s="315"/>
      <c r="G2436" s="315"/>
      <c r="H2436" s="153"/>
      <c r="I2436" s="12"/>
      <c r="J2436" s="12"/>
      <c r="K2436" s="12"/>
      <c r="L2436" s="379"/>
      <c r="M2436" s="380"/>
      <c r="N2436" s="380"/>
      <c r="O2436" s="12"/>
      <c r="P2436" s="381"/>
      <c r="Q2436" s="12"/>
      <c r="R2436" s="12"/>
      <c r="S2436" s="382"/>
      <c r="T2436" s="383"/>
      <c r="U2436" s="384"/>
      <c r="V2436" s="12"/>
      <c r="W2436" s="12"/>
    </row>
    <row r="2437" spans="1:23" x14ac:dyDescent="0.3">
      <c r="A2437" s="193" t="str">
        <f ca="1"/>
        <v/>
      </c>
      <c r="B2437" s="378"/>
      <c r="C2437" s="315"/>
      <c r="D2437" s="316"/>
      <c r="E2437" s="315"/>
      <c r="F2437" s="315"/>
      <c r="G2437" s="315"/>
      <c r="H2437" s="153"/>
      <c r="I2437" s="12"/>
      <c r="J2437" s="12"/>
      <c r="K2437" s="12"/>
      <c r="L2437" s="379"/>
      <c r="M2437" s="380"/>
      <c r="N2437" s="380"/>
      <c r="O2437" s="12"/>
      <c r="P2437" s="381"/>
      <c r="Q2437" s="12"/>
      <c r="R2437" s="12"/>
      <c r="S2437" s="382"/>
      <c r="T2437" s="383"/>
      <c r="U2437" s="384"/>
      <c r="V2437" s="12"/>
      <c r="W2437" s="12"/>
    </row>
    <row r="2438" spans="1:23" x14ac:dyDescent="0.3">
      <c r="A2438" s="193" t="str">
        <f ca="1"/>
        <v/>
      </c>
      <c r="B2438" s="378"/>
      <c r="C2438" s="315"/>
      <c r="D2438" s="316"/>
      <c r="E2438" s="315"/>
      <c r="F2438" s="315"/>
      <c r="G2438" s="315"/>
      <c r="H2438" s="153"/>
      <c r="I2438" s="12"/>
      <c r="J2438" s="12"/>
      <c r="K2438" s="12"/>
      <c r="L2438" s="379"/>
      <c r="M2438" s="380"/>
      <c r="N2438" s="380"/>
      <c r="O2438" s="12"/>
      <c r="P2438" s="381"/>
      <c r="Q2438" s="12"/>
      <c r="R2438" s="12"/>
      <c r="S2438" s="382"/>
      <c r="T2438" s="383"/>
      <c r="U2438" s="384"/>
      <c r="V2438" s="12"/>
      <c r="W2438" s="12"/>
    </row>
    <row r="2439" spans="1:23" x14ac:dyDescent="0.3">
      <c r="A2439" s="193" t="str">
        <f ca="1"/>
        <v/>
      </c>
      <c r="B2439" s="378"/>
      <c r="C2439" s="315"/>
      <c r="D2439" s="316"/>
      <c r="E2439" s="315"/>
      <c r="F2439" s="315"/>
      <c r="G2439" s="315"/>
      <c r="H2439" s="153"/>
      <c r="I2439" s="12"/>
      <c r="J2439" s="12"/>
      <c r="K2439" s="12"/>
      <c r="L2439" s="379"/>
      <c r="M2439" s="380"/>
      <c r="N2439" s="380"/>
      <c r="O2439" s="12"/>
      <c r="P2439" s="381"/>
      <c r="Q2439" s="12"/>
      <c r="R2439" s="12"/>
      <c r="S2439" s="382"/>
      <c r="T2439" s="383"/>
      <c r="U2439" s="384"/>
      <c r="V2439" s="12"/>
      <c r="W2439" s="12"/>
    </row>
    <row r="2440" spans="1:23" x14ac:dyDescent="0.3">
      <c r="A2440" s="193" t="str">
        <f ca="1"/>
        <v/>
      </c>
      <c r="B2440" s="378"/>
      <c r="C2440" s="315"/>
      <c r="D2440" s="316"/>
      <c r="E2440" s="315"/>
      <c r="F2440" s="315"/>
      <c r="G2440" s="315"/>
      <c r="H2440" s="153"/>
      <c r="I2440" s="12"/>
      <c r="J2440" s="12"/>
      <c r="K2440" s="12"/>
      <c r="L2440" s="379"/>
      <c r="M2440" s="380"/>
      <c r="N2440" s="380"/>
      <c r="O2440" s="12"/>
      <c r="P2440" s="381"/>
      <c r="Q2440" s="12"/>
      <c r="R2440" s="12"/>
      <c r="S2440" s="382"/>
      <c r="T2440" s="383"/>
      <c r="U2440" s="384"/>
      <c r="V2440" s="12"/>
      <c r="W2440" s="12"/>
    </row>
    <row r="2441" spans="1:23" x14ac:dyDescent="0.3">
      <c r="A2441" s="193" t="str">
        <f ca="1"/>
        <v/>
      </c>
      <c r="B2441" s="378"/>
      <c r="C2441" s="315"/>
      <c r="D2441" s="316"/>
      <c r="E2441" s="315"/>
      <c r="F2441" s="315"/>
      <c r="G2441" s="315"/>
      <c r="H2441" s="153"/>
      <c r="I2441" s="12"/>
      <c r="J2441" s="12"/>
      <c r="K2441" s="12"/>
      <c r="L2441" s="379"/>
      <c r="M2441" s="380"/>
      <c r="N2441" s="380"/>
      <c r="O2441" s="12"/>
      <c r="P2441" s="381"/>
      <c r="Q2441" s="12"/>
      <c r="R2441" s="12"/>
      <c r="S2441" s="382"/>
      <c r="T2441" s="383"/>
      <c r="U2441" s="384"/>
      <c r="V2441" s="12"/>
      <c r="W2441" s="12"/>
    </row>
    <row r="2442" spans="1:23" x14ac:dyDescent="0.3">
      <c r="A2442" s="193" t="str">
        <f ca="1"/>
        <v/>
      </c>
      <c r="B2442" s="378"/>
      <c r="C2442" s="315"/>
      <c r="D2442" s="316"/>
      <c r="E2442" s="315"/>
      <c r="F2442" s="315"/>
      <c r="G2442" s="315"/>
      <c r="H2442" s="153"/>
      <c r="I2442" s="12"/>
      <c r="J2442" s="12"/>
      <c r="K2442" s="12"/>
      <c r="L2442" s="379"/>
      <c r="M2442" s="380"/>
      <c r="N2442" s="380"/>
      <c r="O2442" s="12"/>
      <c r="P2442" s="381"/>
      <c r="Q2442" s="12"/>
      <c r="R2442" s="12"/>
      <c r="S2442" s="382"/>
      <c r="T2442" s="383"/>
      <c r="U2442" s="384"/>
      <c r="V2442" s="12"/>
      <c r="W2442" s="12"/>
    </row>
    <row r="2443" spans="1:23" x14ac:dyDescent="0.3">
      <c r="A2443" s="193" t="str">
        <f ca="1"/>
        <v/>
      </c>
      <c r="B2443" s="378"/>
      <c r="C2443" s="315"/>
      <c r="D2443" s="316"/>
      <c r="E2443" s="315"/>
      <c r="F2443" s="315"/>
      <c r="G2443" s="315"/>
      <c r="H2443" s="153"/>
      <c r="I2443" s="12"/>
      <c r="J2443" s="12"/>
      <c r="K2443" s="12"/>
      <c r="L2443" s="379"/>
      <c r="M2443" s="380"/>
      <c r="N2443" s="380"/>
      <c r="O2443" s="12"/>
      <c r="P2443" s="381"/>
      <c r="Q2443" s="12"/>
      <c r="R2443" s="12"/>
      <c r="S2443" s="382"/>
      <c r="T2443" s="383"/>
      <c r="U2443" s="384"/>
      <c r="V2443" s="12"/>
      <c r="W2443" s="12"/>
    </row>
    <row r="2444" spans="1:23" x14ac:dyDescent="0.3">
      <c r="A2444" s="193" t="str">
        <f ca="1"/>
        <v/>
      </c>
      <c r="B2444" s="378"/>
      <c r="C2444" s="315"/>
      <c r="D2444" s="316"/>
      <c r="E2444" s="315"/>
      <c r="F2444" s="315"/>
      <c r="G2444" s="315"/>
      <c r="H2444" s="153"/>
      <c r="I2444" s="12"/>
      <c r="J2444" s="12"/>
      <c r="K2444" s="12"/>
      <c r="L2444" s="379"/>
      <c r="M2444" s="380"/>
      <c r="N2444" s="380"/>
      <c r="O2444" s="12"/>
      <c r="P2444" s="381"/>
      <c r="Q2444" s="12"/>
      <c r="R2444" s="12"/>
      <c r="S2444" s="382"/>
      <c r="T2444" s="383"/>
      <c r="U2444" s="384"/>
      <c r="V2444" s="12"/>
      <c r="W2444" s="12"/>
    </row>
    <row r="2445" spans="1:23" x14ac:dyDescent="0.3">
      <c r="A2445" s="193" t="str">
        <f ca="1"/>
        <v/>
      </c>
      <c r="B2445" s="378"/>
      <c r="C2445" s="315"/>
      <c r="D2445" s="316"/>
      <c r="E2445" s="315"/>
      <c r="F2445" s="315"/>
      <c r="G2445" s="315"/>
      <c r="H2445" s="153"/>
      <c r="I2445" s="12"/>
      <c r="J2445" s="12"/>
      <c r="K2445" s="12"/>
      <c r="L2445" s="379"/>
      <c r="M2445" s="380"/>
      <c r="N2445" s="380"/>
      <c r="O2445" s="12"/>
      <c r="P2445" s="381"/>
      <c r="Q2445" s="12"/>
      <c r="R2445" s="12"/>
      <c r="S2445" s="382"/>
      <c r="T2445" s="383"/>
      <c r="U2445" s="384"/>
      <c r="V2445" s="12"/>
      <c r="W2445" s="12"/>
    </row>
    <row r="2446" spans="1:23" x14ac:dyDescent="0.3">
      <c r="A2446" s="193" t="str">
        <f ca="1"/>
        <v/>
      </c>
      <c r="B2446" s="378"/>
      <c r="C2446" s="315"/>
      <c r="D2446" s="316"/>
      <c r="E2446" s="315"/>
      <c r="F2446" s="315"/>
      <c r="G2446" s="315"/>
      <c r="H2446" s="153"/>
      <c r="I2446" s="12"/>
      <c r="J2446" s="12"/>
      <c r="K2446" s="12"/>
      <c r="L2446" s="379"/>
      <c r="M2446" s="380"/>
      <c r="N2446" s="380"/>
      <c r="O2446" s="12"/>
      <c r="P2446" s="381"/>
      <c r="Q2446" s="12"/>
      <c r="R2446" s="12"/>
      <c r="S2446" s="382"/>
      <c r="T2446" s="383"/>
      <c r="U2446" s="384"/>
      <c r="V2446" s="12"/>
      <c r="W2446" s="12"/>
    </row>
    <row r="2447" spans="1:23" x14ac:dyDescent="0.3">
      <c r="A2447" s="193" t="str">
        <f ca="1"/>
        <v/>
      </c>
      <c r="B2447" s="378"/>
      <c r="C2447" s="315"/>
      <c r="D2447" s="316"/>
      <c r="E2447" s="315"/>
      <c r="F2447" s="315"/>
      <c r="G2447" s="315"/>
      <c r="H2447" s="153"/>
      <c r="I2447" s="12"/>
      <c r="J2447" s="12"/>
      <c r="K2447" s="12"/>
      <c r="L2447" s="379"/>
      <c r="M2447" s="380"/>
      <c r="N2447" s="380"/>
      <c r="O2447" s="12"/>
      <c r="P2447" s="381"/>
      <c r="Q2447" s="12"/>
      <c r="R2447" s="12"/>
      <c r="S2447" s="382"/>
      <c r="T2447" s="383"/>
      <c r="U2447" s="384"/>
      <c r="V2447" s="12"/>
      <c r="W2447" s="12"/>
    </row>
    <row r="2448" spans="1:23" x14ac:dyDescent="0.3">
      <c r="A2448" s="193" t="str">
        <f ca="1"/>
        <v/>
      </c>
      <c r="B2448" s="378"/>
      <c r="C2448" s="315"/>
      <c r="D2448" s="316"/>
      <c r="E2448" s="315"/>
      <c r="F2448" s="315"/>
      <c r="G2448" s="315"/>
      <c r="H2448" s="153"/>
      <c r="I2448" s="12"/>
      <c r="J2448" s="12"/>
      <c r="K2448" s="12"/>
      <c r="L2448" s="379"/>
      <c r="M2448" s="380"/>
      <c r="N2448" s="380"/>
      <c r="O2448" s="12"/>
      <c r="P2448" s="381"/>
      <c r="Q2448" s="12"/>
      <c r="R2448" s="12"/>
      <c r="S2448" s="382"/>
      <c r="T2448" s="383"/>
      <c r="U2448" s="384"/>
      <c r="V2448" s="12"/>
      <c r="W2448" s="12"/>
    </row>
    <row r="2449" spans="1:23" x14ac:dyDescent="0.3">
      <c r="A2449" s="193" t="str">
        <f ca="1"/>
        <v/>
      </c>
      <c r="B2449" s="378"/>
      <c r="C2449" s="315"/>
      <c r="D2449" s="316"/>
      <c r="E2449" s="315"/>
      <c r="F2449" s="315"/>
      <c r="G2449" s="315"/>
      <c r="H2449" s="153"/>
      <c r="I2449" s="12"/>
      <c r="J2449" s="12"/>
      <c r="K2449" s="12"/>
      <c r="L2449" s="379"/>
      <c r="M2449" s="380"/>
      <c r="N2449" s="380"/>
      <c r="O2449" s="12"/>
      <c r="P2449" s="381"/>
      <c r="Q2449" s="12"/>
      <c r="R2449" s="12"/>
      <c r="S2449" s="382"/>
      <c r="T2449" s="383"/>
      <c r="U2449" s="384"/>
      <c r="V2449" s="12"/>
      <c r="W2449" s="12"/>
    </row>
    <row r="2450" spans="1:23" x14ac:dyDescent="0.3">
      <c r="A2450" s="193" t="str">
        <f ca="1"/>
        <v/>
      </c>
      <c r="B2450" s="378"/>
      <c r="C2450" s="315"/>
      <c r="D2450" s="316"/>
      <c r="E2450" s="315"/>
      <c r="F2450" s="315"/>
      <c r="G2450" s="315"/>
      <c r="H2450" s="153"/>
      <c r="I2450" s="12"/>
      <c r="J2450" s="12"/>
      <c r="K2450" s="12"/>
      <c r="L2450" s="379"/>
      <c r="M2450" s="380"/>
      <c r="N2450" s="380"/>
      <c r="O2450" s="12"/>
      <c r="P2450" s="381"/>
      <c r="Q2450" s="12"/>
      <c r="R2450" s="12"/>
      <c r="S2450" s="382"/>
      <c r="T2450" s="383"/>
      <c r="U2450" s="384"/>
      <c r="V2450" s="12"/>
      <c r="W2450" s="12"/>
    </row>
    <row r="2451" spans="1:23" x14ac:dyDescent="0.3">
      <c r="A2451" s="193" t="str">
        <f ca="1"/>
        <v/>
      </c>
      <c r="B2451" s="378"/>
      <c r="C2451" s="315"/>
      <c r="D2451" s="316"/>
      <c r="E2451" s="315"/>
      <c r="F2451" s="315"/>
      <c r="G2451" s="315"/>
      <c r="H2451" s="153"/>
      <c r="I2451" s="12"/>
      <c r="J2451" s="12"/>
      <c r="K2451" s="12"/>
      <c r="L2451" s="379"/>
      <c r="M2451" s="380"/>
      <c r="N2451" s="380"/>
      <c r="O2451" s="12"/>
      <c r="P2451" s="381"/>
      <c r="Q2451" s="12"/>
      <c r="R2451" s="12"/>
      <c r="S2451" s="382"/>
      <c r="T2451" s="383"/>
      <c r="U2451" s="384"/>
      <c r="V2451" s="12"/>
      <c r="W2451" s="12"/>
    </row>
    <row r="2452" spans="1:23" x14ac:dyDescent="0.3">
      <c r="A2452" s="193" t="str">
        <f ca="1"/>
        <v/>
      </c>
      <c r="B2452" s="378"/>
      <c r="C2452" s="315"/>
      <c r="D2452" s="316"/>
      <c r="E2452" s="315"/>
      <c r="F2452" s="315"/>
      <c r="G2452" s="315"/>
      <c r="H2452" s="153"/>
      <c r="I2452" s="12"/>
      <c r="J2452" s="12"/>
      <c r="K2452" s="12"/>
      <c r="L2452" s="379"/>
      <c r="M2452" s="380"/>
      <c r="N2452" s="380"/>
      <c r="O2452" s="12"/>
      <c r="P2452" s="381"/>
      <c r="Q2452" s="12"/>
      <c r="R2452" s="12"/>
      <c r="S2452" s="382"/>
      <c r="T2452" s="383"/>
      <c r="U2452" s="384"/>
      <c r="V2452" s="12"/>
      <c r="W2452" s="12"/>
    </row>
    <row r="2453" spans="1:23" x14ac:dyDescent="0.3">
      <c r="A2453" s="193" t="str">
        <f ca="1"/>
        <v/>
      </c>
      <c r="B2453" s="378"/>
      <c r="C2453" s="315"/>
      <c r="D2453" s="316"/>
      <c r="E2453" s="315"/>
      <c r="F2453" s="315"/>
      <c r="G2453" s="315"/>
      <c r="H2453" s="153"/>
      <c r="I2453" s="12"/>
      <c r="J2453" s="12"/>
      <c r="K2453" s="12"/>
      <c r="L2453" s="379"/>
      <c r="M2453" s="380"/>
      <c r="N2453" s="380"/>
      <c r="O2453" s="12"/>
      <c r="P2453" s="381"/>
      <c r="Q2453" s="12"/>
      <c r="R2453" s="12"/>
      <c r="S2453" s="382"/>
      <c r="T2453" s="383"/>
      <c r="U2453" s="384"/>
      <c r="V2453" s="12"/>
      <c r="W2453" s="12"/>
    </row>
    <row r="2454" spans="1:23" x14ac:dyDescent="0.3">
      <c r="A2454" s="193" t="str">
        <f ca="1"/>
        <v/>
      </c>
      <c r="B2454" s="378"/>
      <c r="C2454" s="315"/>
      <c r="D2454" s="316"/>
      <c r="E2454" s="315"/>
      <c r="F2454" s="315"/>
      <c r="G2454" s="315"/>
      <c r="H2454" s="153"/>
      <c r="I2454" s="12"/>
      <c r="J2454" s="12"/>
      <c r="K2454" s="12"/>
      <c r="L2454" s="379"/>
      <c r="M2454" s="380"/>
      <c r="N2454" s="380"/>
      <c r="O2454" s="12"/>
      <c r="P2454" s="381"/>
      <c r="Q2454" s="12"/>
      <c r="R2454" s="12"/>
      <c r="S2454" s="382"/>
      <c r="T2454" s="383"/>
      <c r="U2454" s="384"/>
      <c r="V2454" s="12"/>
      <c r="W2454" s="12"/>
    </row>
    <row r="2455" spans="1:23" x14ac:dyDescent="0.3">
      <c r="A2455" s="193" t="str">
        <f ca="1"/>
        <v/>
      </c>
      <c r="B2455" s="378"/>
      <c r="C2455" s="315"/>
      <c r="D2455" s="316"/>
      <c r="E2455" s="315"/>
      <c r="F2455" s="315"/>
      <c r="G2455" s="315"/>
      <c r="H2455" s="153"/>
      <c r="I2455" s="12"/>
      <c r="J2455" s="12"/>
      <c r="K2455" s="12"/>
      <c r="L2455" s="379"/>
      <c r="M2455" s="380"/>
      <c r="N2455" s="380"/>
      <c r="O2455" s="12"/>
      <c r="P2455" s="381"/>
      <c r="Q2455" s="12"/>
      <c r="R2455" s="12"/>
      <c r="S2455" s="382"/>
      <c r="T2455" s="383"/>
      <c r="U2455" s="384"/>
      <c r="V2455" s="12"/>
      <c r="W2455" s="12"/>
    </row>
    <row r="2456" spans="1:23" x14ac:dyDescent="0.3">
      <c r="A2456" s="193" t="str">
        <f ca="1"/>
        <v/>
      </c>
      <c r="B2456" s="378"/>
      <c r="C2456" s="315"/>
      <c r="D2456" s="316"/>
      <c r="E2456" s="315"/>
      <c r="F2456" s="315"/>
      <c r="G2456" s="315"/>
      <c r="H2456" s="153"/>
      <c r="I2456" s="12"/>
      <c r="J2456" s="12"/>
      <c r="K2456" s="12"/>
      <c r="L2456" s="379"/>
      <c r="M2456" s="380"/>
      <c r="N2456" s="380"/>
      <c r="O2456" s="12"/>
      <c r="P2456" s="381"/>
      <c r="Q2456" s="12"/>
      <c r="R2456" s="12"/>
      <c r="S2456" s="382"/>
      <c r="T2456" s="383"/>
      <c r="U2456" s="384"/>
      <c r="V2456" s="12"/>
      <c r="W2456" s="12"/>
    </row>
    <row r="2457" spans="1:23" x14ac:dyDescent="0.3">
      <c r="A2457" s="193" t="str">
        <f ca="1"/>
        <v/>
      </c>
      <c r="B2457" s="378"/>
      <c r="C2457" s="315"/>
      <c r="D2457" s="316"/>
      <c r="E2457" s="315"/>
      <c r="F2457" s="315"/>
      <c r="G2457" s="315"/>
      <c r="H2457" s="153"/>
      <c r="I2457" s="12"/>
      <c r="J2457" s="12"/>
      <c r="K2457" s="12"/>
      <c r="L2457" s="379"/>
      <c r="M2457" s="380"/>
      <c r="N2457" s="380"/>
      <c r="O2457" s="12"/>
      <c r="P2457" s="381"/>
      <c r="Q2457" s="12"/>
      <c r="R2457" s="12"/>
      <c r="S2457" s="382"/>
      <c r="T2457" s="383"/>
      <c r="U2457" s="384"/>
      <c r="V2457" s="12"/>
      <c r="W2457" s="12"/>
    </row>
    <row r="2458" spans="1:23" x14ac:dyDescent="0.3">
      <c r="A2458" s="193" t="str">
        <f ca="1"/>
        <v/>
      </c>
      <c r="B2458" s="378"/>
      <c r="C2458" s="315"/>
      <c r="D2458" s="316"/>
      <c r="E2458" s="315"/>
      <c r="F2458" s="315"/>
      <c r="G2458" s="315"/>
      <c r="H2458" s="153"/>
      <c r="I2458" s="12"/>
      <c r="J2458" s="12"/>
      <c r="K2458" s="12"/>
      <c r="L2458" s="379"/>
      <c r="M2458" s="380"/>
      <c r="N2458" s="380"/>
      <c r="O2458" s="12"/>
      <c r="P2458" s="381"/>
      <c r="Q2458" s="12"/>
      <c r="R2458" s="12"/>
      <c r="S2458" s="382"/>
      <c r="T2458" s="383"/>
      <c r="U2458" s="384"/>
      <c r="V2458" s="12"/>
      <c r="W2458" s="12"/>
    </row>
    <row r="2459" spans="1:23" x14ac:dyDescent="0.3">
      <c r="A2459" s="193" t="str">
        <f ca="1"/>
        <v/>
      </c>
      <c r="B2459" s="378"/>
      <c r="C2459" s="315"/>
      <c r="D2459" s="316"/>
      <c r="E2459" s="315"/>
      <c r="F2459" s="315"/>
      <c r="G2459" s="315"/>
      <c r="H2459" s="153"/>
      <c r="I2459" s="12"/>
      <c r="J2459" s="12"/>
      <c r="K2459" s="12"/>
      <c r="L2459" s="379"/>
      <c r="M2459" s="380"/>
      <c r="N2459" s="380"/>
      <c r="O2459" s="12"/>
      <c r="P2459" s="381"/>
      <c r="Q2459" s="12"/>
      <c r="R2459" s="12"/>
      <c r="S2459" s="382"/>
      <c r="T2459" s="383"/>
      <c r="U2459" s="384"/>
      <c r="V2459" s="12"/>
      <c r="W2459" s="12"/>
    </row>
    <row r="2460" spans="1:23" x14ac:dyDescent="0.3">
      <c r="A2460" s="193" t="str">
        <f ca="1"/>
        <v/>
      </c>
      <c r="B2460" s="378"/>
      <c r="C2460" s="315"/>
      <c r="D2460" s="316"/>
      <c r="E2460" s="315"/>
      <c r="F2460" s="315"/>
      <c r="G2460" s="315"/>
      <c r="H2460" s="153"/>
      <c r="I2460" s="12"/>
      <c r="J2460" s="12"/>
      <c r="K2460" s="12"/>
      <c r="L2460" s="379"/>
      <c r="M2460" s="380"/>
      <c r="N2460" s="380"/>
      <c r="O2460" s="12"/>
      <c r="P2460" s="381"/>
      <c r="Q2460" s="12"/>
      <c r="R2460" s="12"/>
      <c r="S2460" s="382"/>
      <c r="T2460" s="383"/>
      <c r="U2460" s="384"/>
      <c r="V2460" s="12"/>
      <c r="W2460" s="12"/>
    </row>
    <row r="2461" spans="1:23" x14ac:dyDescent="0.3">
      <c r="A2461" s="193" t="str">
        <f ca="1"/>
        <v/>
      </c>
      <c r="B2461" s="378"/>
      <c r="C2461" s="315"/>
      <c r="D2461" s="316"/>
      <c r="E2461" s="315"/>
      <c r="F2461" s="315"/>
      <c r="G2461" s="315"/>
      <c r="H2461" s="153"/>
      <c r="I2461" s="12"/>
      <c r="J2461" s="12"/>
      <c r="K2461" s="12"/>
      <c r="L2461" s="379"/>
      <c r="M2461" s="380"/>
      <c r="N2461" s="380"/>
      <c r="O2461" s="12"/>
      <c r="P2461" s="381"/>
      <c r="Q2461" s="12"/>
      <c r="R2461" s="12"/>
      <c r="S2461" s="382"/>
      <c r="T2461" s="383"/>
      <c r="U2461" s="384"/>
      <c r="V2461" s="12"/>
      <c r="W2461" s="12"/>
    </row>
    <row r="2462" spans="1:23" x14ac:dyDescent="0.3">
      <c r="A2462" s="193" t="str">
        <f ca="1"/>
        <v/>
      </c>
      <c r="B2462" s="378"/>
      <c r="C2462" s="315"/>
      <c r="D2462" s="316"/>
      <c r="E2462" s="315"/>
      <c r="F2462" s="315"/>
      <c r="G2462" s="315"/>
      <c r="H2462" s="153"/>
      <c r="I2462" s="12"/>
      <c r="J2462" s="12"/>
      <c r="K2462" s="12"/>
      <c r="L2462" s="379"/>
      <c r="M2462" s="380"/>
      <c r="N2462" s="380"/>
      <c r="O2462" s="12"/>
      <c r="P2462" s="381"/>
      <c r="Q2462" s="12"/>
      <c r="R2462" s="12"/>
      <c r="S2462" s="382"/>
      <c r="T2462" s="383"/>
      <c r="U2462" s="384"/>
      <c r="V2462" s="12"/>
      <c r="W2462" s="12"/>
    </row>
    <row r="2463" spans="1:23" x14ac:dyDescent="0.3">
      <c r="A2463" s="193" t="str">
        <f ca="1"/>
        <v/>
      </c>
      <c r="B2463" s="378"/>
      <c r="C2463" s="315"/>
      <c r="D2463" s="316"/>
      <c r="E2463" s="315"/>
      <c r="F2463" s="315"/>
      <c r="G2463" s="315"/>
      <c r="H2463" s="153"/>
      <c r="I2463" s="12"/>
      <c r="J2463" s="12"/>
      <c r="K2463" s="12"/>
      <c r="L2463" s="379"/>
      <c r="M2463" s="380"/>
      <c r="N2463" s="380"/>
      <c r="O2463" s="12"/>
      <c r="P2463" s="381"/>
      <c r="Q2463" s="12"/>
      <c r="R2463" s="12"/>
      <c r="S2463" s="382"/>
      <c r="T2463" s="383"/>
      <c r="U2463" s="384"/>
      <c r="V2463" s="12"/>
      <c r="W2463" s="12"/>
    </row>
    <row r="2464" spans="1:23" x14ac:dyDescent="0.3">
      <c r="A2464" s="193" t="str">
        <f ca="1"/>
        <v/>
      </c>
      <c r="B2464" s="378"/>
      <c r="C2464" s="315"/>
      <c r="D2464" s="316"/>
      <c r="E2464" s="315"/>
      <c r="F2464" s="315"/>
      <c r="G2464" s="315"/>
      <c r="H2464" s="153"/>
      <c r="I2464" s="12"/>
      <c r="J2464" s="12"/>
      <c r="K2464" s="12"/>
      <c r="L2464" s="379"/>
      <c r="M2464" s="380"/>
      <c r="N2464" s="380"/>
      <c r="O2464" s="12"/>
      <c r="P2464" s="381"/>
      <c r="Q2464" s="12"/>
      <c r="R2464" s="12"/>
      <c r="S2464" s="382"/>
      <c r="T2464" s="383"/>
      <c r="U2464" s="384"/>
      <c r="V2464" s="12"/>
      <c r="W2464" s="12"/>
    </row>
    <row r="2465" spans="1:23" x14ac:dyDescent="0.3">
      <c r="A2465" s="193" t="str">
        <f ca="1"/>
        <v/>
      </c>
      <c r="B2465" s="378"/>
      <c r="C2465" s="315"/>
      <c r="D2465" s="316"/>
      <c r="E2465" s="315"/>
      <c r="F2465" s="315"/>
      <c r="G2465" s="315"/>
      <c r="H2465" s="153"/>
      <c r="I2465" s="12"/>
      <c r="J2465" s="12"/>
      <c r="K2465" s="12"/>
      <c r="L2465" s="379"/>
      <c r="M2465" s="380"/>
      <c r="N2465" s="380"/>
      <c r="O2465" s="12"/>
      <c r="P2465" s="381"/>
      <c r="Q2465" s="12"/>
      <c r="R2465" s="12"/>
      <c r="S2465" s="382"/>
      <c r="T2465" s="383"/>
      <c r="U2465" s="384"/>
      <c r="V2465" s="12"/>
      <c r="W2465" s="12"/>
    </row>
    <row r="2466" spans="1:23" x14ac:dyDescent="0.3">
      <c r="A2466" s="193" t="str">
        <f ca="1"/>
        <v/>
      </c>
      <c r="B2466" s="378"/>
      <c r="C2466" s="315"/>
      <c r="D2466" s="316"/>
      <c r="E2466" s="315"/>
      <c r="F2466" s="315"/>
      <c r="G2466" s="315"/>
      <c r="H2466" s="153"/>
      <c r="I2466" s="12"/>
      <c r="J2466" s="12"/>
      <c r="K2466" s="12"/>
      <c r="L2466" s="379"/>
      <c r="M2466" s="380"/>
      <c r="N2466" s="380"/>
      <c r="O2466" s="12"/>
      <c r="P2466" s="381"/>
      <c r="Q2466" s="12"/>
      <c r="R2466" s="12"/>
      <c r="S2466" s="382"/>
      <c r="T2466" s="383"/>
      <c r="U2466" s="384"/>
      <c r="V2466" s="12"/>
      <c r="W2466" s="12"/>
    </row>
    <row r="2467" spans="1:23" x14ac:dyDescent="0.3">
      <c r="A2467" s="193" t="str">
        <f ca="1"/>
        <v/>
      </c>
      <c r="B2467" s="378"/>
      <c r="C2467" s="315"/>
      <c r="D2467" s="316"/>
      <c r="E2467" s="315"/>
      <c r="F2467" s="315"/>
      <c r="G2467" s="315"/>
      <c r="H2467" s="153"/>
      <c r="I2467" s="12"/>
      <c r="J2467" s="12"/>
      <c r="K2467" s="12"/>
      <c r="L2467" s="379"/>
      <c r="M2467" s="380"/>
      <c r="N2467" s="380"/>
      <c r="O2467" s="12"/>
      <c r="P2467" s="381"/>
      <c r="Q2467" s="12"/>
      <c r="R2467" s="12"/>
      <c r="S2467" s="382"/>
      <c r="T2467" s="383"/>
      <c r="U2467" s="384"/>
      <c r="V2467" s="12"/>
      <c r="W2467" s="12"/>
    </row>
    <row r="2468" spans="1:23" x14ac:dyDescent="0.3">
      <c r="A2468" s="193" t="str">
        <f ca="1"/>
        <v/>
      </c>
      <c r="B2468" s="378"/>
      <c r="C2468" s="315"/>
      <c r="D2468" s="316"/>
      <c r="E2468" s="315"/>
      <c r="F2468" s="315"/>
      <c r="G2468" s="315"/>
      <c r="H2468" s="153"/>
      <c r="I2468" s="12"/>
      <c r="J2468" s="12"/>
      <c r="K2468" s="12"/>
      <c r="L2468" s="379"/>
      <c r="M2468" s="380"/>
      <c r="N2468" s="380"/>
      <c r="O2468" s="12"/>
      <c r="P2468" s="381"/>
      <c r="Q2468" s="12"/>
      <c r="R2468" s="12"/>
      <c r="S2468" s="382"/>
      <c r="T2468" s="383"/>
      <c r="U2468" s="384"/>
      <c r="V2468" s="12"/>
      <c r="W2468" s="12"/>
    </row>
    <row r="2469" spans="1:23" x14ac:dyDescent="0.3">
      <c r="A2469" s="193" t="str">
        <f ca="1"/>
        <v/>
      </c>
      <c r="B2469" s="378"/>
      <c r="C2469" s="315"/>
      <c r="D2469" s="316"/>
      <c r="E2469" s="315"/>
      <c r="F2469" s="315"/>
      <c r="G2469" s="315"/>
      <c r="H2469" s="153"/>
      <c r="I2469" s="12"/>
      <c r="J2469" s="12"/>
      <c r="K2469" s="12"/>
      <c r="L2469" s="379"/>
      <c r="M2469" s="380"/>
      <c r="N2469" s="380"/>
      <c r="O2469" s="12"/>
      <c r="P2469" s="381"/>
      <c r="Q2469" s="12"/>
      <c r="R2469" s="12"/>
      <c r="S2469" s="382"/>
      <c r="T2469" s="383"/>
      <c r="U2469" s="384"/>
      <c r="V2469" s="12"/>
      <c r="W2469" s="12"/>
    </row>
    <row r="2470" spans="1:23" x14ac:dyDescent="0.3">
      <c r="A2470" s="193" t="str">
        <f ca="1"/>
        <v/>
      </c>
      <c r="B2470" s="378"/>
      <c r="C2470" s="315"/>
      <c r="D2470" s="316"/>
      <c r="E2470" s="315"/>
      <c r="F2470" s="315"/>
      <c r="G2470" s="315"/>
      <c r="H2470" s="153"/>
      <c r="I2470" s="12"/>
      <c r="J2470" s="12"/>
      <c r="K2470" s="12"/>
      <c r="L2470" s="379"/>
      <c r="M2470" s="380"/>
      <c r="N2470" s="380"/>
      <c r="O2470" s="12"/>
      <c r="P2470" s="381"/>
      <c r="Q2470" s="12"/>
      <c r="R2470" s="12"/>
      <c r="S2470" s="382"/>
      <c r="T2470" s="383"/>
      <c r="U2470" s="384"/>
      <c r="V2470" s="12"/>
      <c r="W2470" s="12"/>
    </row>
    <row r="2471" spans="1:23" x14ac:dyDescent="0.3">
      <c r="A2471" s="193" t="str">
        <f ca="1"/>
        <v/>
      </c>
      <c r="B2471" s="378"/>
      <c r="C2471" s="315"/>
      <c r="D2471" s="316"/>
      <c r="E2471" s="315"/>
      <c r="F2471" s="315"/>
      <c r="G2471" s="315"/>
      <c r="H2471" s="153"/>
      <c r="I2471" s="12"/>
      <c r="J2471" s="12"/>
      <c r="K2471" s="12"/>
      <c r="L2471" s="379"/>
      <c r="M2471" s="380"/>
      <c r="N2471" s="380"/>
      <c r="O2471" s="12"/>
      <c r="P2471" s="381"/>
      <c r="Q2471" s="12"/>
      <c r="R2471" s="12"/>
      <c r="S2471" s="382"/>
      <c r="T2471" s="383"/>
      <c r="U2471" s="384"/>
      <c r="V2471" s="12"/>
      <c r="W2471" s="12"/>
    </row>
    <row r="2472" spans="1:23" x14ac:dyDescent="0.3">
      <c r="A2472" s="193" t="str">
        <f ca="1"/>
        <v/>
      </c>
      <c r="B2472" s="378"/>
      <c r="C2472" s="315"/>
      <c r="D2472" s="316"/>
      <c r="E2472" s="315"/>
      <c r="F2472" s="315"/>
      <c r="G2472" s="315"/>
      <c r="H2472" s="153"/>
      <c r="I2472" s="12"/>
      <c r="J2472" s="12"/>
      <c r="K2472" s="12"/>
      <c r="L2472" s="379"/>
      <c r="M2472" s="380"/>
      <c r="N2472" s="380"/>
      <c r="O2472" s="12"/>
      <c r="P2472" s="381"/>
      <c r="Q2472" s="12"/>
      <c r="R2472" s="12"/>
      <c r="S2472" s="382"/>
      <c r="T2472" s="383"/>
      <c r="U2472" s="384"/>
      <c r="V2472" s="12"/>
      <c r="W2472" s="12"/>
    </row>
    <row r="2473" spans="1:23" x14ac:dyDescent="0.3">
      <c r="A2473" s="193" t="str">
        <f ca="1"/>
        <v/>
      </c>
      <c r="B2473" s="378"/>
      <c r="C2473" s="315"/>
      <c r="D2473" s="316"/>
      <c r="E2473" s="315"/>
      <c r="F2473" s="315"/>
      <c r="G2473" s="315"/>
      <c r="H2473" s="153"/>
      <c r="I2473" s="12"/>
      <c r="J2473" s="12"/>
      <c r="K2473" s="12"/>
      <c r="L2473" s="379"/>
      <c r="M2473" s="380"/>
      <c r="N2473" s="380"/>
      <c r="O2473" s="12"/>
      <c r="P2473" s="381"/>
      <c r="Q2473" s="12"/>
      <c r="R2473" s="12"/>
      <c r="S2473" s="382"/>
      <c r="T2473" s="383"/>
      <c r="U2473" s="384"/>
      <c r="V2473" s="12"/>
      <c r="W2473" s="12"/>
    </row>
    <row r="2474" spans="1:23" x14ac:dyDescent="0.3">
      <c r="A2474" s="193" t="str">
        <f ca="1"/>
        <v/>
      </c>
      <c r="B2474" s="378"/>
      <c r="C2474" s="315"/>
      <c r="D2474" s="316"/>
      <c r="E2474" s="315"/>
      <c r="F2474" s="315"/>
      <c r="G2474" s="315"/>
      <c r="H2474" s="153"/>
      <c r="I2474" s="12"/>
      <c r="J2474" s="12"/>
      <c r="K2474" s="12"/>
      <c r="L2474" s="379"/>
      <c r="M2474" s="380"/>
      <c r="N2474" s="380"/>
      <c r="O2474" s="12"/>
      <c r="P2474" s="381"/>
      <c r="Q2474" s="12"/>
      <c r="R2474" s="12"/>
      <c r="S2474" s="382"/>
      <c r="T2474" s="383"/>
      <c r="U2474" s="384"/>
      <c r="V2474" s="12"/>
      <c r="W2474" s="12"/>
    </row>
    <row r="2475" spans="1:23" x14ac:dyDescent="0.3">
      <c r="A2475" s="193" t="str">
        <f ca="1"/>
        <v/>
      </c>
      <c r="B2475" s="378"/>
      <c r="C2475" s="315"/>
      <c r="D2475" s="316"/>
      <c r="E2475" s="315"/>
      <c r="F2475" s="315"/>
      <c r="G2475" s="315"/>
      <c r="H2475" s="153"/>
      <c r="I2475" s="12"/>
      <c r="J2475" s="12"/>
      <c r="K2475" s="12"/>
      <c r="L2475" s="379"/>
      <c r="M2475" s="380"/>
      <c r="N2475" s="380"/>
      <c r="O2475" s="12"/>
      <c r="P2475" s="381"/>
      <c r="Q2475" s="12"/>
      <c r="R2475" s="12"/>
      <c r="S2475" s="382"/>
      <c r="T2475" s="383"/>
      <c r="U2475" s="384"/>
      <c r="V2475" s="12"/>
      <c r="W2475" s="12"/>
    </row>
    <row r="2476" spans="1:23" x14ac:dyDescent="0.3">
      <c r="A2476" s="193" t="str">
        <f ca="1"/>
        <v/>
      </c>
      <c r="B2476" s="378"/>
      <c r="C2476" s="315"/>
      <c r="D2476" s="316"/>
      <c r="E2476" s="315"/>
      <c r="F2476" s="315"/>
      <c r="G2476" s="315"/>
      <c r="H2476" s="153"/>
      <c r="I2476" s="12"/>
      <c r="J2476" s="12"/>
      <c r="K2476" s="12"/>
      <c r="L2476" s="379"/>
      <c r="M2476" s="380"/>
      <c r="N2476" s="380"/>
      <c r="O2476" s="12"/>
      <c r="P2476" s="381"/>
      <c r="Q2476" s="12"/>
      <c r="R2476" s="12"/>
      <c r="S2476" s="382"/>
      <c r="T2476" s="383"/>
      <c r="U2476" s="384"/>
      <c r="V2476" s="12"/>
      <c r="W2476" s="12"/>
    </row>
    <row r="2477" spans="1:23" x14ac:dyDescent="0.3">
      <c r="A2477" s="193" t="str">
        <f ca="1"/>
        <v/>
      </c>
      <c r="B2477" s="378"/>
      <c r="C2477" s="315"/>
      <c r="D2477" s="316"/>
      <c r="E2477" s="315"/>
      <c r="F2477" s="315"/>
      <c r="G2477" s="315"/>
      <c r="H2477" s="153"/>
      <c r="I2477" s="12"/>
      <c r="J2477" s="12"/>
      <c r="K2477" s="12"/>
      <c r="L2477" s="379"/>
      <c r="M2477" s="380"/>
      <c r="N2477" s="380"/>
      <c r="O2477" s="12"/>
      <c r="P2477" s="381"/>
      <c r="Q2477" s="12"/>
      <c r="R2477" s="12"/>
      <c r="S2477" s="382"/>
      <c r="T2477" s="383"/>
      <c r="U2477" s="384"/>
      <c r="V2477" s="12"/>
      <c r="W2477" s="12"/>
    </row>
    <row r="2478" spans="1:23" x14ac:dyDescent="0.3">
      <c r="A2478" s="193" t="str">
        <f ca="1"/>
        <v/>
      </c>
      <c r="B2478" s="378"/>
      <c r="C2478" s="315"/>
      <c r="D2478" s="316"/>
      <c r="E2478" s="315"/>
      <c r="F2478" s="315"/>
      <c r="G2478" s="315"/>
      <c r="H2478" s="153"/>
      <c r="I2478" s="12"/>
      <c r="J2478" s="12"/>
      <c r="K2478" s="12"/>
      <c r="L2478" s="379"/>
      <c r="M2478" s="380"/>
      <c r="N2478" s="380"/>
      <c r="O2478" s="12"/>
      <c r="P2478" s="381"/>
      <c r="Q2478" s="12"/>
      <c r="R2478" s="12"/>
      <c r="S2478" s="382"/>
      <c r="T2478" s="383"/>
      <c r="U2478" s="384"/>
      <c r="V2478" s="12"/>
      <c r="W2478" s="12"/>
    </row>
    <row r="2479" spans="1:23" x14ac:dyDescent="0.3">
      <c r="A2479" s="193" t="str">
        <f ca="1"/>
        <v/>
      </c>
      <c r="B2479" s="378"/>
      <c r="C2479" s="315"/>
      <c r="D2479" s="316"/>
      <c r="E2479" s="315"/>
      <c r="F2479" s="315"/>
      <c r="G2479" s="315"/>
      <c r="H2479" s="153"/>
      <c r="I2479" s="12"/>
      <c r="J2479" s="12"/>
      <c r="K2479" s="12"/>
      <c r="L2479" s="379"/>
      <c r="M2479" s="380"/>
      <c r="N2479" s="380"/>
      <c r="O2479" s="12"/>
      <c r="P2479" s="381"/>
      <c r="Q2479" s="12"/>
      <c r="R2479" s="12"/>
      <c r="S2479" s="382"/>
      <c r="T2479" s="383"/>
      <c r="U2479" s="384"/>
      <c r="V2479" s="12"/>
      <c r="W2479" s="12"/>
    </row>
    <row r="2480" spans="1:23" x14ac:dyDescent="0.3">
      <c r="A2480" s="193" t="str">
        <f ca="1"/>
        <v/>
      </c>
      <c r="B2480" s="378"/>
      <c r="C2480" s="315"/>
      <c r="D2480" s="316"/>
      <c r="E2480" s="315"/>
      <c r="F2480" s="315"/>
      <c r="G2480" s="315"/>
      <c r="H2480" s="153"/>
      <c r="I2480" s="12"/>
      <c r="J2480" s="12"/>
      <c r="K2480" s="12"/>
      <c r="L2480" s="379"/>
      <c r="M2480" s="380"/>
      <c r="N2480" s="380"/>
      <c r="O2480" s="12"/>
      <c r="P2480" s="381"/>
      <c r="Q2480" s="12"/>
      <c r="R2480" s="12"/>
      <c r="S2480" s="382"/>
      <c r="T2480" s="383"/>
      <c r="U2480" s="384"/>
      <c r="V2480" s="12"/>
      <c r="W2480" s="12"/>
    </row>
    <row r="2481" spans="1:23" x14ac:dyDescent="0.3">
      <c r="A2481" s="193" t="str">
        <f ca="1"/>
        <v/>
      </c>
      <c r="B2481" s="378"/>
      <c r="C2481" s="315"/>
      <c r="D2481" s="316"/>
      <c r="E2481" s="315"/>
      <c r="F2481" s="315"/>
      <c r="G2481" s="315"/>
      <c r="H2481" s="153"/>
      <c r="I2481" s="12"/>
      <c r="J2481" s="12"/>
      <c r="K2481" s="12"/>
      <c r="L2481" s="379"/>
      <c r="M2481" s="380"/>
      <c r="N2481" s="380"/>
      <c r="O2481" s="12"/>
      <c r="P2481" s="381"/>
      <c r="Q2481" s="12"/>
      <c r="R2481" s="12"/>
      <c r="S2481" s="382"/>
      <c r="T2481" s="383"/>
      <c r="U2481" s="384"/>
      <c r="V2481" s="12"/>
      <c r="W2481" s="12"/>
    </row>
    <row r="2482" spans="1:23" x14ac:dyDescent="0.3">
      <c r="A2482" s="193" t="str">
        <f ca="1"/>
        <v/>
      </c>
      <c r="B2482" s="378"/>
      <c r="C2482" s="315"/>
      <c r="D2482" s="316"/>
      <c r="E2482" s="315"/>
      <c r="F2482" s="315"/>
      <c r="G2482" s="315"/>
      <c r="H2482" s="153"/>
      <c r="I2482" s="12"/>
      <c r="J2482" s="12"/>
      <c r="K2482" s="12"/>
      <c r="L2482" s="379"/>
      <c r="M2482" s="380"/>
      <c r="N2482" s="380"/>
      <c r="O2482" s="12"/>
      <c r="P2482" s="381"/>
      <c r="Q2482" s="12"/>
      <c r="R2482" s="12"/>
      <c r="S2482" s="382"/>
      <c r="T2482" s="383"/>
      <c r="U2482" s="384"/>
      <c r="V2482" s="12"/>
      <c r="W2482" s="12"/>
    </row>
    <row r="2483" spans="1:23" x14ac:dyDescent="0.3">
      <c r="A2483" s="193" t="str">
        <f ca="1"/>
        <v/>
      </c>
      <c r="B2483" s="378"/>
      <c r="C2483" s="315"/>
      <c r="D2483" s="316"/>
      <c r="E2483" s="315"/>
      <c r="F2483" s="315"/>
      <c r="G2483" s="315"/>
      <c r="H2483" s="153"/>
      <c r="I2483" s="12"/>
      <c r="J2483" s="12"/>
      <c r="K2483" s="12"/>
      <c r="L2483" s="379"/>
      <c r="M2483" s="380"/>
      <c r="N2483" s="380"/>
      <c r="O2483" s="12"/>
      <c r="P2483" s="381"/>
      <c r="Q2483" s="12"/>
      <c r="R2483" s="12"/>
      <c r="S2483" s="382"/>
      <c r="T2483" s="383"/>
      <c r="U2483" s="384"/>
      <c r="V2483" s="12"/>
      <c r="W2483" s="12"/>
    </row>
    <row r="2484" spans="1:23" x14ac:dyDescent="0.3">
      <c r="A2484" s="193" t="str">
        <f ca="1"/>
        <v/>
      </c>
      <c r="B2484" s="378"/>
      <c r="C2484" s="315"/>
      <c r="D2484" s="316"/>
      <c r="E2484" s="315"/>
      <c r="F2484" s="315"/>
      <c r="G2484" s="315"/>
      <c r="H2484" s="153"/>
      <c r="I2484" s="12"/>
      <c r="J2484" s="12"/>
      <c r="K2484" s="12"/>
      <c r="L2484" s="379"/>
      <c r="M2484" s="380"/>
      <c r="N2484" s="380"/>
      <c r="O2484" s="12"/>
      <c r="P2484" s="381"/>
      <c r="Q2484" s="12"/>
      <c r="R2484" s="12"/>
      <c r="S2484" s="382"/>
      <c r="T2484" s="383"/>
      <c r="U2484" s="384"/>
      <c r="V2484" s="12"/>
      <c r="W2484" s="12"/>
    </row>
    <row r="2485" spans="1:23" x14ac:dyDescent="0.3">
      <c r="A2485" s="193" t="str">
        <f ca="1"/>
        <v/>
      </c>
      <c r="B2485" s="378"/>
      <c r="C2485" s="315"/>
      <c r="D2485" s="316"/>
      <c r="E2485" s="315"/>
      <c r="F2485" s="315"/>
      <c r="G2485" s="315"/>
      <c r="H2485" s="153"/>
      <c r="I2485" s="12"/>
      <c r="J2485" s="12"/>
      <c r="K2485" s="12"/>
      <c r="L2485" s="379"/>
      <c r="M2485" s="380"/>
      <c r="N2485" s="380"/>
      <c r="O2485" s="12"/>
      <c r="P2485" s="381"/>
      <c r="Q2485" s="12"/>
      <c r="R2485" s="12"/>
      <c r="S2485" s="382"/>
      <c r="T2485" s="383"/>
      <c r="U2485" s="384"/>
      <c r="V2485" s="12"/>
      <c r="W2485" s="12"/>
    </row>
    <row r="2486" spans="1:23" x14ac:dyDescent="0.3">
      <c r="A2486" s="193" t="str">
        <f ca="1"/>
        <v/>
      </c>
      <c r="B2486" s="378"/>
      <c r="C2486" s="315"/>
      <c r="D2486" s="316"/>
      <c r="E2486" s="315"/>
      <c r="F2486" s="315"/>
      <c r="G2486" s="315"/>
      <c r="H2486" s="153"/>
      <c r="I2486" s="12"/>
      <c r="J2486" s="12"/>
      <c r="K2486" s="12"/>
      <c r="L2486" s="379"/>
      <c r="M2486" s="380"/>
      <c r="N2486" s="380"/>
      <c r="O2486" s="12"/>
      <c r="P2486" s="381"/>
      <c r="Q2486" s="12"/>
      <c r="R2486" s="12"/>
      <c r="S2486" s="382"/>
      <c r="T2486" s="383"/>
      <c r="U2486" s="384"/>
      <c r="V2486" s="12"/>
      <c r="W2486" s="12"/>
    </row>
    <row r="2487" spans="1:23" x14ac:dyDescent="0.3">
      <c r="A2487" s="193" t="str">
        <f ca="1"/>
        <v/>
      </c>
      <c r="B2487" s="378"/>
      <c r="C2487" s="315"/>
      <c r="D2487" s="316"/>
      <c r="E2487" s="315"/>
      <c r="F2487" s="315"/>
      <c r="G2487" s="315"/>
      <c r="H2487" s="153"/>
      <c r="I2487" s="12"/>
      <c r="J2487" s="12"/>
      <c r="K2487" s="12"/>
      <c r="L2487" s="379"/>
      <c r="M2487" s="380"/>
      <c r="N2487" s="380"/>
      <c r="O2487" s="12"/>
      <c r="P2487" s="381"/>
      <c r="Q2487" s="12"/>
      <c r="R2487" s="12"/>
      <c r="S2487" s="382"/>
      <c r="T2487" s="383"/>
      <c r="U2487" s="384"/>
      <c r="V2487" s="12"/>
      <c r="W2487" s="12"/>
    </row>
    <row r="2488" spans="1:23" x14ac:dyDescent="0.3">
      <c r="A2488" s="193" t="str">
        <f ca="1"/>
        <v/>
      </c>
      <c r="B2488" s="378"/>
      <c r="C2488" s="315"/>
      <c r="D2488" s="316"/>
      <c r="E2488" s="315"/>
      <c r="F2488" s="315"/>
      <c r="G2488" s="315"/>
      <c r="H2488" s="153"/>
      <c r="I2488" s="12"/>
      <c r="J2488" s="12"/>
      <c r="K2488" s="12"/>
      <c r="L2488" s="379"/>
      <c r="M2488" s="380"/>
      <c r="N2488" s="380"/>
      <c r="O2488" s="12"/>
      <c r="P2488" s="381"/>
      <c r="Q2488" s="12"/>
      <c r="R2488" s="12"/>
      <c r="S2488" s="382"/>
      <c r="T2488" s="383"/>
      <c r="U2488" s="384"/>
      <c r="V2488" s="12"/>
      <c r="W2488" s="12"/>
    </row>
    <row r="2489" spans="1:23" x14ac:dyDescent="0.3">
      <c r="A2489" s="193" t="str">
        <f ca="1"/>
        <v/>
      </c>
      <c r="B2489" s="378"/>
      <c r="C2489" s="315"/>
      <c r="D2489" s="316"/>
      <c r="E2489" s="315"/>
      <c r="F2489" s="315"/>
      <c r="G2489" s="315"/>
      <c r="H2489" s="153"/>
      <c r="I2489" s="12"/>
      <c r="J2489" s="12"/>
      <c r="K2489" s="12"/>
      <c r="L2489" s="379"/>
      <c r="M2489" s="380"/>
      <c r="N2489" s="380"/>
      <c r="O2489" s="12"/>
      <c r="P2489" s="381"/>
      <c r="Q2489" s="12"/>
      <c r="R2489" s="12"/>
      <c r="S2489" s="382"/>
      <c r="T2489" s="383"/>
      <c r="U2489" s="384"/>
      <c r="V2489" s="12"/>
      <c r="W2489" s="12"/>
    </row>
    <row r="2490" spans="1:23" x14ac:dyDescent="0.3">
      <c r="A2490" s="193" t="str">
        <f ca="1"/>
        <v/>
      </c>
      <c r="B2490" s="378"/>
      <c r="C2490" s="315"/>
      <c r="D2490" s="316"/>
      <c r="E2490" s="315"/>
      <c r="F2490" s="315"/>
      <c r="G2490" s="315"/>
      <c r="H2490" s="153"/>
      <c r="I2490" s="12"/>
      <c r="J2490" s="12"/>
      <c r="K2490" s="12"/>
      <c r="L2490" s="379"/>
      <c r="M2490" s="380"/>
      <c r="N2490" s="380"/>
      <c r="O2490" s="12"/>
      <c r="P2490" s="381"/>
      <c r="Q2490" s="12"/>
      <c r="R2490" s="12"/>
      <c r="S2490" s="382"/>
      <c r="T2490" s="383"/>
      <c r="U2490" s="384"/>
      <c r="V2490" s="12"/>
      <c r="W2490" s="12"/>
    </row>
    <row r="2491" spans="1:23" x14ac:dyDescent="0.3">
      <c r="A2491" s="193" t="str">
        <f ca="1"/>
        <v/>
      </c>
      <c r="B2491" s="378"/>
      <c r="C2491" s="315"/>
      <c r="D2491" s="316"/>
      <c r="E2491" s="315"/>
      <c r="F2491" s="315"/>
      <c r="G2491" s="315"/>
      <c r="H2491" s="153"/>
      <c r="I2491" s="12"/>
      <c r="J2491" s="12"/>
      <c r="K2491" s="12"/>
      <c r="L2491" s="379"/>
      <c r="M2491" s="380"/>
      <c r="N2491" s="380"/>
      <c r="O2491" s="12"/>
      <c r="P2491" s="381"/>
      <c r="Q2491" s="12"/>
      <c r="R2491" s="12"/>
      <c r="S2491" s="382"/>
      <c r="T2491" s="383"/>
      <c r="U2491" s="384"/>
      <c r="V2491" s="12"/>
      <c r="W2491" s="12"/>
    </row>
    <row r="2492" spans="1:23" x14ac:dyDescent="0.3">
      <c r="A2492" s="193" t="str">
        <f ca="1"/>
        <v/>
      </c>
      <c r="B2492" s="378"/>
      <c r="C2492" s="315"/>
      <c r="D2492" s="316"/>
      <c r="E2492" s="315"/>
      <c r="F2492" s="315"/>
      <c r="G2492" s="315"/>
      <c r="H2492" s="153"/>
      <c r="I2492" s="12"/>
      <c r="J2492" s="12"/>
      <c r="K2492" s="12"/>
      <c r="L2492" s="379"/>
      <c r="M2492" s="380"/>
      <c r="N2492" s="380"/>
      <c r="O2492" s="12"/>
      <c r="P2492" s="381"/>
      <c r="Q2492" s="12"/>
      <c r="R2492" s="12"/>
      <c r="S2492" s="382"/>
      <c r="T2492" s="383"/>
      <c r="U2492" s="384"/>
      <c r="V2492" s="12"/>
      <c r="W2492" s="12"/>
    </row>
    <row r="2493" spans="1:23" x14ac:dyDescent="0.3">
      <c r="A2493" s="193" t="str">
        <f ca="1"/>
        <v/>
      </c>
      <c r="B2493" s="378"/>
      <c r="C2493" s="315"/>
      <c r="D2493" s="316"/>
      <c r="E2493" s="315"/>
      <c r="F2493" s="315"/>
      <c r="G2493" s="315"/>
      <c r="H2493" s="153"/>
      <c r="I2493" s="12"/>
      <c r="J2493" s="12"/>
      <c r="K2493" s="12"/>
      <c r="L2493" s="379"/>
      <c r="M2493" s="380"/>
      <c r="N2493" s="380"/>
      <c r="O2493" s="12"/>
      <c r="P2493" s="381"/>
      <c r="Q2493" s="12"/>
      <c r="R2493" s="12"/>
      <c r="S2493" s="382"/>
      <c r="T2493" s="383"/>
      <c r="U2493" s="384"/>
      <c r="V2493" s="12"/>
      <c r="W2493" s="12"/>
    </row>
    <row r="2494" spans="1:23" x14ac:dyDescent="0.3">
      <c r="A2494" s="193" t="str">
        <f ca="1"/>
        <v/>
      </c>
      <c r="B2494" s="378"/>
      <c r="C2494" s="315"/>
      <c r="D2494" s="316"/>
      <c r="E2494" s="315"/>
      <c r="F2494" s="315"/>
      <c r="G2494" s="315"/>
      <c r="H2494" s="153"/>
      <c r="I2494" s="12"/>
      <c r="J2494" s="12"/>
      <c r="K2494" s="12"/>
      <c r="L2494" s="379"/>
      <c r="M2494" s="380"/>
      <c r="N2494" s="380"/>
      <c r="O2494" s="12"/>
      <c r="P2494" s="381"/>
      <c r="Q2494" s="12"/>
      <c r="R2494" s="12"/>
      <c r="S2494" s="382"/>
      <c r="T2494" s="383"/>
      <c r="U2494" s="384"/>
      <c r="V2494" s="12"/>
      <c r="W2494" s="12"/>
    </row>
    <row r="2495" spans="1:23" x14ac:dyDescent="0.3">
      <c r="A2495" s="193" t="str">
        <f ca="1"/>
        <v/>
      </c>
      <c r="B2495" s="378"/>
      <c r="C2495" s="315"/>
      <c r="D2495" s="316"/>
      <c r="E2495" s="315"/>
      <c r="F2495" s="315"/>
      <c r="G2495" s="315"/>
      <c r="H2495" s="153"/>
      <c r="I2495" s="12"/>
      <c r="J2495" s="12"/>
      <c r="K2495" s="12"/>
      <c r="L2495" s="379"/>
      <c r="M2495" s="380"/>
      <c r="N2495" s="380"/>
      <c r="O2495" s="12"/>
      <c r="P2495" s="381"/>
      <c r="Q2495" s="12"/>
      <c r="R2495" s="12"/>
      <c r="S2495" s="382"/>
      <c r="T2495" s="383"/>
      <c r="U2495" s="384"/>
      <c r="V2495" s="12"/>
      <c r="W2495" s="12"/>
    </row>
    <row r="2496" spans="1:23" x14ac:dyDescent="0.3">
      <c r="A2496" s="193" t="str">
        <f ca="1"/>
        <v/>
      </c>
      <c r="B2496" s="378"/>
      <c r="C2496" s="315"/>
      <c r="D2496" s="316"/>
      <c r="E2496" s="315"/>
      <c r="F2496" s="315"/>
      <c r="G2496" s="315"/>
      <c r="H2496" s="153"/>
      <c r="I2496" s="12"/>
      <c r="J2496" s="12"/>
      <c r="K2496" s="12"/>
      <c r="L2496" s="379"/>
      <c r="M2496" s="380"/>
      <c r="N2496" s="380"/>
      <c r="O2496" s="12"/>
      <c r="P2496" s="381"/>
      <c r="Q2496" s="12"/>
      <c r="R2496" s="12"/>
      <c r="S2496" s="382"/>
      <c r="T2496" s="383"/>
      <c r="U2496" s="384"/>
      <c r="V2496" s="12"/>
      <c r="W2496" s="12"/>
    </row>
    <row r="2497" spans="1:23" x14ac:dyDescent="0.3">
      <c r="A2497" s="193" t="str">
        <f ca="1"/>
        <v/>
      </c>
      <c r="B2497" s="378"/>
      <c r="C2497" s="315"/>
      <c r="D2497" s="316"/>
      <c r="E2497" s="315"/>
      <c r="F2497" s="315"/>
      <c r="G2497" s="315"/>
      <c r="H2497" s="153"/>
      <c r="I2497" s="12"/>
      <c r="J2497" s="12"/>
      <c r="K2497" s="12"/>
      <c r="L2497" s="379"/>
      <c r="M2497" s="380"/>
      <c r="N2497" s="380"/>
      <c r="O2497" s="12"/>
      <c r="P2497" s="381"/>
      <c r="Q2497" s="12"/>
      <c r="R2497" s="12"/>
      <c r="S2497" s="382"/>
      <c r="T2497" s="383"/>
      <c r="U2497" s="384"/>
      <c r="V2497" s="12"/>
      <c r="W2497" s="12"/>
    </row>
    <row r="2498" spans="1:23" x14ac:dyDescent="0.3">
      <c r="A2498" s="193" t="str">
        <f ca="1"/>
        <v/>
      </c>
      <c r="B2498" s="378"/>
      <c r="C2498" s="315"/>
      <c r="D2498" s="316"/>
      <c r="E2498" s="315"/>
      <c r="F2498" s="315"/>
      <c r="G2498" s="315"/>
      <c r="H2498" s="153"/>
      <c r="I2498" s="12"/>
      <c r="J2498" s="12"/>
      <c r="K2498" s="12"/>
      <c r="L2498" s="379"/>
      <c r="M2498" s="380"/>
      <c r="N2498" s="380"/>
      <c r="O2498" s="12"/>
      <c r="P2498" s="381"/>
      <c r="Q2498" s="12"/>
      <c r="R2498" s="12"/>
      <c r="S2498" s="382"/>
      <c r="T2498" s="383"/>
      <c r="U2498" s="384"/>
      <c r="V2498" s="12"/>
      <c r="W2498" s="12"/>
    </row>
    <row r="2499" spans="1:23" x14ac:dyDescent="0.3">
      <c r="A2499" s="193" t="str">
        <f ca="1"/>
        <v/>
      </c>
      <c r="B2499" s="378"/>
      <c r="C2499" s="315"/>
      <c r="D2499" s="316"/>
      <c r="E2499" s="315"/>
      <c r="F2499" s="315"/>
      <c r="G2499" s="315"/>
      <c r="H2499" s="153"/>
      <c r="I2499" s="12"/>
      <c r="J2499" s="12"/>
      <c r="K2499" s="12"/>
      <c r="L2499" s="379"/>
      <c r="M2499" s="380"/>
      <c r="N2499" s="380"/>
      <c r="O2499" s="12"/>
      <c r="P2499" s="381"/>
      <c r="Q2499" s="12"/>
      <c r="R2499" s="12"/>
      <c r="S2499" s="382"/>
      <c r="T2499" s="383"/>
      <c r="U2499" s="384"/>
      <c r="V2499" s="12"/>
      <c r="W2499" s="12"/>
    </row>
    <row r="2500" spans="1:23" x14ac:dyDescent="0.3">
      <c r="A2500" s="193" t="str">
        <f ca="1"/>
        <v/>
      </c>
      <c r="B2500" s="378"/>
      <c r="C2500" s="315"/>
      <c r="D2500" s="316"/>
      <c r="E2500" s="315"/>
      <c r="F2500" s="315"/>
      <c r="G2500" s="315"/>
      <c r="H2500" s="153"/>
      <c r="I2500" s="12"/>
      <c r="J2500" s="12"/>
      <c r="K2500" s="12"/>
      <c r="L2500" s="379"/>
      <c r="M2500" s="380"/>
      <c r="N2500" s="380"/>
      <c r="O2500" s="12"/>
      <c r="P2500" s="381"/>
      <c r="Q2500" s="12"/>
      <c r="R2500" s="12"/>
      <c r="S2500" s="382"/>
      <c r="T2500" s="383"/>
      <c r="U2500" s="384"/>
      <c r="V2500" s="12"/>
      <c r="W2500" s="12"/>
    </row>
    <row r="2501" spans="1:23" x14ac:dyDescent="0.3">
      <c r="A2501" s="193" t="str">
        <f ca="1"/>
        <v/>
      </c>
      <c r="B2501" s="378"/>
      <c r="C2501" s="315"/>
      <c r="D2501" s="316"/>
      <c r="E2501" s="315"/>
      <c r="F2501" s="315"/>
      <c r="G2501" s="315"/>
      <c r="H2501" s="153"/>
      <c r="I2501" s="12"/>
      <c r="J2501" s="12"/>
      <c r="K2501" s="12"/>
      <c r="L2501" s="379"/>
      <c r="M2501" s="380"/>
      <c r="N2501" s="380"/>
      <c r="O2501" s="12"/>
      <c r="P2501" s="381"/>
      <c r="Q2501" s="12"/>
      <c r="R2501" s="12"/>
      <c r="S2501" s="382"/>
      <c r="T2501" s="383"/>
      <c r="U2501" s="384"/>
      <c r="V2501" s="12"/>
      <c r="W2501" s="12"/>
    </row>
    <row r="2502" spans="1:23" x14ac:dyDescent="0.3">
      <c r="A2502" s="193" t="str">
        <f ca="1"/>
        <v/>
      </c>
      <c r="B2502" s="378"/>
      <c r="C2502" s="315"/>
      <c r="D2502" s="316"/>
      <c r="E2502" s="315"/>
      <c r="F2502" s="315"/>
      <c r="G2502" s="315"/>
      <c r="H2502" s="153"/>
      <c r="I2502" s="12"/>
      <c r="J2502" s="12"/>
      <c r="K2502" s="12"/>
      <c r="L2502" s="379"/>
      <c r="M2502" s="380"/>
      <c r="N2502" s="380"/>
      <c r="O2502" s="12"/>
      <c r="P2502" s="381"/>
      <c r="Q2502" s="12"/>
      <c r="R2502" s="12"/>
      <c r="S2502" s="382"/>
      <c r="T2502" s="383"/>
      <c r="U2502" s="384"/>
      <c r="V2502" s="12"/>
      <c r="W2502" s="12"/>
    </row>
    <row r="2503" spans="1:23" x14ac:dyDescent="0.3">
      <c r="A2503" s="193" t="str">
        <f ca="1"/>
        <v/>
      </c>
      <c r="B2503" s="378"/>
      <c r="C2503" s="315"/>
      <c r="D2503" s="316"/>
      <c r="E2503" s="315"/>
      <c r="F2503" s="315"/>
      <c r="G2503" s="315"/>
      <c r="H2503" s="153"/>
      <c r="I2503" s="12"/>
      <c r="J2503" s="12"/>
      <c r="K2503" s="12"/>
      <c r="L2503" s="379"/>
      <c r="M2503" s="380"/>
      <c r="N2503" s="380"/>
      <c r="O2503" s="12"/>
      <c r="P2503" s="381"/>
      <c r="Q2503" s="12"/>
      <c r="R2503" s="12"/>
      <c r="S2503" s="382"/>
      <c r="T2503" s="383"/>
      <c r="U2503" s="384"/>
      <c r="V2503" s="12"/>
      <c r="W2503" s="12"/>
    </row>
    <row r="2504" spans="1:23" x14ac:dyDescent="0.3">
      <c r="A2504" s="193" t="str">
        <f ca="1"/>
        <v/>
      </c>
      <c r="B2504" s="378"/>
      <c r="C2504" s="315"/>
      <c r="D2504" s="316"/>
      <c r="E2504" s="315"/>
      <c r="F2504" s="315"/>
      <c r="G2504" s="315"/>
      <c r="H2504" s="153"/>
      <c r="I2504" s="12"/>
      <c r="J2504" s="12"/>
      <c r="K2504" s="12"/>
      <c r="L2504" s="379"/>
      <c r="M2504" s="380"/>
      <c r="N2504" s="380"/>
      <c r="O2504" s="12"/>
      <c r="P2504" s="381"/>
      <c r="Q2504" s="12"/>
      <c r="R2504" s="12"/>
      <c r="S2504" s="382"/>
      <c r="T2504" s="383"/>
      <c r="U2504" s="384"/>
      <c r="V2504" s="12"/>
      <c r="W2504" s="12"/>
    </row>
    <row r="2505" spans="1:23" x14ac:dyDescent="0.3">
      <c r="A2505" s="193" t="str">
        <f ca="1"/>
        <v/>
      </c>
      <c r="B2505" s="378"/>
      <c r="C2505" s="315"/>
      <c r="D2505" s="316"/>
      <c r="E2505" s="315"/>
      <c r="F2505" s="315"/>
      <c r="G2505" s="315"/>
      <c r="H2505" s="153"/>
      <c r="I2505" s="12"/>
      <c r="J2505" s="12"/>
      <c r="K2505" s="12"/>
      <c r="L2505" s="379"/>
      <c r="M2505" s="380"/>
      <c r="N2505" s="380"/>
      <c r="O2505" s="12"/>
      <c r="P2505" s="381"/>
      <c r="Q2505" s="12"/>
      <c r="R2505" s="12"/>
      <c r="S2505" s="382"/>
      <c r="T2505" s="383"/>
      <c r="U2505" s="384"/>
      <c r="V2505" s="12"/>
      <c r="W2505" s="12"/>
    </row>
    <row r="2506" spans="1:23" x14ac:dyDescent="0.3">
      <c r="A2506" s="193" t="str">
        <f ca="1"/>
        <v/>
      </c>
      <c r="B2506" s="378"/>
      <c r="C2506" s="315"/>
      <c r="D2506" s="316"/>
      <c r="E2506" s="315"/>
      <c r="F2506" s="315"/>
      <c r="G2506" s="315"/>
      <c r="H2506" s="153"/>
      <c r="I2506" s="12"/>
      <c r="J2506" s="12"/>
      <c r="K2506" s="12"/>
      <c r="L2506" s="379"/>
      <c r="M2506" s="380"/>
      <c r="N2506" s="380"/>
      <c r="O2506" s="12"/>
      <c r="P2506" s="381"/>
      <c r="Q2506" s="12"/>
      <c r="R2506" s="12"/>
      <c r="S2506" s="382"/>
      <c r="T2506" s="383"/>
      <c r="U2506" s="384"/>
      <c r="V2506" s="12"/>
      <c r="W2506" s="12"/>
    </row>
    <row r="2507" spans="1:23" x14ac:dyDescent="0.3">
      <c r="A2507" s="193" t="str">
        <f ca="1"/>
        <v/>
      </c>
      <c r="B2507" s="378"/>
      <c r="C2507" s="315"/>
      <c r="D2507" s="316"/>
      <c r="E2507" s="315"/>
      <c r="F2507" s="315"/>
      <c r="G2507" s="315"/>
      <c r="H2507" s="153"/>
      <c r="I2507" s="12"/>
      <c r="J2507" s="12"/>
      <c r="K2507" s="12"/>
      <c r="L2507" s="379"/>
      <c r="M2507" s="380"/>
      <c r="N2507" s="380"/>
      <c r="O2507" s="12"/>
      <c r="P2507" s="381"/>
      <c r="Q2507" s="12"/>
      <c r="R2507" s="12"/>
      <c r="S2507" s="382"/>
      <c r="T2507" s="383"/>
      <c r="U2507" s="384"/>
      <c r="V2507" s="12"/>
      <c r="W2507" s="12"/>
    </row>
    <row r="2508" spans="1:23" x14ac:dyDescent="0.3">
      <c r="A2508" s="193" t="str">
        <f ca="1"/>
        <v/>
      </c>
      <c r="B2508" s="378"/>
      <c r="C2508" s="315"/>
      <c r="D2508" s="316"/>
      <c r="E2508" s="315"/>
      <c r="F2508" s="315"/>
      <c r="G2508" s="315"/>
      <c r="H2508" s="153"/>
      <c r="I2508" s="12"/>
      <c r="J2508" s="12"/>
      <c r="K2508" s="12"/>
      <c r="L2508" s="379"/>
      <c r="M2508" s="380"/>
      <c r="N2508" s="380"/>
      <c r="O2508" s="12"/>
      <c r="P2508" s="381"/>
      <c r="Q2508" s="12"/>
      <c r="R2508" s="12"/>
      <c r="S2508" s="382"/>
      <c r="T2508" s="383"/>
      <c r="U2508" s="384"/>
      <c r="V2508" s="12"/>
      <c r="W2508" s="12"/>
    </row>
    <row r="2509" spans="1:23" x14ac:dyDescent="0.3">
      <c r="A2509" s="193" t="str">
        <f ca="1"/>
        <v/>
      </c>
      <c r="B2509" s="378"/>
      <c r="C2509" s="315"/>
      <c r="D2509" s="316"/>
      <c r="E2509" s="315"/>
      <c r="F2509" s="315"/>
      <c r="G2509" s="315"/>
      <c r="H2509" s="153"/>
      <c r="I2509" s="12"/>
      <c r="J2509" s="12"/>
      <c r="K2509" s="12"/>
      <c r="L2509" s="379"/>
      <c r="M2509" s="380"/>
      <c r="N2509" s="380"/>
      <c r="O2509" s="12"/>
      <c r="P2509" s="381"/>
      <c r="Q2509" s="12"/>
      <c r="R2509" s="12"/>
      <c r="S2509" s="382"/>
      <c r="T2509" s="383"/>
      <c r="U2509" s="384"/>
      <c r="V2509" s="12"/>
      <c r="W2509" s="12"/>
    </row>
    <row r="2510" spans="1:23" x14ac:dyDescent="0.3">
      <c r="A2510" s="193" t="str">
        <f ca="1"/>
        <v/>
      </c>
      <c r="B2510" s="378"/>
      <c r="C2510" s="315"/>
      <c r="D2510" s="316"/>
      <c r="E2510" s="315"/>
      <c r="F2510" s="315"/>
      <c r="G2510" s="315"/>
      <c r="H2510" s="153"/>
      <c r="I2510" s="12"/>
      <c r="J2510" s="12"/>
      <c r="K2510" s="12"/>
      <c r="L2510" s="379"/>
      <c r="M2510" s="380"/>
      <c r="N2510" s="380"/>
      <c r="O2510" s="12"/>
      <c r="P2510" s="381"/>
      <c r="Q2510" s="12"/>
      <c r="R2510" s="12"/>
      <c r="S2510" s="382"/>
      <c r="T2510" s="383"/>
      <c r="U2510" s="384"/>
      <c r="V2510" s="12"/>
      <c r="W2510" s="12"/>
    </row>
    <row r="2511" spans="1:23" x14ac:dyDescent="0.3">
      <c r="A2511" s="193" t="str">
        <f ca="1"/>
        <v/>
      </c>
      <c r="B2511" s="378"/>
      <c r="C2511" s="315"/>
      <c r="D2511" s="316"/>
      <c r="E2511" s="315"/>
      <c r="F2511" s="315"/>
      <c r="G2511" s="315"/>
      <c r="H2511" s="153"/>
      <c r="I2511" s="12"/>
      <c r="J2511" s="12"/>
      <c r="K2511" s="12"/>
      <c r="L2511" s="379"/>
      <c r="M2511" s="380"/>
      <c r="N2511" s="380"/>
      <c r="O2511" s="12"/>
      <c r="P2511" s="381"/>
      <c r="Q2511" s="12"/>
      <c r="R2511" s="12"/>
      <c r="S2511" s="382"/>
      <c r="T2511" s="383"/>
      <c r="U2511" s="384"/>
      <c r="V2511" s="12"/>
      <c r="W2511" s="12"/>
    </row>
    <row r="2512" spans="1:23" x14ac:dyDescent="0.3">
      <c r="A2512" s="193" t="str">
        <f ca="1"/>
        <v/>
      </c>
      <c r="B2512" s="378"/>
      <c r="C2512" s="315"/>
      <c r="D2512" s="316"/>
      <c r="E2512" s="315"/>
      <c r="F2512" s="315"/>
      <c r="G2512" s="315"/>
      <c r="H2512" s="153"/>
      <c r="I2512" s="12"/>
      <c r="J2512" s="12"/>
      <c r="K2512" s="12"/>
      <c r="L2512" s="379"/>
      <c r="M2512" s="380"/>
      <c r="N2512" s="380"/>
      <c r="O2512" s="12"/>
      <c r="P2512" s="381"/>
      <c r="Q2512" s="12"/>
      <c r="R2512" s="12"/>
      <c r="S2512" s="382"/>
      <c r="T2512" s="383"/>
      <c r="U2512" s="384"/>
      <c r="V2512" s="12"/>
      <c r="W2512" s="12"/>
    </row>
    <row r="2513" spans="1:23" x14ac:dyDescent="0.3">
      <c r="A2513" s="193" t="str">
        <f ca="1"/>
        <v/>
      </c>
      <c r="B2513" s="378"/>
      <c r="C2513" s="315"/>
      <c r="D2513" s="316"/>
      <c r="E2513" s="315"/>
      <c r="F2513" s="315"/>
      <c r="G2513" s="315"/>
      <c r="H2513" s="153"/>
      <c r="I2513" s="12"/>
      <c r="J2513" s="12"/>
      <c r="K2513" s="12"/>
      <c r="L2513" s="379"/>
      <c r="M2513" s="380"/>
      <c r="N2513" s="380"/>
      <c r="O2513" s="12"/>
      <c r="P2513" s="381"/>
      <c r="Q2513" s="12"/>
      <c r="R2513" s="12"/>
      <c r="S2513" s="382"/>
      <c r="T2513" s="383"/>
      <c r="U2513" s="384"/>
      <c r="V2513" s="12"/>
      <c r="W2513" s="12"/>
    </row>
    <row r="2514" spans="1:23" x14ac:dyDescent="0.3">
      <c r="A2514" s="193" t="str">
        <f ca="1"/>
        <v/>
      </c>
      <c r="B2514" s="378"/>
      <c r="C2514" s="315"/>
      <c r="D2514" s="316"/>
      <c r="E2514" s="315"/>
      <c r="F2514" s="315"/>
      <c r="G2514" s="315"/>
      <c r="H2514" s="153"/>
      <c r="I2514" s="12"/>
      <c r="J2514" s="12"/>
      <c r="K2514" s="12"/>
      <c r="L2514" s="379"/>
      <c r="M2514" s="380"/>
      <c r="N2514" s="380"/>
      <c r="O2514" s="12"/>
      <c r="P2514" s="381"/>
      <c r="Q2514" s="12"/>
      <c r="R2514" s="12"/>
      <c r="S2514" s="382"/>
      <c r="T2514" s="383"/>
      <c r="U2514" s="384"/>
      <c r="V2514" s="12"/>
      <c r="W2514" s="12"/>
    </row>
    <row r="2515" spans="1:23" x14ac:dyDescent="0.3">
      <c r="A2515" s="193" t="str">
        <f ca="1"/>
        <v/>
      </c>
      <c r="B2515" s="378"/>
      <c r="C2515" s="315"/>
      <c r="D2515" s="316"/>
      <c r="E2515" s="315"/>
      <c r="F2515" s="315"/>
      <c r="G2515" s="315"/>
      <c r="H2515" s="153"/>
      <c r="I2515" s="12"/>
      <c r="J2515" s="12"/>
      <c r="K2515" s="12"/>
      <c r="L2515" s="379"/>
      <c r="M2515" s="380"/>
      <c r="N2515" s="380"/>
      <c r="O2515" s="12"/>
      <c r="P2515" s="381"/>
      <c r="Q2515" s="12"/>
      <c r="R2515" s="12"/>
      <c r="S2515" s="382"/>
      <c r="T2515" s="383"/>
      <c r="U2515" s="384"/>
      <c r="V2515" s="12"/>
      <c r="W2515" s="12"/>
    </row>
    <row r="2516" spans="1:23" x14ac:dyDescent="0.3">
      <c r="A2516" s="193" t="str">
        <f ca="1"/>
        <v/>
      </c>
      <c r="B2516" s="378"/>
      <c r="C2516" s="315"/>
      <c r="D2516" s="316"/>
      <c r="E2516" s="315"/>
      <c r="F2516" s="315"/>
      <c r="G2516" s="315"/>
      <c r="H2516" s="153"/>
      <c r="I2516" s="12"/>
      <c r="J2516" s="12"/>
      <c r="K2516" s="12"/>
      <c r="L2516" s="379"/>
      <c r="M2516" s="380"/>
      <c r="N2516" s="380"/>
      <c r="O2516" s="12"/>
      <c r="P2516" s="381"/>
      <c r="Q2516" s="12"/>
      <c r="R2516" s="12"/>
      <c r="S2516" s="382"/>
      <c r="T2516" s="383"/>
      <c r="U2516" s="384"/>
      <c r="V2516" s="12"/>
      <c r="W2516" s="12"/>
    </row>
    <row r="2517" spans="1:23" x14ac:dyDescent="0.3">
      <c r="A2517" s="193" t="str">
        <f ca="1"/>
        <v/>
      </c>
      <c r="B2517" s="378"/>
      <c r="C2517" s="315"/>
      <c r="D2517" s="316"/>
      <c r="E2517" s="315"/>
      <c r="F2517" s="315"/>
      <c r="G2517" s="315"/>
      <c r="H2517" s="153"/>
      <c r="I2517" s="12"/>
      <c r="J2517" s="12"/>
      <c r="K2517" s="12"/>
      <c r="L2517" s="379"/>
      <c r="M2517" s="380"/>
      <c r="N2517" s="380"/>
      <c r="O2517" s="12"/>
      <c r="P2517" s="381"/>
      <c r="Q2517" s="12"/>
      <c r="R2517" s="12"/>
      <c r="S2517" s="382"/>
      <c r="T2517" s="383"/>
      <c r="U2517" s="384"/>
      <c r="V2517" s="12"/>
      <c r="W2517" s="12"/>
    </row>
    <row r="2518" spans="1:23" x14ac:dyDescent="0.3">
      <c r="A2518" s="193" t="str">
        <f ca="1"/>
        <v/>
      </c>
      <c r="B2518" s="378"/>
      <c r="C2518" s="315"/>
      <c r="D2518" s="316"/>
      <c r="E2518" s="315"/>
      <c r="F2518" s="315"/>
      <c r="G2518" s="315"/>
      <c r="H2518" s="153"/>
      <c r="I2518" s="12"/>
      <c r="J2518" s="12"/>
      <c r="K2518" s="12"/>
      <c r="L2518" s="379"/>
      <c r="M2518" s="380"/>
      <c r="N2518" s="380"/>
      <c r="O2518" s="12"/>
      <c r="P2518" s="381"/>
      <c r="Q2518" s="12"/>
      <c r="R2518" s="12"/>
      <c r="S2518" s="382"/>
      <c r="T2518" s="383"/>
      <c r="U2518" s="384"/>
      <c r="V2518" s="12"/>
      <c r="W2518" s="12"/>
    </row>
    <row r="2519" spans="1:23" x14ac:dyDescent="0.3">
      <c r="A2519" s="193" t="str">
        <f ca="1"/>
        <v/>
      </c>
      <c r="B2519" s="378"/>
      <c r="C2519" s="315"/>
      <c r="D2519" s="316"/>
      <c r="E2519" s="315"/>
      <c r="F2519" s="315"/>
      <c r="G2519" s="315"/>
      <c r="H2519" s="153"/>
      <c r="I2519" s="12"/>
      <c r="J2519" s="12"/>
      <c r="K2519" s="12"/>
      <c r="L2519" s="379"/>
      <c r="M2519" s="380"/>
      <c r="N2519" s="380"/>
      <c r="O2519" s="12"/>
      <c r="P2519" s="381"/>
      <c r="Q2519" s="12"/>
      <c r="R2519" s="12"/>
      <c r="S2519" s="382"/>
      <c r="T2519" s="383"/>
      <c r="U2519" s="384"/>
      <c r="V2519" s="12"/>
      <c r="W2519" s="12"/>
    </row>
    <row r="2520" spans="1:23" x14ac:dyDescent="0.3">
      <c r="A2520" s="193" t="str">
        <f ca="1"/>
        <v/>
      </c>
      <c r="B2520" s="378"/>
      <c r="C2520" s="315"/>
      <c r="D2520" s="316"/>
      <c r="E2520" s="315"/>
      <c r="F2520" s="315"/>
      <c r="G2520" s="315"/>
      <c r="H2520" s="153"/>
      <c r="I2520" s="12"/>
      <c r="J2520" s="12"/>
      <c r="K2520" s="12"/>
      <c r="L2520" s="379"/>
      <c r="M2520" s="380"/>
      <c r="N2520" s="380"/>
      <c r="O2520" s="12"/>
      <c r="P2520" s="381"/>
      <c r="Q2520" s="12"/>
      <c r="R2520" s="12"/>
      <c r="S2520" s="382"/>
      <c r="T2520" s="383"/>
      <c r="U2520" s="384"/>
      <c r="V2520" s="12"/>
      <c r="W2520" s="12"/>
    </row>
    <row r="2521" spans="1:23" x14ac:dyDescent="0.3">
      <c r="A2521" s="193" t="str">
        <f ca="1"/>
        <v/>
      </c>
      <c r="B2521" s="378"/>
      <c r="C2521" s="315"/>
      <c r="D2521" s="316"/>
      <c r="E2521" s="315"/>
      <c r="F2521" s="315"/>
      <c r="G2521" s="315"/>
      <c r="H2521" s="153"/>
      <c r="I2521" s="12"/>
      <c r="J2521" s="12"/>
      <c r="K2521" s="12"/>
      <c r="L2521" s="379"/>
      <c r="M2521" s="380"/>
      <c r="N2521" s="380"/>
      <c r="O2521" s="12"/>
      <c r="P2521" s="381"/>
      <c r="Q2521" s="12"/>
      <c r="R2521" s="12"/>
      <c r="S2521" s="382"/>
      <c r="T2521" s="383"/>
      <c r="U2521" s="384"/>
      <c r="V2521" s="12"/>
      <c r="W2521" s="12"/>
    </row>
    <row r="2522" spans="1:23" x14ac:dyDescent="0.3">
      <c r="A2522" s="193" t="str">
        <f ca="1"/>
        <v/>
      </c>
      <c r="B2522" s="378"/>
      <c r="C2522" s="315"/>
      <c r="D2522" s="316"/>
      <c r="E2522" s="315"/>
      <c r="F2522" s="315"/>
      <c r="G2522" s="315"/>
      <c r="H2522" s="153"/>
      <c r="I2522" s="12"/>
      <c r="J2522" s="12"/>
      <c r="K2522" s="12"/>
      <c r="L2522" s="379"/>
      <c r="M2522" s="380"/>
      <c r="N2522" s="380"/>
      <c r="O2522" s="12"/>
      <c r="P2522" s="381"/>
      <c r="Q2522" s="12"/>
      <c r="R2522" s="12"/>
      <c r="S2522" s="382"/>
      <c r="T2522" s="383"/>
      <c r="U2522" s="384"/>
      <c r="V2522" s="12"/>
      <c r="W2522" s="12"/>
    </row>
    <row r="2523" spans="1:23" x14ac:dyDescent="0.3">
      <c r="A2523" s="193" t="str">
        <f ca="1"/>
        <v/>
      </c>
      <c r="B2523" s="378"/>
      <c r="C2523" s="315"/>
      <c r="D2523" s="316"/>
      <c r="E2523" s="315"/>
      <c r="F2523" s="315"/>
      <c r="G2523" s="315"/>
      <c r="H2523" s="153"/>
      <c r="I2523" s="12"/>
      <c r="J2523" s="12"/>
      <c r="K2523" s="12"/>
      <c r="L2523" s="379"/>
      <c r="M2523" s="380"/>
      <c r="N2523" s="380"/>
      <c r="O2523" s="12"/>
      <c r="P2523" s="381"/>
      <c r="Q2523" s="12"/>
      <c r="R2523" s="12"/>
      <c r="S2523" s="382"/>
      <c r="T2523" s="383"/>
      <c r="U2523" s="384"/>
      <c r="V2523" s="12"/>
      <c r="W2523" s="12"/>
    </row>
    <row r="2524" spans="1:23" x14ac:dyDescent="0.3">
      <c r="A2524" s="193" t="str">
        <f ca="1"/>
        <v/>
      </c>
      <c r="B2524" s="378"/>
      <c r="C2524" s="315"/>
      <c r="D2524" s="316"/>
      <c r="E2524" s="315"/>
      <c r="F2524" s="315"/>
      <c r="G2524" s="315"/>
      <c r="H2524" s="153"/>
      <c r="I2524" s="12"/>
      <c r="J2524" s="12"/>
      <c r="K2524" s="12"/>
      <c r="L2524" s="379"/>
      <c r="M2524" s="380"/>
      <c r="N2524" s="380"/>
      <c r="O2524" s="12"/>
      <c r="P2524" s="381"/>
      <c r="Q2524" s="12"/>
      <c r="R2524" s="12"/>
      <c r="S2524" s="382"/>
      <c r="T2524" s="383"/>
      <c r="U2524" s="384"/>
      <c r="V2524" s="12"/>
      <c r="W2524" s="12"/>
    </row>
    <row r="2525" spans="1:23" x14ac:dyDescent="0.3">
      <c r="A2525" s="193" t="str">
        <f ca="1"/>
        <v/>
      </c>
      <c r="B2525" s="378"/>
      <c r="C2525" s="315"/>
      <c r="D2525" s="316"/>
      <c r="E2525" s="315"/>
      <c r="F2525" s="315"/>
      <c r="G2525" s="315"/>
      <c r="H2525" s="153"/>
      <c r="I2525" s="12"/>
      <c r="J2525" s="12"/>
      <c r="K2525" s="12"/>
      <c r="L2525" s="379"/>
      <c r="M2525" s="380"/>
      <c r="N2525" s="380"/>
      <c r="O2525" s="12"/>
      <c r="P2525" s="381"/>
      <c r="Q2525" s="12"/>
      <c r="R2525" s="12"/>
      <c r="S2525" s="382"/>
      <c r="T2525" s="383"/>
      <c r="U2525" s="384"/>
      <c r="V2525" s="12"/>
      <c r="W2525" s="12"/>
    </row>
    <row r="2526" spans="1:23" x14ac:dyDescent="0.3">
      <c r="A2526" s="193" t="str">
        <f ca="1"/>
        <v/>
      </c>
      <c r="B2526" s="378"/>
      <c r="C2526" s="315"/>
      <c r="D2526" s="316"/>
      <c r="E2526" s="315"/>
      <c r="F2526" s="315"/>
      <c r="G2526" s="315"/>
      <c r="H2526" s="153"/>
      <c r="I2526" s="12"/>
      <c r="J2526" s="12"/>
      <c r="K2526" s="12"/>
      <c r="L2526" s="379"/>
      <c r="M2526" s="380"/>
      <c r="N2526" s="380"/>
      <c r="O2526" s="12"/>
      <c r="P2526" s="381"/>
      <c r="Q2526" s="12"/>
      <c r="R2526" s="12"/>
      <c r="S2526" s="382"/>
      <c r="T2526" s="383"/>
      <c r="U2526" s="384"/>
      <c r="V2526" s="12"/>
      <c r="W2526" s="12"/>
    </row>
    <row r="2527" spans="1:23" x14ac:dyDescent="0.3">
      <c r="A2527" s="193" t="str">
        <f ca="1"/>
        <v/>
      </c>
      <c r="B2527" s="378"/>
      <c r="C2527" s="315"/>
      <c r="D2527" s="316"/>
      <c r="E2527" s="315"/>
      <c r="F2527" s="315"/>
      <c r="G2527" s="315"/>
      <c r="H2527" s="153"/>
      <c r="I2527" s="12"/>
      <c r="J2527" s="12"/>
      <c r="K2527" s="12"/>
      <c r="L2527" s="379"/>
      <c r="M2527" s="380"/>
      <c r="N2527" s="380"/>
      <c r="O2527" s="12"/>
      <c r="P2527" s="381"/>
      <c r="Q2527" s="12"/>
      <c r="R2527" s="12"/>
      <c r="S2527" s="382"/>
      <c r="T2527" s="383"/>
      <c r="U2527" s="384"/>
      <c r="V2527" s="12"/>
      <c r="W2527" s="12"/>
    </row>
    <row r="2528" spans="1:23" x14ac:dyDescent="0.3">
      <c r="A2528" s="193" t="str">
        <f ca="1"/>
        <v/>
      </c>
      <c r="B2528" s="378"/>
      <c r="C2528" s="315"/>
      <c r="D2528" s="316"/>
      <c r="E2528" s="315"/>
      <c r="F2528" s="315"/>
      <c r="G2528" s="315"/>
      <c r="H2528" s="153"/>
      <c r="I2528" s="12"/>
      <c r="J2528" s="12"/>
      <c r="K2528" s="12"/>
      <c r="L2528" s="379"/>
      <c r="M2528" s="380"/>
      <c r="N2528" s="380"/>
      <c r="O2528" s="12"/>
      <c r="P2528" s="381"/>
      <c r="Q2528" s="12"/>
      <c r="R2528" s="12"/>
      <c r="S2528" s="382"/>
      <c r="T2528" s="383"/>
      <c r="U2528" s="384"/>
      <c r="V2528" s="12"/>
      <c r="W2528" s="12"/>
    </row>
    <row r="2529" spans="1:23" x14ac:dyDescent="0.3">
      <c r="A2529" s="193" t="str">
        <f ca="1"/>
        <v/>
      </c>
      <c r="B2529" s="378"/>
      <c r="C2529" s="315"/>
      <c r="D2529" s="316"/>
      <c r="E2529" s="315"/>
      <c r="F2529" s="315"/>
      <c r="G2529" s="315"/>
      <c r="H2529" s="153"/>
      <c r="I2529" s="12"/>
      <c r="J2529" s="12"/>
      <c r="K2529" s="12"/>
      <c r="L2529" s="379"/>
      <c r="M2529" s="380"/>
      <c r="N2529" s="380"/>
      <c r="O2529" s="12"/>
      <c r="P2529" s="381"/>
      <c r="Q2529" s="12"/>
      <c r="R2529" s="12"/>
      <c r="S2529" s="382"/>
      <c r="T2529" s="383"/>
      <c r="U2529" s="384"/>
      <c r="V2529" s="12"/>
      <c r="W2529" s="12"/>
    </row>
    <row r="2530" spans="1:23" x14ac:dyDescent="0.3">
      <c r="A2530" s="193" t="str">
        <f ca="1"/>
        <v/>
      </c>
      <c r="B2530" s="378"/>
      <c r="C2530" s="315"/>
      <c r="D2530" s="316"/>
      <c r="E2530" s="315"/>
      <c r="F2530" s="315"/>
      <c r="G2530" s="315"/>
      <c r="H2530" s="153"/>
      <c r="I2530" s="12"/>
      <c r="J2530" s="12"/>
      <c r="K2530" s="12"/>
      <c r="L2530" s="379"/>
      <c r="M2530" s="380"/>
      <c r="N2530" s="380"/>
      <c r="O2530" s="12"/>
      <c r="P2530" s="381"/>
      <c r="Q2530" s="12"/>
      <c r="R2530" s="12"/>
      <c r="S2530" s="382"/>
      <c r="T2530" s="383"/>
      <c r="U2530" s="384"/>
      <c r="V2530" s="12"/>
      <c r="W2530" s="12"/>
    </row>
    <row r="2531" spans="1:23" x14ac:dyDescent="0.3">
      <c r="A2531" s="193" t="str">
        <f ca="1"/>
        <v/>
      </c>
      <c r="B2531" s="378"/>
      <c r="C2531" s="315"/>
      <c r="D2531" s="316"/>
      <c r="E2531" s="315"/>
      <c r="F2531" s="315"/>
      <c r="G2531" s="315"/>
      <c r="H2531" s="153"/>
      <c r="I2531" s="12"/>
      <c r="J2531" s="12"/>
      <c r="K2531" s="12"/>
      <c r="L2531" s="379"/>
      <c r="M2531" s="380"/>
      <c r="N2531" s="380"/>
      <c r="O2531" s="12"/>
      <c r="P2531" s="381"/>
      <c r="Q2531" s="12"/>
      <c r="R2531" s="12"/>
      <c r="S2531" s="382"/>
      <c r="T2531" s="383"/>
      <c r="U2531" s="384"/>
      <c r="V2531" s="12"/>
      <c r="W2531" s="12"/>
    </row>
    <row r="2532" spans="1:23" x14ac:dyDescent="0.3">
      <c r="A2532" s="193" t="str">
        <f ca="1"/>
        <v/>
      </c>
      <c r="B2532" s="378"/>
      <c r="C2532" s="315"/>
      <c r="D2532" s="316"/>
      <c r="E2532" s="315"/>
      <c r="F2532" s="315"/>
      <c r="G2532" s="315"/>
      <c r="H2532" s="153"/>
      <c r="I2532" s="12"/>
      <c r="J2532" s="12"/>
      <c r="K2532" s="12"/>
      <c r="L2532" s="379"/>
      <c r="M2532" s="380"/>
      <c r="N2532" s="380"/>
      <c r="O2532" s="12"/>
      <c r="P2532" s="381"/>
      <c r="Q2532" s="12"/>
      <c r="R2532" s="12"/>
      <c r="S2532" s="382"/>
      <c r="T2532" s="383"/>
      <c r="U2532" s="384"/>
      <c r="V2532" s="12"/>
      <c r="W2532" s="12"/>
    </row>
    <row r="2533" spans="1:23" x14ac:dyDescent="0.3">
      <c r="A2533" s="193" t="str">
        <f ca="1"/>
        <v/>
      </c>
      <c r="B2533" s="378"/>
      <c r="C2533" s="315"/>
      <c r="D2533" s="316"/>
      <c r="E2533" s="315"/>
      <c r="F2533" s="315"/>
      <c r="G2533" s="315"/>
      <c r="H2533" s="153"/>
      <c r="I2533" s="12"/>
      <c r="J2533" s="12"/>
      <c r="K2533" s="12"/>
      <c r="L2533" s="379"/>
      <c r="M2533" s="380"/>
      <c r="N2533" s="380"/>
      <c r="O2533" s="12"/>
      <c r="P2533" s="381"/>
      <c r="Q2533" s="12"/>
      <c r="R2533" s="12"/>
      <c r="S2533" s="382"/>
      <c r="T2533" s="383"/>
      <c r="U2533" s="384"/>
      <c r="V2533" s="12"/>
      <c r="W2533" s="12"/>
    </row>
    <row r="2534" spans="1:23" x14ac:dyDescent="0.3">
      <c r="A2534" s="193" t="str">
        <f ca="1"/>
        <v/>
      </c>
      <c r="B2534" s="378"/>
      <c r="C2534" s="315"/>
      <c r="D2534" s="316"/>
      <c r="E2534" s="315"/>
      <c r="F2534" s="315"/>
      <c r="G2534" s="315"/>
      <c r="H2534" s="153"/>
      <c r="I2534" s="12"/>
      <c r="J2534" s="12"/>
      <c r="K2534" s="12"/>
      <c r="L2534" s="379"/>
      <c r="M2534" s="380"/>
      <c r="N2534" s="380"/>
      <c r="O2534" s="12"/>
      <c r="P2534" s="381"/>
      <c r="Q2534" s="12"/>
      <c r="R2534" s="12"/>
      <c r="S2534" s="382"/>
      <c r="T2534" s="383"/>
      <c r="U2534" s="384"/>
      <c r="V2534" s="12"/>
      <c r="W2534" s="12"/>
    </row>
    <row r="2535" spans="1:23" x14ac:dyDescent="0.3">
      <c r="A2535" s="193" t="str">
        <f ca="1"/>
        <v/>
      </c>
      <c r="B2535" s="378"/>
      <c r="C2535" s="315"/>
      <c r="D2535" s="316"/>
      <c r="E2535" s="315"/>
      <c r="F2535" s="315"/>
      <c r="G2535" s="315"/>
      <c r="H2535" s="153"/>
      <c r="I2535" s="12"/>
      <c r="J2535" s="12"/>
      <c r="K2535" s="12"/>
      <c r="L2535" s="379"/>
      <c r="M2535" s="380"/>
      <c r="N2535" s="380"/>
      <c r="O2535" s="12"/>
      <c r="P2535" s="381"/>
      <c r="Q2535" s="12"/>
      <c r="R2535" s="12"/>
      <c r="S2535" s="382"/>
      <c r="T2535" s="383"/>
      <c r="U2535" s="384"/>
      <c r="V2535" s="12"/>
      <c r="W2535" s="12"/>
    </row>
    <row r="2536" spans="1:23" x14ac:dyDescent="0.3">
      <c r="A2536" s="193" t="str">
        <f ca="1"/>
        <v/>
      </c>
      <c r="B2536" s="378"/>
      <c r="C2536" s="315"/>
      <c r="D2536" s="316"/>
      <c r="E2536" s="315"/>
      <c r="F2536" s="315"/>
      <c r="G2536" s="315"/>
      <c r="H2536" s="153"/>
      <c r="I2536" s="12"/>
      <c r="J2536" s="12"/>
      <c r="K2536" s="12"/>
      <c r="L2536" s="379"/>
      <c r="M2536" s="380"/>
      <c r="N2536" s="380"/>
      <c r="O2536" s="12"/>
      <c r="P2536" s="381"/>
      <c r="Q2536" s="12"/>
      <c r="R2536" s="12"/>
      <c r="S2536" s="382"/>
      <c r="T2536" s="383"/>
      <c r="U2536" s="384"/>
      <c r="V2536" s="12"/>
      <c r="W2536" s="12"/>
    </row>
    <row r="2537" spans="1:23" x14ac:dyDescent="0.3">
      <c r="A2537" s="193" t="str">
        <f ca="1"/>
        <v/>
      </c>
      <c r="B2537" s="378"/>
      <c r="C2537" s="315"/>
      <c r="D2537" s="316"/>
      <c r="E2537" s="315"/>
      <c r="F2537" s="315"/>
      <c r="G2537" s="315"/>
      <c r="H2537" s="153"/>
      <c r="I2537" s="12"/>
      <c r="J2537" s="12"/>
      <c r="K2537" s="12"/>
      <c r="L2537" s="379"/>
      <c r="M2537" s="380"/>
      <c r="N2537" s="380"/>
      <c r="O2537" s="12"/>
      <c r="P2537" s="381"/>
      <c r="Q2537" s="12"/>
      <c r="R2537" s="12"/>
      <c r="S2537" s="382"/>
      <c r="T2537" s="383"/>
      <c r="U2537" s="384"/>
      <c r="V2537" s="12"/>
      <c r="W2537" s="12"/>
    </row>
    <row r="2538" spans="1:23" x14ac:dyDescent="0.3">
      <c r="A2538" s="193" t="str">
        <f ca="1"/>
        <v/>
      </c>
      <c r="B2538" s="378"/>
      <c r="C2538" s="315"/>
      <c r="D2538" s="316"/>
      <c r="E2538" s="315"/>
      <c r="F2538" s="315"/>
      <c r="G2538" s="315"/>
      <c r="H2538" s="153"/>
      <c r="I2538" s="12"/>
      <c r="J2538" s="12"/>
      <c r="K2538" s="12"/>
      <c r="L2538" s="379"/>
      <c r="M2538" s="380"/>
      <c r="N2538" s="380"/>
      <c r="O2538" s="12"/>
      <c r="P2538" s="381"/>
      <c r="Q2538" s="12"/>
      <c r="R2538" s="12"/>
      <c r="S2538" s="382"/>
      <c r="T2538" s="383"/>
      <c r="U2538" s="384"/>
      <c r="V2538" s="12"/>
      <c r="W2538" s="12"/>
    </row>
    <row r="2539" spans="1:23" x14ac:dyDescent="0.3">
      <c r="A2539" s="193" t="str">
        <f ca="1"/>
        <v/>
      </c>
      <c r="B2539" s="378"/>
      <c r="C2539" s="315"/>
      <c r="D2539" s="316"/>
      <c r="E2539" s="315"/>
      <c r="F2539" s="315"/>
      <c r="G2539" s="315"/>
      <c r="H2539" s="153"/>
      <c r="I2539" s="12"/>
      <c r="J2539" s="12"/>
      <c r="K2539" s="12"/>
      <c r="L2539" s="379"/>
      <c r="M2539" s="380"/>
      <c r="N2539" s="380"/>
      <c r="O2539" s="12"/>
      <c r="P2539" s="381"/>
      <c r="Q2539" s="12"/>
      <c r="R2539" s="12"/>
      <c r="S2539" s="382"/>
      <c r="T2539" s="383"/>
      <c r="U2539" s="384"/>
      <c r="V2539" s="12"/>
      <c r="W2539" s="12"/>
    </row>
    <row r="2540" spans="1:23" x14ac:dyDescent="0.3">
      <c r="A2540" s="193" t="str">
        <f ca="1"/>
        <v/>
      </c>
      <c r="B2540" s="378"/>
      <c r="C2540" s="315"/>
      <c r="D2540" s="316"/>
      <c r="E2540" s="315"/>
      <c r="F2540" s="315"/>
      <c r="G2540" s="315"/>
      <c r="H2540" s="153"/>
      <c r="I2540" s="12"/>
      <c r="J2540" s="12"/>
      <c r="K2540" s="12"/>
      <c r="L2540" s="379"/>
      <c r="M2540" s="380"/>
      <c r="N2540" s="380"/>
      <c r="O2540" s="12"/>
      <c r="P2540" s="381"/>
      <c r="Q2540" s="12"/>
      <c r="R2540" s="12"/>
      <c r="S2540" s="382"/>
      <c r="T2540" s="383"/>
      <c r="U2540" s="384"/>
      <c r="V2540" s="12"/>
      <c r="W2540" s="12"/>
    </row>
    <row r="2541" spans="1:23" x14ac:dyDescent="0.3">
      <c r="A2541" s="193" t="str">
        <f ca="1"/>
        <v/>
      </c>
      <c r="B2541" s="378"/>
      <c r="C2541" s="315"/>
      <c r="D2541" s="316"/>
      <c r="E2541" s="315"/>
      <c r="F2541" s="315"/>
      <c r="G2541" s="315"/>
      <c r="H2541" s="153"/>
      <c r="I2541" s="12"/>
      <c r="J2541" s="12"/>
      <c r="K2541" s="12"/>
      <c r="L2541" s="379"/>
      <c r="M2541" s="380"/>
      <c r="N2541" s="380"/>
      <c r="O2541" s="12"/>
      <c r="P2541" s="381"/>
      <c r="Q2541" s="12"/>
      <c r="R2541" s="12"/>
      <c r="S2541" s="382"/>
      <c r="T2541" s="383"/>
      <c r="U2541" s="384"/>
      <c r="V2541" s="12"/>
      <c r="W2541" s="12"/>
    </row>
    <row r="2542" spans="1:23" x14ac:dyDescent="0.3">
      <c r="A2542" s="193" t="str">
        <f ca="1"/>
        <v/>
      </c>
      <c r="B2542" s="378"/>
      <c r="C2542" s="315"/>
      <c r="D2542" s="316"/>
      <c r="E2542" s="315"/>
      <c r="F2542" s="315"/>
      <c r="G2542" s="315"/>
      <c r="H2542" s="153"/>
      <c r="I2542" s="12"/>
      <c r="J2542" s="12"/>
      <c r="K2542" s="12"/>
      <c r="L2542" s="379"/>
      <c r="M2542" s="380"/>
      <c r="N2542" s="380"/>
      <c r="O2542" s="12"/>
      <c r="P2542" s="381"/>
      <c r="Q2542" s="12"/>
      <c r="R2542" s="12"/>
      <c r="S2542" s="382"/>
      <c r="T2542" s="383"/>
      <c r="U2542" s="384"/>
      <c r="V2542" s="12"/>
      <c r="W2542" s="12"/>
    </row>
    <row r="2543" spans="1:23" x14ac:dyDescent="0.3">
      <c r="A2543" s="193" t="str">
        <f ca="1"/>
        <v/>
      </c>
      <c r="B2543" s="378"/>
      <c r="C2543" s="315"/>
      <c r="D2543" s="316"/>
      <c r="E2543" s="315"/>
      <c r="F2543" s="315"/>
      <c r="G2543" s="315"/>
      <c r="H2543" s="153"/>
      <c r="I2543" s="12"/>
      <c r="J2543" s="12"/>
      <c r="K2543" s="12"/>
      <c r="L2543" s="379"/>
      <c r="M2543" s="380"/>
      <c r="N2543" s="380"/>
      <c r="O2543" s="12"/>
      <c r="P2543" s="381"/>
      <c r="Q2543" s="12"/>
      <c r="R2543" s="12"/>
      <c r="S2543" s="382"/>
      <c r="T2543" s="383"/>
      <c r="U2543" s="384"/>
      <c r="V2543" s="12"/>
      <c r="W2543" s="12"/>
    </row>
    <row r="2544" spans="1:23" x14ac:dyDescent="0.3">
      <c r="A2544" s="193" t="str">
        <f ca="1"/>
        <v/>
      </c>
      <c r="B2544" s="378"/>
      <c r="C2544" s="315"/>
      <c r="D2544" s="316"/>
      <c r="E2544" s="315"/>
      <c r="F2544" s="315"/>
      <c r="G2544" s="315"/>
      <c r="H2544" s="153"/>
      <c r="I2544" s="12"/>
      <c r="J2544" s="12"/>
      <c r="K2544" s="12"/>
      <c r="L2544" s="379"/>
      <c r="M2544" s="380"/>
      <c r="N2544" s="380"/>
      <c r="O2544" s="12"/>
      <c r="P2544" s="381"/>
      <c r="Q2544" s="12"/>
      <c r="R2544" s="12"/>
      <c r="S2544" s="382"/>
      <c r="T2544" s="383"/>
      <c r="U2544" s="384"/>
      <c r="V2544" s="12"/>
      <c r="W2544" s="12"/>
    </row>
    <row r="2545" spans="1:23" x14ac:dyDescent="0.3">
      <c r="A2545" s="193" t="str">
        <f ca="1"/>
        <v/>
      </c>
      <c r="B2545" s="378"/>
      <c r="C2545" s="315"/>
      <c r="D2545" s="316"/>
      <c r="E2545" s="315"/>
      <c r="F2545" s="315"/>
      <c r="G2545" s="315"/>
      <c r="H2545" s="153"/>
      <c r="I2545" s="12"/>
      <c r="J2545" s="12"/>
      <c r="K2545" s="12"/>
      <c r="L2545" s="379"/>
      <c r="M2545" s="380"/>
      <c r="N2545" s="380"/>
      <c r="O2545" s="12"/>
      <c r="P2545" s="381"/>
      <c r="Q2545" s="12"/>
      <c r="R2545" s="12"/>
      <c r="S2545" s="382"/>
      <c r="T2545" s="383"/>
      <c r="U2545" s="384"/>
      <c r="V2545" s="12"/>
      <c r="W2545" s="12"/>
    </row>
    <row r="2546" spans="1:23" x14ac:dyDescent="0.3">
      <c r="A2546" s="193" t="str">
        <f ca="1"/>
        <v/>
      </c>
      <c r="B2546" s="378"/>
      <c r="C2546" s="315"/>
      <c r="D2546" s="316"/>
      <c r="E2546" s="315"/>
      <c r="F2546" s="315"/>
      <c r="G2546" s="315"/>
      <c r="H2546" s="153"/>
      <c r="I2546" s="12"/>
      <c r="J2546" s="12"/>
      <c r="K2546" s="12"/>
      <c r="L2546" s="379"/>
      <c r="M2546" s="380"/>
      <c r="N2546" s="380"/>
      <c r="O2546" s="12"/>
      <c r="P2546" s="381"/>
      <c r="Q2546" s="12"/>
      <c r="R2546" s="12"/>
      <c r="S2546" s="382"/>
      <c r="T2546" s="383"/>
      <c r="U2546" s="384"/>
      <c r="V2546" s="12"/>
      <c r="W2546" s="12"/>
    </row>
    <row r="2547" spans="1:23" x14ac:dyDescent="0.3">
      <c r="A2547" s="193" t="str">
        <f ca="1"/>
        <v/>
      </c>
      <c r="B2547" s="378"/>
      <c r="C2547" s="315"/>
      <c r="D2547" s="316"/>
      <c r="E2547" s="315"/>
      <c r="F2547" s="315"/>
      <c r="G2547" s="315"/>
      <c r="H2547" s="153"/>
      <c r="I2547" s="12"/>
      <c r="J2547" s="12"/>
      <c r="K2547" s="12"/>
      <c r="L2547" s="379"/>
      <c r="M2547" s="380"/>
      <c r="N2547" s="380"/>
      <c r="O2547" s="12"/>
      <c r="P2547" s="381"/>
      <c r="Q2547" s="12"/>
      <c r="R2547" s="12"/>
      <c r="S2547" s="382"/>
      <c r="T2547" s="383"/>
      <c r="U2547" s="384"/>
      <c r="V2547" s="12"/>
      <c r="W2547" s="12"/>
    </row>
    <row r="2548" spans="1:23" x14ac:dyDescent="0.3">
      <c r="A2548" s="193" t="str">
        <f ca="1"/>
        <v/>
      </c>
      <c r="B2548" s="378"/>
      <c r="C2548" s="315"/>
      <c r="D2548" s="316"/>
      <c r="E2548" s="315"/>
      <c r="F2548" s="315"/>
      <c r="G2548" s="315"/>
      <c r="H2548" s="153"/>
      <c r="I2548" s="12"/>
      <c r="J2548" s="12"/>
      <c r="K2548" s="12"/>
      <c r="L2548" s="379"/>
      <c r="M2548" s="380"/>
      <c r="N2548" s="380"/>
      <c r="O2548" s="12"/>
      <c r="P2548" s="381"/>
      <c r="Q2548" s="12"/>
      <c r="R2548" s="12"/>
      <c r="S2548" s="382"/>
      <c r="T2548" s="383"/>
      <c r="U2548" s="384"/>
      <c r="V2548" s="12"/>
      <c r="W2548" s="12"/>
    </row>
    <row r="2549" spans="1:23" x14ac:dyDescent="0.3">
      <c r="A2549" s="193" t="str">
        <f ca="1"/>
        <v/>
      </c>
      <c r="B2549" s="378"/>
      <c r="C2549" s="315"/>
      <c r="D2549" s="316"/>
      <c r="E2549" s="315"/>
      <c r="F2549" s="315"/>
      <c r="G2549" s="315"/>
      <c r="H2549" s="153"/>
      <c r="I2549" s="12"/>
      <c r="J2549" s="12"/>
      <c r="K2549" s="12"/>
      <c r="L2549" s="379"/>
      <c r="M2549" s="380"/>
      <c r="N2549" s="380"/>
      <c r="O2549" s="12"/>
      <c r="P2549" s="381"/>
      <c r="Q2549" s="12"/>
      <c r="R2549" s="12"/>
      <c r="S2549" s="382"/>
      <c r="T2549" s="383"/>
      <c r="U2549" s="384"/>
      <c r="V2549" s="12"/>
      <c r="W2549" s="12"/>
    </row>
    <row r="2550" spans="1:23" x14ac:dyDescent="0.3">
      <c r="A2550" s="193" t="str">
        <f ca="1"/>
        <v/>
      </c>
      <c r="B2550" s="378"/>
      <c r="C2550" s="315"/>
      <c r="D2550" s="316"/>
      <c r="E2550" s="315"/>
      <c r="F2550" s="315"/>
      <c r="G2550" s="315"/>
      <c r="H2550" s="153"/>
      <c r="I2550" s="12"/>
      <c r="J2550" s="12"/>
      <c r="K2550" s="12"/>
      <c r="L2550" s="379"/>
      <c r="M2550" s="380"/>
      <c r="N2550" s="380"/>
      <c r="O2550" s="12"/>
      <c r="P2550" s="381"/>
      <c r="Q2550" s="12"/>
      <c r="R2550" s="12"/>
      <c r="S2550" s="382"/>
      <c r="T2550" s="383"/>
      <c r="U2550" s="384"/>
      <c r="V2550" s="12"/>
      <c r="W2550" s="12"/>
    </row>
    <row r="2551" spans="1:23" x14ac:dyDescent="0.3">
      <c r="A2551" s="193" t="str">
        <f ca="1"/>
        <v/>
      </c>
      <c r="B2551" s="378"/>
      <c r="C2551" s="315"/>
      <c r="D2551" s="316"/>
      <c r="E2551" s="315"/>
      <c r="F2551" s="315"/>
      <c r="G2551" s="315"/>
      <c r="H2551" s="153"/>
      <c r="I2551" s="12"/>
      <c r="J2551" s="12"/>
      <c r="K2551" s="12"/>
      <c r="L2551" s="379"/>
      <c r="M2551" s="380"/>
      <c r="N2551" s="380"/>
      <c r="O2551" s="12"/>
      <c r="P2551" s="381"/>
      <c r="Q2551" s="12"/>
      <c r="R2551" s="12"/>
      <c r="S2551" s="382"/>
      <c r="T2551" s="383"/>
      <c r="U2551" s="384"/>
      <c r="V2551" s="12"/>
      <c r="W2551" s="12"/>
    </row>
    <row r="2552" spans="1:23" x14ac:dyDescent="0.3">
      <c r="A2552" s="193" t="str">
        <f ca="1"/>
        <v/>
      </c>
      <c r="B2552" s="378"/>
      <c r="C2552" s="315"/>
      <c r="D2552" s="316"/>
      <c r="E2552" s="315"/>
      <c r="F2552" s="315"/>
      <c r="G2552" s="315"/>
      <c r="H2552" s="153"/>
      <c r="I2552" s="12"/>
      <c r="J2552" s="12"/>
      <c r="K2552" s="12"/>
      <c r="L2552" s="379"/>
      <c r="M2552" s="380"/>
      <c r="N2552" s="380"/>
      <c r="O2552" s="12"/>
      <c r="P2552" s="381"/>
      <c r="Q2552" s="12"/>
      <c r="R2552" s="12"/>
      <c r="S2552" s="382"/>
      <c r="T2552" s="383"/>
      <c r="U2552" s="384"/>
      <c r="V2552" s="12"/>
      <c r="W2552" s="12"/>
    </row>
    <row r="2553" spans="1:23" x14ac:dyDescent="0.3">
      <c r="A2553" s="193" t="str">
        <f ca="1"/>
        <v/>
      </c>
      <c r="B2553" s="378"/>
      <c r="C2553" s="315"/>
      <c r="D2553" s="316"/>
      <c r="E2553" s="315"/>
      <c r="F2553" s="315"/>
      <c r="G2553" s="315"/>
      <c r="H2553" s="153"/>
      <c r="I2553" s="12"/>
      <c r="J2553" s="12"/>
      <c r="K2553" s="12"/>
      <c r="L2553" s="379"/>
      <c r="M2553" s="380"/>
      <c r="N2553" s="380"/>
      <c r="O2553" s="12"/>
      <c r="P2553" s="381"/>
      <c r="Q2553" s="12"/>
      <c r="R2553" s="12"/>
      <c r="S2553" s="382"/>
      <c r="T2553" s="383"/>
      <c r="U2553" s="384"/>
      <c r="V2553" s="12"/>
      <c r="W2553" s="12"/>
    </row>
    <row r="2554" spans="1:23" x14ac:dyDescent="0.3">
      <c r="A2554" s="193" t="str">
        <f ca="1"/>
        <v/>
      </c>
      <c r="B2554" s="378"/>
      <c r="C2554" s="315"/>
      <c r="D2554" s="316"/>
      <c r="E2554" s="315"/>
      <c r="F2554" s="315"/>
      <c r="G2554" s="315"/>
      <c r="H2554" s="153"/>
      <c r="I2554" s="12"/>
      <c r="J2554" s="12"/>
      <c r="K2554" s="12"/>
      <c r="L2554" s="379"/>
      <c r="M2554" s="380"/>
      <c r="N2554" s="380"/>
      <c r="O2554" s="12"/>
      <c r="P2554" s="381"/>
      <c r="Q2554" s="12"/>
      <c r="R2554" s="12"/>
      <c r="S2554" s="382"/>
      <c r="T2554" s="383"/>
      <c r="U2554" s="384"/>
      <c r="V2554" s="12"/>
      <c r="W2554" s="12"/>
    </row>
    <row r="2555" spans="1:23" x14ac:dyDescent="0.3">
      <c r="A2555" s="193" t="str">
        <f ca="1"/>
        <v/>
      </c>
      <c r="B2555" s="378"/>
      <c r="C2555" s="315"/>
      <c r="D2555" s="316"/>
      <c r="E2555" s="315"/>
      <c r="F2555" s="315"/>
      <c r="G2555" s="315"/>
      <c r="H2555" s="153"/>
      <c r="I2555" s="12"/>
      <c r="J2555" s="12"/>
      <c r="K2555" s="12"/>
      <c r="L2555" s="379"/>
      <c r="M2555" s="380"/>
      <c r="N2555" s="380"/>
      <c r="O2555" s="12"/>
      <c r="P2555" s="381"/>
      <c r="Q2555" s="12"/>
      <c r="R2555" s="12"/>
      <c r="S2555" s="382"/>
      <c r="T2555" s="383"/>
      <c r="U2555" s="384"/>
      <c r="V2555" s="12"/>
      <c r="W2555" s="12"/>
    </row>
    <row r="2556" spans="1:23" x14ac:dyDescent="0.3">
      <c r="A2556" s="193" t="str">
        <f ca="1"/>
        <v/>
      </c>
      <c r="B2556" s="378"/>
      <c r="C2556" s="315"/>
      <c r="D2556" s="316"/>
      <c r="E2556" s="315"/>
      <c r="F2556" s="315"/>
      <c r="G2556" s="315"/>
      <c r="H2556" s="153"/>
      <c r="I2556" s="12"/>
      <c r="J2556" s="12"/>
      <c r="K2556" s="12"/>
      <c r="L2556" s="379"/>
      <c r="M2556" s="380"/>
      <c r="N2556" s="380"/>
      <c r="O2556" s="12"/>
      <c r="P2556" s="381"/>
      <c r="Q2556" s="12"/>
      <c r="R2556" s="12"/>
      <c r="S2556" s="382"/>
      <c r="T2556" s="383"/>
      <c r="U2556" s="384"/>
      <c r="V2556" s="12"/>
      <c r="W2556" s="12"/>
    </row>
    <row r="2557" spans="1:23" x14ac:dyDescent="0.3">
      <c r="A2557" s="193" t="str">
        <f ca="1"/>
        <v/>
      </c>
      <c r="B2557" s="378"/>
      <c r="C2557" s="315"/>
      <c r="D2557" s="316"/>
      <c r="E2557" s="315"/>
      <c r="F2557" s="315"/>
      <c r="G2557" s="315"/>
      <c r="H2557" s="153"/>
      <c r="I2557" s="12"/>
      <c r="J2557" s="12"/>
      <c r="K2557" s="12"/>
      <c r="L2557" s="379"/>
      <c r="M2557" s="380"/>
      <c r="N2557" s="380"/>
      <c r="O2557" s="12"/>
      <c r="P2557" s="381"/>
      <c r="Q2557" s="12"/>
      <c r="R2557" s="12"/>
      <c r="S2557" s="382"/>
      <c r="T2557" s="383"/>
      <c r="U2557" s="384"/>
      <c r="V2557" s="12"/>
      <c r="W2557" s="12"/>
    </row>
    <row r="2558" spans="1:23" x14ac:dyDescent="0.3">
      <c r="A2558" s="193" t="str">
        <f ca="1"/>
        <v/>
      </c>
      <c r="B2558" s="378"/>
      <c r="C2558" s="315"/>
      <c r="D2558" s="316"/>
      <c r="E2558" s="315"/>
      <c r="F2558" s="315"/>
      <c r="G2558" s="315"/>
      <c r="H2558" s="153"/>
      <c r="I2558" s="12"/>
      <c r="J2558" s="12"/>
      <c r="K2558" s="12"/>
      <c r="L2558" s="379"/>
      <c r="M2558" s="380"/>
      <c r="N2558" s="380"/>
      <c r="O2558" s="12"/>
      <c r="P2558" s="381"/>
      <c r="Q2558" s="12"/>
      <c r="R2558" s="12"/>
      <c r="S2558" s="382"/>
      <c r="T2558" s="383"/>
      <c r="U2558" s="384"/>
      <c r="V2558" s="12"/>
      <c r="W2558" s="12"/>
    </row>
    <row r="2559" spans="1:23" x14ac:dyDescent="0.3">
      <c r="A2559" s="193" t="str">
        <f ca="1"/>
        <v/>
      </c>
      <c r="B2559" s="378"/>
      <c r="C2559" s="315"/>
      <c r="D2559" s="316"/>
      <c r="E2559" s="315"/>
      <c r="F2559" s="315"/>
      <c r="G2559" s="315"/>
      <c r="H2559" s="153"/>
      <c r="I2559" s="12"/>
      <c r="J2559" s="12"/>
      <c r="K2559" s="12"/>
      <c r="L2559" s="379"/>
      <c r="M2559" s="380"/>
      <c r="N2559" s="380"/>
      <c r="O2559" s="12"/>
      <c r="P2559" s="381"/>
      <c r="Q2559" s="12"/>
      <c r="R2559" s="12"/>
      <c r="S2559" s="382"/>
      <c r="T2559" s="383"/>
      <c r="U2559" s="384"/>
      <c r="V2559" s="12"/>
      <c r="W2559" s="12"/>
    </row>
    <row r="2560" spans="1:23" x14ac:dyDescent="0.3">
      <c r="A2560" s="193" t="str">
        <f ca="1"/>
        <v/>
      </c>
      <c r="B2560" s="378"/>
      <c r="C2560" s="315"/>
      <c r="D2560" s="316"/>
      <c r="E2560" s="315"/>
      <c r="F2560" s="315"/>
      <c r="G2560" s="315"/>
      <c r="H2560" s="153"/>
      <c r="I2560" s="12"/>
      <c r="J2560" s="12"/>
      <c r="K2560" s="12"/>
      <c r="L2560" s="379"/>
      <c r="M2560" s="380"/>
      <c r="N2560" s="380"/>
      <c r="O2560" s="12"/>
      <c r="P2560" s="381"/>
      <c r="Q2560" s="12"/>
      <c r="R2560" s="12"/>
      <c r="S2560" s="382"/>
      <c r="T2560" s="383"/>
      <c r="U2560" s="384"/>
      <c r="V2560" s="12"/>
      <c r="W2560" s="12"/>
    </row>
    <row r="2561" spans="1:23" x14ac:dyDescent="0.3">
      <c r="A2561" s="193" t="str">
        <f ca="1"/>
        <v/>
      </c>
      <c r="B2561" s="378"/>
      <c r="C2561" s="315"/>
      <c r="D2561" s="316"/>
      <c r="E2561" s="315"/>
      <c r="F2561" s="315"/>
      <c r="G2561" s="315"/>
      <c r="H2561" s="153"/>
      <c r="I2561" s="12"/>
      <c r="J2561" s="12"/>
      <c r="K2561" s="12"/>
      <c r="L2561" s="379"/>
      <c r="M2561" s="380"/>
      <c r="N2561" s="380"/>
      <c r="O2561" s="12"/>
      <c r="P2561" s="381"/>
      <c r="Q2561" s="12"/>
      <c r="R2561" s="12"/>
      <c r="S2561" s="382"/>
      <c r="T2561" s="383"/>
      <c r="U2561" s="384"/>
      <c r="V2561" s="12"/>
      <c r="W2561" s="12"/>
    </row>
    <row r="2562" spans="1:23" x14ac:dyDescent="0.3">
      <c r="A2562" s="193" t="str">
        <f ca="1"/>
        <v/>
      </c>
      <c r="B2562" s="378"/>
      <c r="C2562" s="315"/>
      <c r="D2562" s="316"/>
      <c r="E2562" s="315"/>
      <c r="F2562" s="315"/>
      <c r="G2562" s="315"/>
      <c r="H2562" s="153"/>
      <c r="I2562" s="12"/>
      <c r="J2562" s="12"/>
      <c r="K2562" s="12"/>
      <c r="L2562" s="379"/>
      <c r="M2562" s="380"/>
      <c r="N2562" s="380"/>
      <c r="O2562" s="12"/>
      <c r="P2562" s="381"/>
      <c r="Q2562" s="12"/>
      <c r="R2562" s="12"/>
      <c r="S2562" s="382"/>
      <c r="T2562" s="383"/>
      <c r="U2562" s="384"/>
      <c r="V2562" s="12"/>
      <c r="W2562" s="12"/>
    </row>
    <row r="2563" spans="1:23" x14ac:dyDescent="0.3">
      <c r="A2563" s="193" t="str">
        <f ca="1"/>
        <v/>
      </c>
      <c r="B2563" s="378"/>
      <c r="C2563" s="315"/>
      <c r="D2563" s="316"/>
      <c r="E2563" s="315"/>
      <c r="F2563" s="315"/>
      <c r="G2563" s="315"/>
      <c r="H2563" s="153"/>
      <c r="I2563" s="12"/>
      <c r="J2563" s="12"/>
      <c r="K2563" s="12"/>
      <c r="L2563" s="379"/>
      <c r="M2563" s="380"/>
      <c r="N2563" s="380"/>
      <c r="O2563" s="12"/>
      <c r="P2563" s="381"/>
      <c r="Q2563" s="12"/>
      <c r="R2563" s="12"/>
      <c r="S2563" s="382"/>
      <c r="T2563" s="383"/>
      <c r="U2563" s="384"/>
      <c r="V2563" s="12"/>
      <c r="W2563" s="12"/>
    </row>
    <row r="2564" spans="1:23" x14ac:dyDescent="0.3">
      <c r="A2564" s="193" t="str">
        <f ca="1"/>
        <v/>
      </c>
      <c r="B2564" s="378"/>
      <c r="C2564" s="315"/>
      <c r="D2564" s="316"/>
      <c r="E2564" s="315"/>
      <c r="F2564" s="315"/>
      <c r="G2564" s="315"/>
      <c r="H2564" s="153"/>
      <c r="I2564" s="12"/>
      <c r="J2564" s="12"/>
      <c r="K2564" s="12"/>
      <c r="L2564" s="379"/>
      <c r="M2564" s="380"/>
      <c r="N2564" s="380"/>
      <c r="O2564" s="12"/>
      <c r="P2564" s="381"/>
      <c r="Q2564" s="12"/>
      <c r="R2564" s="12"/>
      <c r="S2564" s="382"/>
      <c r="T2564" s="383"/>
      <c r="U2564" s="384"/>
      <c r="V2564" s="12"/>
      <c r="W2564" s="12"/>
    </row>
    <row r="2565" spans="1:23" x14ac:dyDescent="0.3">
      <c r="A2565" s="193" t="str">
        <f ca="1"/>
        <v/>
      </c>
      <c r="B2565" s="378"/>
      <c r="C2565" s="315"/>
      <c r="D2565" s="316"/>
      <c r="E2565" s="315"/>
      <c r="F2565" s="315"/>
      <c r="G2565" s="315"/>
      <c r="H2565" s="153"/>
      <c r="I2565" s="12"/>
      <c r="J2565" s="12"/>
      <c r="K2565" s="12"/>
      <c r="L2565" s="379"/>
      <c r="M2565" s="380"/>
      <c r="N2565" s="380"/>
      <c r="O2565" s="12"/>
      <c r="P2565" s="381"/>
      <c r="Q2565" s="12"/>
      <c r="R2565" s="12"/>
      <c r="S2565" s="382"/>
      <c r="T2565" s="383"/>
      <c r="U2565" s="384"/>
      <c r="V2565" s="12"/>
      <c r="W2565" s="12"/>
    </row>
    <row r="2566" spans="1:23" x14ac:dyDescent="0.3">
      <c r="A2566" s="193" t="str">
        <f ca="1"/>
        <v/>
      </c>
      <c r="B2566" s="378"/>
      <c r="C2566" s="315"/>
      <c r="D2566" s="316"/>
      <c r="E2566" s="315"/>
      <c r="F2566" s="315"/>
      <c r="G2566" s="315"/>
      <c r="H2566" s="153"/>
      <c r="I2566" s="12"/>
      <c r="J2566" s="12"/>
      <c r="K2566" s="12"/>
      <c r="L2566" s="379"/>
      <c r="M2566" s="380"/>
      <c r="N2566" s="380"/>
      <c r="O2566" s="12"/>
      <c r="P2566" s="381"/>
      <c r="Q2566" s="12"/>
      <c r="R2566" s="12"/>
      <c r="S2566" s="382"/>
      <c r="T2566" s="383"/>
      <c r="U2566" s="384"/>
      <c r="V2566" s="12"/>
      <c r="W2566" s="12"/>
    </row>
    <row r="2567" spans="1:23" x14ac:dyDescent="0.3">
      <c r="A2567" s="193" t="str">
        <f ca="1"/>
        <v/>
      </c>
      <c r="B2567" s="378"/>
      <c r="C2567" s="315"/>
      <c r="D2567" s="316"/>
      <c r="E2567" s="315"/>
      <c r="F2567" s="315"/>
      <c r="G2567" s="315"/>
      <c r="H2567" s="153"/>
      <c r="I2567" s="12"/>
      <c r="J2567" s="12"/>
      <c r="K2567" s="12"/>
      <c r="L2567" s="379"/>
      <c r="M2567" s="380"/>
      <c r="N2567" s="380"/>
      <c r="O2567" s="12"/>
      <c r="P2567" s="381"/>
      <c r="Q2567" s="12"/>
      <c r="R2567" s="12"/>
      <c r="S2567" s="382"/>
      <c r="T2567" s="383"/>
      <c r="U2567" s="384"/>
      <c r="V2567" s="12"/>
      <c r="W2567" s="12"/>
    </row>
    <row r="2568" spans="1:23" x14ac:dyDescent="0.3">
      <c r="A2568" s="193" t="str">
        <f ca="1"/>
        <v/>
      </c>
      <c r="B2568" s="378"/>
      <c r="C2568" s="315"/>
      <c r="D2568" s="316"/>
      <c r="E2568" s="315"/>
      <c r="F2568" s="315"/>
      <c r="G2568" s="315"/>
      <c r="H2568" s="153"/>
      <c r="I2568" s="12"/>
      <c r="J2568" s="12"/>
      <c r="K2568" s="12"/>
      <c r="L2568" s="379"/>
      <c r="M2568" s="380"/>
      <c r="N2568" s="380"/>
      <c r="O2568" s="12"/>
      <c r="P2568" s="381"/>
      <c r="Q2568" s="12"/>
      <c r="R2568" s="12"/>
      <c r="S2568" s="382"/>
      <c r="T2568" s="383"/>
      <c r="U2568" s="384"/>
      <c r="V2568" s="12"/>
      <c r="W2568" s="12"/>
    </row>
    <row r="2569" spans="1:23" x14ac:dyDescent="0.3">
      <c r="A2569" s="193" t="str">
        <f ca="1"/>
        <v/>
      </c>
      <c r="B2569" s="378"/>
      <c r="C2569" s="315"/>
      <c r="D2569" s="316"/>
      <c r="E2569" s="315"/>
      <c r="F2569" s="315"/>
      <c r="G2569" s="315"/>
      <c r="H2569" s="153"/>
      <c r="I2569" s="12"/>
      <c r="J2569" s="12"/>
      <c r="K2569" s="12"/>
      <c r="L2569" s="379"/>
      <c r="M2569" s="380"/>
      <c r="N2569" s="380"/>
      <c r="O2569" s="12"/>
      <c r="P2569" s="381"/>
      <c r="Q2569" s="12"/>
      <c r="R2569" s="12"/>
      <c r="S2569" s="382"/>
      <c r="T2569" s="383"/>
      <c r="U2569" s="384"/>
      <c r="V2569" s="12"/>
      <c r="W2569" s="12"/>
    </row>
    <row r="2570" spans="1:23" x14ac:dyDescent="0.3">
      <c r="A2570" s="193" t="str">
        <f ca="1"/>
        <v/>
      </c>
      <c r="B2570" s="378"/>
      <c r="C2570" s="315"/>
      <c r="D2570" s="316"/>
      <c r="E2570" s="315"/>
      <c r="F2570" s="315"/>
      <c r="G2570" s="315"/>
      <c r="H2570" s="153"/>
      <c r="I2570" s="12"/>
      <c r="J2570" s="12"/>
      <c r="K2570" s="12"/>
      <c r="L2570" s="379"/>
      <c r="M2570" s="380"/>
      <c r="N2570" s="380"/>
      <c r="O2570" s="12"/>
      <c r="P2570" s="381"/>
      <c r="Q2570" s="12"/>
      <c r="R2570" s="12"/>
      <c r="S2570" s="382"/>
      <c r="T2570" s="383"/>
      <c r="U2570" s="384"/>
      <c r="V2570" s="12"/>
      <c r="W2570" s="12"/>
    </row>
    <row r="2571" spans="1:23" x14ac:dyDescent="0.3">
      <c r="A2571" s="193" t="str">
        <f ca="1"/>
        <v/>
      </c>
      <c r="B2571" s="378"/>
      <c r="C2571" s="315"/>
      <c r="D2571" s="316"/>
      <c r="E2571" s="315"/>
      <c r="F2571" s="315"/>
      <c r="G2571" s="315"/>
      <c r="H2571" s="153"/>
      <c r="I2571" s="12"/>
      <c r="J2571" s="12"/>
      <c r="K2571" s="12"/>
      <c r="L2571" s="379"/>
      <c r="M2571" s="380"/>
      <c r="N2571" s="380"/>
      <c r="O2571" s="12"/>
      <c r="P2571" s="381"/>
      <c r="Q2571" s="12"/>
      <c r="R2571" s="12"/>
      <c r="S2571" s="382"/>
      <c r="T2571" s="383"/>
      <c r="U2571" s="384"/>
      <c r="V2571" s="12"/>
      <c r="W2571" s="12"/>
    </row>
    <row r="2572" spans="1:23" x14ac:dyDescent="0.3">
      <c r="A2572" s="193" t="str">
        <f ca="1"/>
        <v/>
      </c>
      <c r="B2572" s="378"/>
      <c r="C2572" s="315"/>
      <c r="D2572" s="316"/>
      <c r="E2572" s="315"/>
      <c r="F2572" s="315"/>
      <c r="G2572" s="315"/>
      <c r="H2572" s="153"/>
      <c r="I2572" s="12"/>
      <c r="J2572" s="12"/>
      <c r="K2572" s="12"/>
      <c r="L2572" s="379"/>
      <c r="M2572" s="380"/>
      <c r="N2572" s="380"/>
      <c r="O2572" s="12"/>
      <c r="P2572" s="381"/>
      <c r="Q2572" s="12"/>
      <c r="R2572" s="12"/>
      <c r="S2572" s="382"/>
      <c r="T2572" s="383"/>
      <c r="U2572" s="384"/>
      <c r="V2572" s="12"/>
      <c r="W2572" s="12"/>
    </row>
    <row r="2573" spans="1:23" x14ac:dyDescent="0.3">
      <c r="A2573" s="193" t="str">
        <f ca="1"/>
        <v/>
      </c>
      <c r="B2573" s="378"/>
      <c r="C2573" s="315"/>
      <c r="D2573" s="316"/>
      <c r="E2573" s="315"/>
      <c r="F2573" s="315"/>
      <c r="G2573" s="315"/>
      <c r="H2573" s="153"/>
      <c r="I2573" s="12"/>
      <c r="J2573" s="12"/>
      <c r="K2573" s="12"/>
      <c r="L2573" s="379"/>
      <c r="M2573" s="380"/>
      <c r="N2573" s="380"/>
      <c r="O2573" s="12"/>
      <c r="P2573" s="381"/>
      <c r="Q2573" s="12"/>
      <c r="R2573" s="12"/>
      <c r="S2573" s="382"/>
      <c r="T2573" s="383"/>
      <c r="U2573" s="384"/>
      <c r="V2573" s="12"/>
      <c r="W2573" s="12"/>
    </row>
    <row r="2574" spans="1:23" x14ac:dyDescent="0.3">
      <c r="A2574" s="193" t="str">
        <f ca="1"/>
        <v/>
      </c>
      <c r="B2574" s="378"/>
      <c r="C2574" s="315"/>
      <c r="D2574" s="316"/>
      <c r="E2574" s="315"/>
      <c r="F2574" s="315"/>
      <c r="G2574" s="315"/>
      <c r="H2574" s="153"/>
      <c r="I2574" s="12"/>
      <c r="J2574" s="12"/>
      <c r="K2574" s="12"/>
      <c r="L2574" s="379"/>
      <c r="M2574" s="380"/>
      <c r="N2574" s="380"/>
      <c r="O2574" s="12"/>
      <c r="P2574" s="381"/>
      <c r="Q2574" s="12"/>
      <c r="R2574" s="12"/>
      <c r="S2574" s="382"/>
      <c r="T2574" s="383"/>
      <c r="U2574" s="384"/>
      <c r="V2574" s="12"/>
      <c r="W2574" s="12"/>
    </row>
    <row r="2575" spans="1:23" x14ac:dyDescent="0.3">
      <c r="A2575" s="193" t="str">
        <f ca="1"/>
        <v/>
      </c>
      <c r="B2575" s="378"/>
      <c r="C2575" s="315"/>
      <c r="D2575" s="316"/>
      <c r="E2575" s="315"/>
      <c r="F2575" s="315"/>
      <c r="G2575" s="315"/>
      <c r="H2575" s="153"/>
      <c r="I2575" s="12"/>
      <c r="J2575" s="12"/>
      <c r="K2575" s="12"/>
      <c r="L2575" s="379"/>
      <c r="M2575" s="380"/>
      <c r="N2575" s="380"/>
      <c r="O2575" s="12"/>
      <c r="P2575" s="381"/>
      <c r="Q2575" s="12"/>
      <c r="R2575" s="12"/>
      <c r="S2575" s="382"/>
      <c r="T2575" s="383"/>
      <c r="U2575" s="384"/>
      <c r="V2575" s="12"/>
      <c r="W2575" s="12"/>
    </row>
    <row r="2576" spans="1:23" x14ac:dyDescent="0.3">
      <c r="A2576" s="193" t="str">
        <f ca="1"/>
        <v/>
      </c>
      <c r="B2576" s="378"/>
      <c r="C2576" s="315"/>
      <c r="D2576" s="316"/>
      <c r="E2576" s="315"/>
      <c r="F2576" s="315"/>
      <c r="G2576" s="315"/>
      <c r="H2576" s="153"/>
      <c r="I2576" s="12"/>
      <c r="J2576" s="12"/>
      <c r="K2576" s="12"/>
      <c r="L2576" s="379"/>
      <c r="M2576" s="380"/>
      <c r="N2576" s="380"/>
      <c r="O2576" s="12"/>
      <c r="P2576" s="381"/>
      <c r="Q2576" s="12"/>
      <c r="R2576" s="12"/>
      <c r="S2576" s="382"/>
      <c r="T2576" s="383"/>
      <c r="U2576" s="384"/>
      <c r="V2576" s="12"/>
      <c r="W2576" s="12"/>
    </row>
    <row r="2577" spans="1:23" x14ac:dyDescent="0.3">
      <c r="A2577" s="193" t="str">
        <f ca="1"/>
        <v/>
      </c>
      <c r="B2577" s="378"/>
      <c r="C2577" s="315"/>
      <c r="D2577" s="316"/>
      <c r="E2577" s="315"/>
      <c r="F2577" s="315"/>
      <c r="G2577" s="315"/>
      <c r="H2577" s="153"/>
      <c r="I2577" s="12"/>
      <c r="J2577" s="12"/>
      <c r="K2577" s="12"/>
      <c r="L2577" s="379"/>
      <c r="M2577" s="380"/>
      <c r="N2577" s="380"/>
      <c r="O2577" s="12"/>
      <c r="P2577" s="381"/>
      <c r="Q2577" s="12"/>
      <c r="R2577" s="12"/>
      <c r="S2577" s="382"/>
      <c r="T2577" s="383"/>
      <c r="U2577" s="384"/>
      <c r="V2577" s="12"/>
      <c r="W2577" s="12"/>
    </row>
    <row r="2578" spans="1:23" x14ac:dyDescent="0.3">
      <c r="A2578" s="193" t="str">
        <f ca="1"/>
        <v/>
      </c>
      <c r="B2578" s="378"/>
      <c r="C2578" s="315"/>
      <c r="D2578" s="316"/>
      <c r="E2578" s="315"/>
      <c r="F2578" s="315"/>
      <c r="G2578" s="315"/>
      <c r="H2578" s="153"/>
      <c r="I2578" s="12"/>
      <c r="J2578" s="12"/>
      <c r="K2578" s="12"/>
      <c r="L2578" s="379"/>
      <c r="M2578" s="380"/>
      <c r="N2578" s="380"/>
      <c r="O2578" s="12"/>
      <c r="P2578" s="381"/>
      <c r="Q2578" s="12"/>
      <c r="R2578" s="12"/>
      <c r="S2578" s="382"/>
      <c r="T2578" s="383"/>
      <c r="U2578" s="384"/>
      <c r="V2578" s="12"/>
      <c r="W2578" s="12"/>
    </row>
    <row r="2579" spans="1:23" x14ac:dyDescent="0.3">
      <c r="A2579" s="193" t="str">
        <f ca="1"/>
        <v/>
      </c>
      <c r="B2579" s="378"/>
      <c r="C2579" s="315"/>
      <c r="D2579" s="316"/>
      <c r="E2579" s="315"/>
      <c r="F2579" s="315"/>
      <c r="G2579" s="315"/>
      <c r="H2579" s="153"/>
      <c r="I2579" s="12"/>
      <c r="J2579" s="12"/>
      <c r="K2579" s="12"/>
      <c r="L2579" s="379"/>
      <c r="M2579" s="380"/>
      <c r="N2579" s="380"/>
      <c r="O2579" s="12"/>
      <c r="P2579" s="381"/>
      <c r="Q2579" s="12"/>
      <c r="R2579" s="12"/>
      <c r="S2579" s="382"/>
      <c r="T2579" s="383"/>
      <c r="U2579" s="384"/>
      <c r="V2579" s="12"/>
      <c r="W2579" s="12"/>
    </row>
    <row r="2580" spans="1:23" x14ac:dyDescent="0.3">
      <c r="A2580" s="193" t="str">
        <f ca="1"/>
        <v/>
      </c>
      <c r="B2580" s="378"/>
      <c r="C2580" s="315"/>
      <c r="D2580" s="316"/>
      <c r="E2580" s="315"/>
      <c r="F2580" s="315"/>
      <c r="G2580" s="315"/>
      <c r="H2580" s="153"/>
      <c r="I2580" s="12"/>
      <c r="J2580" s="12"/>
      <c r="K2580" s="12"/>
      <c r="L2580" s="379"/>
      <c r="M2580" s="380"/>
      <c r="N2580" s="380"/>
      <c r="O2580" s="12"/>
      <c r="P2580" s="381"/>
      <c r="Q2580" s="12"/>
      <c r="R2580" s="12"/>
      <c r="S2580" s="382"/>
      <c r="T2580" s="383"/>
      <c r="U2580" s="384"/>
      <c r="V2580" s="12"/>
      <c r="W2580" s="12"/>
    </row>
    <row r="2581" spans="1:23" x14ac:dyDescent="0.3">
      <c r="A2581" s="193" t="str">
        <f ca="1"/>
        <v/>
      </c>
      <c r="B2581" s="378"/>
      <c r="C2581" s="315"/>
      <c r="D2581" s="316"/>
      <c r="E2581" s="315"/>
      <c r="F2581" s="315"/>
      <c r="G2581" s="315"/>
      <c r="H2581" s="153"/>
      <c r="I2581" s="12"/>
      <c r="J2581" s="12"/>
      <c r="K2581" s="12"/>
      <c r="L2581" s="379"/>
      <c r="M2581" s="380"/>
      <c r="N2581" s="380"/>
      <c r="O2581" s="12"/>
      <c r="P2581" s="381"/>
      <c r="Q2581" s="12"/>
      <c r="R2581" s="12"/>
      <c r="S2581" s="382"/>
      <c r="T2581" s="383"/>
      <c r="U2581" s="384"/>
      <c r="V2581" s="12"/>
      <c r="W2581" s="12"/>
    </row>
    <row r="2582" spans="1:23" x14ac:dyDescent="0.3">
      <c r="A2582" s="193" t="str">
        <f ca="1"/>
        <v/>
      </c>
      <c r="B2582" s="378"/>
      <c r="C2582" s="315"/>
      <c r="D2582" s="316"/>
      <c r="E2582" s="315"/>
      <c r="F2582" s="315"/>
      <c r="G2582" s="315"/>
      <c r="H2582" s="153"/>
      <c r="I2582" s="12"/>
      <c r="J2582" s="12"/>
      <c r="K2582" s="12"/>
      <c r="L2582" s="379"/>
      <c r="M2582" s="380"/>
      <c r="N2582" s="380"/>
      <c r="O2582" s="12"/>
      <c r="P2582" s="381"/>
      <c r="Q2582" s="12"/>
      <c r="R2582" s="12"/>
      <c r="S2582" s="382"/>
      <c r="T2582" s="383"/>
      <c r="U2582" s="384"/>
      <c r="V2582" s="12"/>
      <c r="W2582" s="12"/>
    </row>
    <row r="2583" spans="1:23" x14ac:dyDescent="0.3">
      <c r="A2583" s="193" t="str">
        <f ca="1"/>
        <v/>
      </c>
      <c r="B2583" s="378"/>
      <c r="C2583" s="315"/>
      <c r="D2583" s="316"/>
      <c r="E2583" s="315"/>
      <c r="F2583" s="315"/>
      <c r="G2583" s="315"/>
      <c r="H2583" s="153"/>
      <c r="I2583" s="12"/>
      <c r="J2583" s="12"/>
      <c r="K2583" s="12"/>
      <c r="L2583" s="379"/>
      <c r="M2583" s="380"/>
      <c r="N2583" s="380"/>
      <c r="O2583" s="12"/>
      <c r="P2583" s="381"/>
      <c r="Q2583" s="12"/>
      <c r="R2583" s="12"/>
      <c r="S2583" s="382"/>
      <c r="T2583" s="383"/>
      <c r="U2583" s="384"/>
      <c r="V2583" s="12"/>
      <c r="W2583" s="12"/>
    </row>
    <row r="2584" spans="1:23" x14ac:dyDescent="0.3">
      <c r="A2584" s="193" t="str">
        <f ca="1"/>
        <v/>
      </c>
      <c r="B2584" s="378"/>
      <c r="C2584" s="315"/>
      <c r="D2584" s="316"/>
      <c r="E2584" s="315"/>
      <c r="F2584" s="315"/>
      <c r="G2584" s="315"/>
      <c r="H2584" s="153"/>
      <c r="I2584" s="12"/>
      <c r="J2584" s="12"/>
      <c r="K2584" s="12"/>
      <c r="L2584" s="379"/>
      <c r="M2584" s="380"/>
      <c r="N2584" s="380"/>
      <c r="O2584" s="12"/>
      <c r="P2584" s="381"/>
      <c r="Q2584" s="12"/>
      <c r="R2584" s="12"/>
      <c r="S2584" s="382"/>
      <c r="T2584" s="383"/>
      <c r="U2584" s="384"/>
      <c r="V2584" s="12"/>
      <c r="W2584" s="12"/>
    </row>
    <row r="2585" spans="1:23" x14ac:dyDescent="0.3">
      <c r="A2585" s="193" t="str">
        <f ca="1"/>
        <v/>
      </c>
      <c r="B2585" s="378"/>
      <c r="C2585" s="315"/>
      <c r="D2585" s="316"/>
      <c r="E2585" s="315"/>
      <c r="F2585" s="315"/>
      <c r="G2585" s="315"/>
      <c r="H2585" s="153"/>
      <c r="I2585" s="12"/>
      <c r="J2585" s="12"/>
      <c r="K2585" s="12"/>
      <c r="L2585" s="379"/>
      <c r="M2585" s="380"/>
      <c r="N2585" s="380"/>
      <c r="O2585" s="12"/>
      <c r="P2585" s="381"/>
      <c r="Q2585" s="12"/>
      <c r="R2585" s="12"/>
      <c r="S2585" s="382"/>
      <c r="T2585" s="383"/>
      <c r="U2585" s="384"/>
      <c r="V2585" s="12"/>
      <c r="W2585" s="12"/>
    </row>
    <row r="2586" spans="1:23" x14ac:dyDescent="0.3">
      <c r="A2586" s="193" t="str">
        <f ca="1"/>
        <v/>
      </c>
      <c r="B2586" s="378"/>
      <c r="C2586" s="315"/>
      <c r="D2586" s="316"/>
      <c r="E2586" s="315"/>
      <c r="F2586" s="315"/>
      <c r="G2586" s="315"/>
      <c r="H2586" s="153"/>
      <c r="I2586" s="12"/>
      <c r="J2586" s="12"/>
      <c r="K2586" s="12"/>
      <c r="L2586" s="379"/>
      <c r="M2586" s="380"/>
      <c r="N2586" s="380"/>
      <c r="O2586" s="12"/>
      <c r="P2586" s="381"/>
      <c r="Q2586" s="12"/>
      <c r="R2586" s="12"/>
      <c r="S2586" s="382"/>
      <c r="T2586" s="383"/>
      <c r="U2586" s="384"/>
      <c r="V2586" s="12"/>
      <c r="W2586" s="12"/>
    </row>
    <row r="2587" spans="1:23" x14ac:dyDescent="0.3">
      <c r="A2587" s="193" t="str">
        <f ca="1"/>
        <v/>
      </c>
      <c r="B2587" s="378"/>
      <c r="C2587" s="315"/>
      <c r="D2587" s="316"/>
      <c r="E2587" s="315"/>
      <c r="F2587" s="315"/>
      <c r="G2587" s="315"/>
      <c r="H2587" s="153"/>
      <c r="I2587" s="12"/>
      <c r="J2587" s="12"/>
      <c r="K2587" s="12"/>
      <c r="L2587" s="379"/>
      <c r="M2587" s="380"/>
      <c r="N2587" s="380"/>
      <c r="O2587" s="12"/>
      <c r="P2587" s="381"/>
      <c r="Q2587" s="12"/>
      <c r="R2587" s="12"/>
      <c r="S2587" s="382"/>
      <c r="T2587" s="383"/>
      <c r="U2587" s="384"/>
      <c r="V2587" s="12"/>
      <c r="W2587" s="12"/>
    </row>
    <row r="2588" spans="1:23" x14ac:dyDescent="0.3">
      <c r="A2588" s="193" t="str">
        <f ca="1"/>
        <v/>
      </c>
      <c r="B2588" s="378"/>
      <c r="C2588" s="315"/>
      <c r="D2588" s="316"/>
      <c r="E2588" s="315"/>
      <c r="F2588" s="315"/>
      <c r="G2588" s="315"/>
      <c r="H2588" s="153"/>
      <c r="I2588" s="12"/>
      <c r="J2588" s="12"/>
      <c r="K2588" s="12"/>
      <c r="L2588" s="379"/>
      <c r="M2588" s="380"/>
      <c r="N2588" s="380"/>
      <c r="O2588" s="12"/>
      <c r="P2588" s="381"/>
      <c r="Q2588" s="12"/>
      <c r="R2588" s="12"/>
      <c r="S2588" s="382"/>
      <c r="T2588" s="383"/>
      <c r="U2588" s="384"/>
      <c r="V2588" s="12"/>
      <c r="W2588" s="12"/>
    </row>
    <row r="2589" spans="1:23" x14ac:dyDescent="0.3">
      <c r="A2589" s="193" t="str">
        <f ca="1"/>
        <v/>
      </c>
      <c r="B2589" s="378"/>
      <c r="C2589" s="315"/>
      <c r="D2589" s="316"/>
      <c r="E2589" s="315"/>
      <c r="F2589" s="315"/>
      <c r="G2589" s="315"/>
      <c r="H2589" s="153"/>
      <c r="I2589" s="12"/>
      <c r="J2589" s="12"/>
      <c r="K2589" s="12"/>
      <c r="L2589" s="379"/>
      <c r="M2589" s="380"/>
      <c r="N2589" s="380"/>
      <c r="O2589" s="12"/>
      <c r="P2589" s="381"/>
      <c r="Q2589" s="12"/>
      <c r="R2589" s="12"/>
      <c r="S2589" s="382"/>
      <c r="T2589" s="383"/>
      <c r="U2589" s="384"/>
      <c r="V2589" s="12"/>
      <c r="W2589" s="12"/>
    </row>
    <row r="2590" spans="1:23" x14ac:dyDescent="0.3">
      <c r="A2590" s="193" t="str">
        <f ca="1"/>
        <v/>
      </c>
      <c r="B2590" s="378"/>
      <c r="C2590" s="315"/>
      <c r="D2590" s="316"/>
      <c r="E2590" s="315"/>
      <c r="F2590" s="315"/>
      <c r="G2590" s="315"/>
      <c r="H2590" s="153"/>
      <c r="I2590" s="12"/>
      <c r="J2590" s="12"/>
      <c r="K2590" s="12"/>
      <c r="L2590" s="379"/>
      <c r="M2590" s="380"/>
      <c r="N2590" s="380"/>
      <c r="O2590" s="12"/>
      <c r="P2590" s="381"/>
      <c r="Q2590" s="12"/>
      <c r="R2590" s="12"/>
      <c r="S2590" s="382"/>
      <c r="T2590" s="383"/>
      <c r="U2590" s="384"/>
      <c r="V2590" s="12"/>
      <c r="W2590" s="12"/>
    </row>
    <row r="2591" spans="1:23" x14ac:dyDescent="0.3">
      <c r="A2591" s="193" t="str">
        <f ca="1"/>
        <v/>
      </c>
      <c r="B2591" s="378"/>
      <c r="C2591" s="315"/>
      <c r="D2591" s="316"/>
      <c r="E2591" s="315"/>
      <c r="F2591" s="315"/>
      <c r="G2591" s="315"/>
      <c r="H2591" s="153"/>
      <c r="I2591" s="12"/>
      <c r="J2591" s="12"/>
      <c r="K2591" s="12"/>
      <c r="L2591" s="379"/>
      <c r="M2591" s="380"/>
      <c r="N2591" s="380"/>
      <c r="O2591" s="12"/>
      <c r="P2591" s="381"/>
      <c r="Q2591" s="12"/>
      <c r="R2591" s="12"/>
      <c r="S2591" s="382"/>
      <c r="T2591" s="383"/>
      <c r="U2591" s="384"/>
      <c r="V2591" s="12"/>
      <c r="W2591" s="12"/>
    </row>
    <row r="2592" spans="1:23" x14ac:dyDescent="0.3">
      <c r="A2592" s="193" t="str">
        <f ca="1"/>
        <v/>
      </c>
      <c r="B2592" s="378"/>
      <c r="C2592" s="315"/>
      <c r="D2592" s="316"/>
      <c r="E2592" s="315"/>
      <c r="F2592" s="315"/>
      <c r="G2592" s="315"/>
      <c r="H2592" s="153"/>
      <c r="I2592" s="12"/>
      <c r="J2592" s="12"/>
      <c r="K2592" s="12"/>
      <c r="L2592" s="379"/>
      <c r="M2592" s="380"/>
      <c r="N2592" s="380"/>
      <c r="O2592" s="12"/>
      <c r="P2592" s="381"/>
      <c r="Q2592" s="12"/>
      <c r="R2592" s="12"/>
      <c r="S2592" s="382"/>
      <c r="T2592" s="383"/>
      <c r="U2592" s="384"/>
      <c r="V2592" s="12"/>
      <c r="W2592" s="12"/>
    </row>
    <row r="2593" spans="1:23" x14ac:dyDescent="0.3">
      <c r="A2593" s="193" t="str">
        <f ca="1"/>
        <v/>
      </c>
      <c r="B2593" s="378"/>
      <c r="C2593" s="315"/>
      <c r="D2593" s="316"/>
      <c r="E2593" s="315"/>
      <c r="F2593" s="315"/>
      <c r="G2593" s="315"/>
      <c r="H2593" s="153"/>
      <c r="I2593" s="12"/>
      <c r="J2593" s="12"/>
      <c r="K2593" s="12"/>
      <c r="L2593" s="379"/>
      <c r="M2593" s="380"/>
      <c r="N2593" s="380"/>
      <c r="O2593" s="12"/>
      <c r="P2593" s="381"/>
      <c r="Q2593" s="12"/>
      <c r="R2593" s="12"/>
      <c r="S2593" s="382"/>
      <c r="T2593" s="383"/>
      <c r="U2593" s="384"/>
      <c r="V2593" s="12"/>
      <c r="W2593" s="12"/>
    </row>
    <row r="2594" spans="1:23" x14ac:dyDescent="0.3">
      <c r="A2594" s="193" t="str">
        <f ca="1"/>
        <v/>
      </c>
      <c r="B2594" s="378"/>
      <c r="C2594" s="315"/>
      <c r="D2594" s="316"/>
      <c r="E2594" s="315"/>
      <c r="F2594" s="315"/>
      <c r="G2594" s="315"/>
      <c r="H2594" s="153"/>
      <c r="I2594" s="12"/>
      <c r="J2594" s="12"/>
      <c r="K2594" s="12"/>
      <c r="L2594" s="379"/>
      <c r="M2594" s="380"/>
      <c r="N2594" s="380"/>
      <c r="O2594" s="12"/>
      <c r="P2594" s="381"/>
      <c r="Q2594" s="12"/>
      <c r="R2594" s="12"/>
      <c r="S2594" s="382"/>
      <c r="T2594" s="383"/>
      <c r="U2594" s="384"/>
      <c r="V2594" s="12"/>
      <c r="W2594" s="12"/>
    </row>
    <row r="2595" spans="1:23" x14ac:dyDescent="0.3">
      <c r="A2595" s="193" t="str">
        <f ca="1"/>
        <v/>
      </c>
      <c r="B2595" s="378"/>
      <c r="C2595" s="315"/>
      <c r="D2595" s="316"/>
      <c r="E2595" s="315"/>
      <c r="F2595" s="315"/>
      <c r="G2595" s="315"/>
      <c r="H2595" s="153"/>
      <c r="I2595" s="12"/>
      <c r="J2595" s="12"/>
      <c r="K2595" s="12"/>
      <c r="L2595" s="379"/>
      <c r="M2595" s="380"/>
      <c r="N2595" s="380"/>
      <c r="O2595" s="12"/>
      <c r="P2595" s="381"/>
      <c r="Q2595" s="12"/>
      <c r="R2595" s="12"/>
      <c r="S2595" s="382"/>
      <c r="T2595" s="383"/>
      <c r="U2595" s="384"/>
      <c r="V2595" s="12"/>
      <c r="W2595" s="12"/>
    </row>
    <row r="2596" spans="1:23" x14ac:dyDescent="0.3">
      <c r="A2596" s="193" t="str">
        <f ca="1"/>
        <v/>
      </c>
      <c r="B2596" s="378"/>
      <c r="C2596" s="315"/>
      <c r="D2596" s="316"/>
      <c r="E2596" s="315"/>
      <c r="F2596" s="315"/>
      <c r="G2596" s="315"/>
      <c r="H2596" s="153"/>
      <c r="I2596" s="12"/>
      <c r="J2596" s="12"/>
      <c r="K2596" s="12"/>
      <c r="L2596" s="379"/>
      <c r="M2596" s="380"/>
      <c r="N2596" s="380"/>
      <c r="O2596" s="12"/>
      <c r="P2596" s="381"/>
      <c r="Q2596" s="12"/>
      <c r="R2596" s="12"/>
      <c r="S2596" s="382"/>
      <c r="T2596" s="383"/>
      <c r="U2596" s="384"/>
      <c r="V2596" s="12"/>
      <c r="W2596" s="12"/>
    </row>
    <row r="2597" spans="1:23" x14ac:dyDescent="0.3">
      <c r="A2597" s="193" t="str">
        <f ca="1"/>
        <v/>
      </c>
      <c r="B2597" s="378"/>
      <c r="C2597" s="315"/>
      <c r="D2597" s="316"/>
      <c r="E2597" s="315"/>
      <c r="F2597" s="315"/>
      <c r="G2597" s="315"/>
      <c r="H2597" s="153"/>
      <c r="I2597" s="12"/>
      <c r="J2597" s="12"/>
      <c r="K2597" s="12"/>
      <c r="L2597" s="379"/>
      <c r="M2597" s="380"/>
      <c r="N2597" s="380"/>
      <c r="O2597" s="12"/>
      <c r="P2597" s="381"/>
      <c r="Q2597" s="12"/>
      <c r="R2597" s="12"/>
      <c r="S2597" s="382"/>
      <c r="T2597" s="383"/>
      <c r="U2597" s="384"/>
      <c r="V2597" s="12"/>
      <c r="W2597" s="12"/>
    </row>
    <row r="2598" spans="1:23" x14ac:dyDescent="0.3">
      <c r="A2598" s="193" t="str">
        <f ca="1"/>
        <v/>
      </c>
      <c r="B2598" s="378"/>
      <c r="C2598" s="315"/>
      <c r="D2598" s="316"/>
      <c r="E2598" s="315"/>
      <c r="F2598" s="315"/>
      <c r="G2598" s="315"/>
      <c r="H2598" s="153"/>
      <c r="I2598" s="12"/>
      <c r="J2598" s="12"/>
      <c r="K2598" s="12"/>
      <c r="L2598" s="379"/>
      <c r="M2598" s="380"/>
      <c r="N2598" s="380"/>
      <c r="O2598" s="12"/>
      <c r="P2598" s="381"/>
      <c r="Q2598" s="12"/>
      <c r="R2598" s="12"/>
      <c r="S2598" s="382"/>
      <c r="T2598" s="383"/>
      <c r="U2598" s="384"/>
      <c r="V2598" s="12"/>
      <c r="W2598" s="12"/>
    </row>
    <row r="2599" spans="1:23" x14ac:dyDescent="0.3">
      <c r="A2599" s="193" t="str">
        <f ca="1"/>
        <v/>
      </c>
      <c r="B2599" s="378"/>
      <c r="C2599" s="315"/>
      <c r="D2599" s="316"/>
      <c r="E2599" s="315"/>
      <c r="F2599" s="315"/>
      <c r="G2599" s="315"/>
      <c r="H2599" s="153"/>
      <c r="I2599" s="12"/>
      <c r="J2599" s="12"/>
      <c r="K2599" s="12"/>
      <c r="L2599" s="379"/>
      <c r="M2599" s="380"/>
      <c r="N2599" s="380"/>
      <c r="O2599" s="12"/>
      <c r="P2599" s="381"/>
      <c r="Q2599" s="12"/>
      <c r="R2599" s="12"/>
      <c r="S2599" s="382"/>
      <c r="T2599" s="383"/>
      <c r="U2599" s="384"/>
      <c r="V2599" s="12"/>
      <c r="W2599" s="12"/>
    </row>
    <row r="2600" spans="1:23" x14ac:dyDescent="0.3">
      <c r="A2600" s="193" t="str">
        <f ca="1"/>
        <v/>
      </c>
      <c r="B2600" s="378"/>
      <c r="C2600" s="315"/>
      <c r="D2600" s="316"/>
      <c r="E2600" s="315"/>
      <c r="F2600" s="315"/>
      <c r="G2600" s="315"/>
      <c r="H2600" s="153"/>
      <c r="I2600" s="12"/>
      <c r="J2600" s="12"/>
      <c r="K2600" s="12"/>
      <c r="L2600" s="379"/>
      <c r="M2600" s="380"/>
      <c r="N2600" s="380"/>
      <c r="O2600" s="12"/>
      <c r="P2600" s="381"/>
      <c r="Q2600" s="12"/>
      <c r="R2600" s="12"/>
      <c r="S2600" s="382"/>
      <c r="T2600" s="383"/>
      <c r="U2600" s="384"/>
      <c r="V2600" s="12"/>
      <c r="W2600" s="12"/>
    </row>
    <row r="2601" spans="1:23" x14ac:dyDescent="0.3">
      <c r="A2601" s="193" t="str">
        <f ca="1"/>
        <v/>
      </c>
      <c r="B2601" s="378"/>
      <c r="C2601" s="315"/>
      <c r="D2601" s="316"/>
      <c r="E2601" s="315"/>
      <c r="F2601" s="315"/>
      <c r="G2601" s="315"/>
      <c r="H2601" s="153"/>
      <c r="I2601" s="12"/>
      <c r="J2601" s="12"/>
      <c r="K2601" s="12"/>
      <c r="L2601" s="379"/>
      <c r="M2601" s="380"/>
      <c r="N2601" s="380"/>
      <c r="O2601" s="12"/>
      <c r="P2601" s="381"/>
      <c r="Q2601" s="12"/>
      <c r="R2601" s="12"/>
      <c r="S2601" s="382"/>
      <c r="T2601" s="383"/>
      <c r="U2601" s="384"/>
      <c r="V2601" s="12"/>
      <c r="W2601" s="12"/>
    </row>
    <row r="2602" spans="1:23" x14ac:dyDescent="0.3">
      <c r="A2602" s="193" t="str">
        <f ca="1"/>
        <v/>
      </c>
      <c r="B2602" s="378"/>
      <c r="C2602" s="315"/>
      <c r="D2602" s="316"/>
      <c r="E2602" s="315"/>
      <c r="F2602" s="315"/>
      <c r="G2602" s="315"/>
      <c r="H2602" s="153"/>
      <c r="I2602" s="12"/>
      <c r="J2602" s="12"/>
      <c r="K2602" s="12"/>
      <c r="L2602" s="379"/>
      <c r="M2602" s="380"/>
      <c r="N2602" s="380"/>
      <c r="O2602" s="12"/>
      <c r="P2602" s="381"/>
      <c r="Q2602" s="12"/>
      <c r="R2602" s="12"/>
      <c r="S2602" s="382"/>
      <c r="T2602" s="383"/>
      <c r="U2602" s="384"/>
      <c r="V2602" s="12"/>
      <c r="W2602" s="12"/>
    </row>
    <row r="2603" spans="1:23" x14ac:dyDescent="0.3">
      <c r="A2603" s="193" t="str">
        <f ca="1"/>
        <v/>
      </c>
      <c r="B2603" s="378"/>
      <c r="C2603" s="315"/>
      <c r="D2603" s="316"/>
      <c r="E2603" s="315"/>
      <c r="F2603" s="315"/>
      <c r="G2603" s="315"/>
      <c r="H2603" s="153"/>
      <c r="I2603" s="12"/>
      <c r="J2603" s="12"/>
      <c r="K2603" s="12"/>
      <c r="L2603" s="379"/>
      <c r="M2603" s="380"/>
      <c r="N2603" s="380"/>
      <c r="O2603" s="12"/>
      <c r="P2603" s="381"/>
      <c r="Q2603" s="12"/>
      <c r="R2603" s="12"/>
      <c r="S2603" s="382"/>
      <c r="T2603" s="383"/>
      <c r="U2603" s="384"/>
      <c r="V2603" s="12"/>
      <c r="W2603" s="12"/>
    </row>
    <row r="2604" spans="1:23" x14ac:dyDescent="0.3">
      <c r="A2604" s="193" t="str">
        <f ca="1"/>
        <v/>
      </c>
      <c r="B2604" s="378"/>
      <c r="C2604" s="315"/>
      <c r="D2604" s="316"/>
      <c r="E2604" s="315"/>
      <c r="F2604" s="315"/>
      <c r="G2604" s="315"/>
      <c r="H2604" s="153"/>
      <c r="I2604" s="12"/>
      <c r="J2604" s="12"/>
      <c r="K2604" s="12"/>
      <c r="L2604" s="379"/>
      <c r="M2604" s="380"/>
      <c r="N2604" s="380"/>
      <c r="O2604" s="12"/>
      <c r="P2604" s="381"/>
      <c r="Q2604" s="12"/>
      <c r="R2604" s="12"/>
      <c r="S2604" s="382"/>
      <c r="T2604" s="383"/>
      <c r="U2604" s="384"/>
      <c r="V2604" s="12"/>
      <c r="W2604" s="12"/>
    </row>
    <row r="2605" spans="1:23" x14ac:dyDescent="0.3">
      <c r="A2605" s="193" t="str">
        <f ca="1"/>
        <v/>
      </c>
      <c r="B2605" s="378"/>
      <c r="C2605" s="315"/>
      <c r="D2605" s="316"/>
      <c r="E2605" s="315"/>
      <c r="F2605" s="315"/>
      <c r="G2605" s="315"/>
      <c r="H2605" s="153"/>
      <c r="I2605" s="12"/>
      <c r="J2605" s="12"/>
      <c r="K2605" s="12"/>
      <c r="L2605" s="379"/>
      <c r="M2605" s="380"/>
      <c r="N2605" s="380"/>
      <c r="O2605" s="12"/>
      <c r="P2605" s="381"/>
      <c r="Q2605" s="12"/>
      <c r="R2605" s="12"/>
      <c r="S2605" s="382"/>
      <c r="T2605" s="383"/>
      <c r="U2605" s="384"/>
      <c r="V2605" s="12"/>
      <c r="W2605" s="12"/>
    </row>
    <row r="2606" spans="1:23" x14ac:dyDescent="0.3">
      <c r="A2606" s="193" t="str">
        <f ca="1"/>
        <v/>
      </c>
      <c r="B2606" s="378"/>
      <c r="C2606" s="315"/>
      <c r="D2606" s="316"/>
      <c r="E2606" s="315"/>
      <c r="F2606" s="315"/>
      <c r="G2606" s="315"/>
      <c r="H2606" s="153"/>
      <c r="I2606" s="12"/>
      <c r="J2606" s="12"/>
      <c r="K2606" s="12"/>
      <c r="L2606" s="379"/>
      <c r="M2606" s="380"/>
      <c r="N2606" s="380"/>
      <c r="O2606" s="12"/>
      <c r="P2606" s="381"/>
      <c r="Q2606" s="12"/>
      <c r="R2606" s="12"/>
      <c r="S2606" s="382"/>
      <c r="T2606" s="383"/>
      <c r="U2606" s="384"/>
      <c r="V2606" s="12"/>
      <c r="W2606" s="12"/>
    </row>
    <row r="2607" spans="1:23" x14ac:dyDescent="0.3">
      <c r="A2607" s="193" t="str">
        <f ca="1"/>
        <v/>
      </c>
      <c r="B2607" s="378"/>
      <c r="C2607" s="315"/>
      <c r="D2607" s="316"/>
      <c r="E2607" s="315"/>
      <c r="F2607" s="315"/>
      <c r="G2607" s="315"/>
      <c r="H2607" s="153"/>
      <c r="I2607" s="12"/>
      <c r="J2607" s="12"/>
      <c r="K2607" s="12"/>
      <c r="L2607" s="379"/>
      <c r="M2607" s="380"/>
      <c r="N2607" s="380"/>
      <c r="O2607" s="12"/>
      <c r="P2607" s="381"/>
      <c r="Q2607" s="12"/>
      <c r="R2607" s="12"/>
      <c r="S2607" s="382"/>
      <c r="T2607" s="383"/>
      <c r="U2607" s="384"/>
      <c r="V2607" s="12"/>
      <c r="W2607" s="12"/>
    </row>
    <row r="2608" spans="1:23" x14ac:dyDescent="0.3">
      <c r="A2608" s="193" t="str">
        <f ca="1"/>
        <v/>
      </c>
      <c r="B2608" s="378"/>
      <c r="C2608" s="315"/>
      <c r="D2608" s="316"/>
      <c r="E2608" s="315"/>
      <c r="F2608" s="315"/>
      <c r="G2608" s="315"/>
      <c r="H2608" s="153"/>
      <c r="I2608" s="12"/>
      <c r="J2608" s="12"/>
      <c r="K2608" s="12"/>
      <c r="L2608" s="379"/>
      <c r="M2608" s="380"/>
      <c r="N2608" s="380"/>
      <c r="O2608" s="12"/>
      <c r="P2608" s="381"/>
      <c r="Q2608" s="12"/>
      <c r="R2608" s="12"/>
      <c r="S2608" s="382"/>
      <c r="T2608" s="383"/>
      <c r="U2608" s="384"/>
      <c r="V2608" s="12"/>
      <c r="W2608" s="12"/>
    </row>
    <row r="2609" spans="1:23" x14ac:dyDescent="0.3">
      <c r="A2609" s="193" t="str">
        <f ca="1"/>
        <v/>
      </c>
      <c r="B2609" s="378"/>
      <c r="C2609" s="315"/>
      <c r="D2609" s="316"/>
      <c r="E2609" s="315"/>
      <c r="F2609" s="315"/>
      <c r="G2609" s="315"/>
      <c r="H2609" s="153"/>
      <c r="I2609" s="12"/>
      <c r="J2609" s="12"/>
      <c r="K2609" s="12"/>
      <c r="L2609" s="379"/>
      <c r="M2609" s="380"/>
      <c r="N2609" s="380"/>
      <c r="O2609" s="12"/>
      <c r="P2609" s="381"/>
      <c r="Q2609" s="12"/>
      <c r="R2609" s="12"/>
      <c r="S2609" s="382"/>
      <c r="T2609" s="383"/>
      <c r="U2609" s="384"/>
      <c r="V2609" s="12"/>
      <c r="W2609" s="12"/>
    </row>
    <row r="2610" spans="1:23" x14ac:dyDescent="0.3">
      <c r="A2610" s="193" t="str">
        <f ca="1"/>
        <v/>
      </c>
      <c r="B2610" s="378"/>
      <c r="C2610" s="315"/>
      <c r="D2610" s="316"/>
      <c r="E2610" s="315"/>
      <c r="F2610" s="315"/>
      <c r="G2610" s="315"/>
      <c r="H2610" s="153"/>
      <c r="I2610" s="12"/>
      <c r="J2610" s="12"/>
      <c r="K2610" s="12"/>
      <c r="L2610" s="379"/>
      <c r="M2610" s="380"/>
      <c r="N2610" s="380"/>
      <c r="O2610" s="12"/>
      <c r="P2610" s="381"/>
      <c r="Q2610" s="12"/>
      <c r="R2610" s="12"/>
      <c r="S2610" s="382"/>
      <c r="T2610" s="383"/>
      <c r="U2610" s="384"/>
      <c r="V2610" s="12"/>
      <c r="W2610" s="12"/>
    </row>
    <row r="2611" spans="1:23" x14ac:dyDescent="0.3">
      <c r="A2611" s="193" t="str">
        <f ca="1"/>
        <v/>
      </c>
      <c r="B2611" s="378"/>
      <c r="C2611" s="315"/>
      <c r="D2611" s="316"/>
      <c r="E2611" s="315"/>
      <c r="F2611" s="315"/>
      <c r="G2611" s="315"/>
      <c r="H2611" s="153"/>
      <c r="I2611" s="12"/>
      <c r="J2611" s="12"/>
      <c r="K2611" s="12"/>
      <c r="L2611" s="379"/>
      <c r="M2611" s="380"/>
      <c r="N2611" s="380"/>
      <c r="O2611" s="12"/>
      <c r="P2611" s="381"/>
      <c r="Q2611" s="12"/>
      <c r="R2611" s="12"/>
      <c r="S2611" s="382"/>
      <c r="T2611" s="383"/>
      <c r="U2611" s="384"/>
      <c r="V2611" s="12"/>
      <c r="W2611" s="12"/>
    </row>
    <row r="2612" spans="1:23" x14ac:dyDescent="0.3">
      <c r="A2612" s="193" t="str">
        <f ca="1"/>
        <v/>
      </c>
      <c r="B2612" s="378"/>
      <c r="C2612" s="315"/>
      <c r="D2612" s="316"/>
      <c r="E2612" s="315"/>
      <c r="F2612" s="315"/>
      <c r="G2612" s="315"/>
      <c r="H2612" s="153"/>
      <c r="I2612" s="12"/>
      <c r="J2612" s="12"/>
      <c r="K2612" s="12"/>
      <c r="L2612" s="379"/>
      <c r="M2612" s="380"/>
      <c r="N2612" s="380"/>
      <c r="O2612" s="12"/>
      <c r="P2612" s="381"/>
      <c r="Q2612" s="12"/>
      <c r="R2612" s="12"/>
      <c r="S2612" s="382"/>
      <c r="T2612" s="383"/>
      <c r="U2612" s="384"/>
      <c r="V2612" s="12"/>
      <c r="W2612" s="12"/>
    </row>
    <row r="2613" spans="1:23" x14ac:dyDescent="0.3">
      <c r="A2613" s="193" t="str">
        <f ca="1"/>
        <v/>
      </c>
      <c r="B2613" s="378"/>
      <c r="C2613" s="315"/>
      <c r="D2613" s="316"/>
      <c r="E2613" s="315"/>
      <c r="F2613" s="315"/>
      <c r="G2613" s="315"/>
      <c r="H2613" s="153"/>
      <c r="I2613" s="12"/>
      <c r="J2613" s="12"/>
      <c r="K2613" s="12"/>
      <c r="L2613" s="379"/>
      <c r="M2613" s="380"/>
      <c r="N2613" s="380"/>
      <c r="O2613" s="12"/>
      <c r="P2613" s="381"/>
      <c r="Q2613" s="12"/>
      <c r="R2613" s="12"/>
      <c r="S2613" s="382"/>
      <c r="T2613" s="383"/>
      <c r="U2613" s="384"/>
      <c r="V2613" s="12"/>
      <c r="W2613" s="12"/>
    </row>
    <row r="2614" spans="1:23" x14ac:dyDescent="0.3">
      <c r="A2614" s="193" t="str">
        <f ca="1"/>
        <v/>
      </c>
      <c r="B2614" s="378"/>
      <c r="C2614" s="315"/>
      <c r="D2614" s="316"/>
      <c r="E2614" s="315"/>
      <c r="F2614" s="315"/>
      <c r="G2614" s="315"/>
      <c r="H2614" s="153"/>
      <c r="I2614" s="12"/>
      <c r="J2614" s="12"/>
      <c r="K2614" s="12"/>
      <c r="L2614" s="379"/>
      <c r="M2614" s="380"/>
      <c r="N2614" s="380"/>
      <c r="O2614" s="12"/>
      <c r="P2614" s="381"/>
      <c r="Q2614" s="12"/>
      <c r="R2614" s="12"/>
      <c r="S2614" s="382"/>
      <c r="T2614" s="383"/>
      <c r="U2614" s="384"/>
      <c r="V2614" s="12"/>
      <c r="W2614" s="12"/>
    </row>
    <row r="2615" spans="1:23" x14ac:dyDescent="0.3">
      <c r="A2615" s="193" t="str">
        <f ca="1"/>
        <v/>
      </c>
      <c r="B2615" s="378"/>
      <c r="C2615" s="315"/>
      <c r="D2615" s="316"/>
      <c r="E2615" s="315"/>
      <c r="F2615" s="315"/>
      <c r="G2615" s="315"/>
      <c r="H2615" s="153"/>
      <c r="I2615" s="12"/>
      <c r="J2615" s="12"/>
      <c r="K2615" s="12"/>
      <c r="L2615" s="379"/>
      <c r="M2615" s="380"/>
      <c r="N2615" s="380"/>
      <c r="O2615" s="12"/>
      <c r="P2615" s="381"/>
      <c r="Q2615" s="12"/>
      <c r="R2615" s="12"/>
      <c r="S2615" s="382"/>
      <c r="T2615" s="383"/>
      <c r="U2615" s="384"/>
      <c r="V2615" s="12"/>
      <c r="W2615" s="12"/>
    </row>
    <row r="2616" spans="1:23" x14ac:dyDescent="0.3">
      <c r="A2616" s="193" t="str">
        <f ca="1"/>
        <v/>
      </c>
      <c r="B2616" s="378"/>
      <c r="C2616" s="315"/>
      <c r="D2616" s="316"/>
      <c r="E2616" s="315"/>
      <c r="F2616" s="315"/>
      <c r="G2616" s="315"/>
      <c r="H2616" s="153"/>
      <c r="I2616" s="12"/>
      <c r="J2616" s="12"/>
      <c r="K2616" s="12"/>
      <c r="L2616" s="379"/>
      <c r="M2616" s="380"/>
      <c r="N2616" s="380"/>
      <c r="O2616" s="12"/>
      <c r="P2616" s="381"/>
      <c r="Q2616" s="12"/>
      <c r="R2616" s="12"/>
      <c r="S2616" s="382"/>
      <c r="T2616" s="383"/>
      <c r="U2616" s="384"/>
      <c r="V2616" s="12"/>
      <c r="W2616" s="12"/>
    </row>
    <row r="2617" spans="1:23" x14ac:dyDescent="0.3">
      <c r="A2617" s="193" t="str">
        <f ca="1"/>
        <v/>
      </c>
      <c r="B2617" s="378"/>
      <c r="C2617" s="315"/>
      <c r="D2617" s="316"/>
      <c r="E2617" s="315"/>
      <c r="F2617" s="315"/>
      <c r="G2617" s="315"/>
      <c r="H2617" s="153"/>
      <c r="I2617" s="12"/>
      <c r="J2617" s="12"/>
      <c r="K2617" s="12"/>
      <c r="L2617" s="379"/>
      <c r="M2617" s="380"/>
      <c r="N2617" s="380"/>
      <c r="O2617" s="12"/>
      <c r="P2617" s="381"/>
      <c r="Q2617" s="12"/>
      <c r="R2617" s="12"/>
      <c r="S2617" s="382"/>
      <c r="T2617" s="383"/>
      <c r="U2617" s="384"/>
      <c r="V2617" s="12"/>
      <c r="W2617" s="12"/>
    </row>
    <row r="2618" spans="1:23" x14ac:dyDescent="0.3">
      <c r="A2618" s="193" t="str">
        <f ca="1"/>
        <v/>
      </c>
      <c r="B2618" s="378"/>
      <c r="C2618" s="315"/>
      <c r="D2618" s="316"/>
      <c r="E2618" s="315"/>
      <c r="F2618" s="315"/>
      <c r="G2618" s="315"/>
      <c r="H2618" s="153"/>
      <c r="I2618" s="12"/>
      <c r="J2618" s="12"/>
      <c r="K2618" s="12"/>
      <c r="L2618" s="379"/>
      <c r="M2618" s="380"/>
      <c r="N2618" s="380"/>
      <c r="O2618" s="12"/>
      <c r="P2618" s="381"/>
      <c r="Q2618" s="12"/>
      <c r="R2618" s="12"/>
      <c r="S2618" s="382"/>
      <c r="T2618" s="383"/>
      <c r="U2618" s="384"/>
      <c r="V2618" s="12"/>
      <c r="W2618" s="12"/>
    </row>
    <row r="2619" spans="1:23" x14ac:dyDescent="0.3">
      <c r="A2619" s="193" t="str">
        <f ca="1"/>
        <v/>
      </c>
      <c r="B2619" s="378"/>
      <c r="C2619" s="315"/>
      <c r="D2619" s="316"/>
      <c r="E2619" s="315"/>
      <c r="F2619" s="315"/>
      <c r="G2619" s="315"/>
      <c r="H2619" s="153"/>
      <c r="I2619" s="12"/>
      <c r="J2619" s="12"/>
      <c r="K2619" s="12"/>
      <c r="L2619" s="379"/>
      <c r="M2619" s="380"/>
      <c r="N2619" s="380"/>
      <c r="O2619" s="12"/>
      <c r="P2619" s="381"/>
      <c r="Q2619" s="12"/>
      <c r="R2619" s="12"/>
      <c r="S2619" s="382"/>
      <c r="T2619" s="383"/>
      <c r="U2619" s="384"/>
      <c r="V2619" s="12"/>
      <c r="W2619" s="12"/>
    </row>
    <row r="2620" spans="1:23" x14ac:dyDescent="0.3">
      <c r="A2620" s="193" t="str">
        <f ca="1"/>
        <v/>
      </c>
      <c r="B2620" s="378"/>
      <c r="C2620" s="315"/>
      <c r="D2620" s="316"/>
      <c r="E2620" s="315"/>
      <c r="F2620" s="315"/>
      <c r="G2620" s="315"/>
      <c r="H2620" s="153"/>
      <c r="I2620" s="12"/>
      <c r="J2620" s="12"/>
      <c r="K2620" s="12"/>
      <c r="L2620" s="379"/>
      <c r="M2620" s="380"/>
      <c r="N2620" s="380"/>
      <c r="O2620" s="12"/>
      <c r="P2620" s="381"/>
      <c r="Q2620" s="12"/>
      <c r="R2620" s="12"/>
      <c r="S2620" s="382"/>
      <c r="T2620" s="383"/>
      <c r="U2620" s="384"/>
      <c r="V2620" s="12"/>
      <c r="W2620" s="12"/>
    </row>
    <row r="2621" spans="1:23" x14ac:dyDescent="0.3">
      <c r="A2621" s="193" t="str">
        <f ca="1"/>
        <v/>
      </c>
      <c r="B2621" s="378"/>
      <c r="C2621" s="315"/>
      <c r="D2621" s="316"/>
      <c r="E2621" s="315"/>
      <c r="F2621" s="315"/>
      <c r="G2621" s="315"/>
      <c r="H2621" s="153"/>
      <c r="I2621" s="12"/>
      <c r="J2621" s="12"/>
      <c r="K2621" s="12"/>
      <c r="L2621" s="379"/>
      <c r="M2621" s="380"/>
      <c r="N2621" s="380"/>
      <c r="O2621" s="12"/>
      <c r="P2621" s="381"/>
      <c r="Q2621" s="12"/>
      <c r="R2621" s="12"/>
      <c r="S2621" s="382"/>
      <c r="T2621" s="383"/>
      <c r="U2621" s="384"/>
      <c r="V2621" s="12"/>
      <c r="W2621" s="12"/>
    </row>
    <row r="2622" spans="1:23" x14ac:dyDescent="0.3">
      <c r="A2622" s="193" t="str">
        <f ca="1"/>
        <v/>
      </c>
      <c r="B2622" s="378"/>
      <c r="C2622" s="315"/>
      <c r="D2622" s="316"/>
      <c r="E2622" s="315"/>
      <c r="F2622" s="315"/>
      <c r="G2622" s="315"/>
      <c r="H2622" s="153"/>
      <c r="I2622" s="12"/>
      <c r="J2622" s="12"/>
      <c r="K2622" s="12"/>
      <c r="L2622" s="379"/>
      <c r="M2622" s="380"/>
      <c r="N2622" s="380"/>
      <c r="O2622" s="12"/>
      <c r="P2622" s="381"/>
      <c r="Q2622" s="12"/>
      <c r="R2622" s="12"/>
      <c r="S2622" s="382"/>
      <c r="T2622" s="383"/>
      <c r="U2622" s="384"/>
      <c r="V2622" s="12"/>
      <c r="W2622" s="12"/>
    </row>
    <row r="2623" spans="1:23" x14ac:dyDescent="0.3">
      <c r="A2623" s="193" t="str">
        <f ca="1"/>
        <v/>
      </c>
      <c r="B2623" s="378"/>
      <c r="C2623" s="315"/>
      <c r="D2623" s="316"/>
      <c r="E2623" s="315"/>
      <c r="F2623" s="315"/>
      <c r="G2623" s="315"/>
      <c r="H2623" s="153"/>
      <c r="I2623" s="12"/>
      <c r="J2623" s="12"/>
      <c r="K2623" s="12"/>
      <c r="L2623" s="379"/>
      <c r="M2623" s="380"/>
      <c r="N2623" s="380"/>
      <c r="O2623" s="12"/>
      <c r="P2623" s="381"/>
      <c r="Q2623" s="12"/>
      <c r="R2623" s="12"/>
      <c r="S2623" s="382"/>
      <c r="T2623" s="383"/>
      <c r="U2623" s="384"/>
      <c r="V2623" s="12"/>
      <c r="W2623" s="12"/>
    </row>
    <row r="2624" spans="1:23" x14ac:dyDescent="0.3">
      <c r="A2624" s="193" t="str">
        <f ca="1"/>
        <v/>
      </c>
      <c r="B2624" s="378"/>
      <c r="C2624" s="315"/>
      <c r="D2624" s="316"/>
      <c r="E2624" s="315"/>
      <c r="F2624" s="315"/>
      <c r="G2624" s="315"/>
      <c r="H2624" s="153"/>
      <c r="I2624" s="12"/>
      <c r="J2624" s="12"/>
      <c r="K2624" s="12"/>
      <c r="L2624" s="379"/>
      <c r="M2624" s="380"/>
      <c r="N2624" s="380"/>
      <c r="O2624" s="12"/>
      <c r="P2624" s="381"/>
      <c r="Q2624" s="12"/>
      <c r="R2624" s="12"/>
      <c r="S2624" s="382"/>
      <c r="T2624" s="383"/>
      <c r="U2624" s="384"/>
      <c r="V2624" s="12"/>
      <c r="W2624" s="12"/>
    </row>
    <row r="2625" spans="1:23" x14ac:dyDescent="0.3">
      <c r="A2625" s="193" t="str">
        <f ca="1"/>
        <v/>
      </c>
      <c r="B2625" s="378"/>
      <c r="C2625" s="315"/>
      <c r="D2625" s="316"/>
      <c r="E2625" s="315"/>
      <c r="F2625" s="315"/>
      <c r="G2625" s="315"/>
      <c r="H2625" s="153"/>
      <c r="I2625" s="12"/>
      <c r="J2625" s="12"/>
      <c r="K2625" s="12"/>
      <c r="L2625" s="379"/>
      <c r="M2625" s="380"/>
      <c r="N2625" s="380"/>
      <c r="O2625" s="12"/>
      <c r="P2625" s="381"/>
      <c r="Q2625" s="12"/>
      <c r="R2625" s="12"/>
      <c r="S2625" s="382"/>
      <c r="T2625" s="383"/>
      <c r="U2625" s="384"/>
      <c r="V2625" s="12"/>
      <c r="W2625" s="12"/>
    </row>
    <row r="2626" spans="1:23" x14ac:dyDescent="0.3">
      <c r="A2626" s="193" t="str">
        <f ca="1"/>
        <v/>
      </c>
      <c r="B2626" s="378"/>
      <c r="C2626" s="315"/>
      <c r="D2626" s="316"/>
      <c r="E2626" s="315"/>
      <c r="F2626" s="315"/>
      <c r="G2626" s="315"/>
      <c r="H2626" s="153"/>
      <c r="I2626" s="12"/>
      <c r="J2626" s="12"/>
      <c r="K2626" s="12"/>
      <c r="L2626" s="379"/>
      <c r="M2626" s="380"/>
      <c r="N2626" s="380"/>
      <c r="O2626" s="12"/>
      <c r="P2626" s="381"/>
      <c r="Q2626" s="12"/>
      <c r="R2626" s="12"/>
      <c r="S2626" s="382"/>
      <c r="T2626" s="383"/>
      <c r="U2626" s="384"/>
      <c r="V2626" s="12"/>
      <c r="W2626" s="12"/>
    </row>
    <row r="2627" spans="1:23" x14ac:dyDescent="0.3">
      <c r="A2627" s="193" t="str">
        <f ca="1"/>
        <v/>
      </c>
      <c r="B2627" s="378"/>
      <c r="C2627" s="315"/>
      <c r="D2627" s="316"/>
      <c r="E2627" s="315"/>
      <c r="F2627" s="315"/>
      <c r="G2627" s="315"/>
      <c r="H2627" s="153"/>
      <c r="I2627" s="12"/>
      <c r="J2627" s="12"/>
      <c r="K2627" s="12"/>
      <c r="L2627" s="379"/>
      <c r="M2627" s="380"/>
      <c r="N2627" s="380"/>
      <c r="O2627" s="12"/>
      <c r="P2627" s="381"/>
      <c r="Q2627" s="12"/>
      <c r="R2627" s="12"/>
      <c r="S2627" s="382"/>
      <c r="T2627" s="383"/>
      <c r="U2627" s="384"/>
      <c r="V2627" s="12"/>
      <c r="W2627" s="12"/>
    </row>
    <row r="2628" spans="1:23" x14ac:dyDescent="0.3">
      <c r="A2628" s="193" t="str">
        <f ca="1"/>
        <v/>
      </c>
      <c r="B2628" s="378"/>
      <c r="C2628" s="315"/>
      <c r="D2628" s="316"/>
      <c r="E2628" s="315"/>
      <c r="F2628" s="315"/>
      <c r="G2628" s="315"/>
      <c r="H2628" s="153"/>
      <c r="I2628" s="12"/>
      <c r="J2628" s="12"/>
      <c r="K2628" s="12"/>
      <c r="L2628" s="379"/>
      <c r="M2628" s="380"/>
      <c r="N2628" s="380"/>
      <c r="O2628" s="12"/>
      <c r="P2628" s="381"/>
      <c r="Q2628" s="12"/>
      <c r="R2628" s="12"/>
      <c r="S2628" s="382"/>
      <c r="T2628" s="383"/>
      <c r="U2628" s="384"/>
      <c r="V2628" s="12"/>
      <c r="W2628" s="12"/>
    </row>
    <row r="2629" spans="1:23" x14ac:dyDescent="0.3">
      <c r="A2629" s="193" t="str">
        <f ca="1"/>
        <v/>
      </c>
      <c r="B2629" s="378"/>
      <c r="C2629" s="315"/>
      <c r="D2629" s="316"/>
      <c r="E2629" s="315"/>
      <c r="F2629" s="315"/>
      <c r="G2629" s="315"/>
      <c r="H2629" s="153"/>
      <c r="I2629" s="12"/>
      <c r="J2629" s="12"/>
      <c r="K2629" s="12"/>
      <c r="L2629" s="379"/>
      <c r="M2629" s="380"/>
      <c r="N2629" s="380"/>
      <c r="O2629" s="12"/>
      <c r="P2629" s="381"/>
      <c r="Q2629" s="12"/>
      <c r="R2629" s="12"/>
      <c r="S2629" s="382"/>
      <c r="T2629" s="383"/>
      <c r="U2629" s="384"/>
      <c r="V2629" s="12"/>
      <c r="W2629" s="12"/>
    </row>
    <row r="2630" spans="1:23" x14ac:dyDescent="0.3">
      <c r="A2630" s="193" t="str">
        <f ca="1"/>
        <v/>
      </c>
      <c r="B2630" s="378"/>
      <c r="C2630" s="315"/>
      <c r="D2630" s="316"/>
      <c r="E2630" s="315"/>
      <c r="F2630" s="315"/>
      <c r="G2630" s="315"/>
      <c r="H2630" s="153"/>
      <c r="I2630" s="12"/>
      <c r="J2630" s="12"/>
      <c r="K2630" s="12"/>
      <c r="L2630" s="379"/>
      <c r="M2630" s="380"/>
      <c r="N2630" s="380"/>
      <c r="O2630" s="12"/>
      <c r="P2630" s="381"/>
      <c r="Q2630" s="12"/>
      <c r="R2630" s="12"/>
      <c r="S2630" s="382"/>
      <c r="T2630" s="383"/>
      <c r="U2630" s="384"/>
      <c r="V2630" s="12"/>
      <c r="W2630" s="12"/>
    </row>
    <row r="2631" spans="1:23" x14ac:dyDescent="0.3">
      <c r="A2631" s="193" t="str">
        <f ca="1"/>
        <v/>
      </c>
      <c r="B2631" s="378"/>
      <c r="C2631" s="315"/>
      <c r="D2631" s="316"/>
      <c r="E2631" s="315"/>
      <c r="F2631" s="315"/>
      <c r="G2631" s="315"/>
      <c r="H2631" s="153"/>
      <c r="I2631" s="12"/>
      <c r="J2631" s="12"/>
      <c r="K2631" s="12"/>
      <c r="L2631" s="379"/>
      <c r="M2631" s="380"/>
      <c r="N2631" s="380"/>
      <c r="O2631" s="12"/>
      <c r="P2631" s="381"/>
      <c r="Q2631" s="12"/>
      <c r="R2631" s="12"/>
      <c r="S2631" s="382"/>
      <c r="T2631" s="383"/>
      <c r="U2631" s="384"/>
      <c r="V2631" s="12"/>
      <c r="W2631" s="12"/>
    </row>
    <row r="2632" spans="1:23" x14ac:dyDescent="0.3">
      <c r="A2632" s="193" t="str">
        <f ca="1"/>
        <v/>
      </c>
      <c r="B2632" s="378"/>
      <c r="C2632" s="315"/>
      <c r="D2632" s="316"/>
      <c r="E2632" s="315"/>
      <c r="F2632" s="315"/>
      <c r="G2632" s="315"/>
      <c r="H2632" s="153"/>
      <c r="I2632" s="12"/>
      <c r="J2632" s="12"/>
      <c r="K2632" s="12"/>
      <c r="L2632" s="379"/>
      <c r="M2632" s="380"/>
      <c r="N2632" s="380"/>
      <c r="O2632" s="12"/>
      <c r="P2632" s="381"/>
      <c r="Q2632" s="12"/>
      <c r="R2632" s="12"/>
      <c r="S2632" s="382"/>
      <c r="T2632" s="383"/>
      <c r="U2632" s="384"/>
      <c r="V2632" s="12"/>
      <c r="W2632" s="12"/>
    </row>
    <row r="2633" spans="1:23" x14ac:dyDescent="0.3">
      <c r="A2633" s="193" t="str">
        <f ca="1"/>
        <v/>
      </c>
      <c r="B2633" s="378"/>
      <c r="C2633" s="315"/>
      <c r="D2633" s="316"/>
      <c r="E2633" s="315"/>
      <c r="F2633" s="315"/>
      <c r="G2633" s="315"/>
      <c r="H2633" s="153"/>
      <c r="I2633" s="12"/>
      <c r="J2633" s="12"/>
      <c r="K2633" s="12"/>
      <c r="L2633" s="379"/>
      <c r="M2633" s="380"/>
      <c r="N2633" s="380"/>
      <c r="O2633" s="12"/>
      <c r="P2633" s="381"/>
      <c r="Q2633" s="12"/>
      <c r="R2633" s="12"/>
      <c r="S2633" s="382"/>
      <c r="T2633" s="383"/>
      <c r="U2633" s="384"/>
      <c r="V2633" s="12"/>
      <c r="W2633" s="12"/>
    </row>
    <row r="2634" spans="1:23" x14ac:dyDescent="0.3">
      <c r="A2634" s="193" t="str">
        <f ca="1"/>
        <v/>
      </c>
      <c r="B2634" s="378"/>
      <c r="C2634" s="315"/>
      <c r="D2634" s="316"/>
      <c r="E2634" s="315"/>
      <c r="F2634" s="315"/>
      <c r="G2634" s="315"/>
      <c r="H2634" s="153"/>
      <c r="I2634" s="12"/>
      <c r="J2634" s="12"/>
      <c r="K2634" s="12"/>
      <c r="L2634" s="379"/>
      <c r="M2634" s="380"/>
      <c r="N2634" s="380"/>
      <c r="O2634" s="12"/>
      <c r="P2634" s="381"/>
      <c r="Q2634" s="12"/>
      <c r="R2634" s="12"/>
      <c r="S2634" s="382"/>
      <c r="T2634" s="383"/>
      <c r="U2634" s="384"/>
      <c r="V2634" s="12"/>
      <c r="W2634" s="12"/>
    </row>
    <row r="2635" spans="1:23" x14ac:dyDescent="0.3">
      <c r="A2635" s="193" t="str">
        <f ca="1"/>
        <v/>
      </c>
      <c r="B2635" s="378"/>
      <c r="C2635" s="315"/>
      <c r="D2635" s="316"/>
      <c r="E2635" s="315"/>
      <c r="F2635" s="315"/>
      <c r="G2635" s="315"/>
      <c r="H2635" s="153"/>
      <c r="I2635" s="12"/>
      <c r="J2635" s="12"/>
      <c r="K2635" s="12"/>
      <c r="L2635" s="379"/>
      <c r="M2635" s="380"/>
      <c r="N2635" s="380"/>
      <c r="O2635" s="12"/>
      <c r="P2635" s="381"/>
      <c r="Q2635" s="12"/>
      <c r="R2635" s="12"/>
      <c r="S2635" s="382"/>
      <c r="T2635" s="383"/>
      <c r="U2635" s="384"/>
      <c r="V2635" s="12"/>
      <c r="W2635" s="12"/>
    </row>
    <row r="2636" spans="1:23" x14ac:dyDescent="0.3">
      <c r="A2636" s="193" t="str">
        <f ca="1"/>
        <v/>
      </c>
      <c r="B2636" s="378"/>
      <c r="C2636" s="315"/>
      <c r="D2636" s="316"/>
      <c r="E2636" s="315"/>
      <c r="F2636" s="315"/>
      <c r="G2636" s="315"/>
      <c r="H2636" s="153"/>
      <c r="I2636" s="12"/>
      <c r="J2636" s="12"/>
      <c r="K2636" s="12"/>
      <c r="L2636" s="379"/>
      <c r="M2636" s="380"/>
      <c r="N2636" s="380"/>
      <c r="O2636" s="12"/>
      <c r="P2636" s="381"/>
      <c r="Q2636" s="12"/>
      <c r="R2636" s="12"/>
      <c r="S2636" s="382"/>
      <c r="T2636" s="383"/>
      <c r="U2636" s="384"/>
      <c r="V2636" s="12"/>
      <c r="W2636" s="12"/>
    </row>
    <row r="2637" spans="1:23" x14ac:dyDescent="0.3">
      <c r="A2637" s="193" t="str">
        <f ca="1"/>
        <v/>
      </c>
      <c r="B2637" s="378"/>
      <c r="C2637" s="315"/>
      <c r="D2637" s="316"/>
      <c r="E2637" s="315"/>
      <c r="F2637" s="315"/>
      <c r="G2637" s="315"/>
      <c r="H2637" s="153"/>
      <c r="I2637" s="12"/>
      <c r="J2637" s="12"/>
      <c r="K2637" s="12"/>
      <c r="L2637" s="379"/>
      <c r="M2637" s="380"/>
      <c r="N2637" s="380"/>
      <c r="O2637" s="12"/>
      <c r="P2637" s="381"/>
      <c r="Q2637" s="12"/>
      <c r="R2637" s="12"/>
      <c r="S2637" s="382"/>
      <c r="T2637" s="383"/>
      <c r="U2637" s="384"/>
      <c r="V2637" s="12"/>
      <c r="W2637" s="12"/>
    </row>
    <row r="2638" spans="1:23" x14ac:dyDescent="0.3">
      <c r="A2638" s="193" t="str">
        <f ca="1"/>
        <v/>
      </c>
      <c r="B2638" s="378"/>
      <c r="C2638" s="315"/>
      <c r="D2638" s="316"/>
      <c r="E2638" s="315"/>
      <c r="F2638" s="315"/>
      <c r="G2638" s="315"/>
      <c r="H2638" s="153"/>
      <c r="I2638" s="12"/>
      <c r="J2638" s="12"/>
      <c r="K2638" s="12"/>
      <c r="L2638" s="379"/>
      <c r="M2638" s="380"/>
      <c r="N2638" s="380"/>
      <c r="O2638" s="12"/>
      <c r="P2638" s="381"/>
      <c r="Q2638" s="12"/>
      <c r="R2638" s="12"/>
      <c r="S2638" s="382"/>
      <c r="T2638" s="383"/>
      <c r="U2638" s="384"/>
      <c r="V2638" s="12"/>
      <c r="W2638" s="12"/>
    </row>
    <row r="2639" spans="1:23" x14ac:dyDescent="0.3">
      <c r="A2639" s="193" t="str">
        <f ca="1"/>
        <v/>
      </c>
      <c r="B2639" s="378"/>
      <c r="C2639" s="315"/>
      <c r="D2639" s="316"/>
      <c r="E2639" s="315"/>
      <c r="F2639" s="315"/>
      <c r="G2639" s="315"/>
      <c r="H2639" s="153"/>
      <c r="I2639" s="12"/>
      <c r="J2639" s="12"/>
      <c r="K2639" s="12"/>
      <c r="L2639" s="379"/>
      <c r="M2639" s="380"/>
      <c r="N2639" s="380"/>
      <c r="O2639" s="12"/>
      <c r="P2639" s="381"/>
      <c r="Q2639" s="12"/>
      <c r="R2639" s="12"/>
      <c r="S2639" s="382"/>
      <c r="T2639" s="383"/>
      <c r="U2639" s="384"/>
      <c r="V2639" s="12"/>
      <c r="W2639" s="12"/>
    </row>
    <row r="2640" spans="1:23" x14ac:dyDescent="0.3">
      <c r="A2640" s="193" t="str">
        <f ca="1"/>
        <v/>
      </c>
      <c r="B2640" s="378"/>
      <c r="C2640" s="315"/>
      <c r="D2640" s="316"/>
      <c r="E2640" s="315"/>
      <c r="F2640" s="315"/>
      <c r="G2640" s="315"/>
      <c r="H2640" s="153"/>
      <c r="I2640" s="12"/>
      <c r="J2640" s="12"/>
      <c r="K2640" s="12"/>
      <c r="L2640" s="379"/>
      <c r="M2640" s="380"/>
      <c r="N2640" s="380"/>
      <c r="O2640" s="12"/>
      <c r="P2640" s="381"/>
      <c r="Q2640" s="12"/>
      <c r="R2640" s="12"/>
      <c r="S2640" s="382"/>
      <c r="T2640" s="383"/>
      <c r="U2640" s="384"/>
      <c r="V2640" s="12"/>
      <c r="W2640" s="12"/>
    </row>
    <row r="2641" spans="1:23" x14ac:dyDescent="0.3">
      <c r="A2641" s="193" t="str">
        <f ca="1"/>
        <v/>
      </c>
      <c r="B2641" s="378"/>
      <c r="C2641" s="315"/>
      <c r="D2641" s="316"/>
      <c r="E2641" s="315"/>
      <c r="F2641" s="315"/>
      <c r="G2641" s="315"/>
      <c r="H2641" s="153"/>
      <c r="I2641" s="12"/>
      <c r="J2641" s="12"/>
      <c r="K2641" s="12"/>
      <c r="L2641" s="379"/>
      <c r="M2641" s="380"/>
      <c r="N2641" s="380"/>
      <c r="O2641" s="12"/>
      <c r="P2641" s="381"/>
      <c r="Q2641" s="12"/>
      <c r="R2641" s="12"/>
      <c r="S2641" s="382"/>
      <c r="T2641" s="383"/>
      <c r="U2641" s="384"/>
      <c r="V2641" s="12"/>
      <c r="W2641" s="12"/>
    </row>
    <row r="2642" spans="1:23" x14ac:dyDescent="0.3">
      <c r="A2642" s="193" t="str">
        <f ca="1"/>
        <v/>
      </c>
      <c r="B2642" s="378"/>
      <c r="C2642" s="315"/>
      <c r="D2642" s="316"/>
      <c r="E2642" s="315"/>
      <c r="F2642" s="315"/>
      <c r="G2642" s="315"/>
      <c r="H2642" s="153"/>
      <c r="I2642" s="12"/>
      <c r="J2642" s="12"/>
      <c r="K2642" s="12"/>
      <c r="L2642" s="379"/>
      <c r="M2642" s="380"/>
      <c r="N2642" s="380"/>
      <c r="O2642" s="12"/>
      <c r="P2642" s="381"/>
      <c r="Q2642" s="12"/>
      <c r="R2642" s="12"/>
      <c r="S2642" s="382"/>
      <c r="T2642" s="383"/>
      <c r="U2642" s="384"/>
      <c r="V2642" s="12"/>
      <c r="W2642" s="12"/>
    </row>
    <row r="2643" spans="1:23" x14ac:dyDescent="0.3">
      <c r="A2643" s="193" t="str">
        <f ca="1"/>
        <v/>
      </c>
      <c r="B2643" s="378"/>
      <c r="C2643" s="315"/>
      <c r="D2643" s="316"/>
      <c r="E2643" s="315"/>
      <c r="F2643" s="315"/>
      <c r="G2643" s="315"/>
      <c r="H2643" s="153"/>
      <c r="I2643" s="12"/>
      <c r="J2643" s="12"/>
      <c r="K2643" s="12"/>
      <c r="L2643" s="379"/>
      <c r="M2643" s="380"/>
      <c r="N2643" s="380"/>
      <c r="O2643" s="12"/>
      <c r="P2643" s="381"/>
      <c r="Q2643" s="12"/>
      <c r="R2643" s="12"/>
      <c r="S2643" s="382"/>
      <c r="T2643" s="383"/>
      <c r="U2643" s="384"/>
      <c r="V2643" s="12"/>
      <c r="W2643" s="12"/>
    </row>
    <row r="2644" spans="1:23" x14ac:dyDescent="0.3">
      <c r="A2644" s="193" t="str">
        <f ca="1"/>
        <v/>
      </c>
      <c r="B2644" s="378"/>
      <c r="C2644" s="315"/>
      <c r="D2644" s="316"/>
      <c r="E2644" s="315"/>
      <c r="F2644" s="315"/>
      <c r="G2644" s="315"/>
      <c r="H2644" s="153"/>
      <c r="I2644" s="12"/>
      <c r="J2644" s="12"/>
      <c r="K2644" s="12"/>
      <c r="L2644" s="379"/>
      <c r="M2644" s="380"/>
      <c r="N2644" s="380"/>
      <c r="O2644" s="12"/>
      <c r="P2644" s="381"/>
      <c r="Q2644" s="12"/>
      <c r="R2644" s="12"/>
      <c r="S2644" s="382"/>
      <c r="T2644" s="383"/>
      <c r="U2644" s="384"/>
      <c r="V2644" s="12"/>
      <c r="W2644" s="12"/>
    </row>
    <row r="2645" spans="1:23" x14ac:dyDescent="0.3">
      <c r="A2645" s="193" t="str">
        <f ca="1"/>
        <v/>
      </c>
      <c r="B2645" s="378"/>
      <c r="C2645" s="315"/>
      <c r="D2645" s="316"/>
      <c r="E2645" s="315"/>
      <c r="F2645" s="315"/>
      <c r="G2645" s="315"/>
      <c r="H2645" s="153"/>
      <c r="I2645" s="12"/>
      <c r="J2645" s="12"/>
      <c r="K2645" s="12"/>
      <c r="L2645" s="379"/>
      <c r="M2645" s="380"/>
      <c r="N2645" s="380"/>
      <c r="O2645" s="12"/>
      <c r="P2645" s="381"/>
      <c r="Q2645" s="12"/>
      <c r="R2645" s="12"/>
      <c r="S2645" s="382"/>
      <c r="T2645" s="383"/>
      <c r="U2645" s="384"/>
      <c r="V2645" s="12"/>
      <c r="W2645" s="12"/>
    </row>
    <row r="2646" spans="1:23" x14ac:dyDescent="0.3">
      <c r="A2646" s="193" t="str">
        <f ca="1"/>
        <v/>
      </c>
      <c r="B2646" s="378"/>
      <c r="C2646" s="315"/>
      <c r="D2646" s="316"/>
      <c r="E2646" s="315"/>
      <c r="F2646" s="315"/>
      <c r="G2646" s="315"/>
      <c r="H2646" s="153"/>
      <c r="I2646" s="12"/>
      <c r="J2646" s="12"/>
      <c r="K2646" s="12"/>
      <c r="L2646" s="379"/>
      <c r="M2646" s="380"/>
      <c r="N2646" s="380"/>
      <c r="O2646" s="12"/>
      <c r="P2646" s="381"/>
      <c r="Q2646" s="12"/>
      <c r="R2646" s="12"/>
      <c r="S2646" s="382"/>
      <c r="T2646" s="383"/>
      <c r="U2646" s="384"/>
      <c r="V2646" s="12"/>
      <c r="W2646" s="12"/>
    </row>
    <row r="2647" spans="1:23" x14ac:dyDescent="0.3">
      <c r="A2647" s="193" t="str">
        <f ca="1"/>
        <v/>
      </c>
      <c r="B2647" s="378"/>
      <c r="C2647" s="315"/>
      <c r="D2647" s="316"/>
      <c r="E2647" s="315"/>
      <c r="F2647" s="315"/>
      <c r="G2647" s="315"/>
      <c r="H2647" s="153"/>
      <c r="I2647" s="12"/>
      <c r="J2647" s="12"/>
      <c r="K2647" s="12"/>
      <c r="L2647" s="379"/>
      <c r="M2647" s="380"/>
      <c r="N2647" s="380"/>
      <c r="O2647" s="12"/>
      <c r="P2647" s="381"/>
      <c r="Q2647" s="12"/>
      <c r="R2647" s="12"/>
      <c r="S2647" s="382"/>
      <c r="T2647" s="383"/>
      <c r="U2647" s="384"/>
      <c r="V2647" s="12"/>
      <c r="W2647" s="12"/>
    </row>
    <row r="2648" spans="1:23" x14ac:dyDescent="0.3">
      <c r="A2648" s="193" t="str">
        <f ca="1"/>
        <v/>
      </c>
      <c r="B2648" s="378"/>
      <c r="C2648" s="315"/>
      <c r="D2648" s="316"/>
      <c r="E2648" s="315"/>
      <c r="F2648" s="315"/>
      <c r="G2648" s="315"/>
      <c r="H2648" s="153"/>
      <c r="I2648" s="12"/>
      <c r="J2648" s="12"/>
      <c r="K2648" s="12"/>
      <c r="L2648" s="379"/>
      <c r="M2648" s="380"/>
      <c r="N2648" s="380"/>
      <c r="O2648" s="12"/>
      <c r="P2648" s="381"/>
      <c r="Q2648" s="12"/>
      <c r="R2648" s="12"/>
      <c r="S2648" s="382"/>
      <c r="T2648" s="383"/>
      <c r="U2648" s="384"/>
      <c r="V2648" s="12"/>
      <c r="W2648" s="12"/>
    </row>
    <row r="2649" spans="1:23" x14ac:dyDescent="0.3">
      <c r="A2649" s="193" t="str">
        <f ca="1"/>
        <v/>
      </c>
      <c r="B2649" s="378"/>
      <c r="C2649" s="315"/>
      <c r="D2649" s="316"/>
      <c r="E2649" s="315"/>
      <c r="F2649" s="315"/>
      <c r="G2649" s="315"/>
      <c r="H2649" s="153"/>
      <c r="I2649" s="12"/>
      <c r="J2649" s="12"/>
      <c r="K2649" s="12"/>
      <c r="L2649" s="379"/>
      <c r="M2649" s="380"/>
      <c r="N2649" s="380"/>
      <c r="O2649" s="12"/>
      <c r="P2649" s="381"/>
      <c r="Q2649" s="12"/>
      <c r="R2649" s="12"/>
      <c r="S2649" s="382"/>
      <c r="T2649" s="383"/>
      <c r="U2649" s="384"/>
      <c r="V2649" s="12"/>
      <c r="W2649" s="12"/>
    </row>
    <row r="2650" spans="1:23" x14ac:dyDescent="0.3">
      <c r="A2650" s="193" t="str">
        <f ca="1"/>
        <v/>
      </c>
      <c r="B2650" s="378"/>
      <c r="C2650" s="315"/>
      <c r="D2650" s="316"/>
      <c r="E2650" s="315"/>
      <c r="F2650" s="315"/>
      <c r="G2650" s="315"/>
      <c r="H2650" s="153"/>
      <c r="I2650" s="12"/>
      <c r="J2650" s="12"/>
      <c r="K2650" s="12"/>
      <c r="L2650" s="379"/>
      <c r="M2650" s="380"/>
      <c r="N2650" s="380"/>
      <c r="O2650" s="12"/>
      <c r="P2650" s="381"/>
      <c r="Q2650" s="12"/>
      <c r="R2650" s="12"/>
      <c r="S2650" s="382"/>
      <c r="T2650" s="383"/>
      <c r="U2650" s="384"/>
      <c r="V2650" s="12"/>
      <c r="W2650" s="12"/>
    </row>
    <row r="2651" spans="1:23" x14ac:dyDescent="0.3">
      <c r="A2651" s="193" t="str">
        <f ca="1"/>
        <v/>
      </c>
      <c r="B2651" s="378"/>
      <c r="C2651" s="315"/>
      <c r="D2651" s="316"/>
      <c r="E2651" s="315"/>
      <c r="F2651" s="315"/>
      <c r="G2651" s="315"/>
      <c r="H2651" s="153"/>
      <c r="I2651" s="12"/>
      <c r="J2651" s="12"/>
      <c r="K2651" s="12"/>
      <c r="L2651" s="379"/>
      <c r="M2651" s="380"/>
      <c r="N2651" s="380"/>
      <c r="O2651" s="12"/>
      <c r="P2651" s="381"/>
      <c r="Q2651" s="12"/>
      <c r="R2651" s="12"/>
      <c r="S2651" s="382"/>
      <c r="T2651" s="383"/>
      <c r="U2651" s="384"/>
      <c r="V2651" s="12"/>
      <c r="W2651" s="12"/>
    </row>
    <row r="2652" spans="1:23" x14ac:dyDescent="0.3">
      <c r="A2652" s="193" t="str">
        <f ca="1"/>
        <v/>
      </c>
      <c r="B2652" s="378"/>
      <c r="C2652" s="315"/>
      <c r="D2652" s="316"/>
      <c r="E2652" s="315"/>
      <c r="F2652" s="315"/>
      <c r="G2652" s="315"/>
      <c r="H2652" s="153"/>
      <c r="I2652" s="12"/>
      <c r="J2652" s="12"/>
      <c r="K2652" s="12"/>
      <c r="L2652" s="379"/>
      <c r="M2652" s="380"/>
      <c r="N2652" s="380"/>
      <c r="O2652" s="12"/>
      <c r="P2652" s="381"/>
      <c r="Q2652" s="12"/>
      <c r="R2652" s="12"/>
      <c r="S2652" s="382"/>
      <c r="T2652" s="383"/>
      <c r="U2652" s="384"/>
      <c r="V2652" s="12"/>
      <c r="W2652" s="12"/>
    </row>
    <row r="2653" spans="1:23" x14ac:dyDescent="0.3">
      <c r="A2653" s="193" t="str">
        <f ca="1"/>
        <v/>
      </c>
      <c r="B2653" s="378"/>
      <c r="C2653" s="315"/>
      <c r="D2653" s="316"/>
      <c r="E2653" s="315"/>
      <c r="F2653" s="315"/>
      <c r="G2653" s="315"/>
      <c r="H2653" s="153"/>
      <c r="I2653" s="12"/>
      <c r="J2653" s="12"/>
      <c r="K2653" s="12"/>
      <c r="L2653" s="379"/>
      <c r="M2653" s="380"/>
      <c r="N2653" s="380"/>
      <c r="O2653" s="12"/>
      <c r="P2653" s="381"/>
      <c r="Q2653" s="12"/>
      <c r="R2653" s="12"/>
      <c r="S2653" s="382"/>
      <c r="T2653" s="383"/>
      <c r="U2653" s="384"/>
      <c r="V2653" s="12"/>
      <c r="W2653" s="12"/>
    </row>
    <row r="2654" spans="1:23" x14ac:dyDescent="0.3">
      <c r="A2654" s="193" t="str">
        <f ca="1"/>
        <v/>
      </c>
      <c r="B2654" s="378"/>
      <c r="C2654" s="315"/>
      <c r="D2654" s="316"/>
      <c r="E2654" s="315"/>
      <c r="F2654" s="315"/>
      <c r="G2654" s="315"/>
      <c r="H2654" s="153"/>
      <c r="I2654" s="12"/>
      <c r="J2654" s="12"/>
      <c r="K2654" s="12"/>
      <c r="L2654" s="379"/>
      <c r="M2654" s="380"/>
      <c r="N2654" s="380"/>
      <c r="O2654" s="12"/>
      <c r="P2654" s="381"/>
      <c r="Q2654" s="12"/>
      <c r="R2654" s="12"/>
      <c r="S2654" s="382"/>
      <c r="T2654" s="383"/>
      <c r="U2654" s="384"/>
      <c r="V2654" s="12"/>
      <c r="W2654" s="12"/>
    </row>
    <row r="2655" spans="1:23" x14ac:dyDescent="0.3">
      <c r="A2655" s="193" t="str">
        <f ca="1"/>
        <v/>
      </c>
      <c r="B2655" s="378"/>
      <c r="C2655" s="315"/>
      <c r="D2655" s="316"/>
      <c r="E2655" s="315"/>
      <c r="F2655" s="315"/>
      <c r="G2655" s="315"/>
      <c r="H2655" s="153"/>
      <c r="I2655" s="12"/>
      <c r="J2655" s="12"/>
      <c r="K2655" s="12"/>
      <c r="L2655" s="379"/>
      <c r="M2655" s="380"/>
      <c r="N2655" s="380"/>
      <c r="O2655" s="12"/>
      <c r="P2655" s="381"/>
      <c r="Q2655" s="12"/>
      <c r="R2655" s="12"/>
      <c r="S2655" s="382"/>
      <c r="T2655" s="383"/>
      <c r="U2655" s="384"/>
      <c r="V2655" s="12"/>
      <c r="W2655" s="12"/>
    </row>
    <row r="2656" spans="1:23" x14ac:dyDescent="0.3">
      <c r="A2656" s="193" t="str">
        <f ca="1"/>
        <v/>
      </c>
      <c r="B2656" s="378"/>
      <c r="C2656" s="315"/>
      <c r="D2656" s="316"/>
      <c r="E2656" s="315"/>
      <c r="F2656" s="315"/>
      <c r="G2656" s="315"/>
      <c r="H2656" s="153"/>
      <c r="I2656" s="12"/>
      <c r="J2656" s="12"/>
      <c r="K2656" s="12"/>
      <c r="L2656" s="379"/>
      <c r="M2656" s="380"/>
      <c r="N2656" s="380"/>
      <c r="O2656" s="12"/>
      <c r="P2656" s="381"/>
      <c r="Q2656" s="12"/>
      <c r="R2656" s="12"/>
      <c r="S2656" s="382"/>
      <c r="T2656" s="383"/>
      <c r="U2656" s="384"/>
      <c r="V2656" s="12"/>
      <c r="W2656" s="12"/>
    </row>
    <row r="2657" spans="1:23" x14ac:dyDescent="0.3">
      <c r="A2657" s="193" t="str">
        <f ca="1"/>
        <v/>
      </c>
      <c r="B2657" s="378"/>
      <c r="C2657" s="315"/>
      <c r="D2657" s="316"/>
      <c r="E2657" s="315"/>
      <c r="F2657" s="315"/>
      <c r="G2657" s="315"/>
      <c r="H2657" s="153"/>
      <c r="I2657" s="12"/>
      <c r="J2657" s="12"/>
      <c r="K2657" s="12"/>
      <c r="L2657" s="379"/>
      <c r="M2657" s="380"/>
      <c r="N2657" s="380"/>
      <c r="O2657" s="12"/>
      <c r="P2657" s="381"/>
      <c r="Q2657" s="12"/>
      <c r="R2657" s="12"/>
      <c r="S2657" s="382"/>
      <c r="T2657" s="383"/>
      <c r="U2657" s="384"/>
      <c r="V2657" s="12"/>
      <c r="W2657" s="12"/>
    </row>
    <row r="2658" spans="1:23" x14ac:dyDescent="0.3">
      <c r="A2658" s="193" t="str">
        <f ca="1"/>
        <v/>
      </c>
      <c r="B2658" s="378"/>
      <c r="C2658" s="315"/>
      <c r="D2658" s="316"/>
      <c r="E2658" s="315"/>
      <c r="F2658" s="315"/>
      <c r="G2658" s="315"/>
      <c r="H2658" s="153"/>
      <c r="I2658" s="12"/>
      <c r="J2658" s="12"/>
      <c r="K2658" s="12"/>
      <c r="L2658" s="379"/>
      <c r="M2658" s="380"/>
      <c r="N2658" s="380"/>
      <c r="O2658" s="12"/>
      <c r="P2658" s="381"/>
      <c r="Q2658" s="12"/>
      <c r="R2658" s="12"/>
      <c r="S2658" s="382"/>
      <c r="T2658" s="383"/>
      <c r="U2658" s="384"/>
      <c r="V2658" s="12"/>
      <c r="W2658" s="12"/>
    </row>
    <row r="2659" spans="1:23" x14ac:dyDescent="0.3">
      <c r="A2659" s="193" t="str">
        <f ca="1"/>
        <v/>
      </c>
      <c r="B2659" s="378"/>
      <c r="C2659" s="315"/>
      <c r="D2659" s="316"/>
      <c r="E2659" s="315"/>
      <c r="F2659" s="315"/>
      <c r="G2659" s="315"/>
      <c r="H2659" s="153"/>
      <c r="I2659" s="12"/>
      <c r="J2659" s="12"/>
      <c r="K2659" s="12"/>
      <c r="L2659" s="379"/>
      <c r="M2659" s="380"/>
      <c r="N2659" s="380"/>
      <c r="O2659" s="12"/>
      <c r="P2659" s="381"/>
      <c r="Q2659" s="12"/>
      <c r="R2659" s="12"/>
      <c r="S2659" s="382"/>
      <c r="T2659" s="383"/>
      <c r="U2659" s="384"/>
      <c r="V2659" s="12"/>
      <c r="W2659" s="12"/>
    </row>
    <row r="2660" spans="1:23" x14ac:dyDescent="0.3">
      <c r="A2660" s="193" t="str">
        <f ca="1"/>
        <v/>
      </c>
      <c r="B2660" s="378"/>
      <c r="C2660" s="315"/>
      <c r="D2660" s="316"/>
      <c r="E2660" s="315"/>
      <c r="F2660" s="315"/>
      <c r="G2660" s="315"/>
      <c r="H2660" s="153"/>
      <c r="I2660" s="12"/>
      <c r="J2660" s="12"/>
      <c r="K2660" s="12"/>
      <c r="L2660" s="379"/>
      <c r="M2660" s="380"/>
      <c r="N2660" s="380"/>
      <c r="O2660" s="12"/>
      <c r="P2660" s="381"/>
      <c r="Q2660" s="12"/>
      <c r="R2660" s="12"/>
      <c r="S2660" s="382"/>
      <c r="T2660" s="383"/>
      <c r="U2660" s="384"/>
      <c r="V2660" s="12"/>
      <c r="W2660" s="12"/>
    </row>
    <row r="2661" spans="1:23" x14ac:dyDescent="0.3">
      <c r="A2661" s="193" t="str">
        <f ca="1"/>
        <v/>
      </c>
      <c r="B2661" s="378"/>
      <c r="C2661" s="315"/>
      <c r="D2661" s="316"/>
      <c r="E2661" s="315"/>
      <c r="F2661" s="315"/>
      <c r="G2661" s="315"/>
      <c r="H2661" s="153"/>
      <c r="I2661" s="12"/>
      <c r="J2661" s="12"/>
      <c r="K2661" s="12"/>
      <c r="L2661" s="379"/>
      <c r="M2661" s="380"/>
      <c r="N2661" s="380"/>
      <c r="O2661" s="12"/>
      <c r="P2661" s="381"/>
      <c r="Q2661" s="12"/>
      <c r="R2661" s="12"/>
      <c r="S2661" s="382"/>
      <c r="T2661" s="383"/>
      <c r="U2661" s="384"/>
      <c r="V2661" s="12"/>
      <c r="W2661" s="12"/>
    </row>
    <row r="2662" spans="1:23" x14ac:dyDescent="0.3">
      <c r="A2662" s="193" t="str">
        <f ca="1"/>
        <v/>
      </c>
      <c r="B2662" s="378"/>
      <c r="C2662" s="315"/>
      <c r="D2662" s="316"/>
      <c r="E2662" s="315"/>
      <c r="F2662" s="315"/>
      <c r="G2662" s="315"/>
      <c r="H2662" s="153"/>
      <c r="I2662" s="12"/>
      <c r="J2662" s="12"/>
      <c r="K2662" s="12"/>
      <c r="L2662" s="379"/>
      <c r="M2662" s="380"/>
      <c r="N2662" s="380"/>
      <c r="O2662" s="12"/>
      <c r="P2662" s="381"/>
      <c r="Q2662" s="12"/>
      <c r="R2662" s="12"/>
      <c r="S2662" s="382"/>
      <c r="T2662" s="383"/>
      <c r="U2662" s="384"/>
      <c r="V2662" s="12"/>
      <c r="W2662" s="12"/>
    </row>
    <row r="2663" spans="1:23" x14ac:dyDescent="0.3">
      <c r="A2663" s="193" t="str">
        <f ca="1"/>
        <v/>
      </c>
      <c r="B2663" s="378"/>
      <c r="C2663" s="315"/>
      <c r="D2663" s="316"/>
      <c r="E2663" s="315"/>
      <c r="F2663" s="315"/>
      <c r="G2663" s="315"/>
      <c r="H2663" s="153"/>
      <c r="I2663" s="12"/>
      <c r="J2663" s="12"/>
      <c r="K2663" s="12"/>
      <c r="L2663" s="379"/>
      <c r="M2663" s="380"/>
      <c r="N2663" s="380"/>
      <c r="O2663" s="12"/>
      <c r="P2663" s="381"/>
      <c r="Q2663" s="12"/>
      <c r="R2663" s="12"/>
      <c r="S2663" s="382"/>
      <c r="T2663" s="383"/>
      <c r="U2663" s="384"/>
      <c r="V2663" s="12"/>
      <c r="W2663" s="12"/>
    </row>
    <row r="2664" spans="1:23" x14ac:dyDescent="0.3">
      <c r="A2664" s="193" t="str">
        <f ca="1"/>
        <v/>
      </c>
      <c r="B2664" s="378"/>
      <c r="C2664" s="315"/>
      <c r="D2664" s="316"/>
      <c r="E2664" s="315"/>
      <c r="F2664" s="315"/>
      <c r="G2664" s="315"/>
      <c r="H2664" s="153"/>
      <c r="I2664" s="12"/>
      <c r="J2664" s="12"/>
      <c r="K2664" s="12"/>
      <c r="L2664" s="379"/>
      <c r="M2664" s="380"/>
      <c r="N2664" s="380"/>
      <c r="O2664" s="12"/>
      <c r="P2664" s="381"/>
      <c r="Q2664" s="12"/>
      <c r="R2664" s="12"/>
      <c r="S2664" s="382"/>
      <c r="T2664" s="383"/>
      <c r="U2664" s="384"/>
      <c r="V2664" s="12"/>
      <c r="W2664" s="12"/>
    </row>
    <row r="2665" spans="1:23" x14ac:dyDescent="0.3">
      <c r="A2665" s="193" t="str">
        <f ca="1"/>
        <v/>
      </c>
      <c r="B2665" s="378"/>
      <c r="C2665" s="315"/>
      <c r="D2665" s="316"/>
      <c r="E2665" s="315"/>
      <c r="F2665" s="315"/>
      <c r="G2665" s="315"/>
      <c r="H2665" s="153"/>
      <c r="I2665" s="12"/>
      <c r="J2665" s="12"/>
      <c r="K2665" s="12"/>
      <c r="L2665" s="379"/>
      <c r="M2665" s="380"/>
      <c r="N2665" s="380"/>
      <c r="O2665" s="12"/>
      <c r="P2665" s="381"/>
      <c r="Q2665" s="12"/>
      <c r="R2665" s="12"/>
      <c r="S2665" s="382"/>
      <c r="T2665" s="383"/>
      <c r="U2665" s="384"/>
      <c r="V2665" s="12"/>
      <c r="W2665" s="12"/>
    </row>
    <row r="2666" spans="1:23" x14ac:dyDescent="0.3">
      <c r="A2666" s="193" t="str">
        <f ca="1"/>
        <v/>
      </c>
      <c r="B2666" s="378"/>
      <c r="C2666" s="315"/>
      <c r="D2666" s="316"/>
      <c r="E2666" s="315"/>
      <c r="F2666" s="315"/>
      <c r="G2666" s="315"/>
      <c r="H2666" s="153"/>
      <c r="I2666" s="12"/>
      <c r="J2666" s="12"/>
      <c r="K2666" s="12"/>
      <c r="L2666" s="379"/>
      <c r="M2666" s="380"/>
      <c r="N2666" s="380"/>
      <c r="O2666" s="12"/>
      <c r="P2666" s="381"/>
      <c r="Q2666" s="12"/>
      <c r="R2666" s="12"/>
      <c r="S2666" s="382"/>
      <c r="T2666" s="383"/>
      <c r="U2666" s="384"/>
      <c r="V2666" s="12"/>
      <c r="W2666" s="12"/>
    </row>
    <row r="2667" spans="1:23" x14ac:dyDescent="0.3">
      <c r="A2667" s="193" t="str">
        <f ca="1"/>
        <v/>
      </c>
      <c r="B2667" s="378"/>
      <c r="C2667" s="315"/>
      <c r="D2667" s="316"/>
      <c r="E2667" s="315"/>
      <c r="F2667" s="315"/>
      <c r="G2667" s="315"/>
      <c r="H2667" s="153"/>
      <c r="I2667" s="12"/>
      <c r="J2667" s="12"/>
      <c r="K2667" s="12"/>
      <c r="L2667" s="379"/>
      <c r="M2667" s="380"/>
      <c r="N2667" s="380"/>
      <c r="O2667" s="12"/>
      <c r="P2667" s="381"/>
      <c r="Q2667" s="12"/>
      <c r="R2667" s="12"/>
      <c r="S2667" s="382"/>
      <c r="T2667" s="383"/>
      <c r="U2667" s="384"/>
      <c r="V2667" s="12"/>
      <c r="W2667" s="12"/>
    </row>
    <row r="2668" spans="1:23" x14ac:dyDescent="0.3">
      <c r="A2668" s="193" t="str">
        <f ca="1"/>
        <v/>
      </c>
      <c r="B2668" s="378"/>
      <c r="C2668" s="315"/>
      <c r="D2668" s="316"/>
      <c r="E2668" s="315"/>
      <c r="F2668" s="315"/>
      <c r="G2668" s="315"/>
      <c r="H2668" s="153"/>
      <c r="I2668" s="12"/>
      <c r="J2668" s="12"/>
      <c r="K2668" s="12"/>
      <c r="L2668" s="379"/>
      <c r="M2668" s="380"/>
      <c r="N2668" s="380"/>
      <c r="O2668" s="12"/>
      <c r="P2668" s="381"/>
      <c r="Q2668" s="12"/>
      <c r="R2668" s="12"/>
      <c r="S2668" s="382"/>
      <c r="T2668" s="383"/>
      <c r="U2668" s="384"/>
      <c r="V2668" s="12"/>
      <c r="W2668" s="12"/>
    </row>
    <row r="2669" spans="1:23" x14ac:dyDescent="0.3">
      <c r="A2669" s="193" t="str">
        <f ca="1"/>
        <v/>
      </c>
      <c r="B2669" s="378"/>
      <c r="C2669" s="315"/>
      <c r="D2669" s="316"/>
      <c r="E2669" s="315"/>
      <c r="F2669" s="315"/>
      <c r="G2669" s="315"/>
      <c r="H2669" s="153"/>
      <c r="I2669" s="12"/>
      <c r="J2669" s="12"/>
      <c r="K2669" s="12"/>
      <c r="L2669" s="379"/>
      <c r="M2669" s="380"/>
      <c r="N2669" s="380"/>
      <c r="O2669" s="12"/>
      <c r="P2669" s="381"/>
      <c r="Q2669" s="12"/>
      <c r="R2669" s="12"/>
      <c r="S2669" s="382"/>
      <c r="T2669" s="383"/>
      <c r="U2669" s="384"/>
      <c r="V2669" s="12"/>
      <c r="W2669" s="12"/>
    </row>
    <row r="2670" spans="1:23" x14ac:dyDescent="0.3">
      <c r="A2670" s="193" t="str">
        <f ca="1"/>
        <v/>
      </c>
      <c r="B2670" s="378"/>
      <c r="C2670" s="315"/>
      <c r="D2670" s="316"/>
      <c r="E2670" s="315"/>
      <c r="F2670" s="315"/>
      <c r="G2670" s="315"/>
      <c r="H2670" s="153"/>
      <c r="I2670" s="12"/>
      <c r="J2670" s="12"/>
      <c r="K2670" s="12"/>
      <c r="L2670" s="379"/>
      <c r="M2670" s="380"/>
      <c r="N2670" s="380"/>
      <c r="O2670" s="12"/>
      <c r="P2670" s="381"/>
      <c r="Q2670" s="12"/>
      <c r="R2670" s="12"/>
      <c r="S2670" s="382"/>
      <c r="T2670" s="383"/>
      <c r="U2670" s="384"/>
      <c r="V2670" s="12"/>
      <c r="W2670" s="12"/>
    </row>
    <row r="2671" spans="1:23" x14ac:dyDescent="0.3">
      <c r="A2671" s="193" t="str">
        <f ca="1"/>
        <v/>
      </c>
      <c r="B2671" s="378"/>
      <c r="C2671" s="315"/>
      <c r="D2671" s="316"/>
      <c r="E2671" s="315"/>
      <c r="F2671" s="315"/>
      <c r="G2671" s="315"/>
      <c r="H2671" s="153"/>
      <c r="I2671" s="12"/>
      <c r="J2671" s="12"/>
      <c r="K2671" s="12"/>
      <c r="L2671" s="379"/>
      <c r="M2671" s="380"/>
      <c r="N2671" s="380"/>
      <c r="O2671" s="12"/>
      <c r="P2671" s="381"/>
      <c r="Q2671" s="12"/>
      <c r="R2671" s="12"/>
      <c r="S2671" s="382"/>
      <c r="T2671" s="383"/>
      <c r="U2671" s="384"/>
      <c r="V2671" s="12"/>
      <c r="W2671" s="12"/>
    </row>
    <row r="2672" spans="1:23" x14ac:dyDescent="0.3">
      <c r="A2672" s="193" t="str">
        <f ca="1"/>
        <v/>
      </c>
      <c r="B2672" s="378"/>
      <c r="C2672" s="315"/>
      <c r="D2672" s="316"/>
      <c r="E2672" s="315"/>
      <c r="F2672" s="315"/>
      <c r="G2672" s="315"/>
      <c r="H2672" s="153"/>
      <c r="I2672" s="12"/>
      <c r="J2672" s="12"/>
      <c r="K2672" s="12"/>
      <c r="L2672" s="379"/>
      <c r="M2672" s="380"/>
      <c r="N2672" s="380"/>
      <c r="O2672" s="12"/>
      <c r="P2672" s="381"/>
      <c r="Q2672" s="12"/>
      <c r="R2672" s="12"/>
      <c r="S2672" s="382"/>
      <c r="T2672" s="383"/>
      <c r="U2672" s="384"/>
      <c r="V2672" s="12"/>
      <c r="W2672" s="12"/>
    </row>
    <row r="2673" spans="1:23" x14ac:dyDescent="0.3">
      <c r="A2673" s="193" t="str">
        <f ca="1"/>
        <v/>
      </c>
      <c r="B2673" s="378"/>
      <c r="C2673" s="315"/>
      <c r="D2673" s="316"/>
      <c r="E2673" s="315"/>
      <c r="F2673" s="315"/>
      <c r="G2673" s="315"/>
      <c r="H2673" s="153"/>
      <c r="I2673" s="12"/>
      <c r="J2673" s="12"/>
      <c r="K2673" s="12"/>
      <c r="L2673" s="379"/>
      <c r="M2673" s="380"/>
      <c r="N2673" s="380"/>
      <c r="O2673" s="12"/>
      <c r="P2673" s="381"/>
      <c r="Q2673" s="12"/>
      <c r="R2673" s="12"/>
      <c r="S2673" s="382"/>
      <c r="T2673" s="383"/>
      <c r="U2673" s="384"/>
      <c r="V2673" s="12"/>
      <c r="W2673" s="12"/>
    </row>
    <row r="2674" spans="1:23" x14ac:dyDescent="0.3">
      <c r="A2674" s="193" t="str">
        <f ca="1"/>
        <v/>
      </c>
      <c r="B2674" s="378"/>
      <c r="C2674" s="315"/>
      <c r="D2674" s="316"/>
      <c r="E2674" s="315"/>
      <c r="F2674" s="315"/>
      <c r="G2674" s="315"/>
      <c r="H2674" s="153"/>
      <c r="I2674" s="12"/>
      <c r="J2674" s="12"/>
      <c r="K2674" s="12"/>
      <c r="L2674" s="379"/>
      <c r="M2674" s="380"/>
      <c r="N2674" s="380"/>
      <c r="O2674" s="12"/>
      <c r="P2674" s="381"/>
      <c r="Q2674" s="12"/>
      <c r="R2674" s="12"/>
      <c r="S2674" s="382"/>
      <c r="T2674" s="383"/>
      <c r="U2674" s="384"/>
      <c r="V2674" s="12"/>
      <c r="W2674" s="12"/>
    </row>
    <row r="2675" spans="1:23" x14ac:dyDescent="0.3">
      <c r="A2675" s="193" t="str">
        <f ca="1"/>
        <v/>
      </c>
      <c r="B2675" s="378"/>
      <c r="C2675" s="315"/>
      <c r="D2675" s="316"/>
      <c r="E2675" s="315"/>
      <c r="F2675" s="315"/>
      <c r="G2675" s="315"/>
      <c r="H2675" s="153"/>
      <c r="I2675" s="12"/>
      <c r="J2675" s="12"/>
      <c r="K2675" s="12"/>
      <c r="L2675" s="379"/>
      <c r="M2675" s="380"/>
      <c r="N2675" s="380"/>
      <c r="O2675" s="12"/>
      <c r="P2675" s="381"/>
      <c r="Q2675" s="12"/>
      <c r="R2675" s="12"/>
      <c r="S2675" s="382"/>
      <c r="T2675" s="383"/>
      <c r="U2675" s="384"/>
      <c r="V2675" s="12"/>
      <c r="W2675" s="12"/>
    </row>
    <row r="2676" spans="1:23" x14ac:dyDescent="0.3">
      <c r="A2676" s="193" t="str">
        <f ca="1"/>
        <v/>
      </c>
      <c r="B2676" s="378"/>
      <c r="C2676" s="315"/>
      <c r="D2676" s="316"/>
      <c r="E2676" s="315"/>
      <c r="F2676" s="315"/>
      <c r="G2676" s="315"/>
      <c r="H2676" s="153"/>
      <c r="I2676" s="12"/>
      <c r="J2676" s="12"/>
      <c r="K2676" s="12"/>
      <c r="L2676" s="379"/>
      <c r="M2676" s="380"/>
      <c r="N2676" s="380"/>
      <c r="O2676" s="12"/>
      <c r="P2676" s="381"/>
      <c r="Q2676" s="12"/>
      <c r="R2676" s="12"/>
      <c r="S2676" s="382"/>
      <c r="T2676" s="383"/>
      <c r="U2676" s="384"/>
      <c r="V2676" s="12"/>
      <c r="W2676" s="12"/>
    </row>
    <row r="2677" spans="1:23" x14ac:dyDescent="0.3">
      <c r="A2677" s="193" t="str">
        <f ca="1"/>
        <v/>
      </c>
      <c r="B2677" s="378"/>
      <c r="C2677" s="315"/>
      <c r="D2677" s="316"/>
      <c r="E2677" s="315"/>
      <c r="F2677" s="315"/>
      <c r="G2677" s="315"/>
      <c r="H2677" s="153"/>
      <c r="I2677" s="12"/>
      <c r="J2677" s="12"/>
      <c r="K2677" s="12"/>
      <c r="L2677" s="379"/>
      <c r="M2677" s="380"/>
      <c r="N2677" s="380"/>
      <c r="O2677" s="12"/>
      <c r="P2677" s="381"/>
      <c r="Q2677" s="12"/>
      <c r="R2677" s="12"/>
      <c r="S2677" s="382"/>
      <c r="T2677" s="383"/>
      <c r="U2677" s="384"/>
      <c r="V2677" s="12"/>
      <c r="W2677" s="12"/>
    </row>
    <row r="2678" spans="1:23" x14ac:dyDescent="0.3">
      <c r="A2678" s="193" t="str">
        <f ca="1"/>
        <v/>
      </c>
      <c r="B2678" s="378"/>
      <c r="C2678" s="315"/>
      <c r="D2678" s="316"/>
      <c r="E2678" s="315"/>
      <c r="F2678" s="315"/>
      <c r="G2678" s="315"/>
      <c r="H2678" s="153"/>
      <c r="I2678" s="12"/>
      <c r="J2678" s="12"/>
      <c r="K2678" s="12"/>
      <c r="L2678" s="379"/>
      <c r="M2678" s="380"/>
      <c r="N2678" s="380"/>
      <c r="O2678" s="12"/>
      <c r="P2678" s="381"/>
      <c r="Q2678" s="12"/>
      <c r="R2678" s="12"/>
      <c r="S2678" s="382"/>
      <c r="T2678" s="383"/>
      <c r="U2678" s="384"/>
      <c r="V2678" s="12"/>
      <c r="W2678" s="12"/>
    </row>
    <row r="2679" spans="1:23" x14ac:dyDescent="0.3">
      <c r="A2679" s="193" t="str">
        <f ca="1"/>
        <v/>
      </c>
      <c r="B2679" s="378"/>
      <c r="C2679" s="315"/>
      <c r="D2679" s="316"/>
      <c r="E2679" s="315"/>
      <c r="F2679" s="315"/>
      <c r="G2679" s="315"/>
      <c r="H2679" s="153"/>
      <c r="I2679" s="12"/>
      <c r="J2679" s="12"/>
      <c r="K2679" s="12"/>
      <c r="L2679" s="379"/>
      <c r="M2679" s="380"/>
      <c r="N2679" s="380"/>
      <c r="O2679" s="12"/>
      <c r="P2679" s="381"/>
      <c r="Q2679" s="12"/>
      <c r="R2679" s="12"/>
      <c r="S2679" s="382"/>
      <c r="T2679" s="383"/>
      <c r="U2679" s="384"/>
      <c r="V2679" s="12"/>
      <c r="W2679" s="12"/>
    </row>
    <row r="2680" spans="1:23" x14ac:dyDescent="0.3">
      <c r="A2680" s="193" t="str">
        <f ca="1"/>
        <v/>
      </c>
      <c r="B2680" s="378"/>
      <c r="C2680" s="315"/>
      <c r="D2680" s="316"/>
      <c r="E2680" s="315"/>
      <c r="F2680" s="315"/>
      <c r="G2680" s="315"/>
      <c r="H2680" s="153"/>
      <c r="I2680" s="12"/>
      <c r="J2680" s="12"/>
      <c r="K2680" s="12"/>
      <c r="L2680" s="379"/>
      <c r="M2680" s="380"/>
      <c r="N2680" s="380"/>
      <c r="O2680" s="12"/>
      <c r="P2680" s="381"/>
      <c r="Q2680" s="12"/>
      <c r="R2680" s="12"/>
      <c r="S2680" s="382"/>
      <c r="T2680" s="383"/>
      <c r="U2680" s="384"/>
      <c r="V2680" s="12"/>
      <c r="W2680" s="12"/>
    </row>
    <row r="2681" spans="1:23" x14ac:dyDescent="0.3">
      <c r="A2681" s="193" t="str">
        <f ca="1"/>
        <v/>
      </c>
      <c r="B2681" s="378"/>
      <c r="C2681" s="315"/>
      <c r="D2681" s="316"/>
      <c r="E2681" s="315"/>
      <c r="F2681" s="315"/>
      <c r="G2681" s="315"/>
      <c r="H2681" s="153"/>
      <c r="I2681" s="12"/>
      <c r="J2681" s="12"/>
      <c r="K2681" s="12"/>
      <c r="L2681" s="379"/>
      <c r="M2681" s="380"/>
      <c r="N2681" s="380"/>
      <c r="O2681" s="12"/>
      <c r="P2681" s="381"/>
      <c r="Q2681" s="12"/>
      <c r="R2681" s="12"/>
      <c r="S2681" s="382"/>
      <c r="T2681" s="383"/>
      <c r="U2681" s="384"/>
      <c r="V2681" s="12"/>
      <c r="W2681" s="12"/>
    </row>
    <row r="2682" spans="1:23" x14ac:dyDescent="0.3">
      <c r="A2682" s="193" t="str">
        <f ca="1"/>
        <v/>
      </c>
      <c r="B2682" s="378"/>
      <c r="C2682" s="315"/>
      <c r="D2682" s="316"/>
      <c r="E2682" s="315"/>
      <c r="F2682" s="315"/>
      <c r="G2682" s="315"/>
      <c r="H2682" s="153"/>
      <c r="I2682" s="12"/>
      <c r="J2682" s="12"/>
      <c r="K2682" s="12"/>
      <c r="L2682" s="379"/>
      <c r="M2682" s="380"/>
      <c r="N2682" s="380"/>
      <c r="O2682" s="12"/>
      <c r="P2682" s="381"/>
      <c r="Q2682" s="12"/>
      <c r="R2682" s="12"/>
      <c r="S2682" s="382"/>
      <c r="T2682" s="383"/>
      <c r="U2682" s="384"/>
      <c r="V2682" s="12"/>
      <c r="W2682" s="12"/>
    </row>
    <row r="2683" spans="1:23" x14ac:dyDescent="0.3">
      <c r="A2683" s="193" t="str">
        <f ca="1"/>
        <v/>
      </c>
      <c r="B2683" s="378"/>
      <c r="C2683" s="315"/>
      <c r="D2683" s="316"/>
      <c r="E2683" s="315"/>
      <c r="F2683" s="315"/>
      <c r="G2683" s="315"/>
      <c r="H2683" s="153"/>
      <c r="I2683" s="12"/>
      <c r="J2683" s="12"/>
      <c r="K2683" s="12"/>
      <c r="L2683" s="379"/>
      <c r="M2683" s="380"/>
      <c r="N2683" s="380"/>
      <c r="O2683" s="12"/>
      <c r="P2683" s="381"/>
      <c r="Q2683" s="12"/>
      <c r="R2683" s="12"/>
      <c r="S2683" s="382"/>
      <c r="T2683" s="383"/>
      <c r="U2683" s="384"/>
      <c r="V2683" s="12"/>
      <c r="W2683" s="12"/>
    </row>
    <row r="2684" spans="1:23" x14ac:dyDescent="0.3">
      <c r="A2684" s="193" t="str">
        <f ca="1"/>
        <v/>
      </c>
      <c r="B2684" s="378"/>
      <c r="C2684" s="315"/>
      <c r="D2684" s="316"/>
      <c r="E2684" s="315"/>
      <c r="F2684" s="315"/>
      <c r="G2684" s="315"/>
      <c r="H2684" s="153"/>
      <c r="I2684" s="12"/>
      <c r="J2684" s="12"/>
      <c r="K2684" s="12"/>
      <c r="L2684" s="379"/>
      <c r="M2684" s="380"/>
      <c r="N2684" s="380"/>
      <c r="O2684" s="12"/>
      <c r="P2684" s="381"/>
      <c r="Q2684" s="12"/>
      <c r="R2684" s="12"/>
      <c r="S2684" s="382"/>
      <c r="T2684" s="383"/>
      <c r="U2684" s="384"/>
      <c r="V2684" s="12"/>
      <c r="W2684" s="12"/>
    </row>
    <row r="2685" spans="1:23" x14ac:dyDescent="0.3">
      <c r="A2685" s="193" t="str">
        <f ca="1"/>
        <v/>
      </c>
      <c r="B2685" s="378"/>
      <c r="C2685" s="315"/>
      <c r="D2685" s="316"/>
      <c r="E2685" s="315"/>
      <c r="F2685" s="315"/>
      <c r="G2685" s="315"/>
      <c r="H2685" s="153"/>
      <c r="I2685" s="12"/>
      <c r="J2685" s="12"/>
      <c r="K2685" s="12"/>
      <c r="L2685" s="379"/>
      <c r="M2685" s="380"/>
      <c r="N2685" s="380"/>
      <c r="O2685" s="12"/>
      <c r="P2685" s="381"/>
      <c r="Q2685" s="12"/>
      <c r="R2685" s="12"/>
      <c r="S2685" s="382"/>
      <c r="T2685" s="383"/>
      <c r="U2685" s="384"/>
      <c r="V2685" s="12"/>
      <c r="W2685" s="12"/>
    </row>
    <row r="2686" spans="1:23" x14ac:dyDescent="0.3">
      <c r="A2686" s="193" t="str">
        <f ca="1"/>
        <v/>
      </c>
      <c r="B2686" s="378"/>
      <c r="C2686" s="315"/>
      <c r="D2686" s="316"/>
      <c r="E2686" s="315"/>
      <c r="F2686" s="315"/>
      <c r="G2686" s="315"/>
      <c r="H2686" s="153"/>
      <c r="I2686" s="12"/>
      <c r="J2686" s="12"/>
      <c r="K2686" s="12"/>
      <c r="L2686" s="379"/>
      <c r="M2686" s="380"/>
      <c r="N2686" s="380"/>
      <c r="O2686" s="12"/>
      <c r="P2686" s="381"/>
      <c r="Q2686" s="12"/>
      <c r="R2686" s="12"/>
      <c r="S2686" s="382"/>
      <c r="T2686" s="383"/>
      <c r="U2686" s="384"/>
      <c r="V2686" s="12"/>
      <c r="W2686" s="12"/>
    </row>
    <row r="2687" spans="1:23" x14ac:dyDescent="0.3">
      <c r="A2687" s="193" t="str">
        <f ca="1"/>
        <v/>
      </c>
      <c r="B2687" s="378"/>
      <c r="C2687" s="315"/>
      <c r="D2687" s="316"/>
      <c r="E2687" s="315"/>
      <c r="F2687" s="315"/>
      <c r="G2687" s="315"/>
      <c r="H2687" s="153"/>
      <c r="I2687" s="12"/>
      <c r="J2687" s="12"/>
      <c r="K2687" s="12"/>
      <c r="L2687" s="379"/>
      <c r="M2687" s="380"/>
      <c r="N2687" s="380"/>
      <c r="O2687" s="12"/>
      <c r="P2687" s="381"/>
      <c r="Q2687" s="12"/>
      <c r="R2687" s="12"/>
      <c r="S2687" s="382"/>
      <c r="T2687" s="383"/>
      <c r="U2687" s="384"/>
      <c r="V2687" s="12"/>
      <c r="W2687" s="12"/>
    </row>
    <row r="2688" spans="1:23" x14ac:dyDescent="0.3">
      <c r="A2688" s="193" t="str">
        <f ca="1"/>
        <v/>
      </c>
      <c r="B2688" s="378"/>
      <c r="C2688" s="315"/>
      <c r="D2688" s="316"/>
      <c r="E2688" s="315"/>
      <c r="F2688" s="315"/>
      <c r="G2688" s="315"/>
      <c r="H2688" s="153"/>
      <c r="I2688" s="12"/>
      <c r="J2688" s="12"/>
      <c r="K2688" s="12"/>
      <c r="L2688" s="379"/>
      <c r="M2688" s="380"/>
      <c r="N2688" s="380"/>
      <c r="O2688" s="12"/>
      <c r="P2688" s="381"/>
      <c r="Q2688" s="12"/>
      <c r="R2688" s="12"/>
      <c r="S2688" s="382"/>
      <c r="T2688" s="383"/>
      <c r="U2688" s="384"/>
      <c r="V2688" s="12"/>
      <c r="W2688" s="12"/>
    </row>
    <row r="2689" spans="1:23" x14ac:dyDescent="0.3">
      <c r="A2689" s="193" t="str">
        <f ca="1"/>
        <v/>
      </c>
      <c r="B2689" s="378"/>
      <c r="C2689" s="315"/>
      <c r="D2689" s="316"/>
      <c r="E2689" s="315"/>
      <c r="F2689" s="315"/>
      <c r="G2689" s="315"/>
      <c r="H2689" s="153"/>
      <c r="I2689" s="12"/>
      <c r="J2689" s="12"/>
      <c r="K2689" s="12"/>
      <c r="L2689" s="379"/>
      <c r="M2689" s="380"/>
      <c r="N2689" s="380"/>
      <c r="O2689" s="12"/>
      <c r="P2689" s="381"/>
      <c r="Q2689" s="12"/>
      <c r="R2689" s="12"/>
      <c r="S2689" s="382"/>
      <c r="T2689" s="383"/>
      <c r="U2689" s="384"/>
      <c r="V2689" s="12"/>
      <c r="W2689" s="12"/>
    </row>
    <row r="2690" spans="1:23" x14ac:dyDescent="0.3">
      <c r="A2690" s="193" t="str">
        <f ca="1"/>
        <v/>
      </c>
      <c r="B2690" s="378"/>
      <c r="C2690" s="315"/>
      <c r="D2690" s="316"/>
      <c r="E2690" s="315"/>
      <c r="F2690" s="315"/>
      <c r="G2690" s="315"/>
      <c r="H2690" s="153"/>
      <c r="I2690" s="12"/>
      <c r="J2690" s="12"/>
      <c r="K2690" s="12"/>
      <c r="L2690" s="379"/>
      <c r="M2690" s="380"/>
      <c r="N2690" s="380"/>
      <c r="O2690" s="12"/>
      <c r="P2690" s="381"/>
      <c r="Q2690" s="12"/>
      <c r="R2690" s="12"/>
      <c r="S2690" s="382"/>
      <c r="T2690" s="383"/>
      <c r="U2690" s="384"/>
      <c r="V2690" s="12"/>
      <c r="W2690" s="12"/>
    </row>
    <row r="2691" spans="1:23" x14ac:dyDescent="0.3">
      <c r="A2691" s="193" t="str">
        <f ca="1"/>
        <v/>
      </c>
      <c r="B2691" s="378"/>
      <c r="C2691" s="315"/>
      <c r="D2691" s="316"/>
      <c r="E2691" s="315"/>
      <c r="F2691" s="315"/>
      <c r="G2691" s="315"/>
      <c r="H2691" s="153"/>
      <c r="I2691" s="12"/>
      <c r="J2691" s="12"/>
      <c r="K2691" s="12"/>
      <c r="L2691" s="379"/>
      <c r="M2691" s="380"/>
      <c r="N2691" s="380"/>
      <c r="O2691" s="12"/>
      <c r="P2691" s="381"/>
      <c r="Q2691" s="12"/>
      <c r="R2691" s="12"/>
      <c r="S2691" s="382"/>
      <c r="T2691" s="383"/>
      <c r="U2691" s="384"/>
      <c r="V2691" s="12"/>
      <c r="W2691" s="12"/>
    </row>
    <row r="2692" spans="1:23" x14ac:dyDescent="0.3">
      <c r="A2692" s="193" t="str">
        <f ca="1"/>
        <v/>
      </c>
      <c r="B2692" s="378"/>
      <c r="C2692" s="315"/>
      <c r="D2692" s="316"/>
      <c r="E2692" s="315"/>
      <c r="F2692" s="315"/>
      <c r="G2692" s="315"/>
      <c r="H2692" s="153"/>
      <c r="I2692" s="12"/>
      <c r="J2692" s="12"/>
      <c r="K2692" s="12"/>
      <c r="L2692" s="379"/>
      <c r="M2692" s="380"/>
      <c r="N2692" s="380"/>
      <c r="O2692" s="12"/>
      <c r="P2692" s="381"/>
      <c r="Q2692" s="12"/>
      <c r="R2692" s="12"/>
      <c r="S2692" s="382"/>
      <c r="T2692" s="383"/>
      <c r="U2692" s="384"/>
      <c r="V2692" s="12"/>
      <c r="W2692" s="12"/>
    </row>
    <row r="2693" spans="1:23" x14ac:dyDescent="0.3">
      <c r="A2693" s="193" t="str">
        <f ca="1"/>
        <v/>
      </c>
      <c r="B2693" s="378"/>
      <c r="C2693" s="315"/>
      <c r="D2693" s="316"/>
      <c r="E2693" s="315"/>
      <c r="F2693" s="315"/>
      <c r="G2693" s="315"/>
      <c r="H2693" s="153"/>
      <c r="I2693" s="12"/>
      <c r="J2693" s="12"/>
      <c r="K2693" s="12"/>
      <c r="L2693" s="379"/>
      <c r="M2693" s="380"/>
      <c r="N2693" s="380"/>
      <c r="O2693" s="12"/>
      <c r="P2693" s="381"/>
      <c r="Q2693" s="12"/>
      <c r="R2693" s="12"/>
      <c r="S2693" s="382"/>
      <c r="T2693" s="383"/>
      <c r="U2693" s="384"/>
      <c r="V2693" s="12"/>
      <c r="W2693" s="12"/>
    </row>
    <row r="2694" spans="1:23" x14ac:dyDescent="0.3">
      <c r="A2694" s="193" t="str">
        <f ca="1"/>
        <v/>
      </c>
      <c r="B2694" s="378"/>
      <c r="C2694" s="315"/>
      <c r="D2694" s="316"/>
      <c r="E2694" s="315"/>
      <c r="F2694" s="315"/>
      <c r="G2694" s="315"/>
      <c r="H2694" s="153"/>
      <c r="I2694" s="12"/>
      <c r="J2694" s="12"/>
      <c r="K2694" s="12"/>
      <c r="L2694" s="379"/>
      <c r="M2694" s="380"/>
      <c r="N2694" s="380"/>
      <c r="O2694" s="12"/>
      <c r="P2694" s="381"/>
      <c r="Q2694" s="12"/>
      <c r="R2694" s="12"/>
      <c r="S2694" s="382"/>
      <c r="T2694" s="383"/>
      <c r="U2694" s="384"/>
      <c r="V2694" s="12"/>
      <c r="W2694" s="12"/>
    </row>
    <row r="2695" spans="1:23" x14ac:dyDescent="0.3">
      <c r="A2695" s="193" t="str">
        <f ca="1"/>
        <v/>
      </c>
      <c r="B2695" s="378"/>
      <c r="C2695" s="315"/>
      <c r="D2695" s="316"/>
      <c r="E2695" s="315"/>
      <c r="F2695" s="315"/>
      <c r="G2695" s="315"/>
      <c r="H2695" s="153"/>
      <c r="I2695" s="12"/>
      <c r="J2695" s="12"/>
      <c r="K2695" s="12"/>
      <c r="L2695" s="379"/>
      <c r="M2695" s="380"/>
      <c r="N2695" s="380"/>
      <c r="O2695" s="12"/>
      <c r="P2695" s="381"/>
      <c r="Q2695" s="12"/>
      <c r="R2695" s="12"/>
      <c r="S2695" s="382"/>
      <c r="T2695" s="383"/>
      <c r="U2695" s="384"/>
      <c r="V2695" s="12"/>
      <c r="W2695" s="12"/>
    </row>
    <row r="2696" spans="1:23" x14ac:dyDescent="0.3">
      <c r="A2696" s="193" t="str">
        <f ca="1"/>
        <v/>
      </c>
      <c r="B2696" s="378"/>
      <c r="C2696" s="315"/>
      <c r="D2696" s="316"/>
      <c r="E2696" s="315"/>
      <c r="F2696" s="315"/>
      <c r="G2696" s="315"/>
      <c r="H2696" s="153"/>
      <c r="I2696" s="12"/>
      <c r="J2696" s="12"/>
      <c r="K2696" s="12"/>
      <c r="L2696" s="379"/>
      <c r="M2696" s="380"/>
      <c r="N2696" s="380"/>
      <c r="O2696" s="12"/>
      <c r="P2696" s="381"/>
      <c r="Q2696" s="12"/>
      <c r="R2696" s="12"/>
      <c r="S2696" s="382"/>
      <c r="T2696" s="383"/>
      <c r="U2696" s="384"/>
      <c r="V2696" s="12"/>
      <c r="W2696" s="12"/>
    </row>
    <row r="2697" spans="1:23" x14ac:dyDescent="0.3">
      <c r="A2697" s="193" t="str">
        <f ca="1"/>
        <v/>
      </c>
      <c r="B2697" s="378"/>
      <c r="C2697" s="315"/>
      <c r="D2697" s="316"/>
      <c r="E2697" s="315"/>
      <c r="F2697" s="315"/>
      <c r="G2697" s="315"/>
      <c r="H2697" s="153"/>
      <c r="I2697" s="12"/>
      <c r="J2697" s="12"/>
      <c r="K2697" s="12"/>
      <c r="L2697" s="379"/>
      <c r="M2697" s="380"/>
      <c r="N2697" s="380"/>
      <c r="O2697" s="12"/>
      <c r="P2697" s="381"/>
      <c r="Q2697" s="12"/>
      <c r="R2697" s="12"/>
      <c r="S2697" s="382"/>
      <c r="T2697" s="383"/>
      <c r="U2697" s="384"/>
      <c r="V2697" s="12"/>
      <c r="W2697" s="12"/>
    </row>
    <row r="2698" spans="1:23" x14ac:dyDescent="0.3">
      <c r="A2698" s="193" t="str">
        <f ca="1"/>
        <v/>
      </c>
      <c r="B2698" s="378"/>
      <c r="C2698" s="315"/>
      <c r="D2698" s="316"/>
      <c r="E2698" s="315"/>
      <c r="F2698" s="315"/>
      <c r="G2698" s="315"/>
      <c r="H2698" s="153"/>
      <c r="I2698" s="12"/>
      <c r="J2698" s="12"/>
      <c r="K2698" s="12"/>
      <c r="L2698" s="379"/>
      <c r="M2698" s="380"/>
      <c r="N2698" s="380"/>
      <c r="O2698" s="12"/>
      <c r="P2698" s="381"/>
      <c r="Q2698" s="12"/>
      <c r="R2698" s="12"/>
      <c r="S2698" s="382"/>
      <c r="T2698" s="383"/>
      <c r="U2698" s="384"/>
      <c r="V2698" s="12"/>
      <c r="W2698" s="12"/>
    </row>
    <row r="2699" spans="1:23" x14ac:dyDescent="0.3">
      <c r="A2699" s="193" t="str">
        <f ca="1"/>
        <v/>
      </c>
      <c r="B2699" s="378"/>
      <c r="C2699" s="315"/>
      <c r="D2699" s="316"/>
      <c r="E2699" s="315"/>
      <c r="F2699" s="315"/>
      <c r="G2699" s="315"/>
      <c r="H2699" s="153"/>
      <c r="I2699" s="12"/>
      <c r="J2699" s="12"/>
      <c r="K2699" s="12"/>
      <c r="L2699" s="379"/>
      <c r="M2699" s="380"/>
      <c r="N2699" s="380"/>
      <c r="O2699" s="12"/>
      <c r="P2699" s="381"/>
      <c r="Q2699" s="12"/>
      <c r="R2699" s="12"/>
      <c r="S2699" s="382"/>
      <c r="T2699" s="383"/>
      <c r="U2699" s="384"/>
      <c r="V2699" s="12"/>
      <c r="W2699" s="12"/>
    </row>
    <row r="2700" spans="1:23" x14ac:dyDescent="0.3">
      <c r="A2700" s="193" t="str">
        <f ca="1"/>
        <v/>
      </c>
      <c r="B2700" s="378"/>
      <c r="C2700" s="315"/>
      <c r="D2700" s="316"/>
      <c r="E2700" s="315"/>
      <c r="F2700" s="315"/>
      <c r="G2700" s="315"/>
      <c r="H2700" s="153"/>
      <c r="I2700" s="12"/>
      <c r="J2700" s="12"/>
      <c r="K2700" s="12"/>
      <c r="L2700" s="379"/>
      <c r="M2700" s="380"/>
      <c r="N2700" s="380"/>
      <c r="O2700" s="12"/>
      <c r="P2700" s="381"/>
      <c r="Q2700" s="12"/>
      <c r="R2700" s="12"/>
      <c r="S2700" s="382"/>
      <c r="T2700" s="383"/>
      <c r="U2700" s="384"/>
      <c r="V2700" s="12"/>
      <c r="W2700" s="12"/>
    </row>
    <row r="2701" spans="1:23" x14ac:dyDescent="0.3">
      <c r="A2701" s="193" t="str">
        <f ca="1"/>
        <v/>
      </c>
      <c r="B2701" s="378"/>
      <c r="C2701" s="315"/>
      <c r="D2701" s="316"/>
      <c r="E2701" s="315"/>
      <c r="F2701" s="315"/>
      <c r="G2701" s="315"/>
      <c r="H2701" s="153"/>
      <c r="I2701" s="12"/>
      <c r="J2701" s="12"/>
      <c r="K2701" s="12"/>
      <c r="L2701" s="379"/>
      <c r="M2701" s="380"/>
      <c r="N2701" s="380"/>
      <c r="O2701" s="12"/>
      <c r="P2701" s="381"/>
      <c r="Q2701" s="12"/>
      <c r="R2701" s="12"/>
      <c r="S2701" s="382"/>
      <c r="T2701" s="383"/>
      <c r="U2701" s="384"/>
      <c r="V2701" s="12"/>
      <c r="W2701" s="12"/>
    </row>
    <row r="2702" spans="1:23" x14ac:dyDescent="0.3">
      <c r="A2702" s="193" t="str">
        <f ca="1"/>
        <v/>
      </c>
      <c r="B2702" s="378"/>
      <c r="C2702" s="315"/>
      <c r="D2702" s="316"/>
      <c r="E2702" s="315"/>
      <c r="F2702" s="315"/>
      <c r="G2702" s="315"/>
      <c r="H2702" s="153"/>
      <c r="I2702" s="12"/>
      <c r="J2702" s="12"/>
      <c r="K2702" s="12"/>
      <c r="L2702" s="379"/>
      <c r="M2702" s="380"/>
      <c r="N2702" s="380"/>
      <c r="O2702" s="12"/>
      <c r="P2702" s="381"/>
      <c r="Q2702" s="12"/>
      <c r="R2702" s="12"/>
      <c r="S2702" s="382"/>
      <c r="T2702" s="383"/>
      <c r="U2702" s="384"/>
      <c r="V2702" s="12"/>
      <c r="W2702" s="12"/>
    </row>
    <row r="2703" spans="1:23" x14ac:dyDescent="0.3">
      <c r="A2703" s="193" t="str">
        <f ca="1"/>
        <v/>
      </c>
      <c r="B2703" s="378"/>
      <c r="C2703" s="315"/>
      <c r="D2703" s="316"/>
      <c r="E2703" s="315"/>
      <c r="F2703" s="315"/>
      <c r="G2703" s="315"/>
      <c r="H2703" s="153"/>
      <c r="I2703" s="12"/>
      <c r="J2703" s="12"/>
      <c r="K2703" s="12"/>
      <c r="L2703" s="379"/>
      <c r="M2703" s="380"/>
      <c r="N2703" s="380"/>
      <c r="O2703" s="12"/>
      <c r="P2703" s="381"/>
      <c r="Q2703" s="12"/>
      <c r="R2703" s="12"/>
      <c r="S2703" s="382"/>
      <c r="T2703" s="383"/>
      <c r="U2703" s="384"/>
      <c r="V2703" s="12"/>
      <c r="W2703" s="12"/>
    </row>
    <row r="2704" spans="1:23" x14ac:dyDescent="0.3">
      <c r="A2704" s="193" t="str">
        <f ca="1"/>
        <v/>
      </c>
      <c r="B2704" s="378"/>
      <c r="C2704" s="315"/>
      <c r="D2704" s="316"/>
      <c r="E2704" s="315"/>
      <c r="F2704" s="315"/>
      <c r="G2704" s="315"/>
      <c r="H2704" s="153"/>
      <c r="I2704" s="12"/>
      <c r="J2704" s="12"/>
      <c r="K2704" s="12"/>
      <c r="L2704" s="379"/>
      <c r="M2704" s="380"/>
      <c r="N2704" s="380"/>
      <c r="O2704" s="12"/>
      <c r="P2704" s="381"/>
      <c r="Q2704" s="12"/>
      <c r="R2704" s="12"/>
      <c r="S2704" s="382"/>
      <c r="T2704" s="383"/>
      <c r="U2704" s="384"/>
      <c r="V2704" s="12"/>
      <c r="W2704" s="12"/>
    </row>
    <row r="2705" spans="1:23" x14ac:dyDescent="0.3">
      <c r="A2705" s="193" t="str">
        <f ca="1"/>
        <v/>
      </c>
      <c r="B2705" s="378"/>
      <c r="C2705" s="315"/>
      <c r="D2705" s="316"/>
      <c r="E2705" s="315"/>
      <c r="F2705" s="315"/>
      <c r="G2705" s="315"/>
      <c r="H2705" s="153"/>
      <c r="I2705" s="12"/>
      <c r="J2705" s="12"/>
      <c r="K2705" s="12"/>
      <c r="L2705" s="379"/>
      <c r="M2705" s="380"/>
      <c r="N2705" s="380"/>
      <c r="O2705" s="12"/>
      <c r="P2705" s="381"/>
      <c r="Q2705" s="12"/>
      <c r="R2705" s="12"/>
      <c r="S2705" s="382"/>
      <c r="T2705" s="383"/>
      <c r="U2705" s="384"/>
      <c r="V2705" s="12"/>
      <c r="W2705" s="12"/>
    </row>
    <row r="2706" spans="1:23" x14ac:dyDescent="0.3">
      <c r="A2706" s="193" t="str">
        <f ca="1"/>
        <v/>
      </c>
      <c r="B2706" s="378"/>
      <c r="C2706" s="315"/>
      <c r="D2706" s="316"/>
      <c r="E2706" s="315"/>
      <c r="F2706" s="315"/>
      <c r="G2706" s="315"/>
      <c r="H2706" s="153"/>
      <c r="I2706" s="12"/>
      <c r="J2706" s="12"/>
      <c r="K2706" s="12"/>
      <c r="L2706" s="379"/>
      <c r="M2706" s="380"/>
      <c r="N2706" s="380"/>
      <c r="O2706" s="12"/>
      <c r="P2706" s="381"/>
      <c r="Q2706" s="12"/>
      <c r="R2706" s="12"/>
      <c r="S2706" s="382"/>
      <c r="T2706" s="383"/>
      <c r="U2706" s="384"/>
      <c r="V2706" s="12"/>
      <c r="W2706" s="12"/>
    </row>
    <row r="2707" spans="1:23" x14ac:dyDescent="0.3">
      <c r="A2707" s="193" t="str">
        <f ca="1"/>
        <v/>
      </c>
      <c r="B2707" s="378"/>
      <c r="C2707" s="315"/>
      <c r="D2707" s="316"/>
      <c r="E2707" s="315"/>
      <c r="F2707" s="315"/>
      <c r="G2707" s="315"/>
      <c r="H2707" s="153"/>
      <c r="I2707" s="12"/>
      <c r="J2707" s="12"/>
      <c r="K2707" s="12"/>
      <c r="L2707" s="379"/>
      <c r="M2707" s="380"/>
      <c r="N2707" s="380"/>
      <c r="O2707" s="12"/>
      <c r="P2707" s="381"/>
      <c r="Q2707" s="12"/>
      <c r="R2707" s="12"/>
      <c r="S2707" s="382"/>
      <c r="T2707" s="383"/>
      <c r="U2707" s="384"/>
      <c r="V2707" s="12"/>
      <c r="W2707" s="12"/>
    </row>
    <row r="2708" spans="1:23" x14ac:dyDescent="0.3">
      <c r="A2708" s="193" t="str">
        <f ca="1"/>
        <v/>
      </c>
      <c r="B2708" s="378"/>
      <c r="C2708" s="315"/>
      <c r="D2708" s="316"/>
      <c r="E2708" s="315"/>
      <c r="F2708" s="315"/>
      <c r="G2708" s="315"/>
      <c r="H2708" s="153"/>
      <c r="I2708" s="12"/>
      <c r="J2708" s="12"/>
      <c r="K2708" s="12"/>
      <c r="L2708" s="379"/>
      <c r="M2708" s="380"/>
      <c r="N2708" s="380"/>
      <c r="O2708" s="12"/>
      <c r="P2708" s="381"/>
      <c r="Q2708" s="12"/>
      <c r="R2708" s="12"/>
      <c r="S2708" s="382"/>
      <c r="T2708" s="383"/>
      <c r="U2708" s="384"/>
      <c r="V2708" s="12"/>
      <c r="W2708" s="12"/>
    </row>
    <row r="2709" spans="1:23" x14ac:dyDescent="0.3">
      <c r="A2709" s="193" t="str">
        <f ca="1"/>
        <v/>
      </c>
      <c r="B2709" s="378"/>
      <c r="C2709" s="315"/>
      <c r="D2709" s="316"/>
      <c r="E2709" s="315"/>
      <c r="F2709" s="315"/>
      <c r="G2709" s="315"/>
      <c r="H2709" s="153"/>
      <c r="I2709" s="12"/>
      <c r="J2709" s="12"/>
      <c r="K2709" s="12"/>
      <c r="L2709" s="379"/>
      <c r="M2709" s="380"/>
      <c r="N2709" s="380"/>
      <c r="O2709" s="12"/>
      <c r="P2709" s="381"/>
      <c r="Q2709" s="12"/>
      <c r="R2709" s="12"/>
      <c r="S2709" s="382"/>
      <c r="T2709" s="383"/>
      <c r="U2709" s="384"/>
      <c r="V2709" s="12"/>
      <c r="W2709" s="12"/>
    </row>
    <row r="2710" spans="1:23" x14ac:dyDescent="0.3">
      <c r="A2710" s="193" t="str">
        <f ca="1"/>
        <v/>
      </c>
      <c r="B2710" s="378"/>
      <c r="C2710" s="315"/>
      <c r="D2710" s="316"/>
      <c r="E2710" s="315"/>
      <c r="F2710" s="315"/>
      <c r="G2710" s="315"/>
      <c r="H2710" s="153"/>
      <c r="I2710" s="12"/>
      <c r="J2710" s="12"/>
      <c r="K2710" s="12"/>
      <c r="L2710" s="379"/>
      <c r="M2710" s="380"/>
      <c r="N2710" s="380"/>
      <c r="O2710" s="12"/>
      <c r="P2710" s="381"/>
      <c r="Q2710" s="12"/>
      <c r="R2710" s="12"/>
      <c r="S2710" s="382"/>
      <c r="T2710" s="383"/>
      <c r="U2710" s="384"/>
      <c r="V2710" s="12"/>
      <c r="W2710" s="12"/>
    </row>
    <row r="2711" spans="1:23" x14ac:dyDescent="0.3">
      <c r="A2711" s="193" t="str">
        <f ca="1"/>
        <v/>
      </c>
      <c r="B2711" s="378"/>
      <c r="C2711" s="315"/>
      <c r="D2711" s="316"/>
      <c r="E2711" s="315"/>
      <c r="F2711" s="315"/>
      <c r="G2711" s="315"/>
      <c r="H2711" s="153"/>
      <c r="I2711" s="12"/>
      <c r="J2711" s="12"/>
      <c r="K2711" s="12"/>
      <c r="L2711" s="379"/>
      <c r="M2711" s="380"/>
      <c r="N2711" s="380"/>
      <c r="O2711" s="12"/>
      <c r="P2711" s="381"/>
      <c r="Q2711" s="12"/>
      <c r="R2711" s="12"/>
      <c r="S2711" s="382"/>
      <c r="T2711" s="383"/>
      <c r="U2711" s="384"/>
      <c r="V2711" s="12"/>
      <c r="W2711" s="12"/>
    </row>
    <row r="2712" spans="1:23" x14ac:dyDescent="0.3">
      <c r="A2712" s="193" t="str">
        <f ca="1"/>
        <v/>
      </c>
      <c r="B2712" s="378"/>
      <c r="C2712" s="315"/>
      <c r="D2712" s="316"/>
      <c r="E2712" s="315"/>
      <c r="F2712" s="315"/>
      <c r="G2712" s="315"/>
      <c r="H2712" s="153"/>
      <c r="I2712" s="12"/>
      <c r="J2712" s="12"/>
      <c r="K2712" s="12"/>
      <c r="L2712" s="379"/>
      <c r="M2712" s="380"/>
      <c r="N2712" s="380"/>
      <c r="O2712" s="12"/>
      <c r="P2712" s="381"/>
      <c r="Q2712" s="12"/>
      <c r="R2712" s="12"/>
      <c r="S2712" s="382"/>
      <c r="T2712" s="383"/>
      <c r="U2712" s="384"/>
      <c r="V2712" s="12"/>
      <c r="W2712" s="12"/>
    </row>
    <row r="2713" spans="1:23" x14ac:dyDescent="0.3">
      <c r="A2713" s="193" t="str">
        <f ca="1"/>
        <v/>
      </c>
      <c r="B2713" s="378"/>
      <c r="C2713" s="315"/>
      <c r="D2713" s="316"/>
      <c r="E2713" s="315"/>
      <c r="F2713" s="315"/>
      <c r="G2713" s="315"/>
      <c r="H2713" s="153"/>
      <c r="I2713" s="12"/>
      <c r="J2713" s="12"/>
      <c r="K2713" s="12"/>
      <c r="L2713" s="379"/>
      <c r="M2713" s="380"/>
      <c r="N2713" s="380"/>
      <c r="O2713" s="12"/>
      <c r="P2713" s="381"/>
      <c r="Q2713" s="12"/>
      <c r="R2713" s="12"/>
      <c r="S2713" s="382"/>
      <c r="T2713" s="383"/>
      <c r="U2713" s="384"/>
      <c r="V2713" s="12"/>
      <c r="W2713" s="12"/>
    </row>
    <row r="2714" spans="1:23" x14ac:dyDescent="0.3">
      <c r="A2714" s="193" t="str">
        <f ca="1"/>
        <v/>
      </c>
      <c r="B2714" s="378"/>
      <c r="C2714" s="315"/>
      <c r="D2714" s="316"/>
      <c r="E2714" s="315"/>
      <c r="F2714" s="315"/>
      <c r="G2714" s="315"/>
      <c r="H2714" s="153"/>
      <c r="I2714" s="12"/>
      <c r="J2714" s="12"/>
      <c r="K2714" s="12"/>
      <c r="L2714" s="379"/>
      <c r="M2714" s="380"/>
      <c r="N2714" s="380"/>
      <c r="O2714" s="12"/>
      <c r="P2714" s="381"/>
      <c r="Q2714" s="12"/>
      <c r="R2714" s="12"/>
      <c r="S2714" s="382"/>
      <c r="T2714" s="383"/>
      <c r="U2714" s="384"/>
      <c r="V2714" s="12"/>
      <c r="W2714" s="12"/>
    </row>
    <row r="2715" spans="1:23" x14ac:dyDescent="0.3">
      <c r="A2715" s="193" t="str">
        <f ca="1"/>
        <v/>
      </c>
      <c r="B2715" s="378"/>
      <c r="C2715" s="315"/>
      <c r="D2715" s="316"/>
      <c r="E2715" s="315"/>
      <c r="F2715" s="315"/>
      <c r="G2715" s="315"/>
      <c r="H2715" s="153"/>
      <c r="I2715" s="12"/>
      <c r="J2715" s="12"/>
      <c r="K2715" s="12"/>
      <c r="L2715" s="379"/>
      <c r="M2715" s="380"/>
      <c r="N2715" s="380"/>
      <c r="O2715" s="12"/>
      <c r="P2715" s="381"/>
      <c r="Q2715" s="12"/>
      <c r="R2715" s="12"/>
      <c r="S2715" s="382"/>
      <c r="T2715" s="383"/>
      <c r="U2715" s="384"/>
      <c r="V2715" s="12"/>
      <c r="W2715" s="12"/>
    </row>
    <row r="2716" spans="1:23" x14ac:dyDescent="0.3">
      <c r="A2716" s="193" t="str">
        <f ca="1"/>
        <v/>
      </c>
      <c r="B2716" s="378"/>
      <c r="C2716" s="315"/>
      <c r="D2716" s="316"/>
      <c r="E2716" s="315"/>
      <c r="F2716" s="315"/>
      <c r="G2716" s="315"/>
      <c r="H2716" s="153"/>
      <c r="I2716" s="12"/>
      <c r="J2716" s="12"/>
      <c r="K2716" s="12"/>
      <c r="L2716" s="379"/>
      <c r="M2716" s="380"/>
      <c r="N2716" s="380"/>
      <c r="O2716" s="12"/>
      <c r="P2716" s="381"/>
      <c r="Q2716" s="12"/>
      <c r="R2716" s="12"/>
      <c r="S2716" s="382"/>
      <c r="T2716" s="383"/>
      <c r="U2716" s="384"/>
      <c r="V2716" s="12"/>
      <c r="W2716" s="12"/>
    </row>
    <row r="2717" spans="1:23" x14ac:dyDescent="0.3">
      <c r="A2717" s="193" t="str">
        <f ca="1"/>
        <v/>
      </c>
      <c r="B2717" s="378"/>
      <c r="C2717" s="315"/>
      <c r="D2717" s="316"/>
      <c r="E2717" s="315"/>
      <c r="F2717" s="315"/>
      <c r="G2717" s="315"/>
      <c r="H2717" s="153"/>
      <c r="I2717" s="12"/>
      <c r="J2717" s="12"/>
      <c r="K2717" s="12"/>
      <c r="L2717" s="379"/>
      <c r="M2717" s="380"/>
      <c r="N2717" s="380"/>
      <c r="O2717" s="12"/>
      <c r="P2717" s="381"/>
      <c r="Q2717" s="12"/>
      <c r="R2717" s="12"/>
      <c r="S2717" s="382"/>
      <c r="T2717" s="383"/>
      <c r="U2717" s="384"/>
      <c r="V2717" s="12"/>
      <c r="W2717" s="12"/>
    </row>
    <row r="2718" spans="1:23" x14ac:dyDescent="0.3">
      <c r="A2718" s="193" t="str">
        <f ca="1"/>
        <v/>
      </c>
      <c r="B2718" s="378"/>
      <c r="C2718" s="315"/>
      <c r="D2718" s="316"/>
      <c r="E2718" s="315"/>
      <c r="F2718" s="315"/>
      <c r="G2718" s="315"/>
      <c r="H2718" s="153"/>
      <c r="I2718" s="12"/>
      <c r="J2718" s="12"/>
      <c r="K2718" s="12"/>
      <c r="L2718" s="379"/>
      <c r="M2718" s="380"/>
      <c r="N2718" s="380"/>
      <c r="O2718" s="12"/>
      <c r="P2718" s="381"/>
      <c r="Q2718" s="12"/>
      <c r="R2718" s="12"/>
      <c r="S2718" s="382"/>
      <c r="T2718" s="383"/>
      <c r="U2718" s="384"/>
      <c r="V2718" s="12"/>
      <c r="W2718" s="12"/>
    </row>
    <row r="2719" spans="1:23" x14ac:dyDescent="0.3">
      <c r="A2719" s="193" t="str">
        <f ca="1"/>
        <v/>
      </c>
      <c r="B2719" s="378"/>
      <c r="C2719" s="315"/>
      <c r="D2719" s="316"/>
      <c r="E2719" s="315"/>
      <c r="F2719" s="315"/>
      <c r="G2719" s="315"/>
      <c r="H2719" s="153"/>
      <c r="I2719" s="12"/>
      <c r="J2719" s="12"/>
      <c r="K2719" s="12"/>
      <c r="L2719" s="379"/>
      <c r="M2719" s="380"/>
      <c r="N2719" s="380"/>
      <c r="O2719" s="12"/>
      <c r="P2719" s="381"/>
      <c r="Q2719" s="12"/>
      <c r="R2719" s="12"/>
      <c r="S2719" s="382"/>
      <c r="T2719" s="383"/>
      <c r="U2719" s="384"/>
      <c r="V2719" s="12"/>
      <c r="W2719" s="12"/>
    </row>
    <row r="2720" spans="1:23" x14ac:dyDescent="0.3">
      <c r="A2720" s="193" t="str">
        <f ca="1"/>
        <v/>
      </c>
      <c r="B2720" s="378"/>
      <c r="C2720" s="315"/>
      <c r="D2720" s="316"/>
      <c r="E2720" s="315"/>
      <c r="F2720" s="315"/>
      <c r="G2720" s="315"/>
      <c r="H2720" s="153"/>
      <c r="I2720" s="12"/>
      <c r="J2720" s="12"/>
      <c r="K2720" s="12"/>
      <c r="L2720" s="379"/>
      <c r="M2720" s="380"/>
      <c r="N2720" s="380"/>
      <c r="O2720" s="12"/>
      <c r="P2720" s="381"/>
      <c r="Q2720" s="12"/>
      <c r="R2720" s="12"/>
      <c r="S2720" s="382"/>
      <c r="T2720" s="383"/>
      <c r="U2720" s="384"/>
      <c r="V2720" s="12"/>
      <c r="W2720" s="12"/>
    </row>
    <row r="2721" spans="1:23" x14ac:dyDescent="0.3">
      <c r="A2721" s="193" t="str">
        <f ca="1"/>
        <v/>
      </c>
      <c r="B2721" s="378"/>
      <c r="C2721" s="315"/>
      <c r="D2721" s="316"/>
      <c r="E2721" s="315"/>
      <c r="F2721" s="315"/>
      <c r="G2721" s="315"/>
      <c r="H2721" s="153"/>
      <c r="I2721" s="12"/>
      <c r="J2721" s="12"/>
      <c r="K2721" s="12"/>
      <c r="L2721" s="379"/>
      <c r="M2721" s="380"/>
      <c r="N2721" s="380"/>
      <c r="O2721" s="12"/>
      <c r="P2721" s="381"/>
      <c r="Q2721" s="12"/>
      <c r="R2721" s="12"/>
      <c r="S2721" s="382"/>
      <c r="T2721" s="383"/>
      <c r="U2721" s="384"/>
      <c r="V2721" s="12"/>
      <c r="W2721" s="12"/>
    </row>
    <row r="2722" spans="1:23" x14ac:dyDescent="0.3">
      <c r="A2722" s="193" t="str">
        <f ca="1"/>
        <v/>
      </c>
      <c r="B2722" s="378"/>
      <c r="C2722" s="315"/>
      <c r="D2722" s="316"/>
      <c r="E2722" s="315"/>
      <c r="F2722" s="315"/>
      <c r="G2722" s="315"/>
      <c r="H2722" s="153"/>
      <c r="I2722" s="12"/>
      <c r="J2722" s="12"/>
      <c r="K2722" s="12"/>
      <c r="L2722" s="379"/>
      <c r="M2722" s="380"/>
      <c r="N2722" s="380"/>
      <c r="O2722" s="12"/>
      <c r="P2722" s="381"/>
      <c r="Q2722" s="12"/>
      <c r="R2722" s="12"/>
      <c r="S2722" s="382"/>
      <c r="T2722" s="383"/>
      <c r="U2722" s="384"/>
      <c r="V2722" s="12"/>
      <c r="W2722" s="12"/>
    </row>
    <row r="2723" spans="1:23" x14ac:dyDescent="0.3">
      <c r="A2723" s="193" t="str">
        <f ca="1"/>
        <v/>
      </c>
      <c r="B2723" s="378"/>
      <c r="C2723" s="315"/>
      <c r="D2723" s="316"/>
      <c r="E2723" s="315"/>
      <c r="F2723" s="315"/>
      <c r="G2723" s="315"/>
      <c r="H2723" s="153"/>
      <c r="I2723" s="12"/>
      <c r="J2723" s="12"/>
      <c r="K2723" s="12"/>
      <c r="L2723" s="379"/>
      <c r="M2723" s="380"/>
      <c r="N2723" s="380"/>
      <c r="O2723" s="12"/>
      <c r="P2723" s="381"/>
      <c r="Q2723" s="12"/>
      <c r="R2723" s="12"/>
      <c r="S2723" s="382"/>
      <c r="T2723" s="383"/>
      <c r="U2723" s="384"/>
      <c r="V2723" s="12"/>
      <c r="W2723" s="12"/>
    </row>
    <row r="2724" spans="1:23" x14ac:dyDescent="0.3">
      <c r="A2724" s="193" t="str">
        <f ca="1"/>
        <v/>
      </c>
      <c r="B2724" s="378"/>
      <c r="C2724" s="315"/>
      <c r="D2724" s="316"/>
      <c r="E2724" s="315"/>
      <c r="F2724" s="315"/>
      <c r="G2724" s="315"/>
      <c r="H2724" s="153"/>
      <c r="I2724" s="12"/>
      <c r="J2724" s="12"/>
      <c r="K2724" s="12"/>
      <c r="L2724" s="379"/>
      <c r="M2724" s="380"/>
      <c r="N2724" s="380"/>
      <c r="O2724" s="12"/>
      <c r="P2724" s="381"/>
      <c r="Q2724" s="12"/>
      <c r="R2724" s="12"/>
      <c r="S2724" s="382"/>
      <c r="T2724" s="383"/>
      <c r="U2724" s="384"/>
      <c r="V2724" s="12"/>
      <c r="W2724" s="12"/>
    </row>
    <row r="2725" spans="1:23" x14ac:dyDescent="0.3">
      <c r="A2725" s="193" t="str">
        <f ca="1"/>
        <v/>
      </c>
      <c r="B2725" s="378"/>
      <c r="C2725" s="315"/>
      <c r="D2725" s="316"/>
      <c r="E2725" s="315"/>
      <c r="F2725" s="315"/>
      <c r="G2725" s="315"/>
      <c r="H2725" s="153"/>
      <c r="I2725" s="12"/>
      <c r="J2725" s="12"/>
      <c r="K2725" s="12"/>
      <c r="L2725" s="379"/>
      <c r="M2725" s="380"/>
      <c r="N2725" s="380"/>
      <c r="O2725" s="12"/>
      <c r="P2725" s="381"/>
      <c r="Q2725" s="12"/>
      <c r="R2725" s="12"/>
      <c r="S2725" s="382"/>
      <c r="T2725" s="383"/>
      <c r="U2725" s="384"/>
      <c r="V2725" s="12"/>
      <c r="W2725" s="12"/>
    </row>
    <row r="2726" spans="1:23" x14ac:dyDescent="0.3">
      <c r="A2726" s="193" t="str">
        <f ca="1"/>
        <v/>
      </c>
      <c r="B2726" s="378"/>
      <c r="C2726" s="315"/>
      <c r="D2726" s="316"/>
      <c r="E2726" s="315"/>
      <c r="F2726" s="315"/>
      <c r="G2726" s="315"/>
      <c r="H2726" s="153"/>
      <c r="I2726" s="12"/>
      <c r="J2726" s="12"/>
      <c r="K2726" s="12"/>
      <c r="L2726" s="379"/>
      <c r="M2726" s="380"/>
      <c r="N2726" s="380"/>
      <c r="O2726" s="12"/>
      <c r="P2726" s="381"/>
      <c r="Q2726" s="12"/>
      <c r="R2726" s="12"/>
      <c r="S2726" s="382"/>
      <c r="T2726" s="383"/>
      <c r="U2726" s="384"/>
      <c r="V2726" s="12"/>
      <c r="W2726" s="12"/>
    </row>
    <row r="2727" spans="1:23" x14ac:dyDescent="0.3">
      <c r="A2727" s="193" t="str">
        <f ca="1"/>
        <v/>
      </c>
      <c r="B2727" s="378"/>
      <c r="C2727" s="315"/>
      <c r="D2727" s="316"/>
      <c r="E2727" s="315"/>
      <c r="F2727" s="315"/>
      <c r="G2727" s="315"/>
      <c r="H2727" s="153"/>
      <c r="I2727" s="12"/>
      <c r="J2727" s="12"/>
      <c r="K2727" s="12"/>
      <c r="L2727" s="379"/>
      <c r="M2727" s="380"/>
      <c r="N2727" s="380"/>
      <c r="O2727" s="12"/>
      <c r="P2727" s="381"/>
      <c r="Q2727" s="12"/>
      <c r="R2727" s="12"/>
      <c r="S2727" s="382"/>
      <c r="T2727" s="383"/>
      <c r="U2727" s="384"/>
      <c r="V2727" s="12"/>
      <c r="W2727" s="12"/>
    </row>
    <row r="2728" spans="1:23" x14ac:dyDescent="0.3">
      <c r="A2728" s="193" t="str">
        <f ca="1"/>
        <v/>
      </c>
      <c r="B2728" s="378"/>
      <c r="C2728" s="315"/>
      <c r="D2728" s="316"/>
      <c r="E2728" s="315"/>
      <c r="F2728" s="315"/>
      <c r="G2728" s="315"/>
      <c r="H2728" s="153"/>
      <c r="I2728" s="12"/>
      <c r="J2728" s="12"/>
      <c r="K2728" s="12"/>
      <c r="L2728" s="379"/>
      <c r="M2728" s="380"/>
      <c r="N2728" s="380"/>
      <c r="O2728" s="12"/>
      <c r="P2728" s="381"/>
      <c r="Q2728" s="12"/>
      <c r="R2728" s="12"/>
      <c r="S2728" s="382"/>
      <c r="T2728" s="383"/>
      <c r="U2728" s="384"/>
      <c r="V2728" s="12"/>
      <c r="W2728" s="12"/>
    </row>
    <row r="2729" spans="1:23" x14ac:dyDescent="0.3">
      <c r="A2729" s="193" t="str">
        <f ca="1"/>
        <v/>
      </c>
      <c r="B2729" s="378"/>
      <c r="C2729" s="315"/>
      <c r="D2729" s="316"/>
      <c r="E2729" s="315"/>
      <c r="F2729" s="315"/>
      <c r="G2729" s="315"/>
      <c r="H2729" s="153"/>
      <c r="I2729" s="12"/>
      <c r="J2729" s="12"/>
      <c r="K2729" s="12"/>
      <c r="L2729" s="379"/>
      <c r="M2729" s="380"/>
      <c r="N2729" s="380"/>
      <c r="O2729" s="12"/>
      <c r="P2729" s="381"/>
      <c r="Q2729" s="12"/>
      <c r="R2729" s="12"/>
      <c r="S2729" s="382"/>
      <c r="T2729" s="383"/>
      <c r="U2729" s="384"/>
      <c r="V2729" s="12"/>
      <c r="W2729" s="12"/>
    </row>
    <row r="2730" spans="1:23" x14ac:dyDescent="0.3">
      <c r="A2730" s="193" t="str">
        <f ca="1"/>
        <v/>
      </c>
      <c r="B2730" s="378"/>
      <c r="C2730" s="315"/>
      <c r="D2730" s="316"/>
      <c r="E2730" s="315"/>
      <c r="F2730" s="315"/>
      <c r="G2730" s="315"/>
      <c r="H2730" s="153"/>
      <c r="I2730" s="12"/>
      <c r="J2730" s="12"/>
      <c r="K2730" s="12"/>
      <c r="L2730" s="379"/>
      <c r="M2730" s="380"/>
      <c r="N2730" s="380"/>
      <c r="O2730" s="12"/>
      <c r="P2730" s="381"/>
      <c r="Q2730" s="12"/>
      <c r="R2730" s="12"/>
      <c r="S2730" s="382"/>
      <c r="T2730" s="383"/>
      <c r="U2730" s="384"/>
      <c r="V2730" s="12"/>
      <c r="W2730" s="12"/>
    </row>
    <row r="2731" spans="1:23" x14ac:dyDescent="0.3">
      <c r="A2731" s="193" t="str">
        <f ca="1"/>
        <v/>
      </c>
      <c r="B2731" s="378"/>
      <c r="C2731" s="315"/>
      <c r="D2731" s="316"/>
      <c r="E2731" s="315"/>
      <c r="F2731" s="315"/>
      <c r="G2731" s="315"/>
      <c r="H2731" s="153"/>
      <c r="I2731" s="12"/>
      <c r="J2731" s="12"/>
      <c r="K2731" s="12"/>
      <c r="L2731" s="379"/>
      <c r="M2731" s="380"/>
      <c r="N2731" s="380"/>
      <c r="O2731" s="12"/>
      <c r="P2731" s="381"/>
      <c r="Q2731" s="12"/>
      <c r="R2731" s="12"/>
      <c r="S2731" s="382"/>
      <c r="T2731" s="383"/>
      <c r="U2731" s="384"/>
      <c r="V2731" s="12"/>
      <c r="W2731" s="12"/>
    </row>
    <row r="2732" spans="1:23" x14ac:dyDescent="0.3">
      <c r="A2732" s="193" t="str">
        <f ca="1"/>
        <v/>
      </c>
      <c r="B2732" s="378"/>
      <c r="C2732" s="315"/>
      <c r="D2732" s="316"/>
      <c r="E2732" s="315"/>
      <c r="F2732" s="315"/>
      <c r="G2732" s="315"/>
      <c r="H2732" s="153"/>
      <c r="I2732" s="12"/>
      <c r="J2732" s="12"/>
      <c r="K2732" s="12"/>
      <c r="L2732" s="379"/>
      <c r="M2732" s="380"/>
      <c r="N2732" s="380"/>
      <c r="O2732" s="12"/>
      <c r="P2732" s="381"/>
      <c r="Q2732" s="12"/>
      <c r="R2732" s="12"/>
      <c r="S2732" s="382"/>
      <c r="T2732" s="383"/>
      <c r="U2732" s="384"/>
      <c r="V2732" s="12"/>
      <c r="W2732" s="12"/>
    </row>
    <row r="2733" spans="1:23" x14ac:dyDescent="0.3">
      <c r="A2733" s="193" t="str">
        <f ca="1"/>
        <v/>
      </c>
      <c r="B2733" s="378"/>
      <c r="C2733" s="315"/>
      <c r="D2733" s="316"/>
      <c r="E2733" s="315"/>
      <c r="F2733" s="315"/>
      <c r="G2733" s="315"/>
      <c r="H2733" s="153"/>
      <c r="I2733" s="12"/>
      <c r="J2733" s="12"/>
      <c r="K2733" s="12"/>
      <c r="L2733" s="379"/>
      <c r="M2733" s="380"/>
      <c r="N2733" s="380"/>
      <c r="O2733" s="12"/>
      <c r="P2733" s="381"/>
      <c r="Q2733" s="12"/>
      <c r="R2733" s="12"/>
      <c r="S2733" s="382"/>
      <c r="T2733" s="383"/>
      <c r="U2733" s="384"/>
      <c r="V2733" s="12"/>
      <c r="W2733" s="12"/>
    </row>
    <row r="2734" spans="1:23" x14ac:dyDescent="0.3">
      <c r="A2734" s="193" t="str">
        <f ca="1"/>
        <v/>
      </c>
      <c r="B2734" s="378"/>
      <c r="C2734" s="315"/>
      <c r="D2734" s="316"/>
      <c r="E2734" s="315"/>
      <c r="F2734" s="315"/>
      <c r="G2734" s="315"/>
      <c r="H2734" s="153"/>
      <c r="I2734" s="12"/>
      <c r="J2734" s="12"/>
      <c r="K2734" s="12"/>
      <c r="L2734" s="379"/>
      <c r="M2734" s="380"/>
      <c r="N2734" s="380"/>
      <c r="O2734" s="12"/>
      <c r="P2734" s="381"/>
      <c r="Q2734" s="12"/>
      <c r="R2734" s="12"/>
      <c r="S2734" s="382"/>
      <c r="T2734" s="383"/>
      <c r="U2734" s="384"/>
      <c r="V2734" s="12"/>
      <c r="W2734" s="12"/>
    </row>
    <row r="2735" spans="1:23" x14ac:dyDescent="0.3">
      <c r="A2735" s="193" t="str">
        <f ca="1"/>
        <v/>
      </c>
      <c r="B2735" s="378"/>
      <c r="C2735" s="315"/>
      <c r="D2735" s="316"/>
      <c r="E2735" s="315"/>
      <c r="F2735" s="315"/>
      <c r="G2735" s="315"/>
      <c r="H2735" s="153"/>
      <c r="I2735" s="12"/>
      <c r="J2735" s="12"/>
      <c r="K2735" s="12"/>
      <c r="L2735" s="379"/>
      <c r="M2735" s="380"/>
      <c r="N2735" s="380"/>
      <c r="O2735" s="12"/>
      <c r="P2735" s="381"/>
      <c r="Q2735" s="12"/>
      <c r="R2735" s="12"/>
      <c r="S2735" s="382"/>
      <c r="T2735" s="383"/>
      <c r="U2735" s="384"/>
      <c r="V2735" s="12"/>
      <c r="W2735" s="12"/>
    </row>
    <row r="2736" spans="1:23" x14ac:dyDescent="0.3">
      <c r="A2736" s="193" t="str">
        <f ca="1"/>
        <v/>
      </c>
      <c r="B2736" s="378"/>
      <c r="C2736" s="315"/>
      <c r="D2736" s="316"/>
      <c r="E2736" s="315"/>
      <c r="F2736" s="315"/>
      <c r="G2736" s="315"/>
      <c r="H2736" s="153"/>
      <c r="I2736" s="12"/>
      <c r="J2736" s="12"/>
      <c r="K2736" s="12"/>
      <c r="L2736" s="379"/>
      <c r="M2736" s="380"/>
      <c r="N2736" s="380"/>
      <c r="O2736" s="12"/>
      <c r="P2736" s="381"/>
      <c r="Q2736" s="12"/>
      <c r="R2736" s="12"/>
      <c r="S2736" s="382"/>
      <c r="T2736" s="383"/>
      <c r="U2736" s="384"/>
      <c r="V2736" s="12"/>
      <c r="W2736" s="12"/>
    </row>
    <row r="2737" spans="1:23" x14ac:dyDescent="0.3">
      <c r="A2737" s="193" t="str">
        <f ca="1"/>
        <v/>
      </c>
      <c r="B2737" s="378"/>
      <c r="C2737" s="315"/>
      <c r="D2737" s="316"/>
      <c r="E2737" s="315"/>
      <c r="F2737" s="315"/>
      <c r="G2737" s="315"/>
      <c r="H2737" s="153"/>
      <c r="I2737" s="12"/>
      <c r="J2737" s="12"/>
      <c r="K2737" s="12"/>
      <c r="L2737" s="379"/>
      <c r="M2737" s="380"/>
      <c r="N2737" s="380"/>
      <c r="O2737" s="12"/>
      <c r="P2737" s="381"/>
      <c r="Q2737" s="12"/>
      <c r="R2737" s="12"/>
      <c r="S2737" s="382"/>
      <c r="T2737" s="383"/>
      <c r="U2737" s="384"/>
      <c r="V2737" s="12"/>
      <c r="W2737" s="12"/>
    </row>
    <row r="2738" spans="1:23" x14ac:dyDescent="0.3">
      <c r="A2738" s="193" t="str">
        <f ca="1"/>
        <v/>
      </c>
      <c r="B2738" s="378"/>
      <c r="C2738" s="315"/>
      <c r="D2738" s="316"/>
      <c r="E2738" s="315"/>
      <c r="F2738" s="315"/>
      <c r="G2738" s="315"/>
      <c r="H2738" s="153"/>
      <c r="I2738" s="12"/>
      <c r="J2738" s="12"/>
      <c r="K2738" s="12"/>
      <c r="L2738" s="379"/>
      <c r="M2738" s="380"/>
      <c r="N2738" s="380"/>
      <c r="O2738" s="12"/>
      <c r="P2738" s="381"/>
      <c r="Q2738" s="12"/>
      <c r="R2738" s="12"/>
      <c r="S2738" s="382"/>
      <c r="T2738" s="383"/>
      <c r="U2738" s="384"/>
      <c r="V2738" s="12"/>
      <c r="W2738" s="12"/>
    </row>
    <row r="2739" spans="1:23" x14ac:dyDescent="0.3">
      <c r="A2739" s="193" t="str">
        <f ca="1"/>
        <v/>
      </c>
      <c r="B2739" s="378"/>
      <c r="C2739" s="315"/>
      <c r="D2739" s="316"/>
      <c r="E2739" s="315"/>
      <c r="F2739" s="315"/>
      <c r="G2739" s="315"/>
      <c r="H2739" s="153"/>
      <c r="I2739" s="12"/>
      <c r="J2739" s="12"/>
      <c r="K2739" s="12"/>
      <c r="L2739" s="379"/>
      <c r="M2739" s="380"/>
      <c r="N2739" s="380"/>
      <c r="O2739" s="12"/>
      <c r="P2739" s="381"/>
      <c r="Q2739" s="12"/>
      <c r="R2739" s="12"/>
      <c r="S2739" s="382"/>
      <c r="T2739" s="383"/>
      <c r="U2739" s="384"/>
      <c r="V2739" s="12"/>
      <c r="W2739" s="12"/>
    </row>
    <row r="2740" spans="1:23" x14ac:dyDescent="0.3">
      <c r="A2740" s="193" t="str">
        <f ca="1"/>
        <v/>
      </c>
      <c r="B2740" s="378"/>
      <c r="C2740" s="315"/>
      <c r="D2740" s="316"/>
      <c r="E2740" s="315"/>
      <c r="F2740" s="315"/>
      <c r="G2740" s="315"/>
      <c r="H2740" s="153"/>
      <c r="I2740" s="12"/>
      <c r="J2740" s="12"/>
      <c r="K2740" s="12"/>
      <c r="L2740" s="379"/>
      <c r="M2740" s="380"/>
      <c r="N2740" s="380"/>
      <c r="O2740" s="12"/>
      <c r="P2740" s="381"/>
      <c r="Q2740" s="12"/>
      <c r="R2740" s="12"/>
      <c r="S2740" s="382"/>
      <c r="T2740" s="383"/>
      <c r="U2740" s="384"/>
      <c r="V2740" s="12"/>
      <c r="W2740" s="12"/>
    </row>
    <row r="2741" spans="1:23" x14ac:dyDescent="0.3">
      <c r="A2741" s="193" t="str">
        <f ca="1"/>
        <v/>
      </c>
      <c r="B2741" s="378"/>
      <c r="C2741" s="315"/>
      <c r="D2741" s="316"/>
      <c r="E2741" s="315"/>
      <c r="F2741" s="315"/>
      <c r="G2741" s="315"/>
      <c r="H2741" s="153"/>
      <c r="I2741" s="12"/>
      <c r="J2741" s="12"/>
      <c r="K2741" s="12"/>
      <c r="L2741" s="379"/>
      <c r="M2741" s="380"/>
      <c r="N2741" s="380"/>
      <c r="O2741" s="12"/>
      <c r="P2741" s="381"/>
      <c r="Q2741" s="12"/>
      <c r="R2741" s="12"/>
      <c r="S2741" s="382"/>
      <c r="T2741" s="383"/>
      <c r="U2741" s="384"/>
      <c r="V2741" s="12"/>
      <c r="W2741" s="12"/>
    </row>
    <row r="2742" spans="1:23" x14ac:dyDescent="0.3">
      <c r="A2742" s="193" t="str">
        <f ca="1"/>
        <v/>
      </c>
      <c r="B2742" s="378"/>
      <c r="C2742" s="315"/>
      <c r="D2742" s="316"/>
      <c r="E2742" s="315"/>
      <c r="F2742" s="315"/>
      <c r="G2742" s="315"/>
      <c r="H2742" s="153"/>
      <c r="I2742" s="12"/>
      <c r="J2742" s="12"/>
      <c r="K2742" s="12"/>
      <c r="L2742" s="379"/>
      <c r="M2742" s="380"/>
      <c r="N2742" s="380"/>
      <c r="O2742" s="12"/>
      <c r="P2742" s="381"/>
      <c r="Q2742" s="12"/>
      <c r="R2742" s="12"/>
      <c r="S2742" s="382"/>
      <c r="T2742" s="383"/>
      <c r="U2742" s="384"/>
      <c r="V2742" s="12"/>
      <c r="W2742" s="12"/>
    </row>
    <row r="2743" spans="1:23" x14ac:dyDescent="0.3">
      <c r="A2743" s="193" t="str">
        <f ca="1"/>
        <v/>
      </c>
      <c r="B2743" s="378"/>
      <c r="C2743" s="315"/>
      <c r="D2743" s="316"/>
      <c r="E2743" s="315"/>
      <c r="F2743" s="315"/>
      <c r="G2743" s="315"/>
      <c r="H2743" s="153"/>
      <c r="I2743" s="12"/>
      <c r="J2743" s="12"/>
      <c r="K2743" s="12"/>
      <c r="L2743" s="379"/>
      <c r="M2743" s="380"/>
      <c r="N2743" s="380"/>
      <c r="O2743" s="12"/>
      <c r="P2743" s="381"/>
      <c r="Q2743" s="12"/>
      <c r="R2743" s="12"/>
      <c r="S2743" s="382"/>
      <c r="T2743" s="383"/>
      <c r="U2743" s="384"/>
      <c r="V2743" s="12"/>
      <c r="W2743" s="12"/>
    </row>
    <row r="2744" spans="1:23" x14ac:dyDescent="0.3">
      <c r="A2744" s="193" t="str">
        <f ca="1"/>
        <v/>
      </c>
      <c r="B2744" s="378"/>
      <c r="C2744" s="315"/>
      <c r="D2744" s="316"/>
      <c r="E2744" s="315"/>
      <c r="F2744" s="315"/>
      <c r="G2744" s="315"/>
      <c r="H2744" s="153"/>
      <c r="I2744" s="12"/>
      <c r="J2744" s="12"/>
      <c r="K2744" s="12"/>
      <c r="L2744" s="379"/>
      <c r="M2744" s="380"/>
      <c r="N2744" s="380"/>
      <c r="O2744" s="12"/>
      <c r="P2744" s="381"/>
      <c r="Q2744" s="12"/>
      <c r="R2744" s="12"/>
      <c r="S2744" s="382"/>
      <c r="T2744" s="383"/>
      <c r="U2744" s="384"/>
      <c r="V2744" s="12"/>
      <c r="W2744" s="12"/>
    </row>
    <row r="2745" spans="1:23" x14ac:dyDescent="0.3">
      <c r="A2745" s="193" t="str">
        <f ca="1"/>
        <v/>
      </c>
      <c r="B2745" s="378"/>
      <c r="C2745" s="315"/>
      <c r="D2745" s="316"/>
      <c r="E2745" s="315"/>
      <c r="F2745" s="315"/>
      <c r="G2745" s="315"/>
      <c r="H2745" s="153"/>
      <c r="I2745" s="12"/>
      <c r="J2745" s="12"/>
      <c r="K2745" s="12"/>
      <c r="L2745" s="379"/>
      <c r="M2745" s="380"/>
      <c r="N2745" s="380"/>
      <c r="O2745" s="12"/>
      <c r="P2745" s="381"/>
      <c r="Q2745" s="12"/>
      <c r="R2745" s="12"/>
      <c r="S2745" s="382"/>
      <c r="T2745" s="383"/>
      <c r="U2745" s="384"/>
      <c r="V2745" s="12"/>
      <c r="W2745" s="12"/>
    </row>
    <row r="2746" spans="1:23" x14ac:dyDescent="0.3">
      <c r="A2746" s="193" t="str">
        <f ca="1"/>
        <v/>
      </c>
      <c r="B2746" s="378"/>
      <c r="C2746" s="315"/>
      <c r="D2746" s="316"/>
      <c r="E2746" s="315"/>
      <c r="F2746" s="315"/>
      <c r="G2746" s="315"/>
      <c r="H2746" s="153"/>
      <c r="I2746" s="12"/>
      <c r="J2746" s="12"/>
      <c r="K2746" s="12"/>
      <c r="L2746" s="379"/>
      <c r="M2746" s="380"/>
      <c r="N2746" s="380"/>
      <c r="O2746" s="12"/>
      <c r="P2746" s="381"/>
      <c r="Q2746" s="12"/>
      <c r="R2746" s="12"/>
      <c r="S2746" s="382"/>
      <c r="T2746" s="383"/>
      <c r="U2746" s="384"/>
      <c r="V2746" s="12"/>
      <c r="W2746" s="12"/>
    </row>
    <row r="2747" spans="1:23" x14ac:dyDescent="0.3">
      <c r="A2747" s="193" t="str">
        <f ca="1"/>
        <v/>
      </c>
      <c r="B2747" s="378"/>
      <c r="C2747" s="315"/>
      <c r="D2747" s="316"/>
      <c r="E2747" s="315"/>
      <c r="F2747" s="315"/>
      <c r="G2747" s="315"/>
      <c r="H2747" s="153"/>
      <c r="I2747" s="12"/>
      <c r="J2747" s="12"/>
      <c r="K2747" s="12"/>
      <c r="L2747" s="379"/>
      <c r="M2747" s="380"/>
      <c r="N2747" s="380"/>
      <c r="O2747" s="12"/>
      <c r="P2747" s="381"/>
      <c r="Q2747" s="12"/>
      <c r="R2747" s="12"/>
      <c r="S2747" s="382"/>
      <c r="T2747" s="383"/>
      <c r="U2747" s="384"/>
      <c r="V2747" s="12"/>
      <c r="W2747" s="12"/>
    </row>
    <row r="2748" spans="1:23" x14ac:dyDescent="0.3">
      <c r="A2748" s="193" t="str">
        <f ca="1"/>
        <v/>
      </c>
      <c r="B2748" s="378"/>
      <c r="C2748" s="315"/>
      <c r="D2748" s="316"/>
      <c r="E2748" s="315"/>
      <c r="F2748" s="315"/>
      <c r="G2748" s="315"/>
      <c r="H2748" s="153"/>
      <c r="I2748" s="12"/>
      <c r="J2748" s="12"/>
      <c r="K2748" s="12"/>
      <c r="L2748" s="379"/>
      <c r="M2748" s="380"/>
      <c r="N2748" s="380"/>
      <c r="O2748" s="12"/>
      <c r="P2748" s="381"/>
      <c r="Q2748" s="12"/>
      <c r="R2748" s="12"/>
      <c r="S2748" s="382"/>
      <c r="T2748" s="383"/>
      <c r="U2748" s="384"/>
      <c r="V2748" s="12"/>
      <c r="W2748" s="12"/>
    </row>
    <row r="2749" spans="1:23" x14ac:dyDescent="0.3">
      <c r="A2749" s="193" t="str">
        <f ca="1"/>
        <v/>
      </c>
      <c r="B2749" s="378"/>
      <c r="C2749" s="315"/>
      <c r="D2749" s="316"/>
      <c r="E2749" s="315"/>
      <c r="F2749" s="315"/>
      <c r="G2749" s="315"/>
      <c r="H2749" s="153"/>
      <c r="I2749" s="12"/>
      <c r="J2749" s="12"/>
      <c r="K2749" s="12"/>
      <c r="L2749" s="379"/>
      <c r="M2749" s="380"/>
      <c r="N2749" s="380"/>
      <c r="O2749" s="12"/>
      <c r="P2749" s="381"/>
      <c r="Q2749" s="12"/>
      <c r="R2749" s="12"/>
      <c r="S2749" s="382"/>
      <c r="T2749" s="383"/>
      <c r="U2749" s="384"/>
      <c r="V2749" s="12"/>
      <c r="W2749" s="12"/>
    </row>
    <row r="2750" spans="1:23" x14ac:dyDescent="0.3">
      <c r="A2750" s="193" t="str">
        <f ca="1"/>
        <v/>
      </c>
      <c r="B2750" s="378"/>
      <c r="C2750" s="315"/>
      <c r="D2750" s="316"/>
      <c r="E2750" s="315"/>
      <c r="F2750" s="315"/>
      <c r="G2750" s="315"/>
      <c r="H2750" s="153"/>
      <c r="I2750" s="12"/>
      <c r="J2750" s="12"/>
      <c r="K2750" s="12"/>
      <c r="L2750" s="379"/>
      <c r="M2750" s="380"/>
      <c r="N2750" s="380"/>
      <c r="O2750" s="12"/>
      <c r="P2750" s="381"/>
      <c r="Q2750" s="12"/>
      <c r="R2750" s="12"/>
      <c r="S2750" s="382"/>
      <c r="T2750" s="383"/>
      <c r="U2750" s="384"/>
      <c r="V2750" s="12"/>
      <c r="W2750" s="12"/>
    </row>
    <row r="2751" spans="1:23" x14ac:dyDescent="0.3">
      <c r="A2751" s="193" t="str">
        <f ca="1"/>
        <v/>
      </c>
      <c r="B2751" s="378"/>
      <c r="C2751" s="315"/>
      <c r="D2751" s="316"/>
      <c r="E2751" s="315"/>
      <c r="F2751" s="315"/>
      <c r="G2751" s="315"/>
      <c r="H2751" s="153"/>
      <c r="I2751" s="12"/>
      <c r="J2751" s="12"/>
      <c r="K2751" s="12"/>
      <c r="L2751" s="379"/>
      <c r="M2751" s="380"/>
      <c r="N2751" s="380"/>
      <c r="O2751" s="12"/>
      <c r="P2751" s="381"/>
      <c r="Q2751" s="12"/>
      <c r="R2751" s="12"/>
      <c r="S2751" s="382"/>
      <c r="T2751" s="383"/>
      <c r="U2751" s="384"/>
      <c r="V2751" s="12"/>
      <c r="W2751" s="12"/>
    </row>
    <row r="2752" spans="1:23" x14ac:dyDescent="0.3">
      <c r="A2752" s="193" t="str">
        <f ca="1"/>
        <v/>
      </c>
      <c r="B2752" s="378"/>
      <c r="C2752" s="315"/>
      <c r="D2752" s="316"/>
      <c r="E2752" s="315"/>
      <c r="F2752" s="315"/>
      <c r="G2752" s="315"/>
      <c r="H2752" s="153"/>
      <c r="I2752" s="12"/>
      <c r="J2752" s="12"/>
      <c r="K2752" s="12"/>
      <c r="L2752" s="379"/>
      <c r="M2752" s="380"/>
      <c r="N2752" s="380"/>
      <c r="O2752" s="12"/>
      <c r="P2752" s="381"/>
      <c r="Q2752" s="12"/>
      <c r="R2752" s="12"/>
      <c r="S2752" s="382"/>
      <c r="T2752" s="383"/>
      <c r="U2752" s="384"/>
      <c r="V2752" s="12"/>
      <c r="W2752" s="12"/>
    </row>
    <row r="2753" spans="1:23" x14ac:dyDescent="0.3">
      <c r="A2753" s="193" t="str">
        <f ca="1"/>
        <v/>
      </c>
      <c r="B2753" s="378"/>
      <c r="C2753" s="315"/>
      <c r="D2753" s="316"/>
      <c r="E2753" s="315"/>
      <c r="F2753" s="315"/>
      <c r="G2753" s="315"/>
      <c r="H2753" s="153"/>
      <c r="I2753" s="12"/>
      <c r="J2753" s="12"/>
      <c r="K2753" s="12"/>
      <c r="L2753" s="379"/>
      <c r="M2753" s="380"/>
      <c r="N2753" s="380"/>
      <c r="O2753" s="12"/>
      <c r="P2753" s="381"/>
      <c r="Q2753" s="12"/>
      <c r="R2753" s="12"/>
      <c r="S2753" s="382"/>
      <c r="T2753" s="383"/>
      <c r="U2753" s="384"/>
      <c r="V2753" s="12"/>
      <c r="W2753" s="12"/>
    </row>
    <row r="2754" spans="1:23" x14ac:dyDescent="0.3">
      <c r="A2754" s="193" t="str">
        <f ca="1"/>
        <v/>
      </c>
      <c r="B2754" s="378"/>
      <c r="C2754" s="315"/>
      <c r="D2754" s="316"/>
      <c r="E2754" s="315"/>
      <c r="F2754" s="315"/>
      <c r="G2754" s="315"/>
      <c r="H2754" s="153"/>
      <c r="I2754" s="12"/>
      <c r="J2754" s="12"/>
      <c r="K2754" s="12"/>
      <c r="L2754" s="379"/>
      <c r="M2754" s="380"/>
      <c r="N2754" s="380"/>
      <c r="O2754" s="12"/>
      <c r="P2754" s="381"/>
      <c r="Q2754" s="12"/>
      <c r="R2754" s="12"/>
      <c r="S2754" s="382"/>
      <c r="T2754" s="383"/>
      <c r="U2754" s="384"/>
      <c r="V2754" s="12"/>
      <c r="W2754" s="12"/>
    </row>
    <row r="2755" spans="1:23" x14ac:dyDescent="0.3">
      <c r="A2755" s="193" t="str">
        <f ca="1"/>
        <v/>
      </c>
      <c r="B2755" s="378"/>
      <c r="C2755" s="315"/>
      <c r="D2755" s="316"/>
      <c r="E2755" s="315"/>
      <c r="F2755" s="315"/>
      <c r="G2755" s="315"/>
      <c r="H2755" s="153"/>
      <c r="I2755" s="12"/>
      <c r="J2755" s="12"/>
      <c r="K2755" s="12"/>
      <c r="L2755" s="379"/>
      <c r="M2755" s="380"/>
      <c r="N2755" s="380"/>
      <c r="O2755" s="12"/>
      <c r="P2755" s="381"/>
      <c r="Q2755" s="12"/>
      <c r="R2755" s="12"/>
      <c r="S2755" s="382"/>
      <c r="T2755" s="383"/>
      <c r="U2755" s="384"/>
      <c r="V2755" s="12"/>
      <c r="W2755" s="12"/>
    </row>
    <row r="2756" spans="1:23" x14ac:dyDescent="0.3">
      <c r="A2756" s="193" t="str">
        <f ca="1"/>
        <v/>
      </c>
      <c r="B2756" s="378"/>
      <c r="C2756" s="315"/>
      <c r="D2756" s="316"/>
      <c r="E2756" s="315"/>
      <c r="F2756" s="315"/>
      <c r="G2756" s="315"/>
      <c r="H2756" s="153"/>
      <c r="I2756" s="12"/>
      <c r="J2756" s="12"/>
      <c r="K2756" s="12"/>
      <c r="L2756" s="379"/>
      <c r="M2756" s="380"/>
      <c r="N2756" s="380"/>
      <c r="O2756" s="12"/>
      <c r="P2756" s="381"/>
      <c r="Q2756" s="12"/>
      <c r="R2756" s="12"/>
      <c r="S2756" s="382"/>
      <c r="T2756" s="383"/>
      <c r="U2756" s="384"/>
      <c r="V2756" s="12"/>
      <c r="W2756" s="12"/>
    </row>
    <row r="2757" spans="1:23" x14ac:dyDescent="0.3">
      <c r="A2757" s="193" t="str">
        <f ca="1"/>
        <v/>
      </c>
      <c r="B2757" s="378"/>
      <c r="C2757" s="315"/>
      <c r="D2757" s="316"/>
      <c r="E2757" s="315"/>
      <c r="F2757" s="315"/>
      <c r="G2757" s="315"/>
      <c r="H2757" s="153"/>
      <c r="I2757" s="12"/>
      <c r="J2757" s="12"/>
      <c r="K2757" s="12"/>
      <c r="L2757" s="379"/>
      <c r="M2757" s="380"/>
      <c r="N2757" s="380"/>
      <c r="O2757" s="12"/>
      <c r="P2757" s="381"/>
      <c r="Q2757" s="12"/>
      <c r="R2757" s="12"/>
      <c r="S2757" s="382"/>
      <c r="T2757" s="383"/>
      <c r="U2757" s="384"/>
      <c r="V2757" s="12"/>
      <c r="W2757" s="12"/>
    </row>
    <row r="2758" spans="1:23" x14ac:dyDescent="0.3">
      <c r="A2758" s="193" t="str">
        <f ca="1"/>
        <v/>
      </c>
      <c r="B2758" s="378"/>
      <c r="C2758" s="315"/>
      <c r="D2758" s="316"/>
      <c r="E2758" s="315"/>
      <c r="F2758" s="315"/>
      <c r="G2758" s="315"/>
      <c r="H2758" s="153"/>
      <c r="I2758" s="12"/>
      <c r="J2758" s="12"/>
      <c r="K2758" s="12"/>
      <c r="L2758" s="379"/>
      <c r="M2758" s="380"/>
      <c r="N2758" s="380"/>
      <c r="O2758" s="12"/>
      <c r="P2758" s="381"/>
      <c r="Q2758" s="12"/>
      <c r="R2758" s="12"/>
      <c r="S2758" s="382"/>
      <c r="T2758" s="383"/>
      <c r="U2758" s="384"/>
      <c r="V2758" s="12"/>
      <c r="W2758" s="12"/>
    </row>
    <row r="2759" spans="1:23" x14ac:dyDescent="0.3">
      <c r="A2759" s="193" t="str">
        <f ca="1"/>
        <v/>
      </c>
      <c r="B2759" s="378"/>
      <c r="C2759" s="315"/>
      <c r="D2759" s="316"/>
      <c r="E2759" s="315"/>
      <c r="F2759" s="315"/>
      <c r="G2759" s="315"/>
      <c r="H2759" s="153"/>
      <c r="I2759" s="12"/>
      <c r="J2759" s="12"/>
      <c r="K2759" s="12"/>
      <c r="L2759" s="379"/>
      <c r="M2759" s="380"/>
      <c r="N2759" s="380"/>
      <c r="O2759" s="12"/>
      <c r="P2759" s="381"/>
      <c r="Q2759" s="12"/>
      <c r="R2759" s="12"/>
      <c r="S2759" s="382"/>
      <c r="T2759" s="383"/>
      <c r="U2759" s="384"/>
      <c r="V2759" s="12"/>
      <c r="W2759" s="12"/>
    </row>
    <row r="2760" spans="1:23" x14ac:dyDescent="0.3">
      <c r="A2760" s="193" t="str">
        <f ca="1"/>
        <v/>
      </c>
      <c r="B2760" s="378"/>
      <c r="C2760" s="315"/>
      <c r="D2760" s="316"/>
      <c r="E2760" s="315"/>
      <c r="F2760" s="315"/>
      <c r="G2760" s="315"/>
      <c r="H2760" s="153"/>
      <c r="I2760" s="12"/>
      <c r="J2760" s="12"/>
      <c r="K2760" s="12"/>
      <c r="L2760" s="379"/>
      <c r="M2760" s="380"/>
      <c r="N2760" s="380"/>
      <c r="O2760" s="12"/>
      <c r="P2760" s="381"/>
      <c r="Q2760" s="12"/>
      <c r="R2760" s="12"/>
      <c r="S2760" s="382"/>
      <c r="T2760" s="383"/>
      <c r="U2760" s="384"/>
      <c r="V2760" s="12"/>
      <c r="W2760" s="12"/>
    </row>
    <row r="2761" spans="1:23" x14ac:dyDescent="0.3">
      <c r="A2761" s="193" t="str">
        <f ca="1"/>
        <v/>
      </c>
      <c r="B2761" s="378"/>
      <c r="C2761" s="315"/>
      <c r="D2761" s="316"/>
      <c r="E2761" s="315"/>
      <c r="F2761" s="315"/>
      <c r="G2761" s="315"/>
      <c r="H2761" s="153"/>
      <c r="I2761" s="12"/>
      <c r="J2761" s="12"/>
      <c r="K2761" s="12"/>
      <c r="L2761" s="379"/>
      <c r="M2761" s="380"/>
      <c r="N2761" s="380"/>
      <c r="O2761" s="12"/>
      <c r="P2761" s="381"/>
      <c r="Q2761" s="12"/>
      <c r="R2761" s="12"/>
      <c r="S2761" s="382"/>
      <c r="T2761" s="383"/>
      <c r="U2761" s="384"/>
      <c r="V2761" s="12"/>
      <c r="W2761" s="12"/>
    </row>
    <row r="2762" spans="1:23" x14ac:dyDescent="0.3">
      <c r="A2762" s="193" t="str">
        <f ca="1"/>
        <v/>
      </c>
      <c r="B2762" s="378"/>
      <c r="C2762" s="315"/>
      <c r="D2762" s="316"/>
      <c r="E2762" s="315"/>
      <c r="F2762" s="315"/>
      <c r="G2762" s="315"/>
      <c r="H2762" s="153"/>
      <c r="I2762" s="12"/>
      <c r="J2762" s="12"/>
      <c r="K2762" s="12"/>
      <c r="L2762" s="379"/>
      <c r="M2762" s="380"/>
      <c r="N2762" s="380"/>
      <c r="O2762" s="12"/>
      <c r="P2762" s="381"/>
      <c r="Q2762" s="12"/>
      <c r="R2762" s="12"/>
      <c r="S2762" s="382"/>
      <c r="T2762" s="383"/>
      <c r="U2762" s="384"/>
      <c r="V2762" s="12"/>
      <c r="W2762" s="12"/>
    </row>
    <row r="2763" spans="1:23" x14ac:dyDescent="0.3">
      <c r="A2763" s="193" t="str">
        <f ca="1"/>
        <v/>
      </c>
      <c r="B2763" s="378"/>
      <c r="C2763" s="315"/>
      <c r="D2763" s="316"/>
      <c r="E2763" s="315"/>
      <c r="F2763" s="315"/>
      <c r="G2763" s="315"/>
      <c r="H2763" s="153"/>
      <c r="I2763" s="12"/>
      <c r="J2763" s="12"/>
      <c r="K2763" s="12"/>
      <c r="L2763" s="379"/>
      <c r="M2763" s="380"/>
      <c r="N2763" s="380"/>
      <c r="O2763" s="12"/>
      <c r="P2763" s="381"/>
      <c r="Q2763" s="12"/>
      <c r="R2763" s="12"/>
      <c r="S2763" s="382"/>
      <c r="T2763" s="383"/>
      <c r="U2763" s="384"/>
      <c r="V2763" s="12"/>
      <c r="W2763" s="12"/>
    </row>
    <row r="2764" spans="1:23" x14ac:dyDescent="0.3">
      <c r="A2764" s="193" t="str">
        <f ca="1"/>
        <v/>
      </c>
      <c r="B2764" s="378"/>
      <c r="C2764" s="315"/>
      <c r="D2764" s="316"/>
      <c r="E2764" s="315"/>
      <c r="F2764" s="315"/>
      <c r="G2764" s="315"/>
      <c r="H2764" s="153"/>
      <c r="I2764" s="12"/>
      <c r="J2764" s="12"/>
      <c r="K2764" s="12"/>
      <c r="L2764" s="379"/>
      <c r="M2764" s="380"/>
      <c r="N2764" s="380"/>
      <c r="O2764" s="12"/>
      <c r="P2764" s="381"/>
      <c r="Q2764" s="12"/>
      <c r="R2764" s="12"/>
      <c r="S2764" s="382"/>
      <c r="T2764" s="383"/>
      <c r="U2764" s="384"/>
      <c r="V2764" s="12"/>
      <c r="W2764" s="12"/>
    </row>
    <row r="2765" spans="1:23" x14ac:dyDescent="0.3">
      <c r="A2765" s="193" t="str">
        <f ca="1"/>
        <v/>
      </c>
      <c r="B2765" s="378"/>
      <c r="C2765" s="315"/>
      <c r="D2765" s="316"/>
      <c r="E2765" s="315"/>
      <c r="F2765" s="315"/>
      <c r="G2765" s="315"/>
      <c r="H2765" s="153"/>
      <c r="I2765" s="12"/>
      <c r="J2765" s="12"/>
      <c r="K2765" s="12"/>
      <c r="L2765" s="379"/>
      <c r="M2765" s="380"/>
      <c r="N2765" s="380"/>
      <c r="O2765" s="12"/>
      <c r="P2765" s="381"/>
      <c r="Q2765" s="12"/>
      <c r="R2765" s="12"/>
      <c r="S2765" s="382"/>
      <c r="T2765" s="383"/>
      <c r="U2765" s="384"/>
      <c r="V2765" s="12"/>
      <c r="W2765" s="12"/>
    </row>
    <row r="2766" spans="1:23" x14ac:dyDescent="0.3">
      <c r="A2766" s="193" t="str">
        <f ca="1"/>
        <v/>
      </c>
      <c r="B2766" s="378"/>
      <c r="C2766" s="315"/>
      <c r="D2766" s="316"/>
      <c r="E2766" s="315"/>
      <c r="F2766" s="315"/>
      <c r="G2766" s="315"/>
      <c r="H2766" s="153"/>
      <c r="I2766" s="12"/>
      <c r="J2766" s="12"/>
      <c r="K2766" s="12"/>
      <c r="L2766" s="379"/>
      <c r="M2766" s="380"/>
      <c r="N2766" s="380"/>
      <c r="O2766" s="12"/>
      <c r="P2766" s="381"/>
      <c r="Q2766" s="12"/>
      <c r="R2766" s="12"/>
      <c r="S2766" s="382"/>
      <c r="T2766" s="383"/>
      <c r="U2766" s="384"/>
      <c r="V2766" s="12"/>
      <c r="W2766" s="12"/>
    </row>
    <row r="2767" spans="1:23" x14ac:dyDescent="0.3">
      <c r="A2767" s="193" t="str">
        <f ca="1"/>
        <v/>
      </c>
      <c r="B2767" s="378"/>
      <c r="C2767" s="315"/>
      <c r="D2767" s="316"/>
      <c r="E2767" s="315"/>
      <c r="F2767" s="315"/>
      <c r="G2767" s="315"/>
      <c r="H2767" s="153"/>
      <c r="I2767" s="12"/>
      <c r="J2767" s="12"/>
      <c r="K2767" s="12"/>
      <c r="L2767" s="379"/>
      <c r="M2767" s="380"/>
      <c r="N2767" s="380"/>
      <c r="O2767" s="12"/>
      <c r="P2767" s="381"/>
      <c r="Q2767" s="12"/>
      <c r="R2767" s="12"/>
      <c r="S2767" s="382"/>
      <c r="T2767" s="383"/>
      <c r="U2767" s="384"/>
      <c r="V2767" s="12"/>
      <c r="W2767" s="12"/>
    </row>
    <row r="2768" spans="1:23" x14ac:dyDescent="0.3">
      <c r="A2768" s="193" t="str">
        <f ca="1"/>
        <v/>
      </c>
      <c r="B2768" s="378"/>
      <c r="C2768" s="315"/>
      <c r="D2768" s="316"/>
      <c r="E2768" s="315"/>
      <c r="F2768" s="315"/>
      <c r="G2768" s="315"/>
      <c r="H2768" s="153"/>
      <c r="I2768" s="12"/>
      <c r="J2768" s="12"/>
      <c r="K2768" s="12"/>
      <c r="L2768" s="379"/>
      <c r="M2768" s="380"/>
      <c r="N2768" s="380"/>
      <c r="O2768" s="12"/>
      <c r="P2768" s="381"/>
      <c r="Q2768" s="12"/>
      <c r="R2768" s="12"/>
      <c r="S2768" s="382"/>
      <c r="T2768" s="383"/>
      <c r="U2768" s="384"/>
      <c r="V2768" s="12"/>
      <c r="W2768" s="12"/>
    </row>
    <row r="2769" spans="1:23" x14ac:dyDescent="0.3">
      <c r="A2769" s="193" t="str">
        <f ca="1"/>
        <v/>
      </c>
      <c r="B2769" s="378"/>
      <c r="C2769" s="315"/>
      <c r="D2769" s="316"/>
      <c r="E2769" s="315"/>
      <c r="F2769" s="315"/>
      <c r="G2769" s="315"/>
      <c r="H2769" s="153"/>
      <c r="I2769" s="12"/>
      <c r="J2769" s="12"/>
      <c r="K2769" s="12"/>
      <c r="L2769" s="379"/>
      <c r="M2769" s="380"/>
      <c r="N2769" s="380"/>
      <c r="O2769" s="12"/>
      <c r="P2769" s="381"/>
      <c r="Q2769" s="12"/>
      <c r="R2769" s="12"/>
      <c r="S2769" s="382"/>
      <c r="T2769" s="383"/>
      <c r="U2769" s="384"/>
      <c r="V2769" s="12"/>
      <c r="W2769" s="12"/>
    </row>
    <row r="2770" spans="1:23" x14ac:dyDescent="0.3">
      <c r="A2770" s="193" t="str">
        <f ca="1"/>
        <v/>
      </c>
      <c r="B2770" s="378"/>
      <c r="C2770" s="315"/>
      <c r="D2770" s="316"/>
      <c r="E2770" s="315"/>
      <c r="F2770" s="315"/>
      <c r="G2770" s="315"/>
      <c r="H2770" s="153"/>
      <c r="I2770" s="12"/>
      <c r="J2770" s="12"/>
      <c r="K2770" s="12"/>
      <c r="L2770" s="379"/>
      <c r="M2770" s="380"/>
      <c r="N2770" s="380"/>
      <c r="O2770" s="12"/>
      <c r="P2770" s="381"/>
      <c r="Q2770" s="12"/>
      <c r="R2770" s="12"/>
      <c r="S2770" s="382"/>
      <c r="T2770" s="383"/>
      <c r="U2770" s="384"/>
      <c r="V2770" s="12"/>
      <c r="W2770" s="12"/>
    </row>
    <row r="2771" spans="1:23" x14ac:dyDescent="0.3">
      <c r="A2771" s="193" t="str">
        <f ca="1"/>
        <v/>
      </c>
      <c r="B2771" s="378"/>
      <c r="C2771" s="315"/>
      <c r="D2771" s="316"/>
      <c r="E2771" s="315"/>
      <c r="F2771" s="315"/>
      <c r="G2771" s="315"/>
      <c r="H2771" s="153"/>
      <c r="I2771" s="12"/>
      <c r="J2771" s="12"/>
      <c r="K2771" s="12"/>
      <c r="L2771" s="379"/>
      <c r="M2771" s="380"/>
      <c r="N2771" s="380"/>
      <c r="O2771" s="12"/>
      <c r="P2771" s="381"/>
      <c r="Q2771" s="12"/>
      <c r="R2771" s="12"/>
      <c r="S2771" s="382"/>
      <c r="T2771" s="383"/>
      <c r="U2771" s="384"/>
      <c r="V2771" s="12"/>
      <c r="W2771" s="12"/>
    </row>
    <row r="2772" spans="1:23" x14ac:dyDescent="0.3">
      <c r="A2772" s="193" t="str">
        <f ca="1"/>
        <v/>
      </c>
      <c r="B2772" s="378"/>
      <c r="C2772" s="315"/>
      <c r="D2772" s="316"/>
      <c r="E2772" s="315"/>
      <c r="F2772" s="315"/>
      <c r="G2772" s="315"/>
      <c r="H2772" s="153"/>
      <c r="I2772" s="12"/>
      <c r="J2772" s="12"/>
      <c r="K2772" s="12"/>
      <c r="L2772" s="379"/>
      <c r="M2772" s="380"/>
      <c r="N2772" s="380"/>
      <c r="O2772" s="12"/>
      <c r="P2772" s="381"/>
      <c r="Q2772" s="12"/>
      <c r="R2772" s="12"/>
      <c r="S2772" s="382"/>
      <c r="T2772" s="383"/>
      <c r="U2772" s="384"/>
      <c r="V2772" s="12"/>
      <c r="W2772" s="12"/>
    </row>
    <row r="2773" spans="1:23" x14ac:dyDescent="0.3">
      <c r="A2773" s="193" t="str">
        <f ca="1"/>
        <v/>
      </c>
      <c r="B2773" s="378"/>
      <c r="C2773" s="315"/>
      <c r="D2773" s="316"/>
      <c r="E2773" s="315"/>
      <c r="F2773" s="315"/>
      <c r="G2773" s="315"/>
      <c r="H2773" s="153"/>
      <c r="I2773" s="12"/>
      <c r="J2773" s="12"/>
      <c r="K2773" s="12"/>
      <c r="L2773" s="379"/>
      <c r="M2773" s="380"/>
      <c r="N2773" s="380"/>
      <c r="O2773" s="12"/>
      <c r="P2773" s="381"/>
      <c r="Q2773" s="12"/>
      <c r="R2773" s="12"/>
      <c r="S2773" s="382"/>
      <c r="T2773" s="383"/>
      <c r="U2773" s="384"/>
      <c r="V2773" s="12"/>
      <c r="W2773" s="12"/>
    </row>
    <row r="2774" spans="1:23" x14ac:dyDescent="0.3">
      <c r="A2774" s="193" t="str">
        <f ca="1"/>
        <v/>
      </c>
      <c r="B2774" s="378"/>
      <c r="C2774" s="315"/>
      <c r="D2774" s="316"/>
      <c r="E2774" s="315"/>
      <c r="F2774" s="315"/>
      <c r="G2774" s="315"/>
      <c r="H2774" s="153"/>
      <c r="I2774" s="12"/>
      <c r="J2774" s="12"/>
      <c r="K2774" s="12"/>
      <c r="L2774" s="379"/>
      <c r="M2774" s="380"/>
      <c r="N2774" s="380"/>
      <c r="O2774" s="12"/>
      <c r="P2774" s="381"/>
      <c r="Q2774" s="12"/>
      <c r="R2774" s="12"/>
      <c r="S2774" s="382"/>
      <c r="T2774" s="383"/>
      <c r="U2774" s="384"/>
      <c r="V2774" s="12"/>
      <c r="W2774" s="12"/>
    </row>
    <row r="2775" spans="1:23" x14ac:dyDescent="0.3">
      <c r="A2775" s="193" t="str">
        <f ca="1"/>
        <v/>
      </c>
      <c r="B2775" s="378"/>
      <c r="C2775" s="315"/>
      <c r="D2775" s="316"/>
      <c r="E2775" s="315"/>
      <c r="F2775" s="315"/>
      <c r="G2775" s="315"/>
      <c r="H2775" s="153"/>
      <c r="I2775" s="12"/>
      <c r="J2775" s="12"/>
      <c r="K2775" s="12"/>
      <c r="L2775" s="379"/>
      <c r="M2775" s="380"/>
      <c r="N2775" s="380"/>
      <c r="O2775" s="12"/>
      <c r="P2775" s="381"/>
      <c r="Q2775" s="12"/>
      <c r="R2775" s="12"/>
      <c r="S2775" s="382"/>
      <c r="T2775" s="383"/>
      <c r="U2775" s="384"/>
      <c r="V2775" s="12"/>
      <c r="W2775" s="12"/>
    </row>
    <row r="2776" spans="1:23" x14ac:dyDescent="0.3">
      <c r="A2776" s="193" t="str">
        <f ca="1"/>
        <v/>
      </c>
      <c r="B2776" s="378"/>
      <c r="C2776" s="315"/>
      <c r="D2776" s="316"/>
      <c r="E2776" s="315"/>
      <c r="F2776" s="315"/>
      <c r="G2776" s="315"/>
      <c r="H2776" s="153"/>
      <c r="I2776" s="12"/>
      <c r="J2776" s="12"/>
      <c r="K2776" s="12"/>
      <c r="L2776" s="379"/>
      <c r="M2776" s="380"/>
      <c r="N2776" s="380"/>
      <c r="O2776" s="12"/>
      <c r="P2776" s="381"/>
      <c r="Q2776" s="12"/>
      <c r="R2776" s="12"/>
      <c r="S2776" s="382"/>
      <c r="T2776" s="383"/>
      <c r="U2776" s="384"/>
      <c r="V2776" s="12"/>
      <c r="W2776" s="12"/>
    </row>
    <row r="2777" spans="1:23" x14ac:dyDescent="0.3">
      <c r="A2777" s="193" t="str">
        <f ca="1"/>
        <v/>
      </c>
      <c r="B2777" s="378"/>
      <c r="C2777" s="315"/>
      <c r="D2777" s="316"/>
      <c r="E2777" s="315"/>
      <c r="F2777" s="315"/>
      <c r="G2777" s="315"/>
      <c r="H2777" s="153"/>
      <c r="I2777" s="12"/>
      <c r="J2777" s="12"/>
      <c r="K2777" s="12"/>
      <c r="L2777" s="379"/>
      <c r="M2777" s="380"/>
      <c r="N2777" s="380"/>
      <c r="O2777" s="12"/>
      <c r="P2777" s="381"/>
      <c r="Q2777" s="12"/>
      <c r="R2777" s="12"/>
      <c r="S2777" s="382"/>
      <c r="T2777" s="383"/>
      <c r="U2777" s="384"/>
      <c r="V2777" s="12"/>
      <c r="W2777" s="12"/>
    </row>
    <row r="2778" spans="1:23" x14ac:dyDescent="0.3">
      <c r="A2778" s="193" t="str">
        <f ca="1"/>
        <v/>
      </c>
      <c r="B2778" s="378"/>
      <c r="C2778" s="315"/>
      <c r="D2778" s="316"/>
      <c r="E2778" s="315"/>
      <c r="F2778" s="315"/>
      <c r="G2778" s="315"/>
      <c r="H2778" s="153"/>
      <c r="I2778" s="12"/>
      <c r="J2778" s="12"/>
      <c r="K2778" s="12"/>
      <c r="L2778" s="379"/>
      <c r="M2778" s="380"/>
      <c r="N2778" s="380"/>
      <c r="O2778" s="12"/>
      <c r="P2778" s="381"/>
      <c r="Q2778" s="12"/>
      <c r="R2778" s="12"/>
      <c r="S2778" s="382"/>
      <c r="T2778" s="383"/>
      <c r="U2778" s="384"/>
      <c r="V2778" s="12"/>
      <c r="W2778" s="12"/>
    </row>
    <row r="2779" spans="1:23" x14ac:dyDescent="0.3">
      <c r="A2779" s="193" t="str">
        <f ca="1"/>
        <v/>
      </c>
      <c r="B2779" s="378"/>
      <c r="C2779" s="315"/>
      <c r="D2779" s="316"/>
      <c r="E2779" s="315"/>
      <c r="F2779" s="315"/>
      <c r="G2779" s="315"/>
      <c r="H2779" s="153"/>
      <c r="I2779" s="12"/>
      <c r="J2779" s="12"/>
      <c r="K2779" s="12"/>
      <c r="L2779" s="379"/>
      <c r="M2779" s="380"/>
      <c r="N2779" s="380"/>
      <c r="O2779" s="12"/>
      <c r="P2779" s="381"/>
      <c r="Q2779" s="12"/>
      <c r="R2779" s="12"/>
      <c r="S2779" s="382"/>
      <c r="T2779" s="383"/>
      <c r="U2779" s="384"/>
      <c r="V2779" s="12"/>
      <c r="W2779" s="12"/>
    </row>
    <row r="2780" spans="1:23" x14ac:dyDescent="0.3">
      <c r="A2780" s="193" t="str">
        <f ca="1"/>
        <v/>
      </c>
      <c r="B2780" s="378"/>
      <c r="C2780" s="315"/>
      <c r="D2780" s="316"/>
      <c r="E2780" s="315"/>
      <c r="F2780" s="315"/>
      <c r="G2780" s="315"/>
      <c r="H2780" s="153"/>
      <c r="I2780" s="12"/>
      <c r="J2780" s="12"/>
      <c r="K2780" s="12"/>
      <c r="L2780" s="379"/>
      <c r="M2780" s="380"/>
      <c r="N2780" s="380"/>
      <c r="O2780" s="12"/>
      <c r="P2780" s="381"/>
      <c r="Q2780" s="12"/>
      <c r="R2780" s="12"/>
      <c r="S2780" s="382"/>
      <c r="T2780" s="383"/>
      <c r="U2780" s="384"/>
      <c r="V2780" s="12"/>
      <c r="W2780" s="12"/>
    </row>
    <row r="2781" spans="1:23" x14ac:dyDescent="0.3">
      <c r="A2781" s="193" t="str">
        <f ca="1"/>
        <v/>
      </c>
      <c r="B2781" s="378"/>
      <c r="C2781" s="315"/>
      <c r="D2781" s="316"/>
      <c r="E2781" s="315"/>
      <c r="F2781" s="315"/>
      <c r="G2781" s="315"/>
      <c r="H2781" s="153"/>
      <c r="I2781" s="12"/>
      <c r="J2781" s="12"/>
      <c r="K2781" s="12"/>
      <c r="L2781" s="379"/>
      <c r="M2781" s="380"/>
      <c r="N2781" s="380"/>
      <c r="O2781" s="12"/>
      <c r="P2781" s="381"/>
      <c r="Q2781" s="12"/>
      <c r="R2781" s="12"/>
      <c r="S2781" s="382"/>
      <c r="T2781" s="383"/>
      <c r="U2781" s="384"/>
      <c r="V2781" s="12"/>
      <c r="W2781" s="12"/>
    </row>
    <row r="2782" spans="1:23" x14ac:dyDescent="0.3">
      <c r="A2782" s="193" t="str">
        <f ca="1"/>
        <v/>
      </c>
      <c r="B2782" s="378"/>
      <c r="C2782" s="315"/>
      <c r="D2782" s="316"/>
      <c r="E2782" s="315"/>
      <c r="F2782" s="315"/>
      <c r="G2782" s="315"/>
      <c r="H2782" s="153"/>
      <c r="I2782" s="12"/>
      <c r="J2782" s="12"/>
      <c r="K2782" s="12"/>
      <c r="L2782" s="379"/>
      <c r="M2782" s="380"/>
      <c r="N2782" s="380"/>
      <c r="O2782" s="12"/>
      <c r="P2782" s="381"/>
      <c r="Q2782" s="12"/>
      <c r="R2782" s="12"/>
      <c r="S2782" s="382"/>
      <c r="T2782" s="383"/>
      <c r="U2782" s="384"/>
      <c r="V2782" s="12"/>
      <c r="W2782" s="12"/>
    </row>
    <row r="2783" spans="1:23" x14ac:dyDescent="0.3">
      <c r="A2783" s="193" t="str">
        <f ca="1"/>
        <v/>
      </c>
      <c r="B2783" s="378"/>
      <c r="C2783" s="315"/>
      <c r="D2783" s="316"/>
      <c r="E2783" s="315"/>
      <c r="F2783" s="315"/>
      <c r="G2783" s="315"/>
      <c r="H2783" s="153"/>
      <c r="I2783" s="12"/>
      <c r="J2783" s="12"/>
      <c r="K2783" s="12"/>
      <c r="L2783" s="379"/>
      <c r="M2783" s="380"/>
      <c r="N2783" s="380"/>
      <c r="O2783" s="12"/>
      <c r="P2783" s="381"/>
      <c r="Q2783" s="12"/>
      <c r="R2783" s="12"/>
      <c r="S2783" s="382"/>
      <c r="T2783" s="383"/>
      <c r="U2783" s="384"/>
      <c r="V2783" s="12"/>
      <c r="W2783" s="12"/>
    </row>
    <row r="2784" spans="1:23" x14ac:dyDescent="0.3">
      <c r="A2784" s="193" t="str">
        <f ca="1"/>
        <v/>
      </c>
      <c r="B2784" s="378"/>
      <c r="C2784" s="315"/>
      <c r="D2784" s="316"/>
      <c r="E2784" s="315"/>
      <c r="F2784" s="315"/>
      <c r="G2784" s="315"/>
      <c r="H2784" s="153"/>
      <c r="I2784" s="12"/>
      <c r="J2784" s="12"/>
      <c r="K2784" s="12"/>
      <c r="L2784" s="379"/>
      <c r="M2784" s="380"/>
      <c r="N2784" s="380"/>
      <c r="O2784" s="12"/>
      <c r="P2784" s="381"/>
      <c r="Q2784" s="12"/>
      <c r="R2784" s="12"/>
      <c r="S2784" s="382"/>
      <c r="T2784" s="383"/>
      <c r="U2784" s="384"/>
      <c r="V2784" s="12"/>
      <c r="W2784" s="12"/>
    </row>
    <row r="2785" spans="1:23" x14ac:dyDescent="0.3">
      <c r="A2785" s="193" t="str">
        <f ca="1"/>
        <v/>
      </c>
      <c r="B2785" s="378"/>
      <c r="C2785" s="315"/>
      <c r="D2785" s="316"/>
      <c r="E2785" s="315"/>
      <c r="F2785" s="315"/>
      <c r="G2785" s="315"/>
      <c r="H2785" s="153"/>
      <c r="I2785" s="12"/>
      <c r="J2785" s="12"/>
      <c r="K2785" s="12"/>
      <c r="L2785" s="379"/>
      <c r="M2785" s="380"/>
      <c r="N2785" s="380"/>
      <c r="O2785" s="12"/>
      <c r="P2785" s="381"/>
      <c r="Q2785" s="12"/>
      <c r="R2785" s="12"/>
      <c r="S2785" s="382"/>
      <c r="T2785" s="383"/>
      <c r="U2785" s="384"/>
      <c r="V2785" s="12"/>
      <c r="W2785" s="12"/>
    </row>
    <row r="2786" spans="1:23" x14ac:dyDescent="0.3">
      <c r="A2786" s="193" t="str">
        <f ca="1"/>
        <v/>
      </c>
      <c r="B2786" s="378"/>
      <c r="C2786" s="315"/>
      <c r="D2786" s="316"/>
      <c r="E2786" s="315"/>
      <c r="F2786" s="315"/>
      <c r="G2786" s="315"/>
      <c r="H2786" s="153"/>
      <c r="I2786" s="12"/>
      <c r="J2786" s="12"/>
      <c r="K2786" s="12"/>
      <c r="L2786" s="379"/>
      <c r="M2786" s="380"/>
      <c r="N2786" s="380"/>
      <c r="O2786" s="12"/>
      <c r="P2786" s="381"/>
      <c r="Q2786" s="12"/>
      <c r="R2786" s="12"/>
      <c r="S2786" s="382"/>
      <c r="T2786" s="383"/>
      <c r="U2786" s="384"/>
      <c r="V2786" s="12"/>
      <c r="W2786" s="12"/>
    </row>
    <row r="2787" spans="1:23" x14ac:dyDescent="0.3">
      <c r="A2787" s="193" t="str">
        <f ca="1"/>
        <v/>
      </c>
      <c r="B2787" s="378"/>
      <c r="C2787" s="315"/>
      <c r="D2787" s="316"/>
      <c r="E2787" s="315"/>
      <c r="F2787" s="315"/>
      <c r="G2787" s="315"/>
      <c r="H2787" s="153"/>
      <c r="I2787" s="12"/>
      <c r="J2787" s="12"/>
      <c r="K2787" s="12"/>
      <c r="L2787" s="379"/>
      <c r="M2787" s="380"/>
      <c r="N2787" s="380"/>
      <c r="O2787" s="12"/>
      <c r="P2787" s="381"/>
      <c r="Q2787" s="12"/>
      <c r="R2787" s="12"/>
      <c r="S2787" s="382"/>
      <c r="T2787" s="383"/>
      <c r="U2787" s="384"/>
      <c r="V2787" s="12"/>
      <c r="W2787" s="12"/>
    </row>
    <row r="2788" spans="1:23" x14ac:dyDescent="0.3">
      <c r="A2788" s="193" t="str">
        <f ca="1"/>
        <v/>
      </c>
      <c r="B2788" s="378"/>
      <c r="C2788" s="315"/>
      <c r="D2788" s="316"/>
      <c r="E2788" s="315"/>
      <c r="F2788" s="315"/>
      <c r="G2788" s="315"/>
      <c r="H2788" s="153"/>
      <c r="I2788" s="12"/>
      <c r="J2788" s="12"/>
      <c r="K2788" s="12"/>
      <c r="L2788" s="379"/>
      <c r="M2788" s="380"/>
      <c r="N2788" s="380"/>
      <c r="O2788" s="12"/>
      <c r="P2788" s="381"/>
      <c r="Q2788" s="12"/>
      <c r="R2788" s="12"/>
      <c r="S2788" s="382"/>
      <c r="T2788" s="383"/>
      <c r="U2788" s="384"/>
      <c r="V2788" s="12"/>
      <c r="W2788" s="12"/>
    </row>
    <row r="2789" spans="1:23" x14ac:dyDescent="0.3">
      <c r="A2789" s="193" t="str">
        <f ca="1"/>
        <v/>
      </c>
      <c r="B2789" s="378"/>
      <c r="C2789" s="315"/>
      <c r="D2789" s="316"/>
      <c r="E2789" s="315"/>
      <c r="F2789" s="315"/>
      <c r="G2789" s="315"/>
      <c r="H2789" s="153"/>
      <c r="I2789" s="12"/>
      <c r="J2789" s="12"/>
      <c r="K2789" s="12"/>
      <c r="L2789" s="379"/>
      <c r="M2789" s="380"/>
      <c r="N2789" s="380"/>
      <c r="O2789" s="12"/>
      <c r="P2789" s="381"/>
      <c r="Q2789" s="12"/>
      <c r="R2789" s="12"/>
      <c r="S2789" s="382"/>
      <c r="T2789" s="383"/>
      <c r="U2789" s="384"/>
      <c r="V2789" s="12"/>
      <c r="W2789" s="12"/>
    </row>
    <row r="2790" spans="1:23" x14ac:dyDescent="0.3">
      <c r="A2790" s="193" t="str">
        <f ca="1"/>
        <v/>
      </c>
      <c r="B2790" s="378"/>
      <c r="C2790" s="315"/>
      <c r="D2790" s="316"/>
      <c r="E2790" s="315"/>
      <c r="F2790" s="315"/>
      <c r="G2790" s="315"/>
      <c r="H2790" s="153"/>
      <c r="I2790" s="12"/>
      <c r="J2790" s="12"/>
      <c r="K2790" s="12"/>
      <c r="L2790" s="379"/>
      <c r="M2790" s="380"/>
      <c r="N2790" s="380"/>
      <c r="O2790" s="12"/>
      <c r="P2790" s="381"/>
      <c r="Q2790" s="12"/>
      <c r="R2790" s="12"/>
      <c r="S2790" s="382"/>
      <c r="T2790" s="383"/>
      <c r="U2790" s="384"/>
      <c r="V2790" s="12"/>
      <c r="W2790" s="12"/>
    </row>
    <row r="2791" spans="1:23" x14ac:dyDescent="0.3">
      <c r="A2791" s="193" t="str">
        <f ca="1"/>
        <v/>
      </c>
      <c r="B2791" s="378"/>
      <c r="C2791" s="315"/>
      <c r="D2791" s="316"/>
      <c r="E2791" s="315"/>
      <c r="F2791" s="315"/>
      <c r="G2791" s="315"/>
      <c r="H2791" s="153"/>
      <c r="I2791" s="12"/>
      <c r="J2791" s="12"/>
      <c r="K2791" s="12"/>
      <c r="L2791" s="379"/>
      <c r="M2791" s="380"/>
      <c r="N2791" s="380"/>
      <c r="O2791" s="12"/>
      <c r="P2791" s="381"/>
      <c r="Q2791" s="12"/>
      <c r="R2791" s="12"/>
      <c r="S2791" s="382"/>
      <c r="T2791" s="383"/>
      <c r="U2791" s="384"/>
      <c r="V2791" s="12"/>
      <c r="W2791" s="12"/>
    </row>
    <row r="2792" spans="1:23" x14ac:dyDescent="0.3">
      <c r="A2792" s="193" t="str">
        <f ca="1"/>
        <v/>
      </c>
      <c r="B2792" s="378"/>
      <c r="C2792" s="315"/>
      <c r="D2792" s="316"/>
      <c r="E2792" s="315"/>
      <c r="F2792" s="315"/>
      <c r="G2792" s="315"/>
      <c r="H2792" s="153"/>
      <c r="I2792" s="12"/>
      <c r="J2792" s="12"/>
      <c r="K2792" s="12"/>
      <c r="L2792" s="379"/>
      <c r="M2792" s="380"/>
      <c r="N2792" s="380"/>
      <c r="O2792" s="12"/>
      <c r="P2792" s="381"/>
      <c r="Q2792" s="12"/>
      <c r="R2792" s="12"/>
      <c r="S2792" s="382"/>
      <c r="T2792" s="383"/>
      <c r="U2792" s="384"/>
      <c r="V2792" s="12"/>
      <c r="W2792" s="12"/>
    </row>
    <row r="2793" spans="1:23" x14ac:dyDescent="0.3">
      <c r="A2793" s="193" t="str">
        <f ca="1"/>
        <v/>
      </c>
      <c r="B2793" s="378"/>
      <c r="C2793" s="315"/>
      <c r="D2793" s="316"/>
      <c r="E2793" s="315"/>
      <c r="F2793" s="315"/>
      <c r="G2793" s="315"/>
      <c r="H2793" s="153"/>
      <c r="I2793" s="12"/>
      <c r="J2793" s="12"/>
      <c r="K2793" s="12"/>
      <c r="L2793" s="379"/>
      <c r="M2793" s="380"/>
      <c r="N2793" s="380"/>
      <c r="O2793" s="12"/>
      <c r="P2793" s="381"/>
      <c r="Q2793" s="12"/>
      <c r="R2793" s="12"/>
      <c r="S2793" s="382"/>
      <c r="T2793" s="383"/>
      <c r="U2793" s="384"/>
      <c r="V2793" s="12"/>
      <c r="W2793" s="12"/>
    </row>
    <row r="2794" spans="1:23" x14ac:dyDescent="0.3">
      <c r="A2794" s="193" t="str">
        <f ca="1"/>
        <v/>
      </c>
      <c r="B2794" s="378"/>
      <c r="C2794" s="315"/>
      <c r="D2794" s="316"/>
      <c r="E2794" s="315"/>
      <c r="F2794" s="315"/>
      <c r="G2794" s="315"/>
      <c r="H2794" s="153"/>
      <c r="I2794" s="12"/>
      <c r="J2794" s="12"/>
      <c r="K2794" s="12"/>
      <c r="L2794" s="379"/>
      <c r="M2794" s="380"/>
      <c r="N2794" s="380"/>
      <c r="O2794" s="12"/>
      <c r="P2794" s="381"/>
      <c r="Q2794" s="12"/>
      <c r="R2794" s="12"/>
      <c r="S2794" s="382"/>
      <c r="T2794" s="383"/>
      <c r="U2794" s="384"/>
      <c r="V2794" s="12"/>
      <c r="W2794" s="12"/>
    </row>
    <row r="2795" spans="1:23" x14ac:dyDescent="0.3">
      <c r="A2795" s="193" t="str">
        <f ca="1"/>
        <v/>
      </c>
      <c r="B2795" s="378"/>
      <c r="C2795" s="315"/>
      <c r="D2795" s="316"/>
      <c r="E2795" s="315"/>
      <c r="F2795" s="315"/>
      <c r="G2795" s="315"/>
      <c r="H2795" s="153"/>
      <c r="I2795" s="12"/>
      <c r="J2795" s="12"/>
      <c r="K2795" s="12"/>
      <c r="L2795" s="379"/>
      <c r="M2795" s="380"/>
      <c r="N2795" s="380"/>
      <c r="O2795" s="12"/>
      <c r="P2795" s="381"/>
      <c r="Q2795" s="12"/>
      <c r="R2795" s="12"/>
      <c r="S2795" s="382"/>
      <c r="T2795" s="383"/>
      <c r="U2795" s="384"/>
      <c r="V2795" s="12"/>
      <c r="W2795" s="12"/>
    </row>
    <row r="2796" spans="1:23" x14ac:dyDescent="0.3">
      <c r="A2796" s="193" t="str">
        <f ca="1"/>
        <v/>
      </c>
      <c r="B2796" s="378"/>
      <c r="C2796" s="315"/>
      <c r="D2796" s="316"/>
      <c r="E2796" s="315"/>
      <c r="F2796" s="315"/>
      <c r="G2796" s="315"/>
      <c r="H2796" s="153"/>
      <c r="I2796" s="12"/>
      <c r="J2796" s="12"/>
      <c r="K2796" s="12"/>
      <c r="L2796" s="379"/>
      <c r="M2796" s="380"/>
      <c r="N2796" s="380"/>
      <c r="O2796" s="12"/>
      <c r="P2796" s="381"/>
      <c r="Q2796" s="12"/>
      <c r="R2796" s="12"/>
      <c r="S2796" s="382"/>
      <c r="T2796" s="383"/>
      <c r="U2796" s="384"/>
      <c r="V2796" s="12"/>
      <c r="W2796" s="12"/>
    </row>
    <row r="2797" spans="1:23" x14ac:dyDescent="0.3">
      <c r="A2797" s="193" t="str">
        <f ca="1"/>
        <v/>
      </c>
      <c r="B2797" s="378"/>
      <c r="C2797" s="315"/>
      <c r="D2797" s="316"/>
      <c r="E2797" s="315"/>
      <c r="F2797" s="315"/>
      <c r="G2797" s="315"/>
      <c r="H2797" s="153"/>
      <c r="I2797" s="12"/>
      <c r="J2797" s="12"/>
      <c r="K2797" s="12"/>
      <c r="L2797" s="379"/>
      <c r="M2797" s="380"/>
      <c r="N2797" s="380"/>
      <c r="O2797" s="12"/>
      <c r="P2797" s="381"/>
      <c r="Q2797" s="12"/>
      <c r="R2797" s="12"/>
      <c r="S2797" s="382"/>
      <c r="T2797" s="383"/>
      <c r="U2797" s="384"/>
      <c r="V2797" s="12"/>
      <c r="W2797" s="12"/>
    </row>
    <row r="2798" spans="1:23" x14ac:dyDescent="0.3">
      <c r="A2798" s="193" t="str">
        <f ca="1"/>
        <v/>
      </c>
      <c r="B2798" s="378"/>
      <c r="C2798" s="315"/>
      <c r="D2798" s="316"/>
      <c r="E2798" s="315"/>
      <c r="F2798" s="315"/>
      <c r="G2798" s="315"/>
      <c r="H2798" s="153"/>
      <c r="I2798" s="12"/>
      <c r="J2798" s="12"/>
      <c r="K2798" s="12"/>
      <c r="L2798" s="379"/>
      <c r="M2798" s="380"/>
      <c r="N2798" s="380"/>
      <c r="O2798" s="12"/>
      <c r="P2798" s="381"/>
      <c r="Q2798" s="12"/>
      <c r="R2798" s="12"/>
      <c r="S2798" s="382"/>
      <c r="T2798" s="383"/>
      <c r="U2798" s="384"/>
      <c r="V2798" s="12"/>
      <c r="W2798" s="12"/>
    </row>
    <row r="2799" spans="1:23" x14ac:dyDescent="0.3">
      <c r="A2799" s="193" t="str">
        <f ca="1"/>
        <v/>
      </c>
      <c r="B2799" s="378"/>
      <c r="C2799" s="315"/>
      <c r="D2799" s="316"/>
      <c r="E2799" s="315"/>
      <c r="F2799" s="315"/>
      <c r="G2799" s="315"/>
      <c r="H2799" s="153"/>
      <c r="I2799" s="12"/>
      <c r="J2799" s="12"/>
      <c r="K2799" s="12"/>
      <c r="L2799" s="379"/>
      <c r="M2799" s="380"/>
      <c r="N2799" s="380"/>
      <c r="O2799" s="12"/>
      <c r="P2799" s="381"/>
      <c r="Q2799" s="12"/>
      <c r="R2799" s="12"/>
      <c r="S2799" s="382"/>
      <c r="T2799" s="383"/>
      <c r="U2799" s="384"/>
      <c r="V2799" s="12"/>
      <c r="W2799" s="12"/>
    </row>
    <row r="2800" spans="1:23" x14ac:dyDescent="0.3">
      <c r="A2800" s="193" t="str">
        <f ca="1"/>
        <v/>
      </c>
      <c r="B2800" s="378"/>
      <c r="C2800" s="315"/>
      <c r="D2800" s="316"/>
      <c r="E2800" s="315"/>
      <c r="F2800" s="315"/>
      <c r="G2800" s="315"/>
      <c r="H2800" s="153"/>
      <c r="I2800" s="12"/>
      <c r="J2800" s="12"/>
      <c r="K2800" s="12"/>
      <c r="L2800" s="379"/>
      <c r="M2800" s="380"/>
      <c r="N2800" s="380"/>
      <c r="O2800" s="12"/>
      <c r="P2800" s="381"/>
      <c r="Q2800" s="12"/>
      <c r="R2800" s="12"/>
      <c r="S2800" s="382"/>
      <c r="T2800" s="383"/>
      <c r="U2800" s="384"/>
      <c r="V2800" s="12"/>
      <c r="W2800" s="12"/>
    </row>
    <row r="2801" spans="1:23" x14ac:dyDescent="0.3">
      <c r="A2801" s="193" t="str">
        <f ca="1"/>
        <v/>
      </c>
      <c r="B2801" s="378"/>
      <c r="C2801" s="315"/>
      <c r="D2801" s="316"/>
      <c r="E2801" s="315"/>
      <c r="F2801" s="315"/>
      <c r="G2801" s="315"/>
      <c r="H2801" s="153"/>
      <c r="I2801" s="12"/>
      <c r="J2801" s="12"/>
      <c r="K2801" s="12"/>
      <c r="L2801" s="379"/>
      <c r="M2801" s="380"/>
      <c r="N2801" s="380"/>
      <c r="O2801" s="12"/>
      <c r="P2801" s="381"/>
      <c r="Q2801" s="12"/>
      <c r="R2801" s="12"/>
      <c r="S2801" s="382"/>
      <c r="T2801" s="383"/>
      <c r="U2801" s="384"/>
      <c r="V2801" s="12"/>
      <c r="W2801" s="12"/>
    </row>
    <row r="2802" spans="1:23" x14ac:dyDescent="0.3">
      <c r="A2802" s="193" t="str">
        <f ca="1"/>
        <v/>
      </c>
      <c r="B2802" s="378"/>
      <c r="C2802" s="315"/>
      <c r="D2802" s="316"/>
      <c r="E2802" s="315"/>
      <c r="F2802" s="315"/>
      <c r="G2802" s="315"/>
      <c r="H2802" s="153"/>
      <c r="I2802" s="12"/>
      <c r="J2802" s="12"/>
      <c r="K2802" s="12"/>
      <c r="L2802" s="379"/>
      <c r="M2802" s="380"/>
      <c r="N2802" s="380"/>
      <c r="O2802" s="12"/>
      <c r="P2802" s="381"/>
      <c r="Q2802" s="12"/>
      <c r="R2802" s="12"/>
      <c r="S2802" s="382"/>
      <c r="T2802" s="383"/>
      <c r="U2802" s="384"/>
      <c r="V2802" s="12"/>
      <c r="W2802" s="12"/>
    </row>
    <row r="2803" spans="1:23" x14ac:dyDescent="0.3">
      <c r="A2803" s="193" t="str">
        <f ca="1"/>
        <v/>
      </c>
      <c r="B2803" s="378"/>
      <c r="C2803" s="315"/>
      <c r="D2803" s="316"/>
      <c r="E2803" s="315"/>
      <c r="F2803" s="315"/>
      <c r="G2803" s="315"/>
      <c r="H2803" s="153"/>
      <c r="I2803" s="12"/>
      <c r="J2803" s="12"/>
      <c r="K2803" s="12"/>
      <c r="L2803" s="379"/>
      <c r="M2803" s="380"/>
      <c r="N2803" s="380"/>
      <c r="O2803" s="12"/>
      <c r="P2803" s="381"/>
      <c r="Q2803" s="12"/>
      <c r="R2803" s="12"/>
      <c r="S2803" s="382"/>
      <c r="T2803" s="383"/>
      <c r="U2803" s="384"/>
      <c r="V2803" s="12"/>
      <c r="W2803" s="12"/>
    </row>
    <row r="2804" spans="1:23" x14ac:dyDescent="0.3">
      <c r="A2804" s="193" t="str">
        <f ca="1"/>
        <v/>
      </c>
      <c r="B2804" s="378"/>
      <c r="C2804" s="315"/>
      <c r="D2804" s="316"/>
      <c r="E2804" s="315"/>
      <c r="F2804" s="315"/>
      <c r="G2804" s="315"/>
      <c r="H2804" s="153"/>
      <c r="I2804" s="12"/>
      <c r="J2804" s="12"/>
      <c r="K2804" s="12"/>
      <c r="L2804" s="379"/>
      <c r="M2804" s="380"/>
      <c r="N2804" s="380"/>
      <c r="O2804" s="12"/>
      <c r="P2804" s="381"/>
      <c r="Q2804" s="12"/>
      <c r="R2804" s="12"/>
      <c r="S2804" s="382"/>
      <c r="T2804" s="383"/>
      <c r="U2804" s="384"/>
      <c r="V2804" s="12"/>
      <c r="W2804" s="12"/>
    </row>
    <row r="2805" spans="1:23" x14ac:dyDescent="0.3">
      <c r="A2805" s="193" t="str">
        <f ca="1"/>
        <v/>
      </c>
      <c r="B2805" s="378"/>
      <c r="C2805" s="315"/>
      <c r="D2805" s="316"/>
      <c r="E2805" s="315"/>
      <c r="F2805" s="315"/>
      <c r="G2805" s="315"/>
      <c r="H2805" s="153"/>
      <c r="I2805" s="12"/>
      <c r="J2805" s="12"/>
      <c r="K2805" s="12"/>
      <c r="L2805" s="379"/>
      <c r="M2805" s="380"/>
      <c r="N2805" s="380"/>
      <c r="O2805" s="12"/>
      <c r="P2805" s="381"/>
      <c r="Q2805" s="12"/>
      <c r="R2805" s="12"/>
      <c r="S2805" s="382"/>
      <c r="T2805" s="383"/>
      <c r="U2805" s="384"/>
      <c r="V2805" s="12"/>
      <c r="W2805" s="12"/>
    </row>
    <row r="2806" spans="1:23" x14ac:dyDescent="0.3">
      <c r="A2806" s="193" t="str">
        <f ca="1"/>
        <v/>
      </c>
      <c r="B2806" s="378"/>
      <c r="C2806" s="315"/>
      <c r="D2806" s="316"/>
      <c r="E2806" s="315"/>
      <c r="F2806" s="315"/>
      <c r="G2806" s="315"/>
      <c r="H2806" s="153"/>
      <c r="I2806" s="12"/>
      <c r="J2806" s="12"/>
      <c r="K2806" s="12"/>
      <c r="L2806" s="379"/>
      <c r="M2806" s="380"/>
      <c r="N2806" s="380"/>
      <c r="O2806" s="12"/>
      <c r="P2806" s="381"/>
      <c r="Q2806" s="12"/>
      <c r="R2806" s="12"/>
      <c r="S2806" s="382"/>
      <c r="T2806" s="383"/>
      <c r="U2806" s="384"/>
      <c r="V2806" s="12"/>
      <c r="W2806" s="12"/>
    </row>
    <row r="2807" spans="1:23" x14ac:dyDescent="0.3">
      <c r="A2807" s="193" t="str">
        <f ca="1"/>
        <v/>
      </c>
      <c r="B2807" s="378"/>
      <c r="C2807" s="315"/>
      <c r="D2807" s="316"/>
      <c r="E2807" s="315"/>
      <c r="F2807" s="315"/>
      <c r="G2807" s="315"/>
      <c r="H2807" s="153"/>
      <c r="I2807" s="12"/>
      <c r="J2807" s="12"/>
      <c r="K2807" s="12"/>
      <c r="L2807" s="379"/>
      <c r="M2807" s="380"/>
      <c r="N2807" s="380"/>
      <c r="O2807" s="12"/>
      <c r="P2807" s="381"/>
      <c r="Q2807" s="12"/>
      <c r="R2807" s="12"/>
      <c r="S2807" s="382"/>
      <c r="T2807" s="383"/>
      <c r="U2807" s="384"/>
      <c r="V2807" s="12"/>
      <c r="W2807" s="12"/>
    </row>
    <row r="2808" spans="1:23" x14ac:dyDescent="0.3">
      <c r="A2808" s="193" t="str">
        <f ca="1"/>
        <v/>
      </c>
      <c r="B2808" s="378"/>
      <c r="C2808" s="315"/>
      <c r="D2808" s="316"/>
      <c r="E2808" s="315"/>
      <c r="F2808" s="315"/>
      <c r="G2808" s="315"/>
      <c r="H2808" s="153"/>
      <c r="I2808" s="12"/>
      <c r="J2808" s="12"/>
      <c r="K2808" s="12"/>
      <c r="L2808" s="379"/>
      <c r="M2808" s="380"/>
      <c r="N2808" s="380"/>
      <c r="O2808" s="12"/>
      <c r="P2808" s="381"/>
      <c r="Q2808" s="12"/>
      <c r="R2808" s="12"/>
      <c r="S2808" s="382"/>
      <c r="T2808" s="383"/>
      <c r="U2808" s="384"/>
      <c r="V2808" s="12"/>
      <c r="W2808" s="12"/>
    </row>
    <row r="2809" spans="1:23" x14ac:dyDescent="0.3">
      <c r="A2809" s="193" t="str">
        <f ca="1"/>
        <v/>
      </c>
      <c r="B2809" s="378"/>
      <c r="C2809" s="315"/>
      <c r="D2809" s="316"/>
      <c r="E2809" s="315"/>
      <c r="F2809" s="315"/>
      <c r="G2809" s="315"/>
      <c r="H2809" s="153"/>
      <c r="I2809" s="12"/>
      <c r="J2809" s="12"/>
      <c r="K2809" s="12"/>
      <c r="L2809" s="379"/>
      <c r="M2809" s="380"/>
      <c r="N2809" s="380"/>
      <c r="O2809" s="12"/>
      <c r="P2809" s="381"/>
      <c r="Q2809" s="12"/>
      <c r="R2809" s="12"/>
      <c r="S2809" s="382"/>
      <c r="T2809" s="383"/>
      <c r="U2809" s="384"/>
      <c r="V2809" s="12"/>
      <c r="W2809" s="12"/>
    </row>
    <row r="2810" spans="1:23" x14ac:dyDescent="0.3">
      <c r="A2810" s="193" t="str">
        <f ca="1"/>
        <v/>
      </c>
      <c r="B2810" s="378"/>
      <c r="C2810" s="315"/>
      <c r="D2810" s="316"/>
      <c r="E2810" s="315"/>
      <c r="F2810" s="315"/>
      <c r="G2810" s="315"/>
      <c r="H2810" s="153"/>
      <c r="I2810" s="12"/>
      <c r="J2810" s="12"/>
      <c r="K2810" s="12"/>
      <c r="L2810" s="379"/>
      <c r="M2810" s="380"/>
      <c r="N2810" s="380"/>
      <c r="O2810" s="12"/>
      <c r="P2810" s="381"/>
      <c r="Q2810" s="12"/>
      <c r="R2810" s="12"/>
      <c r="S2810" s="382"/>
      <c r="T2810" s="383"/>
      <c r="U2810" s="384"/>
      <c r="V2810" s="12"/>
      <c r="W2810" s="12"/>
    </row>
    <row r="2811" spans="1:23" x14ac:dyDescent="0.3">
      <c r="A2811" s="193" t="str">
        <f ca="1"/>
        <v/>
      </c>
      <c r="B2811" s="378"/>
      <c r="C2811" s="315"/>
      <c r="D2811" s="316"/>
      <c r="E2811" s="315"/>
      <c r="F2811" s="315"/>
      <c r="G2811" s="315"/>
      <c r="H2811" s="153"/>
      <c r="I2811" s="12"/>
      <c r="J2811" s="12"/>
      <c r="K2811" s="12"/>
      <c r="L2811" s="379"/>
      <c r="M2811" s="380"/>
      <c r="N2811" s="380"/>
      <c r="O2811" s="12"/>
      <c r="P2811" s="381"/>
      <c r="Q2811" s="12"/>
      <c r="R2811" s="12"/>
      <c r="S2811" s="382"/>
      <c r="T2811" s="383"/>
      <c r="U2811" s="384"/>
      <c r="V2811" s="12"/>
      <c r="W2811" s="12"/>
    </row>
    <row r="2812" spans="1:23" x14ac:dyDescent="0.3">
      <c r="A2812" s="193" t="str">
        <f ca="1"/>
        <v/>
      </c>
      <c r="B2812" s="378"/>
      <c r="C2812" s="315"/>
      <c r="D2812" s="316"/>
      <c r="E2812" s="315"/>
      <c r="F2812" s="315"/>
      <c r="G2812" s="315"/>
      <c r="H2812" s="153"/>
      <c r="I2812" s="12"/>
      <c r="J2812" s="12"/>
      <c r="K2812" s="12"/>
      <c r="L2812" s="379"/>
      <c r="M2812" s="380"/>
      <c r="N2812" s="380"/>
      <c r="O2812" s="12"/>
      <c r="P2812" s="381"/>
      <c r="Q2812" s="12"/>
      <c r="R2812" s="12"/>
      <c r="S2812" s="382"/>
      <c r="T2812" s="383"/>
      <c r="U2812" s="384"/>
      <c r="V2812" s="12"/>
      <c r="W2812" s="12"/>
    </row>
    <row r="2813" spans="1:23" x14ac:dyDescent="0.3">
      <c r="A2813" s="193" t="str">
        <f ca="1"/>
        <v/>
      </c>
      <c r="B2813" s="378"/>
      <c r="C2813" s="315"/>
      <c r="D2813" s="316"/>
      <c r="E2813" s="315"/>
      <c r="F2813" s="315"/>
      <c r="G2813" s="315"/>
      <c r="H2813" s="153"/>
      <c r="I2813" s="12"/>
      <c r="J2813" s="12"/>
      <c r="K2813" s="12"/>
      <c r="L2813" s="379"/>
      <c r="M2813" s="380"/>
      <c r="N2813" s="380"/>
      <c r="O2813" s="12"/>
      <c r="P2813" s="381"/>
      <c r="Q2813" s="12"/>
      <c r="R2813" s="12"/>
      <c r="S2813" s="382"/>
      <c r="T2813" s="383"/>
      <c r="U2813" s="384"/>
      <c r="V2813" s="12"/>
      <c r="W2813" s="12"/>
    </row>
    <row r="2814" spans="1:23" x14ac:dyDescent="0.3">
      <c r="A2814" s="193" t="str">
        <f ca="1"/>
        <v/>
      </c>
      <c r="B2814" s="378"/>
      <c r="C2814" s="315"/>
      <c r="D2814" s="316"/>
      <c r="E2814" s="315"/>
      <c r="F2814" s="315"/>
      <c r="G2814" s="315"/>
      <c r="H2814" s="153"/>
      <c r="I2814" s="12"/>
      <c r="J2814" s="12"/>
      <c r="K2814" s="12"/>
      <c r="L2814" s="379"/>
      <c r="M2814" s="380"/>
      <c r="N2814" s="380"/>
      <c r="O2814" s="12"/>
      <c r="P2814" s="381"/>
      <c r="Q2814" s="12"/>
      <c r="R2814" s="12"/>
      <c r="S2814" s="382"/>
      <c r="T2814" s="383"/>
      <c r="U2814" s="384"/>
      <c r="V2814" s="12"/>
      <c r="W2814" s="12"/>
    </row>
    <row r="2815" spans="1:23" x14ac:dyDescent="0.3">
      <c r="A2815" s="193" t="str">
        <f ca="1"/>
        <v/>
      </c>
      <c r="B2815" s="378"/>
      <c r="C2815" s="315"/>
      <c r="D2815" s="316"/>
      <c r="E2815" s="315"/>
      <c r="F2815" s="315"/>
      <c r="G2815" s="315"/>
      <c r="H2815" s="153"/>
      <c r="I2815" s="12"/>
      <c r="J2815" s="12"/>
      <c r="K2815" s="12"/>
      <c r="L2815" s="379"/>
      <c r="M2815" s="380"/>
      <c r="N2815" s="380"/>
      <c r="O2815" s="12"/>
      <c r="P2815" s="381"/>
      <c r="Q2815" s="12"/>
      <c r="R2815" s="12"/>
      <c r="S2815" s="382"/>
      <c r="T2815" s="383"/>
      <c r="U2815" s="384"/>
      <c r="V2815" s="12"/>
      <c r="W2815" s="12"/>
    </row>
    <row r="2816" spans="1:23" x14ac:dyDescent="0.3">
      <c r="A2816" s="193" t="str">
        <f ca="1"/>
        <v/>
      </c>
      <c r="B2816" s="378"/>
      <c r="C2816" s="315"/>
      <c r="D2816" s="316"/>
      <c r="E2816" s="315"/>
      <c r="F2816" s="315"/>
      <c r="G2816" s="315"/>
      <c r="H2816" s="153"/>
      <c r="I2816" s="12"/>
      <c r="J2816" s="12"/>
      <c r="K2816" s="12"/>
      <c r="L2816" s="379"/>
      <c r="M2816" s="380"/>
      <c r="N2816" s="380"/>
      <c r="O2816" s="12"/>
      <c r="P2816" s="381"/>
      <c r="Q2816" s="12"/>
      <c r="R2816" s="12"/>
      <c r="S2816" s="382"/>
      <c r="T2816" s="383"/>
      <c r="U2816" s="384"/>
      <c r="V2816" s="12"/>
      <c r="W2816" s="12"/>
    </row>
    <row r="2817" spans="1:23" x14ac:dyDescent="0.3">
      <c r="A2817" s="193" t="str">
        <f ca="1"/>
        <v/>
      </c>
      <c r="B2817" s="378"/>
      <c r="C2817" s="315"/>
      <c r="D2817" s="316"/>
      <c r="E2817" s="315"/>
      <c r="F2817" s="315"/>
      <c r="G2817" s="315"/>
      <c r="H2817" s="153"/>
      <c r="I2817" s="12"/>
      <c r="J2817" s="12"/>
      <c r="K2817" s="12"/>
      <c r="L2817" s="379"/>
      <c r="M2817" s="380"/>
      <c r="N2817" s="380"/>
      <c r="O2817" s="12"/>
      <c r="P2817" s="381"/>
      <c r="Q2817" s="12"/>
      <c r="R2817" s="12"/>
      <c r="S2817" s="382"/>
      <c r="T2817" s="383"/>
      <c r="U2817" s="384"/>
      <c r="V2817" s="12"/>
      <c r="W2817" s="12"/>
    </row>
    <row r="2818" spans="1:23" x14ac:dyDescent="0.3">
      <c r="A2818" s="193" t="str">
        <f ca="1"/>
        <v/>
      </c>
      <c r="B2818" s="378"/>
      <c r="C2818" s="315"/>
      <c r="D2818" s="316"/>
      <c r="E2818" s="315"/>
      <c r="F2818" s="315"/>
      <c r="G2818" s="315"/>
      <c r="H2818" s="153"/>
      <c r="I2818" s="12"/>
      <c r="J2818" s="12"/>
      <c r="K2818" s="12"/>
      <c r="L2818" s="379"/>
      <c r="M2818" s="380"/>
      <c r="N2818" s="380"/>
      <c r="O2818" s="12"/>
      <c r="P2818" s="381"/>
      <c r="Q2818" s="12"/>
      <c r="R2818" s="12"/>
      <c r="S2818" s="382"/>
      <c r="T2818" s="383"/>
      <c r="U2818" s="384"/>
      <c r="V2818" s="12"/>
      <c r="W2818" s="12"/>
    </row>
    <row r="2819" spans="1:23" x14ac:dyDescent="0.3">
      <c r="A2819" s="193" t="str">
        <f ca="1"/>
        <v/>
      </c>
      <c r="B2819" s="378"/>
      <c r="C2819" s="315"/>
      <c r="D2819" s="316"/>
      <c r="E2819" s="315"/>
      <c r="F2819" s="315"/>
      <c r="G2819" s="315"/>
      <c r="H2819" s="153"/>
      <c r="I2819" s="12"/>
      <c r="J2819" s="12"/>
      <c r="K2819" s="12"/>
      <c r="L2819" s="379"/>
      <c r="M2819" s="380"/>
      <c r="N2819" s="380"/>
      <c r="O2819" s="12"/>
      <c r="P2819" s="381"/>
      <c r="Q2819" s="12"/>
      <c r="R2819" s="12"/>
      <c r="S2819" s="382"/>
      <c r="T2819" s="383"/>
      <c r="U2819" s="384"/>
      <c r="V2819" s="12"/>
      <c r="W2819" s="12"/>
    </row>
    <row r="2820" spans="1:23" x14ac:dyDescent="0.3">
      <c r="A2820" s="193" t="str">
        <f ca="1"/>
        <v/>
      </c>
      <c r="B2820" s="378"/>
      <c r="C2820" s="315"/>
      <c r="D2820" s="316"/>
      <c r="E2820" s="315"/>
      <c r="F2820" s="315"/>
      <c r="G2820" s="315"/>
      <c r="H2820" s="153"/>
      <c r="I2820" s="12"/>
      <c r="J2820" s="12"/>
      <c r="K2820" s="12"/>
      <c r="L2820" s="379"/>
      <c r="M2820" s="380"/>
      <c r="N2820" s="380"/>
      <c r="O2820" s="12"/>
      <c r="P2820" s="381"/>
      <c r="Q2820" s="12"/>
      <c r="R2820" s="12"/>
      <c r="S2820" s="382"/>
      <c r="T2820" s="383"/>
      <c r="U2820" s="384"/>
      <c r="V2820" s="12"/>
      <c r="W2820" s="12"/>
    </row>
    <row r="2821" spans="1:23" x14ac:dyDescent="0.3">
      <c r="A2821" s="193" t="str">
        <f ca="1"/>
        <v/>
      </c>
      <c r="B2821" s="378"/>
      <c r="C2821" s="315"/>
      <c r="D2821" s="316"/>
      <c r="E2821" s="315"/>
      <c r="F2821" s="315"/>
      <c r="G2821" s="315"/>
      <c r="H2821" s="153"/>
      <c r="I2821" s="12"/>
      <c r="J2821" s="12"/>
      <c r="K2821" s="12"/>
      <c r="L2821" s="379"/>
      <c r="M2821" s="380"/>
      <c r="N2821" s="380"/>
      <c r="O2821" s="12"/>
      <c r="P2821" s="381"/>
      <c r="Q2821" s="12"/>
      <c r="R2821" s="12"/>
      <c r="S2821" s="382"/>
      <c r="T2821" s="383"/>
      <c r="U2821" s="384"/>
      <c r="V2821" s="12"/>
      <c r="W2821" s="12"/>
    </row>
    <row r="2822" spans="1:23" x14ac:dyDescent="0.3">
      <c r="A2822" s="193" t="str">
        <f ca="1"/>
        <v/>
      </c>
      <c r="B2822" s="378"/>
      <c r="C2822" s="315"/>
      <c r="D2822" s="316"/>
      <c r="E2822" s="315"/>
      <c r="F2822" s="315"/>
      <c r="G2822" s="315"/>
      <c r="H2822" s="153"/>
      <c r="I2822" s="12"/>
      <c r="J2822" s="12"/>
      <c r="K2822" s="12"/>
      <c r="L2822" s="379"/>
      <c r="M2822" s="380"/>
      <c r="N2822" s="380"/>
      <c r="O2822" s="12"/>
      <c r="P2822" s="381"/>
      <c r="Q2822" s="12"/>
      <c r="R2822" s="12"/>
      <c r="S2822" s="382"/>
      <c r="T2822" s="383"/>
      <c r="U2822" s="384"/>
      <c r="V2822" s="12"/>
      <c r="W2822" s="12"/>
    </row>
    <row r="2823" spans="1:23" x14ac:dyDescent="0.3">
      <c r="A2823" s="193" t="str">
        <f ca="1"/>
        <v/>
      </c>
      <c r="B2823" s="378"/>
      <c r="C2823" s="315"/>
      <c r="D2823" s="316"/>
      <c r="E2823" s="315"/>
      <c r="F2823" s="315"/>
      <c r="G2823" s="315"/>
      <c r="H2823" s="153"/>
      <c r="I2823" s="12"/>
      <c r="J2823" s="12"/>
      <c r="K2823" s="12"/>
      <c r="L2823" s="379"/>
      <c r="M2823" s="380"/>
      <c r="N2823" s="380"/>
      <c r="O2823" s="12"/>
      <c r="P2823" s="381"/>
      <c r="Q2823" s="12"/>
      <c r="R2823" s="12"/>
      <c r="S2823" s="382"/>
      <c r="T2823" s="383"/>
      <c r="U2823" s="384"/>
      <c r="V2823" s="12"/>
      <c r="W2823" s="12"/>
    </row>
    <row r="2824" spans="1:23" x14ac:dyDescent="0.3">
      <c r="A2824" s="193" t="str">
        <f ca="1"/>
        <v/>
      </c>
      <c r="B2824" s="378"/>
      <c r="C2824" s="315"/>
      <c r="D2824" s="316"/>
      <c r="E2824" s="315"/>
      <c r="F2824" s="315"/>
      <c r="G2824" s="315"/>
      <c r="H2824" s="153"/>
      <c r="I2824" s="12"/>
      <c r="J2824" s="12"/>
      <c r="K2824" s="12"/>
      <c r="L2824" s="379"/>
      <c r="M2824" s="380"/>
      <c r="N2824" s="380"/>
      <c r="O2824" s="12"/>
      <c r="P2824" s="381"/>
      <c r="Q2824" s="12"/>
      <c r="R2824" s="12"/>
      <c r="S2824" s="382"/>
      <c r="T2824" s="383"/>
      <c r="U2824" s="384"/>
      <c r="V2824" s="12"/>
      <c r="W2824" s="12"/>
    </row>
    <row r="2825" spans="1:23" x14ac:dyDescent="0.3">
      <c r="A2825" s="193" t="str">
        <f ca="1"/>
        <v/>
      </c>
      <c r="B2825" s="378"/>
      <c r="C2825" s="315"/>
      <c r="D2825" s="316"/>
      <c r="E2825" s="315"/>
      <c r="F2825" s="315"/>
      <c r="G2825" s="315"/>
      <c r="H2825" s="153"/>
      <c r="I2825" s="12"/>
      <c r="J2825" s="12"/>
      <c r="K2825" s="12"/>
      <c r="L2825" s="379"/>
      <c r="M2825" s="380"/>
      <c r="N2825" s="380"/>
      <c r="O2825" s="12"/>
      <c r="P2825" s="381"/>
      <c r="Q2825" s="12"/>
      <c r="R2825" s="12"/>
      <c r="S2825" s="382"/>
      <c r="T2825" s="383"/>
      <c r="U2825" s="384"/>
      <c r="V2825" s="12"/>
      <c r="W2825" s="12"/>
    </row>
    <row r="2826" spans="1:23" x14ac:dyDescent="0.3">
      <c r="A2826" s="193" t="str">
        <f ca="1"/>
        <v/>
      </c>
      <c r="B2826" s="378"/>
      <c r="C2826" s="315"/>
      <c r="D2826" s="316"/>
      <c r="E2826" s="315"/>
      <c r="F2826" s="315"/>
      <c r="G2826" s="315"/>
      <c r="H2826" s="153"/>
      <c r="I2826" s="12"/>
      <c r="J2826" s="12"/>
      <c r="K2826" s="12"/>
      <c r="L2826" s="379"/>
      <c r="M2826" s="380"/>
      <c r="N2826" s="380"/>
      <c r="O2826" s="12"/>
      <c r="P2826" s="381"/>
      <c r="Q2826" s="12"/>
      <c r="R2826" s="12"/>
      <c r="S2826" s="382"/>
      <c r="T2826" s="383"/>
      <c r="U2826" s="384"/>
      <c r="V2826" s="12"/>
      <c r="W2826" s="12"/>
    </row>
    <row r="2827" spans="1:23" x14ac:dyDescent="0.3">
      <c r="A2827" s="193" t="str">
        <f ca="1"/>
        <v/>
      </c>
      <c r="B2827" s="378"/>
      <c r="C2827" s="315"/>
      <c r="D2827" s="316"/>
      <c r="E2827" s="315"/>
      <c r="F2827" s="315"/>
      <c r="G2827" s="315"/>
      <c r="H2827" s="153"/>
      <c r="I2827" s="12"/>
      <c r="J2827" s="12"/>
      <c r="K2827" s="12"/>
      <c r="L2827" s="379"/>
      <c r="M2827" s="380"/>
      <c r="N2827" s="380"/>
      <c r="O2827" s="12"/>
      <c r="P2827" s="381"/>
      <c r="Q2827" s="12"/>
      <c r="R2827" s="12"/>
      <c r="S2827" s="382"/>
      <c r="T2827" s="383"/>
      <c r="U2827" s="384"/>
      <c r="V2827" s="12"/>
      <c r="W2827" s="12"/>
    </row>
    <row r="2828" spans="1:23" x14ac:dyDescent="0.3">
      <c r="A2828" s="193" t="str">
        <f ca="1"/>
        <v/>
      </c>
      <c r="B2828" s="378"/>
      <c r="C2828" s="315"/>
      <c r="D2828" s="316"/>
      <c r="E2828" s="315"/>
      <c r="F2828" s="315"/>
      <c r="G2828" s="315"/>
      <c r="H2828" s="153"/>
      <c r="I2828" s="12"/>
      <c r="J2828" s="12"/>
      <c r="K2828" s="12"/>
      <c r="L2828" s="379"/>
      <c r="M2828" s="380"/>
      <c r="N2828" s="380"/>
      <c r="O2828" s="12"/>
      <c r="P2828" s="381"/>
      <c r="Q2828" s="12"/>
      <c r="R2828" s="12"/>
      <c r="S2828" s="382"/>
      <c r="T2828" s="383"/>
      <c r="U2828" s="384"/>
      <c r="V2828" s="12"/>
      <c r="W2828" s="12"/>
    </row>
    <row r="2829" spans="1:23" x14ac:dyDescent="0.3">
      <c r="A2829" s="193" t="str">
        <f ca="1"/>
        <v/>
      </c>
      <c r="B2829" s="378"/>
      <c r="C2829" s="315"/>
      <c r="D2829" s="316"/>
      <c r="E2829" s="315"/>
      <c r="F2829" s="315"/>
      <c r="G2829" s="315"/>
      <c r="H2829" s="153"/>
      <c r="I2829" s="12"/>
      <c r="J2829" s="12"/>
      <c r="K2829" s="12"/>
      <c r="L2829" s="379"/>
      <c r="M2829" s="380"/>
      <c r="N2829" s="380"/>
      <c r="O2829" s="12"/>
      <c r="P2829" s="381"/>
      <c r="Q2829" s="12"/>
      <c r="R2829" s="12"/>
      <c r="S2829" s="382"/>
      <c r="T2829" s="383"/>
      <c r="U2829" s="384"/>
      <c r="V2829" s="12"/>
      <c r="W2829" s="12"/>
    </row>
    <row r="2830" spans="1:23" x14ac:dyDescent="0.3">
      <c r="A2830" s="193" t="str">
        <f ca="1"/>
        <v/>
      </c>
      <c r="B2830" s="378"/>
      <c r="C2830" s="315"/>
      <c r="D2830" s="316"/>
      <c r="E2830" s="315"/>
      <c r="F2830" s="315"/>
      <c r="G2830" s="315"/>
      <c r="H2830" s="153"/>
      <c r="I2830" s="12"/>
      <c r="J2830" s="12"/>
      <c r="K2830" s="12"/>
      <c r="L2830" s="379"/>
      <c r="M2830" s="380"/>
      <c r="N2830" s="380"/>
      <c r="O2830" s="12"/>
      <c r="P2830" s="381"/>
      <c r="Q2830" s="12"/>
      <c r="R2830" s="12"/>
      <c r="S2830" s="382"/>
      <c r="T2830" s="383"/>
      <c r="U2830" s="384"/>
      <c r="V2830" s="12"/>
      <c r="W2830" s="12"/>
    </row>
    <row r="2831" spans="1:23" x14ac:dyDescent="0.3">
      <c r="A2831" s="193" t="str">
        <f ca="1"/>
        <v/>
      </c>
      <c r="B2831" s="378"/>
      <c r="C2831" s="315"/>
      <c r="D2831" s="316"/>
      <c r="E2831" s="315"/>
      <c r="F2831" s="315"/>
      <c r="G2831" s="315"/>
      <c r="H2831" s="153"/>
      <c r="I2831" s="12"/>
      <c r="J2831" s="12"/>
      <c r="K2831" s="12"/>
      <c r="L2831" s="379"/>
      <c r="M2831" s="380"/>
      <c r="N2831" s="380"/>
      <c r="O2831" s="12"/>
      <c r="P2831" s="381"/>
      <c r="Q2831" s="12"/>
      <c r="R2831" s="12"/>
      <c r="S2831" s="382"/>
      <c r="T2831" s="383"/>
      <c r="U2831" s="384"/>
      <c r="V2831" s="12"/>
      <c r="W2831" s="12"/>
    </row>
    <row r="2832" spans="1:23" x14ac:dyDescent="0.3">
      <c r="A2832" s="193" t="str">
        <f ca="1"/>
        <v/>
      </c>
      <c r="B2832" s="378"/>
      <c r="C2832" s="315"/>
      <c r="D2832" s="316"/>
      <c r="E2832" s="315"/>
      <c r="F2832" s="315"/>
      <c r="G2832" s="315"/>
      <c r="H2832" s="153"/>
      <c r="I2832" s="12"/>
      <c r="J2832" s="12"/>
      <c r="K2832" s="12"/>
      <c r="L2832" s="379"/>
      <c r="M2832" s="380"/>
      <c r="N2832" s="380"/>
      <c r="O2832" s="12"/>
      <c r="P2832" s="381"/>
      <c r="Q2832" s="12"/>
      <c r="R2832" s="12"/>
      <c r="S2832" s="382"/>
      <c r="T2832" s="383"/>
      <c r="U2832" s="384"/>
      <c r="V2832" s="12"/>
      <c r="W2832" s="12"/>
    </row>
    <row r="2833" spans="1:23" x14ac:dyDescent="0.3">
      <c r="A2833" s="193" t="str">
        <f ca="1"/>
        <v/>
      </c>
      <c r="B2833" s="378"/>
      <c r="C2833" s="315"/>
      <c r="D2833" s="316"/>
      <c r="E2833" s="315"/>
      <c r="F2833" s="315"/>
      <c r="G2833" s="315"/>
      <c r="H2833" s="153"/>
      <c r="I2833" s="12"/>
      <c r="J2833" s="12"/>
      <c r="K2833" s="12"/>
      <c r="L2833" s="379"/>
      <c r="M2833" s="380"/>
      <c r="N2833" s="380"/>
      <c r="O2833" s="12"/>
      <c r="P2833" s="381"/>
      <c r="Q2833" s="12"/>
      <c r="R2833" s="12"/>
      <c r="S2833" s="382"/>
      <c r="T2833" s="383"/>
      <c r="U2833" s="384"/>
      <c r="V2833" s="12"/>
      <c r="W2833" s="12"/>
    </row>
    <row r="2834" spans="1:23" x14ac:dyDescent="0.3">
      <c r="A2834" s="193" t="str">
        <f ca="1"/>
        <v/>
      </c>
      <c r="B2834" s="378"/>
      <c r="C2834" s="315"/>
      <c r="D2834" s="316"/>
      <c r="E2834" s="315"/>
      <c r="F2834" s="315"/>
      <c r="G2834" s="315"/>
      <c r="H2834" s="153"/>
      <c r="I2834" s="12"/>
      <c r="J2834" s="12"/>
      <c r="K2834" s="12"/>
      <c r="L2834" s="379"/>
      <c r="M2834" s="380"/>
      <c r="N2834" s="380"/>
      <c r="O2834" s="12"/>
      <c r="P2834" s="381"/>
      <c r="Q2834" s="12"/>
      <c r="R2834" s="12"/>
      <c r="S2834" s="382"/>
      <c r="T2834" s="383"/>
      <c r="U2834" s="384"/>
      <c r="V2834" s="12"/>
      <c r="W2834" s="12"/>
    </row>
    <row r="2835" spans="1:23" x14ac:dyDescent="0.3">
      <c r="A2835" s="193" t="str">
        <f ca="1"/>
        <v/>
      </c>
      <c r="B2835" s="378"/>
      <c r="C2835" s="315"/>
      <c r="D2835" s="316"/>
      <c r="E2835" s="315"/>
      <c r="F2835" s="315"/>
      <c r="G2835" s="315"/>
      <c r="H2835" s="153"/>
      <c r="I2835" s="12"/>
      <c r="J2835" s="12"/>
      <c r="K2835" s="12"/>
      <c r="L2835" s="379"/>
      <c r="M2835" s="380"/>
      <c r="N2835" s="380"/>
      <c r="O2835" s="12"/>
      <c r="P2835" s="381"/>
      <c r="Q2835" s="12"/>
      <c r="R2835" s="12"/>
      <c r="S2835" s="382"/>
      <c r="T2835" s="383"/>
      <c r="U2835" s="384"/>
      <c r="V2835" s="12"/>
      <c r="W2835" s="12"/>
    </row>
    <row r="2836" spans="1:23" x14ac:dyDescent="0.3">
      <c r="A2836" s="193" t="str">
        <f ca="1"/>
        <v/>
      </c>
      <c r="B2836" s="378"/>
      <c r="C2836" s="315"/>
      <c r="D2836" s="316"/>
      <c r="E2836" s="315"/>
      <c r="F2836" s="315"/>
      <c r="G2836" s="315"/>
      <c r="H2836" s="153"/>
      <c r="I2836" s="12"/>
      <c r="J2836" s="12"/>
      <c r="K2836" s="12"/>
      <c r="L2836" s="379"/>
      <c r="M2836" s="380"/>
      <c r="N2836" s="380"/>
      <c r="O2836" s="12"/>
      <c r="P2836" s="381"/>
      <c r="Q2836" s="12"/>
      <c r="R2836" s="12"/>
      <c r="S2836" s="382"/>
      <c r="T2836" s="383"/>
      <c r="U2836" s="384"/>
      <c r="V2836" s="12"/>
      <c r="W2836" s="12"/>
    </row>
    <row r="2837" spans="1:23" x14ac:dyDescent="0.3">
      <c r="A2837" s="193" t="str">
        <f ca="1"/>
        <v/>
      </c>
      <c r="B2837" s="378"/>
      <c r="C2837" s="315"/>
      <c r="D2837" s="316"/>
      <c r="E2837" s="315"/>
      <c r="F2837" s="315"/>
      <c r="G2837" s="315"/>
      <c r="H2837" s="153"/>
      <c r="I2837" s="12"/>
      <c r="J2837" s="12"/>
      <c r="K2837" s="12"/>
      <c r="L2837" s="379"/>
      <c r="M2837" s="380"/>
      <c r="N2837" s="380"/>
      <c r="O2837" s="12"/>
      <c r="P2837" s="381"/>
      <c r="Q2837" s="12"/>
      <c r="R2837" s="12"/>
      <c r="S2837" s="382"/>
      <c r="T2837" s="383"/>
      <c r="U2837" s="384"/>
      <c r="V2837" s="12"/>
      <c r="W2837" s="12"/>
    </row>
    <row r="2838" spans="1:23" x14ac:dyDescent="0.3">
      <c r="A2838" s="193" t="str">
        <f ca="1"/>
        <v/>
      </c>
      <c r="B2838" s="378"/>
      <c r="C2838" s="315"/>
      <c r="D2838" s="316"/>
      <c r="E2838" s="315"/>
      <c r="F2838" s="315"/>
      <c r="G2838" s="315"/>
      <c r="H2838" s="153"/>
      <c r="I2838" s="12"/>
      <c r="J2838" s="12"/>
      <c r="K2838" s="12"/>
      <c r="L2838" s="379"/>
      <c r="M2838" s="380"/>
      <c r="N2838" s="380"/>
      <c r="O2838" s="12"/>
      <c r="P2838" s="381"/>
      <c r="Q2838" s="12"/>
      <c r="R2838" s="12"/>
      <c r="S2838" s="382"/>
      <c r="T2838" s="383"/>
      <c r="U2838" s="384"/>
      <c r="V2838" s="12"/>
      <c r="W2838" s="12"/>
    </row>
    <row r="2839" spans="1:23" x14ac:dyDescent="0.3">
      <c r="A2839" s="193" t="str">
        <f ca="1"/>
        <v/>
      </c>
      <c r="B2839" s="378"/>
      <c r="C2839" s="315"/>
      <c r="D2839" s="316"/>
      <c r="E2839" s="315"/>
      <c r="F2839" s="315"/>
      <c r="G2839" s="315"/>
      <c r="H2839" s="153"/>
      <c r="I2839" s="12"/>
      <c r="J2839" s="12"/>
      <c r="K2839" s="12"/>
      <c r="L2839" s="379"/>
      <c r="M2839" s="380"/>
      <c r="N2839" s="380"/>
      <c r="O2839" s="12"/>
      <c r="P2839" s="381"/>
      <c r="Q2839" s="12"/>
      <c r="R2839" s="12"/>
      <c r="S2839" s="382"/>
      <c r="T2839" s="383"/>
      <c r="U2839" s="384"/>
      <c r="V2839" s="12"/>
      <c r="W2839" s="12"/>
    </row>
    <row r="2840" spans="1:23" x14ac:dyDescent="0.3">
      <c r="A2840" s="193" t="str">
        <f ca="1"/>
        <v/>
      </c>
      <c r="B2840" s="378"/>
      <c r="C2840" s="315"/>
      <c r="D2840" s="316"/>
      <c r="E2840" s="315"/>
      <c r="F2840" s="315"/>
      <c r="G2840" s="315"/>
      <c r="H2840" s="153"/>
      <c r="I2840" s="12"/>
      <c r="J2840" s="12"/>
      <c r="K2840" s="12"/>
      <c r="L2840" s="379"/>
      <c r="M2840" s="380"/>
      <c r="N2840" s="380"/>
      <c r="O2840" s="12"/>
      <c r="P2840" s="381"/>
      <c r="Q2840" s="12"/>
      <c r="R2840" s="12"/>
      <c r="S2840" s="382"/>
      <c r="T2840" s="383"/>
      <c r="U2840" s="384"/>
      <c r="V2840" s="12"/>
      <c r="W2840" s="12"/>
    </row>
    <row r="2841" spans="1:23" x14ac:dyDescent="0.3">
      <c r="A2841" s="193" t="str">
        <f ca="1"/>
        <v/>
      </c>
      <c r="B2841" s="378"/>
      <c r="C2841" s="315"/>
      <c r="D2841" s="316"/>
      <c r="E2841" s="315"/>
      <c r="F2841" s="315"/>
      <c r="G2841" s="315"/>
      <c r="H2841" s="153"/>
      <c r="I2841" s="12"/>
      <c r="J2841" s="12"/>
      <c r="K2841" s="12"/>
      <c r="L2841" s="379"/>
      <c r="M2841" s="380"/>
      <c r="N2841" s="380"/>
      <c r="O2841" s="12"/>
      <c r="P2841" s="381"/>
      <c r="Q2841" s="12"/>
      <c r="R2841" s="12"/>
      <c r="S2841" s="382"/>
      <c r="T2841" s="383"/>
      <c r="U2841" s="384"/>
      <c r="V2841" s="12"/>
      <c r="W2841" s="12"/>
    </row>
    <row r="2842" spans="1:23" x14ac:dyDescent="0.3">
      <c r="A2842" s="193" t="str">
        <f ca="1"/>
        <v/>
      </c>
      <c r="B2842" s="378"/>
      <c r="C2842" s="315"/>
      <c r="D2842" s="316"/>
      <c r="E2842" s="315"/>
      <c r="F2842" s="315"/>
      <c r="G2842" s="315"/>
      <c r="H2842" s="153"/>
      <c r="I2842" s="12"/>
      <c r="J2842" s="12"/>
      <c r="K2842" s="12"/>
      <c r="L2842" s="379"/>
      <c r="M2842" s="380"/>
      <c r="N2842" s="380"/>
      <c r="O2842" s="12"/>
      <c r="P2842" s="381"/>
      <c r="Q2842" s="12"/>
      <c r="R2842" s="12"/>
      <c r="S2842" s="382"/>
      <c r="T2842" s="383"/>
      <c r="U2842" s="384"/>
      <c r="V2842" s="12"/>
      <c r="W2842" s="12"/>
    </row>
    <row r="2843" spans="1:23" x14ac:dyDescent="0.3">
      <c r="A2843" s="193" t="str">
        <f ca="1"/>
        <v/>
      </c>
      <c r="B2843" s="378"/>
      <c r="C2843" s="315"/>
      <c r="D2843" s="316"/>
      <c r="E2843" s="315"/>
      <c r="F2843" s="315"/>
      <c r="G2843" s="315"/>
      <c r="H2843" s="153"/>
      <c r="I2843" s="12"/>
      <c r="J2843" s="12"/>
      <c r="K2843" s="12"/>
      <c r="L2843" s="379"/>
      <c r="M2843" s="380"/>
      <c r="N2843" s="380"/>
      <c r="O2843" s="12"/>
      <c r="P2843" s="381"/>
      <c r="Q2843" s="12"/>
      <c r="R2843" s="12"/>
      <c r="S2843" s="382"/>
      <c r="T2843" s="383"/>
      <c r="U2843" s="384"/>
      <c r="V2843" s="12"/>
      <c r="W2843" s="12"/>
    </row>
    <row r="2844" spans="1:23" x14ac:dyDescent="0.3">
      <c r="A2844" s="193" t="str">
        <f ca="1"/>
        <v/>
      </c>
      <c r="B2844" s="378"/>
      <c r="C2844" s="315"/>
      <c r="D2844" s="316"/>
      <c r="E2844" s="315"/>
      <c r="F2844" s="315"/>
      <c r="G2844" s="315"/>
      <c r="H2844" s="153"/>
      <c r="I2844" s="12"/>
      <c r="J2844" s="12"/>
      <c r="K2844" s="12"/>
      <c r="L2844" s="379"/>
      <c r="M2844" s="380"/>
      <c r="N2844" s="380"/>
      <c r="O2844" s="12"/>
      <c r="P2844" s="381"/>
      <c r="Q2844" s="12"/>
      <c r="R2844" s="12"/>
      <c r="S2844" s="382"/>
      <c r="T2844" s="383"/>
      <c r="U2844" s="384"/>
      <c r="V2844" s="12"/>
      <c r="W2844" s="12"/>
    </row>
    <row r="2845" spans="1:23" x14ac:dyDescent="0.3">
      <c r="A2845" s="193" t="str">
        <f ca="1"/>
        <v/>
      </c>
      <c r="B2845" s="378"/>
      <c r="C2845" s="315"/>
      <c r="D2845" s="316"/>
      <c r="E2845" s="315"/>
      <c r="F2845" s="315"/>
      <c r="G2845" s="315"/>
      <c r="H2845" s="153"/>
      <c r="I2845" s="12"/>
      <c r="J2845" s="12"/>
      <c r="K2845" s="12"/>
      <c r="L2845" s="379"/>
      <c r="M2845" s="380"/>
      <c r="N2845" s="380"/>
      <c r="O2845" s="12"/>
      <c r="P2845" s="381"/>
      <c r="Q2845" s="12"/>
      <c r="R2845" s="12"/>
      <c r="S2845" s="382"/>
      <c r="T2845" s="383"/>
      <c r="U2845" s="384"/>
      <c r="V2845" s="12"/>
      <c r="W2845" s="12"/>
    </row>
    <row r="2846" spans="1:23" x14ac:dyDescent="0.3">
      <c r="A2846" s="193" t="str">
        <f ca="1"/>
        <v/>
      </c>
      <c r="B2846" s="378"/>
      <c r="C2846" s="315"/>
      <c r="D2846" s="316"/>
      <c r="E2846" s="315"/>
      <c r="F2846" s="315"/>
      <c r="G2846" s="315"/>
      <c r="H2846" s="153"/>
      <c r="I2846" s="12"/>
      <c r="J2846" s="12"/>
      <c r="K2846" s="12"/>
      <c r="L2846" s="379"/>
      <c r="M2846" s="380"/>
      <c r="N2846" s="380"/>
      <c r="O2846" s="12"/>
      <c r="P2846" s="381"/>
      <c r="Q2846" s="12"/>
      <c r="R2846" s="12"/>
      <c r="S2846" s="382"/>
      <c r="T2846" s="383"/>
      <c r="U2846" s="384"/>
      <c r="V2846" s="12"/>
      <c r="W2846" s="12"/>
    </row>
    <row r="2847" spans="1:23" x14ac:dyDescent="0.3">
      <c r="A2847" s="193" t="str">
        <f ca="1"/>
        <v/>
      </c>
      <c r="B2847" s="378"/>
      <c r="C2847" s="315"/>
      <c r="D2847" s="316"/>
      <c r="E2847" s="315"/>
      <c r="F2847" s="315"/>
      <c r="G2847" s="315"/>
      <c r="H2847" s="153"/>
      <c r="I2847" s="12"/>
      <c r="J2847" s="12"/>
      <c r="K2847" s="12"/>
      <c r="L2847" s="379"/>
      <c r="M2847" s="380"/>
      <c r="N2847" s="380"/>
      <c r="O2847" s="12"/>
      <c r="P2847" s="381"/>
      <c r="Q2847" s="12"/>
      <c r="R2847" s="12"/>
      <c r="S2847" s="382"/>
      <c r="T2847" s="383"/>
      <c r="U2847" s="384"/>
      <c r="V2847" s="12"/>
      <c r="W2847" s="12"/>
    </row>
    <row r="2848" spans="1:23" x14ac:dyDescent="0.3">
      <c r="A2848" s="193" t="str">
        <f ca="1"/>
        <v/>
      </c>
      <c r="B2848" s="378"/>
      <c r="C2848" s="315"/>
      <c r="D2848" s="316"/>
      <c r="E2848" s="315"/>
      <c r="F2848" s="315"/>
      <c r="G2848" s="315"/>
      <c r="H2848" s="153"/>
      <c r="I2848" s="12"/>
      <c r="J2848" s="12"/>
      <c r="K2848" s="12"/>
      <c r="L2848" s="379"/>
      <c r="M2848" s="380"/>
      <c r="N2848" s="380"/>
      <c r="O2848" s="12"/>
      <c r="P2848" s="381"/>
      <c r="Q2848" s="12"/>
      <c r="R2848" s="12"/>
      <c r="S2848" s="382"/>
      <c r="T2848" s="383"/>
      <c r="U2848" s="384"/>
      <c r="V2848" s="12"/>
      <c r="W2848" s="12"/>
    </row>
    <row r="2849" spans="1:23" x14ac:dyDescent="0.3">
      <c r="A2849" s="193" t="str">
        <f ca="1"/>
        <v/>
      </c>
      <c r="B2849" s="378"/>
      <c r="C2849" s="315"/>
      <c r="D2849" s="316"/>
      <c r="E2849" s="315"/>
      <c r="F2849" s="315"/>
      <c r="G2849" s="315"/>
      <c r="H2849" s="153"/>
      <c r="I2849" s="12"/>
      <c r="J2849" s="12"/>
      <c r="K2849" s="12"/>
      <c r="L2849" s="379"/>
      <c r="M2849" s="380"/>
      <c r="N2849" s="380"/>
      <c r="O2849" s="12"/>
      <c r="P2849" s="381"/>
      <c r="Q2849" s="12"/>
      <c r="R2849" s="12"/>
      <c r="S2849" s="382"/>
      <c r="T2849" s="383"/>
      <c r="U2849" s="384"/>
      <c r="V2849" s="12"/>
      <c r="W2849" s="12"/>
    </row>
    <row r="2850" spans="1:23" x14ac:dyDescent="0.3">
      <c r="A2850" s="193" t="str">
        <f ca="1"/>
        <v/>
      </c>
      <c r="B2850" s="378"/>
      <c r="C2850" s="315"/>
      <c r="D2850" s="316"/>
      <c r="E2850" s="315"/>
      <c r="F2850" s="315"/>
      <c r="G2850" s="315"/>
      <c r="H2850" s="153"/>
      <c r="I2850" s="12"/>
      <c r="J2850" s="12"/>
      <c r="K2850" s="12"/>
      <c r="L2850" s="379"/>
      <c r="M2850" s="380"/>
      <c r="N2850" s="380"/>
      <c r="O2850" s="12"/>
      <c r="P2850" s="381"/>
      <c r="Q2850" s="12"/>
      <c r="R2850" s="12"/>
      <c r="S2850" s="382"/>
      <c r="T2850" s="383"/>
      <c r="U2850" s="384"/>
      <c r="V2850" s="12"/>
      <c r="W2850" s="12"/>
    </row>
    <row r="2851" spans="1:23" x14ac:dyDescent="0.3">
      <c r="A2851" s="193" t="str">
        <f ca="1"/>
        <v/>
      </c>
      <c r="B2851" s="378"/>
      <c r="C2851" s="315"/>
      <c r="D2851" s="316"/>
      <c r="E2851" s="315"/>
      <c r="F2851" s="315"/>
      <c r="G2851" s="315"/>
      <c r="H2851" s="153"/>
      <c r="I2851" s="12"/>
      <c r="J2851" s="12"/>
      <c r="K2851" s="12"/>
      <c r="L2851" s="379"/>
      <c r="M2851" s="380"/>
      <c r="N2851" s="380"/>
      <c r="O2851" s="12"/>
      <c r="P2851" s="381"/>
      <c r="Q2851" s="12"/>
      <c r="R2851" s="12"/>
      <c r="S2851" s="382"/>
      <c r="T2851" s="383"/>
      <c r="U2851" s="384"/>
      <c r="V2851" s="12"/>
      <c r="W2851" s="12"/>
    </row>
    <row r="2852" spans="1:23" x14ac:dyDescent="0.3">
      <c r="A2852" s="193" t="str">
        <f ca="1"/>
        <v/>
      </c>
      <c r="B2852" s="378"/>
      <c r="C2852" s="315"/>
      <c r="D2852" s="316"/>
      <c r="E2852" s="315"/>
      <c r="F2852" s="315"/>
      <c r="G2852" s="315"/>
      <c r="H2852" s="153"/>
      <c r="I2852" s="12"/>
      <c r="J2852" s="12"/>
      <c r="K2852" s="12"/>
      <c r="L2852" s="379"/>
      <c r="M2852" s="380"/>
      <c r="N2852" s="380"/>
      <c r="O2852" s="12"/>
      <c r="P2852" s="381"/>
      <c r="Q2852" s="12"/>
      <c r="R2852" s="12"/>
      <c r="S2852" s="382"/>
      <c r="T2852" s="383"/>
      <c r="U2852" s="384"/>
      <c r="V2852" s="12"/>
      <c r="W2852" s="12"/>
    </row>
    <row r="2853" spans="1:23" x14ac:dyDescent="0.3">
      <c r="A2853" s="193" t="str">
        <f ca="1"/>
        <v/>
      </c>
      <c r="B2853" s="378"/>
      <c r="C2853" s="315"/>
      <c r="D2853" s="316"/>
      <c r="E2853" s="315"/>
      <c r="F2853" s="315"/>
      <c r="G2853" s="315"/>
      <c r="H2853" s="153"/>
      <c r="I2853" s="12"/>
      <c r="J2853" s="12"/>
      <c r="K2853" s="12"/>
      <c r="L2853" s="379"/>
      <c r="M2853" s="380"/>
      <c r="N2853" s="380"/>
      <c r="O2853" s="12"/>
      <c r="P2853" s="381"/>
      <c r="Q2853" s="12"/>
      <c r="R2853" s="12"/>
      <c r="S2853" s="382"/>
      <c r="T2853" s="383"/>
      <c r="U2853" s="384"/>
      <c r="V2853" s="12"/>
      <c r="W2853" s="12"/>
    </row>
    <row r="2854" spans="1:23" x14ac:dyDescent="0.3">
      <c r="A2854" s="193" t="str">
        <f ca="1"/>
        <v/>
      </c>
      <c r="B2854" s="378"/>
      <c r="C2854" s="315"/>
      <c r="D2854" s="316"/>
      <c r="E2854" s="315"/>
      <c r="F2854" s="315"/>
      <c r="G2854" s="315"/>
      <c r="H2854" s="153"/>
      <c r="I2854" s="12"/>
      <c r="J2854" s="12"/>
      <c r="K2854" s="12"/>
      <c r="L2854" s="379"/>
      <c r="M2854" s="380"/>
      <c r="N2854" s="380"/>
      <c r="O2854" s="12"/>
      <c r="P2854" s="381"/>
      <c r="Q2854" s="12"/>
      <c r="R2854" s="12"/>
      <c r="S2854" s="382"/>
      <c r="T2854" s="383"/>
      <c r="U2854" s="384"/>
      <c r="V2854" s="12"/>
      <c r="W2854" s="12"/>
    </row>
    <row r="2855" spans="1:23" x14ac:dyDescent="0.3">
      <c r="A2855" s="193" t="str">
        <f ca="1"/>
        <v/>
      </c>
      <c r="B2855" s="378"/>
      <c r="C2855" s="315"/>
      <c r="D2855" s="316"/>
      <c r="E2855" s="315"/>
      <c r="F2855" s="315"/>
      <c r="G2855" s="315"/>
      <c r="H2855" s="153"/>
      <c r="I2855" s="12"/>
      <c r="J2855" s="12"/>
      <c r="K2855" s="12"/>
      <c r="L2855" s="379"/>
      <c r="M2855" s="380"/>
      <c r="N2855" s="380"/>
      <c r="O2855" s="12"/>
      <c r="P2855" s="381"/>
      <c r="Q2855" s="12"/>
      <c r="R2855" s="12"/>
      <c r="S2855" s="382"/>
      <c r="T2855" s="383"/>
      <c r="U2855" s="384"/>
      <c r="V2855" s="12"/>
      <c r="W2855" s="12"/>
    </row>
    <row r="2856" spans="1:23" x14ac:dyDescent="0.3">
      <c r="A2856" s="193" t="str">
        <f ca="1"/>
        <v/>
      </c>
      <c r="B2856" s="378"/>
      <c r="C2856" s="315"/>
      <c r="D2856" s="316"/>
      <c r="E2856" s="315"/>
      <c r="F2856" s="315"/>
      <c r="G2856" s="315"/>
      <c r="H2856" s="153"/>
      <c r="I2856" s="12"/>
      <c r="J2856" s="12"/>
      <c r="K2856" s="12"/>
      <c r="L2856" s="379"/>
      <c r="M2856" s="380"/>
      <c r="N2856" s="380"/>
      <c r="O2856" s="12"/>
      <c r="P2856" s="381"/>
      <c r="Q2856" s="12"/>
      <c r="R2856" s="12"/>
      <c r="S2856" s="382"/>
      <c r="T2856" s="383"/>
      <c r="U2856" s="384"/>
      <c r="V2856" s="12"/>
      <c r="W2856" s="12"/>
    </row>
    <row r="2857" spans="1:23" x14ac:dyDescent="0.3">
      <c r="A2857" s="193" t="str">
        <f ca="1"/>
        <v/>
      </c>
      <c r="B2857" s="378"/>
      <c r="C2857" s="315"/>
      <c r="D2857" s="316"/>
      <c r="E2857" s="315"/>
      <c r="F2857" s="315"/>
      <c r="G2857" s="315"/>
      <c r="H2857" s="153"/>
      <c r="I2857" s="12"/>
      <c r="J2857" s="12"/>
      <c r="K2857" s="12"/>
      <c r="L2857" s="379"/>
      <c r="M2857" s="380"/>
      <c r="N2857" s="380"/>
      <c r="O2857" s="12"/>
      <c r="P2857" s="381"/>
      <c r="Q2857" s="12"/>
      <c r="R2857" s="12"/>
      <c r="S2857" s="382"/>
      <c r="T2857" s="383"/>
      <c r="U2857" s="384"/>
      <c r="V2857" s="12"/>
      <c r="W2857" s="12"/>
    </row>
    <row r="2858" spans="1:23" x14ac:dyDescent="0.3">
      <c r="A2858" s="193" t="str">
        <f ca="1"/>
        <v/>
      </c>
      <c r="B2858" s="378"/>
      <c r="C2858" s="315"/>
      <c r="D2858" s="316"/>
      <c r="E2858" s="315"/>
      <c r="F2858" s="315"/>
      <c r="G2858" s="315"/>
      <c r="H2858" s="153"/>
      <c r="I2858" s="12"/>
      <c r="J2858" s="12"/>
      <c r="K2858" s="12"/>
      <c r="L2858" s="379"/>
      <c r="M2858" s="380"/>
      <c r="N2858" s="380"/>
      <c r="O2858" s="12"/>
      <c r="P2858" s="381"/>
      <c r="Q2858" s="12"/>
      <c r="R2858" s="12"/>
      <c r="S2858" s="382"/>
      <c r="T2858" s="383"/>
      <c r="U2858" s="384"/>
      <c r="V2858" s="12"/>
      <c r="W2858" s="12"/>
    </row>
    <row r="2859" spans="1:23" x14ac:dyDescent="0.3">
      <c r="A2859" s="193" t="str">
        <f ca="1"/>
        <v/>
      </c>
      <c r="B2859" s="378"/>
      <c r="C2859" s="315"/>
      <c r="D2859" s="316"/>
      <c r="E2859" s="315"/>
      <c r="F2859" s="315"/>
      <c r="G2859" s="315"/>
      <c r="H2859" s="153"/>
      <c r="I2859" s="12"/>
      <c r="J2859" s="12"/>
      <c r="K2859" s="12"/>
      <c r="L2859" s="379"/>
      <c r="M2859" s="380"/>
      <c r="N2859" s="380"/>
      <c r="O2859" s="12"/>
      <c r="P2859" s="381"/>
      <c r="Q2859" s="12"/>
      <c r="R2859" s="12"/>
      <c r="S2859" s="382"/>
      <c r="T2859" s="383"/>
      <c r="U2859" s="384"/>
      <c r="V2859" s="12"/>
      <c r="W2859" s="12"/>
    </row>
    <row r="2860" spans="1:23" x14ac:dyDescent="0.3">
      <c r="A2860" s="193" t="str">
        <f ca="1"/>
        <v/>
      </c>
      <c r="B2860" s="378"/>
      <c r="C2860" s="315"/>
      <c r="D2860" s="316"/>
      <c r="E2860" s="315"/>
      <c r="F2860" s="315"/>
      <c r="G2860" s="315"/>
      <c r="H2860" s="153"/>
      <c r="I2860" s="12"/>
      <c r="J2860" s="12"/>
      <c r="K2860" s="12"/>
      <c r="L2860" s="379"/>
      <c r="M2860" s="380"/>
      <c r="N2860" s="380"/>
      <c r="O2860" s="12"/>
      <c r="P2860" s="381"/>
      <c r="Q2860" s="12"/>
      <c r="R2860" s="12"/>
      <c r="S2860" s="382"/>
      <c r="T2860" s="383"/>
      <c r="U2860" s="384"/>
      <c r="V2860" s="12"/>
      <c r="W2860" s="12"/>
    </row>
    <row r="2861" spans="1:23" x14ac:dyDescent="0.3">
      <c r="A2861" s="193" t="str">
        <f ca="1"/>
        <v/>
      </c>
      <c r="B2861" s="378"/>
      <c r="C2861" s="315"/>
      <c r="D2861" s="316"/>
      <c r="E2861" s="315"/>
      <c r="F2861" s="315"/>
      <c r="G2861" s="315"/>
      <c r="H2861" s="153"/>
      <c r="I2861" s="12"/>
      <c r="J2861" s="12"/>
      <c r="K2861" s="12"/>
      <c r="L2861" s="379"/>
      <c r="M2861" s="380"/>
      <c r="N2861" s="380"/>
      <c r="O2861" s="12"/>
      <c r="P2861" s="381"/>
      <c r="Q2861" s="12"/>
      <c r="R2861" s="12"/>
      <c r="S2861" s="382"/>
      <c r="T2861" s="383"/>
      <c r="U2861" s="384"/>
      <c r="V2861" s="12"/>
      <c r="W2861" s="12"/>
    </row>
    <row r="2862" spans="1:23" x14ac:dyDescent="0.3">
      <c r="A2862" s="193" t="str">
        <f ca="1"/>
        <v/>
      </c>
      <c r="B2862" s="378"/>
      <c r="C2862" s="315"/>
      <c r="D2862" s="316"/>
      <c r="E2862" s="315"/>
      <c r="F2862" s="315"/>
      <c r="G2862" s="315"/>
      <c r="H2862" s="153"/>
      <c r="I2862" s="12"/>
      <c r="J2862" s="12"/>
      <c r="K2862" s="12"/>
      <c r="L2862" s="379"/>
      <c r="M2862" s="380"/>
      <c r="N2862" s="380"/>
      <c r="O2862" s="12"/>
      <c r="P2862" s="381"/>
      <c r="Q2862" s="12"/>
      <c r="R2862" s="12"/>
      <c r="S2862" s="382"/>
      <c r="T2862" s="383"/>
      <c r="U2862" s="384"/>
      <c r="V2862" s="12"/>
      <c r="W2862" s="12"/>
    </row>
    <row r="2863" spans="1:23" x14ac:dyDescent="0.3">
      <c r="A2863" s="193" t="str">
        <f ca="1"/>
        <v/>
      </c>
      <c r="B2863" s="378"/>
      <c r="C2863" s="315"/>
      <c r="D2863" s="316"/>
      <c r="E2863" s="315"/>
      <c r="F2863" s="315"/>
      <c r="G2863" s="315"/>
      <c r="H2863" s="153"/>
      <c r="I2863" s="12"/>
      <c r="J2863" s="12"/>
      <c r="K2863" s="12"/>
      <c r="L2863" s="379"/>
      <c r="M2863" s="380"/>
      <c r="N2863" s="380"/>
      <c r="O2863" s="12"/>
      <c r="P2863" s="381"/>
      <c r="Q2863" s="12"/>
      <c r="R2863" s="12"/>
      <c r="S2863" s="382"/>
      <c r="T2863" s="383"/>
      <c r="U2863" s="384"/>
      <c r="V2863" s="12"/>
      <c r="W2863" s="12"/>
    </row>
    <row r="2864" spans="1:23" x14ac:dyDescent="0.3">
      <c r="A2864" s="193" t="str">
        <f ca="1"/>
        <v/>
      </c>
      <c r="B2864" s="378"/>
      <c r="C2864" s="315"/>
      <c r="D2864" s="316"/>
      <c r="E2864" s="315"/>
      <c r="F2864" s="315"/>
      <c r="G2864" s="315"/>
      <c r="H2864" s="153"/>
      <c r="I2864" s="12"/>
      <c r="J2864" s="12"/>
      <c r="K2864" s="12"/>
      <c r="L2864" s="379"/>
      <c r="M2864" s="380"/>
      <c r="N2864" s="380"/>
      <c r="O2864" s="12"/>
      <c r="P2864" s="381"/>
      <c r="Q2864" s="12"/>
      <c r="R2864" s="12"/>
      <c r="S2864" s="382"/>
      <c r="T2864" s="383"/>
      <c r="U2864" s="384"/>
      <c r="V2864" s="12"/>
      <c r="W2864" s="12"/>
    </row>
    <row r="2865" spans="1:23" x14ac:dyDescent="0.3">
      <c r="A2865" s="193" t="str">
        <f ca="1"/>
        <v/>
      </c>
      <c r="B2865" s="378"/>
      <c r="C2865" s="315"/>
      <c r="D2865" s="316"/>
      <c r="E2865" s="315"/>
      <c r="F2865" s="315"/>
      <c r="G2865" s="315"/>
      <c r="H2865" s="153"/>
      <c r="I2865" s="12"/>
      <c r="J2865" s="12"/>
      <c r="K2865" s="12"/>
      <c r="L2865" s="379"/>
      <c r="M2865" s="380"/>
      <c r="N2865" s="380"/>
      <c r="O2865" s="12"/>
      <c r="P2865" s="381"/>
      <c r="Q2865" s="12"/>
      <c r="R2865" s="12"/>
      <c r="S2865" s="382"/>
      <c r="T2865" s="383"/>
      <c r="U2865" s="384"/>
      <c r="V2865" s="12"/>
      <c r="W2865" s="12"/>
    </row>
    <row r="2866" spans="1:23" x14ac:dyDescent="0.3">
      <c r="A2866" s="193" t="str">
        <f ca="1"/>
        <v/>
      </c>
      <c r="B2866" s="378"/>
      <c r="C2866" s="315"/>
      <c r="D2866" s="316"/>
      <c r="E2866" s="315"/>
      <c r="F2866" s="315"/>
      <c r="G2866" s="315"/>
      <c r="H2866" s="153"/>
      <c r="I2866" s="12"/>
      <c r="J2866" s="12"/>
      <c r="K2866" s="12"/>
      <c r="L2866" s="379"/>
      <c r="M2866" s="380"/>
      <c r="N2866" s="380"/>
      <c r="O2866" s="12"/>
      <c r="P2866" s="381"/>
      <c r="Q2866" s="12"/>
      <c r="R2866" s="12"/>
      <c r="S2866" s="382"/>
      <c r="T2866" s="383"/>
      <c r="U2866" s="384"/>
      <c r="V2866" s="12"/>
      <c r="W2866" s="12"/>
    </row>
    <row r="2867" spans="1:23" x14ac:dyDescent="0.3">
      <c r="A2867" s="193" t="str">
        <f ca="1"/>
        <v/>
      </c>
      <c r="B2867" s="378"/>
      <c r="C2867" s="315"/>
      <c r="D2867" s="316"/>
      <c r="E2867" s="315"/>
      <c r="F2867" s="315"/>
      <c r="G2867" s="315"/>
      <c r="H2867" s="153"/>
      <c r="I2867" s="12"/>
      <c r="J2867" s="12"/>
      <c r="K2867" s="12"/>
      <c r="L2867" s="379"/>
      <c r="M2867" s="380"/>
      <c r="N2867" s="380"/>
      <c r="O2867" s="12"/>
      <c r="P2867" s="381"/>
      <c r="Q2867" s="12"/>
      <c r="R2867" s="12"/>
      <c r="S2867" s="382"/>
      <c r="T2867" s="383"/>
      <c r="U2867" s="384"/>
      <c r="V2867" s="12"/>
      <c r="W2867" s="12"/>
    </row>
    <row r="2868" spans="1:23" x14ac:dyDescent="0.3">
      <c r="A2868" s="193" t="str">
        <f ca="1"/>
        <v/>
      </c>
      <c r="B2868" s="378"/>
      <c r="C2868" s="315"/>
      <c r="D2868" s="316"/>
      <c r="E2868" s="315"/>
      <c r="F2868" s="315"/>
      <c r="G2868" s="315"/>
      <c r="H2868" s="153"/>
      <c r="I2868" s="12"/>
      <c r="J2868" s="12"/>
      <c r="K2868" s="12"/>
      <c r="L2868" s="379"/>
      <c r="M2868" s="380"/>
      <c r="N2868" s="380"/>
      <c r="O2868" s="12"/>
      <c r="P2868" s="381"/>
      <c r="Q2868" s="12"/>
      <c r="R2868" s="12"/>
      <c r="S2868" s="382"/>
      <c r="T2868" s="383"/>
      <c r="U2868" s="384"/>
      <c r="V2868" s="12"/>
      <c r="W2868" s="12"/>
    </row>
    <row r="2869" spans="1:23" x14ac:dyDescent="0.3">
      <c r="A2869" s="193" t="str">
        <f ca="1"/>
        <v/>
      </c>
      <c r="B2869" s="378"/>
      <c r="C2869" s="315"/>
      <c r="D2869" s="316"/>
      <c r="E2869" s="315"/>
      <c r="F2869" s="315"/>
      <c r="G2869" s="315"/>
      <c r="H2869" s="153"/>
      <c r="I2869" s="12"/>
      <c r="J2869" s="12"/>
      <c r="K2869" s="12"/>
      <c r="L2869" s="379"/>
      <c r="M2869" s="380"/>
      <c r="N2869" s="380"/>
      <c r="O2869" s="12"/>
      <c r="P2869" s="381"/>
      <c r="Q2869" s="12"/>
      <c r="R2869" s="12"/>
      <c r="S2869" s="382"/>
      <c r="T2869" s="383"/>
      <c r="U2869" s="384"/>
      <c r="V2869" s="12"/>
      <c r="W2869" s="12"/>
    </row>
    <row r="2870" spans="1:23" x14ac:dyDescent="0.3">
      <c r="A2870" s="193" t="str">
        <f ca="1"/>
        <v/>
      </c>
      <c r="B2870" s="378"/>
      <c r="C2870" s="315"/>
      <c r="D2870" s="316"/>
      <c r="E2870" s="315"/>
      <c r="F2870" s="315"/>
      <c r="G2870" s="315"/>
      <c r="H2870" s="153"/>
      <c r="I2870" s="12"/>
      <c r="J2870" s="12"/>
      <c r="K2870" s="12"/>
      <c r="L2870" s="379"/>
      <c r="M2870" s="380"/>
      <c r="N2870" s="380"/>
      <c r="O2870" s="12"/>
      <c r="P2870" s="381"/>
      <c r="Q2870" s="12"/>
      <c r="R2870" s="12"/>
      <c r="S2870" s="382"/>
      <c r="T2870" s="383"/>
      <c r="U2870" s="384"/>
      <c r="V2870" s="12"/>
      <c r="W2870" s="12"/>
    </row>
    <row r="2871" spans="1:23" x14ac:dyDescent="0.3">
      <c r="A2871" s="193" t="str">
        <f ca="1"/>
        <v/>
      </c>
      <c r="B2871" s="378"/>
      <c r="C2871" s="315"/>
      <c r="D2871" s="316"/>
      <c r="E2871" s="315"/>
      <c r="F2871" s="315"/>
      <c r="G2871" s="315"/>
      <c r="H2871" s="153"/>
      <c r="I2871" s="12"/>
      <c r="J2871" s="12"/>
      <c r="K2871" s="12"/>
      <c r="L2871" s="379"/>
      <c r="M2871" s="380"/>
      <c r="N2871" s="380"/>
      <c r="O2871" s="12"/>
      <c r="P2871" s="381"/>
      <c r="Q2871" s="12"/>
      <c r="R2871" s="12"/>
      <c r="S2871" s="382"/>
      <c r="T2871" s="383"/>
      <c r="U2871" s="384"/>
      <c r="V2871" s="12"/>
      <c r="W2871" s="12"/>
    </row>
    <row r="2872" spans="1:23" x14ac:dyDescent="0.3">
      <c r="A2872" s="193" t="str">
        <f ca="1"/>
        <v/>
      </c>
      <c r="B2872" s="378"/>
      <c r="C2872" s="315"/>
      <c r="D2872" s="316"/>
      <c r="E2872" s="315"/>
      <c r="F2872" s="315"/>
      <c r="G2872" s="315"/>
      <c r="H2872" s="153"/>
      <c r="I2872" s="12"/>
      <c r="J2872" s="12"/>
      <c r="K2872" s="12"/>
      <c r="L2872" s="379"/>
      <c r="M2872" s="380"/>
      <c r="N2872" s="380"/>
      <c r="O2872" s="12"/>
      <c r="P2872" s="381"/>
      <c r="Q2872" s="12"/>
      <c r="R2872" s="12"/>
      <c r="S2872" s="382"/>
      <c r="T2872" s="383"/>
      <c r="U2872" s="384"/>
      <c r="V2872" s="12"/>
      <c r="W2872" s="12"/>
    </row>
    <row r="2873" spans="1:23" x14ac:dyDescent="0.3">
      <c r="A2873" s="193" t="str">
        <f ca="1"/>
        <v/>
      </c>
      <c r="B2873" s="378"/>
      <c r="C2873" s="315"/>
      <c r="D2873" s="316"/>
      <c r="E2873" s="315"/>
      <c r="F2873" s="315"/>
      <c r="G2873" s="315"/>
      <c r="H2873" s="153"/>
      <c r="I2873" s="12"/>
      <c r="J2873" s="12"/>
      <c r="K2873" s="12"/>
      <c r="L2873" s="379"/>
      <c r="M2873" s="380"/>
      <c r="N2873" s="380"/>
      <c r="O2873" s="12"/>
      <c r="P2873" s="381"/>
      <c r="Q2873" s="12"/>
      <c r="R2873" s="12"/>
      <c r="S2873" s="382"/>
      <c r="T2873" s="383"/>
      <c r="U2873" s="384"/>
      <c r="V2873" s="12"/>
      <c r="W2873" s="12"/>
    </row>
    <row r="2874" spans="1:23" x14ac:dyDescent="0.3">
      <c r="A2874" s="193" t="str">
        <f ca="1"/>
        <v/>
      </c>
      <c r="B2874" s="378"/>
      <c r="C2874" s="315"/>
      <c r="D2874" s="316"/>
      <c r="E2874" s="315"/>
      <c r="F2874" s="315"/>
      <c r="G2874" s="315"/>
      <c r="H2874" s="153"/>
      <c r="I2874" s="12"/>
      <c r="J2874" s="12"/>
      <c r="K2874" s="12"/>
      <c r="L2874" s="379"/>
      <c r="M2874" s="380"/>
      <c r="N2874" s="380"/>
      <c r="O2874" s="12"/>
      <c r="P2874" s="381"/>
      <c r="Q2874" s="12"/>
      <c r="R2874" s="12"/>
      <c r="S2874" s="382"/>
      <c r="T2874" s="383"/>
      <c r="U2874" s="384"/>
      <c r="V2874" s="12"/>
      <c r="W2874" s="12"/>
    </row>
    <row r="2875" spans="1:23" x14ac:dyDescent="0.3">
      <c r="A2875" s="193" t="str">
        <f ca="1"/>
        <v/>
      </c>
      <c r="B2875" s="378"/>
      <c r="C2875" s="315"/>
      <c r="D2875" s="316"/>
      <c r="E2875" s="315"/>
      <c r="F2875" s="315"/>
      <c r="G2875" s="315"/>
      <c r="H2875" s="153"/>
      <c r="I2875" s="12"/>
      <c r="J2875" s="12"/>
      <c r="K2875" s="12"/>
      <c r="L2875" s="379"/>
      <c r="M2875" s="380"/>
      <c r="N2875" s="380"/>
      <c r="O2875" s="12"/>
      <c r="P2875" s="381"/>
      <c r="Q2875" s="12"/>
      <c r="R2875" s="12"/>
      <c r="S2875" s="382"/>
      <c r="T2875" s="383"/>
      <c r="U2875" s="384"/>
      <c r="V2875" s="12"/>
      <c r="W2875" s="12"/>
    </row>
    <row r="2876" spans="1:23" x14ac:dyDescent="0.3">
      <c r="A2876" s="193" t="str">
        <f ca="1"/>
        <v/>
      </c>
      <c r="B2876" s="378"/>
      <c r="C2876" s="315"/>
      <c r="D2876" s="316"/>
      <c r="E2876" s="315"/>
      <c r="F2876" s="315"/>
      <c r="G2876" s="315"/>
      <c r="H2876" s="153"/>
      <c r="I2876" s="12"/>
      <c r="J2876" s="12"/>
      <c r="K2876" s="12"/>
      <c r="L2876" s="379"/>
      <c r="M2876" s="380"/>
      <c r="N2876" s="380"/>
      <c r="O2876" s="12"/>
      <c r="P2876" s="381"/>
      <c r="Q2876" s="12"/>
      <c r="R2876" s="12"/>
      <c r="S2876" s="382"/>
      <c r="T2876" s="383"/>
      <c r="U2876" s="384"/>
      <c r="V2876" s="12"/>
      <c r="W2876" s="12"/>
    </row>
    <row r="2877" spans="1:23" x14ac:dyDescent="0.3">
      <c r="A2877" s="193" t="str">
        <f ca="1"/>
        <v/>
      </c>
      <c r="B2877" s="378"/>
      <c r="C2877" s="315"/>
      <c r="D2877" s="316"/>
      <c r="E2877" s="315"/>
      <c r="F2877" s="315"/>
      <c r="G2877" s="315"/>
      <c r="H2877" s="153"/>
      <c r="I2877" s="12"/>
      <c r="J2877" s="12"/>
      <c r="K2877" s="12"/>
      <c r="L2877" s="379"/>
      <c r="M2877" s="380"/>
      <c r="N2877" s="380"/>
      <c r="O2877" s="12"/>
      <c r="P2877" s="381"/>
      <c r="Q2877" s="12"/>
      <c r="R2877" s="12"/>
      <c r="S2877" s="382"/>
      <c r="T2877" s="383"/>
      <c r="U2877" s="384"/>
      <c r="V2877" s="12"/>
      <c r="W2877" s="12"/>
    </row>
    <row r="2878" spans="1:23" x14ac:dyDescent="0.3">
      <c r="A2878" s="193" t="str">
        <f ca="1"/>
        <v/>
      </c>
      <c r="B2878" s="378"/>
      <c r="C2878" s="315"/>
      <c r="D2878" s="316"/>
      <c r="E2878" s="315"/>
      <c r="F2878" s="315"/>
      <c r="G2878" s="315"/>
      <c r="H2878" s="153"/>
      <c r="I2878" s="12"/>
      <c r="J2878" s="12"/>
      <c r="K2878" s="12"/>
      <c r="L2878" s="379"/>
      <c r="M2878" s="380"/>
      <c r="N2878" s="380"/>
      <c r="O2878" s="12"/>
      <c r="P2878" s="381"/>
      <c r="Q2878" s="12"/>
      <c r="R2878" s="12"/>
      <c r="S2878" s="382"/>
      <c r="T2878" s="383"/>
      <c r="U2878" s="384"/>
      <c r="V2878" s="12"/>
      <c r="W2878" s="12"/>
    </row>
    <row r="2879" spans="1:23" x14ac:dyDescent="0.3">
      <c r="A2879" s="193" t="str">
        <f ca="1"/>
        <v/>
      </c>
      <c r="B2879" s="378"/>
      <c r="C2879" s="315"/>
      <c r="D2879" s="316"/>
      <c r="E2879" s="315"/>
      <c r="F2879" s="315"/>
      <c r="G2879" s="315"/>
      <c r="H2879" s="153"/>
      <c r="I2879" s="12"/>
      <c r="J2879" s="12"/>
      <c r="K2879" s="12"/>
      <c r="L2879" s="379"/>
      <c r="M2879" s="380"/>
      <c r="N2879" s="380"/>
      <c r="O2879" s="12"/>
      <c r="P2879" s="381"/>
      <c r="Q2879" s="12"/>
      <c r="R2879" s="12"/>
      <c r="S2879" s="382"/>
      <c r="T2879" s="383"/>
      <c r="U2879" s="384"/>
      <c r="V2879" s="12"/>
      <c r="W2879" s="12"/>
    </row>
    <row r="2880" spans="1:23" x14ac:dyDescent="0.3">
      <c r="A2880" s="193" t="str">
        <f ca="1"/>
        <v/>
      </c>
      <c r="B2880" s="378"/>
      <c r="C2880" s="315"/>
      <c r="D2880" s="316"/>
      <c r="E2880" s="315"/>
      <c r="F2880" s="315"/>
      <c r="G2880" s="315"/>
      <c r="H2880" s="153"/>
      <c r="I2880" s="12"/>
      <c r="J2880" s="12"/>
      <c r="K2880" s="12"/>
      <c r="L2880" s="379"/>
      <c r="M2880" s="380"/>
      <c r="N2880" s="380"/>
      <c r="O2880" s="12"/>
      <c r="P2880" s="381"/>
      <c r="Q2880" s="12"/>
      <c r="R2880" s="12"/>
      <c r="S2880" s="382"/>
      <c r="T2880" s="383"/>
      <c r="U2880" s="384"/>
      <c r="V2880" s="12"/>
      <c r="W2880" s="12"/>
    </row>
    <row r="2881" spans="1:23" x14ac:dyDescent="0.3">
      <c r="A2881" s="193" t="str">
        <f ca="1"/>
        <v/>
      </c>
      <c r="B2881" s="378"/>
      <c r="C2881" s="315"/>
      <c r="D2881" s="316"/>
      <c r="E2881" s="315"/>
      <c r="F2881" s="315"/>
      <c r="G2881" s="315"/>
      <c r="H2881" s="153"/>
      <c r="I2881" s="12"/>
      <c r="J2881" s="12"/>
      <c r="K2881" s="12"/>
      <c r="L2881" s="379"/>
      <c r="M2881" s="380"/>
      <c r="N2881" s="380"/>
      <c r="O2881" s="12"/>
      <c r="P2881" s="381"/>
      <c r="Q2881" s="12"/>
      <c r="R2881" s="12"/>
      <c r="S2881" s="382"/>
      <c r="T2881" s="383"/>
      <c r="U2881" s="384"/>
      <c r="V2881" s="12"/>
      <c r="W2881" s="12"/>
    </row>
    <row r="2882" spans="1:23" x14ac:dyDescent="0.3">
      <c r="A2882" s="193" t="str">
        <f ca="1"/>
        <v/>
      </c>
      <c r="B2882" s="378"/>
      <c r="C2882" s="315"/>
      <c r="D2882" s="316"/>
      <c r="E2882" s="315"/>
      <c r="F2882" s="315"/>
      <c r="G2882" s="315"/>
      <c r="H2882" s="153"/>
      <c r="I2882" s="12"/>
      <c r="J2882" s="12"/>
      <c r="K2882" s="12"/>
      <c r="L2882" s="379"/>
      <c r="M2882" s="380"/>
      <c r="N2882" s="380"/>
      <c r="O2882" s="12"/>
      <c r="P2882" s="381"/>
      <c r="Q2882" s="12"/>
      <c r="R2882" s="12"/>
      <c r="S2882" s="382"/>
      <c r="T2882" s="383"/>
      <c r="U2882" s="384"/>
      <c r="V2882" s="12"/>
      <c r="W2882" s="12"/>
    </row>
    <row r="2883" spans="1:23" x14ac:dyDescent="0.3">
      <c r="A2883" s="193" t="str">
        <f ca="1"/>
        <v/>
      </c>
      <c r="B2883" s="378"/>
      <c r="C2883" s="315"/>
      <c r="D2883" s="316"/>
      <c r="E2883" s="315"/>
      <c r="F2883" s="315"/>
      <c r="G2883" s="315"/>
      <c r="H2883" s="153"/>
      <c r="I2883" s="12"/>
      <c r="J2883" s="12"/>
      <c r="K2883" s="12"/>
      <c r="L2883" s="379"/>
      <c r="M2883" s="380"/>
      <c r="N2883" s="380"/>
      <c r="O2883" s="12"/>
      <c r="P2883" s="381"/>
      <c r="Q2883" s="12"/>
      <c r="R2883" s="12"/>
      <c r="S2883" s="382"/>
      <c r="T2883" s="383"/>
      <c r="U2883" s="384"/>
      <c r="V2883" s="12"/>
      <c r="W2883" s="12"/>
    </row>
    <row r="2884" spans="1:23" x14ac:dyDescent="0.3">
      <c r="A2884" s="193" t="str">
        <f ca="1"/>
        <v/>
      </c>
      <c r="B2884" s="378"/>
      <c r="C2884" s="315"/>
      <c r="D2884" s="316"/>
      <c r="E2884" s="315"/>
      <c r="F2884" s="315"/>
      <c r="G2884" s="315"/>
      <c r="H2884" s="153"/>
      <c r="I2884" s="12"/>
      <c r="J2884" s="12"/>
      <c r="K2884" s="12"/>
      <c r="L2884" s="379"/>
      <c r="M2884" s="380"/>
      <c r="N2884" s="380"/>
      <c r="O2884" s="12"/>
      <c r="P2884" s="381"/>
      <c r="Q2884" s="12"/>
      <c r="R2884" s="12"/>
      <c r="S2884" s="382"/>
      <c r="T2884" s="383"/>
      <c r="U2884" s="384"/>
      <c r="V2884" s="12"/>
      <c r="W2884" s="12"/>
    </row>
    <row r="2885" spans="1:23" x14ac:dyDescent="0.3">
      <c r="A2885" s="193" t="str">
        <f ca="1"/>
        <v/>
      </c>
      <c r="B2885" s="378"/>
      <c r="C2885" s="315"/>
      <c r="D2885" s="316"/>
      <c r="E2885" s="315"/>
      <c r="F2885" s="315"/>
      <c r="G2885" s="315"/>
      <c r="H2885" s="153"/>
      <c r="I2885" s="12"/>
      <c r="J2885" s="12"/>
      <c r="K2885" s="12"/>
      <c r="L2885" s="379"/>
      <c r="M2885" s="380"/>
      <c r="N2885" s="380"/>
      <c r="O2885" s="12"/>
      <c r="P2885" s="381"/>
      <c r="Q2885" s="12"/>
      <c r="R2885" s="12"/>
      <c r="S2885" s="382"/>
      <c r="T2885" s="383"/>
      <c r="U2885" s="384"/>
      <c r="V2885" s="12"/>
      <c r="W2885" s="12"/>
    </row>
    <row r="2886" spans="1:23" x14ac:dyDescent="0.3">
      <c r="A2886" s="193" t="str">
        <f ca="1"/>
        <v/>
      </c>
      <c r="B2886" s="378"/>
      <c r="C2886" s="315"/>
      <c r="D2886" s="316"/>
      <c r="E2886" s="315"/>
      <c r="F2886" s="315"/>
      <c r="G2886" s="315"/>
      <c r="H2886" s="153"/>
      <c r="I2886" s="12"/>
      <c r="J2886" s="12"/>
      <c r="K2886" s="12"/>
      <c r="L2886" s="379"/>
      <c r="M2886" s="380"/>
      <c r="N2886" s="380"/>
      <c r="O2886" s="12"/>
      <c r="P2886" s="381"/>
      <c r="Q2886" s="12"/>
      <c r="R2886" s="12"/>
      <c r="S2886" s="382"/>
      <c r="T2886" s="383"/>
      <c r="U2886" s="384"/>
      <c r="V2886" s="12"/>
      <c r="W2886" s="12"/>
    </row>
    <row r="2887" spans="1:23" x14ac:dyDescent="0.3">
      <c r="A2887" s="193" t="str">
        <f ca="1"/>
        <v/>
      </c>
      <c r="B2887" s="378"/>
      <c r="C2887" s="315"/>
      <c r="D2887" s="316"/>
      <c r="E2887" s="315"/>
      <c r="F2887" s="315"/>
      <c r="G2887" s="315"/>
      <c r="H2887" s="153"/>
      <c r="I2887" s="12"/>
      <c r="J2887" s="12"/>
      <c r="K2887" s="12"/>
      <c r="L2887" s="379"/>
      <c r="M2887" s="380"/>
      <c r="N2887" s="380"/>
      <c r="O2887" s="12"/>
      <c r="P2887" s="381"/>
      <c r="Q2887" s="12"/>
      <c r="R2887" s="12"/>
      <c r="S2887" s="382"/>
      <c r="T2887" s="383"/>
      <c r="U2887" s="384"/>
      <c r="V2887" s="12"/>
      <c r="W2887" s="12"/>
    </row>
    <row r="2888" spans="1:23" x14ac:dyDescent="0.3">
      <c r="A2888" s="193" t="str">
        <f ca="1"/>
        <v/>
      </c>
      <c r="B2888" s="378"/>
      <c r="C2888" s="315"/>
      <c r="D2888" s="316"/>
      <c r="E2888" s="315"/>
      <c r="F2888" s="315"/>
      <c r="G2888" s="315"/>
      <c r="H2888" s="153"/>
      <c r="I2888" s="12"/>
      <c r="J2888" s="12"/>
      <c r="K2888" s="12"/>
      <c r="L2888" s="379"/>
      <c r="M2888" s="380"/>
      <c r="N2888" s="380"/>
      <c r="O2888" s="12"/>
      <c r="P2888" s="381"/>
      <c r="Q2888" s="12"/>
      <c r="R2888" s="12"/>
      <c r="S2888" s="382"/>
      <c r="T2888" s="383"/>
      <c r="U2888" s="384"/>
      <c r="V2888" s="12"/>
      <c r="W2888" s="12"/>
    </row>
    <row r="2889" spans="1:23" x14ac:dyDescent="0.3">
      <c r="A2889" s="193" t="str">
        <f ca="1"/>
        <v/>
      </c>
      <c r="B2889" s="378"/>
      <c r="C2889" s="315"/>
      <c r="D2889" s="316"/>
      <c r="E2889" s="315"/>
      <c r="F2889" s="315"/>
      <c r="G2889" s="315"/>
      <c r="H2889" s="153"/>
      <c r="I2889" s="12"/>
      <c r="J2889" s="12"/>
      <c r="K2889" s="12"/>
      <c r="L2889" s="379"/>
      <c r="M2889" s="380"/>
      <c r="N2889" s="380"/>
      <c r="O2889" s="12"/>
      <c r="P2889" s="381"/>
      <c r="Q2889" s="12"/>
      <c r="R2889" s="12"/>
      <c r="S2889" s="382"/>
      <c r="T2889" s="383"/>
      <c r="U2889" s="384"/>
      <c r="V2889" s="12"/>
      <c r="W2889" s="12"/>
    </row>
    <row r="2890" spans="1:23" x14ac:dyDescent="0.3">
      <c r="A2890" s="193" t="str">
        <f ca="1"/>
        <v/>
      </c>
      <c r="B2890" s="378"/>
      <c r="C2890" s="315"/>
      <c r="D2890" s="316"/>
      <c r="E2890" s="315"/>
      <c r="F2890" s="315"/>
      <c r="G2890" s="315"/>
      <c r="H2890" s="153"/>
      <c r="I2890" s="12"/>
      <c r="J2890" s="12"/>
      <c r="K2890" s="12"/>
      <c r="L2890" s="379"/>
      <c r="M2890" s="380"/>
      <c r="N2890" s="380"/>
      <c r="O2890" s="12"/>
      <c r="P2890" s="381"/>
      <c r="Q2890" s="12"/>
      <c r="R2890" s="12"/>
      <c r="S2890" s="382"/>
      <c r="T2890" s="383"/>
      <c r="U2890" s="384"/>
      <c r="V2890" s="12"/>
      <c r="W2890" s="12"/>
    </row>
    <row r="2891" spans="1:23" x14ac:dyDescent="0.3">
      <c r="A2891" s="193" t="str">
        <f ca="1"/>
        <v/>
      </c>
      <c r="B2891" s="378"/>
      <c r="C2891" s="315"/>
      <c r="D2891" s="316"/>
      <c r="E2891" s="315"/>
      <c r="F2891" s="315"/>
      <c r="G2891" s="315"/>
      <c r="H2891" s="153"/>
      <c r="I2891" s="12"/>
      <c r="J2891" s="12"/>
      <c r="K2891" s="12"/>
      <c r="L2891" s="379"/>
      <c r="M2891" s="380"/>
      <c r="N2891" s="380"/>
      <c r="O2891" s="12"/>
      <c r="P2891" s="381"/>
      <c r="Q2891" s="12"/>
      <c r="R2891" s="12"/>
      <c r="S2891" s="382"/>
      <c r="T2891" s="383"/>
      <c r="U2891" s="384"/>
      <c r="V2891" s="12"/>
      <c r="W2891" s="12"/>
    </row>
    <row r="2892" spans="1:23" x14ac:dyDescent="0.3">
      <c r="A2892" s="193" t="str">
        <f ca="1"/>
        <v/>
      </c>
      <c r="B2892" s="378"/>
      <c r="C2892" s="315"/>
      <c r="D2892" s="316"/>
      <c r="E2892" s="315"/>
      <c r="F2892" s="315"/>
      <c r="G2892" s="315"/>
      <c r="H2892" s="153"/>
      <c r="I2892" s="12"/>
      <c r="J2892" s="12"/>
      <c r="K2892" s="12"/>
      <c r="L2892" s="379"/>
      <c r="M2892" s="380"/>
      <c r="N2892" s="380"/>
      <c r="O2892" s="12"/>
      <c r="P2892" s="381"/>
      <c r="Q2892" s="12"/>
      <c r="R2892" s="12"/>
      <c r="S2892" s="382"/>
      <c r="T2892" s="383"/>
      <c r="U2892" s="384"/>
      <c r="V2892" s="12"/>
      <c r="W2892" s="12"/>
    </row>
    <row r="2893" spans="1:23" x14ac:dyDescent="0.3">
      <c r="A2893" s="193" t="str">
        <f ca="1"/>
        <v/>
      </c>
      <c r="B2893" s="378"/>
      <c r="C2893" s="315"/>
      <c r="D2893" s="316"/>
      <c r="E2893" s="315"/>
      <c r="F2893" s="315"/>
      <c r="G2893" s="315"/>
      <c r="H2893" s="153"/>
      <c r="I2893" s="12"/>
      <c r="J2893" s="12"/>
      <c r="K2893" s="12"/>
      <c r="L2893" s="379"/>
      <c r="M2893" s="380"/>
      <c r="N2893" s="380"/>
      <c r="O2893" s="12"/>
      <c r="P2893" s="381"/>
      <c r="Q2893" s="12"/>
      <c r="R2893" s="12"/>
      <c r="S2893" s="382"/>
      <c r="T2893" s="383"/>
      <c r="U2893" s="384"/>
      <c r="V2893" s="12"/>
      <c r="W2893" s="12"/>
    </row>
    <row r="2894" spans="1:23" x14ac:dyDescent="0.3">
      <c r="A2894" s="193" t="str">
        <f ca="1"/>
        <v/>
      </c>
      <c r="B2894" s="378"/>
      <c r="C2894" s="315"/>
      <c r="D2894" s="316"/>
      <c r="E2894" s="315"/>
      <c r="F2894" s="315"/>
      <c r="G2894" s="315"/>
      <c r="H2894" s="153"/>
      <c r="I2894" s="12"/>
      <c r="J2894" s="12"/>
      <c r="K2894" s="12"/>
      <c r="L2894" s="379"/>
      <c r="M2894" s="380"/>
      <c r="N2894" s="380"/>
      <c r="O2894" s="12"/>
      <c r="P2894" s="381"/>
      <c r="Q2894" s="12"/>
      <c r="R2894" s="12"/>
      <c r="S2894" s="382"/>
      <c r="T2894" s="383"/>
      <c r="U2894" s="384"/>
      <c r="V2894" s="12"/>
      <c r="W2894" s="12"/>
    </row>
    <row r="2895" spans="1:23" x14ac:dyDescent="0.3">
      <c r="A2895" s="193" t="str">
        <f ca="1"/>
        <v/>
      </c>
      <c r="B2895" s="378"/>
      <c r="C2895" s="315"/>
      <c r="D2895" s="316"/>
      <c r="E2895" s="315"/>
      <c r="F2895" s="315"/>
      <c r="G2895" s="315"/>
      <c r="H2895" s="153"/>
      <c r="I2895" s="12"/>
      <c r="J2895" s="12"/>
      <c r="K2895" s="12"/>
      <c r="L2895" s="379"/>
      <c r="M2895" s="380"/>
      <c r="N2895" s="380"/>
      <c r="O2895" s="12"/>
      <c r="P2895" s="381"/>
      <c r="Q2895" s="12"/>
      <c r="R2895" s="12"/>
      <c r="S2895" s="382"/>
      <c r="T2895" s="383"/>
      <c r="U2895" s="384"/>
      <c r="V2895" s="12"/>
      <c r="W2895" s="12"/>
    </row>
    <row r="2896" spans="1:23" x14ac:dyDescent="0.3">
      <c r="A2896" s="193" t="str">
        <f ca="1"/>
        <v/>
      </c>
      <c r="B2896" s="378"/>
      <c r="C2896" s="315"/>
      <c r="D2896" s="316"/>
      <c r="E2896" s="315"/>
      <c r="F2896" s="315"/>
      <c r="G2896" s="315"/>
      <c r="H2896" s="153"/>
      <c r="I2896" s="12"/>
      <c r="J2896" s="12"/>
      <c r="K2896" s="12"/>
      <c r="L2896" s="379"/>
      <c r="M2896" s="380"/>
      <c r="N2896" s="380"/>
      <c r="O2896" s="12"/>
      <c r="P2896" s="381"/>
      <c r="Q2896" s="12"/>
      <c r="R2896" s="12"/>
      <c r="S2896" s="382"/>
      <c r="T2896" s="383"/>
      <c r="U2896" s="384"/>
      <c r="V2896" s="12"/>
      <c r="W2896" s="12"/>
    </row>
    <row r="2897" spans="1:23" x14ac:dyDescent="0.3">
      <c r="A2897" s="193" t="str">
        <f ca="1"/>
        <v/>
      </c>
      <c r="B2897" s="378"/>
      <c r="C2897" s="315"/>
      <c r="D2897" s="316"/>
      <c r="E2897" s="315"/>
      <c r="F2897" s="315"/>
      <c r="G2897" s="315"/>
      <c r="H2897" s="153"/>
      <c r="I2897" s="12"/>
      <c r="J2897" s="12"/>
      <c r="K2897" s="12"/>
      <c r="L2897" s="379"/>
      <c r="M2897" s="380"/>
      <c r="N2897" s="380"/>
      <c r="O2897" s="12"/>
      <c r="P2897" s="381"/>
      <c r="Q2897" s="12"/>
      <c r="R2897" s="12"/>
      <c r="S2897" s="382"/>
      <c r="T2897" s="383"/>
      <c r="U2897" s="384"/>
      <c r="V2897" s="12"/>
      <c r="W2897" s="12"/>
    </row>
    <row r="2898" spans="1:23" x14ac:dyDescent="0.3">
      <c r="A2898" s="193" t="str">
        <f ca="1"/>
        <v/>
      </c>
      <c r="B2898" s="378"/>
      <c r="C2898" s="315"/>
      <c r="D2898" s="316"/>
      <c r="E2898" s="315"/>
      <c r="F2898" s="315"/>
      <c r="G2898" s="315"/>
      <c r="H2898" s="153"/>
      <c r="I2898" s="12"/>
      <c r="J2898" s="12"/>
      <c r="K2898" s="12"/>
      <c r="L2898" s="379"/>
      <c r="M2898" s="380"/>
      <c r="N2898" s="380"/>
      <c r="O2898" s="12"/>
      <c r="P2898" s="381"/>
      <c r="Q2898" s="12"/>
      <c r="R2898" s="12"/>
      <c r="S2898" s="382"/>
      <c r="T2898" s="383"/>
      <c r="U2898" s="384"/>
      <c r="V2898" s="12"/>
      <c r="W2898" s="12"/>
    </row>
    <row r="2899" spans="1:23" x14ac:dyDescent="0.3">
      <c r="A2899" s="193" t="str">
        <f ca="1"/>
        <v/>
      </c>
      <c r="B2899" s="378"/>
      <c r="C2899" s="315"/>
      <c r="D2899" s="316"/>
      <c r="E2899" s="315"/>
      <c r="F2899" s="315"/>
      <c r="G2899" s="315"/>
      <c r="H2899" s="153"/>
      <c r="I2899" s="12"/>
      <c r="J2899" s="12"/>
      <c r="K2899" s="12"/>
      <c r="L2899" s="379"/>
      <c r="M2899" s="380"/>
      <c r="N2899" s="380"/>
      <c r="O2899" s="12"/>
      <c r="P2899" s="381"/>
      <c r="Q2899" s="12"/>
      <c r="R2899" s="12"/>
      <c r="S2899" s="382"/>
      <c r="T2899" s="383"/>
      <c r="U2899" s="384"/>
      <c r="V2899" s="12"/>
      <c r="W2899" s="12"/>
    </row>
    <row r="2900" spans="1:23" x14ac:dyDescent="0.3">
      <c r="A2900" s="193" t="str">
        <f ca="1"/>
        <v/>
      </c>
      <c r="B2900" s="378"/>
      <c r="C2900" s="315"/>
      <c r="D2900" s="316"/>
      <c r="E2900" s="315"/>
      <c r="F2900" s="315"/>
      <c r="G2900" s="315"/>
      <c r="H2900" s="153"/>
      <c r="I2900" s="12"/>
      <c r="J2900" s="12"/>
      <c r="K2900" s="12"/>
      <c r="L2900" s="379"/>
      <c r="M2900" s="380"/>
      <c r="N2900" s="380"/>
      <c r="O2900" s="12"/>
      <c r="P2900" s="381"/>
      <c r="Q2900" s="12"/>
      <c r="R2900" s="12"/>
      <c r="S2900" s="382"/>
      <c r="T2900" s="383"/>
      <c r="U2900" s="384"/>
      <c r="V2900" s="12"/>
      <c r="W2900" s="12"/>
    </row>
    <row r="2901" spans="1:23" x14ac:dyDescent="0.3">
      <c r="A2901" s="193" t="str">
        <f ca="1"/>
        <v/>
      </c>
      <c r="B2901" s="378"/>
      <c r="C2901" s="315"/>
      <c r="D2901" s="316"/>
      <c r="E2901" s="315"/>
      <c r="F2901" s="315"/>
      <c r="G2901" s="315"/>
      <c r="H2901" s="153"/>
      <c r="I2901" s="12"/>
      <c r="J2901" s="12"/>
      <c r="K2901" s="12"/>
      <c r="L2901" s="379"/>
      <c r="M2901" s="380"/>
      <c r="N2901" s="380"/>
      <c r="O2901" s="12"/>
      <c r="P2901" s="381"/>
      <c r="Q2901" s="12"/>
      <c r="R2901" s="12"/>
      <c r="S2901" s="382"/>
      <c r="T2901" s="383"/>
      <c r="U2901" s="384"/>
      <c r="V2901" s="12"/>
      <c r="W2901" s="12"/>
    </row>
    <row r="2902" spans="1:23" x14ac:dyDescent="0.3">
      <c r="A2902" s="193" t="str">
        <f ca="1"/>
        <v/>
      </c>
      <c r="B2902" s="378"/>
      <c r="C2902" s="315"/>
      <c r="D2902" s="316"/>
      <c r="E2902" s="315"/>
      <c r="F2902" s="315"/>
      <c r="G2902" s="315"/>
      <c r="H2902" s="153"/>
      <c r="I2902" s="12"/>
      <c r="J2902" s="12"/>
      <c r="K2902" s="12"/>
      <c r="L2902" s="379"/>
      <c r="M2902" s="380"/>
      <c r="N2902" s="380"/>
      <c r="O2902" s="12"/>
      <c r="P2902" s="381"/>
      <c r="Q2902" s="12"/>
      <c r="R2902" s="12"/>
      <c r="S2902" s="382"/>
      <c r="T2902" s="383"/>
      <c r="U2902" s="384"/>
      <c r="V2902" s="12"/>
      <c r="W2902" s="12"/>
    </row>
    <row r="2903" spans="1:23" x14ac:dyDescent="0.3">
      <c r="A2903" s="193" t="str">
        <f ca="1"/>
        <v/>
      </c>
      <c r="B2903" s="378"/>
      <c r="C2903" s="315"/>
      <c r="D2903" s="316"/>
      <c r="E2903" s="315"/>
      <c r="F2903" s="315"/>
      <c r="G2903" s="315"/>
      <c r="H2903" s="153"/>
      <c r="I2903" s="12"/>
      <c r="J2903" s="12"/>
      <c r="K2903" s="12"/>
      <c r="L2903" s="379"/>
      <c r="M2903" s="380"/>
      <c r="N2903" s="380"/>
      <c r="O2903" s="12"/>
      <c r="P2903" s="381"/>
      <c r="Q2903" s="12"/>
      <c r="R2903" s="12"/>
      <c r="S2903" s="382"/>
      <c r="T2903" s="383"/>
      <c r="U2903" s="384"/>
      <c r="V2903" s="12"/>
      <c r="W2903" s="12"/>
    </row>
    <row r="2904" spans="1:23" x14ac:dyDescent="0.3">
      <c r="A2904" s="193" t="str">
        <f ca="1"/>
        <v/>
      </c>
      <c r="B2904" s="378"/>
      <c r="C2904" s="315"/>
      <c r="D2904" s="316"/>
      <c r="E2904" s="315"/>
      <c r="F2904" s="315"/>
      <c r="G2904" s="315"/>
      <c r="H2904" s="153"/>
      <c r="I2904" s="12"/>
      <c r="J2904" s="12"/>
      <c r="K2904" s="12"/>
      <c r="L2904" s="379"/>
      <c r="M2904" s="380"/>
      <c r="N2904" s="380"/>
      <c r="O2904" s="12"/>
      <c r="P2904" s="381"/>
      <c r="Q2904" s="12"/>
      <c r="R2904" s="12"/>
      <c r="S2904" s="382"/>
      <c r="T2904" s="383"/>
      <c r="U2904" s="384"/>
      <c r="V2904" s="12"/>
      <c r="W2904" s="12"/>
    </row>
    <row r="2905" spans="1:23" x14ac:dyDescent="0.3">
      <c r="A2905" s="193" t="str">
        <f ca="1"/>
        <v/>
      </c>
      <c r="B2905" s="378"/>
      <c r="C2905" s="315"/>
      <c r="D2905" s="316"/>
      <c r="E2905" s="315"/>
      <c r="F2905" s="315"/>
      <c r="G2905" s="315"/>
      <c r="H2905" s="153"/>
      <c r="I2905" s="12"/>
      <c r="J2905" s="12"/>
      <c r="K2905" s="12"/>
      <c r="L2905" s="379"/>
      <c r="M2905" s="380"/>
      <c r="N2905" s="380"/>
      <c r="O2905" s="12"/>
      <c r="P2905" s="381"/>
      <c r="Q2905" s="12"/>
      <c r="R2905" s="12"/>
      <c r="S2905" s="382"/>
      <c r="T2905" s="383"/>
      <c r="U2905" s="384"/>
      <c r="V2905" s="12"/>
      <c r="W2905" s="12"/>
    </row>
    <row r="2906" spans="1:23" x14ac:dyDescent="0.3">
      <c r="A2906" s="193" t="str">
        <f ca="1"/>
        <v/>
      </c>
      <c r="B2906" s="378"/>
      <c r="C2906" s="315"/>
      <c r="D2906" s="316"/>
      <c r="E2906" s="315"/>
      <c r="F2906" s="315"/>
      <c r="G2906" s="315"/>
      <c r="H2906" s="153"/>
      <c r="I2906" s="12"/>
      <c r="J2906" s="12"/>
      <c r="K2906" s="12"/>
      <c r="L2906" s="379"/>
      <c r="M2906" s="380"/>
      <c r="N2906" s="380"/>
      <c r="O2906" s="12"/>
      <c r="P2906" s="381"/>
      <c r="Q2906" s="12"/>
      <c r="R2906" s="12"/>
      <c r="S2906" s="382"/>
      <c r="T2906" s="383"/>
      <c r="U2906" s="384"/>
      <c r="V2906" s="12"/>
      <c r="W2906" s="12"/>
    </row>
    <row r="2907" spans="1:23" x14ac:dyDescent="0.3">
      <c r="A2907" s="193" t="str">
        <f ca="1"/>
        <v/>
      </c>
      <c r="B2907" s="378"/>
      <c r="C2907" s="315"/>
      <c r="D2907" s="316"/>
      <c r="E2907" s="315"/>
      <c r="F2907" s="315"/>
      <c r="G2907" s="315"/>
      <c r="H2907" s="153"/>
      <c r="I2907" s="12"/>
      <c r="J2907" s="12"/>
      <c r="K2907" s="12"/>
      <c r="L2907" s="379"/>
      <c r="M2907" s="380"/>
      <c r="N2907" s="380"/>
      <c r="O2907" s="12"/>
      <c r="P2907" s="381"/>
      <c r="Q2907" s="12"/>
      <c r="R2907" s="12"/>
      <c r="S2907" s="382"/>
      <c r="T2907" s="383"/>
      <c r="U2907" s="384"/>
      <c r="V2907" s="12"/>
      <c r="W2907" s="12"/>
    </row>
    <row r="2908" spans="1:23" x14ac:dyDescent="0.3">
      <c r="A2908" s="193" t="str">
        <f ca="1"/>
        <v/>
      </c>
      <c r="B2908" s="378"/>
      <c r="C2908" s="315"/>
      <c r="D2908" s="316"/>
      <c r="E2908" s="315"/>
      <c r="F2908" s="315"/>
      <c r="G2908" s="315"/>
      <c r="H2908" s="153"/>
      <c r="I2908" s="12"/>
      <c r="J2908" s="12"/>
      <c r="K2908" s="12"/>
      <c r="L2908" s="379"/>
      <c r="M2908" s="380"/>
      <c r="N2908" s="380"/>
      <c r="O2908" s="12"/>
      <c r="P2908" s="381"/>
      <c r="Q2908" s="12"/>
      <c r="R2908" s="12"/>
      <c r="S2908" s="382"/>
      <c r="T2908" s="383"/>
      <c r="U2908" s="384"/>
      <c r="V2908" s="12"/>
      <c r="W2908" s="12"/>
    </row>
    <row r="2909" spans="1:23" x14ac:dyDescent="0.3">
      <c r="A2909" s="193" t="str">
        <f ca="1"/>
        <v/>
      </c>
      <c r="B2909" s="378"/>
      <c r="C2909" s="315"/>
      <c r="D2909" s="316"/>
      <c r="E2909" s="315"/>
      <c r="F2909" s="315"/>
      <c r="G2909" s="315"/>
      <c r="H2909" s="153"/>
      <c r="I2909" s="12"/>
      <c r="J2909" s="12"/>
      <c r="K2909" s="12"/>
      <c r="L2909" s="379"/>
      <c r="M2909" s="380"/>
      <c r="N2909" s="380"/>
      <c r="O2909" s="12"/>
      <c r="P2909" s="381"/>
      <c r="Q2909" s="12"/>
      <c r="R2909" s="12"/>
      <c r="S2909" s="382"/>
      <c r="T2909" s="383"/>
      <c r="U2909" s="384"/>
      <c r="V2909" s="12"/>
      <c r="W2909" s="12"/>
    </row>
    <row r="2910" spans="1:23" x14ac:dyDescent="0.3">
      <c r="A2910" s="193" t="str">
        <f ca="1"/>
        <v/>
      </c>
      <c r="B2910" s="378"/>
      <c r="C2910" s="315"/>
      <c r="D2910" s="316"/>
      <c r="E2910" s="315"/>
      <c r="F2910" s="315"/>
      <c r="G2910" s="315"/>
      <c r="H2910" s="153"/>
      <c r="I2910" s="12"/>
      <c r="J2910" s="12"/>
      <c r="K2910" s="12"/>
      <c r="L2910" s="379"/>
      <c r="M2910" s="380"/>
      <c r="N2910" s="380"/>
      <c r="O2910" s="12"/>
      <c r="P2910" s="381"/>
      <c r="Q2910" s="12"/>
      <c r="R2910" s="12"/>
      <c r="S2910" s="382"/>
      <c r="T2910" s="383"/>
      <c r="U2910" s="384"/>
      <c r="V2910" s="12"/>
      <c r="W2910" s="12"/>
    </row>
    <row r="2911" spans="1:23" x14ac:dyDescent="0.3">
      <c r="A2911" s="193" t="str">
        <f ca="1"/>
        <v/>
      </c>
      <c r="B2911" s="378"/>
      <c r="C2911" s="315"/>
      <c r="D2911" s="316"/>
      <c r="E2911" s="315"/>
      <c r="F2911" s="315"/>
      <c r="G2911" s="315"/>
      <c r="H2911" s="153"/>
      <c r="I2911" s="12"/>
      <c r="J2911" s="12"/>
      <c r="K2911" s="12"/>
      <c r="L2911" s="379"/>
      <c r="M2911" s="380"/>
      <c r="N2911" s="380"/>
      <c r="O2911" s="12"/>
      <c r="P2911" s="381"/>
      <c r="Q2911" s="12"/>
      <c r="R2911" s="12"/>
      <c r="S2911" s="382"/>
      <c r="T2911" s="383"/>
      <c r="U2911" s="384"/>
      <c r="V2911" s="12"/>
      <c r="W2911" s="12"/>
    </row>
    <row r="2912" spans="1:23" x14ac:dyDescent="0.3">
      <c r="A2912" s="193" t="str">
        <f ca="1"/>
        <v/>
      </c>
      <c r="B2912" s="378"/>
      <c r="C2912" s="315"/>
      <c r="D2912" s="316"/>
      <c r="E2912" s="315"/>
      <c r="F2912" s="315"/>
      <c r="G2912" s="315"/>
      <c r="H2912" s="153"/>
      <c r="I2912" s="12"/>
      <c r="J2912" s="12"/>
      <c r="K2912" s="12"/>
      <c r="L2912" s="379"/>
      <c r="M2912" s="380"/>
      <c r="N2912" s="380"/>
      <c r="O2912" s="12"/>
      <c r="P2912" s="381"/>
      <c r="Q2912" s="12"/>
      <c r="R2912" s="12"/>
      <c r="S2912" s="382"/>
      <c r="T2912" s="383"/>
      <c r="U2912" s="384"/>
      <c r="V2912" s="12"/>
      <c r="W2912" s="12"/>
    </row>
    <row r="2913" spans="1:23" x14ac:dyDescent="0.3">
      <c r="A2913" s="193" t="str">
        <f ca="1"/>
        <v/>
      </c>
      <c r="B2913" s="378"/>
      <c r="C2913" s="315"/>
      <c r="D2913" s="316"/>
      <c r="E2913" s="315"/>
      <c r="F2913" s="315"/>
      <c r="G2913" s="315"/>
      <c r="H2913" s="153"/>
      <c r="I2913" s="12"/>
      <c r="J2913" s="12"/>
      <c r="K2913" s="12"/>
      <c r="L2913" s="379"/>
      <c r="M2913" s="380"/>
      <c r="N2913" s="380"/>
      <c r="O2913" s="12"/>
      <c r="P2913" s="381"/>
      <c r="Q2913" s="12"/>
      <c r="R2913" s="12"/>
      <c r="S2913" s="382"/>
      <c r="T2913" s="383"/>
      <c r="U2913" s="384"/>
      <c r="V2913" s="12"/>
      <c r="W2913" s="12"/>
    </row>
    <row r="2914" spans="1:23" x14ac:dyDescent="0.3">
      <c r="A2914" s="193" t="str">
        <f ca="1"/>
        <v/>
      </c>
      <c r="B2914" s="378"/>
      <c r="C2914" s="315"/>
      <c r="D2914" s="316"/>
      <c r="E2914" s="315"/>
      <c r="F2914" s="315"/>
      <c r="G2914" s="315"/>
      <c r="H2914" s="153"/>
      <c r="I2914" s="12"/>
      <c r="J2914" s="12"/>
      <c r="K2914" s="12"/>
      <c r="L2914" s="379"/>
      <c r="M2914" s="380"/>
      <c r="N2914" s="380"/>
      <c r="O2914" s="12"/>
      <c r="P2914" s="381"/>
      <c r="Q2914" s="12"/>
      <c r="R2914" s="12"/>
      <c r="S2914" s="382"/>
      <c r="T2914" s="383"/>
      <c r="U2914" s="384"/>
      <c r="V2914" s="12"/>
      <c r="W2914" s="12"/>
    </row>
    <row r="2915" spans="1:23" x14ac:dyDescent="0.3">
      <c r="A2915" s="193" t="str">
        <f ca="1"/>
        <v/>
      </c>
      <c r="B2915" s="378"/>
      <c r="C2915" s="315"/>
      <c r="D2915" s="316"/>
      <c r="E2915" s="315"/>
      <c r="F2915" s="315"/>
      <c r="G2915" s="315"/>
      <c r="H2915" s="153"/>
      <c r="I2915" s="12"/>
      <c r="J2915" s="12"/>
      <c r="K2915" s="12"/>
      <c r="L2915" s="379"/>
      <c r="M2915" s="380"/>
      <c r="N2915" s="380"/>
      <c r="O2915" s="12"/>
      <c r="P2915" s="381"/>
      <c r="Q2915" s="12"/>
      <c r="R2915" s="12"/>
      <c r="S2915" s="382"/>
      <c r="T2915" s="383"/>
      <c r="U2915" s="384"/>
      <c r="V2915" s="12"/>
      <c r="W2915" s="12"/>
    </row>
    <row r="2916" spans="1:23" x14ac:dyDescent="0.3">
      <c r="A2916" s="193" t="str">
        <f ca="1"/>
        <v/>
      </c>
      <c r="B2916" s="378"/>
      <c r="C2916" s="315"/>
      <c r="D2916" s="316"/>
      <c r="E2916" s="315"/>
      <c r="F2916" s="315"/>
      <c r="G2916" s="315"/>
      <c r="H2916" s="153"/>
      <c r="I2916" s="12"/>
      <c r="J2916" s="12"/>
      <c r="K2916" s="12"/>
      <c r="L2916" s="379"/>
      <c r="M2916" s="380"/>
      <c r="N2916" s="380"/>
      <c r="O2916" s="12"/>
      <c r="P2916" s="381"/>
      <c r="Q2916" s="12"/>
      <c r="R2916" s="12"/>
      <c r="S2916" s="382"/>
      <c r="T2916" s="383"/>
      <c r="U2916" s="384"/>
      <c r="V2916" s="12"/>
      <c r="W2916" s="12"/>
    </row>
    <row r="2917" spans="1:23" x14ac:dyDescent="0.3">
      <c r="A2917" s="193" t="str">
        <f ca="1"/>
        <v/>
      </c>
      <c r="B2917" s="378"/>
      <c r="C2917" s="315"/>
      <c r="D2917" s="316"/>
      <c r="E2917" s="315"/>
      <c r="F2917" s="315"/>
      <c r="G2917" s="315"/>
      <c r="H2917" s="153"/>
      <c r="I2917" s="12"/>
      <c r="J2917" s="12"/>
      <c r="K2917" s="12"/>
      <c r="L2917" s="379"/>
      <c r="M2917" s="380"/>
      <c r="N2917" s="380"/>
      <c r="O2917" s="12"/>
      <c r="P2917" s="381"/>
      <c r="Q2917" s="12"/>
      <c r="R2917" s="12"/>
      <c r="S2917" s="382"/>
      <c r="T2917" s="383"/>
      <c r="U2917" s="384"/>
      <c r="V2917" s="12"/>
      <c r="W2917" s="12"/>
    </row>
    <row r="2918" spans="1:23" x14ac:dyDescent="0.3">
      <c r="A2918" s="193" t="str">
        <f ca="1"/>
        <v/>
      </c>
      <c r="B2918" s="378"/>
      <c r="C2918" s="315"/>
      <c r="D2918" s="316"/>
      <c r="E2918" s="315"/>
      <c r="F2918" s="315"/>
      <c r="G2918" s="315"/>
      <c r="H2918" s="153"/>
      <c r="I2918" s="12"/>
      <c r="J2918" s="12"/>
      <c r="K2918" s="12"/>
      <c r="L2918" s="379"/>
      <c r="M2918" s="380"/>
      <c r="N2918" s="380"/>
      <c r="O2918" s="12"/>
      <c r="P2918" s="381"/>
      <c r="Q2918" s="12"/>
      <c r="R2918" s="12"/>
      <c r="S2918" s="382"/>
      <c r="T2918" s="383"/>
      <c r="U2918" s="384"/>
      <c r="V2918" s="12"/>
      <c r="W2918" s="12"/>
    </row>
    <row r="2919" spans="1:23" x14ac:dyDescent="0.3">
      <c r="A2919" s="193" t="str">
        <f ca="1"/>
        <v/>
      </c>
      <c r="B2919" s="378"/>
      <c r="C2919" s="315"/>
      <c r="D2919" s="316"/>
      <c r="E2919" s="315"/>
      <c r="F2919" s="315"/>
      <c r="G2919" s="315"/>
      <c r="H2919" s="153"/>
      <c r="I2919" s="12"/>
      <c r="J2919" s="12"/>
      <c r="K2919" s="12"/>
      <c r="L2919" s="379"/>
      <c r="M2919" s="380"/>
      <c r="N2919" s="380"/>
      <c r="O2919" s="12"/>
      <c r="P2919" s="381"/>
      <c r="Q2919" s="12"/>
      <c r="R2919" s="12"/>
      <c r="S2919" s="382"/>
      <c r="T2919" s="383"/>
      <c r="U2919" s="384"/>
      <c r="V2919" s="12"/>
      <c r="W2919" s="12"/>
    </row>
    <row r="2920" spans="1:23" x14ac:dyDescent="0.3">
      <c r="A2920" s="193" t="str">
        <f ca="1"/>
        <v/>
      </c>
      <c r="B2920" s="378"/>
      <c r="C2920" s="315"/>
      <c r="D2920" s="316"/>
      <c r="E2920" s="315"/>
      <c r="F2920" s="315"/>
      <c r="G2920" s="315"/>
      <c r="H2920" s="153"/>
      <c r="I2920" s="12"/>
      <c r="J2920" s="12"/>
      <c r="K2920" s="12"/>
      <c r="L2920" s="379"/>
      <c r="M2920" s="380"/>
      <c r="N2920" s="380"/>
      <c r="O2920" s="12"/>
      <c r="P2920" s="381"/>
      <c r="Q2920" s="12"/>
      <c r="R2920" s="12"/>
      <c r="S2920" s="382"/>
      <c r="T2920" s="383"/>
      <c r="U2920" s="384"/>
      <c r="V2920" s="12"/>
      <c r="W2920" s="12"/>
    </row>
    <row r="2921" spans="1:23" x14ac:dyDescent="0.3">
      <c r="A2921" s="193" t="str">
        <f ca="1"/>
        <v/>
      </c>
      <c r="B2921" s="378"/>
      <c r="C2921" s="315"/>
      <c r="D2921" s="316"/>
      <c r="E2921" s="315"/>
      <c r="F2921" s="315"/>
      <c r="G2921" s="315"/>
      <c r="H2921" s="153"/>
      <c r="I2921" s="12"/>
      <c r="J2921" s="12"/>
      <c r="K2921" s="12"/>
      <c r="L2921" s="379"/>
      <c r="M2921" s="380"/>
      <c r="N2921" s="380"/>
      <c r="O2921" s="12"/>
      <c r="P2921" s="381"/>
      <c r="Q2921" s="12"/>
      <c r="R2921" s="12"/>
      <c r="S2921" s="382"/>
      <c r="T2921" s="383"/>
      <c r="U2921" s="384"/>
      <c r="V2921" s="12"/>
      <c r="W2921" s="12"/>
    </row>
    <row r="2922" spans="1:23" x14ac:dyDescent="0.3">
      <c r="A2922" s="193" t="str">
        <f ca="1"/>
        <v/>
      </c>
      <c r="B2922" s="378"/>
      <c r="C2922" s="315"/>
      <c r="D2922" s="316"/>
      <c r="E2922" s="315"/>
      <c r="F2922" s="315"/>
      <c r="G2922" s="315"/>
      <c r="H2922" s="153"/>
      <c r="I2922" s="12"/>
      <c r="J2922" s="12"/>
      <c r="K2922" s="12"/>
      <c r="L2922" s="379"/>
      <c r="M2922" s="380"/>
      <c r="N2922" s="380"/>
      <c r="O2922" s="12"/>
      <c r="P2922" s="381"/>
      <c r="Q2922" s="12"/>
      <c r="R2922" s="12"/>
      <c r="S2922" s="382"/>
      <c r="T2922" s="383"/>
      <c r="U2922" s="384"/>
      <c r="V2922" s="12"/>
      <c r="W2922" s="12"/>
    </row>
    <row r="2923" spans="1:23" x14ac:dyDescent="0.3">
      <c r="A2923" s="193" t="str">
        <f ca="1"/>
        <v/>
      </c>
      <c r="B2923" s="378"/>
      <c r="C2923" s="315"/>
      <c r="D2923" s="316"/>
      <c r="E2923" s="315"/>
      <c r="F2923" s="315"/>
      <c r="G2923" s="315"/>
      <c r="H2923" s="153"/>
      <c r="I2923" s="12"/>
      <c r="J2923" s="12"/>
      <c r="K2923" s="12"/>
      <c r="L2923" s="379"/>
      <c r="M2923" s="380"/>
      <c r="N2923" s="380"/>
      <c r="O2923" s="12"/>
      <c r="P2923" s="381"/>
      <c r="Q2923" s="12"/>
      <c r="R2923" s="12"/>
      <c r="S2923" s="382"/>
      <c r="T2923" s="383"/>
      <c r="U2923" s="384"/>
      <c r="V2923" s="12"/>
      <c r="W2923" s="12"/>
    </row>
    <row r="2924" spans="1:23" x14ac:dyDescent="0.3">
      <c r="A2924" s="193" t="str">
        <f ca="1"/>
        <v/>
      </c>
      <c r="B2924" s="378"/>
      <c r="C2924" s="315"/>
      <c r="D2924" s="316"/>
      <c r="E2924" s="315"/>
      <c r="F2924" s="315"/>
      <c r="G2924" s="315"/>
      <c r="H2924" s="153"/>
      <c r="I2924" s="12"/>
      <c r="J2924" s="12"/>
      <c r="K2924" s="12"/>
      <c r="L2924" s="379"/>
      <c r="M2924" s="380"/>
      <c r="N2924" s="380"/>
      <c r="O2924" s="12"/>
      <c r="P2924" s="381"/>
      <c r="Q2924" s="12"/>
      <c r="R2924" s="12"/>
      <c r="S2924" s="382"/>
      <c r="T2924" s="383"/>
      <c r="U2924" s="384"/>
      <c r="V2924" s="12"/>
      <c r="W2924" s="12"/>
    </row>
    <row r="2925" spans="1:23" x14ac:dyDescent="0.3">
      <c r="A2925" s="193" t="str">
        <f ca="1"/>
        <v/>
      </c>
      <c r="B2925" s="378"/>
      <c r="C2925" s="315"/>
      <c r="D2925" s="316"/>
      <c r="E2925" s="315"/>
      <c r="F2925" s="315"/>
      <c r="G2925" s="315"/>
      <c r="H2925" s="153"/>
      <c r="I2925" s="12"/>
      <c r="J2925" s="12"/>
      <c r="K2925" s="12"/>
      <c r="L2925" s="379"/>
      <c r="M2925" s="380"/>
      <c r="N2925" s="380"/>
      <c r="O2925" s="12"/>
      <c r="P2925" s="381"/>
      <c r="Q2925" s="12"/>
      <c r="R2925" s="12"/>
      <c r="S2925" s="382"/>
      <c r="T2925" s="383"/>
      <c r="U2925" s="384"/>
      <c r="V2925" s="12"/>
      <c r="W2925" s="12"/>
    </row>
    <row r="2926" spans="1:23" x14ac:dyDescent="0.3">
      <c r="A2926" s="193" t="str">
        <f ca="1"/>
        <v/>
      </c>
      <c r="B2926" s="378"/>
      <c r="C2926" s="315"/>
      <c r="D2926" s="316"/>
      <c r="E2926" s="315"/>
      <c r="F2926" s="315"/>
      <c r="G2926" s="315"/>
      <c r="H2926" s="153"/>
      <c r="I2926" s="12"/>
      <c r="J2926" s="12"/>
      <c r="K2926" s="12"/>
      <c r="L2926" s="379"/>
      <c r="M2926" s="380"/>
      <c r="N2926" s="380"/>
      <c r="O2926" s="12"/>
      <c r="P2926" s="381"/>
      <c r="Q2926" s="12"/>
      <c r="R2926" s="12"/>
      <c r="S2926" s="382"/>
      <c r="T2926" s="383"/>
      <c r="U2926" s="384"/>
      <c r="V2926" s="12"/>
      <c r="W2926" s="12"/>
    </row>
    <row r="2927" spans="1:23" x14ac:dyDescent="0.3">
      <c r="A2927" s="193" t="str">
        <f ca="1"/>
        <v/>
      </c>
      <c r="B2927" s="378"/>
      <c r="C2927" s="315"/>
      <c r="D2927" s="316"/>
      <c r="E2927" s="315"/>
      <c r="F2927" s="315"/>
      <c r="G2927" s="315"/>
      <c r="H2927" s="153"/>
      <c r="I2927" s="12"/>
      <c r="J2927" s="12"/>
      <c r="K2927" s="12"/>
      <c r="L2927" s="379"/>
      <c r="M2927" s="380"/>
      <c r="N2927" s="380"/>
      <c r="O2927" s="12"/>
      <c r="P2927" s="381"/>
      <c r="Q2927" s="12"/>
      <c r="R2927" s="12"/>
      <c r="S2927" s="382"/>
      <c r="T2927" s="383"/>
      <c r="U2927" s="384"/>
      <c r="V2927" s="12"/>
      <c r="W2927" s="12"/>
    </row>
    <row r="2928" spans="1:23" x14ac:dyDescent="0.3">
      <c r="A2928" s="193" t="str">
        <f ca="1"/>
        <v/>
      </c>
      <c r="B2928" s="378"/>
      <c r="C2928" s="315"/>
      <c r="D2928" s="316"/>
      <c r="E2928" s="315"/>
      <c r="F2928" s="315"/>
      <c r="G2928" s="315"/>
      <c r="H2928" s="153"/>
      <c r="I2928" s="12"/>
      <c r="J2928" s="12"/>
      <c r="K2928" s="12"/>
      <c r="L2928" s="379"/>
      <c r="M2928" s="380"/>
      <c r="N2928" s="380"/>
      <c r="O2928" s="12"/>
      <c r="P2928" s="381"/>
      <c r="Q2928" s="12"/>
      <c r="R2928" s="12"/>
      <c r="S2928" s="382"/>
      <c r="T2928" s="383"/>
      <c r="U2928" s="384"/>
      <c r="V2928" s="12"/>
      <c r="W2928" s="12"/>
    </row>
    <row r="2929" spans="1:23" x14ac:dyDescent="0.3">
      <c r="A2929" s="193" t="str">
        <f ca="1"/>
        <v/>
      </c>
      <c r="B2929" s="378"/>
      <c r="C2929" s="315"/>
      <c r="D2929" s="316"/>
      <c r="E2929" s="315"/>
      <c r="F2929" s="315"/>
      <c r="G2929" s="315"/>
      <c r="H2929" s="153"/>
      <c r="I2929" s="12"/>
      <c r="J2929" s="12"/>
      <c r="K2929" s="12"/>
      <c r="L2929" s="379"/>
      <c r="M2929" s="380"/>
      <c r="N2929" s="380"/>
      <c r="O2929" s="12"/>
      <c r="P2929" s="381"/>
      <c r="Q2929" s="12"/>
      <c r="R2929" s="12"/>
      <c r="S2929" s="382"/>
      <c r="T2929" s="383"/>
      <c r="U2929" s="384"/>
      <c r="V2929" s="12"/>
      <c r="W2929" s="12"/>
    </row>
    <row r="2930" spans="1:23" x14ac:dyDescent="0.3">
      <c r="A2930" s="193" t="str">
        <f ca="1"/>
        <v/>
      </c>
      <c r="B2930" s="378"/>
      <c r="C2930" s="315"/>
      <c r="D2930" s="316"/>
      <c r="E2930" s="315"/>
      <c r="F2930" s="315"/>
      <c r="G2930" s="315"/>
      <c r="H2930" s="153"/>
      <c r="I2930" s="12"/>
      <c r="J2930" s="12"/>
      <c r="K2930" s="12"/>
      <c r="L2930" s="379"/>
      <c r="M2930" s="380"/>
      <c r="N2930" s="380"/>
      <c r="O2930" s="12"/>
      <c r="P2930" s="381"/>
      <c r="Q2930" s="12"/>
      <c r="R2930" s="12"/>
      <c r="S2930" s="382"/>
      <c r="T2930" s="383"/>
      <c r="U2930" s="384"/>
      <c r="V2930" s="12"/>
      <c r="W2930" s="12"/>
    </row>
    <row r="2931" spans="1:23" x14ac:dyDescent="0.3">
      <c r="A2931" s="193" t="str">
        <f ca="1"/>
        <v/>
      </c>
      <c r="B2931" s="378"/>
      <c r="C2931" s="315"/>
      <c r="D2931" s="316"/>
      <c r="E2931" s="315"/>
      <c r="F2931" s="315"/>
      <c r="G2931" s="315"/>
      <c r="H2931" s="153"/>
      <c r="I2931" s="12"/>
      <c r="J2931" s="12"/>
      <c r="K2931" s="12"/>
      <c r="L2931" s="379"/>
      <c r="M2931" s="380"/>
      <c r="N2931" s="380"/>
      <c r="O2931" s="12"/>
      <c r="P2931" s="381"/>
      <c r="Q2931" s="12"/>
      <c r="R2931" s="12"/>
      <c r="S2931" s="382"/>
      <c r="T2931" s="383"/>
      <c r="U2931" s="384"/>
      <c r="V2931" s="12"/>
      <c r="W2931" s="12"/>
    </row>
    <row r="2932" spans="1:23" x14ac:dyDescent="0.3">
      <c r="A2932" s="193" t="str">
        <f ca="1"/>
        <v/>
      </c>
      <c r="B2932" s="378"/>
      <c r="C2932" s="315"/>
      <c r="D2932" s="316"/>
      <c r="E2932" s="315"/>
      <c r="F2932" s="315"/>
      <c r="G2932" s="315"/>
      <c r="H2932" s="153"/>
      <c r="I2932" s="12"/>
      <c r="J2932" s="12"/>
      <c r="K2932" s="12"/>
      <c r="L2932" s="379"/>
      <c r="M2932" s="380"/>
      <c r="N2932" s="380"/>
      <c r="O2932" s="12"/>
      <c r="P2932" s="381"/>
      <c r="Q2932" s="12"/>
      <c r="R2932" s="12"/>
      <c r="S2932" s="382"/>
      <c r="T2932" s="383"/>
      <c r="U2932" s="384"/>
      <c r="V2932" s="12"/>
      <c r="W2932" s="12"/>
    </row>
    <row r="2933" spans="1:23" x14ac:dyDescent="0.3">
      <c r="A2933" s="193" t="str">
        <f ca="1"/>
        <v/>
      </c>
      <c r="B2933" s="378"/>
      <c r="C2933" s="315"/>
      <c r="D2933" s="316"/>
      <c r="E2933" s="315"/>
      <c r="F2933" s="315"/>
      <c r="G2933" s="315"/>
      <c r="H2933" s="153"/>
      <c r="I2933" s="12"/>
      <c r="J2933" s="12"/>
      <c r="K2933" s="12"/>
      <c r="L2933" s="379"/>
      <c r="M2933" s="380"/>
      <c r="N2933" s="380"/>
      <c r="O2933" s="12"/>
      <c r="P2933" s="381"/>
      <c r="Q2933" s="12"/>
      <c r="R2933" s="12"/>
      <c r="S2933" s="382"/>
      <c r="T2933" s="383"/>
      <c r="U2933" s="384"/>
      <c r="V2933" s="12"/>
      <c r="W2933" s="12"/>
    </row>
    <row r="2934" spans="1:23" x14ac:dyDescent="0.3">
      <c r="A2934" s="193" t="str">
        <f ca="1"/>
        <v/>
      </c>
      <c r="B2934" s="378"/>
      <c r="C2934" s="315"/>
      <c r="D2934" s="316"/>
      <c r="E2934" s="315"/>
      <c r="F2934" s="315"/>
      <c r="G2934" s="315"/>
      <c r="H2934" s="153"/>
      <c r="I2934" s="12"/>
      <c r="J2934" s="12"/>
      <c r="K2934" s="12"/>
      <c r="L2934" s="379"/>
      <c r="M2934" s="380"/>
      <c r="N2934" s="380"/>
      <c r="O2934" s="12"/>
      <c r="P2934" s="381"/>
      <c r="Q2934" s="12"/>
      <c r="R2934" s="12"/>
      <c r="S2934" s="382"/>
      <c r="T2934" s="383"/>
      <c r="U2934" s="384"/>
      <c r="V2934" s="12"/>
      <c r="W2934" s="12"/>
    </row>
    <row r="2935" spans="1:23" x14ac:dyDescent="0.3">
      <c r="A2935" s="193" t="str">
        <f ca="1"/>
        <v/>
      </c>
      <c r="B2935" s="378"/>
      <c r="C2935" s="315"/>
      <c r="D2935" s="316"/>
      <c r="E2935" s="315"/>
      <c r="F2935" s="315"/>
      <c r="G2935" s="315"/>
      <c r="H2935" s="153"/>
      <c r="I2935" s="12"/>
      <c r="J2935" s="12"/>
      <c r="K2935" s="12"/>
      <c r="L2935" s="379"/>
      <c r="M2935" s="380"/>
      <c r="N2935" s="380"/>
      <c r="O2935" s="12"/>
      <c r="P2935" s="381"/>
      <c r="Q2935" s="12"/>
      <c r="R2935" s="12"/>
      <c r="S2935" s="382"/>
      <c r="T2935" s="383"/>
      <c r="U2935" s="384"/>
      <c r="V2935" s="12"/>
      <c r="W2935" s="12"/>
    </row>
    <row r="2936" spans="1:23" x14ac:dyDescent="0.3">
      <c r="A2936" s="193" t="str">
        <f ca="1"/>
        <v/>
      </c>
      <c r="B2936" s="378"/>
      <c r="C2936" s="315"/>
      <c r="D2936" s="316"/>
      <c r="E2936" s="315"/>
      <c r="F2936" s="315"/>
      <c r="G2936" s="315"/>
      <c r="H2936" s="153"/>
      <c r="I2936" s="12"/>
      <c r="J2936" s="12"/>
      <c r="K2936" s="12"/>
      <c r="L2936" s="379"/>
      <c r="M2936" s="380"/>
      <c r="N2936" s="380"/>
      <c r="O2936" s="12"/>
      <c r="P2936" s="381"/>
      <c r="Q2936" s="12"/>
      <c r="R2936" s="12"/>
      <c r="S2936" s="382"/>
      <c r="T2936" s="383"/>
      <c r="U2936" s="384"/>
      <c r="V2936" s="12"/>
      <c r="W2936" s="12"/>
    </row>
    <row r="2937" spans="1:23" x14ac:dyDescent="0.3">
      <c r="A2937" s="193" t="str">
        <f ca="1"/>
        <v/>
      </c>
      <c r="B2937" s="378"/>
      <c r="C2937" s="315"/>
      <c r="D2937" s="316"/>
      <c r="E2937" s="315"/>
      <c r="F2937" s="315"/>
      <c r="G2937" s="315"/>
      <c r="H2937" s="153"/>
      <c r="I2937" s="12"/>
      <c r="J2937" s="12"/>
      <c r="K2937" s="12"/>
      <c r="L2937" s="379"/>
      <c r="M2937" s="380"/>
      <c r="N2937" s="380"/>
      <c r="O2937" s="12"/>
      <c r="P2937" s="381"/>
      <c r="Q2937" s="12"/>
      <c r="R2937" s="12"/>
      <c r="S2937" s="382"/>
      <c r="T2937" s="383"/>
      <c r="U2937" s="384"/>
      <c r="V2937" s="12"/>
      <c r="W2937" s="12"/>
    </row>
    <row r="2938" spans="1:23" x14ac:dyDescent="0.3">
      <c r="A2938" s="193" t="str">
        <f ca="1"/>
        <v/>
      </c>
      <c r="B2938" s="378"/>
      <c r="C2938" s="315"/>
      <c r="D2938" s="316"/>
      <c r="E2938" s="315"/>
      <c r="F2938" s="315"/>
      <c r="G2938" s="315"/>
      <c r="H2938" s="153"/>
      <c r="I2938" s="12"/>
      <c r="J2938" s="12"/>
      <c r="K2938" s="12"/>
      <c r="L2938" s="379"/>
      <c r="M2938" s="380"/>
      <c r="N2938" s="380"/>
      <c r="O2938" s="12"/>
      <c r="P2938" s="381"/>
      <c r="Q2938" s="12"/>
      <c r="R2938" s="12"/>
      <c r="S2938" s="382"/>
      <c r="T2938" s="383"/>
      <c r="U2938" s="384"/>
      <c r="V2938" s="12"/>
      <c r="W2938" s="12"/>
    </row>
    <row r="2939" spans="1:23" x14ac:dyDescent="0.3">
      <c r="A2939" s="193" t="str">
        <f ca="1"/>
        <v/>
      </c>
      <c r="B2939" s="378"/>
      <c r="C2939" s="315"/>
      <c r="D2939" s="316"/>
      <c r="E2939" s="315"/>
      <c r="F2939" s="315"/>
      <c r="G2939" s="315"/>
      <c r="H2939" s="153"/>
      <c r="I2939" s="12"/>
      <c r="J2939" s="12"/>
      <c r="K2939" s="12"/>
      <c r="L2939" s="379"/>
      <c r="M2939" s="380"/>
      <c r="N2939" s="380"/>
      <c r="O2939" s="12"/>
      <c r="P2939" s="381"/>
      <c r="Q2939" s="12"/>
      <c r="R2939" s="12"/>
      <c r="S2939" s="382"/>
      <c r="T2939" s="383"/>
      <c r="U2939" s="384"/>
      <c r="V2939" s="12"/>
      <c r="W2939" s="12"/>
    </row>
    <row r="2940" spans="1:23" x14ac:dyDescent="0.3">
      <c r="A2940" s="193" t="str">
        <f ca="1"/>
        <v/>
      </c>
      <c r="B2940" s="378"/>
      <c r="C2940" s="315"/>
      <c r="D2940" s="316"/>
      <c r="E2940" s="315"/>
      <c r="F2940" s="315"/>
      <c r="G2940" s="315"/>
      <c r="H2940" s="153"/>
      <c r="I2940" s="12"/>
      <c r="J2940" s="12"/>
      <c r="K2940" s="12"/>
      <c r="L2940" s="379"/>
      <c r="M2940" s="380"/>
      <c r="N2940" s="380"/>
      <c r="O2940" s="12"/>
      <c r="P2940" s="381"/>
      <c r="Q2940" s="12"/>
      <c r="R2940" s="12"/>
      <c r="S2940" s="382"/>
      <c r="T2940" s="383"/>
      <c r="U2940" s="384"/>
      <c r="V2940" s="12"/>
      <c r="W2940" s="12"/>
    </row>
    <row r="2941" spans="1:23" x14ac:dyDescent="0.3">
      <c r="A2941" s="193" t="str">
        <f ca="1"/>
        <v/>
      </c>
      <c r="B2941" s="378"/>
      <c r="C2941" s="315"/>
      <c r="D2941" s="316"/>
      <c r="E2941" s="315"/>
      <c r="F2941" s="315"/>
      <c r="G2941" s="315"/>
      <c r="H2941" s="153"/>
      <c r="I2941" s="12"/>
      <c r="J2941" s="12"/>
      <c r="K2941" s="12"/>
      <c r="L2941" s="379"/>
      <c r="M2941" s="380"/>
      <c r="N2941" s="380"/>
      <c r="O2941" s="12"/>
      <c r="P2941" s="381"/>
      <c r="Q2941" s="12"/>
      <c r="R2941" s="12"/>
      <c r="S2941" s="382"/>
      <c r="T2941" s="383"/>
      <c r="U2941" s="384"/>
      <c r="V2941" s="12"/>
      <c r="W2941" s="12"/>
    </row>
    <row r="2942" spans="1:23" x14ac:dyDescent="0.3">
      <c r="A2942" s="193" t="str">
        <f ca="1"/>
        <v/>
      </c>
      <c r="B2942" s="378"/>
      <c r="C2942" s="315"/>
      <c r="D2942" s="316"/>
      <c r="E2942" s="315"/>
      <c r="F2942" s="315"/>
      <c r="G2942" s="315"/>
      <c r="H2942" s="153"/>
      <c r="I2942" s="12"/>
      <c r="J2942" s="12"/>
      <c r="K2942" s="12"/>
      <c r="L2942" s="379"/>
      <c r="M2942" s="380"/>
      <c r="N2942" s="380"/>
      <c r="O2942" s="12"/>
      <c r="P2942" s="381"/>
      <c r="Q2942" s="12"/>
      <c r="R2942" s="12"/>
      <c r="S2942" s="382"/>
      <c r="T2942" s="383"/>
      <c r="U2942" s="384"/>
      <c r="V2942" s="12"/>
      <c r="W2942" s="12"/>
    </row>
    <row r="2943" spans="1:23" x14ac:dyDescent="0.3">
      <c r="A2943" s="193" t="str">
        <f ca="1"/>
        <v/>
      </c>
      <c r="B2943" s="378"/>
      <c r="C2943" s="315"/>
      <c r="D2943" s="316"/>
      <c r="E2943" s="315"/>
      <c r="F2943" s="315"/>
      <c r="G2943" s="315"/>
      <c r="H2943" s="153"/>
      <c r="I2943" s="12"/>
      <c r="J2943" s="12"/>
      <c r="K2943" s="12"/>
      <c r="L2943" s="379"/>
      <c r="M2943" s="380"/>
      <c r="N2943" s="380"/>
      <c r="O2943" s="12"/>
      <c r="P2943" s="381"/>
      <c r="Q2943" s="12"/>
      <c r="R2943" s="12"/>
      <c r="S2943" s="382"/>
      <c r="T2943" s="383"/>
      <c r="U2943" s="384"/>
      <c r="V2943" s="12"/>
      <c r="W2943" s="12"/>
    </row>
    <row r="2944" spans="1:23" x14ac:dyDescent="0.3">
      <c r="A2944" s="193" t="str">
        <f ca="1"/>
        <v/>
      </c>
      <c r="B2944" s="378"/>
      <c r="C2944" s="315"/>
      <c r="D2944" s="316"/>
      <c r="E2944" s="315"/>
      <c r="F2944" s="315"/>
      <c r="G2944" s="315"/>
      <c r="H2944" s="153"/>
      <c r="I2944" s="12"/>
      <c r="J2944" s="12"/>
      <c r="K2944" s="12"/>
      <c r="L2944" s="379"/>
      <c r="M2944" s="380"/>
      <c r="N2944" s="380"/>
      <c r="O2944" s="12"/>
      <c r="P2944" s="381"/>
      <c r="Q2944" s="12"/>
      <c r="R2944" s="12"/>
      <c r="S2944" s="382"/>
      <c r="T2944" s="383"/>
      <c r="U2944" s="384"/>
      <c r="V2944" s="12"/>
      <c r="W2944" s="12"/>
    </row>
    <row r="2945" spans="1:23" x14ac:dyDescent="0.3">
      <c r="A2945" s="193" t="str">
        <f ca="1"/>
        <v/>
      </c>
      <c r="B2945" s="378"/>
      <c r="C2945" s="315"/>
      <c r="D2945" s="316"/>
      <c r="E2945" s="315"/>
      <c r="F2945" s="315"/>
      <c r="G2945" s="315"/>
      <c r="H2945" s="153"/>
      <c r="I2945" s="12"/>
      <c r="J2945" s="12"/>
      <c r="K2945" s="12"/>
      <c r="L2945" s="379"/>
      <c r="M2945" s="380"/>
      <c r="N2945" s="380"/>
      <c r="O2945" s="12"/>
      <c r="P2945" s="381"/>
      <c r="Q2945" s="12"/>
      <c r="R2945" s="12"/>
      <c r="S2945" s="382"/>
      <c r="T2945" s="383"/>
      <c r="U2945" s="384"/>
      <c r="V2945" s="12"/>
      <c r="W2945" s="12"/>
    </row>
    <row r="2946" spans="1:23" x14ac:dyDescent="0.3">
      <c r="A2946" s="193" t="str">
        <f ca="1"/>
        <v/>
      </c>
      <c r="B2946" s="378"/>
      <c r="C2946" s="315"/>
      <c r="D2946" s="316"/>
      <c r="E2946" s="315"/>
      <c r="F2946" s="315"/>
      <c r="G2946" s="315"/>
      <c r="H2946" s="153"/>
      <c r="I2946" s="12"/>
      <c r="J2946" s="12"/>
      <c r="K2946" s="12"/>
      <c r="L2946" s="379"/>
      <c r="M2946" s="380"/>
      <c r="N2946" s="380"/>
      <c r="O2946" s="12"/>
      <c r="P2946" s="381"/>
      <c r="Q2946" s="12"/>
      <c r="R2946" s="12"/>
      <c r="S2946" s="382"/>
      <c r="T2946" s="383"/>
      <c r="U2946" s="384"/>
      <c r="V2946" s="12"/>
      <c r="W2946" s="12"/>
    </row>
    <row r="2947" spans="1:23" x14ac:dyDescent="0.3">
      <c r="A2947" s="193" t="str">
        <f ca="1"/>
        <v/>
      </c>
      <c r="B2947" s="378"/>
      <c r="C2947" s="315"/>
      <c r="D2947" s="316"/>
      <c r="E2947" s="315"/>
      <c r="F2947" s="315"/>
      <c r="G2947" s="315"/>
      <c r="H2947" s="153"/>
      <c r="I2947" s="12"/>
      <c r="J2947" s="12"/>
      <c r="K2947" s="12"/>
      <c r="L2947" s="379"/>
      <c r="M2947" s="380"/>
      <c r="N2947" s="380"/>
      <c r="O2947" s="12"/>
      <c r="P2947" s="381"/>
      <c r="Q2947" s="12"/>
      <c r="R2947" s="12"/>
      <c r="S2947" s="382"/>
      <c r="T2947" s="383"/>
      <c r="U2947" s="384"/>
      <c r="V2947" s="12"/>
      <c r="W2947" s="12"/>
    </row>
    <row r="2948" spans="1:23" x14ac:dyDescent="0.3">
      <c r="A2948" s="193" t="str">
        <f ca="1"/>
        <v/>
      </c>
      <c r="B2948" s="378"/>
      <c r="C2948" s="315"/>
      <c r="D2948" s="316"/>
      <c r="E2948" s="315"/>
      <c r="F2948" s="315"/>
      <c r="G2948" s="315"/>
      <c r="H2948" s="153"/>
      <c r="I2948" s="12"/>
      <c r="J2948" s="12"/>
      <c r="K2948" s="12"/>
      <c r="L2948" s="379"/>
      <c r="M2948" s="380"/>
      <c r="N2948" s="380"/>
      <c r="O2948" s="12"/>
      <c r="P2948" s="381"/>
      <c r="Q2948" s="12"/>
      <c r="R2948" s="12"/>
      <c r="S2948" s="382"/>
      <c r="T2948" s="383"/>
      <c r="U2948" s="384"/>
      <c r="V2948" s="12"/>
      <c r="W2948" s="12"/>
    </row>
    <row r="2949" spans="1:23" x14ac:dyDescent="0.3">
      <c r="A2949" s="193" t="str">
        <f ca="1"/>
        <v/>
      </c>
      <c r="B2949" s="378"/>
      <c r="C2949" s="315"/>
      <c r="D2949" s="316"/>
      <c r="E2949" s="315"/>
      <c r="F2949" s="315"/>
      <c r="G2949" s="315"/>
      <c r="H2949" s="153"/>
      <c r="I2949" s="12"/>
      <c r="J2949" s="12"/>
      <c r="K2949" s="12"/>
      <c r="L2949" s="379"/>
      <c r="M2949" s="380"/>
      <c r="N2949" s="380"/>
      <c r="O2949" s="12"/>
      <c r="P2949" s="381"/>
      <c r="Q2949" s="12"/>
      <c r="R2949" s="12"/>
      <c r="S2949" s="382"/>
      <c r="T2949" s="383"/>
      <c r="U2949" s="384"/>
      <c r="V2949" s="12"/>
      <c r="W2949" s="12"/>
    </row>
    <row r="2950" spans="1:23" x14ac:dyDescent="0.3">
      <c r="A2950" s="193" t="str">
        <f ca="1"/>
        <v/>
      </c>
      <c r="B2950" s="378"/>
      <c r="C2950" s="315"/>
      <c r="D2950" s="316"/>
      <c r="E2950" s="315"/>
      <c r="F2950" s="315"/>
      <c r="G2950" s="315"/>
      <c r="H2950" s="153"/>
      <c r="I2950" s="12"/>
      <c r="J2950" s="12"/>
      <c r="K2950" s="12"/>
      <c r="L2950" s="379"/>
      <c r="M2950" s="380"/>
      <c r="N2950" s="380"/>
      <c r="O2950" s="12"/>
      <c r="P2950" s="381"/>
      <c r="Q2950" s="12"/>
      <c r="R2950" s="12"/>
      <c r="S2950" s="382"/>
      <c r="T2950" s="383"/>
      <c r="U2950" s="384"/>
      <c r="V2950" s="12"/>
      <c r="W2950" s="12"/>
    </row>
    <row r="2951" spans="1:23" x14ac:dyDescent="0.3">
      <c r="A2951" s="193" t="str">
        <f ca="1"/>
        <v/>
      </c>
      <c r="B2951" s="378"/>
      <c r="C2951" s="315"/>
      <c r="D2951" s="316"/>
      <c r="E2951" s="315"/>
      <c r="F2951" s="315"/>
      <c r="G2951" s="315"/>
      <c r="H2951" s="153"/>
      <c r="I2951" s="12"/>
      <c r="J2951" s="12"/>
      <c r="K2951" s="12"/>
      <c r="L2951" s="379"/>
      <c r="M2951" s="380"/>
      <c r="N2951" s="380"/>
      <c r="O2951" s="12"/>
      <c r="P2951" s="381"/>
      <c r="Q2951" s="12"/>
      <c r="R2951" s="12"/>
      <c r="S2951" s="382"/>
      <c r="T2951" s="383"/>
      <c r="U2951" s="384"/>
      <c r="V2951" s="12"/>
      <c r="W2951" s="12"/>
    </row>
    <row r="2952" spans="1:23" x14ac:dyDescent="0.3">
      <c r="A2952" s="193" t="str">
        <f ca="1"/>
        <v/>
      </c>
      <c r="B2952" s="378"/>
      <c r="C2952" s="315"/>
      <c r="D2952" s="316"/>
      <c r="E2952" s="315"/>
      <c r="F2952" s="315"/>
      <c r="G2952" s="315"/>
      <c r="H2952" s="153"/>
      <c r="I2952" s="12"/>
      <c r="J2952" s="12"/>
      <c r="K2952" s="12"/>
      <c r="L2952" s="379"/>
      <c r="M2952" s="380"/>
      <c r="N2952" s="380"/>
      <c r="O2952" s="12"/>
      <c r="P2952" s="381"/>
      <c r="Q2952" s="12"/>
      <c r="R2952" s="12"/>
      <c r="S2952" s="382"/>
      <c r="T2952" s="383"/>
      <c r="U2952" s="384"/>
      <c r="V2952" s="12"/>
      <c r="W2952" s="12"/>
    </row>
    <row r="2953" spans="1:23" x14ac:dyDescent="0.3">
      <c r="A2953" s="193" t="str">
        <f ca="1"/>
        <v/>
      </c>
      <c r="B2953" s="378"/>
      <c r="C2953" s="315"/>
      <c r="D2953" s="316"/>
      <c r="E2953" s="315"/>
      <c r="F2953" s="315"/>
      <c r="G2953" s="315"/>
      <c r="H2953" s="153"/>
      <c r="I2953" s="12"/>
      <c r="J2953" s="12"/>
      <c r="K2953" s="12"/>
      <c r="L2953" s="379"/>
      <c r="M2953" s="380"/>
      <c r="N2953" s="380"/>
      <c r="O2953" s="12"/>
      <c r="P2953" s="381"/>
      <c r="Q2953" s="12"/>
      <c r="R2953" s="12"/>
      <c r="S2953" s="382"/>
      <c r="T2953" s="383"/>
      <c r="U2953" s="384"/>
      <c r="V2953" s="12"/>
      <c r="W2953" s="12"/>
    </row>
    <row r="2954" spans="1:23" x14ac:dyDescent="0.3">
      <c r="A2954" s="193" t="str">
        <f ca="1"/>
        <v/>
      </c>
      <c r="B2954" s="378"/>
      <c r="C2954" s="315"/>
      <c r="D2954" s="316"/>
      <c r="E2954" s="315"/>
      <c r="F2954" s="315"/>
      <c r="G2954" s="315"/>
      <c r="H2954" s="153"/>
      <c r="I2954" s="12"/>
      <c r="J2954" s="12"/>
      <c r="K2954" s="12"/>
      <c r="L2954" s="379"/>
      <c r="M2954" s="380"/>
      <c r="N2954" s="380"/>
      <c r="O2954" s="12"/>
      <c r="P2954" s="381"/>
      <c r="Q2954" s="12"/>
      <c r="R2954" s="12"/>
      <c r="S2954" s="382"/>
      <c r="T2954" s="383"/>
      <c r="U2954" s="384"/>
      <c r="V2954" s="12"/>
      <c r="W2954" s="12"/>
    </row>
    <row r="2955" spans="1:23" x14ac:dyDescent="0.3">
      <c r="A2955" s="193" t="str">
        <f ca="1"/>
        <v/>
      </c>
      <c r="B2955" s="378"/>
      <c r="C2955" s="315"/>
      <c r="D2955" s="316"/>
      <c r="E2955" s="315"/>
      <c r="F2955" s="315"/>
      <c r="G2955" s="315"/>
      <c r="H2955" s="153"/>
      <c r="I2955" s="12"/>
      <c r="J2955" s="12"/>
      <c r="K2955" s="12"/>
      <c r="L2955" s="379"/>
      <c r="M2955" s="380"/>
      <c r="N2955" s="380"/>
      <c r="O2955" s="12"/>
      <c r="P2955" s="381"/>
      <c r="Q2955" s="12"/>
      <c r="R2955" s="12"/>
      <c r="S2955" s="382"/>
      <c r="T2955" s="383"/>
      <c r="U2955" s="384"/>
      <c r="V2955" s="12"/>
      <c r="W2955" s="12"/>
    </row>
    <row r="2956" spans="1:23" x14ac:dyDescent="0.3">
      <c r="A2956" s="193" t="str">
        <f ca="1"/>
        <v/>
      </c>
      <c r="B2956" s="378"/>
      <c r="C2956" s="315"/>
      <c r="D2956" s="316"/>
      <c r="E2956" s="315"/>
      <c r="F2956" s="315"/>
      <c r="G2956" s="315"/>
      <c r="H2956" s="153"/>
      <c r="I2956" s="12"/>
      <c r="J2956" s="12"/>
      <c r="K2956" s="12"/>
      <c r="L2956" s="379"/>
      <c r="M2956" s="380"/>
      <c r="N2956" s="380"/>
      <c r="O2956" s="12"/>
      <c r="P2956" s="381"/>
      <c r="Q2956" s="12"/>
      <c r="R2956" s="12"/>
      <c r="S2956" s="382"/>
      <c r="T2956" s="383"/>
      <c r="U2956" s="384"/>
      <c r="V2956" s="12"/>
      <c r="W2956" s="12"/>
    </row>
    <row r="2957" spans="1:23" x14ac:dyDescent="0.3">
      <c r="A2957" s="193" t="str">
        <f ca="1"/>
        <v/>
      </c>
      <c r="B2957" s="378"/>
      <c r="C2957" s="315"/>
      <c r="D2957" s="316"/>
      <c r="E2957" s="315"/>
      <c r="F2957" s="315"/>
      <c r="G2957" s="315"/>
      <c r="H2957" s="153"/>
      <c r="I2957" s="12"/>
      <c r="J2957" s="12"/>
      <c r="K2957" s="12"/>
      <c r="L2957" s="379"/>
      <c r="M2957" s="380"/>
      <c r="N2957" s="380"/>
      <c r="O2957" s="12"/>
      <c r="P2957" s="381"/>
      <c r="Q2957" s="12"/>
      <c r="R2957" s="12"/>
      <c r="S2957" s="382"/>
      <c r="T2957" s="383"/>
      <c r="U2957" s="384"/>
      <c r="V2957" s="12"/>
      <c r="W2957" s="12"/>
    </row>
    <row r="2958" spans="1:23" x14ac:dyDescent="0.3">
      <c r="A2958" s="193" t="str">
        <f ca="1"/>
        <v/>
      </c>
      <c r="B2958" s="378"/>
      <c r="C2958" s="315"/>
      <c r="D2958" s="316"/>
      <c r="E2958" s="315"/>
      <c r="F2958" s="315"/>
      <c r="G2958" s="315"/>
      <c r="H2958" s="153"/>
      <c r="I2958" s="12"/>
      <c r="J2958" s="12"/>
      <c r="K2958" s="12"/>
      <c r="L2958" s="379"/>
      <c r="M2958" s="380"/>
      <c r="N2958" s="380"/>
      <c r="O2958" s="12"/>
      <c r="P2958" s="381"/>
      <c r="Q2958" s="12"/>
      <c r="R2958" s="12"/>
      <c r="S2958" s="382"/>
      <c r="T2958" s="383"/>
      <c r="U2958" s="384"/>
      <c r="V2958" s="12"/>
      <c r="W2958" s="12"/>
    </row>
    <row r="2959" spans="1:23" x14ac:dyDescent="0.3">
      <c r="A2959" s="193" t="str">
        <f ca="1"/>
        <v/>
      </c>
      <c r="B2959" s="378"/>
      <c r="C2959" s="315"/>
      <c r="D2959" s="316"/>
      <c r="E2959" s="315"/>
      <c r="F2959" s="315"/>
      <c r="G2959" s="315"/>
      <c r="H2959" s="153"/>
      <c r="I2959" s="12"/>
      <c r="J2959" s="12"/>
      <c r="K2959" s="12"/>
      <c r="L2959" s="379"/>
      <c r="M2959" s="380"/>
      <c r="N2959" s="380"/>
      <c r="O2959" s="12"/>
      <c r="P2959" s="381"/>
      <c r="Q2959" s="12"/>
      <c r="R2959" s="12"/>
      <c r="S2959" s="382"/>
      <c r="T2959" s="383"/>
      <c r="U2959" s="384"/>
      <c r="V2959" s="12"/>
      <c r="W2959" s="12"/>
    </row>
    <row r="2960" spans="1:23" x14ac:dyDescent="0.3">
      <c r="A2960" s="193" t="str">
        <f ca="1"/>
        <v/>
      </c>
      <c r="B2960" s="378"/>
      <c r="C2960" s="315"/>
      <c r="D2960" s="316"/>
      <c r="E2960" s="315"/>
      <c r="F2960" s="315"/>
      <c r="G2960" s="315"/>
      <c r="H2960" s="153"/>
      <c r="I2960" s="12"/>
      <c r="J2960" s="12"/>
      <c r="K2960" s="12"/>
      <c r="L2960" s="379"/>
      <c r="M2960" s="380"/>
      <c r="N2960" s="380"/>
      <c r="O2960" s="12"/>
      <c r="P2960" s="381"/>
      <c r="Q2960" s="12"/>
      <c r="R2960" s="12"/>
      <c r="S2960" s="382"/>
      <c r="T2960" s="383"/>
      <c r="U2960" s="384"/>
      <c r="V2960" s="12"/>
      <c r="W2960" s="12"/>
    </row>
    <row r="2961" spans="1:23" x14ac:dyDescent="0.3">
      <c r="A2961" s="193" t="str">
        <f ca="1"/>
        <v/>
      </c>
      <c r="B2961" s="378"/>
      <c r="C2961" s="315"/>
      <c r="D2961" s="316"/>
      <c r="E2961" s="315"/>
      <c r="F2961" s="315"/>
      <c r="G2961" s="315"/>
      <c r="H2961" s="153"/>
      <c r="I2961" s="12"/>
      <c r="J2961" s="12"/>
      <c r="K2961" s="12"/>
      <c r="L2961" s="379"/>
      <c r="M2961" s="380"/>
      <c r="N2961" s="380"/>
      <c r="O2961" s="12"/>
      <c r="P2961" s="381"/>
      <c r="Q2961" s="12"/>
      <c r="R2961" s="12"/>
      <c r="S2961" s="382"/>
      <c r="T2961" s="383"/>
      <c r="U2961" s="384"/>
      <c r="V2961" s="12"/>
      <c r="W2961" s="12"/>
    </row>
    <row r="2962" spans="1:23" x14ac:dyDescent="0.3">
      <c r="A2962" s="193" t="str">
        <f ca="1"/>
        <v/>
      </c>
      <c r="B2962" s="378"/>
      <c r="C2962" s="315"/>
      <c r="D2962" s="316"/>
      <c r="E2962" s="315"/>
      <c r="F2962" s="315"/>
      <c r="G2962" s="315"/>
      <c r="H2962" s="153"/>
      <c r="I2962" s="12"/>
      <c r="J2962" s="12"/>
      <c r="K2962" s="12"/>
      <c r="L2962" s="379"/>
      <c r="M2962" s="380"/>
      <c r="N2962" s="380"/>
      <c r="O2962" s="12"/>
      <c r="P2962" s="381"/>
      <c r="Q2962" s="12"/>
      <c r="R2962" s="12"/>
      <c r="S2962" s="382"/>
      <c r="T2962" s="383"/>
      <c r="U2962" s="384"/>
      <c r="V2962" s="12"/>
      <c r="W2962" s="12"/>
    </row>
    <row r="2963" spans="1:23" x14ac:dyDescent="0.3">
      <c r="A2963" s="193" t="str">
        <f ca="1"/>
        <v/>
      </c>
      <c r="B2963" s="378"/>
      <c r="C2963" s="315"/>
      <c r="D2963" s="316"/>
      <c r="E2963" s="315"/>
      <c r="F2963" s="315"/>
      <c r="G2963" s="315"/>
      <c r="H2963" s="153"/>
      <c r="I2963" s="12"/>
      <c r="J2963" s="12"/>
      <c r="K2963" s="12"/>
      <c r="L2963" s="379"/>
      <c r="M2963" s="380"/>
      <c r="N2963" s="380"/>
      <c r="O2963" s="12"/>
      <c r="P2963" s="381"/>
      <c r="Q2963" s="12"/>
      <c r="R2963" s="12"/>
      <c r="S2963" s="382"/>
      <c r="T2963" s="383"/>
      <c r="U2963" s="384"/>
      <c r="V2963" s="12"/>
      <c r="W2963" s="12"/>
    </row>
    <row r="2964" spans="1:23" x14ac:dyDescent="0.3">
      <c r="A2964" s="193" t="str">
        <f ca="1"/>
        <v/>
      </c>
      <c r="B2964" s="378"/>
      <c r="C2964" s="315"/>
      <c r="D2964" s="316"/>
      <c r="E2964" s="315"/>
      <c r="F2964" s="315"/>
      <c r="G2964" s="315"/>
      <c r="H2964" s="153"/>
      <c r="I2964" s="12"/>
      <c r="J2964" s="12"/>
      <c r="K2964" s="12"/>
      <c r="L2964" s="379"/>
      <c r="M2964" s="380"/>
      <c r="N2964" s="380"/>
      <c r="O2964" s="12"/>
      <c r="P2964" s="381"/>
      <c r="Q2964" s="12"/>
      <c r="R2964" s="12"/>
      <c r="S2964" s="382"/>
      <c r="T2964" s="383"/>
      <c r="U2964" s="384"/>
      <c r="V2964" s="12"/>
      <c r="W2964" s="12"/>
    </row>
    <row r="2965" spans="1:23" x14ac:dyDescent="0.3">
      <c r="A2965" s="193" t="str">
        <f ca="1"/>
        <v/>
      </c>
      <c r="B2965" s="378"/>
      <c r="C2965" s="315"/>
      <c r="D2965" s="316"/>
      <c r="E2965" s="315"/>
      <c r="F2965" s="315"/>
      <c r="G2965" s="315"/>
      <c r="H2965" s="153"/>
      <c r="I2965" s="12"/>
      <c r="J2965" s="12"/>
      <c r="K2965" s="12"/>
      <c r="L2965" s="379"/>
      <c r="M2965" s="380"/>
      <c r="N2965" s="380"/>
      <c r="O2965" s="12"/>
      <c r="P2965" s="381"/>
      <c r="Q2965" s="12"/>
      <c r="R2965" s="12"/>
      <c r="S2965" s="382"/>
      <c r="T2965" s="383"/>
      <c r="U2965" s="384"/>
      <c r="V2965" s="12"/>
      <c r="W2965" s="12"/>
    </row>
    <row r="2966" spans="1:23" x14ac:dyDescent="0.3">
      <c r="A2966" s="193" t="str">
        <f ca="1"/>
        <v/>
      </c>
      <c r="B2966" s="378"/>
      <c r="C2966" s="315"/>
      <c r="D2966" s="316"/>
      <c r="E2966" s="315"/>
      <c r="F2966" s="315"/>
      <c r="G2966" s="315"/>
      <c r="H2966" s="153"/>
      <c r="I2966" s="12"/>
      <c r="J2966" s="12"/>
      <c r="K2966" s="12"/>
      <c r="L2966" s="379"/>
      <c r="M2966" s="380"/>
      <c r="N2966" s="380"/>
      <c r="O2966" s="12"/>
      <c r="P2966" s="381"/>
      <c r="Q2966" s="12"/>
      <c r="R2966" s="12"/>
      <c r="S2966" s="382"/>
      <c r="T2966" s="383"/>
      <c r="U2966" s="384"/>
      <c r="V2966" s="12"/>
      <c r="W2966" s="12"/>
    </row>
    <row r="2967" spans="1:23" x14ac:dyDescent="0.3">
      <c r="A2967" s="193" t="str">
        <f ca="1"/>
        <v/>
      </c>
      <c r="B2967" s="378"/>
      <c r="C2967" s="315"/>
      <c r="D2967" s="316"/>
      <c r="E2967" s="315"/>
      <c r="F2967" s="315"/>
      <c r="G2967" s="315"/>
      <c r="H2967" s="153"/>
      <c r="I2967" s="12"/>
      <c r="J2967" s="12"/>
      <c r="K2967" s="12"/>
      <c r="L2967" s="379"/>
      <c r="M2967" s="380"/>
      <c r="N2967" s="380"/>
      <c r="O2967" s="12"/>
      <c r="P2967" s="381"/>
      <c r="Q2967" s="12"/>
      <c r="R2967" s="12"/>
      <c r="S2967" s="382"/>
      <c r="T2967" s="383"/>
      <c r="U2967" s="384"/>
      <c r="V2967" s="12"/>
      <c r="W2967" s="12"/>
    </row>
    <row r="2968" spans="1:23" x14ac:dyDescent="0.3">
      <c r="A2968" s="193" t="str">
        <f ca="1"/>
        <v/>
      </c>
      <c r="B2968" s="378"/>
      <c r="C2968" s="315"/>
      <c r="D2968" s="316"/>
      <c r="E2968" s="315"/>
      <c r="F2968" s="315"/>
      <c r="G2968" s="315"/>
      <c r="H2968" s="153"/>
      <c r="I2968" s="12"/>
      <c r="J2968" s="12"/>
      <c r="K2968" s="12"/>
      <c r="L2968" s="379"/>
      <c r="M2968" s="380"/>
      <c r="N2968" s="380"/>
      <c r="O2968" s="12"/>
      <c r="P2968" s="381"/>
      <c r="Q2968" s="12"/>
      <c r="R2968" s="12"/>
      <c r="S2968" s="382"/>
      <c r="T2968" s="383"/>
      <c r="U2968" s="384"/>
      <c r="V2968" s="12"/>
      <c r="W2968" s="12"/>
    </row>
    <row r="2969" spans="1:23" x14ac:dyDescent="0.3">
      <c r="A2969" s="193" t="str">
        <f ca="1"/>
        <v/>
      </c>
      <c r="B2969" s="378"/>
      <c r="C2969" s="315"/>
      <c r="D2969" s="316"/>
      <c r="E2969" s="315"/>
      <c r="F2969" s="315"/>
      <c r="G2969" s="315"/>
      <c r="H2969" s="153"/>
      <c r="I2969" s="12"/>
      <c r="J2969" s="12"/>
      <c r="K2969" s="12"/>
      <c r="L2969" s="379"/>
      <c r="M2969" s="380"/>
      <c r="N2969" s="380"/>
      <c r="O2969" s="12"/>
      <c r="P2969" s="381"/>
      <c r="Q2969" s="12"/>
      <c r="R2969" s="12"/>
      <c r="S2969" s="382"/>
      <c r="T2969" s="383"/>
      <c r="U2969" s="384"/>
      <c r="V2969" s="12"/>
      <c r="W2969" s="12"/>
    </row>
    <row r="2970" spans="1:23" x14ac:dyDescent="0.3">
      <c r="A2970" s="193" t="str">
        <f ca="1"/>
        <v/>
      </c>
      <c r="B2970" s="378"/>
      <c r="C2970" s="315"/>
      <c r="D2970" s="316"/>
      <c r="E2970" s="315"/>
      <c r="F2970" s="315"/>
      <c r="G2970" s="315"/>
      <c r="H2970" s="153"/>
      <c r="I2970" s="12"/>
      <c r="J2970" s="12"/>
      <c r="K2970" s="12"/>
      <c r="L2970" s="379"/>
      <c r="M2970" s="380"/>
      <c r="N2970" s="380"/>
      <c r="O2970" s="12"/>
      <c r="P2970" s="381"/>
      <c r="Q2970" s="12"/>
      <c r="R2970" s="12"/>
      <c r="S2970" s="382"/>
      <c r="T2970" s="383"/>
      <c r="U2970" s="384"/>
      <c r="V2970" s="12"/>
      <c r="W2970" s="12"/>
    </row>
    <row r="2971" spans="1:23" x14ac:dyDescent="0.3">
      <c r="A2971" s="193" t="str">
        <f ca="1"/>
        <v/>
      </c>
      <c r="B2971" s="378"/>
      <c r="C2971" s="315"/>
      <c r="D2971" s="316"/>
      <c r="E2971" s="315"/>
      <c r="F2971" s="315"/>
      <c r="G2971" s="315"/>
      <c r="H2971" s="153"/>
      <c r="I2971" s="12"/>
      <c r="J2971" s="12"/>
      <c r="K2971" s="12"/>
      <c r="L2971" s="379"/>
      <c r="M2971" s="380"/>
      <c r="N2971" s="380"/>
      <c r="O2971" s="12"/>
      <c r="P2971" s="381"/>
      <c r="Q2971" s="12"/>
      <c r="R2971" s="12"/>
      <c r="S2971" s="382"/>
      <c r="T2971" s="383"/>
      <c r="U2971" s="384"/>
      <c r="V2971" s="12"/>
      <c r="W2971" s="12"/>
    </row>
    <row r="2972" spans="1:23" x14ac:dyDescent="0.3">
      <c r="A2972" s="193" t="str">
        <f ca="1"/>
        <v/>
      </c>
      <c r="B2972" s="378"/>
      <c r="C2972" s="315"/>
      <c r="D2972" s="316"/>
      <c r="E2972" s="315"/>
      <c r="F2972" s="315"/>
      <c r="G2972" s="315"/>
      <c r="H2972" s="153"/>
      <c r="I2972" s="12"/>
      <c r="J2972" s="12"/>
      <c r="K2972" s="12"/>
      <c r="L2972" s="379"/>
      <c r="M2972" s="380"/>
      <c r="N2972" s="380"/>
      <c r="O2972" s="12"/>
      <c r="P2972" s="381"/>
      <c r="Q2972" s="12"/>
      <c r="R2972" s="12"/>
      <c r="S2972" s="382"/>
      <c r="T2972" s="383"/>
      <c r="U2972" s="384"/>
      <c r="V2972" s="12"/>
      <c r="W2972" s="12"/>
    </row>
    <row r="2973" spans="1:23" x14ac:dyDescent="0.3">
      <c r="A2973" s="193" t="str">
        <f ca="1"/>
        <v/>
      </c>
      <c r="B2973" s="378"/>
      <c r="C2973" s="315"/>
      <c r="D2973" s="316"/>
      <c r="E2973" s="315"/>
      <c r="F2973" s="315"/>
      <c r="G2973" s="315"/>
      <c r="H2973" s="153"/>
      <c r="I2973" s="12"/>
      <c r="J2973" s="12"/>
      <c r="K2973" s="12"/>
      <c r="L2973" s="379"/>
      <c r="M2973" s="380"/>
      <c r="N2973" s="380"/>
      <c r="O2973" s="12"/>
      <c r="P2973" s="381"/>
      <c r="Q2973" s="12"/>
      <c r="R2973" s="12"/>
      <c r="S2973" s="382"/>
      <c r="T2973" s="383"/>
      <c r="U2973" s="384"/>
      <c r="V2973" s="12"/>
      <c r="W2973" s="12"/>
    </row>
    <row r="2974" spans="1:23" x14ac:dyDescent="0.3">
      <c r="A2974" s="193" t="str">
        <f ca="1"/>
        <v/>
      </c>
      <c r="B2974" s="378"/>
      <c r="C2974" s="315"/>
      <c r="D2974" s="316"/>
      <c r="E2974" s="315"/>
      <c r="F2974" s="315"/>
      <c r="G2974" s="315"/>
      <c r="H2974" s="153"/>
      <c r="I2974" s="12"/>
      <c r="J2974" s="12"/>
      <c r="K2974" s="12"/>
      <c r="L2974" s="379"/>
      <c r="M2974" s="380"/>
      <c r="N2974" s="380"/>
      <c r="O2974" s="12"/>
      <c r="P2974" s="381"/>
      <c r="Q2974" s="12"/>
      <c r="R2974" s="12"/>
      <c r="S2974" s="382"/>
      <c r="T2974" s="383"/>
      <c r="U2974" s="384"/>
      <c r="V2974" s="12"/>
      <c r="W2974" s="12"/>
    </row>
    <row r="2975" spans="1:23" x14ac:dyDescent="0.3">
      <c r="A2975" s="193" t="str">
        <f ca="1"/>
        <v/>
      </c>
      <c r="B2975" s="378"/>
      <c r="C2975" s="315"/>
      <c r="D2975" s="316"/>
      <c r="E2975" s="315"/>
      <c r="F2975" s="315"/>
      <c r="G2975" s="315"/>
      <c r="H2975" s="153"/>
      <c r="I2975" s="12"/>
      <c r="J2975" s="12"/>
      <c r="K2975" s="12"/>
      <c r="L2975" s="379"/>
      <c r="M2975" s="380"/>
      <c r="N2975" s="380"/>
      <c r="O2975" s="12"/>
      <c r="P2975" s="381"/>
      <c r="Q2975" s="12"/>
      <c r="R2975" s="12"/>
      <c r="S2975" s="382"/>
      <c r="T2975" s="383"/>
      <c r="U2975" s="384"/>
      <c r="V2975" s="12"/>
      <c r="W2975" s="12"/>
    </row>
    <row r="2976" spans="1:23" x14ac:dyDescent="0.3">
      <c r="A2976" s="193" t="str">
        <f ca="1"/>
        <v/>
      </c>
      <c r="B2976" s="378"/>
      <c r="C2976" s="315"/>
      <c r="D2976" s="316"/>
      <c r="E2976" s="315"/>
      <c r="F2976" s="315"/>
      <c r="G2976" s="315"/>
      <c r="H2976" s="153"/>
      <c r="I2976" s="12"/>
      <c r="J2976" s="12"/>
      <c r="K2976" s="12"/>
      <c r="L2976" s="379"/>
      <c r="M2976" s="380"/>
      <c r="N2976" s="380"/>
      <c r="O2976" s="12"/>
      <c r="P2976" s="381"/>
      <c r="Q2976" s="12"/>
      <c r="R2976" s="12"/>
      <c r="S2976" s="382"/>
      <c r="T2976" s="383"/>
      <c r="U2976" s="384"/>
      <c r="V2976" s="12"/>
      <c r="W2976" s="12"/>
    </row>
    <row r="2977" spans="1:23" x14ac:dyDescent="0.3">
      <c r="A2977" s="193" t="str">
        <f ca="1"/>
        <v/>
      </c>
      <c r="B2977" s="378"/>
      <c r="C2977" s="315"/>
      <c r="D2977" s="316"/>
      <c r="E2977" s="315"/>
      <c r="F2977" s="315"/>
      <c r="G2977" s="315"/>
      <c r="H2977" s="153"/>
      <c r="I2977" s="12"/>
      <c r="J2977" s="12"/>
      <c r="K2977" s="12"/>
      <c r="L2977" s="379"/>
      <c r="M2977" s="380"/>
      <c r="N2977" s="380"/>
      <c r="O2977" s="12"/>
      <c r="P2977" s="381"/>
      <c r="Q2977" s="12"/>
      <c r="R2977" s="12"/>
      <c r="S2977" s="382"/>
      <c r="T2977" s="383"/>
      <c r="U2977" s="384"/>
      <c r="V2977" s="12"/>
      <c r="W2977" s="12"/>
    </row>
    <row r="2978" spans="1:23" x14ac:dyDescent="0.3">
      <c r="A2978" s="193" t="str">
        <f ca="1"/>
        <v/>
      </c>
      <c r="B2978" s="378"/>
      <c r="C2978" s="315"/>
      <c r="D2978" s="316"/>
      <c r="E2978" s="315"/>
      <c r="F2978" s="315"/>
      <c r="G2978" s="315"/>
      <c r="H2978" s="153"/>
      <c r="I2978" s="12"/>
      <c r="J2978" s="12"/>
      <c r="K2978" s="12"/>
      <c r="L2978" s="379"/>
      <c r="M2978" s="380"/>
      <c r="N2978" s="380"/>
      <c r="O2978" s="12"/>
      <c r="P2978" s="381"/>
      <c r="Q2978" s="12"/>
      <c r="R2978" s="12"/>
      <c r="S2978" s="382"/>
      <c r="T2978" s="383"/>
      <c r="U2978" s="384"/>
      <c r="V2978" s="12"/>
      <c r="W2978" s="12"/>
    </row>
    <row r="2979" spans="1:23" x14ac:dyDescent="0.3">
      <c r="A2979" s="193" t="str">
        <f ca="1"/>
        <v/>
      </c>
      <c r="B2979" s="378"/>
      <c r="C2979" s="315"/>
      <c r="D2979" s="316"/>
      <c r="E2979" s="315"/>
      <c r="F2979" s="315"/>
      <c r="G2979" s="315"/>
      <c r="H2979" s="153"/>
      <c r="I2979" s="12"/>
      <c r="J2979" s="12"/>
      <c r="K2979" s="12"/>
      <c r="L2979" s="379"/>
      <c r="M2979" s="380"/>
      <c r="N2979" s="380"/>
      <c r="O2979" s="12"/>
      <c r="P2979" s="381"/>
      <c r="Q2979" s="12"/>
      <c r="R2979" s="12"/>
      <c r="S2979" s="382"/>
      <c r="T2979" s="383"/>
      <c r="U2979" s="384"/>
      <c r="V2979" s="12"/>
      <c r="W2979" s="12"/>
    </row>
    <row r="2980" spans="1:23" x14ac:dyDescent="0.3">
      <c r="A2980" s="193" t="str">
        <f ca="1"/>
        <v/>
      </c>
      <c r="B2980" s="378"/>
      <c r="C2980" s="315"/>
      <c r="D2980" s="316"/>
      <c r="E2980" s="315"/>
      <c r="F2980" s="315"/>
      <c r="G2980" s="315"/>
      <c r="H2980" s="153"/>
      <c r="I2980" s="12"/>
      <c r="J2980" s="12"/>
      <c r="K2980" s="12"/>
      <c r="L2980" s="379"/>
      <c r="M2980" s="380"/>
      <c r="N2980" s="380"/>
      <c r="O2980" s="12"/>
      <c r="P2980" s="381"/>
      <c r="Q2980" s="12"/>
      <c r="R2980" s="12"/>
      <c r="S2980" s="382"/>
      <c r="T2980" s="383"/>
      <c r="U2980" s="384"/>
      <c r="V2980" s="12"/>
      <c r="W2980" s="12"/>
    </row>
    <row r="2981" spans="1:23" x14ac:dyDescent="0.3">
      <c r="A2981" s="193" t="str">
        <f ca="1"/>
        <v/>
      </c>
      <c r="B2981" s="378"/>
      <c r="C2981" s="315"/>
      <c r="D2981" s="316"/>
      <c r="E2981" s="315"/>
      <c r="F2981" s="315"/>
      <c r="G2981" s="315"/>
      <c r="H2981" s="153"/>
      <c r="I2981" s="12"/>
      <c r="J2981" s="12"/>
      <c r="K2981" s="12"/>
      <c r="L2981" s="379"/>
      <c r="M2981" s="380"/>
      <c r="N2981" s="380"/>
      <c r="O2981" s="12"/>
      <c r="P2981" s="381"/>
      <c r="Q2981" s="12"/>
      <c r="R2981" s="12"/>
      <c r="S2981" s="382"/>
      <c r="T2981" s="383"/>
      <c r="U2981" s="384"/>
      <c r="V2981" s="12"/>
      <c r="W2981" s="12"/>
    </row>
    <row r="2982" spans="1:23" x14ac:dyDescent="0.3">
      <c r="A2982" s="193" t="str">
        <f ca="1"/>
        <v/>
      </c>
      <c r="B2982" s="378"/>
      <c r="C2982" s="315"/>
      <c r="D2982" s="316"/>
      <c r="E2982" s="315"/>
      <c r="F2982" s="315"/>
      <c r="G2982" s="315"/>
      <c r="H2982" s="153"/>
      <c r="I2982" s="12"/>
      <c r="J2982" s="12"/>
      <c r="K2982" s="12"/>
      <c r="L2982" s="379"/>
      <c r="M2982" s="380"/>
      <c r="N2982" s="380"/>
      <c r="O2982" s="12"/>
      <c r="P2982" s="381"/>
      <c r="Q2982" s="12"/>
      <c r="R2982" s="12"/>
      <c r="S2982" s="382"/>
      <c r="T2982" s="383"/>
      <c r="U2982" s="384"/>
      <c r="V2982" s="12"/>
      <c r="W2982" s="12"/>
    </row>
    <row r="2983" spans="1:23" x14ac:dyDescent="0.3">
      <c r="A2983" s="193" t="str">
        <f ca="1"/>
        <v/>
      </c>
      <c r="B2983" s="378"/>
      <c r="C2983" s="315"/>
      <c r="D2983" s="316"/>
      <c r="E2983" s="315"/>
      <c r="F2983" s="315"/>
      <c r="G2983" s="315"/>
      <c r="H2983" s="153"/>
      <c r="I2983" s="12"/>
      <c r="J2983" s="12"/>
      <c r="K2983" s="12"/>
      <c r="L2983" s="379"/>
      <c r="M2983" s="380"/>
      <c r="N2983" s="380"/>
      <c r="O2983" s="12"/>
      <c r="P2983" s="381"/>
      <c r="Q2983" s="12"/>
      <c r="R2983" s="12"/>
      <c r="S2983" s="382"/>
      <c r="T2983" s="383"/>
      <c r="U2983" s="384"/>
      <c r="V2983" s="12"/>
      <c r="W2983" s="12"/>
    </row>
    <row r="2984" spans="1:23" x14ac:dyDescent="0.3">
      <c r="A2984" s="193" t="str">
        <f ca="1"/>
        <v/>
      </c>
      <c r="B2984" s="378"/>
      <c r="C2984" s="315"/>
      <c r="D2984" s="316"/>
      <c r="E2984" s="315"/>
      <c r="F2984" s="315"/>
      <c r="G2984" s="315"/>
      <c r="H2984" s="153"/>
      <c r="I2984" s="12"/>
      <c r="J2984" s="12"/>
      <c r="K2984" s="12"/>
      <c r="L2984" s="379"/>
      <c r="M2984" s="380"/>
      <c r="N2984" s="380"/>
      <c r="O2984" s="12"/>
      <c r="P2984" s="381"/>
      <c r="Q2984" s="12"/>
      <c r="R2984" s="12"/>
      <c r="S2984" s="382"/>
      <c r="T2984" s="383"/>
      <c r="U2984" s="384"/>
      <c r="V2984" s="12"/>
      <c r="W2984" s="12"/>
    </row>
    <row r="2985" spans="1:23" x14ac:dyDescent="0.3">
      <c r="A2985" s="193" t="str">
        <f ca="1"/>
        <v/>
      </c>
      <c r="B2985" s="378"/>
      <c r="C2985" s="315"/>
      <c r="D2985" s="316"/>
      <c r="E2985" s="315"/>
      <c r="F2985" s="315"/>
      <c r="G2985" s="315"/>
      <c r="H2985" s="153"/>
      <c r="I2985" s="12"/>
      <c r="J2985" s="12"/>
      <c r="K2985" s="12"/>
      <c r="L2985" s="379"/>
      <c r="M2985" s="380"/>
      <c r="N2985" s="380"/>
      <c r="O2985" s="12"/>
      <c r="P2985" s="381"/>
      <c r="Q2985" s="12"/>
      <c r="R2985" s="12"/>
      <c r="S2985" s="382"/>
      <c r="T2985" s="383"/>
      <c r="U2985" s="384"/>
      <c r="V2985" s="12"/>
      <c r="W2985" s="12"/>
    </row>
    <row r="2986" spans="1:23" x14ac:dyDescent="0.3">
      <c r="A2986" s="193" t="str">
        <f ca="1"/>
        <v/>
      </c>
      <c r="B2986" s="378"/>
      <c r="C2986" s="315"/>
      <c r="D2986" s="316"/>
      <c r="E2986" s="315"/>
      <c r="F2986" s="315"/>
      <c r="G2986" s="315"/>
      <c r="H2986" s="153"/>
      <c r="I2986" s="12"/>
      <c r="J2986" s="12"/>
      <c r="K2986" s="12"/>
      <c r="L2986" s="379"/>
      <c r="M2986" s="380"/>
      <c r="N2986" s="380"/>
      <c r="O2986" s="12"/>
      <c r="P2986" s="381"/>
      <c r="Q2986" s="12"/>
      <c r="R2986" s="12"/>
      <c r="S2986" s="382"/>
      <c r="T2986" s="383"/>
      <c r="U2986" s="384"/>
      <c r="V2986" s="12"/>
      <c r="W2986" s="12"/>
    </row>
    <row r="2987" spans="1:23" x14ac:dyDescent="0.3">
      <c r="A2987" s="193" t="str">
        <f ca="1"/>
        <v/>
      </c>
      <c r="B2987" s="378"/>
      <c r="C2987" s="315"/>
      <c r="D2987" s="316"/>
      <c r="E2987" s="315"/>
      <c r="F2987" s="315"/>
      <c r="G2987" s="315"/>
      <c r="H2987" s="153"/>
      <c r="I2987" s="12"/>
      <c r="J2987" s="12"/>
      <c r="K2987" s="12"/>
      <c r="L2987" s="379"/>
      <c r="M2987" s="380"/>
      <c r="N2987" s="380"/>
      <c r="O2987" s="12"/>
      <c r="P2987" s="381"/>
      <c r="Q2987" s="12"/>
      <c r="R2987" s="12"/>
      <c r="S2987" s="382"/>
      <c r="T2987" s="383"/>
      <c r="U2987" s="384"/>
      <c r="V2987" s="12"/>
      <c r="W2987" s="12"/>
    </row>
    <row r="2988" spans="1:23" x14ac:dyDescent="0.3">
      <c r="A2988" s="193" t="str">
        <f ca="1"/>
        <v/>
      </c>
      <c r="B2988" s="378"/>
      <c r="C2988" s="315"/>
      <c r="D2988" s="316"/>
      <c r="E2988" s="315"/>
      <c r="F2988" s="315"/>
      <c r="G2988" s="315"/>
      <c r="H2988" s="153"/>
      <c r="I2988" s="12"/>
      <c r="J2988" s="12"/>
      <c r="K2988" s="12"/>
      <c r="L2988" s="379"/>
      <c r="M2988" s="380"/>
      <c r="N2988" s="380"/>
      <c r="O2988" s="12"/>
      <c r="P2988" s="381"/>
      <c r="Q2988" s="12"/>
      <c r="R2988" s="12"/>
      <c r="S2988" s="382"/>
      <c r="T2988" s="383"/>
      <c r="U2988" s="384"/>
      <c r="V2988" s="12"/>
      <c r="W2988" s="12"/>
    </row>
    <row r="2989" spans="1:23" x14ac:dyDescent="0.3">
      <c r="A2989" s="193" t="str">
        <f ca="1"/>
        <v/>
      </c>
      <c r="B2989" s="378"/>
      <c r="C2989" s="315"/>
      <c r="D2989" s="316"/>
      <c r="E2989" s="315"/>
      <c r="F2989" s="315"/>
      <c r="G2989" s="315"/>
      <c r="H2989" s="153"/>
      <c r="I2989" s="12"/>
      <c r="J2989" s="12"/>
      <c r="K2989" s="12"/>
      <c r="L2989" s="379"/>
      <c r="M2989" s="380"/>
      <c r="N2989" s="380"/>
      <c r="O2989" s="12"/>
      <c r="P2989" s="381"/>
      <c r="Q2989" s="12"/>
      <c r="R2989" s="12"/>
      <c r="S2989" s="382"/>
      <c r="T2989" s="383"/>
      <c r="U2989" s="384"/>
      <c r="V2989" s="12"/>
      <c r="W2989" s="12"/>
    </row>
    <row r="2990" spans="1:23" x14ac:dyDescent="0.3">
      <c r="A2990" s="193" t="str">
        <f ca="1"/>
        <v/>
      </c>
      <c r="B2990" s="378"/>
      <c r="C2990" s="315"/>
      <c r="D2990" s="316"/>
      <c r="E2990" s="315"/>
      <c r="F2990" s="315"/>
      <c r="G2990" s="315"/>
      <c r="H2990" s="153"/>
      <c r="I2990" s="12"/>
      <c r="J2990" s="12"/>
      <c r="K2990" s="12"/>
      <c r="L2990" s="379"/>
      <c r="M2990" s="380"/>
      <c r="N2990" s="380"/>
      <c r="O2990" s="12"/>
      <c r="P2990" s="381"/>
      <c r="Q2990" s="12"/>
      <c r="R2990" s="12"/>
      <c r="S2990" s="382"/>
      <c r="T2990" s="383"/>
      <c r="U2990" s="384"/>
      <c r="V2990" s="12"/>
      <c r="W2990" s="12"/>
    </row>
    <row r="2991" spans="1:23" x14ac:dyDescent="0.3">
      <c r="A2991" s="193" t="str">
        <f ca="1"/>
        <v/>
      </c>
      <c r="B2991" s="378"/>
      <c r="C2991" s="315"/>
      <c r="D2991" s="316"/>
      <c r="E2991" s="315"/>
      <c r="F2991" s="315"/>
      <c r="G2991" s="315"/>
      <c r="H2991" s="153"/>
      <c r="I2991" s="12"/>
      <c r="J2991" s="12"/>
      <c r="K2991" s="12"/>
      <c r="L2991" s="379"/>
      <c r="M2991" s="380"/>
      <c r="N2991" s="380"/>
      <c r="O2991" s="12"/>
      <c r="P2991" s="381"/>
      <c r="Q2991" s="12"/>
      <c r="R2991" s="12"/>
      <c r="S2991" s="382"/>
      <c r="T2991" s="383"/>
      <c r="U2991" s="384"/>
      <c r="V2991" s="12"/>
      <c r="W2991" s="12"/>
    </row>
    <row r="2992" spans="1:23" x14ac:dyDescent="0.3">
      <c r="A2992" s="193" t="str">
        <f ca="1"/>
        <v/>
      </c>
      <c r="B2992" s="378"/>
      <c r="C2992" s="315"/>
      <c r="D2992" s="316"/>
      <c r="E2992" s="315"/>
      <c r="F2992" s="315"/>
      <c r="G2992" s="315"/>
      <c r="H2992" s="153"/>
      <c r="I2992" s="12"/>
      <c r="J2992" s="12"/>
      <c r="K2992" s="12"/>
      <c r="L2992" s="379"/>
      <c r="M2992" s="380"/>
      <c r="N2992" s="380"/>
      <c r="O2992" s="12"/>
      <c r="P2992" s="381"/>
      <c r="Q2992" s="12"/>
      <c r="R2992" s="12"/>
      <c r="S2992" s="382"/>
      <c r="T2992" s="383"/>
      <c r="U2992" s="384"/>
      <c r="V2992" s="12"/>
      <c r="W2992" s="12"/>
    </row>
    <row r="2993" spans="1:23" x14ac:dyDescent="0.3">
      <c r="A2993" s="193" t="str">
        <f ca="1"/>
        <v/>
      </c>
      <c r="B2993" s="378"/>
      <c r="C2993" s="315"/>
      <c r="D2993" s="316"/>
      <c r="E2993" s="315"/>
      <c r="F2993" s="315"/>
      <c r="G2993" s="315"/>
      <c r="H2993" s="153"/>
      <c r="I2993" s="12"/>
      <c r="J2993" s="12"/>
      <c r="K2993" s="12"/>
      <c r="L2993" s="379"/>
      <c r="M2993" s="380"/>
      <c r="N2993" s="380"/>
      <c r="O2993" s="12"/>
      <c r="P2993" s="381"/>
      <c r="Q2993" s="12"/>
      <c r="R2993" s="12"/>
      <c r="S2993" s="382"/>
      <c r="T2993" s="383"/>
      <c r="U2993" s="384"/>
      <c r="V2993" s="12"/>
      <c r="W2993" s="12"/>
    </row>
    <row r="2994" spans="1:23" x14ac:dyDescent="0.3">
      <c r="A2994" s="193" t="str">
        <f ca="1"/>
        <v/>
      </c>
      <c r="B2994" s="378"/>
      <c r="C2994" s="315"/>
      <c r="D2994" s="316"/>
      <c r="E2994" s="315"/>
      <c r="F2994" s="315"/>
      <c r="G2994" s="315"/>
      <c r="H2994" s="153"/>
      <c r="I2994" s="12"/>
      <c r="J2994" s="12"/>
      <c r="K2994" s="12"/>
      <c r="L2994" s="379"/>
      <c r="M2994" s="380"/>
      <c r="N2994" s="380"/>
      <c r="O2994" s="12"/>
      <c r="P2994" s="381"/>
      <c r="Q2994" s="12"/>
      <c r="R2994" s="12"/>
      <c r="S2994" s="382"/>
      <c r="T2994" s="383"/>
      <c r="U2994" s="384"/>
      <c r="V2994" s="12"/>
      <c r="W2994" s="12"/>
    </row>
    <row r="2995" spans="1:23" x14ac:dyDescent="0.3">
      <c r="A2995" s="193" t="str">
        <f ca="1"/>
        <v/>
      </c>
      <c r="B2995" s="378"/>
      <c r="C2995" s="315"/>
      <c r="D2995" s="316"/>
      <c r="E2995" s="315"/>
      <c r="F2995" s="315"/>
      <c r="G2995" s="315"/>
      <c r="H2995" s="153"/>
      <c r="I2995" s="12"/>
      <c r="J2995" s="12"/>
      <c r="K2995" s="12"/>
      <c r="L2995" s="379"/>
      <c r="M2995" s="380"/>
      <c r="N2995" s="380"/>
      <c r="O2995" s="12"/>
      <c r="P2995" s="381"/>
      <c r="Q2995" s="12"/>
      <c r="R2995" s="12"/>
      <c r="S2995" s="382"/>
      <c r="T2995" s="383"/>
      <c r="U2995" s="384"/>
      <c r="V2995" s="12"/>
      <c r="W2995" s="12"/>
    </row>
    <row r="2996" spans="1:23" x14ac:dyDescent="0.3">
      <c r="A2996" s="193" t="str">
        <f ca="1"/>
        <v/>
      </c>
      <c r="B2996" s="378"/>
      <c r="C2996" s="315"/>
      <c r="D2996" s="316"/>
      <c r="E2996" s="315"/>
      <c r="F2996" s="315"/>
      <c r="G2996" s="315"/>
      <c r="H2996" s="153"/>
      <c r="I2996" s="12"/>
      <c r="J2996" s="12"/>
      <c r="K2996" s="12"/>
      <c r="L2996" s="379"/>
      <c r="M2996" s="380"/>
      <c r="N2996" s="380"/>
      <c r="O2996" s="12"/>
      <c r="P2996" s="381"/>
      <c r="Q2996" s="12"/>
      <c r="R2996" s="12"/>
      <c r="S2996" s="382"/>
      <c r="T2996" s="383"/>
      <c r="U2996" s="384"/>
      <c r="V2996" s="12"/>
      <c r="W2996" s="12"/>
    </row>
    <row r="2997" spans="1:23" x14ac:dyDescent="0.3">
      <c r="A2997" s="193" t="str">
        <f ca="1"/>
        <v/>
      </c>
      <c r="B2997" s="378"/>
      <c r="C2997" s="315"/>
      <c r="D2997" s="316"/>
      <c r="E2997" s="315"/>
      <c r="F2997" s="315"/>
      <c r="G2997" s="315"/>
      <c r="H2997" s="153"/>
      <c r="I2997" s="12"/>
      <c r="J2997" s="12"/>
      <c r="K2997" s="12"/>
      <c r="L2997" s="379"/>
      <c r="M2997" s="380"/>
      <c r="N2997" s="380"/>
      <c r="O2997" s="12"/>
      <c r="P2997" s="381"/>
      <c r="Q2997" s="12"/>
      <c r="R2997" s="12"/>
      <c r="S2997" s="382"/>
      <c r="T2997" s="383"/>
      <c r="U2997" s="384"/>
      <c r="V2997" s="12"/>
      <c r="W2997" s="12"/>
    </row>
    <row r="2998" spans="1:23" x14ac:dyDescent="0.3">
      <c r="A2998" s="193" t="str">
        <f ca="1"/>
        <v/>
      </c>
      <c r="B2998" s="378"/>
      <c r="C2998" s="315"/>
      <c r="D2998" s="316"/>
      <c r="E2998" s="315"/>
      <c r="F2998" s="315"/>
      <c r="G2998" s="315"/>
      <c r="H2998" s="153"/>
      <c r="I2998" s="12"/>
      <c r="J2998" s="12"/>
      <c r="K2998" s="12"/>
      <c r="L2998" s="379"/>
      <c r="M2998" s="380"/>
      <c r="N2998" s="380"/>
      <c r="O2998" s="12"/>
      <c r="P2998" s="381"/>
      <c r="Q2998" s="12"/>
      <c r="R2998" s="12"/>
      <c r="S2998" s="382"/>
      <c r="T2998" s="383"/>
      <c r="U2998" s="384"/>
      <c r="V2998" s="12"/>
      <c r="W2998" s="12"/>
    </row>
    <row r="2999" spans="1:23" x14ac:dyDescent="0.3">
      <c r="A2999" s="193" t="str">
        <f ca="1"/>
        <v/>
      </c>
      <c r="B2999" s="378"/>
      <c r="C2999" s="315"/>
      <c r="D2999" s="316"/>
      <c r="E2999" s="315"/>
      <c r="F2999" s="315"/>
      <c r="G2999" s="315"/>
      <c r="H2999" s="153"/>
      <c r="I2999" s="12"/>
      <c r="J2999" s="12"/>
      <c r="K2999" s="12"/>
      <c r="L2999" s="379"/>
      <c r="M2999" s="380"/>
      <c r="N2999" s="380"/>
      <c r="O2999" s="12"/>
      <c r="P2999" s="381"/>
      <c r="Q2999" s="12"/>
      <c r="R2999" s="12"/>
      <c r="S2999" s="382"/>
      <c r="T2999" s="383"/>
      <c r="U2999" s="384"/>
      <c r="V2999" s="12"/>
      <c r="W2999" s="12"/>
    </row>
    <row r="3000" spans="1:23" x14ac:dyDescent="0.3">
      <c r="A3000" s="193" t="str">
        <f ca="1"/>
        <v/>
      </c>
      <c r="B3000" s="378"/>
      <c r="C3000" s="315"/>
      <c r="D3000" s="316"/>
      <c r="E3000" s="315"/>
      <c r="F3000" s="315"/>
      <c r="G3000" s="315"/>
      <c r="H3000" s="153"/>
      <c r="I3000" s="12"/>
      <c r="J3000" s="12"/>
      <c r="K3000" s="12"/>
      <c r="L3000" s="379"/>
      <c r="M3000" s="380"/>
      <c r="N3000" s="380"/>
      <c r="O3000" s="12"/>
      <c r="P3000" s="381"/>
      <c r="Q3000" s="12"/>
      <c r="R3000" s="12"/>
      <c r="S3000" s="382"/>
      <c r="T3000" s="383"/>
      <c r="U3000" s="384"/>
      <c r="V3000" s="12"/>
      <c r="W3000" s="12"/>
    </row>
    <row r="3001" spans="1:23" x14ac:dyDescent="0.3">
      <c r="A3001" s="193" t="str">
        <f ca="1"/>
        <v/>
      </c>
      <c r="B3001" s="378"/>
      <c r="C3001" s="315"/>
      <c r="D3001" s="316"/>
      <c r="E3001" s="315"/>
      <c r="F3001" s="315"/>
      <c r="G3001" s="315"/>
      <c r="H3001" s="153"/>
      <c r="I3001" s="12"/>
      <c r="J3001" s="12"/>
      <c r="K3001" s="12"/>
      <c r="L3001" s="379"/>
      <c r="M3001" s="380"/>
      <c r="N3001" s="380"/>
      <c r="O3001" s="12"/>
      <c r="P3001" s="381"/>
      <c r="Q3001" s="12"/>
      <c r="R3001" s="12"/>
      <c r="S3001" s="382"/>
      <c r="T3001" s="383"/>
      <c r="U3001" s="384"/>
      <c r="V3001" s="12"/>
      <c r="W3001" s="12"/>
    </row>
    <row r="3002" spans="1:23" x14ac:dyDescent="0.3">
      <c r="A3002" s="193" t="str">
        <f ca="1"/>
        <v/>
      </c>
      <c r="B3002" s="378"/>
      <c r="C3002" s="315"/>
      <c r="D3002" s="316"/>
      <c r="E3002" s="315"/>
      <c r="F3002" s="315"/>
      <c r="G3002" s="315"/>
      <c r="H3002" s="153"/>
      <c r="I3002" s="12"/>
      <c r="J3002" s="12"/>
      <c r="K3002" s="12"/>
      <c r="L3002" s="379"/>
      <c r="M3002" s="380"/>
      <c r="N3002" s="380"/>
      <c r="O3002" s="12"/>
      <c r="P3002" s="381"/>
      <c r="Q3002" s="12"/>
      <c r="R3002" s="12"/>
      <c r="S3002" s="382"/>
      <c r="T3002" s="383"/>
      <c r="U3002" s="384"/>
      <c r="V3002" s="12"/>
      <c r="W3002" s="12"/>
    </row>
    <row r="3003" spans="1:23" x14ac:dyDescent="0.3">
      <c r="A3003" s="193" t="str">
        <f ca="1"/>
        <v/>
      </c>
      <c r="B3003" s="378"/>
      <c r="C3003" s="315"/>
      <c r="D3003" s="316"/>
      <c r="E3003" s="315"/>
      <c r="F3003" s="315"/>
      <c r="G3003" s="315"/>
      <c r="H3003" s="153"/>
      <c r="I3003" s="12"/>
      <c r="J3003" s="12"/>
      <c r="K3003" s="12"/>
      <c r="L3003" s="379"/>
      <c r="M3003" s="380"/>
      <c r="N3003" s="380"/>
      <c r="O3003" s="12"/>
      <c r="P3003" s="381"/>
      <c r="Q3003" s="12"/>
      <c r="R3003" s="12"/>
      <c r="S3003" s="382"/>
      <c r="T3003" s="383"/>
      <c r="U3003" s="384"/>
      <c r="V3003" s="12"/>
      <c r="W3003" s="12"/>
    </row>
    <row r="3004" spans="1:23" x14ac:dyDescent="0.3">
      <c r="A3004" s="193" t="str">
        <f ca="1"/>
        <v/>
      </c>
      <c r="B3004" s="378"/>
      <c r="C3004" s="315"/>
      <c r="D3004" s="316"/>
      <c r="E3004" s="315"/>
      <c r="F3004" s="315"/>
      <c r="G3004" s="315"/>
      <c r="H3004" s="153"/>
      <c r="I3004" s="12"/>
      <c r="J3004" s="12"/>
      <c r="K3004" s="12"/>
      <c r="L3004" s="379"/>
      <c r="M3004" s="380"/>
      <c r="N3004" s="380"/>
      <c r="O3004" s="12"/>
      <c r="P3004" s="381"/>
      <c r="Q3004" s="12"/>
      <c r="R3004" s="12"/>
      <c r="S3004" s="382"/>
      <c r="T3004" s="383"/>
      <c r="U3004" s="384"/>
      <c r="V3004" s="12"/>
      <c r="W3004" s="12"/>
    </row>
    <row r="3005" spans="1:23" x14ac:dyDescent="0.3">
      <c r="A3005" s="193" t="str">
        <f ca="1"/>
        <v/>
      </c>
      <c r="B3005" s="378"/>
      <c r="C3005" s="315"/>
      <c r="D3005" s="316"/>
      <c r="E3005" s="315"/>
      <c r="F3005" s="315"/>
      <c r="G3005" s="315"/>
      <c r="H3005" s="153"/>
      <c r="I3005" s="12"/>
      <c r="J3005" s="12"/>
      <c r="K3005" s="12"/>
      <c r="L3005" s="379"/>
      <c r="M3005" s="380"/>
      <c r="N3005" s="380"/>
      <c r="O3005" s="12"/>
      <c r="P3005" s="381"/>
      <c r="Q3005" s="12"/>
      <c r="R3005" s="12"/>
      <c r="S3005" s="382"/>
      <c r="T3005" s="383"/>
      <c r="U3005" s="384"/>
      <c r="V3005" s="12"/>
      <c r="W3005" s="12"/>
    </row>
    <row r="3006" spans="1:23" x14ac:dyDescent="0.3">
      <c r="A3006" s="193" t="str">
        <f ca="1"/>
        <v/>
      </c>
      <c r="B3006" s="378"/>
      <c r="C3006" s="315"/>
      <c r="D3006" s="316"/>
      <c r="E3006" s="315"/>
      <c r="F3006" s="315"/>
      <c r="G3006" s="315"/>
      <c r="H3006" s="153"/>
      <c r="I3006" s="12"/>
      <c r="J3006" s="12"/>
      <c r="K3006" s="12"/>
      <c r="L3006" s="379"/>
      <c r="M3006" s="380"/>
      <c r="N3006" s="380"/>
      <c r="O3006" s="12"/>
      <c r="P3006" s="381"/>
      <c r="Q3006" s="12"/>
      <c r="R3006" s="12"/>
      <c r="S3006" s="382"/>
      <c r="T3006" s="383"/>
      <c r="U3006" s="384"/>
      <c r="V3006" s="12"/>
      <c r="W3006" s="12"/>
    </row>
    <row r="3007" spans="1:23" x14ac:dyDescent="0.3">
      <c r="A3007" s="193" t="str">
        <f ca="1"/>
        <v/>
      </c>
      <c r="B3007" s="378"/>
      <c r="C3007" s="315"/>
      <c r="D3007" s="316"/>
      <c r="E3007" s="315"/>
      <c r="F3007" s="315"/>
      <c r="G3007" s="315"/>
      <c r="H3007" s="153"/>
      <c r="I3007" s="12"/>
      <c r="J3007" s="12"/>
      <c r="K3007" s="12"/>
      <c r="L3007" s="379"/>
      <c r="M3007" s="380"/>
      <c r="N3007" s="380"/>
      <c r="O3007" s="12"/>
      <c r="P3007" s="381"/>
      <c r="Q3007" s="12"/>
      <c r="R3007" s="12"/>
      <c r="S3007" s="382"/>
      <c r="T3007" s="383"/>
      <c r="U3007" s="384"/>
      <c r="V3007" s="12"/>
      <c r="W3007" s="12"/>
    </row>
    <row r="3008" spans="1:23" x14ac:dyDescent="0.3">
      <c r="A3008" s="193" t="str">
        <f ca="1"/>
        <v/>
      </c>
      <c r="B3008" s="378"/>
      <c r="C3008" s="315"/>
      <c r="D3008" s="316"/>
      <c r="E3008" s="315"/>
      <c r="F3008" s="315"/>
      <c r="G3008" s="315"/>
      <c r="H3008" s="153"/>
      <c r="I3008" s="12"/>
      <c r="J3008" s="12"/>
      <c r="K3008" s="12"/>
      <c r="L3008" s="379"/>
      <c r="M3008" s="380"/>
      <c r="N3008" s="380"/>
      <c r="O3008" s="12"/>
      <c r="P3008" s="381"/>
      <c r="Q3008" s="12"/>
      <c r="R3008" s="12"/>
      <c r="S3008" s="382"/>
      <c r="T3008" s="383"/>
      <c r="U3008" s="384"/>
      <c r="V3008" s="12"/>
      <c r="W3008" s="12"/>
    </row>
    <row r="3009" spans="1:23" x14ac:dyDescent="0.3">
      <c r="A3009" s="193" t="str">
        <f ca="1"/>
        <v/>
      </c>
      <c r="B3009" s="378"/>
      <c r="C3009" s="315"/>
      <c r="D3009" s="316"/>
      <c r="E3009" s="315"/>
      <c r="F3009" s="315"/>
      <c r="G3009" s="315"/>
      <c r="H3009" s="153"/>
      <c r="I3009" s="12"/>
      <c r="J3009" s="12"/>
      <c r="K3009" s="12"/>
      <c r="L3009" s="379"/>
      <c r="M3009" s="380"/>
      <c r="N3009" s="380"/>
      <c r="O3009" s="12"/>
      <c r="P3009" s="381"/>
      <c r="Q3009" s="12"/>
      <c r="R3009" s="12"/>
      <c r="S3009" s="382"/>
      <c r="T3009" s="383"/>
      <c r="U3009" s="384"/>
      <c r="V3009" s="12"/>
      <c r="W3009" s="12"/>
    </row>
    <row r="3010" spans="1:23" x14ac:dyDescent="0.3">
      <c r="A3010" s="193" t="str">
        <f ca="1"/>
        <v/>
      </c>
      <c r="B3010" s="378"/>
      <c r="C3010" s="315"/>
      <c r="D3010" s="316"/>
      <c r="E3010" s="315"/>
      <c r="F3010" s="315"/>
      <c r="G3010" s="315"/>
      <c r="H3010" s="153"/>
      <c r="I3010" s="12"/>
      <c r="J3010" s="12"/>
      <c r="K3010" s="12"/>
      <c r="L3010" s="379"/>
      <c r="M3010" s="380"/>
      <c r="N3010" s="380"/>
      <c r="O3010" s="12"/>
      <c r="P3010" s="381"/>
      <c r="Q3010" s="12"/>
      <c r="R3010" s="12"/>
      <c r="S3010" s="382"/>
      <c r="T3010" s="383"/>
      <c r="U3010" s="384"/>
      <c r="V3010" s="12"/>
      <c r="W3010" s="12"/>
    </row>
    <row r="3011" spans="1:23" x14ac:dyDescent="0.3">
      <c r="A3011" s="193" t="str">
        <f ca="1"/>
        <v/>
      </c>
      <c r="B3011" s="378"/>
      <c r="C3011" s="315"/>
      <c r="D3011" s="316"/>
      <c r="E3011" s="315"/>
      <c r="F3011" s="315"/>
      <c r="G3011" s="315"/>
      <c r="H3011" s="153"/>
      <c r="I3011" s="12"/>
      <c r="J3011" s="12"/>
      <c r="K3011" s="12"/>
      <c r="L3011" s="379"/>
      <c r="M3011" s="380"/>
      <c r="N3011" s="380"/>
      <c r="O3011" s="12"/>
      <c r="P3011" s="381"/>
      <c r="Q3011" s="12"/>
      <c r="R3011" s="12"/>
      <c r="S3011" s="382"/>
      <c r="T3011" s="383"/>
      <c r="U3011" s="384"/>
      <c r="V3011" s="12"/>
      <c r="W3011" s="12"/>
    </row>
    <row r="3012" spans="1:23" x14ac:dyDescent="0.3">
      <c r="A3012" s="193" t="str">
        <f ca="1"/>
        <v/>
      </c>
      <c r="B3012" s="378"/>
      <c r="C3012" s="315"/>
      <c r="D3012" s="316"/>
      <c r="E3012" s="315"/>
      <c r="F3012" s="315"/>
      <c r="G3012" s="315"/>
      <c r="H3012" s="153"/>
      <c r="I3012" s="12"/>
      <c r="J3012" s="12"/>
      <c r="K3012" s="12"/>
      <c r="L3012" s="379"/>
      <c r="M3012" s="380"/>
      <c r="N3012" s="380"/>
      <c r="O3012" s="12"/>
      <c r="P3012" s="381"/>
      <c r="Q3012" s="12"/>
      <c r="R3012" s="12"/>
      <c r="S3012" s="382"/>
      <c r="T3012" s="383"/>
      <c r="U3012" s="384"/>
      <c r="V3012" s="12"/>
      <c r="W3012" s="12"/>
    </row>
    <row r="3013" spans="1:23" x14ac:dyDescent="0.3">
      <c r="A3013" s="193" t="str">
        <f ca="1"/>
        <v/>
      </c>
      <c r="B3013" s="378"/>
      <c r="C3013" s="315"/>
      <c r="D3013" s="316"/>
      <c r="E3013" s="315"/>
      <c r="F3013" s="315"/>
      <c r="G3013" s="315"/>
      <c r="H3013" s="153"/>
      <c r="I3013" s="12"/>
      <c r="J3013" s="12"/>
      <c r="K3013" s="12"/>
      <c r="L3013" s="379"/>
      <c r="M3013" s="380"/>
      <c r="N3013" s="380"/>
      <c r="O3013" s="12"/>
      <c r="P3013" s="381"/>
      <c r="Q3013" s="12"/>
      <c r="R3013" s="12"/>
      <c r="S3013" s="382"/>
      <c r="T3013" s="383"/>
      <c r="U3013" s="384"/>
      <c r="V3013" s="12"/>
      <c r="W3013" s="12"/>
    </row>
    <row r="3014" spans="1:23" x14ac:dyDescent="0.3">
      <c r="A3014" s="193" t="str">
        <f ca="1"/>
        <v/>
      </c>
      <c r="B3014" s="378"/>
      <c r="C3014" s="315"/>
      <c r="D3014" s="316"/>
      <c r="E3014" s="315"/>
      <c r="F3014" s="315"/>
      <c r="G3014" s="315"/>
      <c r="H3014" s="153"/>
      <c r="I3014" s="12"/>
      <c r="J3014" s="12"/>
      <c r="K3014" s="12"/>
      <c r="L3014" s="379"/>
      <c r="M3014" s="380"/>
      <c r="N3014" s="380"/>
      <c r="O3014" s="12"/>
      <c r="P3014" s="381"/>
      <c r="Q3014" s="12"/>
      <c r="R3014" s="12"/>
      <c r="S3014" s="382"/>
      <c r="T3014" s="383"/>
      <c r="U3014" s="384"/>
      <c r="V3014" s="12"/>
      <c r="W3014" s="12"/>
    </row>
    <row r="3015" spans="1:23" x14ac:dyDescent="0.3">
      <c r="A3015" s="193" t="str">
        <f ca="1"/>
        <v/>
      </c>
      <c r="B3015" s="378"/>
      <c r="C3015" s="315"/>
      <c r="D3015" s="316"/>
      <c r="E3015" s="315"/>
      <c r="F3015" s="315"/>
      <c r="G3015" s="315"/>
      <c r="H3015" s="153"/>
      <c r="I3015" s="12"/>
      <c r="J3015" s="12"/>
      <c r="K3015" s="12"/>
      <c r="L3015" s="379"/>
      <c r="M3015" s="380"/>
      <c r="N3015" s="380"/>
      <c r="O3015" s="12"/>
      <c r="P3015" s="381"/>
      <c r="Q3015" s="12"/>
      <c r="R3015" s="12"/>
      <c r="S3015" s="382"/>
      <c r="T3015" s="383"/>
      <c r="U3015" s="384"/>
      <c r="V3015" s="12"/>
      <c r="W3015" s="12"/>
    </row>
    <row r="3016" spans="1:23" x14ac:dyDescent="0.3">
      <c r="A3016" s="193" t="str">
        <f ca="1"/>
        <v/>
      </c>
      <c r="B3016" s="378"/>
      <c r="C3016" s="315"/>
      <c r="D3016" s="316"/>
      <c r="E3016" s="315"/>
      <c r="F3016" s="315"/>
      <c r="G3016" s="315"/>
      <c r="H3016" s="153"/>
      <c r="I3016" s="12"/>
      <c r="J3016" s="12"/>
      <c r="K3016" s="12"/>
      <c r="L3016" s="379"/>
      <c r="M3016" s="380"/>
      <c r="N3016" s="380"/>
      <c r="O3016" s="12"/>
      <c r="P3016" s="381"/>
      <c r="Q3016" s="12"/>
      <c r="R3016" s="12"/>
      <c r="S3016" s="382"/>
      <c r="T3016" s="383"/>
      <c r="U3016" s="384"/>
      <c r="V3016" s="12"/>
      <c r="W3016" s="12"/>
    </row>
    <row r="3017" spans="1:23" x14ac:dyDescent="0.3">
      <c r="A3017" s="193" t="str">
        <f ca="1"/>
        <v/>
      </c>
      <c r="B3017" s="378"/>
      <c r="C3017" s="315"/>
      <c r="D3017" s="316"/>
      <c r="E3017" s="315"/>
      <c r="F3017" s="315"/>
      <c r="G3017" s="315"/>
      <c r="H3017" s="153"/>
      <c r="I3017" s="12"/>
      <c r="J3017" s="12"/>
      <c r="K3017" s="12"/>
      <c r="L3017" s="379"/>
      <c r="M3017" s="380"/>
      <c r="N3017" s="380"/>
      <c r="O3017" s="12"/>
      <c r="P3017" s="381"/>
      <c r="Q3017" s="12"/>
      <c r="R3017" s="12"/>
      <c r="S3017" s="382"/>
      <c r="T3017" s="383"/>
      <c r="U3017" s="384"/>
      <c r="V3017" s="12"/>
      <c r="W3017" s="12"/>
    </row>
    <row r="3018" spans="1:23" x14ac:dyDescent="0.3">
      <c r="A3018" s="193" t="str">
        <f ca="1"/>
        <v/>
      </c>
      <c r="B3018" s="378"/>
      <c r="C3018" s="315"/>
      <c r="D3018" s="316"/>
      <c r="E3018" s="315"/>
      <c r="F3018" s="315"/>
      <c r="G3018" s="315"/>
      <c r="H3018" s="153"/>
      <c r="I3018" s="12"/>
      <c r="J3018" s="12"/>
      <c r="K3018" s="12"/>
      <c r="L3018" s="379"/>
      <c r="M3018" s="380"/>
      <c r="N3018" s="380"/>
      <c r="O3018" s="12"/>
      <c r="P3018" s="381"/>
      <c r="Q3018" s="12"/>
      <c r="R3018" s="12"/>
      <c r="S3018" s="382"/>
      <c r="T3018" s="383"/>
      <c r="U3018" s="384"/>
      <c r="V3018" s="12"/>
      <c r="W3018" s="12"/>
    </row>
    <row r="3019" spans="1:23" x14ac:dyDescent="0.3">
      <c r="A3019" s="193" t="str">
        <f ca="1"/>
        <v/>
      </c>
      <c r="B3019" s="378"/>
      <c r="C3019" s="315"/>
      <c r="D3019" s="316"/>
      <c r="E3019" s="315"/>
      <c r="F3019" s="315"/>
      <c r="G3019" s="315"/>
      <c r="H3019" s="153"/>
      <c r="I3019" s="12"/>
      <c r="J3019" s="12"/>
      <c r="K3019" s="12"/>
      <c r="L3019" s="379"/>
      <c r="M3019" s="380"/>
      <c r="N3019" s="380"/>
      <c r="O3019" s="12"/>
      <c r="P3019" s="381"/>
      <c r="Q3019" s="12"/>
      <c r="R3019" s="12"/>
      <c r="S3019" s="382"/>
      <c r="T3019" s="383"/>
      <c r="U3019" s="384"/>
      <c r="V3019" s="12"/>
      <c r="W3019" s="12"/>
    </row>
    <row r="3020" spans="1:23" x14ac:dyDescent="0.3">
      <c r="A3020" s="193" t="str">
        <f ca="1"/>
        <v/>
      </c>
      <c r="B3020" s="378"/>
      <c r="C3020" s="315"/>
      <c r="D3020" s="316"/>
      <c r="E3020" s="315"/>
      <c r="F3020" s="315"/>
      <c r="G3020" s="315"/>
      <c r="H3020" s="153"/>
      <c r="I3020" s="12"/>
      <c r="J3020" s="12"/>
      <c r="K3020" s="12"/>
      <c r="L3020" s="379"/>
      <c r="M3020" s="380"/>
      <c r="N3020" s="380"/>
      <c r="O3020" s="12"/>
      <c r="P3020" s="381"/>
      <c r="Q3020" s="12"/>
      <c r="R3020" s="12"/>
      <c r="S3020" s="382"/>
      <c r="T3020" s="383"/>
      <c r="U3020" s="384"/>
      <c r="V3020" s="12"/>
      <c r="W3020" s="12"/>
    </row>
    <row r="3021" spans="1:23" x14ac:dyDescent="0.3">
      <c r="A3021" s="193" t="str">
        <f ca="1"/>
        <v/>
      </c>
      <c r="B3021" s="378"/>
      <c r="C3021" s="315"/>
      <c r="D3021" s="316"/>
      <c r="E3021" s="315"/>
      <c r="F3021" s="315"/>
      <c r="G3021" s="315"/>
      <c r="H3021" s="153"/>
      <c r="I3021" s="12"/>
      <c r="J3021" s="12"/>
      <c r="K3021" s="12"/>
      <c r="L3021" s="379"/>
      <c r="M3021" s="380"/>
      <c r="N3021" s="380"/>
      <c r="O3021" s="12"/>
      <c r="P3021" s="381"/>
      <c r="Q3021" s="12"/>
      <c r="R3021" s="12"/>
      <c r="S3021" s="382"/>
      <c r="T3021" s="383"/>
      <c r="U3021" s="384"/>
      <c r="V3021" s="12"/>
      <c r="W3021" s="12"/>
    </row>
    <row r="3022" spans="1:23" x14ac:dyDescent="0.3">
      <c r="A3022" s="193" t="str">
        <f ca="1"/>
        <v/>
      </c>
      <c r="B3022" s="378"/>
      <c r="C3022" s="315"/>
      <c r="D3022" s="316"/>
      <c r="E3022" s="315"/>
      <c r="F3022" s="315"/>
      <c r="G3022" s="315"/>
      <c r="H3022" s="153"/>
      <c r="I3022" s="12"/>
      <c r="J3022" s="12"/>
      <c r="K3022" s="12"/>
      <c r="L3022" s="379"/>
      <c r="M3022" s="380"/>
      <c r="N3022" s="380"/>
      <c r="O3022" s="12"/>
      <c r="P3022" s="381"/>
      <c r="Q3022" s="12"/>
      <c r="R3022" s="12"/>
      <c r="S3022" s="382"/>
      <c r="T3022" s="383"/>
      <c r="U3022" s="384"/>
      <c r="V3022" s="12"/>
      <c r="W3022" s="12"/>
    </row>
    <row r="3023" spans="1:23" x14ac:dyDescent="0.3">
      <c r="A3023" s="193" t="str">
        <f ca="1"/>
        <v/>
      </c>
      <c r="B3023" s="378"/>
      <c r="C3023" s="315"/>
      <c r="D3023" s="316"/>
      <c r="E3023" s="315"/>
      <c r="F3023" s="315"/>
      <c r="G3023" s="315"/>
      <c r="H3023" s="153"/>
      <c r="I3023" s="12"/>
      <c r="J3023" s="12"/>
      <c r="K3023" s="12"/>
      <c r="L3023" s="379"/>
      <c r="M3023" s="380"/>
      <c r="N3023" s="380"/>
      <c r="O3023" s="12"/>
      <c r="P3023" s="381"/>
      <c r="Q3023" s="12"/>
      <c r="R3023" s="12"/>
      <c r="S3023" s="382"/>
      <c r="T3023" s="383"/>
      <c r="U3023" s="384"/>
      <c r="V3023" s="12"/>
      <c r="W3023" s="12"/>
    </row>
    <row r="3024" spans="1:23" x14ac:dyDescent="0.3">
      <c r="A3024" s="193" t="str">
        <f ca="1"/>
        <v/>
      </c>
      <c r="B3024" s="378"/>
      <c r="C3024" s="315"/>
      <c r="D3024" s="316"/>
      <c r="E3024" s="315"/>
      <c r="F3024" s="315"/>
      <c r="G3024" s="315"/>
      <c r="H3024" s="153"/>
      <c r="I3024" s="12"/>
      <c r="J3024" s="12"/>
      <c r="K3024" s="12"/>
      <c r="L3024" s="379"/>
      <c r="M3024" s="380"/>
      <c r="N3024" s="380"/>
      <c r="O3024" s="12"/>
      <c r="P3024" s="381"/>
      <c r="Q3024" s="12"/>
      <c r="R3024" s="12"/>
      <c r="S3024" s="382"/>
      <c r="T3024" s="383"/>
      <c r="U3024" s="384"/>
      <c r="V3024" s="12"/>
      <c r="W3024" s="12"/>
    </row>
    <row r="3025" spans="1:23" x14ac:dyDescent="0.3">
      <c r="A3025" s="193" t="str">
        <f ca="1"/>
        <v/>
      </c>
      <c r="B3025" s="378"/>
      <c r="C3025" s="315"/>
      <c r="D3025" s="316"/>
      <c r="E3025" s="315"/>
      <c r="F3025" s="315"/>
      <c r="G3025" s="315"/>
      <c r="H3025" s="153"/>
      <c r="I3025" s="12"/>
      <c r="J3025" s="12"/>
      <c r="K3025" s="12"/>
      <c r="L3025" s="379"/>
      <c r="M3025" s="380"/>
      <c r="N3025" s="380"/>
      <c r="O3025" s="12"/>
      <c r="P3025" s="381"/>
      <c r="Q3025" s="12"/>
      <c r="R3025" s="12"/>
      <c r="S3025" s="382"/>
      <c r="T3025" s="383"/>
      <c r="U3025" s="384"/>
      <c r="V3025" s="12"/>
      <c r="W3025" s="12"/>
    </row>
    <row r="3026" spans="1:23" x14ac:dyDescent="0.3">
      <c r="A3026" s="193" t="str">
        <f ca="1"/>
        <v/>
      </c>
      <c r="B3026" s="378"/>
      <c r="C3026" s="315"/>
      <c r="D3026" s="316"/>
      <c r="E3026" s="315"/>
      <c r="F3026" s="315"/>
      <c r="G3026" s="315"/>
      <c r="H3026" s="153"/>
      <c r="I3026" s="12"/>
      <c r="J3026" s="12"/>
      <c r="K3026" s="12"/>
      <c r="L3026" s="379"/>
      <c r="M3026" s="380"/>
      <c r="N3026" s="380"/>
      <c r="O3026" s="12"/>
      <c r="P3026" s="381"/>
      <c r="Q3026" s="12"/>
      <c r="R3026" s="12"/>
      <c r="S3026" s="382"/>
      <c r="T3026" s="383"/>
      <c r="U3026" s="384"/>
      <c r="V3026" s="12"/>
      <c r="W3026" s="12"/>
    </row>
    <row r="3027" spans="1:23" x14ac:dyDescent="0.3">
      <c r="A3027" s="193" t="str">
        <f ca="1"/>
        <v/>
      </c>
      <c r="B3027" s="378"/>
      <c r="C3027" s="315"/>
      <c r="D3027" s="316"/>
      <c r="E3027" s="315"/>
      <c r="F3027" s="315"/>
      <c r="G3027" s="315"/>
      <c r="H3027" s="153"/>
      <c r="I3027" s="12"/>
      <c r="J3027" s="12"/>
      <c r="K3027" s="12"/>
      <c r="L3027" s="379"/>
      <c r="M3027" s="380"/>
      <c r="N3027" s="380"/>
      <c r="O3027" s="12"/>
      <c r="P3027" s="381"/>
      <c r="Q3027" s="12"/>
      <c r="R3027" s="12"/>
      <c r="S3027" s="382"/>
      <c r="T3027" s="383"/>
      <c r="U3027" s="384"/>
      <c r="V3027" s="12"/>
      <c r="W3027" s="12"/>
    </row>
    <row r="3028" spans="1:23" x14ac:dyDescent="0.3">
      <c r="A3028" s="193" t="str">
        <f ca="1"/>
        <v/>
      </c>
      <c r="B3028" s="378"/>
      <c r="C3028" s="315"/>
      <c r="D3028" s="316"/>
      <c r="E3028" s="315"/>
      <c r="F3028" s="315"/>
      <c r="G3028" s="315"/>
      <c r="H3028" s="153"/>
      <c r="I3028" s="12"/>
      <c r="J3028" s="12"/>
      <c r="K3028" s="12"/>
      <c r="L3028" s="379"/>
      <c r="M3028" s="380"/>
      <c r="N3028" s="380"/>
      <c r="O3028" s="12"/>
      <c r="P3028" s="381"/>
      <c r="Q3028" s="12"/>
      <c r="R3028" s="12"/>
      <c r="S3028" s="382"/>
      <c r="T3028" s="383"/>
      <c r="U3028" s="384"/>
      <c r="V3028" s="12"/>
      <c r="W3028" s="12"/>
    </row>
    <row r="3029" spans="1:23" x14ac:dyDescent="0.3">
      <c r="A3029" s="193" t="str">
        <f ca="1"/>
        <v/>
      </c>
      <c r="B3029" s="378"/>
      <c r="C3029" s="315"/>
      <c r="D3029" s="316"/>
      <c r="E3029" s="315"/>
      <c r="F3029" s="315"/>
      <c r="G3029" s="315"/>
      <c r="H3029" s="153"/>
      <c r="I3029" s="12"/>
      <c r="J3029" s="12"/>
      <c r="K3029" s="12"/>
      <c r="L3029" s="379"/>
      <c r="M3029" s="380"/>
      <c r="N3029" s="380"/>
      <c r="O3029" s="12"/>
      <c r="P3029" s="381"/>
      <c r="Q3029" s="12"/>
      <c r="R3029" s="12"/>
      <c r="S3029" s="382"/>
      <c r="T3029" s="383"/>
      <c r="U3029" s="384"/>
      <c r="V3029" s="12"/>
      <c r="W3029" s="12"/>
    </row>
    <row r="3030" spans="1:23" x14ac:dyDescent="0.3">
      <c r="A3030" s="193" t="str">
        <f ca="1"/>
        <v/>
      </c>
      <c r="B3030" s="378"/>
      <c r="C3030" s="315"/>
      <c r="D3030" s="316"/>
      <c r="E3030" s="315"/>
      <c r="F3030" s="315"/>
      <c r="G3030" s="315"/>
      <c r="H3030" s="153"/>
      <c r="I3030" s="12"/>
      <c r="J3030" s="12"/>
      <c r="K3030" s="12"/>
      <c r="L3030" s="379"/>
      <c r="M3030" s="380"/>
      <c r="N3030" s="380"/>
      <c r="O3030" s="12"/>
      <c r="P3030" s="381"/>
      <c r="Q3030" s="12"/>
      <c r="R3030" s="12"/>
      <c r="S3030" s="382"/>
      <c r="T3030" s="383"/>
      <c r="U3030" s="384"/>
      <c r="V3030" s="12"/>
      <c r="W3030" s="12"/>
    </row>
    <row r="3031" spans="1:23" x14ac:dyDescent="0.3">
      <c r="A3031" s="193" t="str">
        <f ca="1"/>
        <v/>
      </c>
      <c r="B3031" s="378"/>
      <c r="C3031" s="315"/>
      <c r="D3031" s="316"/>
      <c r="E3031" s="315"/>
      <c r="F3031" s="315"/>
      <c r="G3031" s="315"/>
      <c r="H3031" s="153"/>
      <c r="I3031" s="12"/>
      <c r="J3031" s="12"/>
      <c r="K3031" s="12"/>
      <c r="L3031" s="379"/>
      <c r="M3031" s="380"/>
      <c r="N3031" s="380"/>
      <c r="O3031" s="12"/>
      <c r="P3031" s="381"/>
      <c r="Q3031" s="12"/>
      <c r="R3031" s="12"/>
      <c r="S3031" s="382"/>
      <c r="T3031" s="383"/>
      <c r="U3031" s="384"/>
      <c r="V3031" s="12"/>
      <c r="W3031" s="12"/>
    </row>
    <row r="3032" spans="1:23" x14ac:dyDescent="0.3">
      <c r="A3032" s="193" t="str">
        <f ca="1"/>
        <v/>
      </c>
      <c r="B3032" s="378"/>
      <c r="C3032" s="315"/>
      <c r="D3032" s="316"/>
      <c r="E3032" s="315"/>
      <c r="F3032" s="315"/>
      <c r="G3032" s="315"/>
      <c r="H3032" s="153"/>
      <c r="I3032" s="12"/>
      <c r="J3032" s="12"/>
      <c r="K3032" s="12"/>
      <c r="L3032" s="379"/>
      <c r="M3032" s="380"/>
      <c r="N3032" s="380"/>
      <c r="O3032" s="12"/>
      <c r="P3032" s="381"/>
      <c r="Q3032" s="12"/>
      <c r="R3032" s="12"/>
      <c r="S3032" s="382"/>
      <c r="T3032" s="383"/>
      <c r="U3032" s="384"/>
      <c r="V3032" s="12"/>
      <c r="W3032" s="12"/>
    </row>
    <row r="3033" spans="1:23" x14ac:dyDescent="0.3">
      <c r="A3033" s="193" t="str">
        <f ca="1"/>
        <v/>
      </c>
      <c r="B3033" s="378"/>
      <c r="C3033" s="315"/>
      <c r="D3033" s="316"/>
      <c r="E3033" s="315"/>
      <c r="F3033" s="315"/>
      <c r="G3033" s="315"/>
      <c r="H3033" s="153"/>
      <c r="I3033" s="12"/>
      <c r="J3033" s="12"/>
      <c r="K3033" s="12"/>
      <c r="L3033" s="379"/>
      <c r="M3033" s="380"/>
      <c r="N3033" s="380"/>
      <c r="O3033" s="12"/>
      <c r="P3033" s="381"/>
      <c r="Q3033" s="12"/>
      <c r="R3033" s="12"/>
      <c r="S3033" s="382"/>
      <c r="T3033" s="383"/>
      <c r="U3033" s="384"/>
      <c r="V3033" s="12"/>
      <c r="W3033" s="12"/>
    </row>
    <row r="3034" spans="1:23" x14ac:dyDescent="0.3">
      <c r="A3034" s="193" t="str">
        <f ca="1"/>
        <v/>
      </c>
      <c r="B3034" s="378"/>
      <c r="C3034" s="315"/>
      <c r="D3034" s="316"/>
      <c r="E3034" s="315"/>
      <c r="F3034" s="315"/>
      <c r="G3034" s="315"/>
      <c r="H3034" s="153"/>
      <c r="I3034" s="12"/>
      <c r="J3034" s="12"/>
      <c r="K3034" s="12"/>
      <c r="L3034" s="379"/>
      <c r="M3034" s="380"/>
      <c r="N3034" s="380"/>
      <c r="O3034" s="12"/>
      <c r="P3034" s="381"/>
      <c r="Q3034" s="12"/>
      <c r="R3034" s="12"/>
      <c r="S3034" s="382"/>
      <c r="T3034" s="383"/>
      <c r="U3034" s="384"/>
      <c r="V3034" s="12"/>
      <c r="W3034" s="12"/>
    </row>
    <row r="3035" spans="1:23" x14ac:dyDescent="0.3">
      <c r="A3035" s="193" t="str">
        <f ca="1"/>
        <v/>
      </c>
      <c r="B3035" s="378"/>
      <c r="C3035" s="315"/>
      <c r="D3035" s="316"/>
      <c r="E3035" s="315"/>
      <c r="F3035" s="315"/>
      <c r="G3035" s="315"/>
      <c r="H3035" s="153"/>
      <c r="I3035" s="12"/>
      <c r="J3035" s="12"/>
      <c r="K3035" s="12"/>
      <c r="L3035" s="379"/>
      <c r="M3035" s="380"/>
      <c r="N3035" s="380"/>
      <c r="O3035" s="12"/>
      <c r="P3035" s="381"/>
      <c r="Q3035" s="12"/>
      <c r="R3035" s="12"/>
      <c r="S3035" s="382"/>
      <c r="T3035" s="383"/>
      <c r="U3035" s="384"/>
      <c r="V3035" s="12"/>
      <c r="W3035" s="12"/>
    </row>
    <row r="3036" spans="1:23" x14ac:dyDescent="0.3">
      <c r="A3036" s="193" t="str">
        <f ca="1"/>
        <v/>
      </c>
      <c r="B3036" s="378"/>
      <c r="C3036" s="315"/>
      <c r="D3036" s="316"/>
      <c r="E3036" s="315"/>
      <c r="F3036" s="315"/>
      <c r="G3036" s="315"/>
      <c r="H3036" s="153"/>
      <c r="I3036" s="12"/>
      <c r="J3036" s="12"/>
      <c r="K3036" s="12"/>
      <c r="L3036" s="379"/>
      <c r="M3036" s="380"/>
      <c r="N3036" s="380"/>
      <c r="O3036" s="12"/>
      <c r="P3036" s="381"/>
      <c r="Q3036" s="12"/>
      <c r="R3036" s="12"/>
      <c r="S3036" s="382"/>
      <c r="T3036" s="383"/>
      <c r="U3036" s="384"/>
      <c r="V3036" s="12"/>
      <c r="W3036" s="12"/>
    </row>
    <row r="3037" spans="1:23" x14ac:dyDescent="0.3">
      <c r="A3037" s="193" t="str">
        <f ca="1"/>
        <v/>
      </c>
      <c r="B3037" s="378"/>
      <c r="C3037" s="315"/>
      <c r="D3037" s="316"/>
      <c r="E3037" s="315"/>
      <c r="F3037" s="315"/>
      <c r="G3037" s="315"/>
      <c r="H3037" s="153"/>
      <c r="I3037" s="12"/>
      <c r="J3037" s="12"/>
      <c r="K3037" s="12"/>
      <c r="L3037" s="379"/>
      <c r="M3037" s="380"/>
      <c r="N3037" s="380"/>
      <c r="O3037" s="12"/>
      <c r="P3037" s="381"/>
      <c r="Q3037" s="12"/>
      <c r="R3037" s="12"/>
      <c r="S3037" s="382"/>
      <c r="T3037" s="383"/>
      <c r="U3037" s="384"/>
      <c r="V3037" s="12"/>
      <c r="W3037" s="12"/>
    </row>
    <row r="3038" spans="1:23" x14ac:dyDescent="0.3">
      <c r="A3038" s="193" t="str">
        <f ca="1"/>
        <v/>
      </c>
      <c r="B3038" s="378"/>
      <c r="C3038" s="315"/>
      <c r="D3038" s="316"/>
      <c r="E3038" s="315"/>
      <c r="F3038" s="315"/>
      <c r="G3038" s="315"/>
      <c r="H3038" s="153"/>
      <c r="I3038" s="12"/>
      <c r="J3038" s="12"/>
      <c r="K3038" s="12"/>
      <c r="L3038" s="379"/>
      <c r="M3038" s="380"/>
      <c r="N3038" s="380"/>
      <c r="O3038" s="12"/>
      <c r="P3038" s="381"/>
      <c r="Q3038" s="12"/>
      <c r="R3038" s="12"/>
      <c r="S3038" s="382"/>
      <c r="T3038" s="383"/>
      <c r="U3038" s="384"/>
      <c r="V3038" s="12"/>
      <c r="W3038" s="12"/>
    </row>
    <row r="3039" spans="1:23" x14ac:dyDescent="0.3">
      <c r="A3039" s="193" t="str">
        <f ca="1"/>
        <v/>
      </c>
      <c r="B3039" s="378"/>
      <c r="C3039" s="315"/>
      <c r="D3039" s="316"/>
      <c r="E3039" s="315"/>
      <c r="F3039" s="315"/>
      <c r="G3039" s="315"/>
      <c r="H3039" s="153"/>
      <c r="I3039" s="12"/>
      <c r="J3039" s="12"/>
      <c r="K3039" s="12"/>
      <c r="L3039" s="379"/>
      <c r="M3039" s="380"/>
      <c r="N3039" s="380"/>
      <c r="O3039" s="12"/>
      <c r="P3039" s="381"/>
      <c r="Q3039" s="12"/>
      <c r="R3039" s="12"/>
      <c r="S3039" s="382"/>
      <c r="T3039" s="383"/>
      <c r="U3039" s="384"/>
      <c r="V3039" s="12"/>
      <c r="W3039" s="12"/>
    </row>
    <row r="3040" spans="1:23" x14ac:dyDescent="0.3">
      <c r="A3040" s="193" t="str">
        <f ca="1"/>
        <v/>
      </c>
      <c r="B3040" s="378"/>
      <c r="C3040" s="315"/>
      <c r="D3040" s="316"/>
      <c r="E3040" s="315"/>
      <c r="F3040" s="315"/>
      <c r="G3040" s="315"/>
      <c r="H3040" s="153"/>
      <c r="I3040" s="12"/>
      <c r="J3040" s="12"/>
      <c r="K3040" s="12"/>
      <c r="L3040" s="379"/>
      <c r="M3040" s="380"/>
      <c r="N3040" s="380"/>
      <c r="O3040" s="12"/>
      <c r="P3040" s="381"/>
      <c r="Q3040" s="12"/>
      <c r="R3040" s="12"/>
      <c r="S3040" s="382"/>
      <c r="T3040" s="383"/>
      <c r="U3040" s="384"/>
      <c r="V3040" s="12"/>
      <c r="W3040" s="12"/>
    </row>
    <row r="3041" spans="1:23" x14ac:dyDescent="0.3">
      <c r="A3041" s="193" t="str">
        <f ca="1"/>
        <v/>
      </c>
      <c r="B3041" s="378"/>
      <c r="C3041" s="315"/>
      <c r="D3041" s="316"/>
      <c r="E3041" s="315"/>
      <c r="F3041" s="315"/>
      <c r="G3041" s="315"/>
      <c r="H3041" s="153"/>
      <c r="I3041" s="12"/>
      <c r="J3041" s="12"/>
      <c r="K3041" s="12"/>
      <c r="L3041" s="379"/>
      <c r="M3041" s="380"/>
      <c r="N3041" s="380"/>
      <c r="O3041" s="12"/>
      <c r="P3041" s="381"/>
      <c r="Q3041" s="12"/>
      <c r="R3041" s="12"/>
      <c r="S3041" s="382"/>
      <c r="T3041" s="383"/>
      <c r="U3041" s="384"/>
      <c r="V3041" s="12"/>
      <c r="W3041" s="12"/>
    </row>
    <row r="3042" spans="1:23" x14ac:dyDescent="0.3">
      <c r="A3042" s="193" t="str">
        <f ca="1"/>
        <v/>
      </c>
      <c r="B3042" s="378"/>
      <c r="C3042" s="315"/>
      <c r="D3042" s="316"/>
      <c r="E3042" s="315"/>
      <c r="F3042" s="315"/>
      <c r="G3042" s="315"/>
      <c r="H3042" s="153"/>
      <c r="I3042" s="12"/>
      <c r="J3042" s="12"/>
      <c r="K3042" s="12"/>
      <c r="L3042" s="379"/>
      <c r="M3042" s="380"/>
      <c r="N3042" s="380"/>
      <c r="O3042" s="12"/>
      <c r="P3042" s="381"/>
      <c r="Q3042" s="12"/>
      <c r="R3042" s="12"/>
      <c r="S3042" s="382"/>
      <c r="T3042" s="383"/>
      <c r="U3042" s="384"/>
      <c r="V3042" s="12"/>
      <c r="W3042" s="12"/>
    </row>
    <row r="3043" spans="1:23" x14ac:dyDescent="0.3">
      <c r="A3043" s="193" t="str">
        <f ca="1"/>
        <v/>
      </c>
      <c r="B3043" s="378"/>
      <c r="C3043" s="315"/>
      <c r="D3043" s="316"/>
      <c r="E3043" s="315"/>
      <c r="F3043" s="315"/>
      <c r="G3043" s="315"/>
      <c r="H3043" s="153"/>
      <c r="I3043" s="12"/>
      <c r="J3043" s="12"/>
      <c r="K3043" s="12"/>
      <c r="L3043" s="379"/>
      <c r="M3043" s="380"/>
      <c r="N3043" s="380"/>
      <c r="O3043" s="12"/>
      <c r="P3043" s="381"/>
      <c r="Q3043" s="12"/>
      <c r="R3043" s="12"/>
      <c r="S3043" s="382"/>
      <c r="T3043" s="383"/>
      <c r="U3043" s="384"/>
      <c r="V3043" s="12"/>
      <c r="W3043" s="12"/>
    </row>
    <row r="3044" spans="1:23" x14ac:dyDescent="0.3">
      <c r="A3044" s="193" t="str">
        <f ca="1"/>
        <v/>
      </c>
      <c r="B3044" s="378"/>
      <c r="C3044" s="315"/>
      <c r="D3044" s="316"/>
      <c r="E3044" s="315"/>
      <c r="F3044" s="315"/>
      <c r="G3044" s="315"/>
      <c r="H3044" s="153"/>
      <c r="I3044" s="12"/>
      <c r="J3044" s="12"/>
      <c r="K3044" s="12"/>
      <c r="L3044" s="379"/>
      <c r="M3044" s="380"/>
      <c r="N3044" s="380"/>
      <c r="O3044" s="12"/>
      <c r="P3044" s="381"/>
      <c r="Q3044" s="12"/>
      <c r="R3044" s="12"/>
      <c r="S3044" s="382"/>
      <c r="T3044" s="383"/>
      <c r="U3044" s="384"/>
      <c r="V3044" s="12"/>
      <c r="W3044" s="12"/>
    </row>
    <row r="3045" spans="1:23" x14ac:dyDescent="0.3">
      <c r="A3045" s="193" t="str">
        <f ca="1"/>
        <v/>
      </c>
      <c r="B3045" s="378"/>
      <c r="C3045" s="315"/>
      <c r="D3045" s="316"/>
      <c r="E3045" s="315"/>
      <c r="F3045" s="315"/>
      <c r="G3045" s="315"/>
      <c r="H3045" s="153"/>
      <c r="I3045" s="12"/>
      <c r="J3045" s="12"/>
      <c r="K3045" s="12"/>
      <c r="L3045" s="379"/>
      <c r="M3045" s="380"/>
      <c r="N3045" s="380"/>
      <c r="O3045" s="12"/>
      <c r="P3045" s="381"/>
      <c r="Q3045" s="12"/>
      <c r="R3045" s="12"/>
      <c r="S3045" s="382"/>
      <c r="T3045" s="383"/>
      <c r="U3045" s="384"/>
      <c r="V3045" s="12"/>
      <c r="W3045" s="12"/>
    </row>
    <row r="3046" spans="1:23" x14ac:dyDescent="0.3">
      <c r="A3046" s="193" t="str">
        <f ca="1"/>
        <v/>
      </c>
      <c r="B3046" s="378"/>
      <c r="C3046" s="315"/>
      <c r="D3046" s="316"/>
      <c r="E3046" s="315"/>
      <c r="F3046" s="315"/>
      <c r="G3046" s="315"/>
      <c r="H3046" s="153"/>
      <c r="I3046" s="12"/>
      <c r="J3046" s="12"/>
      <c r="K3046" s="12"/>
      <c r="L3046" s="379"/>
      <c r="M3046" s="380"/>
      <c r="N3046" s="380"/>
      <c r="O3046" s="12"/>
      <c r="P3046" s="381"/>
      <c r="Q3046" s="12"/>
      <c r="R3046" s="12"/>
      <c r="S3046" s="382"/>
      <c r="T3046" s="383"/>
      <c r="U3046" s="384"/>
      <c r="V3046" s="12"/>
      <c r="W3046" s="12"/>
    </row>
    <row r="3047" spans="1:23" x14ac:dyDescent="0.3">
      <c r="A3047" s="193" t="str">
        <f ca="1"/>
        <v/>
      </c>
      <c r="B3047" s="378"/>
      <c r="C3047" s="315"/>
      <c r="D3047" s="316"/>
      <c r="E3047" s="315"/>
      <c r="F3047" s="315"/>
      <c r="G3047" s="315"/>
      <c r="H3047" s="153"/>
      <c r="I3047" s="12"/>
      <c r="J3047" s="12"/>
      <c r="K3047" s="12"/>
      <c r="L3047" s="379"/>
      <c r="M3047" s="380"/>
      <c r="N3047" s="380"/>
      <c r="O3047" s="12"/>
      <c r="P3047" s="381"/>
      <c r="Q3047" s="12"/>
      <c r="R3047" s="12"/>
      <c r="S3047" s="382"/>
      <c r="T3047" s="383"/>
      <c r="U3047" s="384"/>
      <c r="V3047" s="12"/>
      <c r="W3047" s="12"/>
    </row>
    <row r="3048" spans="1:23" x14ac:dyDescent="0.3">
      <c r="A3048" s="193" t="str">
        <f ca="1"/>
        <v/>
      </c>
      <c r="B3048" s="378"/>
      <c r="C3048" s="315"/>
      <c r="D3048" s="316"/>
      <c r="E3048" s="315"/>
      <c r="F3048" s="315"/>
      <c r="G3048" s="315"/>
      <c r="H3048" s="153"/>
      <c r="I3048" s="12"/>
      <c r="J3048" s="12"/>
      <c r="K3048" s="12"/>
      <c r="L3048" s="379"/>
      <c r="M3048" s="380"/>
      <c r="N3048" s="380"/>
      <c r="O3048" s="12"/>
      <c r="P3048" s="381"/>
      <c r="Q3048" s="12"/>
      <c r="R3048" s="12"/>
      <c r="S3048" s="382"/>
      <c r="T3048" s="383"/>
      <c r="U3048" s="384"/>
      <c r="V3048" s="12"/>
      <c r="W3048" s="12"/>
    </row>
    <row r="3049" spans="1:23" x14ac:dyDescent="0.3">
      <c r="A3049" s="193" t="str">
        <f ca="1"/>
        <v/>
      </c>
      <c r="B3049" s="378"/>
      <c r="C3049" s="315"/>
      <c r="D3049" s="316"/>
      <c r="E3049" s="315"/>
      <c r="F3049" s="315"/>
      <c r="G3049" s="315"/>
      <c r="H3049" s="153"/>
      <c r="I3049" s="12"/>
      <c r="J3049" s="12"/>
      <c r="K3049" s="12"/>
      <c r="L3049" s="379"/>
      <c r="M3049" s="380"/>
      <c r="N3049" s="380"/>
      <c r="O3049" s="12"/>
      <c r="P3049" s="381"/>
      <c r="Q3049" s="12"/>
      <c r="R3049" s="12"/>
      <c r="S3049" s="382"/>
      <c r="T3049" s="383"/>
      <c r="U3049" s="384"/>
      <c r="V3049" s="12"/>
      <c r="W3049" s="12"/>
    </row>
    <row r="3050" spans="1:23" x14ac:dyDescent="0.3">
      <c r="A3050" s="193" t="str">
        <f ca="1"/>
        <v/>
      </c>
      <c r="B3050" s="378"/>
      <c r="C3050" s="315"/>
      <c r="D3050" s="316"/>
      <c r="E3050" s="315"/>
      <c r="F3050" s="315"/>
      <c r="G3050" s="315"/>
      <c r="H3050" s="153"/>
      <c r="I3050" s="12"/>
      <c r="J3050" s="12"/>
      <c r="K3050" s="12"/>
      <c r="L3050" s="379"/>
      <c r="M3050" s="380"/>
      <c r="N3050" s="380"/>
      <c r="O3050" s="12"/>
      <c r="P3050" s="381"/>
      <c r="Q3050" s="12"/>
      <c r="R3050" s="12"/>
      <c r="S3050" s="382"/>
      <c r="T3050" s="383"/>
      <c r="U3050" s="384"/>
      <c r="V3050" s="12"/>
      <c r="W3050" s="12"/>
    </row>
    <row r="3051" spans="1:23" x14ac:dyDescent="0.3">
      <c r="A3051" s="193" t="str">
        <f ca="1"/>
        <v/>
      </c>
      <c r="B3051" s="378"/>
      <c r="C3051" s="315"/>
      <c r="D3051" s="316"/>
      <c r="E3051" s="315"/>
      <c r="F3051" s="315"/>
      <c r="G3051" s="315"/>
      <c r="H3051" s="153"/>
      <c r="I3051" s="12"/>
      <c r="J3051" s="12"/>
      <c r="K3051" s="12"/>
      <c r="L3051" s="379"/>
      <c r="M3051" s="380"/>
      <c r="N3051" s="380"/>
      <c r="O3051" s="12"/>
      <c r="P3051" s="381"/>
      <c r="Q3051" s="12"/>
      <c r="R3051" s="12"/>
      <c r="S3051" s="382"/>
      <c r="T3051" s="383"/>
      <c r="U3051" s="384"/>
      <c r="V3051" s="12"/>
      <c r="W3051" s="12"/>
    </row>
    <row r="3052" spans="1:23" x14ac:dyDescent="0.3">
      <c r="A3052" s="193" t="str">
        <f ca="1"/>
        <v/>
      </c>
      <c r="B3052" s="378"/>
      <c r="C3052" s="315"/>
      <c r="D3052" s="316"/>
      <c r="E3052" s="315"/>
      <c r="F3052" s="315"/>
      <c r="G3052" s="315"/>
      <c r="H3052" s="153"/>
      <c r="I3052" s="12"/>
      <c r="J3052" s="12"/>
      <c r="K3052" s="12"/>
      <c r="L3052" s="379"/>
      <c r="M3052" s="380"/>
      <c r="N3052" s="380"/>
      <c r="O3052" s="12"/>
      <c r="P3052" s="381"/>
      <c r="Q3052" s="12"/>
      <c r="R3052" s="12"/>
      <c r="S3052" s="382"/>
      <c r="T3052" s="383"/>
      <c r="U3052" s="384"/>
      <c r="V3052" s="12"/>
      <c r="W3052" s="12"/>
    </row>
    <row r="3053" spans="1:23" x14ac:dyDescent="0.3">
      <c r="A3053" s="193" t="str">
        <f ca="1"/>
        <v/>
      </c>
      <c r="B3053" s="378"/>
      <c r="C3053" s="315"/>
      <c r="D3053" s="316"/>
      <c r="E3053" s="315"/>
      <c r="F3053" s="315"/>
      <c r="G3053" s="315"/>
      <c r="H3053" s="153"/>
      <c r="I3053" s="12"/>
      <c r="J3053" s="12"/>
      <c r="K3053" s="12"/>
      <c r="L3053" s="379"/>
      <c r="M3053" s="380"/>
      <c r="N3053" s="380"/>
      <c r="O3053" s="12"/>
      <c r="P3053" s="381"/>
      <c r="Q3053" s="12"/>
      <c r="R3053" s="12"/>
      <c r="S3053" s="382"/>
      <c r="T3053" s="383"/>
      <c r="U3053" s="384"/>
      <c r="V3053" s="12"/>
      <c r="W3053" s="12"/>
    </row>
    <row r="3054" spans="1:23" x14ac:dyDescent="0.3">
      <c r="A3054" s="193" t="str">
        <f ca="1"/>
        <v/>
      </c>
      <c r="B3054" s="378"/>
      <c r="C3054" s="315"/>
      <c r="D3054" s="316"/>
      <c r="E3054" s="315"/>
      <c r="F3054" s="315"/>
      <c r="G3054" s="315"/>
      <c r="H3054" s="153"/>
      <c r="I3054" s="12"/>
      <c r="J3054" s="12"/>
      <c r="K3054" s="12"/>
      <c r="L3054" s="379"/>
      <c r="M3054" s="380"/>
      <c r="N3054" s="380"/>
      <c r="O3054" s="12"/>
      <c r="P3054" s="381"/>
      <c r="Q3054" s="12"/>
      <c r="R3054" s="12"/>
      <c r="S3054" s="382"/>
      <c r="T3054" s="383"/>
      <c r="U3054" s="384"/>
      <c r="V3054" s="12"/>
      <c r="W3054" s="12"/>
    </row>
    <row r="3055" spans="1:23" x14ac:dyDescent="0.3">
      <c r="A3055" s="193" t="str">
        <f ca="1"/>
        <v/>
      </c>
      <c r="B3055" s="378"/>
      <c r="C3055" s="315"/>
      <c r="D3055" s="316"/>
      <c r="E3055" s="315"/>
      <c r="F3055" s="315"/>
      <c r="G3055" s="315"/>
      <c r="H3055" s="153"/>
      <c r="I3055" s="12"/>
      <c r="J3055" s="12"/>
      <c r="K3055" s="12"/>
      <c r="L3055" s="379"/>
      <c r="M3055" s="380"/>
      <c r="N3055" s="380"/>
      <c r="O3055" s="12"/>
      <c r="P3055" s="381"/>
      <c r="Q3055" s="12"/>
      <c r="R3055" s="12"/>
      <c r="S3055" s="382"/>
      <c r="T3055" s="383"/>
      <c r="U3055" s="384"/>
      <c r="V3055" s="12"/>
      <c r="W3055" s="12"/>
    </row>
    <row r="3056" spans="1:23" x14ac:dyDescent="0.3">
      <c r="A3056" s="193" t="str">
        <f ca="1"/>
        <v/>
      </c>
      <c r="B3056" s="378"/>
      <c r="C3056" s="315"/>
      <c r="D3056" s="316"/>
      <c r="E3056" s="315"/>
      <c r="F3056" s="315"/>
      <c r="G3056" s="315"/>
      <c r="H3056" s="153"/>
      <c r="I3056" s="12"/>
      <c r="J3056" s="12"/>
      <c r="K3056" s="12"/>
      <c r="L3056" s="379"/>
      <c r="M3056" s="380"/>
      <c r="N3056" s="380"/>
      <c r="O3056" s="12"/>
      <c r="P3056" s="381"/>
      <c r="Q3056" s="12"/>
      <c r="R3056" s="12"/>
      <c r="S3056" s="382"/>
      <c r="T3056" s="383"/>
      <c r="U3056" s="384"/>
      <c r="V3056" s="12"/>
      <c r="W3056" s="12"/>
    </row>
    <row r="3057" spans="1:23" x14ac:dyDescent="0.3">
      <c r="A3057" s="193" t="str">
        <f ca="1"/>
        <v/>
      </c>
      <c r="B3057" s="378"/>
      <c r="C3057" s="315"/>
      <c r="D3057" s="316"/>
      <c r="E3057" s="315"/>
      <c r="F3057" s="315"/>
      <c r="G3057" s="315"/>
      <c r="H3057" s="153"/>
      <c r="I3057" s="12"/>
      <c r="J3057" s="12"/>
      <c r="K3057" s="12"/>
      <c r="L3057" s="379"/>
      <c r="M3057" s="380"/>
      <c r="N3057" s="380"/>
      <c r="O3057" s="12"/>
      <c r="P3057" s="381"/>
      <c r="Q3057" s="12"/>
      <c r="R3057" s="12"/>
      <c r="S3057" s="382"/>
      <c r="T3057" s="383"/>
      <c r="U3057" s="384"/>
      <c r="V3057" s="12"/>
      <c r="W3057" s="12"/>
    </row>
    <row r="3058" spans="1:23" x14ac:dyDescent="0.3">
      <c r="A3058" s="193" t="str">
        <f ca="1"/>
        <v/>
      </c>
      <c r="B3058" s="378"/>
      <c r="C3058" s="315"/>
      <c r="D3058" s="316"/>
      <c r="E3058" s="315"/>
      <c r="F3058" s="315"/>
      <c r="G3058" s="315"/>
      <c r="H3058" s="153"/>
      <c r="I3058" s="12"/>
      <c r="J3058" s="12"/>
      <c r="K3058" s="12"/>
      <c r="L3058" s="379"/>
      <c r="M3058" s="380"/>
      <c r="N3058" s="380"/>
      <c r="O3058" s="12"/>
      <c r="P3058" s="381"/>
      <c r="Q3058" s="12"/>
      <c r="R3058" s="12"/>
      <c r="S3058" s="382"/>
      <c r="T3058" s="383"/>
      <c r="U3058" s="384"/>
      <c r="V3058" s="12"/>
      <c r="W3058" s="12"/>
    </row>
    <row r="3059" spans="1:23" x14ac:dyDescent="0.3">
      <c r="A3059" s="193" t="str">
        <f ca="1"/>
        <v/>
      </c>
      <c r="B3059" s="378"/>
      <c r="C3059" s="315"/>
      <c r="D3059" s="316"/>
      <c r="E3059" s="315"/>
      <c r="F3059" s="315"/>
      <c r="G3059" s="315"/>
      <c r="H3059" s="153"/>
      <c r="I3059" s="12"/>
      <c r="J3059" s="12"/>
      <c r="K3059" s="12"/>
      <c r="L3059" s="379"/>
      <c r="M3059" s="380"/>
      <c r="N3059" s="380"/>
      <c r="O3059" s="12"/>
      <c r="P3059" s="381"/>
      <c r="Q3059" s="12"/>
      <c r="R3059" s="12"/>
      <c r="S3059" s="382"/>
      <c r="T3059" s="383"/>
      <c r="U3059" s="384"/>
      <c r="V3059" s="12"/>
      <c r="W3059" s="12"/>
    </row>
    <row r="3060" spans="1:23" x14ac:dyDescent="0.3">
      <c r="A3060" s="193" t="str">
        <f ca="1"/>
        <v/>
      </c>
      <c r="B3060" s="378"/>
      <c r="C3060" s="315"/>
      <c r="D3060" s="316"/>
      <c r="E3060" s="315"/>
      <c r="F3060" s="315"/>
      <c r="G3060" s="315"/>
      <c r="H3060" s="153"/>
      <c r="I3060" s="12"/>
      <c r="J3060" s="12"/>
      <c r="K3060" s="12"/>
      <c r="L3060" s="379"/>
      <c r="M3060" s="380"/>
      <c r="N3060" s="380"/>
      <c r="O3060" s="12"/>
      <c r="P3060" s="381"/>
      <c r="Q3060" s="12"/>
      <c r="R3060" s="12"/>
      <c r="S3060" s="382"/>
      <c r="T3060" s="383"/>
      <c r="U3060" s="384"/>
      <c r="V3060" s="12"/>
      <c r="W3060" s="12"/>
    </row>
    <row r="3061" spans="1:23" x14ac:dyDescent="0.3">
      <c r="A3061" s="193" t="str">
        <f ca="1"/>
        <v/>
      </c>
      <c r="B3061" s="378"/>
      <c r="C3061" s="315"/>
      <c r="D3061" s="316"/>
      <c r="E3061" s="315"/>
      <c r="F3061" s="315"/>
      <c r="G3061" s="315"/>
      <c r="H3061" s="153"/>
      <c r="I3061" s="12"/>
      <c r="J3061" s="12"/>
      <c r="K3061" s="12"/>
      <c r="L3061" s="379"/>
      <c r="M3061" s="380"/>
      <c r="N3061" s="380"/>
      <c r="O3061" s="12"/>
      <c r="P3061" s="381"/>
      <c r="Q3061" s="12"/>
      <c r="R3061" s="12"/>
      <c r="S3061" s="382"/>
      <c r="T3061" s="383"/>
      <c r="U3061" s="384"/>
      <c r="V3061" s="12"/>
      <c r="W3061" s="12"/>
    </row>
    <row r="3062" spans="1:23" x14ac:dyDescent="0.3">
      <c r="A3062" s="193" t="str">
        <f ca="1"/>
        <v/>
      </c>
      <c r="B3062" s="378"/>
      <c r="C3062" s="315"/>
      <c r="D3062" s="316"/>
      <c r="E3062" s="315"/>
      <c r="F3062" s="315"/>
      <c r="G3062" s="315"/>
      <c r="H3062" s="153"/>
      <c r="I3062" s="12"/>
      <c r="J3062" s="12"/>
      <c r="K3062" s="12"/>
      <c r="L3062" s="379"/>
      <c r="M3062" s="380"/>
      <c r="N3062" s="380"/>
      <c r="O3062" s="12"/>
      <c r="P3062" s="381"/>
      <c r="Q3062" s="12"/>
      <c r="R3062" s="12"/>
      <c r="S3062" s="382"/>
      <c r="T3062" s="383"/>
      <c r="U3062" s="384"/>
      <c r="V3062" s="12"/>
      <c r="W3062" s="12"/>
    </row>
    <row r="3063" spans="1:23" x14ac:dyDescent="0.3">
      <c r="A3063" s="193" t="str">
        <f ca="1"/>
        <v/>
      </c>
      <c r="B3063" s="378"/>
      <c r="C3063" s="315"/>
      <c r="D3063" s="316"/>
      <c r="E3063" s="315"/>
      <c r="F3063" s="315"/>
      <c r="G3063" s="315"/>
      <c r="H3063" s="153"/>
      <c r="I3063" s="12"/>
      <c r="J3063" s="12"/>
      <c r="K3063" s="12"/>
      <c r="L3063" s="379"/>
      <c r="M3063" s="380"/>
      <c r="N3063" s="380"/>
      <c r="O3063" s="12"/>
      <c r="P3063" s="381"/>
      <c r="Q3063" s="12"/>
      <c r="R3063" s="12"/>
      <c r="S3063" s="382"/>
      <c r="T3063" s="383"/>
      <c r="U3063" s="384"/>
      <c r="V3063" s="12"/>
      <c r="W3063" s="12"/>
    </row>
    <row r="3064" spans="1:23" x14ac:dyDescent="0.3">
      <c r="A3064" s="193" t="str">
        <f ca="1"/>
        <v/>
      </c>
      <c r="B3064" s="378"/>
      <c r="C3064" s="315"/>
      <c r="D3064" s="316"/>
      <c r="E3064" s="315"/>
      <c r="F3064" s="315"/>
      <c r="G3064" s="315"/>
      <c r="H3064" s="153"/>
      <c r="I3064" s="12"/>
      <c r="J3064" s="12"/>
      <c r="K3064" s="12"/>
      <c r="L3064" s="379"/>
      <c r="M3064" s="380"/>
      <c r="N3064" s="380"/>
      <c r="O3064" s="12"/>
      <c r="P3064" s="381"/>
      <c r="Q3064" s="12"/>
      <c r="R3064" s="12"/>
      <c r="S3064" s="382"/>
      <c r="T3064" s="383"/>
      <c r="U3064" s="384"/>
      <c r="V3064" s="12"/>
      <c r="W3064" s="12"/>
    </row>
    <row r="3065" spans="1:23" x14ac:dyDescent="0.3">
      <c r="A3065" s="193" t="str">
        <f ca="1"/>
        <v/>
      </c>
      <c r="B3065" s="378"/>
      <c r="C3065" s="315"/>
      <c r="D3065" s="316"/>
      <c r="E3065" s="315"/>
      <c r="F3065" s="315"/>
      <c r="G3065" s="315"/>
      <c r="H3065" s="153"/>
      <c r="I3065" s="12"/>
      <c r="J3065" s="12"/>
      <c r="K3065" s="12"/>
      <c r="L3065" s="379"/>
      <c r="M3065" s="380"/>
      <c r="N3065" s="380"/>
      <c r="O3065" s="12"/>
      <c r="P3065" s="381"/>
      <c r="Q3065" s="12"/>
      <c r="R3065" s="12"/>
      <c r="S3065" s="382"/>
      <c r="T3065" s="383"/>
      <c r="U3065" s="384"/>
      <c r="V3065" s="12"/>
      <c r="W3065" s="12"/>
    </row>
    <row r="3066" spans="1:23" x14ac:dyDescent="0.3">
      <c r="A3066" s="193" t="str">
        <f ca="1"/>
        <v/>
      </c>
      <c r="B3066" s="378"/>
      <c r="C3066" s="315"/>
      <c r="D3066" s="316"/>
      <c r="E3066" s="315"/>
      <c r="F3066" s="315"/>
      <c r="G3066" s="315"/>
      <c r="H3066" s="153"/>
      <c r="I3066" s="12"/>
      <c r="J3066" s="12"/>
      <c r="K3066" s="12"/>
      <c r="L3066" s="379"/>
      <c r="M3066" s="380"/>
      <c r="N3066" s="380"/>
      <c r="O3066" s="12"/>
      <c r="P3066" s="381"/>
      <c r="Q3066" s="12"/>
      <c r="R3066" s="12"/>
      <c r="S3066" s="382"/>
      <c r="T3066" s="383"/>
      <c r="U3066" s="384"/>
      <c r="V3066" s="12"/>
      <c r="W3066" s="12"/>
    </row>
    <row r="3067" spans="1:23" x14ac:dyDescent="0.3">
      <c r="A3067" s="193" t="str">
        <f ca="1"/>
        <v/>
      </c>
      <c r="B3067" s="378"/>
      <c r="C3067" s="315"/>
      <c r="D3067" s="316"/>
      <c r="E3067" s="315"/>
      <c r="F3067" s="315"/>
      <c r="G3067" s="315"/>
      <c r="H3067" s="153"/>
      <c r="I3067" s="12"/>
      <c r="J3067" s="12"/>
      <c r="K3067" s="12"/>
      <c r="L3067" s="379"/>
      <c r="M3067" s="380"/>
      <c r="N3067" s="380"/>
      <c r="O3067" s="12"/>
      <c r="P3067" s="381"/>
      <c r="Q3067" s="12"/>
      <c r="R3067" s="12"/>
      <c r="S3067" s="382"/>
      <c r="T3067" s="383"/>
      <c r="U3067" s="384"/>
      <c r="V3067" s="12"/>
      <c r="W3067" s="12"/>
    </row>
    <row r="3068" spans="1:23" x14ac:dyDescent="0.3">
      <c r="A3068" s="193" t="str">
        <f ca="1"/>
        <v/>
      </c>
      <c r="B3068" s="378"/>
      <c r="C3068" s="315"/>
      <c r="D3068" s="316"/>
      <c r="E3068" s="315"/>
      <c r="F3068" s="315"/>
      <c r="G3068" s="315"/>
      <c r="H3068" s="153"/>
      <c r="I3068" s="12"/>
      <c r="J3068" s="12"/>
      <c r="K3068" s="12"/>
      <c r="L3068" s="379"/>
      <c r="M3068" s="380"/>
      <c r="N3068" s="380"/>
      <c r="O3068" s="12"/>
      <c r="P3068" s="381"/>
      <c r="Q3068" s="12"/>
      <c r="R3068" s="12"/>
      <c r="S3068" s="382"/>
      <c r="T3068" s="383"/>
      <c r="U3068" s="384"/>
      <c r="V3068" s="12"/>
      <c r="W3068" s="12"/>
    </row>
    <row r="3069" spans="1:23" x14ac:dyDescent="0.3">
      <c r="A3069" s="193" t="str">
        <f ca="1"/>
        <v/>
      </c>
      <c r="B3069" s="378"/>
      <c r="C3069" s="315"/>
      <c r="D3069" s="316"/>
      <c r="E3069" s="315"/>
      <c r="F3069" s="315"/>
      <c r="G3069" s="315"/>
      <c r="H3069" s="153"/>
      <c r="I3069" s="12"/>
      <c r="J3069" s="12"/>
      <c r="K3069" s="12"/>
      <c r="L3069" s="379"/>
      <c r="M3069" s="380"/>
      <c r="N3069" s="380"/>
      <c r="O3069" s="12"/>
      <c r="P3069" s="381"/>
      <c r="Q3069" s="12"/>
      <c r="R3069" s="12"/>
      <c r="S3069" s="382"/>
      <c r="T3069" s="383"/>
      <c r="U3069" s="384"/>
      <c r="V3069" s="12"/>
      <c r="W3069" s="12"/>
    </row>
    <row r="3070" spans="1:23" x14ac:dyDescent="0.3">
      <c r="A3070" s="193" t="str">
        <f ca="1"/>
        <v/>
      </c>
      <c r="B3070" s="378"/>
      <c r="C3070" s="315"/>
      <c r="D3070" s="316"/>
      <c r="E3070" s="315"/>
      <c r="F3070" s="315"/>
      <c r="G3070" s="315"/>
      <c r="H3070" s="153"/>
      <c r="I3070" s="12"/>
      <c r="J3070" s="12"/>
      <c r="K3070" s="12"/>
      <c r="L3070" s="379"/>
      <c r="M3070" s="380"/>
      <c r="N3070" s="380"/>
      <c r="O3070" s="12"/>
      <c r="P3070" s="381"/>
      <c r="Q3070" s="12"/>
      <c r="R3070" s="12"/>
      <c r="S3070" s="382"/>
      <c r="T3070" s="383"/>
      <c r="U3070" s="384"/>
      <c r="V3070" s="12"/>
      <c r="W3070" s="12"/>
    </row>
    <row r="3071" spans="1:23" x14ac:dyDescent="0.3">
      <c r="A3071" s="193" t="str">
        <f ca="1"/>
        <v/>
      </c>
      <c r="B3071" s="378"/>
      <c r="C3071" s="315"/>
      <c r="D3071" s="316"/>
      <c r="E3071" s="315"/>
      <c r="F3071" s="315"/>
      <c r="G3071" s="315"/>
      <c r="H3071" s="153"/>
      <c r="I3071" s="12"/>
      <c r="J3071" s="12"/>
      <c r="K3071" s="12"/>
      <c r="L3071" s="379"/>
      <c r="M3071" s="380"/>
      <c r="N3071" s="380"/>
      <c r="O3071" s="12"/>
      <c r="P3071" s="381"/>
      <c r="Q3071" s="12"/>
      <c r="R3071" s="12"/>
      <c r="S3071" s="382"/>
      <c r="T3071" s="383"/>
      <c r="U3071" s="384"/>
      <c r="V3071" s="12"/>
      <c r="W3071" s="12"/>
    </row>
    <row r="3072" spans="1:23" x14ac:dyDescent="0.3">
      <c r="A3072" s="193" t="str">
        <f ca="1"/>
        <v/>
      </c>
      <c r="B3072" s="378"/>
      <c r="C3072" s="315"/>
      <c r="D3072" s="316"/>
      <c r="E3072" s="315"/>
      <c r="F3072" s="315"/>
      <c r="G3072" s="315"/>
      <c r="H3072" s="153"/>
      <c r="I3072" s="12"/>
      <c r="J3072" s="12"/>
      <c r="K3072" s="12"/>
      <c r="L3072" s="379"/>
      <c r="M3072" s="380"/>
      <c r="N3072" s="380"/>
      <c r="O3072" s="12"/>
      <c r="P3072" s="381"/>
      <c r="Q3072" s="12"/>
      <c r="R3072" s="12"/>
      <c r="S3072" s="382"/>
      <c r="T3072" s="383"/>
      <c r="U3072" s="384"/>
      <c r="V3072" s="12"/>
      <c r="W3072" s="12"/>
    </row>
    <row r="3073" spans="1:23" x14ac:dyDescent="0.3">
      <c r="A3073" s="193" t="str">
        <f ca="1"/>
        <v/>
      </c>
      <c r="B3073" s="378"/>
      <c r="C3073" s="315"/>
      <c r="D3073" s="316"/>
      <c r="E3073" s="315"/>
      <c r="F3073" s="315"/>
      <c r="G3073" s="315"/>
      <c r="H3073" s="153"/>
      <c r="I3073" s="12"/>
      <c r="J3073" s="12"/>
      <c r="K3073" s="12"/>
      <c r="L3073" s="379"/>
      <c r="M3073" s="380"/>
      <c r="N3073" s="380"/>
      <c r="O3073" s="12"/>
      <c r="P3073" s="381"/>
      <c r="Q3073" s="12"/>
      <c r="R3073" s="12"/>
      <c r="S3073" s="382"/>
      <c r="T3073" s="383"/>
      <c r="U3073" s="384"/>
      <c r="V3073" s="12"/>
      <c r="W3073" s="12"/>
    </row>
    <row r="3074" spans="1:23" x14ac:dyDescent="0.3">
      <c r="A3074" s="193" t="str">
        <f ca="1"/>
        <v/>
      </c>
      <c r="B3074" s="378"/>
      <c r="C3074" s="315"/>
      <c r="D3074" s="316"/>
      <c r="E3074" s="315"/>
      <c r="F3074" s="315"/>
      <c r="G3074" s="315"/>
      <c r="H3074" s="153"/>
      <c r="I3074" s="12"/>
      <c r="J3074" s="12"/>
      <c r="K3074" s="12"/>
      <c r="L3074" s="379"/>
      <c r="M3074" s="380"/>
      <c r="N3074" s="380"/>
      <c r="O3074" s="12"/>
      <c r="P3074" s="381"/>
      <c r="Q3074" s="12"/>
      <c r="R3074" s="12"/>
      <c r="S3074" s="382"/>
      <c r="T3074" s="383"/>
      <c r="U3074" s="384"/>
      <c r="V3074" s="12"/>
      <c r="W3074" s="12"/>
    </row>
    <row r="3075" spans="1:23" x14ac:dyDescent="0.3">
      <c r="A3075" s="193" t="str">
        <f ca="1"/>
        <v/>
      </c>
      <c r="B3075" s="378"/>
      <c r="C3075" s="315"/>
      <c r="D3075" s="316"/>
      <c r="E3075" s="315"/>
      <c r="F3075" s="315"/>
      <c r="G3075" s="315"/>
      <c r="H3075" s="153"/>
      <c r="I3075" s="12"/>
      <c r="J3075" s="12"/>
      <c r="K3075" s="12"/>
      <c r="L3075" s="379"/>
      <c r="M3075" s="380"/>
      <c r="N3075" s="380"/>
      <c r="O3075" s="12"/>
      <c r="P3075" s="381"/>
      <c r="Q3075" s="12"/>
      <c r="R3075" s="12"/>
      <c r="S3075" s="382"/>
      <c r="T3075" s="383"/>
      <c r="U3075" s="384"/>
      <c r="V3075" s="12"/>
      <c r="W3075" s="12"/>
    </row>
    <row r="3076" spans="1:23" x14ac:dyDescent="0.3">
      <c r="A3076" s="193" t="str">
        <f ca="1"/>
        <v/>
      </c>
      <c r="B3076" s="378"/>
      <c r="C3076" s="315"/>
      <c r="D3076" s="316"/>
      <c r="E3076" s="315"/>
      <c r="F3076" s="315"/>
      <c r="G3076" s="315"/>
      <c r="H3076" s="153"/>
      <c r="I3076" s="12"/>
      <c r="J3076" s="12"/>
      <c r="K3076" s="12"/>
      <c r="L3076" s="379"/>
      <c r="M3076" s="380"/>
      <c r="N3076" s="380"/>
      <c r="O3076" s="12"/>
      <c r="P3076" s="381"/>
      <c r="Q3076" s="12"/>
      <c r="R3076" s="12"/>
      <c r="S3076" s="382"/>
      <c r="T3076" s="383"/>
      <c r="U3076" s="384"/>
      <c r="V3076" s="12"/>
      <c r="W3076" s="12"/>
    </row>
    <row r="3077" spans="1:23" x14ac:dyDescent="0.3">
      <c r="A3077" s="193" t="str">
        <f ca="1"/>
        <v/>
      </c>
      <c r="B3077" s="378"/>
      <c r="C3077" s="315"/>
      <c r="D3077" s="316"/>
      <c r="E3077" s="315"/>
      <c r="F3077" s="315"/>
      <c r="G3077" s="315"/>
      <c r="H3077" s="153"/>
      <c r="I3077" s="12"/>
      <c r="J3077" s="12"/>
      <c r="K3077" s="12"/>
      <c r="L3077" s="379"/>
      <c r="M3077" s="380"/>
      <c r="N3077" s="380"/>
      <c r="O3077" s="12"/>
      <c r="P3077" s="381"/>
      <c r="Q3077" s="12"/>
      <c r="R3077" s="12"/>
      <c r="S3077" s="382"/>
      <c r="T3077" s="383"/>
      <c r="U3077" s="384"/>
      <c r="V3077" s="12"/>
      <c r="W3077" s="12"/>
    </row>
    <row r="3078" spans="1:23" x14ac:dyDescent="0.3">
      <c r="A3078" s="193" t="str">
        <f ca="1"/>
        <v/>
      </c>
      <c r="B3078" s="378"/>
      <c r="C3078" s="315"/>
      <c r="D3078" s="316"/>
      <c r="E3078" s="315"/>
      <c r="F3078" s="315"/>
      <c r="G3078" s="315"/>
      <c r="H3078" s="153"/>
      <c r="I3078" s="12"/>
      <c r="J3078" s="12"/>
      <c r="K3078" s="12"/>
      <c r="L3078" s="379"/>
      <c r="M3078" s="380"/>
      <c r="N3078" s="380"/>
      <c r="O3078" s="12"/>
      <c r="P3078" s="381"/>
      <c r="Q3078" s="12"/>
      <c r="R3078" s="12"/>
      <c r="S3078" s="382"/>
      <c r="T3078" s="383"/>
      <c r="U3078" s="384"/>
      <c r="V3078" s="12"/>
      <c r="W3078" s="12"/>
    </row>
    <row r="3079" spans="1:23" x14ac:dyDescent="0.3">
      <c r="A3079" s="193" t="str">
        <f ca="1"/>
        <v/>
      </c>
      <c r="B3079" s="378"/>
      <c r="C3079" s="315"/>
      <c r="D3079" s="316"/>
      <c r="E3079" s="315"/>
      <c r="F3079" s="315"/>
      <c r="G3079" s="315"/>
      <c r="H3079" s="153"/>
      <c r="I3079" s="12"/>
      <c r="J3079" s="12"/>
      <c r="K3079" s="12"/>
      <c r="L3079" s="379"/>
      <c r="M3079" s="380"/>
      <c r="N3079" s="380"/>
      <c r="O3079" s="12"/>
      <c r="P3079" s="381"/>
      <c r="Q3079" s="12"/>
      <c r="R3079" s="12"/>
      <c r="S3079" s="382"/>
      <c r="T3079" s="383"/>
      <c r="U3079" s="384"/>
      <c r="V3079" s="12"/>
      <c r="W3079" s="12"/>
    </row>
    <row r="3080" spans="1:23" x14ac:dyDescent="0.3">
      <c r="A3080" s="193" t="str">
        <f ca="1"/>
        <v/>
      </c>
      <c r="B3080" s="378"/>
      <c r="C3080" s="315"/>
      <c r="D3080" s="316"/>
      <c r="E3080" s="315"/>
      <c r="F3080" s="315"/>
      <c r="G3080" s="315"/>
      <c r="H3080" s="153"/>
      <c r="I3080" s="12"/>
      <c r="J3080" s="12"/>
      <c r="K3080" s="12"/>
      <c r="L3080" s="379"/>
      <c r="M3080" s="380"/>
      <c r="N3080" s="380"/>
      <c r="O3080" s="12"/>
      <c r="P3080" s="381"/>
      <c r="Q3080" s="12"/>
      <c r="R3080" s="12"/>
      <c r="S3080" s="382"/>
      <c r="T3080" s="383"/>
      <c r="U3080" s="384"/>
      <c r="V3080" s="12"/>
      <c r="W3080" s="12"/>
    </row>
    <row r="3081" spans="1:23" x14ac:dyDescent="0.3">
      <c r="A3081" s="193" t="str">
        <f ca="1"/>
        <v/>
      </c>
      <c r="B3081" s="378"/>
      <c r="C3081" s="315"/>
      <c r="D3081" s="316"/>
      <c r="E3081" s="315"/>
      <c r="F3081" s="315"/>
      <c r="G3081" s="315"/>
      <c r="H3081" s="153"/>
      <c r="I3081" s="12"/>
      <c r="J3081" s="12"/>
      <c r="K3081" s="12"/>
      <c r="L3081" s="379"/>
      <c r="M3081" s="380"/>
      <c r="N3081" s="380"/>
      <c r="O3081" s="12"/>
      <c r="P3081" s="381"/>
      <c r="Q3081" s="12"/>
      <c r="R3081" s="12"/>
      <c r="S3081" s="382"/>
      <c r="T3081" s="383"/>
      <c r="U3081" s="384"/>
      <c r="V3081" s="12"/>
      <c r="W3081" s="12"/>
    </row>
    <row r="3082" spans="1:23" x14ac:dyDescent="0.3">
      <c r="A3082" s="193" t="str">
        <f ca="1"/>
        <v/>
      </c>
      <c r="B3082" s="378"/>
      <c r="C3082" s="315"/>
      <c r="D3082" s="316"/>
      <c r="E3082" s="315"/>
      <c r="F3082" s="315"/>
      <c r="G3082" s="315"/>
      <c r="H3082" s="153"/>
      <c r="I3082" s="12"/>
      <c r="J3082" s="12"/>
      <c r="K3082" s="12"/>
      <c r="L3082" s="379"/>
      <c r="M3082" s="380"/>
      <c r="N3082" s="380"/>
      <c r="O3082" s="12"/>
      <c r="P3082" s="381"/>
      <c r="Q3082" s="12"/>
      <c r="R3082" s="12"/>
      <c r="S3082" s="382"/>
      <c r="T3082" s="383"/>
      <c r="U3082" s="384"/>
      <c r="V3082" s="12"/>
      <c r="W3082" s="12"/>
    </row>
    <row r="3083" spans="1:23" x14ac:dyDescent="0.3">
      <c r="A3083" s="193" t="str">
        <f ca="1"/>
        <v/>
      </c>
      <c r="B3083" s="378"/>
      <c r="C3083" s="315"/>
      <c r="D3083" s="316"/>
      <c r="E3083" s="315"/>
      <c r="F3083" s="315"/>
      <c r="G3083" s="315"/>
      <c r="H3083" s="153"/>
      <c r="I3083" s="12"/>
      <c r="J3083" s="12"/>
      <c r="K3083" s="12"/>
      <c r="L3083" s="379"/>
      <c r="M3083" s="380"/>
      <c r="N3083" s="380"/>
      <c r="O3083" s="12"/>
      <c r="P3083" s="381"/>
      <c r="Q3083" s="12"/>
      <c r="R3083" s="12"/>
      <c r="S3083" s="382"/>
      <c r="T3083" s="383"/>
      <c r="U3083" s="384"/>
      <c r="V3083" s="12"/>
      <c r="W3083" s="12"/>
    </row>
    <row r="3084" spans="1:23" x14ac:dyDescent="0.3">
      <c r="A3084" s="193" t="str">
        <f ca="1"/>
        <v/>
      </c>
      <c r="B3084" s="378"/>
      <c r="C3084" s="315"/>
      <c r="D3084" s="316"/>
      <c r="E3084" s="315"/>
      <c r="F3084" s="315"/>
      <c r="G3084" s="315"/>
      <c r="H3084" s="153"/>
      <c r="I3084" s="12"/>
      <c r="J3084" s="12"/>
      <c r="K3084" s="12"/>
      <c r="L3084" s="379"/>
      <c r="M3084" s="380"/>
      <c r="N3084" s="380"/>
      <c r="O3084" s="12"/>
      <c r="P3084" s="381"/>
      <c r="Q3084" s="12"/>
      <c r="R3084" s="12"/>
      <c r="S3084" s="382"/>
      <c r="T3084" s="383"/>
      <c r="U3084" s="384"/>
      <c r="V3084" s="12"/>
      <c r="W3084" s="12"/>
    </row>
    <row r="3085" spans="1:23" x14ac:dyDescent="0.3">
      <c r="A3085" s="193" t="str">
        <f ca="1"/>
        <v/>
      </c>
      <c r="B3085" s="378"/>
      <c r="C3085" s="315"/>
      <c r="D3085" s="316"/>
      <c r="E3085" s="315"/>
      <c r="F3085" s="315"/>
      <c r="G3085" s="315"/>
      <c r="H3085" s="153"/>
      <c r="I3085" s="12"/>
      <c r="J3085" s="12"/>
      <c r="K3085" s="12"/>
      <c r="L3085" s="379"/>
      <c r="M3085" s="380"/>
      <c r="N3085" s="380"/>
      <c r="O3085" s="12"/>
      <c r="P3085" s="381"/>
      <c r="Q3085" s="12"/>
      <c r="R3085" s="12"/>
      <c r="S3085" s="382"/>
      <c r="T3085" s="383"/>
      <c r="U3085" s="384"/>
      <c r="V3085" s="12"/>
      <c r="W3085" s="12"/>
    </row>
    <row r="3086" spans="1:23" x14ac:dyDescent="0.3">
      <c r="A3086" s="193" t="str">
        <f ca="1"/>
        <v/>
      </c>
      <c r="B3086" s="378"/>
      <c r="C3086" s="315"/>
      <c r="D3086" s="316"/>
      <c r="E3086" s="315"/>
      <c r="F3086" s="315"/>
      <c r="G3086" s="315"/>
      <c r="H3086" s="153"/>
      <c r="I3086" s="12"/>
      <c r="J3086" s="12"/>
      <c r="K3086" s="12"/>
      <c r="L3086" s="379"/>
      <c r="M3086" s="380"/>
      <c r="N3086" s="380"/>
      <c r="O3086" s="12"/>
      <c r="P3086" s="381"/>
      <c r="Q3086" s="12"/>
      <c r="R3086" s="12"/>
      <c r="S3086" s="382"/>
      <c r="T3086" s="383"/>
      <c r="U3086" s="384"/>
      <c r="V3086" s="12"/>
      <c r="W3086" s="12"/>
    </row>
    <row r="3087" spans="1:23" x14ac:dyDescent="0.3">
      <c r="A3087" s="193" t="str">
        <f ca="1"/>
        <v/>
      </c>
      <c r="B3087" s="378"/>
      <c r="C3087" s="315"/>
      <c r="D3087" s="316"/>
      <c r="E3087" s="315"/>
      <c r="F3087" s="315"/>
      <c r="G3087" s="315"/>
      <c r="H3087" s="153"/>
      <c r="I3087" s="12"/>
      <c r="J3087" s="12"/>
      <c r="K3087" s="12"/>
      <c r="L3087" s="379"/>
      <c r="M3087" s="380"/>
      <c r="N3087" s="380"/>
      <c r="O3087" s="12"/>
      <c r="P3087" s="381"/>
      <c r="Q3087" s="12"/>
      <c r="R3087" s="12"/>
      <c r="S3087" s="382"/>
      <c r="T3087" s="383"/>
      <c r="U3087" s="384"/>
      <c r="V3087" s="12"/>
      <c r="W3087" s="12"/>
    </row>
    <row r="3088" spans="1:23" x14ac:dyDescent="0.3">
      <c r="A3088" s="193" t="str">
        <f ca="1"/>
        <v/>
      </c>
      <c r="B3088" s="378"/>
      <c r="C3088" s="315"/>
      <c r="D3088" s="316"/>
      <c r="E3088" s="315"/>
      <c r="F3088" s="315"/>
      <c r="G3088" s="315"/>
      <c r="H3088" s="153"/>
      <c r="I3088" s="12"/>
      <c r="J3088" s="12"/>
      <c r="K3088" s="12"/>
      <c r="L3088" s="379"/>
      <c r="M3088" s="380"/>
      <c r="N3088" s="380"/>
      <c r="O3088" s="12"/>
      <c r="P3088" s="381"/>
      <c r="Q3088" s="12"/>
      <c r="R3088" s="12"/>
      <c r="S3088" s="382"/>
      <c r="T3088" s="383"/>
      <c r="U3088" s="384"/>
      <c r="V3088" s="12"/>
      <c r="W3088" s="12"/>
    </row>
    <row r="3089" spans="1:23" x14ac:dyDescent="0.3">
      <c r="A3089" s="193" t="str">
        <f ca="1"/>
        <v/>
      </c>
      <c r="B3089" s="378"/>
      <c r="C3089" s="315"/>
      <c r="D3089" s="316"/>
      <c r="E3089" s="315"/>
      <c r="F3089" s="315"/>
      <c r="G3089" s="315"/>
      <c r="H3089" s="153"/>
      <c r="I3089" s="12"/>
      <c r="J3089" s="12"/>
      <c r="K3089" s="12"/>
      <c r="L3089" s="379"/>
      <c r="M3089" s="380"/>
      <c r="N3089" s="380"/>
      <c r="O3089" s="12"/>
      <c r="P3089" s="381"/>
      <c r="Q3089" s="12"/>
      <c r="R3089" s="12"/>
      <c r="S3089" s="382"/>
      <c r="T3089" s="383"/>
      <c r="U3089" s="384"/>
      <c r="V3089" s="12"/>
      <c r="W3089" s="12"/>
    </row>
    <row r="3090" spans="1:23" x14ac:dyDescent="0.3">
      <c r="A3090" s="193" t="str">
        <f ca="1"/>
        <v/>
      </c>
      <c r="B3090" s="378"/>
      <c r="C3090" s="315"/>
      <c r="D3090" s="316"/>
      <c r="E3090" s="315"/>
      <c r="F3090" s="315"/>
      <c r="G3090" s="315"/>
      <c r="H3090" s="153"/>
      <c r="I3090" s="12"/>
      <c r="J3090" s="12"/>
      <c r="K3090" s="12"/>
      <c r="L3090" s="379"/>
      <c r="M3090" s="380"/>
      <c r="N3090" s="380"/>
      <c r="O3090" s="12"/>
      <c r="P3090" s="381"/>
      <c r="Q3090" s="12"/>
      <c r="R3090" s="12"/>
      <c r="S3090" s="382"/>
      <c r="T3090" s="383"/>
      <c r="U3090" s="384"/>
      <c r="V3090" s="12"/>
      <c r="W3090" s="12"/>
    </row>
    <row r="3091" spans="1:23" x14ac:dyDescent="0.3">
      <c r="A3091" s="193" t="str">
        <f ca="1"/>
        <v/>
      </c>
      <c r="B3091" s="378"/>
      <c r="C3091" s="315"/>
      <c r="D3091" s="316"/>
      <c r="E3091" s="315"/>
      <c r="F3091" s="315"/>
      <c r="G3091" s="315"/>
      <c r="H3091" s="153"/>
      <c r="I3091" s="12"/>
      <c r="J3091" s="12"/>
      <c r="K3091" s="12"/>
      <c r="L3091" s="379"/>
      <c r="M3091" s="380"/>
      <c r="N3091" s="380"/>
      <c r="O3091" s="12"/>
      <c r="P3091" s="381"/>
      <c r="Q3091" s="12"/>
      <c r="R3091" s="12"/>
      <c r="S3091" s="382"/>
      <c r="T3091" s="383"/>
      <c r="U3091" s="384"/>
      <c r="V3091" s="12"/>
      <c r="W3091" s="12"/>
    </row>
    <row r="3092" spans="1:23" x14ac:dyDescent="0.3">
      <c r="A3092" s="193" t="str">
        <f ca="1"/>
        <v/>
      </c>
      <c r="B3092" s="378"/>
      <c r="C3092" s="315"/>
      <c r="D3092" s="316"/>
      <c r="E3092" s="315"/>
      <c r="F3092" s="315"/>
      <c r="G3092" s="315"/>
      <c r="H3092" s="153"/>
      <c r="I3092" s="12"/>
      <c r="J3092" s="12"/>
      <c r="K3092" s="12"/>
      <c r="L3092" s="379"/>
      <c r="M3092" s="380"/>
      <c r="N3092" s="380"/>
      <c r="O3092" s="12"/>
      <c r="P3092" s="381"/>
      <c r="Q3092" s="12"/>
      <c r="R3092" s="12"/>
      <c r="S3092" s="382"/>
      <c r="T3092" s="383"/>
      <c r="U3092" s="384"/>
      <c r="V3092" s="12"/>
      <c r="W3092" s="12"/>
    </row>
    <row r="3093" spans="1:23" x14ac:dyDescent="0.3">
      <c r="A3093" s="193" t="str">
        <f ca="1"/>
        <v/>
      </c>
      <c r="B3093" s="378"/>
      <c r="C3093" s="315"/>
      <c r="D3093" s="316"/>
      <c r="E3093" s="315"/>
      <c r="F3093" s="315"/>
      <c r="G3093" s="315"/>
      <c r="H3093" s="153"/>
      <c r="I3093" s="12"/>
      <c r="J3093" s="12"/>
      <c r="K3093" s="12"/>
      <c r="L3093" s="379"/>
      <c r="M3093" s="380"/>
      <c r="N3093" s="380"/>
      <c r="O3093" s="12"/>
      <c r="P3093" s="381"/>
      <c r="Q3093" s="12"/>
      <c r="R3093" s="12"/>
      <c r="S3093" s="382"/>
      <c r="T3093" s="383"/>
      <c r="U3093" s="384"/>
      <c r="V3093" s="12"/>
      <c r="W3093" s="12"/>
    </row>
    <row r="3094" spans="1:23" x14ac:dyDescent="0.3">
      <c r="A3094" s="193" t="str">
        <f ca="1"/>
        <v/>
      </c>
      <c r="B3094" s="378"/>
      <c r="C3094" s="315"/>
      <c r="D3094" s="316"/>
      <c r="E3094" s="315"/>
      <c r="F3094" s="315"/>
      <c r="G3094" s="315"/>
      <c r="H3094" s="153"/>
      <c r="I3094" s="12"/>
      <c r="J3094" s="12"/>
      <c r="K3094" s="12"/>
      <c r="L3094" s="379"/>
      <c r="M3094" s="380"/>
      <c r="N3094" s="380"/>
      <c r="O3094" s="12"/>
      <c r="P3094" s="381"/>
      <c r="Q3094" s="12"/>
      <c r="R3094" s="12"/>
      <c r="S3094" s="382"/>
      <c r="T3094" s="383"/>
      <c r="U3094" s="384"/>
      <c r="V3094" s="12"/>
      <c r="W3094" s="12"/>
    </row>
    <row r="3095" spans="1:23" x14ac:dyDescent="0.3">
      <c r="A3095" s="193" t="str">
        <f ca="1"/>
        <v/>
      </c>
      <c r="B3095" s="378"/>
      <c r="C3095" s="315"/>
      <c r="D3095" s="316"/>
      <c r="E3095" s="315"/>
      <c r="F3095" s="315"/>
      <c r="G3095" s="315"/>
      <c r="H3095" s="153"/>
      <c r="I3095" s="12"/>
      <c r="J3095" s="12"/>
      <c r="K3095" s="12"/>
      <c r="L3095" s="379"/>
      <c r="M3095" s="380"/>
      <c r="N3095" s="380"/>
      <c r="O3095" s="12"/>
      <c r="P3095" s="381"/>
      <c r="Q3095" s="12"/>
      <c r="R3095" s="12"/>
      <c r="S3095" s="382"/>
      <c r="T3095" s="383"/>
      <c r="U3095" s="384"/>
      <c r="V3095" s="12"/>
      <c r="W3095" s="12"/>
    </row>
    <row r="3096" spans="1:23" x14ac:dyDescent="0.3">
      <c r="A3096" s="193" t="str">
        <f ca="1"/>
        <v/>
      </c>
      <c r="B3096" s="378"/>
      <c r="C3096" s="315"/>
      <c r="D3096" s="316"/>
      <c r="E3096" s="315"/>
      <c r="F3096" s="315"/>
      <c r="G3096" s="315"/>
      <c r="H3096" s="153"/>
      <c r="I3096" s="12"/>
      <c r="J3096" s="12"/>
      <c r="K3096" s="12"/>
      <c r="L3096" s="379"/>
      <c r="M3096" s="380"/>
      <c r="N3096" s="380"/>
      <c r="O3096" s="12"/>
      <c r="P3096" s="381"/>
      <c r="Q3096" s="12"/>
      <c r="R3096" s="12"/>
      <c r="S3096" s="382"/>
      <c r="T3096" s="383"/>
      <c r="U3096" s="384"/>
      <c r="V3096" s="12"/>
      <c r="W3096" s="12"/>
    </row>
    <row r="3097" spans="1:23" x14ac:dyDescent="0.3">
      <c r="A3097" s="193" t="str">
        <f ca="1"/>
        <v/>
      </c>
      <c r="B3097" s="378"/>
      <c r="C3097" s="315"/>
      <c r="D3097" s="316"/>
      <c r="E3097" s="315"/>
      <c r="F3097" s="315"/>
      <c r="G3097" s="315"/>
      <c r="H3097" s="153"/>
      <c r="I3097" s="12"/>
      <c r="J3097" s="12"/>
      <c r="K3097" s="12"/>
      <c r="L3097" s="379"/>
      <c r="M3097" s="380"/>
      <c r="N3097" s="380"/>
      <c r="O3097" s="12"/>
      <c r="P3097" s="381"/>
      <c r="Q3097" s="12"/>
      <c r="R3097" s="12"/>
      <c r="S3097" s="382"/>
      <c r="T3097" s="383"/>
      <c r="U3097" s="384"/>
      <c r="V3097" s="12"/>
      <c r="W3097" s="12"/>
    </row>
    <row r="3098" spans="1:23" x14ac:dyDescent="0.3">
      <c r="A3098" s="193" t="str">
        <f ca="1"/>
        <v/>
      </c>
      <c r="B3098" s="378"/>
      <c r="C3098" s="315"/>
      <c r="D3098" s="316"/>
      <c r="E3098" s="315"/>
      <c r="F3098" s="315"/>
      <c r="G3098" s="315"/>
      <c r="H3098" s="153"/>
      <c r="I3098" s="12"/>
      <c r="J3098" s="12"/>
      <c r="K3098" s="12"/>
      <c r="L3098" s="379"/>
      <c r="M3098" s="380"/>
      <c r="N3098" s="380"/>
      <c r="O3098" s="12"/>
      <c r="P3098" s="381"/>
      <c r="Q3098" s="12"/>
      <c r="R3098" s="12"/>
      <c r="S3098" s="382"/>
      <c r="T3098" s="383"/>
      <c r="U3098" s="384"/>
      <c r="V3098" s="12"/>
      <c r="W3098" s="12"/>
    </row>
    <row r="3099" spans="1:23" x14ac:dyDescent="0.3">
      <c r="A3099" s="193" t="str">
        <f ca="1"/>
        <v/>
      </c>
      <c r="B3099" s="378"/>
      <c r="C3099" s="315"/>
      <c r="D3099" s="316"/>
      <c r="E3099" s="315"/>
      <c r="F3099" s="315"/>
      <c r="G3099" s="315"/>
      <c r="H3099" s="153"/>
      <c r="I3099" s="12"/>
      <c r="J3099" s="12"/>
      <c r="K3099" s="12"/>
      <c r="L3099" s="379"/>
      <c r="M3099" s="380"/>
      <c r="N3099" s="380"/>
      <c r="O3099" s="12"/>
      <c r="P3099" s="381"/>
      <c r="Q3099" s="12"/>
      <c r="R3099" s="12"/>
      <c r="S3099" s="382"/>
      <c r="T3099" s="383"/>
      <c r="U3099" s="384"/>
      <c r="V3099" s="12"/>
      <c r="W3099" s="12"/>
    </row>
    <row r="3100" spans="1:23" x14ac:dyDescent="0.3">
      <c r="A3100" s="193" t="str">
        <f ca="1"/>
        <v/>
      </c>
      <c r="B3100" s="378"/>
      <c r="C3100" s="315"/>
      <c r="D3100" s="316"/>
      <c r="E3100" s="315"/>
      <c r="F3100" s="315"/>
      <c r="G3100" s="315"/>
      <c r="H3100" s="153"/>
      <c r="I3100" s="12"/>
      <c r="J3100" s="12"/>
      <c r="K3100" s="12"/>
      <c r="L3100" s="379"/>
      <c r="M3100" s="380"/>
      <c r="N3100" s="380"/>
      <c r="O3100" s="12"/>
      <c r="P3100" s="381"/>
      <c r="Q3100" s="12"/>
      <c r="R3100" s="12"/>
      <c r="S3100" s="382"/>
      <c r="T3100" s="383"/>
      <c r="U3100" s="384"/>
      <c r="V3100" s="12"/>
      <c r="W3100" s="12"/>
    </row>
    <row r="3101" spans="1:23" x14ac:dyDescent="0.3">
      <c r="A3101" s="193" t="str">
        <f ca="1"/>
        <v/>
      </c>
      <c r="B3101" s="378"/>
      <c r="C3101" s="315"/>
      <c r="D3101" s="316"/>
      <c r="E3101" s="315"/>
      <c r="F3101" s="315"/>
      <c r="G3101" s="315"/>
      <c r="H3101" s="153"/>
      <c r="I3101" s="12"/>
      <c r="J3101" s="12"/>
      <c r="K3101" s="12"/>
      <c r="L3101" s="379"/>
      <c r="M3101" s="380"/>
      <c r="N3101" s="380"/>
      <c r="O3101" s="12"/>
      <c r="P3101" s="381"/>
      <c r="Q3101" s="12"/>
      <c r="R3101" s="12"/>
      <c r="S3101" s="382"/>
      <c r="T3101" s="383"/>
      <c r="U3101" s="384"/>
      <c r="V3101" s="12"/>
      <c r="W3101" s="12"/>
    </row>
    <row r="3102" spans="1:23" x14ac:dyDescent="0.3">
      <c r="A3102" s="193" t="str">
        <f ca="1"/>
        <v/>
      </c>
      <c r="B3102" s="378"/>
      <c r="C3102" s="315"/>
      <c r="D3102" s="316"/>
      <c r="E3102" s="315"/>
      <c r="F3102" s="315"/>
      <c r="G3102" s="315"/>
      <c r="H3102" s="153"/>
      <c r="I3102" s="12"/>
      <c r="J3102" s="12"/>
      <c r="K3102" s="12"/>
      <c r="L3102" s="379"/>
      <c r="M3102" s="380"/>
      <c r="N3102" s="380"/>
      <c r="O3102" s="12"/>
      <c r="P3102" s="381"/>
      <c r="Q3102" s="12"/>
      <c r="R3102" s="12"/>
      <c r="S3102" s="382"/>
      <c r="T3102" s="383"/>
      <c r="U3102" s="384"/>
      <c r="V3102" s="12"/>
      <c r="W3102" s="12"/>
    </row>
    <row r="3103" spans="1:23" x14ac:dyDescent="0.3">
      <c r="A3103" s="193" t="str">
        <f ca="1"/>
        <v/>
      </c>
      <c r="B3103" s="378"/>
      <c r="C3103" s="315"/>
      <c r="D3103" s="316"/>
      <c r="E3103" s="315"/>
      <c r="F3103" s="315"/>
      <c r="G3103" s="315"/>
      <c r="H3103" s="153"/>
      <c r="I3103" s="12"/>
      <c r="J3103" s="12"/>
      <c r="K3103" s="12"/>
      <c r="L3103" s="379"/>
      <c r="M3103" s="380"/>
      <c r="N3103" s="380"/>
      <c r="O3103" s="12"/>
      <c r="P3103" s="381"/>
      <c r="Q3103" s="12"/>
      <c r="R3103" s="12"/>
      <c r="S3103" s="382"/>
      <c r="T3103" s="383"/>
      <c r="U3103" s="384"/>
      <c r="V3103" s="12"/>
      <c r="W3103" s="12"/>
    </row>
    <row r="3104" spans="1:23" x14ac:dyDescent="0.3">
      <c r="A3104" s="193" t="str">
        <f ca="1"/>
        <v/>
      </c>
      <c r="B3104" s="378"/>
      <c r="C3104" s="315"/>
      <c r="D3104" s="316"/>
      <c r="E3104" s="315"/>
      <c r="F3104" s="315"/>
      <c r="G3104" s="315"/>
      <c r="H3104" s="153"/>
      <c r="I3104" s="12"/>
      <c r="J3104" s="12"/>
      <c r="K3104" s="12"/>
      <c r="L3104" s="379"/>
      <c r="M3104" s="380"/>
      <c r="N3104" s="380"/>
      <c r="O3104" s="12"/>
      <c r="P3104" s="381"/>
      <c r="Q3104" s="12"/>
      <c r="R3104" s="12"/>
      <c r="S3104" s="382"/>
      <c r="T3104" s="383"/>
      <c r="U3104" s="384"/>
      <c r="V3104" s="12"/>
      <c r="W3104" s="12"/>
    </row>
    <row r="3105" spans="1:23" x14ac:dyDescent="0.3">
      <c r="A3105" s="193" t="str">
        <f ca="1"/>
        <v/>
      </c>
      <c r="B3105" s="378"/>
      <c r="C3105" s="315"/>
      <c r="D3105" s="316"/>
      <c r="E3105" s="315"/>
      <c r="F3105" s="315"/>
      <c r="G3105" s="315"/>
      <c r="H3105" s="153"/>
      <c r="I3105" s="12"/>
      <c r="J3105" s="12"/>
      <c r="K3105" s="12"/>
      <c r="L3105" s="379"/>
      <c r="M3105" s="380"/>
      <c r="N3105" s="380"/>
      <c r="O3105" s="12"/>
      <c r="P3105" s="381"/>
      <c r="Q3105" s="12"/>
      <c r="R3105" s="12"/>
      <c r="S3105" s="382"/>
      <c r="T3105" s="383"/>
      <c r="U3105" s="384"/>
      <c r="V3105" s="12"/>
      <c r="W3105" s="12"/>
    </row>
    <row r="3106" spans="1:23" x14ac:dyDescent="0.3">
      <c r="A3106" s="193" t="str">
        <f ca="1"/>
        <v/>
      </c>
      <c r="B3106" s="378"/>
      <c r="C3106" s="315"/>
      <c r="D3106" s="316"/>
      <c r="E3106" s="315"/>
      <c r="F3106" s="315"/>
      <c r="G3106" s="315"/>
      <c r="H3106" s="153"/>
      <c r="I3106" s="12"/>
      <c r="J3106" s="12"/>
      <c r="K3106" s="12"/>
      <c r="L3106" s="379"/>
      <c r="M3106" s="380"/>
      <c r="N3106" s="380"/>
      <c r="O3106" s="12"/>
      <c r="P3106" s="381"/>
      <c r="Q3106" s="12"/>
      <c r="R3106" s="12"/>
      <c r="S3106" s="382"/>
      <c r="T3106" s="383"/>
      <c r="U3106" s="384"/>
      <c r="V3106" s="12"/>
      <c r="W3106" s="12"/>
    </row>
    <row r="3107" spans="1:23" x14ac:dyDescent="0.3">
      <c r="A3107" s="193" t="str">
        <f ca="1"/>
        <v/>
      </c>
      <c r="B3107" s="378"/>
      <c r="C3107" s="315"/>
      <c r="D3107" s="316"/>
      <c r="E3107" s="315"/>
      <c r="F3107" s="315"/>
      <c r="G3107" s="315"/>
      <c r="H3107" s="153"/>
      <c r="I3107" s="12"/>
      <c r="J3107" s="12"/>
      <c r="K3107" s="12"/>
      <c r="L3107" s="379"/>
      <c r="M3107" s="380"/>
      <c r="N3107" s="380"/>
      <c r="O3107" s="12"/>
      <c r="P3107" s="381"/>
      <c r="Q3107" s="12"/>
      <c r="R3107" s="12"/>
      <c r="S3107" s="382"/>
      <c r="T3107" s="383"/>
      <c r="U3107" s="384"/>
      <c r="V3107" s="12"/>
      <c r="W3107" s="12"/>
    </row>
    <row r="3108" spans="1:23" x14ac:dyDescent="0.3">
      <c r="A3108" s="193" t="str">
        <f ca="1"/>
        <v/>
      </c>
      <c r="B3108" s="378"/>
      <c r="C3108" s="315"/>
      <c r="D3108" s="316"/>
      <c r="E3108" s="315"/>
      <c r="F3108" s="315"/>
      <c r="G3108" s="315"/>
      <c r="H3108" s="153"/>
      <c r="I3108" s="12"/>
      <c r="J3108" s="12"/>
      <c r="K3108" s="12"/>
      <c r="L3108" s="379"/>
      <c r="M3108" s="380"/>
      <c r="N3108" s="380"/>
      <c r="O3108" s="12"/>
      <c r="P3108" s="381"/>
      <c r="Q3108" s="12"/>
      <c r="R3108" s="12"/>
      <c r="S3108" s="382"/>
      <c r="T3108" s="383"/>
      <c r="U3108" s="384"/>
      <c r="V3108" s="12"/>
      <c r="W3108" s="12"/>
    </row>
    <row r="3109" spans="1:23" x14ac:dyDescent="0.3">
      <c r="A3109" s="193" t="str">
        <f ca="1"/>
        <v/>
      </c>
      <c r="B3109" s="378"/>
      <c r="C3109" s="315"/>
      <c r="D3109" s="316"/>
      <c r="E3109" s="315"/>
      <c r="F3109" s="315"/>
      <c r="G3109" s="315"/>
      <c r="H3109" s="153"/>
      <c r="I3109" s="12"/>
      <c r="J3109" s="12"/>
      <c r="K3109" s="12"/>
      <c r="L3109" s="379"/>
      <c r="M3109" s="380"/>
      <c r="N3109" s="380"/>
      <c r="O3109" s="12"/>
      <c r="P3109" s="381"/>
      <c r="Q3109" s="12"/>
      <c r="R3109" s="12"/>
      <c r="S3109" s="382"/>
      <c r="T3109" s="383"/>
      <c r="U3109" s="384"/>
      <c r="V3109" s="12"/>
      <c r="W3109" s="12"/>
    </row>
    <row r="3110" spans="1:23" x14ac:dyDescent="0.3">
      <c r="A3110" s="193" t="str">
        <f ca="1"/>
        <v/>
      </c>
      <c r="B3110" s="378"/>
      <c r="C3110" s="315"/>
      <c r="D3110" s="316"/>
      <c r="E3110" s="315"/>
      <c r="F3110" s="315"/>
      <c r="G3110" s="315"/>
      <c r="H3110" s="153"/>
      <c r="I3110" s="12"/>
      <c r="J3110" s="12"/>
      <c r="K3110" s="12"/>
      <c r="L3110" s="379"/>
      <c r="M3110" s="380"/>
      <c r="N3110" s="380"/>
      <c r="O3110" s="12"/>
      <c r="P3110" s="381"/>
      <c r="Q3110" s="12"/>
      <c r="R3110" s="12"/>
      <c r="S3110" s="382"/>
      <c r="T3110" s="383"/>
      <c r="U3110" s="384"/>
      <c r="V3110" s="12"/>
      <c r="W3110" s="12"/>
    </row>
    <row r="3111" spans="1:23" x14ac:dyDescent="0.3">
      <c r="A3111" s="193" t="str">
        <f ca="1"/>
        <v/>
      </c>
      <c r="B3111" s="378"/>
      <c r="C3111" s="315"/>
      <c r="D3111" s="316"/>
      <c r="E3111" s="315"/>
      <c r="F3111" s="315"/>
      <c r="G3111" s="315"/>
      <c r="H3111" s="153"/>
      <c r="I3111" s="12"/>
      <c r="J3111" s="12"/>
      <c r="K3111" s="12"/>
      <c r="L3111" s="379"/>
      <c r="M3111" s="380"/>
      <c r="N3111" s="380"/>
      <c r="O3111" s="12"/>
      <c r="P3111" s="381"/>
      <c r="Q3111" s="12"/>
      <c r="R3111" s="12"/>
      <c r="S3111" s="382"/>
      <c r="T3111" s="383"/>
      <c r="U3111" s="384"/>
      <c r="V3111" s="12"/>
      <c r="W3111" s="12"/>
    </row>
    <row r="3112" spans="1:23" x14ac:dyDescent="0.3">
      <c r="A3112" s="193" t="str">
        <f ca="1"/>
        <v/>
      </c>
      <c r="B3112" s="378"/>
      <c r="C3112" s="315"/>
      <c r="D3112" s="316"/>
      <c r="E3112" s="315"/>
      <c r="F3112" s="315"/>
      <c r="G3112" s="315"/>
      <c r="H3112" s="153"/>
      <c r="I3112" s="12"/>
      <c r="J3112" s="12"/>
      <c r="K3112" s="12"/>
      <c r="L3112" s="379"/>
      <c r="M3112" s="380"/>
      <c r="N3112" s="380"/>
      <c r="O3112" s="12"/>
      <c r="P3112" s="381"/>
      <c r="Q3112" s="12"/>
      <c r="R3112" s="12"/>
      <c r="S3112" s="382"/>
      <c r="T3112" s="383"/>
      <c r="U3112" s="384"/>
      <c r="V3112" s="12"/>
      <c r="W3112" s="12"/>
    </row>
    <row r="3113" spans="1:23" x14ac:dyDescent="0.3">
      <c r="A3113" s="193" t="str">
        <f ca="1"/>
        <v/>
      </c>
      <c r="B3113" s="378"/>
      <c r="C3113" s="315"/>
      <c r="D3113" s="316"/>
      <c r="E3113" s="315"/>
      <c r="F3113" s="315"/>
      <c r="G3113" s="315"/>
      <c r="H3113" s="153"/>
      <c r="I3113" s="12"/>
      <c r="J3113" s="12"/>
      <c r="K3113" s="12"/>
      <c r="L3113" s="379"/>
      <c r="M3113" s="380"/>
      <c r="N3113" s="380"/>
      <c r="O3113" s="12"/>
      <c r="P3113" s="381"/>
      <c r="Q3113" s="12"/>
      <c r="R3113" s="12"/>
      <c r="S3113" s="382"/>
      <c r="T3113" s="383"/>
      <c r="U3113" s="384"/>
      <c r="V3113" s="12"/>
      <c r="W3113" s="12"/>
    </row>
    <row r="3114" spans="1:23" x14ac:dyDescent="0.3">
      <c r="A3114" s="193" t="str">
        <f ca="1"/>
        <v/>
      </c>
      <c r="B3114" s="378"/>
      <c r="C3114" s="315"/>
      <c r="D3114" s="316"/>
      <c r="E3114" s="315"/>
      <c r="F3114" s="315"/>
      <c r="G3114" s="315"/>
      <c r="H3114" s="153"/>
      <c r="I3114" s="12"/>
      <c r="J3114" s="12"/>
      <c r="K3114" s="12"/>
      <c r="L3114" s="379"/>
      <c r="M3114" s="380"/>
      <c r="N3114" s="380"/>
      <c r="O3114" s="12"/>
      <c r="P3114" s="381"/>
      <c r="Q3114" s="12"/>
      <c r="R3114" s="12"/>
      <c r="S3114" s="382"/>
      <c r="T3114" s="383"/>
      <c r="U3114" s="384"/>
      <c r="V3114" s="12"/>
      <c r="W3114" s="12"/>
    </row>
    <row r="3115" spans="1:23" x14ac:dyDescent="0.3">
      <c r="A3115" s="193" t="str">
        <f ca="1"/>
        <v/>
      </c>
      <c r="B3115" s="378"/>
      <c r="C3115" s="315"/>
      <c r="D3115" s="316"/>
      <c r="E3115" s="315"/>
      <c r="F3115" s="315"/>
      <c r="G3115" s="315"/>
      <c r="H3115" s="153"/>
      <c r="I3115" s="12"/>
      <c r="J3115" s="12"/>
      <c r="K3115" s="12"/>
      <c r="L3115" s="379"/>
      <c r="M3115" s="380"/>
      <c r="N3115" s="380"/>
      <c r="O3115" s="12"/>
      <c r="P3115" s="381"/>
      <c r="Q3115" s="12"/>
      <c r="R3115" s="12"/>
      <c r="S3115" s="382"/>
      <c r="T3115" s="383"/>
      <c r="U3115" s="384"/>
      <c r="V3115" s="12"/>
      <c r="W3115" s="12"/>
    </row>
    <row r="3116" spans="1:23" x14ac:dyDescent="0.3">
      <c r="A3116" s="193" t="str">
        <f ca="1"/>
        <v/>
      </c>
      <c r="B3116" s="378"/>
      <c r="C3116" s="315"/>
      <c r="D3116" s="316"/>
      <c r="E3116" s="315"/>
      <c r="F3116" s="315"/>
      <c r="G3116" s="315"/>
      <c r="H3116" s="153"/>
      <c r="I3116" s="12"/>
      <c r="J3116" s="12"/>
      <c r="K3116" s="12"/>
      <c r="L3116" s="379"/>
      <c r="M3116" s="380"/>
      <c r="N3116" s="380"/>
      <c r="O3116" s="12"/>
      <c r="P3116" s="381"/>
      <c r="Q3116" s="12"/>
      <c r="R3116" s="12"/>
      <c r="S3116" s="382"/>
      <c r="T3116" s="383"/>
      <c r="U3116" s="384"/>
      <c r="V3116" s="12"/>
      <c r="W3116" s="12"/>
    </row>
    <row r="3117" spans="1:23" x14ac:dyDescent="0.3">
      <c r="A3117" s="193" t="str">
        <f ca="1"/>
        <v/>
      </c>
      <c r="B3117" s="378"/>
      <c r="C3117" s="315"/>
      <c r="D3117" s="316"/>
      <c r="E3117" s="315"/>
      <c r="F3117" s="315"/>
      <c r="G3117" s="315"/>
      <c r="H3117" s="153"/>
      <c r="I3117" s="12"/>
      <c r="J3117" s="12"/>
      <c r="K3117" s="12"/>
      <c r="L3117" s="379"/>
      <c r="M3117" s="380"/>
      <c r="N3117" s="380"/>
      <c r="O3117" s="12"/>
      <c r="P3117" s="381"/>
      <c r="Q3117" s="12"/>
      <c r="R3117" s="12"/>
      <c r="S3117" s="382"/>
      <c r="T3117" s="383"/>
      <c r="U3117" s="384"/>
      <c r="V3117" s="12"/>
      <c r="W3117" s="12"/>
    </row>
    <row r="3118" spans="1:23" x14ac:dyDescent="0.3">
      <c r="A3118" s="193" t="str">
        <f ca="1"/>
        <v/>
      </c>
      <c r="B3118" s="378"/>
      <c r="C3118" s="315"/>
      <c r="D3118" s="316"/>
      <c r="E3118" s="315"/>
      <c r="F3118" s="315"/>
      <c r="G3118" s="315"/>
      <c r="H3118" s="153"/>
      <c r="I3118" s="12"/>
      <c r="J3118" s="12"/>
      <c r="K3118" s="12"/>
      <c r="L3118" s="379"/>
      <c r="M3118" s="380"/>
      <c r="N3118" s="380"/>
      <c r="O3118" s="12"/>
      <c r="P3118" s="381"/>
      <c r="Q3118" s="12"/>
      <c r="R3118" s="12"/>
      <c r="S3118" s="382"/>
      <c r="T3118" s="383"/>
      <c r="U3118" s="384"/>
      <c r="V3118" s="12"/>
      <c r="W3118" s="12"/>
    </row>
    <row r="3119" spans="1:23" x14ac:dyDescent="0.3">
      <c r="A3119" s="193" t="str">
        <f ca="1"/>
        <v/>
      </c>
      <c r="B3119" s="378"/>
      <c r="C3119" s="315"/>
      <c r="D3119" s="316"/>
      <c r="E3119" s="315"/>
      <c r="F3119" s="315"/>
      <c r="G3119" s="315"/>
      <c r="H3119" s="153"/>
      <c r="I3119" s="12"/>
      <c r="J3119" s="12"/>
      <c r="K3119" s="12"/>
      <c r="L3119" s="379"/>
      <c r="M3119" s="380"/>
      <c r="N3119" s="380"/>
      <c r="O3119" s="12"/>
      <c r="P3119" s="381"/>
      <c r="Q3119" s="12"/>
      <c r="R3119" s="12"/>
      <c r="S3119" s="382"/>
      <c r="T3119" s="383"/>
      <c r="U3119" s="384"/>
      <c r="V3119" s="12"/>
      <c r="W3119" s="12"/>
    </row>
    <row r="3120" spans="1:23" x14ac:dyDescent="0.3">
      <c r="A3120" s="193" t="str">
        <f ca="1"/>
        <v/>
      </c>
      <c r="B3120" s="378"/>
      <c r="C3120" s="315"/>
      <c r="D3120" s="316"/>
      <c r="E3120" s="315"/>
      <c r="F3120" s="315"/>
      <c r="G3120" s="315"/>
      <c r="H3120" s="153"/>
      <c r="I3120" s="12"/>
      <c r="J3120" s="12"/>
      <c r="K3120" s="12"/>
      <c r="L3120" s="379"/>
      <c r="M3120" s="380"/>
      <c r="N3120" s="380"/>
      <c r="O3120" s="12"/>
      <c r="P3120" s="381"/>
      <c r="Q3120" s="12"/>
      <c r="R3120" s="12"/>
      <c r="S3120" s="382"/>
      <c r="T3120" s="383"/>
      <c r="U3120" s="384"/>
      <c r="V3120" s="12"/>
      <c r="W3120" s="12"/>
    </row>
    <row r="3121" spans="1:23" x14ac:dyDescent="0.3">
      <c r="A3121" s="193" t="str">
        <f ca="1"/>
        <v/>
      </c>
      <c r="B3121" s="378"/>
      <c r="C3121" s="315"/>
      <c r="D3121" s="316"/>
      <c r="E3121" s="315"/>
      <c r="F3121" s="315"/>
      <c r="G3121" s="315"/>
      <c r="H3121" s="153"/>
      <c r="I3121" s="12"/>
      <c r="J3121" s="12"/>
      <c r="K3121" s="12"/>
      <c r="L3121" s="379"/>
      <c r="M3121" s="380"/>
      <c r="N3121" s="380"/>
      <c r="O3121" s="12"/>
      <c r="P3121" s="381"/>
      <c r="Q3121" s="12"/>
      <c r="R3121" s="12"/>
      <c r="S3121" s="382"/>
      <c r="T3121" s="383"/>
      <c r="U3121" s="384"/>
      <c r="V3121" s="12"/>
      <c r="W3121" s="12"/>
    </row>
    <row r="3122" spans="1:23" x14ac:dyDescent="0.3">
      <c r="A3122" s="193" t="str">
        <f ca="1"/>
        <v/>
      </c>
      <c r="B3122" s="378"/>
      <c r="C3122" s="315"/>
      <c r="D3122" s="316"/>
      <c r="E3122" s="315"/>
      <c r="F3122" s="315"/>
      <c r="G3122" s="315"/>
      <c r="H3122" s="153"/>
      <c r="I3122" s="12"/>
      <c r="J3122" s="12"/>
      <c r="K3122" s="12"/>
      <c r="L3122" s="379"/>
      <c r="M3122" s="380"/>
      <c r="N3122" s="380"/>
      <c r="O3122" s="12"/>
      <c r="P3122" s="381"/>
      <c r="Q3122" s="12"/>
      <c r="R3122" s="12"/>
      <c r="S3122" s="382"/>
      <c r="T3122" s="383"/>
      <c r="U3122" s="384"/>
      <c r="V3122" s="12"/>
      <c r="W3122" s="12"/>
    </row>
    <row r="3123" spans="1:23" x14ac:dyDescent="0.3">
      <c r="A3123" s="193" t="str">
        <f ca="1"/>
        <v/>
      </c>
      <c r="B3123" s="378"/>
      <c r="C3123" s="315"/>
      <c r="D3123" s="316"/>
      <c r="E3123" s="315"/>
      <c r="F3123" s="315"/>
      <c r="G3123" s="315"/>
      <c r="H3123" s="153"/>
      <c r="I3123" s="12"/>
      <c r="J3123" s="12"/>
      <c r="K3123" s="12"/>
      <c r="L3123" s="379"/>
      <c r="M3123" s="380"/>
      <c r="N3123" s="380"/>
      <c r="O3123" s="12"/>
      <c r="P3123" s="381"/>
      <c r="Q3123" s="12"/>
      <c r="R3123" s="12"/>
      <c r="S3123" s="382"/>
      <c r="T3123" s="383"/>
      <c r="U3123" s="384"/>
      <c r="V3123" s="12"/>
      <c r="W3123" s="12"/>
    </row>
    <row r="3124" spans="1:23" x14ac:dyDescent="0.3">
      <c r="A3124" s="193" t="str">
        <f ca="1"/>
        <v/>
      </c>
      <c r="B3124" s="378"/>
      <c r="C3124" s="315"/>
      <c r="D3124" s="316"/>
      <c r="E3124" s="315"/>
      <c r="F3124" s="315"/>
      <c r="G3124" s="315"/>
      <c r="H3124" s="153"/>
      <c r="I3124" s="12"/>
      <c r="J3124" s="12"/>
      <c r="K3124" s="12"/>
      <c r="L3124" s="379"/>
      <c r="M3124" s="380"/>
      <c r="N3124" s="380"/>
      <c r="O3124" s="12"/>
      <c r="P3124" s="381"/>
      <c r="Q3124" s="12"/>
      <c r="R3124" s="12"/>
      <c r="S3124" s="382"/>
      <c r="T3124" s="383"/>
      <c r="U3124" s="384"/>
      <c r="V3124" s="12"/>
      <c r="W3124" s="12"/>
    </row>
    <row r="3125" spans="1:23" x14ac:dyDescent="0.3">
      <c r="A3125" s="193" t="str">
        <f ca="1"/>
        <v/>
      </c>
      <c r="B3125" s="378"/>
      <c r="C3125" s="315"/>
      <c r="D3125" s="316"/>
      <c r="E3125" s="315"/>
      <c r="F3125" s="315"/>
      <c r="G3125" s="315"/>
      <c r="H3125" s="153"/>
      <c r="I3125" s="12"/>
      <c r="J3125" s="12"/>
      <c r="K3125" s="12"/>
      <c r="L3125" s="379"/>
      <c r="M3125" s="380"/>
      <c r="N3125" s="380"/>
      <c r="O3125" s="12"/>
      <c r="P3125" s="381"/>
      <c r="Q3125" s="12"/>
      <c r="R3125" s="12"/>
      <c r="S3125" s="382"/>
      <c r="T3125" s="383"/>
      <c r="U3125" s="384"/>
      <c r="V3125" s="12"/>
      <c r="W3125" s="12"/>
    </row>
    <row r="3126" spans="1:23" x14ac:dyDescent="0.3">
      <c r="A3126" s="193" t="str">
        <f ca="1"/>
        <v/>
      </c>
      <c r="B3126" s="378"/>
      <c r="C3126" s="315"/>
      <c r="D3126" s="316"/>
      <c r="E3126" s="315"/>
      <c r="F3126" s="315"/>
      <c r="G3126" s="315"/>
      <c r="H3126" s="153"/>
      <c r="I3126" s="12"/>
      <c r="J3126" s="12"/>
      <c r="K3126" s="12"/>
      <c r="L3126" s="379"/>
      <c r="M3126" s="380"/>
      <c r="N3126" s="380"/>
      <c r="O3126" s="12"/>
      <c r="P3126" s="381"/>
      <c r="Q3126" s="12"/>
      <c r="R3126" s="12"/>
      <c r="S3126" s="382"/>
      <c r="T3126" s="383"/>
      <c r="U3126" s="384"/>
      <c r="V3126" s="12"/>
      <c r="W3126" s="12"/>
    </row>
    <row r="3127" spans="1:23" x14ac:dyDescent="0.3">
      <c r="A3127" s="193" t="str">
        <f ca="1"/>
        <v/>
      </c>
      <c r="B3127" s="378"/>
      <c r="C3127" s="315"/>
      <c r="D3127" s="316"/>
      <c r="E3127" s="315"/>
      <c r="F3127" s="315"/>
      <c r="G3127" s="315"/>
      <c r="H3127" s="153"/>
      <c r="I3127" s="12"/>
      <c r="J3127" s="12"/>
      <c r="K3127" s="12"/>
      <c r="L3127" s="379"/>
      <c r="M3127" s="380"/>
      <c r="N3127" s="380"/>
      <c r="O3127" s="12"/>
      <c r="P3127" s="381"/>
      <c r="Q3127" s="12"/>
      <c r="R3127" s="12"/>
      <c r="S3127" s="382"/>
      <c r="T3127" s="383"/>
      <c r="U3127" s="384"/>
      <c r="V3127" s="12"/>
      <c r="W3127" s="12"/>
    </row>
    <row r="3128" spans="1:23" x14ac:dyDescent="0.3">
      <c r="A3128" s="193" t="str">
        <f ca="1"/>
        <v/>
      </c>
      <c r="B3128" s="378"/>
      <c r="C3128" s="315"/>
      <c r="D3128" s="316"/>
      <c r="E3128" s="315"/>
      <c r="F3128" s="315"/>
      <c r="G3128" s="315"/>
      <c r="H3128" s="153"/>
      <c r="I3128" s="12"/>
      <c r="J3128" s="12"/>
      <c r="K3128" s="12"/>
      <c r="L3128" s="379"/>
      <c r="M3128" s="380"/>
      <c r="N3128" s="380"/>
      <c r="O3128" s="12"/>
      <c r="P3128" s="381"/>
      <c r="Q3128" s="12"/>
      <c r="R3128" s="12"/>
      <c r="S3128" s="382"/>
      <c r="T3128" s="383"/>
      <c r="U3128" s="384"/>
      <c r="V3128" s="12"/>
      <c r="W3128" s="12"/>
    </row>
    <row r="3129" spans="1:23" x14ac:dyDescent="0.3">
      <c r="A3129" s="193" t="str">
        <f ca="1"/>
        <v/>
      </c>
      <c r="B3129" s="378"/>
      <c r="C3129" s="315"/>
      <c r="D3129" s="316"/>
      <c r="E3129" s="315"/>
      <c r="F3129" s="315"/>
      <c r="G3129" s="315"/>
      <c r="H3129" s="153"/>
      <c r="I3129" s="12"/>
      <c r="J3129" s="12"/>
      <c r="K3129" s="12"/>
      <c r="L3129" s="379"/>
      <c r="M3129" s="380"/>
      <c r="N3129" s="380"/>
      <c r="O3129" s="12"/>
      <c r="P3129" s="381"/>
      <c r="Q3129" s="12"/>
      <c r="R3129" s="12"/>
      <c r="S3129" s="382"/>
      <c r="T3129" s="383"/>
      <c r="U3129" s="384"/>
      <c r="V3129" s="12"/>
      <c r="W3129" s="12"/>
    </row>
    <row r="3130" spans="1:23" x14ac:dyDescent="0.3">
      <c r="A3130" s="193" t="str">
        <f ca="1"/>
        <v/>
      </c>
      <c r="B3130" s="378"/>
      <c r="C3130" s="315"/>
      <c r="D3130" s="316"/>
      <c r="E3130" s="315"/>
      <c r="F3130" s="315"/>
      <c r="G3130" s="315"/>
      <c r="H3130" s="153"/>
      <c r="I3130" s="12"/>
      <c r="J3130" s="12"/>
      <c r="K3130" s="12"/>
      <c r="L3130" s="379"/>
      <c r="M3130" s="380"/>
      <c r="N3130" s="380"/>
      <c r="O3130" s="12"/>
      <c r="P3130" s="381"/>
      <c r="Q3130" s="12"/>
      <c r="R3130" s="12"/>
      <c r="S3130" s="382"/>
      <c r="T3130" s="383"/>
      <c r="U3130" s="384"/>
      <c r="V3130" s="12"/>
      <c r="W3130" s="12"/>
    </row>
    <row r="3131" spans="1:23" x14ac:dyDescent="0.3">
      <c r="A3131" s="193" t="str">
        <f ca="1"/>
        <v/>
      </c>
      <c r="B3131" s="378"/>
      <c r="C3131" s="315"/>
      <c r="D3131" s="316"/>
      <c r="E3131" s="315"/>
      <c r="F3131" s="315"/>
      <c r="G3131" s="315"/>
      <c r="H3131" s="153"/>
      <c r="I3131" s="12"/>
      <c r="J3131" s="12"/>
      <c r="K3131" s="12"/>
      <c r="L3131" s="379"/>
      <c r="M3131" s="380"/>
      <c r="N3131" s="380"/>
      <c r="O3131" s="12"/>
      <c r="P3131" s="381"/>
      <c r="Q3131" s="12"/>
      <c r="R3131" s="12"/>
      <c r="S3131" s="382"/>
      <c r="T3131" s="383"/>
      <c r="U3131" s="384"/>
      <c r="V3131" s="12"/>
      <c r="W3131" s="12"/>
    </row>
    <row r="3132" spans="1:23" x14ac:dyDescent="0.3">
      <c r="A3132" s="193" t="str">
        <f ca="1"/>
        <v/>
      </c>
      <c r="B3132" s="378"/>
      <c r="C3132" s="315"/>
      <c r="D3132" s="316"/>
      <c r="E3132" s="315"/>
      <c r="F3132" s="315"/>
      <c r="G3132" s="315"/>
      <c r="H3132" s="153"/>
      <c r="I3132" s="12"/>
      <c r="J3132" s="12"/>
      <c r="K3132" s="12"/>
      <c r="L3132" s="379"/>
      <c r="M3132" s="380"/>
      <c r="N3132" s="380"/>
      <c r="O3132" s="12"/>
      <c r="P3132" s="381"/>
      <c r="Q3132" s="12"/>
      <c r="R3132" s="12"/>
      <c r="S3132" s="382"/>
      <c r="T3132" s="383"/>
      <c r="U3132" s="384"/>
      <c r="V3132" s="12"/>
      <c r="W3132" s="12"/>
    </row>
    <row r="3133" spans="1:23" x14ac:dyDescent="0.3">
      <c r="A3133" s="193" t="str">
        <f ca="1"/>
        <v/>
      </c>
      <c r="B3133" s="378"/>
      <c r="C3133" s="315"/>
      <c r="D3133" s="316"/>
      <c r="E3133" s="315"/>
      <c r="F3133" s="315"/>
      <c r="G3133" s="315"/>
      <c r="H3133" s="153"/>
      <c r="I3133" s="12"/>
      <c r="J3133" s="12"/>
      <c r="K3133" s="12"/>
      <c r="L3133" s="379"/>
      <c r="M3133" s="380"/>
      <c r="N3133" s="380"/>
      <c r="O3133" s="12"/>
      <c r="P3133" s="381"/>
      <c r="Q3133" s="12"/>
      <c r="R3133" s="12"/>
      <c r="S3133" s="382"/>
      <c r="T3133" s="383"/>
      <c r="U3133" s="384"/>
      <c r="V3133" s="12"/>
      <c r="W3133" s="12"/>
    </row>
    <row r="3134" spans="1:23" x14ac:dyDescent="0.3">
      <c r="A3134" s="193" t="str">
        <f ca="1"/>
        <v/>
      </c>
      <c r="B3134" s="378"/>
      <c r="C3134" s="315"/>
      <c r="D3134" s="316"/>
      <c r="E3134" s="315"/>
      <c r="F3134" s="315"/>
      <c r="G3134" s="315"/>
      <c r="H3134" s="153"/>
      <c r="I3134" s="12"/>
      <c r="J3134" s="12"/>
      <c r="K3134" s="12"/>
      <c r="L3134" s="379"/>
      <c r="M3134" s="380"/>
      <c r="N3134" s="380"/>
      <c r="O3134" s="12"/>
      <c r="P3134" s="381"/>
      <c r="Q3134" s="12"/>
      <c r="R3134" s="12"/>
      <c r="S3134" s="382"/>
      <c r="T3134" s="383"/>
      <c r="U3134" s="384"/>
      <c r="V3134" s="12"/>
      <c r="W3134" s="12"/>
    </row>
    <row r="3135" spans="1:23" x14ac:dyDescent="0.3">
      <c r="A3135" s="193" t="str">
        <f ca="1"/>
        <v/>
      </c>
      <c r="B3135" s="378"/>
      <c r="C3135" s="315"/>
      <c r="D3135" s="316"/>
      <c r="E3135" s="315"/>
      <c r="F3135" s="315"/>
      <c r="G3135" s="315"/>
      <c r="H3135" s="153"/>
      <c r="I3135" s="12"/>
      <c r="J3135" s="12"/>
      <c r="K3135" s="12"/>
      <c r="L3135" s="379"/>
      <c r="M3135" s="380"/>
      <c r="N3135" s="380"/>
      <c r="O3135" s="12"/>
      <c r="P3135" s="381"/>
      <c r="Q3135" s="12"/>
      <c r="R3135" s="12"/>
      <c r="S3135" s="382"/>
      <c r="T3135" s="383"/>
      <c r="U3135" s="384"/>
      <c r="V3135" s="12"/>
      <c r="W3135" s="12"/>
    </row>
    <row r="3136" spans="1:23" x14ac:dyDescent="0.3">
      <c r="A3136" s="193" t="str">
        <f ca="1"/>
        <v/>
      </c>
      <c r="B3136" s="378"/>
      <c r="C3136" s="315"/>
      <c r="D3136" s="316"/>
      <c r="E3136" s="315"/>
      <c r="F3136" s="315"/>
      <c r="G3136" s="315"/>
      <c r="H3136" s="153"/>
      <c r="I3136" s="12"/>
      <c r="J3136" s="12"/>
      <c r="K3136" s="12"/>
      <c r="L3136" s="379"/>
      <c r="M3136" s="380"/>
      <c r="N3136" s="380"/>
      <c r="O3136" s="12"/>
      <c r="P3136" s="381"/>
      <c r="Q3136" s="12"/>
      <c r="R3136" s="12"/>
      <c r="S3136" s="382"/>
      <c r="T3136" s="383"/>
      <c r="U3136" s="384"/>
      <c r="V3136" s="12"/>
      <c r="W3136" s="12"/>
    </row>
    <row r="3137" spans="1:23" x14ac:dyDescent="0.3">
      <c r="A3137" s="193" t="str">
        <f ca="1"/>
        <v/>
      </c>
      <c r="B3137" s="378"/>
      <c r="C3137" s="315"/>
      <c r="D3137" s="316"/>
      <c r="E3137" s="315"/>
      <c r="F3137" s="315"/>
      <c r="G3137" s="315"/>
      <c r="H3137" s="153"/>
      <c r="I3137" s="12"/>
      <c r="J3137" s="12"/>
      <c r="K3137" s="12"/>
      <c r="L3137" s="379"/>
      <c r="M3137" s="380"/>
      <c r="N3137" s="380"/>
      <c r="O3137" s="12"/>
      <c r="P3137" s="381"/>
      <c r="Q3137" s="12"/>
      <c r="R3137" s="12"/>
      <c r="S3137" s="382"/>
      <c r="T3137" s="383"/>
      <c r="U3137" s="384"/>
      <c r="V3137" s="12"/>
      <c r="W3137" s="12"/>
    </row>
    <row r="3138" spans="1:23" x14ac:dyDescent="0.3">
      <c r="A3138" s="193" t="str">
        <f ca="1"/>
        <v/>
      </c>
      <c r="B3138" s="378"/>
      <c r="C3138" s="315"/>
      <c r="D3138" s="316"/>
      <c r="E3138" s="315"/>
      <c r="F3138" s="315"/>
      <c r="G3138" s="315"/>
      <c r="H3138" s="153"/>
      <c r="I3138" s="12"/>
      <c r="J3138" s="12"/>
      <c r="K3138" s="12"/>
      <c r="L3138" s="379"/>
      <c r="M3138" s="380"/>
      <c r="N3138" s="380"/>
      <c r="O3138" s="12"/>
      <c r="P3138" s="381"/>
      <c r="Q3138" s="12"/>
      <c r="R3138" s="12"/>
      <c r="S3138" s="382"/>
      <c r="T3138" s="383"/>
      <c r="U3138" s="384"/>
      <c r="V3138" s="12"/>
      <c r="W3138" s="12"/>
    </row>
    <row r="3139" spans="1:23" x14ac:dyDescent="0.3">
      <c r="A3139" s="193" t="str">
        <f ca="1"/>
        <v/>
      </c>
      <c r="B3139" s="378"/>
      <c r="C3139" s="315"/>
      <c r="D3139" s="316"/>
      <c r="E3139" s="315"/>
      <c r="F3139" s="315"/>
      <c r="G3139" s="315"/>
      <c r="H3139" s="153"/>
      <c r="I3139" s="12"/>
      <c r="J3139" s="12"/>
      <c r="K3139" s="12"/>
      <c r="L3139" s="379"/>
      <c r="M3139" s="380"/>
      <c r="N3139" s="380"/>
      <c r="O3139" s="12"/>
      <c r="P3139" s="381"/>
      <c r="Q3139" s="12"/>
      <c r="R3139" s="12"/>
      <c r="S3139" s="382"/>
      <c r="T3139" s="383"/>
      <c r="U3139" s="384"/>
      <c r="V3139" s="12"/>
      <c r="W3139" s="12"/>
    </row>
    <row r="3140" spans="1:23" x14ac:dyDescent="0.3">
      <c r="A3140" s="193" t="str">
        <f ca="1"/>
        <v/>
      </c>
      <c r="B3140" s="378"/>
      <c r="C3140" s="315"/>
      <c r="D3140" s="316"/>
      <c r="E3140" s="315"/>
      <c r="F3140" s="315"/>
      <c r="G3140" s="315"/>
      <c r="H3140" s="153"/>
      <c r="I3140" s="12"/>
      <c r="J3140" s="12"/>
      <c r="K3140" s="12"/>
      <c r="L3140" s="379"/>
      <c r="M3140" s="380"/>
      <c r="N3140" s="380"/>
      <c r="O3140" s="12"/>
      <c r="P3140" s="381"/>
      <c r="Q3140" s="12"/>
      <c r="R3140" s="12"/>
      <c r="S3140" s="382"/>
      <c r="T3140" s="383"/>
      <c r="U3140" s="384"/>
      <c r="V3140" s="12"/>
      <c r="W3140" s="12"/>
    </row>
    <row r="3141" spans="1:23" x14ac:dyDescent="0.3">
      <c r="A3141" s="193" t="str">
        <f ca="1"/>
        <v/>
      </c>
      <c r="B3141" s="378"/>
      <c r="C3141" s="315"/>
      <c r="D3141" s="316"/>
      <c r="E3141" s="315"/>
      <c r="F3141" s="315"/>
      <c r="G3141" s="315"/>
      <c r="H3141" s="153"/>
      <c r="I3141" s="12"/>
      <c r="J3141" s="12"/>
      <c r="K3141" s="12"/>
      <c r="L3141" s="379"/>
      <c r="M3141" s="380"/>
      <c r="N3141" s="380"/>
      <c r="O3141" s="12"/>
      <c r="P3141" s="381"/>
      <c r="Q3141" s="12"/>
      <c r="R3141" s="12"/>
      <c r="S3141" s="382"/>
      <c r="T3141" s="383"/>
      <c r="U3141" s="384"/>
      <c r="V3141" s="12"/>
      <c r="W3141" s="12"/>
    </row>
    <row r="3142" spans="1:23" x14ac:dyDescent="0.3">
      <c r="A3142" s="193" t="str">
        <f ca="1"/>
        <v/>
      </c>
      <c r="B3142" s="378"/>
      <c r="C3142" s="315"/>
      <c r="D3142" s="316"/>
      <c r="E3142" s="315"/>
      <c r="F3142" s="315"/>
      <c r="G3142" s="315"/>
      <c r="H3142" s="153"/>
      <c r="I3142" s="12"/>
      <c r="J3142" s="12"/>
      <c r="K3142" s="12"/>
      <c r="L3142" s="379"/>
      <c r="M3142" s="380"/>
      <c r="N3142" s="380"/>
      <c r="O3142" s="12"/>
      <c r="P3142" s="381"/>
      <c r="Q3142" s="12"/>
      <c r="R3142" s="12"/>
      <c r="S3142" s="382"/>
      <c r="T3142" s="383"/>
      <c r="U3142" s="384"/>
      <c r="V3142" s="12"/>
      <c r="W3142" s="12"/>
    </row>
    <row r="3143" spans="1:23" x14ac:dyDescent="0.3">
      <c r="A3143" s="193" t="str">
        <f ca="1"/>
        <v/>
      </c>
      <c r="B3143" s="378"/>
      <c r="C3143" s="315"/>
      <c r="D3143" s="316"/>
      <c r="E3143" s="315"/>
      <c r="F3143" s="315"/>
      <c r="G3143" s="315"/>
      <c r="H3143" s="153"/>
      <c r="I3143" s="12"/>
      <c r="J3143" s="12"/>
      <c r="K3143" s="12"/>
      <c r="L3143" s="379"/>
      <c r="M3143" s="380"/>
      <c r="N3143" s="380"/>
      <c r="O3143" s="12"/>
      <c r="P3143" s="381"/>
      <c r="Q3143" s="12"/>
      <c r="R3143" s="12"/>
      <c r="S3143" s="382"/>
      <c r="T3143" s="383"/>
      <c r="U3143" s="384"/>
      <c r="V3143" s="12"/>
      <c r="W3143" s="12"/>
    </row>
    <row r="3144" spans="1:23" x14ac:dyDescent="0.3">
      <c r="A3144" s="193" t="str">
        <f ca="1"/>
        <v/>
      </c>
      <c r="B3144" s="378"/>
      <c r="C3144" s="315"/>
      <c r="D3144" s="316"/>
      <c r="E3144" s="315"/>
      <c r="F3144" s="315"/>
      <c r="G3144" s="315"/>
      <c r="H3144" s="153"/>
      <c r="I3144" s="12"/>
      <c r="J3144" s="12"/>
      <c r="K3144" s="12"/>
      <c r="L3144" s="379"/>
      <c r="M3144" s="380"/>
      <c r="N3144" s="380"/>
      <c r="O3144" s="12"/>
      <c r="P3144" s="381"/>
      <c r="Q3144" s="12"/>
      <c r="R3144" s="12"/>
      <c r="S3144" s="382"/>
      <c r="T3144" s="383"/>
      <c r="U3144" s="384"/>
      <c r="V3144" s="12"/>
      <c r="W3144" s="12"/>
    </row>
    <row r="3145" spans="1:23" x14ac:dyDescent="0.3">
      <c r="A3145" s="193" t="str">
        <f ca="1"/>
        <v/>
      </c>
      <c r="B3145" s="378"/>
      <c r="C3145" s="315"/>
      <c r="D3145" s="316"/>
      <c r="E3145" s="315"/>
      <c r="F3145" s="315"/>
      <c r="G3145" s="315"/>
      <c r="H3145" s="153"/>
      <c r="I3145" s="12"/>
      <c r="J3145" s="12"/>
      <c r="K3145" s="12"/>
      <c r="L3145" s="379"/>
      <c r="M3145" s="380"/>
      <c r="N3145" s="380"/>
      <c r="O3145" s="12"/>
      <c r="P3145" s="381"/>
      <c r="Q3145" s="12"/>
      <c r="R3145" s="12"/>
      <c r="S3145" s="382"/>
      <c r="T3145" s="383"/>
      <c r="U3145" s="384"/>
      <c r="V3145" s="12"/>
      <c r="W3145" s="12"/>
    </row>
    <row r="3146" spans="1:23" x14ac:dyDescent="0.3">
      <c r="A3146" s="193" t="str">
        <f ca="1"/>
        <v/>
      </c>
      <c r="B3146" s="378"/>
      <c r="C3146" s="315"/>
      <c r="D3146" s="316"/>
      <c r="E3146" s="315"/>
      <c r="F3146" s="315"/>
      <c r="G3146" s="315"/>
      <c r="H3146" s="153"/>
      <c r="I3146" s="12"/>
      <c r="J3146" s="12"/>
      <c r="K3146" s="12"/>
      <c r="L3146" s="379"/>
      <c r="M3146" s="380"/>
      <c r="N3146" s="380"/>
      <c r="O3146" s="12"/>
      <c r="P3146" s="381"/>
      <c r="Q3146" s="12"/>
      <c r="R3146" s="12"/>
      <c r="S3146" s="382"/>
      <c r="T3146" s="383"/>
      <c r="U3146" s="384"/>
      <c r="V3146" s="12"/>
      <c r="W3146" s="12"/>
    </row>
    <row r="3147" spans="1:23" x14ac:dyDescent="0.3">
      <c r="A3147" s="193" t="str">
        <f ca="1"/>
        <v/>
      </c>
      <c r="B3147" s="378"/>
      <c r="C3147" s="315"/>
      <c r="D3147" s="316"/>
      <c r="E3147" s="315"/>
      <c r="F3147" s="315"/>
      <c r="G3147" s="315"/>
      <c r="H3147" s="153"/>
      <c r="I3147" s="12"/>
      <c r="J3147" s="12"/>
      <c r="K3147" s="12"/>
      <c r="L3147" s="379"/>
      <c r="M3147" s="380"/>
      <c r="N3147" s="380"/>
      <c r="O3147" s="12"/>
      <c r="P3147" s="381"/>
      <c r="Q3147" s="12"/>
      <c r="R3147" s="12"/>
      <c r="S3147" s="382"/>
      <c r="T3147" s="383"/>
      <c r="U3147" s="384"/>
      <c r="V3147" s="12"/>
      <c r="W3147" s="12"/>
    </row>
    <row r="3148" spans="1:23" x14ac:dyDescent="0.3">
      <c r="A3148" s="193" t="str">
        <f ca="1"/>
        <v/>
      </c>
      <c r="B3148" s="378"/>
      <c r="C3148" s="315"/>
      <c r="D3148" s="316"/>
      <c r="E3148" s="315"/>
      <c r="F3148" s="315"/>
      <c r="G3148" s="315"/>
      <c r="H3148" s="153"/>
      <c r="I3148" s="12"/>
      <c r="J3148" s="12"/>
      <c r="K3148" s="12"/>
      <c r="L3148" s="379"/>
      <c r="M3148" s="380"/>
      <c r="N3148" s="380"/>
      <c r="O3148" s="12"/>
      <c r="P3148" s="381"/>
      <c r="Q3148" s="12"/>
      <c r="R3148" s="12"/>
      <c r="S3148" s="382"/>
      <c r="T3148" s="383"/>
      <c r="U3148" s="384"/>
      <c r="V3148" s="12"/>
      <c r="W3148" s="12"/>
    </row>
    <row r="3149" spans="1:23" x14ac:dyDescent="0.3">
      <c r="A3149" s="193" t="str">
        <f ca="1"/>
        <v/>
      </c>
      <c r="B3149" s="378"/>
      <c r="C3149" s="315"/>
      <c r="D3149" s="316"/>
      <c r="E3149" s="315"/>
      <c r="F3149" s="315"/>
      <c r="G3149" s="315"/>
      <c r="H3149" s="153"/>
      <c r="I3149" s="12"/>
      <c r="J3149" s="12"/>
      <c r="K3149" s="12"/>
      <c r="L3149" s="379"/>
      <c r="M3149" s="380"/>
      <c r="N3149" s="380"/>
      <c r="O3149" s="12"/>
      <c r="P3149" s="381"/>
      <c r="Q3149" s="12"/>
      <c r="R3149" s="12"/>
      <c r="S3149" s="382"/>
      <c r="T3149" s="383"/>
      <c r="U3149" s="384"/>
      <c r="V3149" s="12"/>
      <c r="W3149" s="12"/>
    </row>
    <row r="3150" spans="1:23" x14ac:dyDescent="0.3">
      <c r="A3150" s="193" t="str">
        <f ca="1"/>
        <v/>
      </c>
      <c r="B3150" s="378"/>
      <c r="C3150" s="315"/>
      <c r="D3150" s="316"/>
      <c r="E3150" s="315"/>
      <c r="F3150" s="315"/>
      <c r="G3150" s="315"/>
      <c r="H3150" s="153"/>
      <c r="I3150" s="12"/>
      <c r="J3150" s="12"/>
      <c r="K3150" s="12"/>
      <c r="L3150" s="379"/>
      <c r="M3150" s="380"/>
      <c r="N3150" s="380"/>
      <c r="O3150" s="12"/>
      <c r="P3150" s="381"/>
      <c r="Q3150" s="12"/>
      <c r="R3150" s="12"/>
      <c r="S3150" s="382"/>
      <c r="T3150" s="383"/>
      <c r="U3150" s="384"/>
      <c r="V3150" s="12"/>
      <c r="W3150" s="12"/>
    </row>
    <row r="3151" spans="1:23" x14ac:dyDescent="0.3">
      <c r="A3151" s="193" t="str">
        <f ca="1"/>
        <v/>
      </c>
      <c r="B3151" s="378"/>
      <c r="C3151" s="315"/>
      <c r="D3151" s="316"/>
      <c r="E3151" s="315"/>
      <c r="F3151" s="315"/>
      <c r="G3151" s="315"/>
      <c r="H3151" s="153"/>
      <c r="I3151" s="12"/>
      <c r="J3151" s="12"/>
      <c r="K3151" s="12"/>
      <c r="L3151" s="379"/>
      <c r="M3151" s="380"/>
      <c r="N3151" s="380"/>
      <c r="O3151" s="12"/>
      <c r="P3151" s="381"/>
      <c r="Q3151" s="12"/>
      <c r="R3151" s="12"/>
      <c r="S3151" s="382"/>
      <c r="T3151" s="383"/>
      <c r="U3151" s="384"/>
      <c r="V3151" s="12"/>
      <c r="W3151" s="12"/>
    </row>
    <row r="3152" spans="1:23" x14ac:dyDescent="0.3">
      <c r="A3152" s="193" t="str">
        <f ca="1"/>
        <v/>
      </c>
      <c r="B3152" s="378"/>
      <c r="C3152" s="315"/>
      <c r="D3152" s="316"/>
      <c r="E3152" s="315"/>
      <c r="F3152" s="315"/>
      <c r="G3152" s="315"/>
      <c r="H3152" s="153"/>
      <c r="I3152" s="12"/>
      <c r="J3152" s="12"/>
      <c r="K3152" s="12"/>
      <c r="L3152" s="379"/>
      <c r="M3152" s="380"/>
      <c r="N3152" s="380"/>
      <c r="O3152" s="12"/>
      <c r="P3152" s="381"/>
      <c r="Q3152" s="12"/>
      <c r="R3152" s="12"/>
      <c r="S3152" s="382"/>
      <c r="T3152" s="383"/>
      <c r="U3152" s="384"/>
      <c r="V3152" s="12"/>
      <c r="W3152" s="12"/>
    </row>
    <row r="3153" spans="1:23" x14ac:dyDescent="0.3">
      <c r="A3153" s="193" t="str">
        <f ca="1"/>
        <v/>
      </c>
      <c r="B3153" s="378"/>
      <c r="C3153" s="315"/>
      <c r="D3153" s="316"/>
      <c r="E3153" s="315"/>
      <c r="F3153" s="315"/>
      <c r="G3153" s="315"/>
      <c r="H3153" s="153"/>
      <c r="I3153" s="12"/>
      <c r="J3153" s="12"/>
      <c r="K3153" s="12"/>
      <c r="L3153" s="379"/>
      <c r="M3153" s="380"/>
      <c r="N3153" s="380"/>
      <c r="O3153" s="12"/>
      <c r="P3153" s="381"/>
      <c r="Q3153" s="12"/>
      <c r="R3153" s="12"/>
      <c r="S3153" s="382"/>
      <c r="T3153" s="383"/>
      <c r="U3153" s="384"/>
      <c r="V3153" s="12"/>
      <c r="W3153" s="12"/>
    </row>
    <row r="3154" spans="1:23" x14ac:dyDescent="0.3">
      <c r="A3154" s="193" t="str">
        <f ca="1"/>
        <v/>
      </c>
      <c r="B3154" s="378"/>
      <c r="C3154" s="315"/>
      <c r="D3154" s="316"/>
      <c r="E3154" s="315"/>
      <c r="F3154" s="315"/>
      <c r="G3154" s="315"/>
      <c r="H3154" s="153"/>
      <c r="I3154" s="12"/>
      <c r="J3154" s="12"/>
      <c r="K3154" s="12"/>
      <c r="L3154" s="379"/>
      <c r="M3154" s="380"/>
      <c r="N3154" s="380"/>
      <c r="O3154" s="12"/>
      <c r="P3154" s="381"/>
      <c r="Q3154" s="12"/>
      <c r="R3154" s="12"/>
      <c r="S3154" s="382"/>
      <c r="T3154" s="383"/>
      <c r="U3154" s="384"/>
      <c r="V3154" s="12"/>
      <c r="W3154" s="12"/>
    </row>
    <row r="3155" spans="1:23" x14ac:dyDescent="0.3">
      <c r="A3155" s="193" t="str">
        <f ca="1"/>
        <v/>
      </c>
      <c r="B3155" s="378"/>
      <c r="C3155" s="315"/>
      <c r="D3155" s="316"/>
      <c r="E3155" s="315"/>
      <c r="F3155" s="315"/>
      <c r="G3155" s="315"/>
      <c r="H3155" s="153"/>
      <c r="I3155" s="12"/>
      <c r="J3155" s="12"/>
      <c r="K3155" s="12"/>
      <c r="L3155" s="379"/>
      <c r="M3155" s="380"/>
      <c r="N3155" s="380"/>
      <c r="O3155" s="12"/>
      <c r="P3155" s="381"/>
      <c r="Q3155" s="12"/>
      <c r="R3155" s="12"/>
      <c r="S3155" s="382"/>
      <c r="T3155" s="383"/>
      <c r="U3155" s="384"/>
      <c r="V3155" s="12"/>
      <c r="W3155" s="12"/>
    </row>
    <row r="3156" spans="1:23" x14ac:dyDescent="0.3">
      <c r="A3156" s="193" t="str">
        <f ca="1"/>
        <v/>
      </c>
      <c r="B3156" s="378"/>
      <c r="C3156" s="315"/>
      <c r="D3156" s="316"/>
      <c r="E3156" s="315"/>
      <c r="F3156" s="315"/>
      <c r="G3156" s="315"/>
      <c r="H3156" s="153"/>
      <c r="I3156" s="12"/>
      <c r="J3156" s="12"/>
      <c r="K3156" s="12"/>
      <c r="L3156" s="379"/>
      <c r="M3156" s="380"/>
      <c r="N3156" s="380"/>
      <c r="O3156" s="12"/>
      <c r="P3156" s="381"/>
      <c r="Q3156" s="12"/>
      <c r="R3156" s="12"/>
      <c r="S3156" s="382"/>
      <c r="T3156" s="383"/>
      <c r="U3156" s="384"/>
      <c r="V3156" s="12"/>
      <c r="W3156" s="12"/>
    </row>
    <row r="3157" spans="1:23" x14ac:dyDescent="0.3">
      <c r="A3157" s="193" t="str">
        <f ca="1"/>
        <v/>
      </c>
      <c r="B3157" s="378"/>
      <c r="C3157" s="315"/>
      <c r="D3157" s="316"/>
      <c r="E3157" s="315"/>
      <c r="F3157" s="315"/>
      <c r="G3157" s="315"/>
      <c r="H3157" s="153"/>
      <c r="I3157" s="12"/>
      <c r="J3157" s="12"/>
      <c r="K3157" s="12"/>
      <c r="L3157" s="379"/>
      <c r="M3157" s="380"/>
      <c r="N3157" s="380"/>
      <c r="O3157" s="12"/>
      <c r="P3157" s="381"/>
      <c r="Q3157" s="12"/>
      <c r="R3157" s="12"/>
      <c r="S3157" s="382"/>
      <c r="T3157" s="383"/>
      <c r="U3157" s="384"/>
      <c r="V3157" s="12"/>
      <c r="W3157" s="12"/>
    </row>
    <row r="3158" spans="1:23" x14ac:dyDescent="0.3">
      <c r="A3158" s="193" t="str">
        <f ca="1"/>
        <v/>
      </c>
      <c r="B3158" s="378"/>
      <c r="C3158" s="315"/>
      <c r="D3158" s="316"/>
      <c r="E3158" s="315"/>
      <c r="F3158" s="315"/>
      <c r="G3158" s="315"/>
      <c r="H3158" s="153"/>
      <c r="I3158" s="12"/>
      <c r="J3158" s="12"/>
      <c r="K3158" s="12"/>
      <c r="L3158" s="379"/>
      <c r="M3158" s="380"/>
      <c r="N3158" s="380"/>
      <c r="O3158" s="12"/>
      <c r="P3158" s="381"/>
      <c r="Q3158" s="12"/>
      <c r="R3158" s="12"/>
      <c r="S3158" s="382"/>
      <c r="T3158" s="383"/>
      <c r="U3158" s="384"/>
      <c r="V3158" s="12"/>
      <c r="W3158" s="12"/>
    </row>
    <row r="3159" spans="1:23" x14ac:dyDescent="0.3">
      <c r="A3159" s="193" t="str">
        <f ca="1"/>
        <v/>
      </c>
      <c r="B3159" s="378"/>
      <c r="C3159" s="315"/>
      <c r="D3159" s="316"/>
      <c r="E3159" s="315"/>
      <c r="F3159" s="315"/>
      <c r="G3159" s="315"/>
      <c r="H3159" s="153"/>
      <c r="I3159" s="12"/>
      <c r="J3159" s="12"/>
      <c r="K3159" s="12"/>
      <c r="L3159" s="379"/>
      <c r="M3159" s="380"/>
      <c r="N3159" s="380"/>
      <c r="O3159" s="12"/>
      <c r="P3159" s="381"/>
      <c r="Q3159" s="12"/>
      <c r="R3159" s="12"/>
      <c r="S3159" s="382"/>
      <c r="T3159" s="383"/>
      <c r="U3159" s="384"/>
      <c r="V3159" s="12"/>
      <c r="W3159" s="12"/>
    </row>
    <row r="3160" spans="1:23" x14ac:dyDescent="0.3">
      <c r="A3160" s="193" t="str">
        <f ca="1"/>
        <v/>
      </c>
      <c r="B3160" s="378"/>
      <c r="C3160" s="315"/>
      <c r="D3160" s="316"/>
      <c r="E3160" s="315"/>
      <c r="F3160" s="315"/>
      <c r="G3160" s="315"/>
      <c r="H3160" s="153"/>
      <c r="I3160" s="12"/>
      <c r="J3160" s="12"/>
      <c r="K3160" s="12"/>
      <c r="L3160" s="379"/>
      <c r="M3160" s="380"/>
      <c r="N3160" s="380"/>
      <c r="O3160" s="12"/>
      <c r="P3160" s="381"/>
      <c r="Q3160" s="12"/>
      <c r="R3160" s="12"/>
      <c r="S3160" s="382"/>
      <c r="T3160" s="383"/>
      <c r="U3160" s="384"/>
      <c r="V3160" s="12"/>
      <c r="W3160" s="12"/>
    </row>
    <row r="3161" spans="1:23" x14ac:dyDescent="0.3">
      <c r="A3161" s="193" t="str">
        <f ca="1"/>
        <v/>
      </c>
      <c r="B3161" s="378"/>
      <c r="C3161" s="315"/>
      <c r="D3161" s="316"/>
      <c r="E3161" s="315"/>
      <c r="F3161" s="315"/>
      <c r="G3161" s="315"/>
      <c r="H3161" s="153"/>
      <c r="I3161" s="12"/>
      <c r="J3161" s="12"/>
      <c r="K3161" s="12"/>
      <c r="L3161" s="379"/>
      <c r="M3161" s="380"/>
      <c r="N3161" s="380"/>
      <c r="O3161" s="12"/>
      <c r="P3161" s="381"/>
      <c r="Q3161" s="12"/>
      <c r="R3161" s="12"/>
      <c r="S3161" s="382"/>
      <c r="T3161" s="383"/>
      <c r="U3161" s="384"/>
      <c r="V3161" s="12"/>
      <c r="W3161" s="12"/>
    </row>
    <row r="3162" spans="1:23" x14ac:dyDescent="0.3">
      <c r="A3162" s="193" t="str">
        <f ca="1"/>
        <v/>
      </c>
      <c r="B3162" s="378"/>
      <c r="C3162" s="315"/>
      <c r="D3162" s="316"/>
      <c r="E3162" s="315"/>
      <c r="F3162" s="315"/>
      <c r="G3162" s="315"/>
      <c r="H3162" s="153"/>
      <c r="I3162" s="12"/>
      <c r="J3162" s="12"/>
      <c r="K3162" s="12"/>
      <c r="L3162" s="379"/>
      <c r="M3162" s="380"/>
      <c r="N3162" s="380"/>
      <c r="O3162" s="12"/>
      <c r="P3162" s="381"/>
      <c r="Q3162" s="12"/>
      <c r="R3162" s="12"/>
      <c r="S3162" s="382"/>
      <c r="T3162" s="383"/>
      <c r="U3162" s="384"/>
      <c r="V3162" s="12"/>
      <c r="W3162" s="12"/>
    </row>
    <row r="3163" spans="1:23" x14ac:dyDescent="0.3">
      <c r="A3163" s="193" t="str">
        <f ca="1"/>
        <v/>
      </c>
      <c r="B3163" s="378"/>
      <c r="C3163" s="315"/>
      <c r="D3163" s="316"/>
      <c r="E3163" s="315"/>
      <c r="F3163" s="315"/>
      <c r="G3163" s="315"/>
      <c r="H3163" s="153"/>
      <c r="I3163" s="12"/>
      <c r="J3163" s="12"/>
      <c r="K3163" s="12"/>
      <c r="L3163" s="379"/>
      <c r="M3163" s="380"/>
      <c r="N3163" s="380"/>
      <c r="O3163" s="12"/>
      <c r="P3163" s="381"/>
      <c r="Q3163" s="12"/>
      <c r="R3163" s="12"/>
      <c r="S3163" s="382"/>
      <c r="T3163" s="383"/>
      <c r="U3163" s="384"/>
      <c r="V3163" s="12"/>
      <c r="W3163" s="12"/>
    </row>
    <row r="3164" spans="1:23" x14ac:dyDescent="0.3">
      <c r="A3164" s="193" t="str">
        <f ca="1"/>
        <v/>
      </c>
      <c r="B3164" s="378"/>
      <c r="C3164" s="315"/>
      <c r="D3164" s="316"/>
      <c r="E3164" s="315"/>
      <c r="F3164" s="315"/>
      <c r="G3164" s="315"/>
      <c r="H3164" s="153"/>
      <c r="I3164" s="12"/>
      <c r="J3164" s="12"/>
      <c r="K3164" s="12"/>
      <c r="L3164" s="379"/>
      <c r="M3164" s="380"/>
      <c r="N3164" s="380"/>
      <c r="O3164" s="12"/>
      <c r="P3164" s="381"/>
      <c r="Q3164" s="12"/>
      <c r="R3164" s="12"/>
      <c r="S3164" s="382"/>
      <c r="T3164" s="383"/>
      <c r="U3164" s="384"/>
      <c r="V3164" s="12"/>
      <c r="W3164" s="12"/>
    </row>
    <row r="3165" spans="1:23" x14ac:dyDescent="0.3">
      <c r="A3165" s="193" t="str">
        <f ca="1"/>
        <v/>
      </c>
      <c r="B3165" s="378"/>
      <c r="C3165" s="315"/>
      <c r="D3165" s="316"/>
      <c r="E3165" s="315"/>
      <c r="F3165" s="315"/>
      <c r="G3165" s="315"/>
      <c r="H3165" s="153"/>
      <c r="I3165" s="12"/>
      <c r="J3165" s="12"/>
      <c r="K3165" s="12"/>
      <c r="L3165" s="379"/>
      <c r="M3165" s="380"/>
      <c r="N3165" s="380"/>
      <c r="O3165" s="12"/>
      <c r="P3165" s="381"/>
      <c r="Q3165" s="12"/>
      <c r="R3165" s="12"/>
      <c r="S3165" s="382"/>
      <c r="T3165" s="383"/>
      <c r="U3165" s="384"/>
      <c r="V3165" s="12"/>
      <c r="W3165" s="12"/>
    </row>
    <row r="3166" spans="1:23" x14ac:dyDescent="0.3">
      <c r="A3166" s="193" t="str">
        <f ca="1"/>
        <v/>
      </c>
      <c r="B3166" s="378"/>
      <c r="C3166" s="315"/>
      <c r="D3166" s="316"/>
      <c r="E3166" s="315"/>
      <c r="F3166" s="315"/>
      <c r="G3166" s="315"/>
      <c r="H3166" s="153"/>
      <c r="I3166" s="12"/>
      <c r="J3166" s="12"/>
      <c r="K3166" s="12"/>
      <c r="L3166" s="379"/>
      <c r="M3166" s="380"/>
      <c r="N3166" s="380"/>
      <c r="O3166" s="12"/>
      <c r="P3166" s="381"/>
      <c r="Q3166" s="12"/>
      <c r="R3166" s="12"/>
      <c r="S3166" s="382"/>
      <c r="T3166" s="383"/>
      <c r="U3166" s="384"/>
      <c r="V3166" s="12"/>
      <c r="W3166" s="12"/>
    </row>
    <row r="3167" spans="1:23" x14ac:dyDescent="0.3">
      <c r="A3167" s="193" t="str">
        <f ca="1"/>
        <v/>
      </c>
      <c r="B3167" s="378"/>
      <c r="C3167" s="315"/>
      <c r="D3167" s="316"/>
      <c r="E3167" s="315"/>
      <c r="F3167" s="315"/>
      <c r="G3167" s="315"/>
      <c r="H3167" s="153"/>
      <c r="I3167" s="12"/>
      <c r="J3167" s="12"/>
      <c r="K3167" s="12"/>
      <c r="L3167" s="379"/>
      <c r="M3167" s="380"/>
      <c r="N3167" s="380"/>
      <c r="O3167" s="12"/>
      <c r="P3167" s="381"/>
      <c r="Q3167" s="12"/>
      <c r="R3167" s="12"/>
      <c r="S3167" s="382"/>
      <c r="T3167" s="383"/>
      <c r="U3167" s="384"/>
      <c r="V3167" s="12"/>
      <c r="W3167"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024"/>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4.44140625" defaultRowHeight="15" customHeight="1" outlineLevelCol="1" x14ac:dyDescent="0.3"/>
  <cols>
    <col min="1" max="1" width="21.109375" customWidth="1"/>
    <col min="2" max="2" width="29.6640625" customWidth="1"/>
    <col min="3" max="3" width="21.6640625" customWidth="1"/>
    <col min="4" max="4" width="25.33203125" customWidth="1"/>
    <col min="5" max="5" width="29" customWidth="1"/>
    <col min="6" max="6" width="14.33203125" customWidth="1"/>
    <col min="7" max="7" width="17" customWidth="1"/>
    <col min="8" max="8" width="12.44140625" customWidth="1"/>
    <col min="9" max="9" width="12.88671875" customWidth="1"/>
    <col min="10" max="10" width="12.6640625" customWidth="1"/>
    <col min="11" max="11" width="12.88671875" customWidth="1"/>
    <col min="12" max="12" width="20.6640625" customWidth="1"/>
    <col min="13" max="13" width="9.109375" customWidth="1"/>
    <col min="14" max="14" width="14.5546875" customWidth="1"/>
    <col min="15" max="15" width="15.6640625" customWidth="1"/>
    <col min="16" max="16" width="11.33203125" customWidth="1" outlineLevel="1"/>
    <col min="17" max="17" width="10.44140625" hidden="1" customWidth="1"/>
    <col min="18" max="18" width="12.6640625" customWidth="1"/>
    <col min="19" max="19" width="20" customWidth="1"/>
    <col min="20" max="20" width="8.6640625" customWidth="1"/>
    <col min="21" max="21" width="19.5546875" customWidth="1"/>
    <col min="22" max="26" width="8.6640625" customWidth="1"/>
  </cols>
  <sheetData>
    <row r="1" spans="1:26" ht="18" hidden="1" customHeight="1" x14ac:dyDescent="0.35">
      <c r="A1" s="1" t="s">
        <v>0</v>
      </c>
      <c r="B1" s="2"/>
      <c r="C1" s="3"/>
      <c r="D1" s="3"/>
      <c r="E1" s="2"/>
      <c r="F1" s="3"/>
      <c r="G1" s="402"/>
      <c r="H1" s="403"/>
      <c r="I1" s="404"/>
      <c r="J1" s="5"/>
      <c r="K1" s="5"/>
      <c r="L1" s="3"/>
      <c r="M1" s="6"/>
      <c r="N1" s="4"/>
      <c r="O1" s="4"/>
      <c r="P1" s="7"/>
      <c r="Q1" s="7"/>
      <c r="R1" s="7"/>
      <c r="S1" s="151"/>
      <c r="T1" s="7"/>
      <c r="U1" s="7"/>
      <c r="V1" s="7"/>
      <c r="W1" s="7"/>
      <c r="X1" s="7"/>
      <c r="Y1" s="7"/>
      <c r="Z1" s="7"/>
    </row>
    <row r="2" spans="1:26" ht="22.5" hidden="1" customHeight="1" x14ac:dyDescent="0.45">
      <c r="A2" s="3"/>
      <c r="B2" s="8"/>
      <c r="C2" s="3"/>
      <c r="D2" s="3"/>
      <c r="E2" s="8"/>
      <c r="F2" s="3"/>
      <c r="G2" s="402"/>
      <c r="H2" s="403"/>
      <c r="I2" s="404"/>
      <c r="J2" s="5"/>
      <c r="K2" s="5"/>
      <c r="L2" s="3"/>
      <c r="M2" s="10" t="s">
        <v>1</v>
      </c>
      <c r="N2" s="11"/>
      <c r="O2" s="9"/>
      <c r="P2" s="12"/>
      <c r="Q2" s="12"/>
      <c r="R2" s="12"/>
      <c r="S2" s="151"/>
      <c r="T2" s="12"/>
      <c r="U2" s="12"/>
      <c r="V2" s="12"/>
      <c r="W2" s="12"/>
      <c r="X2" s="12"/>
      <c r="Y2" s="12"/>
      <c r="Z2" s="12"/>
    </row>
    <row r="3" spans="1:26" ht="14.4" x14ac:dyDescent="0.3">
      <c r="A3" s="13" t="s">
        <v>2</v>
      </c>
      <c r="B3" s="13"/>
      <c r="C3" s="13"/>
      <c r="D3" s="13"/>
      <c r="E3" s="13"/>
      <c r="F3" s="13"/>
      <c r="G3" s="405"/>
      <c r="H3" s="406"/>
      <c r="I3" s="407"/>
      <c r="J3" s="13"/>
      <c r="K3" s="13"/>
      <c r="L3" s="13"/>
      <c r="M3" s="13"/>
      <c r="N3" s="14"/>
      <c r="O3" s="13"/>
      <c r="P3" s="12" t="s">
        <v>3</v>
      </c>
      <c r="Q3" s="12"/>
      <c r="R3" s="12"/>
      <c r="S3" s="151"/>
      <c r="T3" s="12"/>
      <c r="U3" s="12"/>
      <c r="V3" s="12"/>
      <c r="W3" s="12"/>
      <c r="X3" s="12"/>
      <c r="Y3" s="12"/>
      <c r="Z3" s="12"/>
    </row>
    <row r="4" spans="1:26" ht="14.4" x14ac:dyDescent="0.3">
      <c r="A4" s="13" t="s">
        <v>4</v>
      </c>
      <c r="B4" s="13"/>
      <c r="C4" s="13"/>
      <c r="D4" s="13"/>
      <c r="E4" s="13"/>
      <c r="F4" s="13"/>
      <c r="G4" s="405"/>
      <c r="H4" s="406"/>
      <c r="I4" s="407"/>
      <c r="J4" s="13"/>
      <c r="K4" s="13"/>
      <c r="L4" s="13"/>
      <c r="M4" s="13"/>
      <c r="N4" s="14"/>
      <c r="O4" s="13"/>
      <c r="P4" s="12"/>
      <c r="Q4" s="12"/>
      <c r="R4" s="12"/>
      <c r="S4" s="151"/>
      <c r="T4" s="12"/>
      <c r="U4" s="12"/>
      <c r="V4" s="12"/>
      <c r="W4" s="12"/>
      <c r="X4" s="12"/>
      <c r="Y4" s="12"/>
      <c r="Z4" s="12"/>
    </row>
    <row r="5" spans="1:26" ht="14.4" x14ac:dyDescent="0.3">
      <c r="A5" s="8" t="s">
        <v>5</v>
      </c>
      <c r="B5" s="8"/>
      <c r="C5" s="8"/>
      <c r="D5" s="8"/>
      <c r="E5" s="8"/>
      <c r="F5" s="8"/>
      <c r="G5" s="402"/>
      <c r="H5" s="403"/>
      <c r="I5" s="408"/>
      <c r="J5" s="8"/>
      <c r="K5" s="8"/>
      <c r="L5" s="8"/>
      <c r="M5" s="8"/>
      <c r="N5" s="9"/>
      <c r="O5" s="8"/>
      <c r="P5" s="12"/>
      <c r="Q5" s="12"/>
      <c r="R5" s="12"/>
      <c r="S5" s="151"/>
      <c r="T5" s="12"/>
      <c r="U5" s="12"/>
      <c r="V5" s="12"/>
      <c r="W5" s="12"/>
      <c r="X5" s="12"/>
      <c r="Y5" s="12"/>
      <c r="Z5" s="12"/>
    </row>
    <row r="6" spans="1:26" ht="41.4" x14ac:dyDescent="0.3">
      <c r="A6" s="15" t="s">
        <v>6</v>
      </c>
      <c r="B6" s="16" t="s">
        <v>7</v>
      </c>
      <c r="C6" s="16" t="s">
        <v>8</v>
      </c>
      <c r="D6" s="16"/>
      <c r="E6" s="16"/>
      <c r="F6" s="15" t="s">
        <v>9</v>
      </c>
      <c r="G6" s="409" t="s">
        <v>10</v>
      </c>
      <c r="H6" s="410" t="s">
        <v>11</v>
      </c>
      <c r="I6" s="411" t="s">
        <v>12</v>
      </c>
      <c r="J6" s="18" t="s">
        <v>13</v>
      </c>
      <c r="K6" s="19"/>
      <c r="L6" s="20" t="s">
        <v>14</v>
      </c>
      <c r="M6" s="21" t="s">
        <v>15</v>
      </c>
      <c r="N6" s="22" t="s">
        <v>15</v>
      </c>
      <c r="O6" s="23" t="s">
        <v>16</v>
      </c>
      <c r="P6" s="24"/>
      <c r="Q6" s="25"/>
      <c r="R6" s="25"/>
      <c r="S6" s="25"/>
      <c r="T6" s="25"/>
      <c r="U6" s="25"/>
      <c r="V6" s="25"/>
      <c r="W6" s="25"/>
      <c r="X6" s="25"/>
      <c r="Y6" s="25"/>
      <c r="Z6" s="25"/>
    </row>
    <row r="7" spans="1:26" ht="12.75" customHeight="1" x14ac:dyDescent="0.3">
      <c r="A7" s="15"/>
      <c r="B7" s="16"/>
      <c r="C7" s="16" t="s">
        <v>17</v>
      </c>
      <c r="D7" s="16" t="s">
        <v>18</v>
      </c>
      <c r="E7" s="16" t="s">
        <v>19</v>
      </c>
      <c r="F7" s="15"/>
      <c r="G7" s="409"/>
      <c r="H7" s="410" t="s">
        <v>2028</v>
      </c>
      <c r="I7" s="412"/>
      <c r="J7" s="26"/>
      <c r="K7" s="27"/>
      <c r="L7" s="20"/>
      <c r="M7" s="21"/>
      <c r="N7" s="22"/>
      <c r="O7" s="23"/>
      <c r="P7" s="25"/>
      <c r="Q7" s="25"/>
      <c r="R7" s="25"/>
      <c r="S7" s="25"/>
      <c r="T7" s="25"/>
      <c r="U7" s="25"/>
      <c r="V7" s="25"/>
      <c r="W7" s="25"/>
      <c r="X7" s="25"/>
      <c r="Y7" s="25"/>
      <c r="Z7" s="25"/>
    </row>
    <row r="8" spans="1:26" ht="27.6" x14ac:dyDescent="0.3">
      <c r="A8" s="15"/>
      <c r="B8" s="16"/>
      <c r="C8" s="16"/>
      <c r="D8" s="16"/>
      <c r="E8" s="16"/>
      <c r="F8" s="29" t="s">
        <v>24</v>
      </c>
      <c r="G8" s="409"/>
      <c r="H8" s="410"/>
      <c r="I8" s="413"/>
      <c r="J8" s="30"/>
      <c r="K8" s="31"/>
      <c r="L8" s="28" t="s">
        <v>25</v>
      </c>
      <c r="M8" s="21"/>
      <c r="N8" s="22"/>
      <c r="O8" s="23">
        <f>SUM(O9:O3024)</f>
        <v>1527203.7100000011</v>
      </c>
      <c r="P8" s="32" t="s">
        <v>26</v>
      </c>
      <c r="Q8" s="32"/>
      <c r="R8" s="32"/>
      <c r="S8" s="32"/>
      <c r="T8" s="32"/>
      <c r="U8" s="32"/>
      <c r="V8" s="32"/>
      <c r="W8" s="32"/>
      <c r="X8" s="32"/>
      <c r="Y8" s="32"/>
      <c r="Z8" s="32"/>
    </row>
    <row r="9" spans="1:26" ht="15" customHeight="1" x14ac:dyDescent="0.3">
      <c r="A9" s="45" t="str">
        <f ca="1">IFERROR(__xludf.DUMMYFUNCTION("""Unique Count: "" &amp; COUNTUNIQUE(B9:B1643)"),"Unique Count: 601")</f>
        <v>Unique Count: 601</v>
      </c>
      <c r="B9" s="46" t="s">
        <v>840</v>
      </c>
      <c r="C9" s="194" t="s">
        <v>2020</v>
      </c>
      <c r="D9" s="46"/>
      <c r="E9" s="46" t="s">
        <v>841</v>
      </c>
      <c r="F9" s="61" t="s">
        <v>31</v>
      </c>
      <c r="G9" s="288">
        <v>8.5</v>
      </c>
      <c r="H9" s="289">
        <v>113</v>
      </c>
      <c r="I9" s="290">
        <v>20</v>
      </c>
      <c r="J9" s="48" t="s">
        <v>39</v>
      </c>
      <c r="K9" s="50"/>
      <c r="L9" s="53" t="str">
        <f t="shared" ref="L9:L263" si="0">CONCATENATE(I9,J9)</f>
        <v>20grams</v>
      </c>
      <c r="M9" s="54">
        <f t="shared" ref="M9:M263" si="1">H9*I9</f>
        <v>2260</v>
      </c>
      <c r="N9" s="55" t="str">
        <f t="shared" ref="N9:N263" si="2">CONCATENATE(M9,K9,J9)</f>
        <v>2260grams</v>
      </c>
      <c r="O9" s="56">
        <f t="shared" ref="O9:O263" si="3">G9*H9</f>
        <v>960.5</v>
      </c>
      <c r="P9" s="12"/>
      <c r="Q9" s="12"/>
      <c r="R9" s="12"/>
      <c r="S9" s="151"/>
      <c r="T9" s="12"/>
      <c r="U9" s="12"/>
      <c r="V9" s="12"/>
      <c r="W9" s="12"/>
      <c r="X9" s="12"/>
      <c r="Y9" s="12"/>
      <c r="Z9" s="12"/>
    </row>
    <row r="10" spans="1:26" ht="15" customHeight="1" x14ac:dyDescent="0.3">
      <c r="A10" s="45"/>
      <c r="B10" s="46" t="s">
        <v>840</v>
      </c>
      <c r="C10" s="194" t="s">
        <v>2021</v>
      </c>
      <c r="D10" s="46"/>
      <c r="E10" s="46" t="s">
        <v>841</v>
      </c>
      <c r="F10" s="61" t="s">
        <v>31</v>
      </c>
      <c r="G10" s="291">
        <v>8.5299999999999994</v>
      </c>
      <c r="H10" s="292">
        <v>16</v>
      </c>
      <c r="I10" s="293">
        <v>30</v>
      </c>
      <c r="J10" s="414" t="s">
        <v>39</v>
      </c>
      <c r="K10" s="50"/>
      <c r="L10" s="53" t="str">
        <f t="shared" si="0"/>
        <v>30grams</v>
      </c>
      <c r="M10" s="54">
        <f t="shared" si="1"/>
        <v>480</v>
      </c>
      <c r="N10" s="55" t="str">
        <f t="shared" si="2"/>
        <v>480grams</v>
      </c>
      <c r="O10" s="56">
        <f t="shared" si="3"/>
        <v>136.47999999999999</v>
      </c>
      <c r="P10" s="12"/>
      <c r="Q10" s="12"/>
      <c r="R10" s="12"/>
      <c r="S10" s="151"/>
      <c r="T10" s="12"/>
      <c r="U10" s="12"/>
      <c r="V10" s="12"/>
      <c r="W10" s="12"/>
      <c r="X10" s="12"/>
      <c r="Y10" s="12"/>
      <c r="Z10" s="12"/>
    </row>
    <row r="11" spans="1:26" ht="15" customHeight="1" x14ac:dyDescent="0.3">
      <c r="A11" s="45"/>
      <c r="B11" s="46" t="s">
        <v>840</v>
      </c>
      <c r="C11" s="194" t="s">
        <v>2020</v>
      </c>
      <c r="D11" s="46"/>
      <c r="E11" s="46" t="s">
        <v>841</v>
      </c>
      <c r="F11" s="61" t="s">
        <v>31</v>
      </c>
      <c r="G11" s="288">
        <v>8.5</v>
      </c>
      <c r="H11" s="289">
        <v>92</v>
      </c>
      <c r="I11" s="290">
        <v>20</v>
      </c>
      <c r="J11" s="48" t="s">
        <v>39</v>
      </c>
      <c r="K11" s="50"/>
      <c r="L11" s="53" t="str">
        <f t="shared" si="0"/>
        <v>20grams</v>
      </c>
      <c r="M11" s="54">
        <f t="shared" si="1"/>
        <v>1840</v>
      </c>
      <c r="N11" s="55" t="str">
        <f t="shared" si="2"/>
        <v>1840grams</v>
      </c>
      <c r="O11" s="56">
        <f t="shared" si="3"/>
        <v>782</v>
      </c>
      <c r="P11" s="12"/>
      <c r="Q11" s="12"/>
      <c r="R11" s="12"/>
      <c r="S11" s="151"/>
      <c r="T11" s="12"/>
      <c r="U11" s="12"/>
      <c r="V11" s="12"/>
      <c r="W11" s="12"/>
      <c r="X11" s="12"/>
      <c r="Y11" s="12"/>
      <c r="Z11" s="12"/>
    </row>
    <row r="12" spans="1:26" ht="15" customHeight="1" x14ac:dyDescent="0.3">
      <c r="A12" s="45"/>
      <c r="B12" s="46" t="s">
        <v>840</v>
      </c>
      <c r="C12" s="194" t="s">
        <v>2020</v>
      </c>
      <c r="D12" s="46"/>
      <c r="E12" s="46" t="s">
        <v>842</v>
      </c>
      <c r="F12" s="61" t="s">
        <v>31</v>
      </c>
      <c r="G12" s="288">
        <v>8.5</v>
      </c>
      <c r="H12" s="289">
        <v>21</v>
      </c>
      <c r="I12" s="290">
        <v>20</v>
      </c>
      <c r="J12" s="48" t="s">
        <v>39</v>
      </c>
      <c r="K12" s="50"/>
      <c r="L12" s="53" t="str">
        <f t="shared" si="0"/>
        <v>20grams</v>
      </c>
      <c r="M12" s="54">
        <f t="shared" si="1"/>
        <v>420</v>
      </c>
      <c r="N12" s="55" t="str">
        <f t="shared" si="2"/>
        <v>420grams</v>
      </c>
      <c r="O12" s="56">
        <f t="shared" si="3"/>
        <v>178.5</v>
      </c>
      <c r="P12" s="12"/>
      <c r="Q12" s="12"/>
      <c r="R12" s="12"/>
      <c r="S12" s="151"/>
      <c r="T12" s="12"/>
      <c r="U12" s="12"/>
      <c r="V12" s="12"/>
      <c r="W12" s="12"/>
      <c r="X12" s="12"/>
      <c r="Y12" s="12"/>
      <c r="Z12" s="12"/>
    </row>
    <row r="13" spans="1:26" ht="15" customHeight="1" x14ac:dyDescent="0.3">
      <c r="A13" s="45"/>
      <c r="B13" s="46" t="s">
        <v>840</v>
      </c>
      <c r="C13" s="194" t="s">
        <v>2022</v>
      </c>
      <c r="D13" s="46"/>
      <c r="E13" s="46" t="s">
        <v>842</v>
      </c>
      <c r="F13" s="61" t="s">
        <v>31</v>
      </c>
      <c r="G13" s="288">
        <v>7.7</v>
      </c>
      <c r="H13" s="289">
        <v>15</v>
      </c>
      <c r="I13" s="290">
        <v>26</v>
      </c>
      <c r="J13" s="48" t="s">
        <v>39</v>
      </c>
      <c r="K13" s="50"/>
      <c r="L13" s="53" t="str">
        <f t="shared" si="0"/>
        <v>26grams</v>
      </c>
      <c r="M13" s="54">
        <f t="shared" si="1"/>
        <v>390</v>
      </c>
      <c r="N13" s="55" t="str">
        <f t="shared" si="2"/>
        <v>390grams</v>
      </c>
      <c r="O13" s="56">
        <f t="shared" si="3"/>
        <v>115.5</v>
      </c>
      <c r="P13" s="12"/>
      <c r="Q13" s="12"/>
      <c r="R13" s="12"/>
      <c r="S13" s="151"/>
      <c r="T13" s="12"/>
      <c r="U13" s="12"/>
      <c r="V13" s="12"/>
      <c r="W13" s="12"/>
      <c r="X13" s="12"/>
      <c r="Y13" s="12"/>
      <c r="Z13" s="12"/>
    </row>
    <row r="14" spans="1:26" ht="15" customHeight="1" x14ac:dyDescent="0.3">
      <c r="A14" s="45"/>
      <c r="B14" s="46" t="s">
        <v>840</v>
      </c>
      <c r="C14" s="194" t="s">
        <v>2022</v>
      </c>
      <c r="D14" s="46"/>
      <c r="E14" s="46" t="s">
        <v>841</v>
      </c>
      <c r="F14" s="61" t="s">
        <v>31</v>
      </c>
      <c r="G14" s="288">
        <v>7.7</v>
      </c>
      <c r="H14" s="289">
        <v>18</v>
      </c>
      <c r="I14" s="290">
        <v>30</v>
      </c>
      <c r="J14" s="48" t="s">
        <v>39</v>
      </c>
      <c r="K14" s="50"/>
      <c r="L14" s="53" t="str">
        <f t="shared" si="0"/>
        <v>30grams</v>
      </c>
      <c r="M14" s="54">
        <f t="shared" si="1"/>
        <v>540</v>
      </c>
      <c r="N14" s="55" t="str">
        <f t="shared" si="2"/>
        <v>540grams</v>
      </c>
      <c r="O14" s="56">
        <f t="shared" si="3"/>
        <v>138.6</v>
      </c>
      <c r="P14" s="12"/>
      <c r="Q14" s="12"/>
      <c r="R14" s="12"/>
      <c r="S14" s="151"/>
      <c r="T14" s="12"/>
      <c r="U14" s="12"/>
      <c r="V14" s="12"/>
      <c r="W14" s="12"/>
      <c r="X14" s="12"/>
      <c r="Y14" s="12"/>
      <c r="Z14" s="12"/>
    </row>
    <row r="15" spans="1:26" ht="15" customHeight="1" x14ac:dyDescent="0.3">
      <c r="A15" s="45"/>
      <c r="B15" s="46" t="s">
        <v>840</v>
      </c>
      <c r="C15" s="194" t="s">
        <v>2022</v>
      </c>
      <c r="D15" s="46"/>
      <c r="E15" s="46" t="s">
        <v>841</v>
      </c>
      <c r="F15" s="61" t="s">
        <v>31</v>
      </c>
      <c r="G15" s="288">
        <v>7.7</v>
      </c>
      <c r="H15" s="289">
        <v>10</v>
      </c>
      <c r="I15" s="290">
        <v>30</v>
      </c>
      <c r="J15" s="48" t="s">
        <v>39</v>
      </c>
      <c r="K15" s="50"/>
      <c r="L15" s="53" t="str">
        <f t="shared" si="0"/>
        <v>30grams</v>
      </c>
      <c r="M15" s="54">
        <f t="shared" si="1"/>
        <v>300</v>
      </c>
      <c r="N15" s="55" t="str">
        <f t="shared" si="2"/>
        <v>300grams</v>
      </c>
      <c r="O15" s="56">
        <f t="shared" si="3"/>
        <v>77</v>
      </c>
      <c r="P15" s="12"/>
      <c r="Q15" s="12"/>
      <c r="R15" s="12"/>
      <c r="S15" s="151"/>
      <c r="T15" s="12"/>
      <c r="U15" s="12"/>
      <c r="V15" s="12"/>
      <c r="W15" s="12"/>
      <c r="X15" s="12"/>
      <c r="Y15" s="12"/>
      <c r="Z15" s="12"/>
    </row>
    <row r="16" spans="1:26" ht="15" customHeight="1" x14ac:dyDescent="0.3">
      <c r="A16" s="45"/>
      <c r="B16" s="46" t="s">
        <v>840</v>
      </c>
      <c r="C16" s="194" t="s">
        <v>2021</v>
      </c>
      <c r="D16" s="46"/>
      <c r="E16" s="46" t="s">
        <v>842</v>
      </c>
      <c r="F16" s="61" t="s">
        <v>31</v>
      </c>
      <c r="G16" s="291">
        <v>7.74</v>
      </c>
      <c r="H16" s="292">
        <v>8</v>
      </c>
      <c r="I16" s="293">
        <v>28</v>
      </c>
      <c r="J16" s="414" t="s">
        <v>39</v>
      </c>
      <c r="K16" s="50"/>
      <c r="L16" s="53" t="str">
        <f t="shared" si="0"/>
        <v>28grams</v>
      </c>
      <c r="M16" s="54">
        <f t="shared" si="1"/>
        <v>224</v>
      </c>
      <c r="N16" s="55" t="str">
        <f t="shared" si="2"/>
        <v>224grams</v>
      </c>
      <c r="O16" s="56">
        <f t="shared" si="3"/>
        <v>61.92</v>
      </c>
      <c r="P16" s="12"/>
      <c r="Q16" s="12"/>
      <c r="R16" s="12"/>
      <c r="S16" s="151"/>
      <c r="T16" s="12"/>
      <c r="U16" s="12"/>
      <c r="V16" s="12"/>
      <c r="W16" s="12"/>
      <c r="X16" s="12"/>
      <c r="Y16" s="12"/>
      <c r="Z16" s="12"/>
    </row>
    <row r="17" spans="1:26" ht="15" customHeight="1" x14ac:dyDescent="0.3">
      <c r="A17" s="45"/>
      <c r="B17" s="46" t="s">
        <v>840</v>
      </c>
      <c r="C17" s="194" t="s">
        <v>2021</v>
      </c>
      <c r="D17" s="46"/>
      <c r="E17" s="219" t="s">
        <v>843</v>
      </c>
      <c r="F17" s="61" t="s">
        <v>31</v>
      </c>
      <c r="G17" s="291">
        <v>8.6999999999999993</v>
      </c>
      <c r="H17" s="292">
        <v>5</v>
      </c>
      <c r="I17" s="293">
        <v>25</v>
      </c>
      <c r="J17" s="414" t="s">
        <v>39</v>
      </c>
      <c r="K17" s="50"/>
      <c r="L17" s="53" t="str">
        <f t="shared" si="0"/>
        <v>25grams</v>
      </c>
      <c r="M17" s="54">
        <f t="shared" si="1"/>
        <v>125</v>
      </c>
      <c r="N17" s="55" t="str">
        <f t="shared" si="2"/>
        <v>125grams</v>
      </c>
      <c r="O17" s="56">
        <f t="shared" si="3"/>
        <v>43.5</v>
      </c>
      <c r="P17" s="12"/>
      <c r="Q17" s="12"/>
      <c r="R17" s="12"/>
      <c r="S17" s="151"/>
      <c r="T17" s="12"/>
      <c r="U17" s="12"/>
      <c r="V17" s="12"/>
      <c r="W17" s="12"/>
      <c r="X17" s="12"/>
      <c r="Y17" s="12"/>
      <c r="Z17" s="12"/>
    </row>
    <row r="18" spans="1:26" ht="15" customHeight="1" x14ac:dyDescent="0.3">
      <c r="A18" s="45"/>
      <c r="B18" s="46" t="s">
        <v>840</v>
      </c>
      <c r="C18" s="194" t="s">
        <v>2022</v>
      </c>
      <c r="D18" s="46"/>
      <c r="E18" s="46" t="s">
        <v>843</v>
      </c>
      <c r="F18" s="61" t="s">
        <v>31</v>
      </c>
      <c r="G18" s="288">
        <v>7.7</v>
      </c>
      <c r="H18" s="289">
        <v>2</v>
      </c>
      <c r="I18" s="290">
        <v>30</v>
      </c>
      <c r="J18" s="48" t="s">
        <v>39</v>
      </c>
      <c r="K18" s="50"/>
      <c r="L18" s="53" t="str">
        <f t="shared" si="0"/>
        <v>30grams</v>
      </c>
      <c r="M18" s="54">
        <f t="shared" si="1"/>
        <v>60</v>
      </c>
      <c r="N18" s="55" t="str">
        <f t="shared" si="2"/>
        <v>60grams</v>
      </c>
      <c r="O18" s="56">
        <f t="shared" si="3"/>
        <v>15.4</v>
      </c>
      <c r="P18" s="12"/>
      <c r="Q18" s="12"/>
      <c r="R18" s="12"/>
      <c r="S18" s="151"/>
      <c r="T18" s="12"/>
      <c r="U18" s="12"/>
      <c r="V18" s="12"/>
      <c r="W18" s="12"/>
      <c r="X18" s="12"/>
      <c r="Y18" s="12"/>
      <c r="Z18" s="12"/>
    </row>
    <row r="19" spans="1:26" ht="15" customHeight="1" x14ac:dyDescent="0.3">
      <c r="A19" s="45"/>
      <c r="B19" s="46" t="s">
        <v>840</v>
      </c>
      <c r="C19" s="194" t="s">
        <v>2023</v>
      </c>
      <c r="D19" s="46"/>
      <c r="E19" s="46" t="s">
        <v>844</v>
      </c>
      <c r="F19" s="61" t="s">
        <v>31</v>
      </c>
      <c r="G19" s="288">
        <v>7.65</v>
      </c>
      <c r="H19" s="289">
        <v>763</v>
      </c>
      <c r="I19" s="290">
        <v>26</v>
      </c>
      <c r="J19" s="48" t="s">
        <v>39</v>
      </c>
      <c r="K19" s="50"/>
      <c r="L19" s="53" t="str">
        <f t="shared" si="0"/>
        <v>26grams</v>
      </c>
      <c r="M19" s="54">
        <f t="shared" si="1"/>
        <v>19838</v>
      </c>
      <c r="N19" s="55" t="str">
        <f t="shared" si="2"/>
        <v>19838grams</v>
      </c>
      <c r="O19" s="56">
        <f t="shared" si="3"/>
        <v>5836.95</v>
      </c>
      <c r="P19" s="12"/>
      <c r="Q19" s="12"/>
      <c r="R19" s="12"/>
      <c r="S19" s="151"/>
      <c r="T19" s="12"/>
      <c r="U19" s="12"/>
      <c r="V19" s="12"/>
      <c r="W19" s="12"/>
      <c r="X19" s="12"/>
      <c r="Y19" s="12"/>
      <c r="Z19" s="12"/>
    </row>
    <row r="20" spans="1:26" ht="15" customHeight="1" x14ac:dyDescent="0.3">
      <c r="A20" s="45">
        <v>18</v>
      </c>
      <c r="B20" s="46" t="s">
        <v>840</v>
      </c>
      <c r="C20" s="194" t="s">
        <v>29</v>
      </c>
      <c r="D20" s="46"/>
      <c r="E20" s="46" t="s">
        <v>845</v>
      </c>
      <c r="F20" s="61" t="s">
        <v>31</v>
      </c>
      <c r="G20" s="288">
        <v>13.9</v>
      </c>
      <c r="H20" s="289">
        <v>34</v>
      </c>
      <c r="I20" s="290">
        <v>52</v>
      </c>
      <c r="J20" s="48" t="s">
        <v>39</v>
      </c>
      <c r="K20" s="61" t="s">
        <v>2019</v>
      </c>
      <c r="L20" s="415" t="str">
        <f t="shared" si="0"/>
        <v>52grams</v>
      </c>
      <c r="M20" s="416">
        <f t="shared" si="1"/>
        <v>1768</v>
      </c>
      <c r="N20" s="417" t="str">
        <f t="shared" si="2"/>
        <v>1768grams</v>
      </c>
      <c r="O20" s="418">
        <f t="shared" si="3"/>
        <v>472.6</v>
      </c>
      <c r="P20" s="419">
        <f>O20/H20</f>
        <v>13.9</v>
      </c>
      <c r="Q20" s="66"/>
      <c r="R20" s="32"/>
      <c r="S20" s="32"/>
      <c r="T20" s="32"/>
      <c r="U20" s="32"/>
      <c r="V20" s="32"/>
      <c r="W20" s="32"/>
      <c r="X20" s="32"/>
      <c r="Y20" s="32"/>
      <c r="Z20" s="32"/>
    </row>
    <row r="21" spans="1:26" ht="15" customHeight="1" x14ac:dyDescent="0.3">
      <c r="A21" s="45"/>
      <c r="B21" s="46" t="s">
        <v>840</v>
      </c>
      <c r="C21" s="194" t="s">
        <v>2023</v>
      </c>
      <c r="D21" s="46"/>
      <c r="E21" s="46" t="s">
        <v>845</v>
      </c>
      <c r="F21" s="61" t="s">
        <v>31</v>
      </c>
      <c r="G21" s="288">
        <v>8.6</v>
      </c>
      <c r="H21" s="289">
        <v>493</v>
      </c>
      <c r="I21" s="290">
        <v>26</v>
      </c>
      <c r="J21" s="48" t="s">
        <v>39</v>
      </c>
      <c r="K21" s="50"/>
      <c r="L21" s="53" t="str">
        <f t="shared" si="0"/>
        <v>26grams</v>
      </c>
      <c r="M21" s="54">
        <f t="shared" si="1"/>
        <v>12818</v>
      </c>
      <c r="N21" s="55" t="str">
        <f t="shared" si="2"/>
        <v>12818grams</v>
      </c>
      <c r="O21" s="56">
        <f t="shared" si="3"/>
        <v>4239.8</v>
      </c>
      <c r="P21" s="12"/>
      <c r="Q21" s="12"/>
      <c r="R21" s="12"/>
      <c r="S21" s="151"/>
      <c r="T21" s="12"/>
      <c r="U21" s="12"/>
      <c r="V21" s="12"/>
      <c r="W21" s="12"/>
      <c r="X21" s="12"/>
      <c r="Y21" s="12"/>
      <c r="Z21" s="12"/>
    </row>
    <row r="22" spans="1:26" ht="15" customHeight="1" x14ac:dyDescent="0.3">
      <c r="A22" s="45"/>
      <c r="B22" s="46" t="s">
        <v>840</v>
      </c>
      <c r="C22" s="194" t="s">
        <v>2021</v>
      </c>
      <c r="D22" s="219"/>
      <c r="E22" s="219" t="s">
        <v>845</v>
      </c>
      <c r="F22" s="61" t="s">
        <v>31</v>
      </c>
      <c r="G22" s="291">
        <v>8.51</v>
      </c>
      <c r="H22" s="292">
        <v>7</v>
      </c>
      <c r="I22" s="293">
        <v>20</v>
      </c>
      <c r="J22" s="414" t="s">
        <v>39</v>
      </c>
      <c r="K22" s="50"/>
      <c r="L22" s="53" t="str">
        <f t="shared" si="0"/>
        <v>20grams</v>
      </c>
      <c r="M22" s="54">
        <f t="shared" si="1"/>
        <v>140</v>
      </c>
      <c r="N22" s="55" t="str">
        <f t="shared" si="2"/>
        <v>140grams</v>
      </c>
      <c r="O22" s="56">
        <f t="shared" si="3"/>
        <v>59.57</v>
      </c>
      <c r="P22" s="12"/>
      <c r="Q22" s="12"/>
      <c r="R22" s="12"/>
      <c r="S22" s="151"/>
      <c r="T22" s="12"/>
      <c r="U22" s="12"/>
      <c r="V22" s="12"/>
      <c r="W22" s="12"/>
      <c r="X22" s="12"/>
      <c r="Y22" s="12"/>
      <c r="Z22" s="12"/>
    </row>
    <row r="23" spans="1:26" ht="15" customHeight="1" x14ac:dyDescent="0.3">
      <c r="A23" s="45"/>
      <c r="B23" s="46" t="s">
        <v>840</v>
      </c>
      <c r="C23" s="194" t="s">
        <v>2020</v>
      </c>
      <c r="D23" s="46"/>
      <c r="E23" s="219" t="s">
        <v>845</v>
      </c>
      <c r="F23" s="61" t="s">
        <v>31</v>
      </c>
      <c r="G23" s="288">
        <v>8.6</v>
      </c>
      <c r="H23" s="289">
        <v>27</v>
      </c>
      <c r="I23" s="290">
        <v>20</v>
      </c>
      <c r="J23" s="48" t="s">
        <v>39</v>
      </c>
      <c r="K23" s="50"/>
      <c r="L23" s="53" t="str">
        <f t="shared" si="0"/>
        <v>20grams</v>
      </c>
      <c r="M23" s="54">
        <f t="shared" si="1"/>
        <v>540</v>
      </c>
      <c r="N23" s="55" t="str">
        <f t="shared" si="2"/>
        <v>540grams</v>
      </c>
      <c r="O23" s="56">
        <f t="shared" si="3"/>
        <v>232.2</v>
      </c>
      <c r="P23" s="12"/>
      <c r="Q23" s="12"/>
      <c r="R23" s="12"/>
      <c r="S23" s="151"/>
      <c r="T23" s="12"/>
      <c r="U23" s="12"/>
      <c r="V23" s="12"/>
      <c r="W23" s="12"/>
      <c r="X23" s="12"/>
      <c r="Y23" s="12"/>
      <c r="Z23" s="12"/>
    </row>
    <row r="24" spans="1:26" ht="15" customHeight="1" x14ac:dyDescent="0.3">
      <c r="A24" s="45"/>
      <c r="B24" s="46" t="s">
        <v>840</v>
      </c>
      <c r="C24" s="194" t="s">
        <v>2020</v>
      </c>
      <c r="D24" s="46"/>
      <c r="E24" s="219" t="s">
        <v>846</v>
      </c>
      <c r="F24" s="61" t="s">
        <v>31</v>
      </c>
      <c r="G24" s="288">
        <v>13.9</v>
      </c>
      <c r="H24" s="289">
        <v>62</v>
      </c>
      <c r="I24" s="290">
        <v>40</v>
      </c>
      <c r="J24" s="420" t="s">
        <v>39</v>
      </c>
      <c r="K24" s="50"/>
      <c r="L24" s="53" t="str">
        <f t="shared" si="0"/>
        <v>40grams</v>
      </c>
      <c r="M24" s="54">
        <f t="shared" si="1"/>
        <v>2480</v>
      </c>
      <c r="N24" s="55" t="str">
        <f t="shared" si="2"/>
        <v>2480grams</v>
      </c>
      <c r="O24" s="56">
        <f t="shared" si="3"/>
        <v>861.80000000000007</v>
      </c>
      <c r="P24" s="12"/>
      <c r="Q24" s="12"/>
      <c r="R24" s="12"/>
      <c r="S24" s="151"/>
      <c r="T24" s="12"/>
      <c r="U24" s="12"/>
      <c r="V24" s="12"/>
      <c r="W24" s="12"/>
      <c r="X24" s="12"/>
      <c r="Y24" s="12"/>
      <c r="Z24" s="12"/>
    </row>
    <row r="25" spans="1:26" ht="15" customHeight="1" x14ac:dyDescent="0.3">
      <c r="A25" s="45"/>
      <c r="B25" s="46" t="s">
        <v>840</v>
      </c>
      <c r="C25" s="194" t="s">
        <v>2023</v>
      </c>
      <c r="D25" s="46"/>
      <c r="E25" s="46" t="s">
        <v>847</v>
      </c>
      <c r="F25" s="61" t="s">
        <v>31</v>
      </c>
      <c r="G25" s="288">
        <v>12.26</v>
      </c>
      <c r="H25" s="289">
        <v>255</v>
      </c>
      <c r="I25" s="290">
        <v>51</v>
      </c>
      <c r="J25" s="48" t="s">
        <v>39</v>
      </c>
      <c r="K25" s="50"/>
      <c r="L25" s="53" t="str">
        <f t="shared" si="0"/>
        <v>51grams</v>
      </c>
      <c r="M25" s="54">
        <f t="shared" si="1"/>
        <v>13005</v>
      </c>
      <c r="N25" s="55" t="str">
        <f t="shared" si="2"/>
        <v>13005grams</v>
      </c>
      <c r="O25" s="56">
        <f t="shared" si="3"/>
        <v>3126.2999999999997</v>
      </c>
      <c r="P25" s="12"/>
      <c r="Q25" s="12"/>
      <c r="R25" s="12"/>
      <c r="S25" s="151"/>
      <c r="T25" s="12"/>
      <c r="U25" s="12"/>
      <c r="V25" s="12"/>
      <c r="W25" s="12"/>
      <c r="X25" s="12"/>
      <c r="Y25" s="12"/>
      <c r="Z25" s="12"/>
    </row>
    <row r="26" spans="1:26" ht="15" customHeight="1" x14ac:dyDescent="0.3">
      <c r="A26" s="45"/>
      <c r="B26" s="46" t="s">
        <v>840</v>
      </c>
      <c r="C26" s="194" t="s">
        <v>2021</v>
      </c>
      <c r="D26" s="219"/>
      <c r="E26" s="219" t="s">
        <v>847</v>
      </c>
      <c r="F26" s="61" t="s">
        <v>31</v>
      </c>
      <c r="G26" s="291">
        <v>8.51</v>
      </c>
      <c r="H26" s="292">
        <v>15</v>
      </c>
      <c r="I26" s="293">
        <v>51</v>
      </c>
      <c r="J26" s="414" t="s">
        <v>39</v>
      </c>
      <c r="K26" s="50"/>
      <c r="L26" s="53" t="str">
        <f t="shared" si="0"/>
        <v>51grams</v>
      </c>
      <c r="M26" s="54">
        <f t="shared" si="1"/>
        <v>765</v>
      </c>
      <c r="N26" s="55" t="str">
        <f t="shared" si="2"/>
        <v>765grams</v>
      </c>
      <c r="O26" s="56">
        <f t="shared" si="3"/>
        <v>127.64999999999999</v>
      </c>
      <c r="P26" s="12"/>
      <c r="Q26" s="12"/>
      <c r="R26" s="12"/>
      <c r="S26" s="151"/>
      <c r="T26" s="12"/>
      <c r="U26" s="12"/>
      <c r="V26" s="12"/>
      <c r="W26" s="12"/>
      <c r="X26" s="12"/>
      <c r="Y26" s="12"/>
      <c r="Z26" s="12"/>
    </row>
    <row r="27" spans="1:26" ht="15" customHeight="1" x14ac:dyDescent="0.3">
      <c r="A27" s="45">
        <v>17</v>
      </c>
      <c r="B27" s="46" t="s">
        <v>840</v>
      </c>
      <c r="C27" s="194" t="s">
        <v>29</v>
      </c>
      <c r="D27" s="46"/>
      <c r="E27" s="46" t="s">
        <v>844</v>
      </c>
      <c r="F27" s="61" t="s">
        <v>31</v>
      </c>
      <c r="G27" s="288">
        <v>7.7</v>
      </c>
      <c r="H27" s="289">
        <v>30</v>
      </c>
      <c r="I27" s="290">
        <v>26</v>
      </c>
      <c r="J27" s="48" t="s">
        <v>39</v>
      </c>
      <c r="K27" s="61" t="s">
        <v>2019</v>
      </c>
      <c r="L27" s="415" t="str">
        <f t="shared" si="0"/>
        <v>26grams</v>
      </c>
      <c r="M27" s="416">
        <f t="shared" si="1"/>
        <v>780</v>
      </c>
      <c r="N27" s="417" t="str">
        <f t="shared" si="2"/>
        <v>780grams</v>
      </c>
      <c r="O27" s="418">
        <f t="shared" si="3"/>
        <v>231</v>
      </c>
      <c r="P27" s="419">
        <f>O27/H27</f>
        <v>7.7</v>
      </c>
      <c r="Q27" s="66"/>
      <c r="R27" s="32" t="b">
        <f>P27=G27</f>
        <v>1</v>
      </c>
      <c r="S27" s="32"/>
      <c r="T27" s="32"/>
      <c r="U27" s="32"/>
      <c r="V27" s="32"/>
      <c r="W27" s="32"/>
      <c r="X27" s="32"/>
      <c r="Y27" s="32"/>
      <c r="Z27" s="32"/>
    </row>
    <row r="28" spans="1:26" ht="15" customHeight="1" x14ac:dyDescent="0.3">
      <c r="A28" s="45"/>
      <c r="B28" s="46" t="s">
        <v>840</v>
      </c>
      <c r="C28" s="194" t="s">
        <v>2020</v>
      </c>
      <c r="D28" s="46"/>
      <c r="E28" s="219" t="s">
        <v>844</v>
      </c>
      <c r="F28" s="61" t="s">
        <v>31</v>
      </c>
      <c r="G28" s="288">
        <v>7.7</v>
      </c>
      <c r="H28" s="289">
        <v>126</v>
      </c>
      <c r="I28" s="290">
        <v>20</v>
      </c>
      <c r="J28" s="48" t="s">
        <v>39</v>
      </c>
      <c r="K28" s="50"/>
      <c r="L28" s="53" t="str">
        <f t="shared" si="0"/>
        <v>20grams</v>
      </c>
      <c r="M28" s="54">
        <f t="shared" si="1"/>
        <v>2520</v>
      </c>
      <c r="N28" s="55" t="str">
        <f t="shared" si="2"/>
        <v>2520grams</v>
      </c>
      <c r="O28" s="56">
        <f t="shared" si="3"/>
        <v>970.2</v>
      </c>
      <c r="P28" s="12"/>
      <c r="Q28" s="12"/>
      <c r="R28" s="12"/>
      <c r="S28" s="151"/>
      <c r="T28" s="12"/>
      <c r="U28" s="12"/>
      <c r="V28" s="12"/>
      <c r="W28" s="12"/>
      <c r="X28" s="12"/>
      <c r="Y28" s="12"/>
      <c r="Z28" s="12"/>
    </row>
    <row r="29" spans="1:26" ht="15" customHeight="1" x14ac:dyDescent="0.3">
      <c r="A29" s="45"/>
      <c r="B29" s="219" t="s">
        <v>840</v>
      </c>
      <c r="C29" s="194" t="s">
        <v>2021</v>
      </c>
      <c r="D29" s="219"/>
      <c r="E29" s="219" t="s">
        <v>158</v>
      </c>
      <c r="F29" s="61" t="s">
        <v>31</v>
      </c>
      <c r="G29" s="295">
        <v>7.37</v>
      </c>
      <c r="H29" s="292">
        <v>2</v>
      </c>
      <c r="I29" s="293">
        <v>1</v>
      </c>
      <c r="J29" s="414" t="s">
        <v>39</v>
      </c>
      <c r="K29" s="50"/>
      <c r="L29" s="53" t="str">
        <f t="shared" si="0"/>
        <v>1grams</v>
      </c>
      <c r="M29" s="54">
        <f t="shared" si="1"/>
        <v>2</v>
      </c>
      <c r="N29" s="55" t="str">
        <f t="shared" si="2"/>
        <v>2grams</v>
      </c>
      <c r="O29" s="56">
        <f t="shared" si="3"/>
        <v>14.74</v>
      </c>
      <c r="P29" s="12"/>
      <c r="Q29" s="12"/>
      <c r="R29" s="12"/>
      <c r="S29" s="151"/>
      <c r="T29" s="12"/>
      <c r="U29" s="12"/>
      <c r="V29" s="12"/>
      <c r="W29" s="12"/>
      <c r="X29" s="12"/>
      <c r="Y29" s="12"/>
      <c r="Z29" s="12"/>
    </row>
    <row r="30" spans="1:26" ht="15" customHeight="1" x14ac:dyDescent="0.3">
      <c r="A30" s="45">
        <v>168</v>
      </c>
      <c r="B30" s="46" t="s">
        <v>295</v>
      </c>
      <c r="C30" s="194" t="s">
        <v>2024</v>
      </c>
      <c r="D30" s="46"/>
      <c r="E30" s="324"/>
      <c r="F30" s="61" t="s">
        <v>31</v>
      </c>
      <c r="G30" s="288">
        <v>60</v>
      </c>
      <c r="H30" s="289">
        <v>2</v>
      </c>
      <c r="I30" s="290">
        <v>1</v>
      </c>
      <c r="J30" s="48" t="s">
        <v>213</v>
      </c>
      <c r="K30" s="50"/>
      <c r="L30" s="53" t="str">
        <f t="shared" si="0"/>
        <v>1kilos</v>
      </c>
      <c r="M30" s="54">
        <f t="shared" si="1"/>
        <v>2</v>
      </c>
      <c r="N30" s="55" t="str">
        <f t="shared" si="2"/>
        <v>2kilos</v>
      </c>
      <c r="O30" s="56">
        <f t="shared" si="3"/>
        <v>120</v>
      </c>
      <c r="P30" s="44">
        <f t="shared" ref="P30:P44" si="4">O30/H30</f>
        <v>60</v>
      </c>
      <c r="Q30" s="66"/>
      <c r="R30" s="32" t="b">
        <f>P30=G30</f>
        <v>1</v>
      </c>
      <c r="S30" s="32"/>
      <c r="T30" s="32"/>
      <c r="U30" s="32"/>
      <c r="V30" s="32"/>
      <c r="W30" s="32"/>
      <c r="X30" s="32"/>
      <c r="Y30" s="32"/>
      <c r="Z30" s="32"/>
    </row>
    <row r="31" spans="1:26" ht="15" customHeight="1" x14ac:dyDescent="0.3">
      <c r="A31" s="45">
        <v>464</v>
      </c>
      <c r="B31" s="46" t="s">
        <v>295</v>
      </c>
      <c r="C31" s="194" t="s">
        <v>2025</v>
      </c>
      <c r="D31" s="46"/>
      <c r="E31" s="46"/>
      <c r="F31" s="61" t="s">
        <v>31</v>
      </c>
      <c r="G31" s="288">
        <v>60</v>
      </c>
      <c r="H31" s="289">
        <v>5</v>
      </c>
      <c r="I31" s="290">
        <v>1</v>
      </c>
      <c r="J31" s="48" t="s">
        <v>213</v>
      </c>
      <c r="K31" s="50"/>
      <c r="L31" s="53" t="str">
        <f t="shared" si="0"/>
        <v>1kilos</v>
      </c>
      <c r="M31" s="54">
        <f t="shared" si="1"/>
        <v>5</v>
      </c>
      <c r="N31" s="55" t="str">
        <f t="shared" si="2"/>
        <v>5kilos</v>
      </c>
      <c r="O31" s="56">
        <f t="shared" si="3"/>
        <v>300</v>
      </c>
      <c r="P31" s="44">
        <f t="shared" si="4"/>
        <v>60</v>
      </c>
      <c r="Q31" s="66"/>
      <c r="R31" s="32"/>
      <c r="S31" s="32"/>
      <c r="T31" s="32"/>
      <c r="U31" s="32"/>
      <c r="V31" s="32"/>
      <c r="W31" s="32"/>
      <c r="X31" s="32"/>
      <c r="Y31" s="32"/>
      <c r="Z31" s="32"/>
    </row>
    <row r="32" spans="1:26" ht="15" customHeight="1" x14ac:dyDescent="0.3">
      <c r="A32" s="45">
        <v>560</v>
      </c>
      <c r="B32" s="46" t="s">
        <v>295</v>
      </c>
      <c r="C32" s="194" t="s">
        <v>2026</v>
      </c>
      <c r="D32" s="46"/>
      <c r="E32" s="46"/>
      <c r="F32" s="61" t="s">
        <v>31</v>
      </c>
      <c r="G32" s="288">
        <v>90</v>
      </c>
      <c r="H32" s="289">
        <v>1</v>
      </c>
      <c r="I32" s="290">
        <v>1</v>
      </c>
      <c r="J32" s="48" t="s">
        <v>213</v>
      </c>
      <c r="K32" s="50"/>
      <c r="L32" s="53" t="str">
        <f t="shared" si="0"/>
        <v>1kilos</v>
      </c>
      <c r="M32" s="54">
        <f t="shared" si="1"/>
        <v>1</v>
      </c>
      <c r="N32" s="55" t="str">
        <f t="shared" si="2"/>
        <v>1kilos</v>
      </c>
      <c r="O32" s="56">
        <f t="shared" si="3"/>
        <v>90</v>
      </c>
      <c r="P32" s="44">
        <f t="shared" si="4"/>
        <v>90</v>
      </c>
      <c r="Q32" s="66"/>
      <c r="R32" s="32"/>
      <c r="S32" s="32"/>
      <c r="T32" s="32"/>
      <c r="U32" s="32"/>
      <c r="V32" s="32"/>
      <c r="W32" s="32"/>
      <c r="X32" s="32"/>
      <c r="Y32" s="32"/>
      <c r="Z32" s="32"/>
    </row>
    <row r="33" spans="1:26" ht="15" customHeight="1" x14ac:dyDescent="0.3">
      <c r="A33" s="45">
        <v>2</v>
      </c>
      <c r="B33" s="46" t="s">
        <v>34</v>
      </c>
      <c r="C33" s="194" t="s">
        <v>29</v>
      </c>
      <c r="D33" s="46"/>
      <c r="E33" s="46" t="s">
        <v>30</v>
      </c>
      <c r="F33" s="61" t="s">
        <v>31</v>
      </c>
      <c r="G33" s="288">
        <v>69.8</v>
      </c>
      <c r="H33" s="289">
        <v>7</v>
      </c>
      <c r="I33" s="290">
        <v>250</v>
      </c>
      <c r="J33" s="48" t="s">
        <v>32</v>
      </c>
      <c r="K33" s="61" t="s">
        <v>2019</v>
      </c>
      <c r="L33" s="415" t="str">
        <f t="shared" si="0"/>
        <v>250ml</v>
      </c>
      <c r="M33" s="416">
        <f t="shared" si="1"/>
        <v>1750</v>
      </c>
      <c r="N33" s="417" t="str">
        <f t="shared" si="2"/>
        <v>1750ml</v>
      </c>
      <c r="O33" s="418">
        <f t="shared" si="3"/>
        <v>488.59999999999997</v>
      </c>
      <c r="P33" s="419">
        <f t="shared" si="4"/>
        <v>69.8</v>
      </c>
      <c r="Q33" s="66"/>
      <c r="R33" s="32" t="b">
        <f>P33=G33</f>
        <v>1</v>
      </c>
      <c r="S33" s="421"/>
      <c r="T33" s="32"/>
      <c r="V33" s="32"/>
      <c r="W33" s="32"/>
      <c r="X33" s="32"/>
      <c r="Y33" s="32"/>
      <c r="Z33" s="32"/>
    </row>
    <row r="34" spans="1:26" ht="15" customHeight="1" x14ac:dyDescent="0.3">
      <c r="A34" s="45">
        <v>331</v>
      </c>
      <c r="B34" s="46" t="s">
        <v>34</v>
      </c>
      <c r="C34" s="194" t="s">
        <v>2025</v>
      </c>
      <c r="D34" s="46"/>
      <c r="E34" s="46" t="s">
        <v>35</v>
      </c>
      <c r="F34" s="61" t="s">
        <v>31</v>
      </c>
      <c r="G34" s="288">
        <v>42.7</v>
      </c>
      <c r="H34" s="289">
        <v>13</v>
      </c>
      <c r="I34" s="290">
        <v>250</v>
      </c>
      <c r="J34" s="48" t="s">
        <v>32</v>
      </c>
      <c r="K34" s="50"/>
      <c r="L34" s="53" t="str">
        <f t="shared" si="0"/>
        <v>250ml</v>
      </c>
      <c r="M34" s="54">
        <f t="shared" si="1"/>
        <v>3250</v>
      </c>
      <c r="N34" s="55" t="str">
        <f t="shared" si="2"/>
        <v>3250ml</v>
      </c>
      <c r="O34" s="56">
        <f t="shared" si="3"/>
        <v>555.1</v>
      </c>
      <c r="P34" s="44">
        <f t="shared" si="4"/>
        <v>42.7</v>
      </c>
      <c r="Q34" s="66"/>
      <c r="R34" s="32"/>
      <c r="S34" s="32"/>
      <c r="T34" s="32"/>
      <c r="U34" s="32"/>
      <c r="V34" s="32"/>
      <c r="W34" s="32"/>
      <c r="X34" s="32"/>
      <c r="Y34" s="32"/>
      <c r="Z34" s="32"/>
    </row>
    <row r="35" spans="1:26" ht="15" customHeight="1" x14ac:dyDescent="0.3">
      <c r="A35" s="45">
        <v>676</v>
      </c>
      <c r="B35" s="46" t="s">
        <v>34</v>
      </c>
      <c r="C35" s="194" t="s">
        <v>2026</v>
      </c>
      <c r="D35" s="46"/>
      <c r="E35" s="46" t="s">
        <v>30</v>
      </c>
      <c r="F35" s="61" t="s">
        <v>31</v>
      </c>
      <c r="G35" s="288">
        <v>61.88</v>
      </c>
      <c r="H35" s="289">
        <v>2</v>
      </c>
      <c r="I35" s="290">
        <v>250</v>
      </c>
      <c r="J35" s="48" t="s">
        <v>32</v>
      </c>
      <c r="K35" s="50"/>
      <c r="L35" s="53" t="str">
        <f t="shared" si="0"/>
        <v>250ml</v>
      </c>
      <c r="M35" s="54">
        <f t="shared" si="1"/>
        <v>500</v>
      </c>
      <c r="N35" s="55" t="str">
        <f t="shared" si="2"/>
        <v>500ml</v>
      </c>
      <c r="O35" s="56">
        <f t="shared" si="3"/>
        <v>123.76</v>
      </c>
      <c r="P35" s="44">
        <f t="shared" si="4"/>
        <v>61.88</v>
      </c>
      <c r="Q35" s="66"/>
      <c r="R35" s="32" t="b">
        <f>P35=G35</f>
        <v>1</v>
      </c>
      <c r="S35" s="32"/>
      <c r="T35" s="32"/>
      <c r="U35" s="32"/>
      <c r="V35" s="32"/>
      <c r="W35" s="32"/>
      <c r="X35" s="32"/>
      <c r="Y35" s="32"/>
      <c r="Z35" s="32"/>
    </row>
    <row r="36" spans="1:26" ht="15" customHeight="1" x14ac:dyDescent="0.3">
      <c r="A36" s="45"/>
      <c r="B36" s="46" t="s">
        <v>34</v>
      </c>
      <c r="C36" s="194" t="s">
        <v>2023</v>
      </c>
      <c r="D36" s="46"/>
      <c r="E36" s="46" t="s">
        <v>30</v>
      </c>
      <c r="F36" s="61" t="s">
        <v>31</v>
      </c>
      <c r="G36" s="288">
        <v>68.900000000000006</v>
      </c>
      <c r="H36" s="289">
        <v>49</v>
      </c>
      <c r="I36" s="290">
        <v>250</v>
      </c>
      <c r="J36" s="48" t="s">
        <v>32</v>
      </c>
      <c r="K36" s="50"/>
      <c r="L36" s="53" t="str">
        <f t="shared" si="0"/>
        <v>250ml</v>
      </c>
      <c r="M36" s="54">
        <f t="shared" si="1"/>
        <v>12250</v>
      </c>
      <c r="N36" s="55" t="str">
        <f t="shared" si="2"/>
        <v>12250ml</v>
      </c>
      <c r="O36" s="56">
        <f t="shared" si="3"/>
        <v>3376.1000000000004</v>
      </c>
      <c r="P36" s="44">
        <f t="shared" si="4"/>
        <v>68.900000000000006</v>
      </c>
      <c r="Q36" s="12"/>
      <c r="R36" s="12"/>
      <c r="S36" s="151"/>
      <c r="T36" s="12"/>
      <c r="U36" s="12"/>
      <c r="V36" s="12"/>
      <c r="W36" s="12"/>
      <c r="X36" s="12"/>
      <c r="Y36" s="12"/>
      <c r="Z36" s="12"/>
    </row>
    <row r="37" spans="1:26" ht="15" customHeight="1" x14ac:dyDescent="0.3">
      <c r="A37" s="45"/>
      <c r="B37" s="46" t="s">
        <v>34</v>
      </c>
      <c r="C37" s="194" t="s">
        <v>2022</v>
      </c>
      <c r="D37" s="46"/>
      <c r="E37" s="46" t="s">
        <v>30</v>
      </c>
      <c r="F37" s="61" t="s">
        <v>31</v>
      </c>
      <c r="G37" s="288">
        <v>69.8</v>
      </c>
      <c r="H37" s="289">
        <v>36</v>
      </c>
      <c r="I37" s="290">
        <v>250</v>
      </c>
      <c r="J37" s="48" t="s">
        <v>32</v>
      </c>
      <c r="K37" s="50"/>
      <c r="L37" s="53" t="str">
        <f t="shared" si="0"/>
        <v>250ml</v>
      </c>
      <c r="M37" s="54">
        <f t="shared" si="1"/>
        <v>9000</v>
      </c>
      <c r="N37" s="55" t="str">
        <f t="shared" si="2"/>
        <v>9000ml</v>
      </c>
      <c r="O37" s="56">
        <f t="shared" si="3"/>
        <v>2512.7999999999997</v>
      </c>
      <c r="P37" s="44">
        <f t="shared" si="4"/>
        <v>69.8</v>
      </c>
      <c r="Q37" s="12"/>
      <c r="R37" s="12"/>
      <c r="S37" s="151"/>
      <c r="T37" s="12"/>
      <c r="U37" s="12"/>
      <c r="V37" s="12"/>
      <c r="W37" s="12"/>
      <c r="X37" s="12"/>
      <c r="Y37" s="12"/>
      <c r="Z37" s="12"/>
    </row>
    <row r="38" spans="1:26" ht="15" customHeight="1" x14ac:dyDescent="0.3">
      <c r="A38" s="45"/>
      <c r="B38" s="219" t="s">
        <v>34</v>
      </c>
      <c r="C38" s="194" t="s">
        <v>2021</v>
      </c>
      <c r="D38" s="46"/>
      <c r="E38" s="219" t="s">
        <v>30</v>
      </c>
      <c r="F38" s="61" t="s">
        <v>31</v>
      </c>
      <c r="G38" s="291">
        <v>63.5</v>
      </c>
      <c r="H38" s="292">
        <v>3</v>
      </c>
      <c r="I38" s="293">
        <v>250</v>
      </c>
      <c r="J38" s="414" t="s">
        <v>32</v>
      </c>
      <c r="K38" s="50"/>
      <c r="L38" s="53" t="str">
        <f t="shared" si="0"/>
        <v>250ml</v>
      </c>
      <c r="M38" s="54">
        <f t="shared" si="1"/>
        <v>750</v>
      </c>
      <c r="N38" s="55" t="str">
        <f t="shared" si="2"/>
        <v>750ml</v>
      </c>
      <c r="O38" s="56">
        <f t="shared" si="3"/>
        <v>190.5</v>
      </c>
      <c r="P38" s="44">
        <f t="shared" si="4"/>
        <v>63.5</v>
      </c>
      <c r="Q38" s="12"/>
      <c r="R38" s="12"/>
      <c r="S38" s="151"/>
      <c r="T38" s="12"/>
      <c r="U38" s="12"/>
      <c r="V38" s="12"/>
      <c r="W38" s="12"/>
      <c r="X38" s="12"/>
      <c r="Y38" s="12"/>
      <c r="Z38" s="12"/>
    </row>
    <row r="39" spans="1:26" ht="15" customHeight="1" x14ac:dyDescent="0.3">
      <c r="A39" s="45"/>
      <c r="B39" s="46" t="s">
        <v>34</v>
      </c>
      <c r="C39" s="194" t="s">
        <v>2020</v>
      </c>
      <c r="D39" s="46"/>
      <c r="E39" s="46" t="s">
        <v>36</v>
      </c>
      <c r="F39" s="61" t="s">
        <v>31</v>
      </c>
      <c r="G39" s="288">
        <v>47.6</v>
      </c>
      <c r="H39" s="289">
        <v>7</v>
      </c>
      <c r="I39" s="290">
        <v>250</v>
      </c>
      <c r="J39" s="48" t="s">
        <v>32</v>
      </c>
      <c r="K39" s="50"/>
      <c r="L39" s="53" t="str">
        <f t="shared" si="0"/>
        <v>250ml</v>
      </c>
      <c r="M39" s="54">
        <f t="shared" si="1"/>
        <v>1750</v>
      </c>
      <c r="N39" s="55" t="str">
        <f t="shared" si="2"/>
        <v>1750ml</v>
      </c>
      <c r="O39" s="56">
        <f t="shared" si="3"/>
        <v>333.2</v>
      </c>
      <c r="P39" s="44">
        <f t="shared" si="4"/>
        <v>47.6</v>
      </c>
      <c r="Q39" s="12"/>
      <c r="R39" s="12"/>
      <c r="S39" s="151"/>
      <c r="T39" s="12"/>
      <c r="U39" s="12"/>
      <c r="V39" s="12"/>
      <c r="W39" s="12"/>
      <c r="X39" s="12"/>
      <c r="Y39" s="12"/>
      <c r="Z39" s="12"/>
    </row>
    <row r="40" spans="1:26" ht="15" customHeight="1" x14ac:dyDescent="0.3">
      <c r="A40" s="45">
        <v>175</v>
      </c>
      <c r="B40" s="46" t="s">
        <v>227</v>
      </c>
      <c r="C40" s="194" t="s">
        <v>2024</v>
      </c>
      <c r="D40" s="46"/>
      <c r="E40" s="46" t="s">
        <v>848</v>
      </c>
      <c r="F40" s="61" t="s">
        <v>31</v>
      </c>
      <c r="G40" s="288">
        <v>420.6</v>
      </c>
      <c r="H40" s="289">
        <v>2</v>
      </c>
      <c r="I40" s="290">
        <v>3500</v>
      </c>
      <c r="J40" s="422" t="s">
        <v>32</v>
      </c>
      <c r="K40" s="50"/>
      <c r="L40" s="53" t="str">
        <f t="shared" si="0"/>
        <v>3500ml</v>
      </c>
      <c r="M40" s="54">
        <f t="shared" si="1"/>
        <v>7000</v>
      </c>
      <c r="N40" s="55" t="str">
        <f t="shared" si="2"/>
        <v>7000ml</v>
      </c>
      <c r="O40" s="56">
        <f t="shared" si="3"/>
        <v>841.2</v>
      </c>
      <c r="P40" s="44">
        <f t="shared" si="4"/>
        <v>420.6</v>
      </c>
      <c r="Q40" s="66"/>
      <c r="R40" s="32" t="b">
        <f t="shared" ref="R40:R42" si="5">G40=O40</f>
        <v>0</v>
      </c>
      <c r="S40" s="32"/>
      <c r="T40" s="32"/>
      <c r="U40" s="32"/>
      <c r="V40" s="32"/>
      <c r="W40" s="32"/>
      <c r="X40" s="32"/>
      <c r="Y40" s="32"/>
      <c r="Z40" s="32"/>
    </row>
    <row r="41" spans="1:26" ht="15" customHeight="1" x14ac:dyDescent="0.3">
      <c r="A41" s="45">
        <v>545</v>
      </c>
      <c r="B41" s="46" t="s">
        <v>227</v>
      </c>
      <c r="C41" s="194" t="s">
        <v>2026</v>
      </c>
      <c r="D41" s="46"/>
      <c r="E41" s="46" t="s">
        <v>848</v>
      </c>
      <c r="F41" s="61" t="s">
        <v>31</v>
      </c>
      <c r="G41" s="288">
        <v>420.6</v>
      </c>
      <c r="H41" s="289">
        <v>1</v>
      </c>
      <c r="I41" s="290">
        <v>3500</v>
      </c>
      <c r="J41" s="422" t="s">
        <v>32</v>
      </c>
      <c r="K41" s="50"/>
      <c r="L41" s="53" t="str">
        <f t="shared" si="0"/>
        <v>3500ml</v>
      </c>
      <c r="M41" s="54">
        <f t="shared" si="1"/>
        <v>3500</v>
      </c>
      <c r="N41" s="55" t="str">
        <f t="shared" si="2"/>
        <v>3500ml</v>
      </c>
      <c r="O41" s="56">
        <f t="shared" si="3"/>
        <v>420.6</v>
      </c>
      <c r="P41" s="44">
        <f t="shared" si="4"/>
        <v>420.6</v>
      </c>
      <c r="Q41" s="66"/>
      <c r="R41" s="32" t="b">
        <f t="shared" si="5"/>
        <v>1</v>
      </c>
      <c r="S41" s="32"/>
      <c r="T41" s="32"/>
      <c r="U41" s="32"/>
      <c r="V41" s="32"/>
      <c r="W41" s="32"/>
      <c r="X41" s="32"/>
      <c r="Y41" s="32"/>
      <c r="Z41" s="32"/>
    </row>
    <row r="42" spans="1:26" ht="15" customHeight="1" x14ac:dyDescent="0.3">
      <c r="A42" s="45"/>
      <c r="B42" s="46" t="s">
        <v>227</v>
      </c>
      <c r="C42" s="194" t="s">
        <v>2021</v>
      </c>
      <c r="D42" s="46"/>
      <c r="E42" s="46" t="s">
        <v>848</v>
      </c>
      <c r="F42" s="61" t="s">
        <v>31</v>
      </c>
      <c r="G42" s="288">
        <v>420.6</v>
      </c>
      <c r="H42" s="289">
        <v>1</v>
      </c>
      <c r="I42" s="290">
        <v>3500</v>
      </c>
      <c r="J42" s="422" t="s">
        <v>32</v>
      </c>
      <c r="K42" s="50"/>
      <c r="L42" s="53" t="str">
        <f t="shared" si="0"/>
        <v>3500ml</v>
      </c>
      <c r="M42" s="54">
        <f t="shared" si="1"/>
        <v>3500</v>
      </c>
      <c r="N42" s="55" t="str">
        <f t="shared" si="2"/>
        <v>3500ml</v>
      </c>
      <c r="O42" s="56">
        <f t="shared" si="3"/>
        <v>420.6</v>
      </c>
      <c r="P42" s="44">
        <f t="shared" si="4"/>
        <v>420.6</v>
      </c>
      <c r="Q42" s="66"/>
      <c r="R42" s="32" t="b">
        <f t="shared" si="5"/>
        <v>1</v>
      </c>
      <c r="S42" s="151"/>
      <c r="T42" s="12"/>
      <c r="U42" s="12"/>
      <c r="V42" s="12"/>
      <c r="W42" s="12"/>
      <c r="X42" s="12"/>
      <c r="Y42" s="12"/>
      <c r="Z42" s="12"/>
    </row>
    <row r="43" spans="1:26" ht="15" customHeight="1" x14ac:dyDescent="0.3">
      <c r="A43" s="45">
        <v>182</v>
      </c>
      <c r="B43" s="46" t="s">
        <v>37</v>
      </c>
      <c r="C43" s="194" t="s">
        <v>2024</v>
      </c>
      <c r="D43" s="46"/>
      <c r="E43" s="46" t="s">
        <v>849</v>
      </c>
      <c r="F43" s="61" t="s">
        <v>31</v>
      </c>
      <c r="G43" s="288">
        <v>48</v>
      </c>
      <c r="H43" s="289">
        <v>1</v>
      </c>
      <c r="I43" s="290">
        <v>1</v>
      </c>
      <c r="J43" s="48" t="s">
        <v>213</v>
      </c>
      <c r="K43" s="50"/>
      <c r="L43" s="53" t="str">
        <f t="shared" si="0"/>
        <v>1kilos</v>
      </c>
      <c r="M43" s="54">
        <f t="shared" si="1"/>
        <v>1</v>
      </c>
      <c r="N43" s="55" t="str">
        <f t="shared" si="2"/>
        <v>1kilos</v>
      </c>
      <c r="O43" s="56">
        <f t="shared" si="3"/>
        <v>48</v>
      </c>
      <c r="P43" s="44">
        <f t="shared" si="4"/>
        <v>48</v>
      </c>
      <c r="Q43" s="66"/>
      <c r="R43" s="32"/>
      <c r="S43" s="32"/>
      <c r="T43" s="32"/>
      <c r="U43" s="32"/>
      <c r="V43" s="32"/>
      <c r="W43" s="32"/>
      <c r="X43" s="32"/>
      <c r="Y43" s="32"/>
      <c r="Z43" s="32"/>
    </row>
    <row r="44" spans="1:26" ht="15" customHeight="1" x14ac:dyDescent="0.3">
      <c r="A44" s="45">
        <v>507</v>
      </c>
      <c r="B44" s="46" t="s">
        <v>37</v>
      </c>
      <c r="C44" s="194" t="s">
        <v>2026</v>
      </c>
      <c r="D44" s="46"/>
      <c r="E44" s="46" t="s">
        <v>38</v>
      </c>
      <c r="F44" s="61" t="s">
        <v>31</v>
      </c>
      <c r="G44" s="288">
        <v>42.53</v>
      </c>
      <c r="H44" s="289">
        <v>21</v>
      </c>
      <c r="I44" s="290">
        <v>400</v>
      </c>
      <c r="J44" s="48" t="s">
        <v>39</v>
      </c>
      <c r="K44" s="50"/>
      <c r="L44" s="53" t="str">
        <f t="shared" si="0"/>
        <v>400grams</v>
      </c>
      <c r="M44" s="54">
        <f t="shared" si="1"/>
        <v>8400</v>
      </c>
      <c r="N44" s="55" t="str">
        <f t="shared" si="2"/>
        <v>8400grams</v>
      </c>
      <c r="O44" s="56">
        <f t="shared" si="3"/>
        <v>893.13</v>
      </c>
      <c r="P44" s="44">
        <f t="shared" si="4"/>
        <v>42.53</v>
      </c>
      <c r="Q44" s="66"/>
      <c r="R44" s="32" t="b">
        <f>P44=G44</f>
        <v>1</v>
      </c>
      <c r="S44" s="32"/>
      <c r="T44" s="32"/>
      <c r="U44" s="32"/>
      <c r="V44" s="32"/>
      <c r="W44" s="32"/>
      <c r="X44" s="32"/>
      <c r="Y44" s="32"/>
      <c r="Z44" s="32"/>
    </row>
    <row r="45" spans="1:26" ht="15" customHeight="1" x14ac:dyDescent="0.3">
      <c r="A45" s="45">
        <v>887</v>
      </c>
      <c r="B45" s="46" t="s">
        <v>37</v>
      </c>
      <c r="C45" s="194" t="s">
        <v>1368</v>
      </c>
      <c r="D45" s="46"/>
      <c r="E45" s="46" t="s">
        <v>850</v>
      </c>
      <c r="F45" s="61" t="s">
        <v>31</v>
      </c>
      <c r="G45" s="288">
        <v>455</v>
      </c>
      <c r="H45" s="289">
        <v>1</v>
      </c>
      <c r="I45" s="290">
        <v>4000</v>
      </c>
      <c r="J45" s="48" t="s">
        <v>39</v>
      </c>
      <c r="K45" s="50"/>
      <c r="L45" s="53" t="str">
        <f t="shared" si="0"/>
        <v>4000grams</v>
      </c>
      <c r="M45" s="54">
        <f t="shared" si="1"/>
        <v>4000</v>
      </c>
      <c r="N45" s="55" t="str">
        <f t="shared" si="2"/>
        <v>4000grams</v>
      </c>
      <c r="O45" s="56">
        <f t="shared" si="3"/>
        <v>455</v>
      </c>
      <c r="P45" s="44"/>
      <c r="Q45" s="66"/>
      <c r="R45" s="32"/>
      <c r="S45" s="32"/>
      <c r="T45" s="32"/>
      <c r="U45" s="32"/>
      <c r="V45" s="32"/>
      <c r="W45" s="32"/>
      <c r="X45" s="32"/>
      <c r="Y45" s="32"/>
      <c r="Z45" s="32"/>
    </row>
    <row r="46" spans="1:26" ht="15" customHeight="1" x14ac:dyDescent="0.3">
      <c r="A46" s="45"/>
      <c r="B46" s="46" t="s">
        <v>37</v>
      </c>
      <c r="C46" s="194" t="s">
        <v>2023</v>
      </c>
      <c r="D46" s="46"/>
      <c r="E46" s="46" t="s">
        <v>851</v>
      </c>
      <c r="F46" s="61" t="s">
        <v>31</v>
      </c>
      <c r="G46" s="288">
        <v>65</v>
      </c>
      <c r="H46" s="289">
        <v>15</v>
      </c>
      <c r="I46" s="290">
        <v>1000</v>
      </c>
      <c r="J46" s="422" t="s">
        <v>39</v>
      </c>
      <c r="K46" s="50"/>
      <c r="L46" s="53" t="str">
        <f t="shared" si="0"/>
        <v>1000grams</v>
      </c>
      <c r="M46" s="54">
        <f t="shared" si="1"/>
        <v>15000</v>
      </c>
      <c r="N46" s="55" t="str">
        <f t="shared" si="2"/>
        <v>15000grams</v>
      </c>
      <c r="O46" s="56">
        <f t="shared" si="3"/>
        <v>975</v>
      </c>
      <c r="P46" s="12"/>
      <c r="Q46" s="12"/>
      <c r="R46" s="12"/>
      <c r="S46" s="151"/>
      <c r="T46" s="12"/>
      <c r="U46" s="12"/>
      <c r="V46" s="12"/>
      <c r="W46" s="12"/>
      <c r="X46" s="12"/>
      <c r="Y46" s="12"/>
      <c r="Z46" s="12"/>
    </row>
    <row r="47" spans="1:26" ht="15" customHeight="1" x14ac:dyDescent="0.3">
      <c r="A47" s="45"/>
      <c r="B47" s="46" t="s">
        <v>37</v>
      </c>
      <c r="C47" s="194" t="s">
        <v>2022</v>
      </c>
      <c r="D47" s="46"/>
      <c r="E47" s="46" t="s">
        <v>43</v>
      </c>
      <c r="F47" s="61" t="s">
        <v>31</v>
      </c>
      <c r="G47" s="288">
        <v>52</v>
      </c>
      <c r="H47" s="289">
        <v>9</v>
      </c>
      <c r="I47" s="290">
        <v>1000</v>
      </c>
      <c r="J47" s="48" t="s">
        <v>213</v>
      </c>
      <c r="K47" s="50"/>
      <c r="L47" s="53" t="str">
        <f t="shared" si="0"/>
        <v>1000kilos</v>
      </c>
      <c r="M47" s="54">
        <f t="shared" si="1"/>
        <v>9000</v>
      </c>
      <c r="N47" s="55" t="str">
        <f t="shared" si="2"/>
        <v>9000kilos</v>
      </c>
      <c r="O47" s="56">
        <f t="shared" si="3"/>
        <v>468</v>
      </c>
      <c r="P47" s="12"/>
      <c r="Q47" s="12"/>
      <c r="R47" s="12"/>
      <c r="S47" s="151"/>
      <c r="T47" s="12"/>
      <c r="U47" s="12"/>
      <c r="V47" s="12"/>
      <c r="W47" s="12"/>
      <c r="X47" s="12"/>
      <c r="Y47" s="12"/>
      <c r="Z47" s="12"/>
    </row>
    <row r="48" spans="1:26" ht="15" customHeight="1" x14ac:dyDescent="0.3">
      <c r="A48" s="45"/>
      <c r="B48" s="46" t="s">
        <v>37</v>
      </c>
      <c r="C48" s="194" t="s">
        <v>2021</v>
      </c>
      <c r="D48" s="46"/>
      <c r="E48" s="219" t="s">
        <v>38</v>
      </c>
      <c r="F48" s="61" t="s">
        <v>31</v>
      </c>
      <c r="G48" s="291">
        <v>66.5</v>
      </c>
      <c r="H48" s="292">
        <v>2</v>
      </c>
      <c r="I48" s="293">
        <v>500</v>
      </c>
      <c r="J48" s="414" t="s">
        <v>39</v>
      </c>
      <c r="K48" s="50"/>
      <c r="L48" s="53" t="str">
        <f t="shared" si="0"/>
        <v>500grams</v>
      </c>
      <c r="M48" s="54">
        <f t="shared" si="1"/>
        <v>1000</v>
      </c>
      <c r="N48" s="55" t="str">
        <f t="shared" si="2"/>
        <v>1000grams</v>
      </c>
      <c r="O48" s="56">
        <f t="shared" si="3"/>
        <v>133</v>
      </c>
      <c r="P48" s="12"/>
      <c r="Q48" s="12"/>
      <c r="R48" s="12"/>
      <c r="S48" s="151"/>
      <c r="T48" s="12"/>
      <c r="U48" s="12"/>
      <c r="V48" s="12"/>
      <c r="W48" s="12"/>
      <c r="X48" s="12"/>
      <c r="Y48" s="12"/>
      <c r="Z48" s="12"/>
    </row>
    <row r="49" spans="1:26" ht="15" customHeight="1" x14ac:dyDescent="0.3">
      <c r="A49" s="45"/>
      <c r="B49" s="46" t="s">
        <v>37</v>
      </c>
      <c r="C49" s="194" t="s">
        <v>2021</v>
      </c>
      <c r="D49" s="46"/>
      <c r="E49" s="219" t="s">
        <v>849</v>
      </c>
      <c r="F49" s="61" t="s">
        <v>31</v>
      </c>
      <c r="G49" s="291">
        <v>48</v>
      </c>
      <c r="H49" s="292">
        <v>27</v>
      </c>
      <c r="I49" s="293">
        <v>1000</v>
      </c>
      <c r="J49" s="414" t="s">
        <v>39</v>
      </c>
      <c r="K49" s="50"/>
      <c r="L49" s="53" t="str">
        <f t="shared" si="0"/>
        <v>1000grams</v>
      </c>
      <c r="M49" s="54">
        <f t="shared" si="1"/>
        <v>27000</v>
      </c>
      <c r="N49" s="55" t="str">
        <f t="shared" si="2"/>
        <v>27000grams</v>
      </c>
      <c r="O49" s="56">
        <f t="shared" si="3"/>
        <v>1296</v>
      </c>
      <c r="P49" s="12"/>
      <c r="Q49" s="12"/>
      <c r="R49" s="12"/>
      <c r="S49" s="151"/>
      <c r="T49" s="12"/>
      <c r="U49" s="12"/>
      <c r="V49" s="12"/>
      <c r="W49" s="12"/>
      <c r="X49" s="12"/>
      <c r="Y49" s="12"/>
      <c r="Z49" s="12"/>
    </row>
    <row r="50" spans="1:26" ht="15" customHeight="1" x14ac:dyDescent="0.3">
      <c r="A50" s="45">
        <v>849</v>
      </c>
      <c r="B50" s="46" t="s">
        <v>37</v>
      </c>
      <c r="C50" s="194" t="s">
        <v>1368</v>
      </c>
      <c r="D50" s="46"/>
      <c r="E50" s="46"/>
      <c r="F50" s="61" t="s">
        <v>31</v>
      </c>
      <c r="G50" s="288">
        <v>42</v>
      </c>
      <c r="H50" s="289">
        <v>3</v>
      </c>
      <c r="I50" s="290">
        <v>1</v>
      </c>
      <c r="J50" s="48" t="s">
        <v>213</v>
      </c>
      <c r="K50" s="50"/>
      <c r="L50" s="53" t="str">
        <f t="shared" si="0"/>
        <v>1kilos</v>
      </c>
      <c r="M50" s="54">
        <f t="shared" si="1"/>
        <v>3</v>
      </c>
      <c r="N50" s="55" t="str">
        <f t="shared" si="2"/>
        <v>3kilos</v>
      </c>
      <c r="O50" s="56">
        <f t="shared" si="3"/>
        <v>126</v>
      </c>
      <c r="P50" s="44">
        <f>O50/H50</f>
        <v>42</v>
      </c>
      <c r="Q50" s="66"/>
      <c r="R50" s="32" t="b">
        <f>P50=G50</f>
        <v>1</v>
      </c>
      <c r="S50" s="32"/>
      <c r="T50" s="32"/>
      <c r="U50" s="32"/>
      <c r="V50" s="32"/>
      <c r="W50" s="32"/>
      <c r="X50" s="32"/>
      <c r="Y50" s="32"/>
      <c r="Z50" s="32"/>
    </row>
    <row r="51" spans="1:26" ht="15" customHeight="1" x14ac:dyDescent="0.3">
      <c r="A51" s="45"/>
      <c r="B51" s="46" t="s">
        <v>37</v>
      </c>
      <c r="C51" s="194" t="s">
        <v>2020</v>
      </c>
      <c r="D51" s="46"/>
      <c r="E51" s="46" t="s">
        <v>47</v>
      </c>
      <c r="F51" s="61" t="s">
        <v>31</v>
      </c>
      <c r="G51" s="288">
        <v>55</v>
      </c>
      <c r="H51" s="289">
        <v>3</v>
      </c>
      <c r="I51" s="290">
        <v>1000</v>
      </c>
      <c r="J51" s="48" t="s">
        <v>213</v>
      </c>
      <c r="K51" s="50"/>
      <c r="L51" s="53" t="str">
        <f t="shared" si="0"/>
        <v>1000kilos</v>
      </c>
      <c r="M51" s="54">
        <f t="shared" si="1"/>
        <v>3000</v>
      </c>
      <c r="N51" s="55" t="str">
        <f t="shared" si="2"/>
        <v>3000kilos</v>
      </c>
      <c r="O51" s="56">
        <f t="shared" si="3"/>
        <v>165</v>
      </c>
      <c r="P51" s="12"/>
      <c r="Q51" s="12"/>
      <c r="R51" s="12"/>
      <c r="S51" s="151"/>
      <c r="T51" s="12"/>
      <c r="U51" s="12"/>
      <c r="V51" s="12"/>
      <c r="W51" s="12"/>
      <c r="X51" s="12"/>
      <c r="Y51" s="12"/>
      <c r="Z51" s="12"/>
    </row>
    <row r="52" spans="1:26" ht="15" customHeight="1" x14ac:dyDescent="0.3">
      <c r="A52" s="45"/>
      <c r="B52" s="219" t="s">
        <v>852</v>
      </c>
      <c r="C52" s="194" t="s">
        <v>2021</v>
      </c>
      <c r="D52" s="46"/>
      <c r="E52" s="219"/>
      <c r="F52" s="61" t="s">
        <v>31</v>
      </c>
      <c r="G52" s="291">
        <v>37.6</v>
      </c>
      <c r="H52" s="292">
        <v>10</v>
      </c>
      <c r="I52" s="293">
        <v>1000</v>
      </c>
      <c r="J52" s="414" t="s">
        <v>39</v>
      </c>
      <c r="K52" s="50"/>
      <c r="L52" s="53" t="str">
        <f t="shared" si="0"/>
        <v>1000grams</v>
      </c>
      <c r="M52" s="54">
        <f t="shared" si="1"/>
        <v>10000</v>
      </c>
      <c r="N52" s="55" t="str">
        <f t="shared" si="2"/>
        <v>10000grams</v>
      </c>
      <c r="O52" s="56">
        <f t="shared" si="3"/>
        <v>376</v>
      </c>
      <c r="P52" s="12"/>
      <c r="Q52" s="12"/>
      <c r="R52" s="12"/>
      <c r="S52" s="151"/>
      <c r="T52" s="12"/>
      <c r="U52" s="12"/>
      <c r="V52" s="12"/>
      <c r="W52" s="12"/>
      <c r="X52" s="12"/>
      <c r="Y52" s="12"/>
      <c r="Z52" s="12"/>
    </row>
    <row r="53" spans="1:26" ht="15" customHeight="1" x14ac:dyDescent="0.3">
      <c r="A53" s="45">
        <v>183</v>
      </c>
      <c r="B53" s="46" t="s">
        <v>42</v>
      </c>
      <c r="C53" s="194" t="s">
        <v>2024</v>
      </c>
      <c r="D53" s="46"/>
      <c r="E53" s="46" t="s">
        <v>43</v>
      </c>
      <c r="F53" s="61" t="s">
        <v>31</v>
      </c>
      <c r="G53" s="288">
        <v>48</v>
      </c>
      <c r="H53" s="289">
        <v>1</v>
      </c>
      <c r="I53" s="290">
        <v>1</v>
      </c>
      <c r="J53" s="48" t="s">
        <v>213</v>
      </c>
      <c r="K53" s="50" t="s">
        <v>2019</v>
      </c>
      <c r="L53" s="53" t="str">
        <f t="shared" si="0"/>
        <v>1kilos</v>
      </c>
      <c r="M53" s="54">
        <f t="shared" si="1"/>
        <v>1</v>
      </c>
      <c r="N53" s="55" t="str">
        <f t="shared" si="2"/>
        <v>1kilos</v>
      </c>
      <c r="O53" s="56">
        <f t="shared" si="3"/>
        <v>48</v>
      </c>
      <c r="P53" s="44">
        <f>O53/H53</f>
        <v>48</v>
      </c>
      <c r="Q53" s="66">
        <f>G53-P53</f>
        <v>0</v>
      </c>
      <c r="R53" s="32" t="b">
        <f>P53=G53</f>
        <v>1</v>
      </c>
      <c r="S53" s="32"/>
      <c r="T53" s="32"/>
      <c r="U53" s="32"/>
      <c r="V53" s="32"/>
      <c r="W53" s="32"/>
      <c r="X53" s="32"/>
      <c r="Y53" s="32"/>
      <c r="Z53" s="32"/>
    </row>
    <row r="54" spans="1:26" ht="15" customHeight="1" x14ac:dyDescent="0.3">
      <c r="A54" s="45"/>
      <c r="B54" s="219" t="s">
        <v>42</v>
      </c>
      <c r="C54" s="194" t="s">
        <v>2021</v>
      </c>
      <c r="D54" s="46"/>
      <c r="E54" s="219"/>
      <c r="F54" s="61" t="s">
        <v>31</v>
      </c>
      <c r="G54" s="291">
        <v>50</v>
      </c>
      <c r="H54" s="292">
        <v>18</v>
      </c>
      <c r="I54" s="293">
        <v>1000</v>
      </c>
      <c r="J54" s="414" t="s">
        <v>39</v>
      </c>
      <c r="K54" s="50"/>
      <c r="L54" s="53" t="str">
        <f t="shared" si="0"/>
        <v>1000grams</v>
      </c>
      <c r="M54" s="54">
        <f t="shared" si="1"/>
        <v>18000</v>
      </c>
      <c r="N54" s="55" t="str">
        <f t="shared" si="2"/>
        <v>18000grams</v>
      </c>
      <c r="O54" s="56">
        <f t="shared" si="3"/>
        <v>900</v>
      </c>
      <c r="P54" s="12"/>
      <c r="Q54" s="12"/>
      <c r="R54" s="12"/>
      <c r="S54" s="151"/>
      <c r="T54" s="12"/>
      <c r="U54" s="12"/>
      <c r="V54" s="12"/>
      <c r="W54" s="12"/>
      <c r="X54" s="12"/>
      <c r="Y54" s="12"/>
      <c r="Z54" s="12"/>
    </row>
    <row r="55" spans="1:26" ht="15" customHeight="1" x14ac:dyDescent="0.3">
      <c r="A55" s="45"/>
      <c r="B55" s="219" t="s">
        <v>853</v>
      </c>
      <c r="C55" s="194" t="s">
        <v>2021</v>
      </c>
      <c r="D55" s="46"/>
      <c r="E55" s="219" t="s">
        <v>854</v>
      </c>
      <c r="F55" s="61" t="s">
        <v>31</v>
      </c>
      <c r="G55" s="291">
        <v>88</v>
      </c>
      <c r="H55" s="292">
        <v>2</v>
      </c>
      <c r="I55" s="293">
        <v>32</v>
      </c>
      <c r="J55" s="414" t="s">
        <v>39</v>
      </c>
      <c r="K55" s="50"/>
      <c r="L55" s="53" t="str">
        <f t="shared" si="0"/>
        <v>32grams</v>
      </c>
      <c r="M55" s="54">
        <f t="shared" si="1"/>
        <v>64</v>
      </c>
      <c r="N55" s="55" t="str">
        <f t="shared" si="2"/>
        <v>64grams</v>
      </c>
      <c r="O55" s="56">
        <f t="shared" si="3"/>
        <v>176</v>
      </c>
      <c r="P55" s="12"/>
      <c r="Q55" s="12"/>
      <c r="R55" s="12"/>
      <c r="S55" s="151"/>
      <c r="T55" s="12"/>
      <c r="U55" s="12"/>
      <c r="V55" s="12"/>
      <c r="W55" s="12"/>
      <c r="X55" s="12"/>
      <c r="Y55" s="12"/>
      <c r="Z55" s="12"/>
    </row>
    <row r="56" spans="1:26" ht="15" customHeight="1" x14ac:dyDescent="0.3">
      <c r="A56" s="45">
        <v>483</v>
      </c>
      <c r="B56" s="46" t="s">
        <v>855</v>
      </c>
      <c r="C56" s="194" t="s">
        <v>2025</v>
      </c>
      <c r="D56" s="46"/>
      <c r="E56" s="46"/>
      <c r="F56" s="61" t="s">
        <v>31</v>
      </c>
      <c r="G56" s="288">
        <v>80</v>
      </c>
      <c r="H56" s="289">
        <v>1</v>
      </c>
      <c r="I56" s="290">
        <v>1</v>
      </c>
      <c r="J56" s="48" t="s">
        <v>213</v>
      </c>
      <c r="K56" s="50"/>
      <c r="L56" s="53" t="str">
        <f t="shared" si="0"/>
        <v>1kilos</v>
      </c>
      <c r="M56" s="54">
        <f t="shared" si="1"/>
        <v>1</v>
      </c>
      <c r="N56" s="55" t="str">
        <f t="shared" si="2"/>
        <v>1kilos</v>
      </c>
      <c r="O56" s="56">
        <f t="shared" si="3"/>
        <v>80</v>
      </c>
      <c r="P56" s="44">
        <f>O56/H56</f>
        <v>80</v>
      </c>
      <c r="Q56" s="66"/>
      <c r="R56" s="32"/>
      <c r="S56" s="32"/>
      <c r="T56" s="32"/>
      <c r="U56" s="32"/>
      <c r="V56" s="32"/>
      <c r="W56" s="32"/>
      <c r="X56" s="32"/>
      <c r="Y56" s="32"/>
      <c r="Z56" s="32"/>
    </row>
    <row r="57" spans="1:26" ht="15" customHeight="1" x14ac:dyDescent="0.3">
      <c r="A57" s="45">
        <v>909</v>
      </c>
      <c r="B57" s="46" t="s">
        <v>855</v>
      </c>
      <c r="C57" s="194" t="s">
        <v>1368</v>
      </c>
      <c r="D57" s="46"/>
      <c r="E57" s="46"/>
      <c r="F57" s="61" t="s">
        <v>31</v>
      </c>
      <c r="G57" s="288">
        <v>60</v>
      </c>
      <c r="H57" s="289">
        <v>1</v>
      </c>
      <c r="I57" s="290">
        <v>1</v>
      </c>
      <c r="J57" s="48" t="s">
        <v>213</v>
      </c>
      <c r="K57" s="50"/>
      <c r="L57" s="53" t="str">
        <f t="shared" si="0"/>
        <v>1kilos</v>
      </c>
      <c r="M57" s="54">
        <f t="shared" si="1"/>
        <v>1</v>
      </c>
      <c r="N57" s="55" t="str">
        <f t="shared" si="2"/>
        <v>1kilos</v>
      </c>
      <c r="O57" s="56">
        <f t="shared" si="3"/>
        <v>60</v>
      </c>
      <c r="P57" s="44"/>
      <c r="Q57" s="66"/>
      <c r="R57" s="32"/>
      <c r="S57" s="32"/>
      <c r="T57" s="32"/>
      <c r="U57" s="32"/>
      <c r="V57" s="32"/>
      <c r="W57" s="32"/>
      <c r="X57" s="32"/>
      <c r="Y57" s="32"/>
      <c r="Z57" s="32"/>
    </row>
    <row r="58" spans="1:26" ht="15" customHeight="1" x14ac:dyDescent="0.3">
      <c r="A58" s="45">
        <v>141</v>
      </c>
      <c r="B58" s="46" t="s">
        <v>856</v>
      </c>
      <c r="C58" s="194" t="s">
        <v>2024</v>
      </c>
      <c r="D58" s="46"/>
      <c r="E58" s="324"/>
      <c r="F58" s="61" t="s">
        <v>31</v>
      </c>
      <c r="G58" s="288">
        <v>310</v>
      </c>
      <c r="H58" s="289">
        <v>8</v>
      </c>
      <c r="I58" s="290">
        <v>1</v>
      </c>
      <c r="J58" s="48" t="s">
        <v>213</v>
      </c>
      <c r="K58" s="50"/>
      <c r="L58" s="53" t="str">
        <f t="shared" si="0"/>
        <v>1kilos</v>
      </c>
      <c r="M58" s="54">
        <f t="shared" si="1"/>
        <v>8</v>
      </c>
      <c r="N58" s="55" t="str">
        <f t="shared" si="2"/>
        <v>8kilos</v>
      </c>
      <c r="O58" s="56">
        <f t="shared" si="3"/>
        <v>2480</v>
      </c>
      <c r="P58" s="44">
        <f t="shared" ref="P58:P60" si="6">O58/H58</f>
        <v>310</v>
      </c>
      <c r="Q58" s="66"/>
      <c r="R58" s="32"/>
      <c r="S58" s="32"/>
      <c r="T58" s="32"/>
      <c r="U58" s="32"/>
      <c r="V58" s="32"/>
      <c r="W58" s="32"/>
      <c r="X58" s="32"/>
      <c r="Y58" s="32"/>
      <c r="Z58" s="32"/>
    </row>
    <row r="59" spans="1:26" ht="15" customHeight="1" x14ac:dyDescent="0.3">
      <c r="A59" s="45">
        <v>465</v>
      </c>
      <c r="B59" s="46" t="s">
        <v>856</v>
      </c>
      <c r="C59" s="194" t="s">
        <v>2025</v>
      </c>
      <c r="D59" s="46"/>
      <c r="E59" s="46"/>
      <c r="F59" s="61" t="s">
        <v>31</v>
      </c>
      <c r="G59" s="288">
        <v>220</v>
      </c>
      <c r="H59" s="289">
        <v>3</v>
      </c>
      <c r="I59" s="290">
        <v>1</v>
      </c>
      <c r="J59" s="48" t="s">
        <v>213</v>
      </c>
      <c r="K59" s="50"/>
      <c r="L59" s="53" t="str">
        <f t="shared" si="0"/>
        <v>1kilos</v>
      </c>
      <c r="M59" s="54">
        <f t="shared" si="1"/>
        <v>3</v>
      </c>
      <c r="N59" s="55" t="str">
        <f t="shared" si="2"/>
        <v>3kilos</v>
      </c>
      <c r="O59" s="56">
        <f t="shared" si="3"/>
        <v>660</v>
      </c>
      <c r="P59" s="44">
        <f t="shared" si="6"/>
        <v>220</v>
      </c>
      <c r="Q59" s="66"/>
      <c r="R59" s="32" t="b">
        <f t="shared" ref="R59:R60" si="7">P59=G59</f>
        <v>1</v>
      </c>
      <c r="S59" s="32"/>
      <c r="T59" s="32"/>
      <c r="U59" s="32"/>
      <c r="V59" s="32"/>
      <c r="W59" s="32"/>
      <c r="X59" s="32"/>
      <c r="Y59" s="32"/>
      <c r="Z59" s="32"/>
    </row>
    <row r="60" spans="1:26" ht="15" customHeight="1" x14ac:dyDescent="0.3">
      <c r="A60" s="45">
        <v>64</v>
      </c>
      <c r="B60" s="46" t="s">
        <v>857</v>
      </c>
      <c r="C60" s="194" t="s">
        <v>29</v>
      </c>
      <c r="D60" s="46"/>
      <c r="E60" s="46" t="s">
        <v>858</v>
      </c>
      <c r="F60" s="61" t="s">
        <v>31</v>
      </c>
      <c r="G60" s="288">
        <v>21.8</v>
      </c>
      <c r="H60" s="289">
        <v>6</v>
      </c>
      <c r="I60" s="290">
        <v>1</v>
      </c>
      <c r="J60" s="48" t="s">
        <v>92</v>
      </c>
      <c r="K60" s="61" t="s">
        <v>2019</v>
      </c>
      <c r="L60" s="415" t="str">
        <f t="shared" si="0"/>
        <v>1pieces</v>
      </c>
      <c r="M60" s="416">
        <f t="shared" si="1"/>
        <v>6</v>
      </c>
      <c r="N60" s="417" t="str">
        <f t="shared" si="2"/>
        <v>6pieces</v>
      </c>
      <c r="O60" s="418">
        <f t="shared" si="3"/>
        <v>130.80000000000001</v>
      </c>
      <c r="P60" s="419">
        <f t="shared" si="6"/>
        <v>21.8</v>
      </c>
      <c r="Q60" s="66"/>
      <c r="R60" s="32" t="b">
        <f t="shared" si="7"/>
        <v>1</v>
      </c>
      <c r="S60" s="32"/>
      <c r="T60" s="32"/>
      <c r="V60" s="32"/>
      <c r="W60" s="32"/>
      <c r="X60" s="32"/>
      <c r="Y60" s="32"/>
      <c r="Z60" s="32"/>
    </row>
    <row r="61" spans="1:26" ht="15" customHeight="1" x14ac:dyDescent="0.3">
      <c r="A61" s="45"/>
      <c r="B61" s="219" t="s">
        <v>857</v>
      </c>
      <c r="C61" s="194" t="s">
        <v>2021</v>
      </c>
      <c r="D61" s="46"/>
      <c r="E61" s="219" t="s">
        <v>859</v>
      </c>
      <c r="F61" s="61" t="s">
        <v>31</v>
      </c>
      <c r="G61" s="291">
        <v>700</v>
      </c>
      <c r="H61" s="292">
        <v>1</v>
      </c>
      <c r="I61" s="293">
        <v>1</v>
      </c>
      <c r="J61" s="414" t="s">
        <v>210</v>
      </c>
      <c r="K61" s="50"/>
      <c r="L61" s="53" t="str">
        <f t="shared" si="0"/>
        <v>1roll</v>
      </c>
      <c r="M61" s="54">
        <f t="shared" si="1"/>
        <v>1</v>
      </c>
      <c r="N61" s="55" t="str">
        <f t="shared" si="2"/>
        <v>1roll</v>
      </c>
      <c r="O61" s="56">
        <f t="shared" si="3"/>
        <v>700</v>
      </c>
      <c r="P61" s="12"/>
      <c r="Q61" s="12"/>
      <c r="R61" s="12"/>
      <c r="S61" s="151"/>
      <c r="T61" s="12"/>
      <c r="U61" s="12"/>
      <c r="V61" s="12"/>
      <c r="W61" s="12"/>
      <c r="X61" s="12"/>
      <c r="Y61" s="12"/>
      <c r="Z61" s="12"/>
    </row>
    <row r="62" spans="1:26" ht="15" customHeight="1" x14ac:dyDescent="0.3">
      <c r="A62" s="45">
        <v>653</v>
      </c>
      <c r="B62" s="46" t="s">
        <v>860</v>
      </c>
      <c r="C62" s="194" t="s">
        <v>2026</v>
      </c>
      <c r="D62" s="46"/>
      <c r="E62" s="46"/>
      <c r="F62" s="61" t="s">
        <v>31</v>
      </c>
      <c r="G62" s="288">
        <v>150</v>
      </c>
      <c r="H62" s="289">
        <v>1</v>
      </c>
      <c r="I62" s="290">
        <v>1</v>
      </c>
      <c r="J62" s="48" t="s">
        <v>213</v>
      </c>
      <c r="K62" s="50"/>
      <c r="L62" s="53" t="str">
        <f t="shared" si="0"/>
        <v>1kilos</v>
      </c>
      <c r="M62" s="54">
        <f t="shared" si="1"/>
        <v>1</v>
      </c>
      <c r="N62" s="55" t="str">
        <f t="shared" si="2"/>
        <v>1kilos</v>
      </c>
      <c r="O62" s="56">
        <f t="shared" si="3"/>
        <v>150</v>
      </c>
      <c r="P62" s="44">
        <f>O62/H62</f>
        <v>150</v>
      </c>
      <c r="Q62" s="66"/>
      <c r="R62" s="32"/>
      <c r="S62" s="32"/>
      <c r="T62" s="32"/>
      <c r="U62" s="32"/>
      <c r="V62" s="32"/>
      <c r="W62" s="32"/>
      <c r="X62" s="32"/>
      <c r="Y62" s="32"/>
      <c r="Z62" s="32"/>
    </row>
    <row r="63" spans="1:26" ht="15" customHeight="1" x14ac:dyDescent="0.3">
      <c r="A63" s="45"/>
      <c r="B63" s="46" t="s">
        <v>860</v>
      </c>
      <c r="C63" s="194" t="s">
        <v>2023</v>
      </c>
      <c r="D63" s="46"/>
      <c r="E63" s="46"/>
      <c r="F63" s="61" t="s">
        <v>31</v>
      </c>
      <c r="G63" s="288">
        <v>160</v>
      </c>
      <c r="H63" s="289">
        <v>3</v>
      </c>
      <c r="I63" s="290">
        <v>1</v>
      </c>
      <c r="J63" s="48" t="s">
        <v>213</v>
      </c>
      <c r="K63" s="50"/>
      <c r="L63" s="53" t="str">
        <f t="shared" si="0"/>
        <v>1kilos</v>
      </c>
      <c r="M63" s="54">
        <f t="shared" si="1"/>
        <v>3</v>
      </c>
      <c r="N63" s="55" t="str">
        <f t="shared" si="2"/>
        <v>3kilos</v>
      </c>
      <c r="O63" s="56">
        <f t="shared" si="3"/>
        <v>480</v>
      </c>
      <c r="P63" s="12"/>
      <c r="Q63" s="12"/>
      <c r="R63" s="12"/>
      <c r="S63" s="151"/>
      <c r="T63" s="12"/>
      <c r="U63" s="12"/>
      <c r="V63" s="12"/>
      <c r="W63" s="12"/>
      <c r="X63" s="12"/>
      <c r="Y63" s="12"/>
      <c r="Z63" s="12"/>
    </row>
    <row r="64" spans="1:26" ht="15" customHeight="1" x14ac:dyDescent="0.3">
      <c r="A64" s="45">
        <v>501</v>
      </c>
      <c r="B64" s="46" t="s">
        <v>861</v>
      </c>
      <c r="C64" s="194" t="s">
        <v>2025</v>
      </c>
      <c r="D64" s="46"/>
      <c r="E64" s="46"/>
      <c r="F64" s="61" t="s">
        <v>31</v>
      </c>
      <c r="G64" s="288">
        <v>30</v>
      </c>
      <c r="H64" s="289">
        <v>4</v>
      </c>
      <c r="I64" s="290">
        <v>1</v>
      </c>
      <c r="J64" s="48" t="s">
        <v>92</v>
      </c>
      <c r="K64" s="50"/>
      <c r="L64" s="53" t="str">
        <f t="shared" si="0"/>
        <v>1pieces</v>
      </c>
      <c r="M64" s="54">
        <f t="shared" si="1"/>
        <v>4</v>
      </c>
      <c r="N64" s="55" t="str">
        <f t="shared" si="2"/>
        <v>4pieces</v>
      </c>
      <c r="O64" s="56">
        <f t="shared" si="3"/>
        <v>120</v>
      </c>
      <c r="P64" s="44">
        <f>O64/H64</f>
        <v>30</v>
      </c>
      <c r="Q64" s="66"/>
      <c r="R64" s="32"/>
      <c r="S64" s="32"/>
      <c r="T64" s="32"/>
      <c r="U64" s="32"/>
      <c r="V64" s="32"/>
      <c r="W64" s="32"/>
      <c r="X64" s="32"/>
      <c r="Y64" s="32"/>
      <c r="Z64" s="32"/>
    </row>
    <row r="65" spans="1:26" ht="15" customHeight="1" x14ac:dyDescent="0.3">
      <c r="A65" s="45"/>
      <c r="B65" s="46" t="s">
        <v>861</v>
      </c>
      <c r="C65" s="194" t="s">
        <v>2023</v>
      </c>
      <c r="D65" s="46"/>
      <c r="E65" s="46"/>
      <c r="F65" s="61" t="s">
        <v>31</v>
      </c>
      <c r="G65" s="288">
        <v>40</v>
      </c>
      <c r="H65" s="289">
        <v>2</v>
      </c>
      <c r="I65" s="290">
        <v>1</v>
      </c>
      <c r="J65" s="48" t="s">
        <v>92</v>
      </c>
      <c r="K65" s="50"/>
      <c r="L65" s="53" t="str">
        <f t="shared" si="0"/>
        <v>1pieces</v>
      </c>
      <c r="M65" s="54">
        <f t="shared" si="1"/>
        <v>2</v>
      </c>
      <c r="N65" s="55" t="str">
        <f t="shared" si="2"/>
        <v>2pieces</v>
      </c>
      <c r="O65" s="56">
        <f t="shared" si="3"/>
        <v>80</v>
      </c>
      <c r="P65" s="44"/>
      <c r="Q65" s="12"/>
      <c r="R65" s="12"/>
      <c r="S65" s="151"/>
      <c r="T65" s="12"/>
      <c r="U65" s="12"/>
      <c r="V65" s="12"/>
      <c r="W65" s="12"/>
      <c r="X65" s="12"/>
      <c r="Y65" s="12"/>
      <c r="Z65" s="12"/>
    </row>
    <row r="66" spans="1:26" ht="15" customHeight="1" x14ac:dyDescent="0.3">
      <c r="A66" s="45">
        <v>318</v>
      </c>
      <c r="B66" s="46" t="s">
        <v>862</v>
      </c>
      <c r="C66" s="194" t="s">
        <v>2025</v>
      </c>
      <c r="D66" s="46"/>
      <c r="E66" s="46" t="s">
        <v>863</v>
      </c>
      <c r="F66" s="61" t="s">
        <v>31</v>
      </c>
      <c r="G66" s="288">
        <v>159.5</v>
      </c>
      <c r="H66" s="289">
        <v>1</v>
      </c>
      <c r="I66" s="290">
        <v>473</v>
      </c>
      <c r="J66" s="48" t="s">
        <v>32</v>
      </c>
      <c r="K66" s="50"/>
      <c r="L66" s="53" t="str">
        <f t="shared" si="0"/>
        <v>473ml</v>
      </c>
      <c r="M66" s="54">
        <f t="shared" si="1"/>
        <v>473</v>
      </c>
      <c r="N66" s="55" t="str">
        <f t="shared" si="2"/>
        <v>473ml</v>
      </c>
      <c r="O66" s="56">
        <f t="shared" si="3"/>
        <v>159.5</v>
      </c>
      <c r="P66" s="44">
        <f>O66/H66</f>
        <v>159.5</v>
      </c>
      <c r="Q66" s="66"/>
      <c r="R66" s="32"/>
      <c r="S66" s="32"/>
      <c r="T66" s="32"/>
      <c r="U66" s="32"/>
      <c r="V66" s="32"/>
      <c r="W66" s="32"/>
      <c r="X66" s="32"/>
      <c r="Y66" s="32"/>
      <c r="Z66" s="32"/>
    </row>
    <row r="67" spans="1:26" ht="15" customHeight="1" x14ac:dyDescent="0.3">
      <c r="A67" s="45"/>
      <c r="B67" s="219" t="s">
        <v>864</v>
      </c>
      <c r="C67" s="194" t="s">
        <v>2021</v>
      </c>
      <c r="D67" s="219"/>
      <c r="E67" s="219" t="s">
        <v>865</v>
      </c>
      <c r="F67" s="61" t="s">
        <v>31</v>
      </c>
      <c r="G67" s="291">
        <v>92</v>
      </c>
      <c r="H67" s="289">
        <v>2</v>
      </c>
      <c r="I67" s="290">
        <v>270</v>
      </c>
      <c r="J67" s="48" t="s">
        <v>39</v>
      </c>
      <c r="K67" s="50"/>
      <c r="L67" s="53" t="str">
        <f t="shared" si="0"/>
        <v>270grams</v>
      </c>
      <c r="M67" s="54">
        <f t="shared" si="1"/>
        <v>540</v>
      </c>
      <c r="N67" s="55" t="str">
        <f t="shared" si="2"/>
        <v>540grams</v>
      </c>
      <c r="O67" s="56">
        <f t="shared" si="3"/>
        <v>184</v>
      </c>
      <c r="P67" s="12"/>
      <c r="Q67" s="12"/>
      <c r="R67" s="12"/>
      <c r="S67" s="151"/>
      <c r="T67" s="12"/>
      <c r="U67" s="12"/>
      <c r="V67" s="12"/>
      <c r="W67" s="12"/>
      <c r="X67" s="12"/>
      <c r="Y67" s="12"/>
      <c r="Z67" s="12"/>
    </row>
    <row r="68" spans="1:26" ht="15" customHeight="1" x14ac:dyDescent="0.3">
      <c r="A68" s="45"/>
      <c r="B68" s="46" t="s">
        <v>866</v>
      </c>
      <c r="C68" s="194" t="s">
        <v>2020</v>
      </c>
      <c r="D68" s="46"/>
      <c r="E68" s="46"/>
      <c r="F68" s="61" t="s">
        <v>31</v>
      </c>
      <c r="G68" s="288">
        <v>87.5</v>
      </c>
      <c r="H68" s="289">
        <v>1</v>
      </c>
      <c r="I68" s="290">
        <v>250</v>
      </c>
      <c r="J68" s="48" t="s">
        <v>39</v>
      </c>
      <c r="K68" s="50"/>
      <c r="L68" s="53" t="str">
        <f t="shared" si="0"/>
        <v>250grams</v>
      </c>
      <c r="M68" s="54">
        <f t="shared" si="1"/>
        <v>250</v>
      </c>
      <c r="N68" s="55" t="str">
        <f t="shared" si="2"/>
        <v>250grams</v>
      </c>
      <c r="O68" s="56">
        <f t="shared" si="3"/>
        <v>87.5</v>
      </c>
      <c r="P68" s="12"/>
      <c r="Q68" s="12"/>
      <c r="R68" s="12"/>
      <c r="S68" s="151"/>
      <c r="T68" s="12"/>
      <c r="U68" s="12"/>
      <c r="V68" s="12"/>
      <c r="W68" s="12"/>
      <c r="X68" s="12"/>
      <c r="Y68" s="12"/>
      <c r="Z68" s="12"/>
    </row>
    <row r="69" spans="1:26" ht="15" customHeight="1" x14ac:dyDescent="0.3">
      <c r="A69" s="45">
        <v>292</v>
      </c>
      <c r="B69" s="46" t="s">
        <v>866</v>
      </c>
      <c r="C69" s="194" t="s">
        <v>2025</v>
      </c>
      <c r="D69" s="46"/>
      <c r="E69" s="46" t="s">
        <v>867</v>
      </c>
      <c r="F69" s="61" t="s">
        <v>31</v>
      </c>
      <c r="G69" s="288">
        <v>550</v>
      </c>
      <c r="H69" s="289">
        <v>0</v>
      </c>
      <c r="I69" s="290">
        <v>1</v>
      </c>
      <c r="J69" s="48" t="s">
        <v>213</v>
      </c>
      <c r="K69" s="50"/>
      <c r="L69" s="53" t="str">
        <f t="shared" si="0"/>
        <v>1kilos</v>
      </c>
      <c r="M69" s="54">
        <f t="shared" si="1"/>
        <v>0</v>
      </c>
      <c r="N69" s="55" t="str">
        <f t="shared" si="2"/>
        <v>0kilos</v>
      </c>
      <c r="O69" s="56">
        <f t="shared" si="3"/>
        <v>0</v>
      </c>
      <c r="P69" s="44" t="e">
        <f>O69/H69</f>
        <v>#DIV/0!</v>
      </c>
      <c r="Q69" s="66"/>
      <c r="R69" s="32" t="e">
        <f>P69=G69</f>
        <v>#DIV/0!</v>
      </c>
      <c r="S69" s="32"/>
      <c r="T69" s="32"/>
      <c r="U69" s="32"/>
      <c r="V69" s="32"/>
      <c r="W69" s="32"/>
      <c r="X69" s="32"/>
      <c r="Y69" s="32"/>
      <c r="Z69" s="32"/>
    </row>
    <row r="70" spans="1:26" ht="15" customHeight="1" x14ac:dyDescent="0.3">
      <c r="A70" s="45"/>
      <c r="B70" s="46" t="s">
        <v>866</v>
      </c>
      <c r="C70" s="194" t="s">
        <v>2021</v>
      </c>
      <c r="D70" s="46"/>
      <c r="E70" s="219"/>
      <c r="F70" s="61" t="s">
        <v>31</v>
      </c>
      <c r="G70" s="291">
        <v>650</v>
      </c>
      <c r="H70" s="292">
        <v>4</v>
      </c>
      <c r="I70" s="290">
        <v>1</v>
      </c>
      <c r="J70" s="48" t="s">
        <v>213</v>
      </c>
      <c r="K70" s="50"/>
      <c r="L70" s="53" t="str">
        <f t="shared" si="0"/>
        <v>1kilos</v>
      </c>
      <c r="M70" s="54">
        <f t="shared" si="1"/>
        <v>4</v>
      </c>
      <c r="N70" s="55" t="str">
        <f t="shared" si="2"/>
        <v>4kilos</v>
      </c>
      <c r="O70" s="56">
        <f t="shared" si="3"/>
        <v>2600</v>
      </c>
      <c r="P70" s="12"/>
      <c r="Q70" s="12"/>
      <c r="R70" s="12"/>
      <c r="S70" s="151"/>
      <c r="T70" s="12"/>
      <c r="U70" s="12"/>
      <c r="V70" s="12"/>
      <c r="W70" s="12"/>
      <c r="X70" s="12"/>
      <c r="Y70" s="12"/>
      <c r="Z70" s="12"/>
    </row>
    <row r="71" spans="1:26" ht="15" customHeight="1" x14ac:dyDescent="0.3">
      <c r="A71" s="45"/>
      <c r="B71" s="46" t="s">
        <v>866</v>
      </c>
      <c r="C71" s="194" t="s">
        <v>2022</v>
      </c>
      <c r="D71" s="46"/>
      <c r="E71" s="46" t="s">
        <v>867</v>
      </c>
      <c r="F71" s="61" t="s">
        <v>31</v>
      </c>
      <c r="G71" s="288">
        <v>450</v>
      </c>
      <c r="H71" s="289">
        <v>3</v>
      </c>
      <c r="I71" s="290">
        <v>1</v>
      </c>
      <c r="J71" s="48" t="s">
        <v>213</v>
      </c>
      <c r="K71" s="50"/>
      <c r="L71" s="53" t="str">
        <f t="shared" si="0"/>
        <v>1kilos</v>
      </c>
      <c r="M71" s="54">
        <f t="shared" si="1"/>
        <v>3</v>
      </c>
      <c r="N71" s="55" t="str">
        <f t="shared" si="2"/>
        <v>3kilos</v>
      </c>
      <c r="O71" s="56">
        <f t="shared" si="3"/>
        <v>1350</v>
      </c>
      <c r="P71" s="12"/>
      <c r="Q71" s="12"/>
      <c r="R71" s="12"/>
      <c r="S71" s="151"/>
      <c r="T71" s="12"/>
      <c r="U71" s="12"/>
      <c r="V71" s="12"/>
      <c r="W71" s="12"/>
      <c r="X71" s="12"/>
      <c r="Y71" s="12"/>
      <c r="Z71" s="12"/>
    </row>
    <row r="72" spans="1:26" ht="15" customHeight="1" x14ac:dyDescent="0.3">
      <c r="A72" s="45">
        <v>32</v>
      </c>
      <c r="B72" s="46" t="s">
        <v>866</v>
      </c>
      <c r="C72" s="194" t="s">
        <v>29</v>
      </c>
      <c r="D72" s="46"/>
      <c r="E72" s="46"/>
      <c r="F72" s="61" t="s">
        <v>31</v>
      </c>
      <c r="G72" s="288">
        <v>220</v>
      </c>
      <c r="H72" s="289">
        <v>1</v>
      </c>
      <c r="I72" s="290">
        <v>100</v>
      </c>
      <c r="J72" s="48" t="s">
        <v>39</v>
      </c>
      <c r="K72" s="61" t="s">
        <v>2019</v>
      </c>
      <c r="L72" s="415" t="str">
        <f t="shared" si="0"/>
        <v>100grams</v>
      </c>
      <c r="M72" s="416">
        <f t="shared" si="1"/>
        <v>100</v>
      </c>
      <c r="N72" s="417" t="str">
        <f t="shared" si="2"/>
        <v>100grams</v>
      </c>
      <c r="O72" s="418">
        <f t="shared" si="3"/>
        <v>220</v>
      </c>
      <c r="P72" s="419">
        <f t="shared" ref="P72:P73" si="8">O72/H72</f>
        <v>220</v>
      </c>
      <c r="Q72" s="66"/>
      <c r="R72" s="32" t="b">
        <f t="shared" ref="R72:R73" si="9">P72=G72</f>
        <v>1</v>
      </c>
      <c r="S72" s="32"/>
      <c r="T72" s="32"/>
      <c r="V72" s="32"/>
      <c r="W72" s="32"/>
      <c r="X72" s="32"/>
      <c r="Y72" s="32"/>
      <c r="Z72" s="32"/>
    </row>
    <row r="73" spans="1:26" ht="15" customHeight="1" x14ac:dyDescent="0.3">
      <c r="A73" s="45">
        <v>541</v>
      </c>
      <c r="B73" s="46" t="s">
        <v>868</v>
      </c>
      <c r="C73" s="194" t="s">
        <v>2026</v>
      </c>
      <c r="D73" s="46"/>
      <c r="E73" s="46"/>
      <c r="F73" s="61" t="s">
        <v>31</v>
      </c>
      <c r="G73" s="288">
        <v>180.25</v>
      </c>
      <c r="H73" s="289">
        <v>2</v>
      </c>
      <c r="I73" s="290">
        <v>250</v>
      </c>
      <c r="J73" s="48" t="s">
        <v>39</v>
      </c>
      <c r="K73" s="50"/>
      <c r="L73" s="53" t="str">
        <f t="shared" si="0"/>
        <v>250grams</v>
      </c>
      <c r="M73" s="54">
        <f t="shared" si="1"/>
        <v>500</v>
      </c>
      <c r="N73" s="55" t="str">
        <f t="shared" si="2"/>
        <v>500grams</v>
      </c>
      <c r="O73" s="56">
        <f t="shared" si="3"/>
        <v>360.5</v>
      </c>
      <c r="P73" s="44">
        <f t="shared" si="8"/>
        <v>180.25</v>
      </c>
      <c r="Q73" s="66"/>
      <c r="R73" s="32" t="b">
        <f t="shared" si="9"/>
        <v>1</v>
      </c>
      <c r="S73" s="32"/>
      <c r="T73" s="32"/>
      <c r="U73" s="32"/>
      <c r="V73" s="32"/>
      <c r="W73" s="32"/>
      <c r="X73" s="32"/>
      <c r="Y73" s="32"/>
      <c r="Z73" s="32"/>
    </row>
    <row r="74" spans="1:26" ht="15" customHeight="1" x14ac:dyDescent="0.3">
      <c r="A74" s="45">
        <v>895</v>
      </c>
      <c r="B74" s="46" t="s">
        <v>868</v>
      </c>
      <c r="C74" s="194" t="s">
        <v>1368</v>
      </c>
      <c r="D74" s="46"/>
      <c r="E74" s="46" t="s">
        <v>870</v>
      </c>
      <c r="F74" s="61" t="s">
        <v>31</v>
      </c>
      <c r="G74" s="288">
        <v>185</v>
      </c>
      <c r="H74" s="289">
        <v>1</v>
      </c>
      <c r="I74" s="290">
        <v>200</v>
      </c>
      <c r="J74" s="48" t="s">
        <v>39</v>
      </c>
      <c r="K74" s="50"/>
      <c r="L74" s="53" t="str">
        <f t="shared" si="0"/>
        <v>200grams</v>
      </c>
      <c r="M74" s="54">
        <f t="shared" si="1"/>
        <v>200</v>
      </c>
      <c r="N74" s="55" t="str">
        <f t="shared" si="2"/>
        <v>200grams</v>
      </c>
      <c r="O74" s="56">
        <f t="shared" si="3"/>
        <v>185</v>
      </c>
      <c r="P74" s="44"/>
      <c r="Q74" s="66"/>
      <c r="R74" s="32"/>
      <c r="S74" s="32"/>
      <c r="T74" s="32"/>
      <c r="U74" s="32"/>
      <c r="V74" s="32"/>
      <c r="W74" s="32"/>
      <c r="X74" s="32"/>
      <c r="Y74" s="32"/>
      <c r="Z74" s="32"/>
    </row>
    <row r="75" spans="1:26" ht="15" customHeight="1" x14ac:dyDescent="0.3">
      <c r="A75" s="45"/>
      <c r="B75" s="46" t="s">
        <v>868</v>
      </c>
      <c r="C75" s="194" t="s">
        <v>2023</v>
      </c>
      <c r="D75" s="46"/>
      <c r="E75" s="46" t="s">
        <v>871</v>
      </c>
      <c r="F75" s="61" t="s">
        <v>31</v>
      </c>
      <c r="G75" s="288">
        <v>75</v>
      </c>
      <c r="H75" s="289">
        <v>2</v>
      </c>
      <c r="I75" s="290">
        <v>230</v>
      </c>
      <c r="J75" s="48" t="s">
        <v>39</v>
      </c>
      <c r="K75" s="50"/>
      <c r="L75" s="53" t="str">
        <f t="shared" si="0"/>
        <v>230grams</v>
      </c>
      <c r="M75" s="54">
        <f t="shared" si="1"/>
        <v>460</v>
      </c>
      <c r="N75" s="55" t="str">
        <f t="shared" si="2"/>
        <v>460grams</v>
      </c>
      <c r="O75" s="56">
        <f t="shared" si="3"/>
        <v>150</v>
      </c>
      <c r="P75" s="44"/>
      <c r="Q75" s="12"/>
      <c r="R75" s="12"/>
      <c r="S75" s="151"/>
      <c r="T75" s="12"/>
      <c r="U75" s="12"/>
      <c r="V75" s="12"/>
      <c r="W75" s="12"/>
      <c r="X75" s="12"/>
      <c r="Y75" s="12"/>
      <c r="Z75" s="12"/>
    </row>
    <row r="76" spans="1:26" ht="15" customHeight="1" x14ac:dyDescent="0.3">
      <c r="A76" s="45"/>
      <c r="B76" s="219" t="s">
        <v>872</v>
      </c>
      <c r="C76" s="194" t="s">
        <v>2021</v>
      </c>
      <c r="D76" s="46"/>
      <c r="E76" s="219" t="s">
        <v>873</v>
      </c>
      <c r="F76" s="61" t="s">
        <v>31</v>
      </c>
      <c r="G76" s="291">
        <v>32</v>
      </c>
      <c r="H76" s="292">
        <v>2</v>
      </c>
      <c r="I76" s="293">
        <v>290</v>
      </c>
      <c r="J76" s="414" t="s">
        <v>39</v>
      </c>
      <c r="K76" s="50"/>
      <c r="L76" s="53" t="str">
        <f t="shared" si="0"/>
        <v>290grams</v>
      </c>
      <c r="M76" s="54">
        <f t="shared" si="1"/>
        <v>580</v>
      </c>
      <c r="N76" s="55" t="str">
        <f t="shared" si="2"/>
        <v>580grams</v>
      </c>
      <c r="O76" s="56">
        <f t="shared" si="3"/>
        <v>64</v>
      </c>
      <c r="P76" s="12"/>
      <c r="Q76" s="12"/>
      <c r="R76" s="12"/>
      <c r="S76" s="151"/>
      <c r="T76" s="12"/>
      <c r="U76" s="12"/>
      <c r="V76" s="12"/>
      <c r="W76" s="12"/>
      <c r="X76" s="12"/>
      <c r="Y76" s="12"/>
      <c r="Z76" s="12"/>
    </row>
    <row r="77" spans="1:26" ht="15" customHeight="1" x14ac:dyDescent="0.3">
      <c r="A77" s="45"/>
      <c r="B77" s="219" t="s">
        <v>874</v>
      </c>
      <c r="C77" s="194" t="s">
        <v>2021</v>
      </c>
      <c r="D77" s="46"/>
      <c r="E77" s="219" t="s">
        <v>875</v>
      </c>
      <c r="F77" s="61" t="s">
        <v>31</v>
      </c>
      <c r="G77" s="291">
        <v>110</v>
      </c>
      <c r="H77" s="292">
        <v>1</v>
      </c>
      <c r="I77" s="293">
        <v>250</v>
      </c>
      <c r="J77" s="414" t="s">
        <v>39</v>
      </c>
      <c r="K77" s="50"/>
      <c r="L77" s="53" t="str">
        <f t="shared" si="0"/>
        <v>250grams</v>
      </c>
      <c r="M77" s="54">
        <f t="shared" si="1"/>
        <v>250</v>
      </c>
      <c r="N77" s="55" t="str">
        <f t="shared" si="2"/>
        <v>250grams</v>
      </c>
      <c r="O77" s="56">
        <f t="shared" si="3"/>
        <v>110</v>
      </c>
      <c r="P77" s="12"/>
      <c r="Q77" s="12"/>
      <c r="R77" s="12"/>
      <c r="S77" s="151"/>
      <c r="T77" s="12"/>
      <c r="U77" s="12"/>
      <c r="V77" s="12"/>
      <c r="W77" s="12"/>
      <c r="X77" s="12"/>
      <c r="Y77" s="12"/>
      <c r="Z77" s="12"/>
    </row>
    <row r="78" spans="1:26" ht="15" customHeight="1" x14ac:dyDescent="0.3">
      <c r="A78" s="45"/>
      <c r="B78" s="219" t="s">
        <v>876</v>
      </c>
      <c r="C78" s="194" t="s">
        <v>2021</v>
      </c>
      <c r="D78" s="46"/>
      <c r="E78" s="219" t="s">
        <v>875</v>
      </c>
      <c r="F78" s="61" t="s">
        <v>31</v>
      </c>
      <c r="G78" s="291">
        <v>107.5</v>
      </c>
      <c r="H78" s="292">
        <v>1</v>
      </c>
      <c r="I78" s="293">
        <v>250</v>
      </c>
      <c r="J78" s="414" t="s">
        <v>39</v>
      </c>
      <c r="K78" s="50"/>
      <c r="L78" s="53" t="str">
        <f t="shared" si="0"/>
        <v>250grams</v>
      </c>
      <c r="M78" s="54">
        <f t="shared" si="1"/>
        <v>250</v>
      </c>
      <c r="N78" s="55" t="str">
        <f t="shared" si="2"/>
        <v>250grams</v>
      </c>
      <c r="O78" s="56">
        <f t="shared" si="3"/>
        <v>107.5</v>
      </c>
      <c r="P78" s="12"/>
      <c r="Q78" s="12"/>
      <c r="R78" s="12"/>
      <c r="S78" s="151"/>
      <c r="T78" s="12"/>
      <c r="U78" s="12"/>
      <c r="V78" s="12"/>
      <c r="W78" s="12"/>
      <c r="X78" s="12"/>
      <c r="Y78" s="12"/>
      <c r="Z78" s="12"/>
    </row>
    <row r="79" spans="1:26" ht="15" customHeight="1" x14ac:dyDescent="0.3">
      <c r="A79" s="45"/>
      <c r="B79" s="46" t="s">
        <v>489</v>
      </c>
      <c r="C79" s="194" t="s">
        <v>2022</v>
      </c>
      <c r="D79" s="46"/>
      <c r="E79" s="46" t="s">
        <v>877</v>
      </c>
      <c r="F79" s="61" t="s">
        <v>31</v>
      </c>
      <c r="G79" s="288">
        <v>35</v>
      </c>
      <c r="H79" s="289">
        <v>2</v>
      </c>
      <c r="I79" s="290">
        <v>340</v>
      </c>
      <c r="J79" s="48" t="s">
        <v>39</v>
      </c>
      <c r="K79" s="50"/>
      <c r="L79" s="53" t="str">
        <f t="shared" si="0"/>
        <v>340grams</v>
      </c>
      <c r="M79" s="54">
        <f t="shared" si="1"/>
        <v>680</v>
      </c>
      <c r="N79" s="55" t="str">
        <f t="shared" si="2"/>
        <v>680grams</v>
      </c>
      <c r="O79" s="56">
        <f t="shared" si="3"/>
        <v>70</v>
      </c>
      <c r="P79" s="12"/>
      <c r="Q79" s="12"/>
      <c r="R79" s="12"/>
      <c r="S79" s="151"/>
      <c r="T79" s="12"/>
      <c r="U79" s="12"/>
      <c r="V79" s="12"/>
      <c r="W79" s="12"/>
      <c r="X79" s="12"/>
      <c r="Y79" s="12"/>
      <c r="Z79" s="12"/>
    </row>
    <row r="80" spans="1:26" ht="15" customHeight="1" x14ac:dyDescent="0.3">
      <c r="A80" s="45">
        <v>837</v>
      </c>
      <c r="B80" s="46" t="s">
        <v>878</v>
      </c>
      <c r="C80" s="194" t="s">
        <v>1368</v>
      </c>
      <c r="D80" s="46"/>
      <c r="E80" s="46"/>
      <c r="F80" s="61" t="s">
        <v>31</v>
      </c>
      <c r="G80" s="288">
        <v>60</v>
      </c>
      <c r="H80" s="289">
        <v>5</v>
      </c>
      <c r="I80" s="290">
        <v>1</v>
      </c>
      <c r="J80" s="48" t="s">
        <v>213</v>
      </c>
      <c r="K80" s="50"/>
      <c r="L80" s="53" t="str">
        <f t="shared" si="0"/>
        <v>1kilos</v>
      </c>
      <c r="M80" s="54">
        <f t="shared" si="1"/>
        <v>5</v>
      </c>
      <c r="N80" s="55" t="str">
        <f t="shared" si="2"/>
        <v>5kilos</v>
      </c>
      <c r="O80" s="56">
        <f t="shared" si="3"/>
        <v>300</v>
      </c>
      <c r="P80" s="44">
        <f t="shared" ref="P80:P82" si="10">O80/H80</f>
        <v>60</v>
      </c>
      <c r="Q80" s="66"/>
      <c r="R80" s="32"/>
      <c r="S80" s="32"/>
      <c r="T80" s="32"/>
      <c r="U80" s="32"/>
      <c r="V80" s="32"/>
      <c r="W80" s="32"/>
      <c r="X80" s="32"/>
      <c r="Y80" s="32"/>
      <c r="Z80" s="32"/>
    </row>
    <row r="81" spans="1:26" ht="15" customHeight="1" x14ac:dyDescent="0.3">
      <c r="A81" s="45">
        <v>477</v>
      </c>
      <c r="B81" s="46" t="s">
        <v>878</v>
      </c>
      <c r="C81" s="194" t="s">
        <v>2025</v>
      </c>
      <c r="D81" s="46"/>
      <c r="E81" s="46"/>
      <c r="F81" s="61" t="s">
        <v>31</v>
      </c>
      <c r="G81" s="288">
        <v>160</v>
      </c>
      <c r="H81" s="289">
        <v>0</v>
      </c>
      <c r="I81" s="290">
        <v>1</v>
      </c>
      <c r="J81" s="48" t="s">
        <v>213</v>
      </c>
      <c r="K81" s="50"/>
      <c r="L81" s="53" t="str">
        <f t="shared" si="0"/>
        <v>1kilos</v>
      </c>
      <c r="M81" s="54">
        <f t="shared" si="1"/>
        <v>0</v>
      </c>
      <c r="N81" s="55" t="str">
        <f t="shared" si="2"/>
        <v>0kilos</v>
      </c>
      <c r="O81" s="56">
        <f t="shared" si="3"/>
        <v>0</v>
      </c>
      <c r="P81" s="44" t="e">
        <f t="shared" si="10"/>
        <v>#DIV/0!</v>
      </c>
      <c r="Q81" s="66"/>
      <c r="R81" s="32" t="e">
        <f>P81=G81</f>
        <v>#DIV/0!</v>
      </c>
      <c r="S81" s="32"/>
      <c r="T81" s="32"/>
      <c r="U81" s="32"/>
      <c r="V81" s="32"/>
      <c r="W81" s="32"/>
      <c r="X81" s="32"/>
      <c r="Y81" s="32"/>
      <c r="Z81" s="32"/>
    </row>
    <row r="82" spans="1:26" ht="15" customHeight="1" x14ac:dyDescent="0.3">
      <c r="A82" s="45">
        <v>654</v>
      </c>
      <c r="B82" s="46" t="s">
        <v>878</v>
      </c>
      <c r="C82" s="194" t="s">
        <v>2026</v>
      </c>
      <c r="D82" s="46"/>
      <c r="E82" s="46"/>
      <c r="F82" s="61" t="s">
        <v>31</v>
      </c>
      <c r="G82" s="288">
        <v>200</v>
      </c>
      <c r="H82" s="289">
        <v>1</v>
      </c>
      <c r="I82" s="290">
        <v>1</v>
      </c>
      <c r="J82" s="48" t="s">
        <v>213</v>
      </c>
      <c r="K82" s="50"/>
      <c r="L82" s="53" t="str">
        <f t="shared" si="0"/>
        <v>1kilos</v>
      </c>
      <c r="M82" s="54">
        <f t="shared" si="1"/>
        <v>1</v>
      </c>
      <c r="N82" s="55" t="str">
        <f t="shared" si="2"/>
        <v>1kilos</v>
      </c>
      <c r="O82" s="56">
        <f t="shared" si="3"/>
        <v>200</v>
      </c>
      <c r="P82" s="44">
        <f t="shared" si="10"/>
        <v>200</v>
      </c>
      <c r="Q82" s="66"/>
      <c r="R82" s="32"/>
      <c r="S82" s="32"/>
      <c r="T82" s="32"/>
      <c r="U82" s="32"/>
      <c r="V82" s="32"/>
      <c r="W82" s="32"/>
      <c r="X82" s="32"/>
      <c r="Y82" s="32"/>
      <c r="Z82" s="32"/>
    </row>
    <row r="83" spans="1:26" ht="15" customHeight="1" x14ac:dyDescent="0.3">
      <c r="A83" s="45"/>
      <c r="B83" s="46" t="s">
        <v>878</v>
      </c>
      <c r="C83" s="194" t="s">
        <v>2023</v>
      </c>
      <c r="D83" s="46"/>
      <c r="E83" s="46"/>
      <c r="F83" s="61" t="s">
        <v>31</v>
      </c>
      <c r="G83" s="288">
        <v>170</v>
      </c>
      <c r="H83" s="289">
        <v>0</v>
      </c>
      <c r="I83" s="290">
        <v>1</v>
      </c>
      <c r="J83" s="48" t="s">
        <v>213</v>
      </c>
      <c r="K83" s="50"/>
      <c r="L83" s="53" t="str">
        <f t="shared" si="0"/>
        <v>1kilos</v>
      </c>
      <c r="M83" s="54">
        <f t="shared" si="1"/>
        <v>0</v>
      </c>
      <c r="N83" s="55" t="str">
        <f t="shared" si="2"/>
        <v>0kilos</v>
      </c>
      <c r="O83" s="56">
        <f t="shared" si="3"/>
        <v>0</v>
      </c>
      <c r="P83" s="44"/>
      <c r="Q83" s="12"/>
      <c r="R83" s="12"/>
      <c r="S83" s="151"/>
      <c r="T83" s="12"/>
      <c r="U83" s="12"/>
      <c r="V83" s="12"/>
      <c r="W83" s="12"/>
      <c r="X83" s="12"/>
      <c r="Y83" s="12"/>
      <c r="Z83" s="12"/>
    </row>
    <row r="84" spans="1:26" ht="15" customHeight="1" x14ac:dyDescent="0.3">
      <c r="A84" s="45">
        <v>3</v>
      </c>
      <c r="B84" s="46" t="s">
        <v>44</v>
      </c>
      <c r="C84" s="194" t="s">
        <v>29</v>
      </c>
      <c r="D84" s="46"/>
      <c r="E84" s="46" t="s">
        <v>45</v>
      </c>
      <c r="F84" s="61" t="s">
        <v>31</v>
      </c>
      <c r="G84" s="288">
        <v>16.5</v>
      </c>
      <c r="H84" s="289">
        <v>1</v>
      </c>
      <c r="I84" s="290">
        <v>50</v>
      </c>
      <c r="J84" s="422" t="s">
        <v>39</v>
      </c>
      <c r="K84" s="61" t="s">
        <v>2019</v>
      </c>
      <c r="L84" s="415" t="str">
        <f t="shared" si="0"/>
        <v>50grams</v>
      </c>
      <c r="M84" s="416">
        <f t="shared" si="1"/>
        <v>50</v>
      </c>
      <c r="N84" s="417" t="str">
        <f t="shared" si="2"/>
        <v>50grams</v>
      </c>
      <c r="O84" s="418">
        <f t="shared" si="3"/>
        <v>16.5</v>
      </c>
      <c r="P84" s="419">
        <f t="shared" ref="P84:P87" si="11">O84/H84</f>
        <v>16.5</v>
      </c>
      <c r="Q84" s="66"/>
      <c r="R84" s="32"/>
      <c r="S84" s="32"/>
      <c r="T84" s="32"/>
      <c r="V84" s="32"/>
      <c r="W84" s="32"/>
      <c r="X84" s="32"/>
      <c r="Y84" s="32"/>
      <c r="Z84" s="32"/>
    </row>
    <row r="85" spans="1:26" ht="15" customHeight="1" x14ac:dyDescent="0.3">
      <c r="A85" s="45">
        <v>184</v>
      </c>
      <c r="B85" s="46" t="s">
        <v>44</v>
      </c>
      <c r="C85" s="194" t="s">
        <v>2024</v>
      </c>
      <c r="D85" s="46"/>
      <c r="E85" s="46" t="s">
        <v>45</v>
      </c>
      <c r="F85" s="61" t="s">
        <v>31</v>
      </c>
      <c r="G85" s="288">
        <v>21</v>
      </c>
      <c r="H85" s="289">
        <v>1</v>
      </c>
      <c r="I85" s="290">
        <v>50</v>
      </c>
      <c r="J85" s="422" t="s">
        <v>39</v>
      </c>
      <c r="K85" s="50"/>
      <c r="L85" s="53" t="str">
        <f t="shared" si="0"/>
        <v>50grams</v>
      </c>
      <c r="M85" s="54">
        <f t="shared" si="1"/>
        <v>50</v>
      </c>
      <c r="N85" s="55" t="str">
        <f t="shared" si="2"/>
        <v>50grams</v>
      </c>
      <c r="O85" s="56">
        <f t="shared" si="3"/>
        <v>21</v>
      </c>
      <c r="P85" s="44">
        <f t="shared" si="11"/>
        <v>21</v>
      </c>
      <c r="Q85" s="66"/>
      <c r="R85" s="32"/>
      <c r="S85" s="32"/>
      <c r="T85" s="32"/>
      <c r="U85" s="32"/>
      <c r="V85" s="32"/>
      <c r="W85" s="32"/>
      <c r="X85" s="32"/>
      <c r="Y85" s="32"/>
      <c r="Z85" s="32"/>
    </row>
    <row r="86" spans="1:26" ht="15" customHeight="1" x14ac:dyDescent="0.3">
      <c r="A86" s="45">
        <v>260</v>
      </c>
      <c r="B86" s="46" t="s">
        <v>44</v>
      </c>
      <c r="C86" s="194" t="s">
        <v>2025</v>
      </c>
      <c r="D86" s="46"/>
      <c r="E86" s="46" t="s">
        <v>45</v>
      </c>
      <c r="F86" s="61" t="s">
        <v>31</v>
      </c>
      <c r="G86" s="288">
        <v>15.3</v>
      </c>
      <c r="H86" s="289">
        <v>3</v>
      </c>
      <c r="I86" s="290">
        <v>50</v>
      </c>
      <c r="J86" s="422" t="s">
        <v>39</v>
      </c>
      <c r="K86" s="50"/>
      <c r="L86" s="53" t="str">
        <f t="shared" si="0"/>
        <v>50grams</v>
      </c>
      <c r="M86" s="54">
        <f t="shared" si="1"/>
        <v>150</v>
      </c>
      <c r="N86" s="55" t="str">
        <f t="shared" si="2"/>
        <v>150grams</v>
      </c>
      <c r="O86" s="56">
        <f t="shared" si="3"/>
        <v>45.900000000000006</v>
      </c>
      <c r="P86" s="44">
        <f t="shared" si="11"/>
        <v>15.300000000000002</v>
      </c>
      <c r="Q86" s="66"/>
      <c r="R86" s="32" t="b">
        <f>P86=G86</f>
        <v>1</v>
      </c>
      <c r="S86" s="32"/>
      <c r="T86" s="32"/>
      <c r="U86" s="32"/>
      <c r="V86" s="32"/>
      <c r="W86" s="32"/>
      <c r="X86" s="32"/>
      <c r="Y86" s="32"/>
      <c r="Z86" s="32"/>
    </row>
    <row r="87" spans="1:26" ht="15" customHeight="1" x14ac:dyDescent="0.3">
      <c r="A87" s="45">
        <v>678</v>
      </c>
      <c r="B87" s="46" t="s">
        <v>44</v>
      </c>
      <c r="C87" s="194" t="s">
        <v>2026</v>
      </c>
      <c r="D87" s="46"/>
      <c r="E87" s="46" t="s">
        <v>45</v>
      </c>
      <c r="F87" s="61" t="s">
        <v>31</v>
      </c>
      <c r="G87" s="288">
        <v>16.5</v>
      </c>
      <c r="H87" s="289">
        <v>3</v>
      </c>
      <c r="I87" s="290">
        <v>50</v>
      </c>
      <c r="J87" s="422" t="s">
        <v>39</v>
      </c>
      <c r="K87" s="50"/>
      <c r="L87" s="53" t="str">
        <f t="shared" si="0"/>
        <v>50grams</v>
      </c>
      <c r="M87" s="54">
        <f t="shared" si="1"/>
        <v>150</v>
      </c>
      <c r="N87" s="55" t="str">
        <f t="shared" si="2"/>
        <v>150grams</v>
      </c>
      <c r="O87" s="56">
        <f t="shared" si="3"/>
        <v>49.5</v>
      </c>
      <c r="P87" s="44">
        <f t="shared" si="11"/>
        <v>16.5</v>
      </c>
      <c r="Q87" s="66"/>
      <c r="R87" s="32"/>
      <c r="S87" s="32"/>
      <c r="T87" s="32"/>
      <c r="U87" s="32"/>
      <c r="V87" s="32"/>
      <c r="W87" s="32"/>
      <c r="X87" s="32"/>
      <c r="Y87" s="32"/>
      <c r="Z87" s="32"/>
    </row>
    <row r="88" spans="1:26" ht="15" customHeight="1" x14ac:dyDescent="0.3">
      <c r="A88" s="45">
        <v>888</v>
      </c>
      <c r="B88" s="46" t="s">
        <v>44</v>
      </c>
      <c r="C88" s="194" t="s">
        <v>1368</v>
      </c>
      <c r="D88" s="46"/>
      <c r="E88" s="46" t="s">
        <v>45</v>
      </c>
      <c r="F88" s="61" t="s">
        <v>31</v>
      </c>
      <c r="G88" s="288">
        <v>20</v>
      </c>
      <c r="H88" s="289">
        <v>1</v>
      </c>
      <c r="I88" s="290">
        <v>50</v>
      </c>
      <c r="J88" s="422" t="s">
        <v>39</v>
      </c>
      <c r="K88" s="50"/>
      <c r="L88" s="53" t="str">
        <f t="shared" si="0"/>
        <v>50grams</v>
      </c>
      <c r="M88" s="54">
        <f t="shared" si="1"/>
        <v>50</v>
      </c>
      <c r="N88" s="55" t="str">
        <f t="shared" si="2"/>
        <v>50grams</v>
      </c>
      <c r="O88" s="56">
        <f t="shared" si="3"/>
        <v>20</v>
      </c>
      <c r="P88" s="44"/>
      <c r="Q88" s="66"/>
      <c r="R88" s="32"/>
      <c r="S88" s="32"/>
      <c r="T88" s="32"/>
      <c r="U88" s="32"/>
      <c r="V88" s="32"/>
      <c r="W88" s="32"/>
      <c r="X88" s="32"/>
      <c r="Y88" s="32"/>
      <c r="Z88" s="32"/>
    </row>
    <row r="89" spans="1:26" ht="15" customHeight="1" x14ac:dyDescent="0.3">
      <c r="A89" s="45"/>
      <c r="B89" s="46" t="s">
        <v>44</v>
      </c>
      <c r="C89" s="194" t="s">
        <v>2023</v>
      </c>
      <c r="D89" s="46"/>
      <c r="E89" s="46" t="s">
        <v>45</v>
      </c>
      <c r="F89" s="61" t="s">
        <v>31</v>
      </c>
      <c r="G89" s="288">
        <v>208</v>
      </c>
      <c r="H89" s="289">
        <v>1</v>
      </c>
      <c r="I89" s="290">
        <v>1000</v>
      </c>
      <c r="J89" s="422" t="s">
        <v>39</v>
      </c>
      <c r="K89" s="50"/>
      <c r="L89" s="53" t="str">
        <f t="shared" si="0"/>
        <v>1000grams</v>
      </c>
      <c r="M89" s="54">
        <f t="shared" si="1"/>
        <v>1000</v>
      </c>
      <c r="N89" s="55" t="str">
        <f t="shared" si="2"/>
        <v>1000grams</v>
      </c>
      <c r="O89" s="56">
        <f t="shared" si="3"/>
        <v>208</v>
      </c>
      <c r="P89" s="44"/>
      <c r="Q89" s="12"/>
      <c r="R89" s="12"/>
      <c r="S89" s="151"/>
      <c r="T89" s="12"/>
      <c r="U89" s="12"/>
      <c r="V89" s="12"/>
      <c r="W89" s="12"/>
      <c r="X89" s="12"/>
      <c r="Y89" s="12"/>
      <c r="Z89" s="12"/>
    </row>
    <row r="90" spans="1:26" ht="15" customHeight="1" x14ac:dyDescent="0.3">
      <c r="A90" s="45"/>
      <c r="B90" s="46" t="s">
        <v>44</v>
      </c>
      <c r="C90" s="194" t="s">
        <v>2022</v>
      </c>
      <c r="D90" s="46"/>
      <c r="E90" s="46" t="s">
        <v>45</v>
      </c>
      <c r="F90" s="61" t="s">
        <v>31</v>
      </c>
      <c r="G90" s="288">
        <v>15</v>
      </c>
      <c r="H90" s="289">
        <v>44</v>
      </c>
      <c r="I90" s="290">
        <v>50</v>
      </c>
      <c r="J90" s="422" t="s">
        <v>39</v>
      </c>
      <c r="K90" s="50"/>
      <c r="L90" s="53" t="str">
        <f t="shared" si="0"/>
        <v>50grams</v>
      </c>
      <c r="M90" s="54">
        <f t="shared" si="1"/>
        <v>2200</v>
      </c>
      <c r="N90" s="55" t="str">
        <f t="shared" si="2"/>
        <v>2200grams</v>
      </c>
      <c r="O90" s="56">
        <f t="shared" si="3"/>
        <v>660</v>
      </c>
      <c r="P90" s="12"/>
      <c r="Q90" s="12"/>
      <c r="R90" s="12"/>
      <c r="S90" s="151"/>
      <c r="T90" s="12"/>
      <c r="U90" s="12"/>
      <c r="V90" s="12"/>
      <c r="W90" s="12"/>
      <c r="X90" s="12"/>
      <c r="Y90" s="12"/>
      <c r="Z90" s="12"/>
    </row>
    <row r="91" spans="1:26" ht="15" customHeight="1" x14ac:dyDescent="0.3">
      <c r="A91" s="45"/>
      <c r="B91" s="46" t="s">
        <v>44</v>
      </c>
      <c r="C91" s="194" t="s">
        <v>2021</v>
      </c>
      <c r="D91" s="46"/>
      <c r="E91" s="46" t="s">
        <v>45</v>
      </c>
      <c r="F91" s="61" t="s">
        <v>31</v>
      </c>
      <c r="G91" s="291">
        <v>20</v>
      </c>
      <c r="H91" s="292">
        <v>5</v>
      </c>
      <c r="I91" s="293">
        <v>50</v>
      </c>
      <c r="J91" s="422" t="s">
        <v>39</v>
      </c>
      <c r="K91" s="50"/>
      <c r="L91" s="53" t="str">
        <f t="shared" si="0"/>
        <v>50grams</v>
      </c>
      <c r="M91" s="54">
        <f t="shared" si="1"/>
        <v>250</v>
      </c>
      <c r="N91" s="55" t="str">
        <f t="shared" si="2"/>
        <v>250grams</v>
      </c>
      <c r="O91" s="56">
        <f t="shared" si="3"/>
        <v>100</v>
      </c>
      <c r="P91" s="12"/>
      <c r="Q91" s="12"/>
      <c r="R91" s="12"/>
      <c r="S91" s="151"/>
      <c r="T91" s="12"/>
      <c r="U91" s="12"/>
      <c r="V91" s="12"/>
      <c r="W91" s="12"/>
      <c r="X91" s="12"/>
      <c r="Y91" s="12"/>
      <c r="Z91" s="12"/>
    </row>
    <row r="92" spans="1:26" ht="15" customHeight="1" x14ac:dyDescent="0.3">
      <c r="A92" s="45">
        <v>259</v>
      </c>
      <c r="B92" s="46" t="s">
        <v>46</v>
      </c>
      <c r="C92" s="194" t="s">
        <v>2025</v>
      </c>
      <c r="D92" s="46"/>
      <c r="E92" s="46" t="s">
        <v>47</v>
      </c>
      <c r="F92" s="61" t="s">
        <v>31</v>
      </c>
      <c r="G92" s="288">
        <v>32.1</v>
      </c>
      <c r="H92" s="289">
        <v>3</v>
      </c>
      <c r="I92" s="290">
        <v>250</v>
      </c>
      <c r="J92" s="48" t="s">
        <v>39</v>
      </c>
      <c r="K92" s="50" t="s">
        <v>2019</v>
      </c>
      <c r="L92" s="53" t="str">
        <f t="shared" si="0"/>
        <v>250grams</v>
      </c>
      <c r="M92" s="54">
        <f t="shared" si="1"/>
        <v>750</v>
      </c>
      <c r="N92" s="55" t="str">
        <f t="shared" si="2"/>
        <v>750grams</v>
      </c>
      <c r="O92" s="56">
        <f t="shared" si="3"/>
        <v>96.300000000000011</v>
      </c>
      <c r="P92" s="44">
        <f t="shared" ref="P92:P93" si="12">O92/H92</f>
        <v>32.1</v>
      </c>
      <c r="Q92" s="62">
        <f>G92-P92</f>
        <v>0</v>
      </c>
      <c r="R92" s="32" t="b">
        <f>P92=G92</f>
        <v>1</v>
      </c>
      <c r="S92" s="32"/>
      <c r="T92" s="32"/>
      <c r="U92" s="32"/>
      <c r="V92" s="32"/>
      <c r="W92" s="32"/>
      <c r="X92" s="32"/>
      <c r="Y92" s="32"/>
      <c r="Z92" s="32"/>
    </row>
    <row r="93" spans="1:26" ht="15" customHeight="1" x14ac:dyDescent="0.3">
      <c r="A93" s="45">
        <v>679</v>
      </c>
      <c r="B93" s="46" t="s">
        <v>46</v>
      </c>
      <c r="C93" s="194" t="s">
        <v>2026</v>
      </c>
      <c r="D93" s="46"/>
      <c r="E93" s="46" t="s">
        <v>47</v>
      </c>
      <c r="F93" s="61" t="s">
        <v>31</v>
      </c>
      <c r="G93" s="288">
        <v>32.1</v>
      </c>
      <c r="H93" s="289">
        <v>1</v>
      </c>
      <c r="I93" s="290">
        <v>250</v>
      </c>
      <c r="J93" s="48" t="s">
        <v>39</v>
      </c>
      <c r="K93" s="50"/>
      <c r="L93" s="53" t="str">
        <f t="shared" si="0"/>
        <v>250grams</v>
      </c>
      <c r="M93" s="54">
        <f t="shared" si="1"/>
        <v>250</v>
      </c>
      <c r="N93" s="55" t="str">
        <f t="shared" si="2"/>
        <v>250grams</v>
      </c>
      <c r="O93" s="56">
        <f t="shared" si="3"/>
        <v>32.1</v>
      </c>
      <c r="P93" s="44">
        <f t="shared" si="12"/>
        <v>32.1</v>
      </c>
      <c r="Q93" s="66"/>
      <c r="R93" s="32"/>
      <c r="S93" s="32"/>
      <c r="T93" s="32"/>
      <c r="U93" s="32"/>
      <c r="V93" s="32"/>
      <c r="W93" s="32"/>
      <c r="X93" s="32"/>
      <c r="Y93" s="32"/>
      <c r="Z93" s="32"/>
    </row>
    <row r="94" spans="1:26" ht="15" customHeight="1" x14ac:dyDescent="0.3">
      <c r="A94" s="45">
        <v>889</v>
      </c>
      <c r="B94" s="46" t="s">
        <v>46</v>
      </c>
      <c r="C94" s="194" t="s">
        <v>1368</v>
      </c>
      <c r="D94" s="46"/>
      <c r="E94" s="46" t="s">
        <v>879</v>
      </c>
      <c r="F94" s="61" t="s">
        <v>31</v>
      </c>
      <c r="G94" s="288">
        <v>64.5</v>
      </c>
      <c r="H94" s="289">
        <v>1</v>
      </c>
      <c r="I94" s="298">
        <v>454</v>
      </c>
      <c r="J94" s="48" t="s">
        <v>39</v>
      </c>
      <c r="K94" s="50"/>
      <c r="L94" s="53" t="str">
        <f t="shared" si="0"/>
        <v>454grams</v>
      </c>
      <c r="M94" s="54">
        <f t="shared" si="1"/>
        <v>454</v>
      </c>
      <c r="N94" s="55" t="str">
        <f t="shared" si="2"/>
        <v>454grams</v>
      </c>
      <c r="O94" s="56">
        <f t="shared" si="3"/>
        <v>64.5</v>
      </c>
      <c r="P94" s="44"/>
      <c r="Q94" s="66"/>
      <c r="R94" s="32"/>
      <c r="S94" s="32"/>
      <c r="T94" s="32"/>
      <c r="U94" s="32"/>
      <c r="V94" s="32"/>
      <c r="W94" s="32"/>
      <c r="X94" s="32"/>
      <c r="Y94" s="32"/>
      <c r="Z94" s="32"/>
    </row>
    <row r="95" spans="1:26" ht="15" customHeight="1" x14ac:dyDescent="0.3">
      <c r="A95" s="45"/>
      <c r="B95" s="46" t="s">
        <v>46</v>
      </c>
      <c r="C95" s="194" t="s">
        <v>2023</v>
      </c>
      <c r="D95" s="46"/>
      <c r="E95" s="46" t="s">
        <v>47</v>
      </c>
      <c r="F95" s="61" t="s">
        <v>31</v>
      </c>
      <c r="G95" s="288">
        <v>118</v>
      </c>
      <c r="H95" s="289">
        <v>3</v>
      </c>
      <c r="I95" s="290">
        <v>250</v>
      </c>
      <c r="J95" s="48" t="s">
        <v>39</v>
      </c>
      <c r="K95" s="50"/>
      <c r="L95" s="53" t="str">
        <f t="shared" si="0"/>
        <v>250grams</v>
      </c>
      <c r="M95" s="54">
        <f t="shared" si="1"/>
        <v>750</v>
      </c>
      <c r="N95" s="55" t="str">
        <f t="shared" si="2"/>
        <v>750grams</v>
      </c>
      <c r="O95" s="56">
        <f t="shared" si="3"/>
        <v>354</v>
      </c>
      <c r="P95" s="12"/>
      <c r="Q95" s="12"/>
      <c r="R95" s="12"/>
      <c r="S95" s="151"/>
      <c r="T95" s="12"/>
      <c r="U95" s="12"/>
      <c r="V95" s="12"/>
      <c r="W95" s="12"/>
      <c r="X95" s="12"/>
      <c r="Y95" s="12"/>
      <c r="Z95" s="12"/>
    </row>
    <row r="96" spans="1:26" ht="15" customHeight="1" x14ac:dyDescent="0.3">
      <c r="A96" s="45"/>
      <c r="B96" s="46" t="s">
        <v>46</v>
      </c>
      <c r="C96" s="194" t="s">
        <v>2022</v>
      </c>
      <c r="D96" s="46"/>
      <c r="E96" s="46" t="s">
        <v>47</v>
      </c>
      <c r="F96" s="61" t="s">
        <v>31</v>
      </c>
      <c r="G96" s="288">
        <v>26</v>
      </c>
      <c r="H96" s="289">
        <v>1</v>
      </c>
      <c r="I96" s="290">
        <v>250</v>
      </c>
      <c r="J96" s="48" t="s">
        <v>39</v>
      </c>
      <c r="K96" s="50"/>
      <c r="L96" s="53" t="str">
        <f t="shared" si="0"/>
        <v>250grams</v>
      </c>
      <c r="M96" s="54">
        <f t="shared" si="1"/>
        <v>250</v>
      </c>
      <c r="N96" s="55" t="str">
        <f t="shared" si="2"/>
        <v>250grams</v>
      </c>
      <c r="O96" s="56">
        <f t="shared" si="3"/>
        <v>26</v>
      </c>
      <c r="P96" s="12"/>
      <c r="Q96" s="12"/>
      <c r="R96" s="12"/>
      <c r="S96" s="151"/>
      <c r="T96" s="12"/>
      <c r="U96" s="12"/>
      <c r="V96" s="12"/>
      <c r="W96" s="12"/>
      <c r="X96" s="12"/>
      <c r="Y96" s="12"/>
      <c r="Z96" s="12"/>
    </row>
    <row r="97" spans="1:26" ht="15" customHeight="1" x14ac:dyDescent="0.3">
      <c r="A97" s="45"/>
      <c r="B97" s="46" t="s">
        <v>46</v>
      </c>
      <c r="C97" s="194" t="s">
        <v>2022</v>
      </c>
      <c r="D97" s="46"/>
      <c r="E97" s="46" t="s">
        <v>47</v>
      </c>
      <c r="F97" s="61" t="s">
        <v>31</v>
      </c>
      <c r="G97" s="288">
        <v>13.8</v>
      </c>
      <c r="H97" s="289">
        <v>1</v>
      </c>
      <c r="I97" s="290">
        <v>125</v>
      </c>
      <c r="J97" s="48" t="s">
        <v>39</v>
      </c>
      <c r="K97" s="50"/>
      <c r="L97" s="53" t="str">
        <f t="shared" si="0"/>
        <v>125grams</v>
      </c>
      <c r="M97" s="54">
        <f t="shared" si="1"/>
        <v>125</v>
      </c>
      <c r="N97" s="55" t="str">
        <f t="shared" si="2"/>
        <v>125grams</v>
      </c>
      <c r="O97" s="56">
        <f t="shared" si="3"/>
        <v>13.8</v>
      </c>
      <c r="P97" s="12"/>
      <c r="Q97" s="12"/>
      <c r="R97" s="12"/>
      <c r="S97" s="151"/>
      <c r="T97" s="12"/>
      <c r="U97" s="12"/>
      <c r="V97" s="12"/>
      <c r="W97" s="12"/>
      <c r="X97" s="12"/>
      <c r="Y97" s="12"/>
      <c r="Z97" s="12"/>
    </row>
    <row r="98" spans="1:26" ht="15" customHeight="1" x14ac:dyDescent="0.3">
      <c r="A98" s="45">
        <v>722</v>
      </c>
      <c r="B98" s="46" t="s">
        <v>231</v>
      </c>
      <c r="C98" s="194" t="s">
        <v>2026</v>
      </c>
      <c r="D98" s="46"/>
      <c r="E98" s="46" t="s">
        <v>880</v>
      </c>
      <c r="F98" s="61" t="s">
        <v>31</v>
      </c>
      <c r="G98" s="288">
        <v>169.8</v>
      </c>
      <c r="H98" s="289">
        <v>1</v>
      </c>
      <c r="I98" s="290">
        <v>250</v>
      </c>
      <c r="J98" s="48" t="s">
        <v>32</v>
      </c>
      <c r="K98" s="50" t="s">
        <v>2019</v>
      </c>
      <c r="L98" s="53" t="str">
        <f t="shared" si="0"/>
        <v>250ml</v>
      </c>
      <c r="M98" s="54">
        <f t="shared" si="1"/>
        <v>250</v>
      </c>
      <c r="N98" s="55" t="str">
        <f t="shared" si="2"/>
        <v>250ml</v>
      </c>
      <c r="O98" s="56">
        <f t="shared" si="3"/>
        <v>169.8</v>
      </c>
      <c r="P98" s="44">
        <f>O98/H98</f>
        <v>169.8</v>
      </c>
      <c r="Q98" s="66">
        <f>G98-P98</f>
        <v>0</v>
      </c>
      <c r="R98" s="32" t="b">
        <f>P98=G98</f>
        <v>1</v>
      </c>
      <c r="S98" s="32"/>
      <c r="T98" s="32"/>
      <c r="U98" s="32"/>
      <c r="V98" s="32"/>
      <c r="W98" s="32"/>
      <c r="X98" s="32"/>
      <c r="Y98" s="32"/>
      <c r="Z98" s="32"/>
    </row>
    <row r="99" spans="1:26" ht="15" customHeight="1" x14ac:dyDescent="0.3">
      <c r="A99" s="45"/>
      <c r="B99" s="46" t="s">
        <v>231</v>
      </c>
      <c r="C99" s="194" t="s">
        <v>2022</v>
      </c>
      <c r="D99" s="46"/>
      <c r="E99" s="46" t="s">
        <v>880</v>
      </c>
      <c r="F99" s="61" t="s">
        <v>31</v>
      </c>
      <c r="G99" s="288">
        <v>198</v>
      </c>
      <c r="H99" s="289">
        <v>1</v>
      </c>
      <c r="I99" s="290">
        <v>330</v>
      </c>
      <c r="J99" s="48" t="s">
        <v>32</v>
      </c>
      <c r="K99" s="50"/>
      <c r="L99" s="53" t="str">
        <f t="shared" si="0"/>
        <v>330ml</v>
      </c>
      <c r="M99" s="54">
        <f t="shared" si="1"/>
        <v>330</v>
      </c>
      <c r="N99" s="55" t="str">
        <f t="shared" si="2"/>
        <v>330ml</v>
      </c>
      <c r="O99" s="56">
        <f t="shared" si="3"/>
        <v>198</v>
      </c>
      <c r="P99" s="12"/>
      <c r="Q99" s="12"/>
      <c r="R99" s="12"/>
      <c r="S99" s="151"/>
      <c r="T99" s="12"/>
      <c r="U99" s="12"/>
      <c r="V99" s="12"/>
      <c r="W99" s="12"/>
      <c r="X99" s="12"/>
      <c r="Y99" s="12"/>
      <c r="Z99" s="12"/>
    </row>
    <row r="100" spans="1:26" ht="15" customHeight="1" x14ac:dyDescent="0.3">
      <c r="A100" s="45"/>
      <c r="B100" s="46" t="s">
        <v>231</v>
      </c>
      <c r="C100" s="194" t="s">
        <v>2022</v>
      </c>
      <c r="D100" s="46"/>
      <c r="E100" s="46" t="s">
        <v>881</v>
      </c>
      <c r="F100" s="61" t="s">
        <v>31</v>
      </c>
      <c r="G100" s="288">
        <v>256</v>
      </c>
      <c r="H100" s="289">
        <v>1</v>
      </c>
      <c r="I100" s="290">
        <v>500</v>
      </c>
      <c r="J100" s="48" t="s">
        <v>32</v>
      </c>
      <c r="K100" s="50"/>
      <c r="L100" s="53" t="str">
        <f t="shared" si="0"/>
        <v>500ml</v>
      </c>
      <c r="M100" s="54">
        <f t="shared" si="1"/>
        <v>500</v>
      </c>
      <c r="N100" s="55" t="str">
        <f t="shared" si="2"/>
        <v>500ml</v>
      </c>
      <c r="O100" s="56">
        <f t="shared" si="3"/>
        <v>256</v>
      </c>
      <c r="P100" s="12"/>
      <c r="Q100" s="12"/>
      <c r="R100" s="12"/>
      <c r="S100" s="151"/>
      <c r="T100" s="12"/>
      <c r="U100" s="12"/>
      <c r="V100" s="12"/>
      <c r="W100" s="12"/>
      <c r="X100" s="12"/>
      <c r="Y100" s="12"/>
      <c r="Z100" s="12"/>
    </row>
    <row r="101" spans="1:26" ht="15" customHeight="1" x14ac:dyDescent="0.3">
      <c r="A101" s="45"/>
      <c r="B101" s="219" t="s">
        <v>882</v>
      </c>
      <c r="C101" s="194" t="s">
        <v>2021</v>
      </c>
      <c r="D101" s="46"/>
      <c r="E101" s="219" t="s">
        <v>883</v>
      </c>
      <c r="F101" s="61" t="s">
        <v>31</v>
      </c>
      <c r="G101" s="291">
        <v>145</v>
      </c>
      <c r="H101" s="292">
        <v>2</v>
      </c>
      <c r="I101" s="293">
        <v>1</v>
      </c>
      <c r="J101" s="414" t="s">
        <v>304</v>
      </c>
      <c r="K101" s="50"/>
      <c r="L101" s="53" t="str">
        <f t="shared" si="0"/>
        <v>1packs</v>
      </c>
      <c r="M101" s="54">
        <f t="shared" si="1"/>
        <v>2</v>
      </c>
      <c r="N101" s="55" t="str">
        <f t="shared" si="2"/>
        <v>2packs</v>
      </c>
      <c r="O101" s="56">
        <f t="shared" si="3"/>
        <v>290</v>
      </c>
      <c r="P101" s="12"/>
      <c r="Q101" s="12"/>
      <c r="R101" s="12"/>
      <c r="S101" s="151"/>
      <c r="T101" s="12"/>
      <c r="U101" s="12"/>
      <c r="V101" s="12"/>
      <c r="W101" s="12"/>
      <c r="X101" s="12"/>
      <c r="Y101" s="12"/>
      <c r="Z101" s="12"/>
    </row>
    <row r="102" spans="1:26" ht="15" customHeight="1" x14ac:dyDescent="0.3">
      <c r="A102" s="45">
        <v>491</v>
      </c>
      <c r="B102" s="46" t="s">
        <v>884</v>
      </c>
      <c r="C102" s="194" t="s">
        <v>2025</v>
      </c>
      <c r="D102" s="46"/>
      <c r="E102" s="46"/>
      <c r="F102" s="61" t="s">
        <v>31</v>
      </c>
      <c r="G102" s="288">
        <v>40</v>
      </c>
      <c r="H102" s="289">
        <v>1</v>
      </c>
      <c r="I102" s="290">
        <v>1</v>
      </c>
      <c r="J102" s="48" t="s">
        <v>213</v>
      </c>
      <c r="K102" s="50"/>
      <c r="L102" s="53" t="str">
        <f t="shared" si="0"/>
        <v>1kilos</v>
      </c>
      <c r="M102" s="54">
        <f t="shared" si="1"/>
        <v>1</v>
      </c>
      <c r="N102" s="55" t="str">
        <f t="shared" si="2"/>
        <v>1kilos</v>
      </c>
      <c r="O102" s="56">
        <f t="shared" si="3"/>
        <v>40</v>
      </c>
      <c r="P102" s="44">
        <f t="shared" ref="P102:P103" si="13">O102/H102</f>
        <v>40</v>
      </c>
      <c r="Q102" s="66"/>
      <c r="R102" s="32"/>
      <c r="S102" s="32"/>
      <c r="T102" s="32"/>
      <c r="U102" s="32"/>
      <c r="V102" s="32"/>
      <c r="W102" s="32"/>
      <c r="X102" s="32"/>
      <c r="Y102" s="32"/>
      <c r="Z102" s="32"/>
    </row>
    <row r="103" spans="1:26" ht="15" customHeight="1" x14ac:dyDescent="0.3">
      <c r="A103" s="45">
        <v>773</v>
      </c>
      <c r="B103" s="46" t="s">
        <v>885</v>
      </c>
      <c r="C103" s="194" t="s">
        <v>2026</v>
      </c>
      <c r="D103" s="46"/>
      <c r="E103" s="46"/>
      <c r="F103" s="61" t="s">
        <v>31</v>
      </c>
      <c r="G103" s="288">
        <v>110</v>
      </c>
      <c r="H103" s="289">
        <v>2</v>
      </c>
      <c r="I103" s="290">
        <v>1</v>
      </c>
      <c r="J103" s="48" t="s">
        <v>213</v>
      </c>
      <c r="K103" s="50"/>
      <c r="L103" s="53" t="str">
        <f t="shared" si="0"/>
        <v>1kilos</v>
      </c>
      <c r="M103" s="54">
        <f t="shared" si="1"/>
        <v>2</v>
      </c>
      <c r="N103" s="55" t="str">
        <f t="shared" si="2"/>
        <v>2kilos</v>
      </c>
      <c r="O103" s="56">
        <f t="shared" si="3"/>
        <v>220</v>
      </c>
      <c r="P103" s="44">
        <f t="shared" si="13"/>
        <v>110</v>
      </c>
      <c r="Q103" s="66"/>
      <c r="R103" s="32" t="b">
        <f>P103=G103</f>
        <v>1</v>
      </c>
      <c r="S103" s="32"/>
      <c r="T103" s="32"/>
      <c r="U103" s="32"/>
      <c r="V103" s="32"/>
      <c r="W103" s="32"/>
      <c r="X103" s="32"/>
      <c r="Y103" s="32"/>
      <c r="Z103" s="32"/>
    </row>
    <row r="104" spans="1:26" ht="15" customHeight="1" x14ac:dyDescent="0.3">
      <c r="A104" s="45"/>
      <c r="B104" s="46" t="s">
        <v>886</v>
      </c>
      <c r="C104" s="194" t="s">
        <v>2022</v>
      </c>
      <c r="D104" s="46"/>
      <c r="E104" s="46" t="s">
        <v>887</v>
      </c>
      <c r="F104" s="61" t="s">
        <v>31</v>
      </c>
      <c r="G104" s="288">
        <v>36</v>
      </c>
      <c r="H104" s="289">
        <v>2</v>
      </c>
      <c r="I104" s="290">
        <v>30</v>
      </c>
      <c r="J104" s="48" t="s">
        <v>39</v>
      </c>
      <c r="K104" s="50"/>
      <c r="L104" s="53" t="str">
        <f t="shared" si="0"/>
        <v>30grams</v>
      </c>
      <c r="M104" s="54">
        <f t="shared" si="1"/>
        <v>60</v>
      </c>
      <c r="N104" s="55" t="str">
        <f t="shared" si="2"/>
        <v>60grams</v>
      </c>
      <c r="O104" s="56">
        <f t="shared" si="3"/>
        <v>72</v>
      </c>
      <c r="P104" s="12"/>
      <c r="Q104" s="12"/>
      <c r="R104" s="12"/>
      <c r="S104" s="151"/>
      <c r="T104" s="12"/>
      <c r="U104" s="12"/>
      <c r="V104" s="12"/>
      <c r="W104" s="12"/>
      <c r="X104" s="12"/>
      <c r="Y104" s="12"/>
      <c r="Z104" s="12"/>
    </row>
    <row r="105" spans="1:26" ht="15" customHeight="1" x14ac:dyDescent="0.3">
      <c r="A105" s="45"/>
      <c r="B105" s="219" t="s">
        <v>888</v>
      </c>
      <c r="C105" s="194" t="s">
        <v>2021</v>
      </c>
      <c r="D105" s="46"/>
      <c r="E105" s="219" t="s">
        <v>889</v>
      </c>
      <c r="F105" s="61" t="s">
        <v>31</v>
      </c>
      <c r="G105" s="291">
        <v>55</v>
      </c>
      <c r="H105" s="292">
        <v>1</v>
      </c>
      <c r="I105" s="293">
        <v>25</v>
      </c>
      <c r="J105" s="414" t="s">
        <v>32</v>
      </c>
      <c r="K105" s="50"/>
      <c r="L105" s="53" t="str">
        <f t="shared" si="0"/>
        <v>25ml</v>
      </c>
      <c r="M105" s="54">
        <f t="shared" si="1"/>
        <v>25</v>
      </c>
      <c r="N105" s="55" t="str">
        <f t="shared" si="2"/>
        <v>25ml</v>
      </c>
      <c r="O105" s="56">
        <f t="shared" si="3"/>
        <v>55</v>
      </c>
      <c r="P105" s="12"/>
      <c r="Q105" s="12"/>
      <c r="R105" s="12"/>
      <c r="S105" s="151"/>
      <c r="T105" s="12"/>
      <c r="U105" s="12"/>
      <c r="V105" s="12"/>
      <c r="W105" s="12"/>
      <c r="X105" s="12"/>
      <c r="Y105" s="12"/>
      <c r="Z105" s="12"/>
    </row>
    <row r="106" spans="1:26" ht="15" customHeight="1" x14ac:dyDescent="0.3">
      <c r="A106" s="45"/>
      <c r="B106" s="219" t="s">
        <v>888</v>
      </c>
      <c r="C106" s="194" t="s">
        <v>2021</v>
      </c>
      <c r="D106" s="46"/>
      <c r="E106" s="219" t="s">
        <v>890</v>
      </c>
      <c r="F106" s="61" t="s">
        <v>31</v>
      </c>
      <c r="G106" s="291">
        <v>41</v>
      </c>
      <c r="H106" s="292">
        <v>2</v>
      </c>
      <c r="I106" s="293">
        <v>25</v>
      </c>
      <c r="J106" s="414" t="s">
        <v>32</v>
      </c>
      <c r="K106" s="50"/>
      <c r="L106" s="53" t="str">
        <f t="shared" si="0"/>
        <v>25ml</v>
      </c>
      <c r="M106" s="54">
        <f t="shared" si="1"/>
        <v>50</v>
      </c>
      <c r="N106" s="55" t="str">
        <f t="shared" si="2"/>
        <v>50ml</v>
      </c>
      <c r="O106" s="56">
        <f t="shared" si="3"/>
        <v>82</v>
      </c>
      <c r="P106" s="12"/>
      <c r="Q106" s="12"/>
      <c r="R106" s="12"/>
      <c r="S106" s="151"/>
      <c r="T106" s="12"/>
      <c r="U106" s="12"/>
      <c r="V106" s="12"/>
      <c r="W106" s="12"/>
      <c r="X106" s="12"/>
      <c r="Y106" s="12"/>
      <c r="Z106" s="12"/>
    </row>
    <row r="107" spans="1:26" ht="15" customHeight="1" x14ac:dyDescent="0.3">
      <c r="A107" s="45">
        <v>111</v>
      </c>
      <c r="B107" s="46" t="s">
        <v>492</v>
      </c>
      <c r="C107" s="194" t="s">
        <v>2024</v>
      </c>
      <c r="D107" s="46"/>
      <c r="E107" s="324"/>
      <c r="F107" s="61" t="s">
        <v>31</v>
      </c>
      <c r="G107" s="288">
        <v>260</v>
      </c>
      <c r="H107" s="289">
        <v>20</v>
      </c>
      <c r="I107" s="290">
        <v>1</v>
      </c>
      <c r="J107" s="48" t="s">
        <v>213</v>
      </c>
      <c r="K107" s="50" t="s">
        <v>2019</v>
      </c>
      <c r="L107" s="53" t="str">
        <f t="shared" si="0"/>
        <v>1kilos</v>
      </c>
      <c r="M107" s="54">
        <f t="shared" si="1"/>
        <v>20</v>
      </c>
      <c r="N107" s="55" t="str">
        <f t="shared" si="2"/>
        <v>20kilos</v>
      </c>
      <c r="O107" s="56">
        <f t="shared" si="3"/>
        <v>5200</v>
      </c>
      <c r="P107" s="44">
        <f t="shared" ref="P107:P110" si="14">O107/H107</f>
        <v>260</v>
      </c>
      <c r="Q107" s="66">
        <f>G107-P107</f>
        <v>0</v>
      </c>
      <c r="R107" s="32" t="b">
        <f>P107=G107</f>
        <v>1</v>
      </c>
      <c r="S107" s="32"/>
      <c r="T107" s="32"/>
      <c r="U107" s="32"/>
      <c r="V107" s="32"/>
      <c r="W107" s="32"/>
      <c r="X107" s="32"/>
      <c r="Y107" s="32"/>
      <c r="Z107" s="32"/>
    </row>
    <row r="108" spans="1:26" ht="15" customHeight="1" x14ac:dyDescent="0.3">
      <c r="A108" s="45">
        <v>466</v>
      </c>
      <c r="B108" s="46" t="s">
        <v>492</v>
      </c>
      <c r="C108" s="194" t="s">
        <v>2025</v>
      </c>
      <c r="D108" s="46"/>
      <c r="E108" s="46"/>
      <c r="F108" s="61" t="s">
        <v>31</v>
      </c>
      <c r="G108" s="288">
        <v>200</v>
      </c>
      <c r="H108" s="289">
        <v>4</v>
      </c>
      <c r="I108" s="290">
        <v>1</v>
      </c>
      <c r="J108" s="48" t="s">
        <v>213</v>
      </c>
      <c r="K108" s="50"/>
      <c r="L108" s="53" t="str">
        <f t="shared" si="0"/>
        <v>1kilos</v>
      </c>
      <c r="M108" s="54">
        <f t="shared" si="1"/>
        <v>4</v>
      </c>
      <c r="N108" s="55" t="str">
        <f t="shared" si="2"/>
        <v>4kilos</v>
      </c>
      <c r="O108" s="56">
        <f t="shared" si="3"/>
        <v>800</v>
      </c>
      <c r="P108" s="44">
        <f t="shared" si="14"/>
        <v>200</v>
      </c>
      <c r="Q108" s="66"/>
      <c r="R108" s="32"/>
      <c r="S108" s="32"/>
      <c r="T108" s="32"/>
      <c r="U108" s="32"/>
      <c r="V108" s="32"/>
      <c r="W108" s="32"/>
      <c r="X108" s="32"/>
      <c r="Y108" s="32"/>
      <c r="Z108" s="32"/>
    </row>
    <row r="109" spans="1:26" ht="15" customHeight="1" x14ac:dyDescent="0.3">
      <c r="A109" s="45">
        <v>753</v>
      </c>
      <c r="B109" s="46" t="s">
        <v>492</v>
      </c>
      <c r="C109" s="194" t="s">
        <v>2026</v>
      </c>
      <c r="D109" s="46"/>
      <c r="E109" s="46"/>
      <c r="F109" s="61" t="s">
        <v>31</v>
      </c>
      <c r="G109" s="288">
        <v>280</v>
      </c>
      <c r="H109" s="289">
        <v>3</v>
      </c>
      <c r="I109" s="290">
        <v>1</v>
      </c>
      <c r="J109" s="48" t="s">
        <v>213</v>
      </c>
      <c r="K109" s="50" t="s">
        <v>2019</v>
      </c>
      <c r="L109" s="53" t="str">
        <f t="shared" si="0"/>
        <v>1kilos</v>
      </c>
      <c r="M109" s="54">
        <f t="shared" si="1"/>
        <v>3</v>
      </c>
      <c r="N109" s="55" t="str">
        <f t="shared" si="2"/>
        <v>3kilos</v>
      </c>
      <c r="O109" s="56">
        <f t="shared" si="3"/>
        <v>840</v>
      </c>
      <c r="P109" s="44">
        <f t="shared" si="14"/>
        <v>280</v>
      </c>
      <c r="Q109" s="62">
        <f>G109-P109</f>
        <v>0</v>
      </c>
      <c r="R109" s="32" t="b">
        <f>P109=G109</f>
        <v>1</v>
      </c>
      <c r="S109" s="32"/>
      <c r="T109" s="32"/>
      <c r="U109" s="32"/>
      <c r="V109" s="32"/>
      <c r="W109" s="32"/>
      <c r="X109" s="32"/>
      <c r="Y109" s="32"/>
      <c r="Z109" s="32"/>
    </row>
    <row r="110" spans="1:26" ht="15" customHeight="1" x14ac:dyDescent="0.3">
      <c r="A110" s="45">
        <v>817</v>
      </c>
      <c r="B110" s="46" t="s">
        <v>492</v>
      </c>
      <c r="C110" s="194" t="s">
        <v>1368</v>
      </c>
      <c r="D110" s="46"/>
      <c r="E110" s="46"/>
      <c r="F110" s="61" t="s">
        <v>31</v>
      </c>
      <c r="G110" s="288">
        <v>200</v>
      </c>
      <c r="H110" s="289">
        <v>7</v>
      </c>
      <c r="I110" s="290">
        <v>1</v>
      </c>
      <c r="J110" s="48" t="s">
        <v>213</v>
      </c>
      <c r="K110" s="50"/>
      <c r="L110" s="53" t="str">
        <f t="shared" si="0"/>
        <v>1kilos</v>
      </c>
      <c r="M110" s="54">
        <f t="shared" si="1"/>
        <v>7</v>
      </c>
      <c r="N110" s="55" t="str">
        <f t="shared" si="2"/>
        <v>7kilos</v>
      </c>
      <c r="O110" s="56">
        <f t="shared" si="3"/>
        <v>1400</v>
      </c>
      <c r="P110" s="44">
        <f t="shared" si="14"/>
        <v>200</v>
      </c>
      <c r="Q110" s="66"/>
      <c r="R110" s="32"/>
      <c r="S110" s="32"/>
      <c r="T110" s="32"/>
      <c r="U110" s="32"/>
      <c r="V110" s="32"/>
      <c r="W110" s="32"/>
      <c r="X110" s="32"/>
      <c r="Y110" s="32"/>
      <c r="Z110" s="32"/>
    </row>
    <row r="111" spans="1:26" ht="15" customHeight="1" x14ac:dyDescent="0.3">
      <c r="A111" s="45"/>
      <c r="B111" s="46" t="s">
        <v>492</v>
      </c>
      <c r="C111" s="194" t="s">
        <v>2023</v>
      </c>
      <c r="D111" s="324"/>
      <c r="E111" s="423"/>
      <c r="F111" s="61" t="s">
        <v>31</v>
      </c>
      <c r="G111" s="288">
        <v>300</v>
      </c>
      <c r="H111" s="289">
        <v>3</v>
      </c>
      <c r="I111" s="290">
        <v>1</v>
      </c>
      <c r="J111" s="48" t="s">
        <v>213</v>
      </c>
      <c r="K111" s="50"/>
      <c r="L111" s="53" t="str">
        <f t="shared" si="0"/>
        <v>1kilos</v>
      </c>
      <c r="M111" s="54">
        <f t="shared" si="1"/>
        <v>3</v>
      </c>
      <c r="N111" s="55" t="str">
        <f t="shared" si="2"/>
        <v>3kilos</v>
      </c>
      <c r="O111" s="56">
        <f t="shared" si="3"/>
        <v>900</v>
      </c>
      <c r="P111" s="12"/>
      <c r="Q111" s="12"/>
      <c r="R111" s="12"/>
      <c r="S111" s="151"/>
      <c r="T111" s="12"/>
      <c r="U111" s="12"/>
      <c r="V111" s="12"/>
      <c r="W111" s="12"/>
      <c r="X111" s="12"/>
      <c r="Y111" s="12"/>
      <c r="Z111" s="12"/>
    </row>
    <row r="112" spans="1:26" ht="15" customHeight="1" x14ac:dyDescent="0.3">
      <c r="A112" s="45"/>
      <c r="B112" s="46" t="s">
        <v>492</v>
      </c>
      <c r="C112" s="194" t="s">
        <v>2020</v>
      </c>
      <c r="D112" s="46"/>
      <c r="E112" s="46"/>
      <c r="F112" s="61" t="s">
        <v>31</v>
      </c>
      <c r="G112" s="288">
        <v>220</v>
      </c>
      <c r="H112" s="289">
        <v>1</v>
      </c>
      <c r="I112" s="290">
        <v>1</v>
      </c>
      <c r="J112" s="48" t="s">
        <v>213</v>
      </c>
      <c r="K112" s="50"/>
      <c r="L112" s="53" t="str">
        <f t="shared" si="0"/>
        <v>1kilos</v>
      </c>
      <c r="M112" s="54">
        <f t="shared" si="1"/>
        <v>1</v>
      </c>
      <c r="N112" s="55" t="str">
        <f t="shared" si="2"/>
        <v>1kilos</v>
      </c>
      <c r="O112" s="56">
        <f t="shared" si="3"/>
        <v>220</v>
      </c>
      <c r="P112" s="12"/>
      <c r="Q112" s="12"/>
      <c r="R112" s="12"/>
      <c r="S112" s="151"/>
      <c r="T112" s="12"/>
      <c r="U112" s="12"/>
      <c r="V112" s="12"/>
      <c r="W112" s="12"/>
      <c r="X112" s="12"/>
      <c r="Y112" s="12"/>
      <c r="Z112" s="12"/>
    </row>
    <row r="113" spans="1:26" ht="15" customHeight="1" x14ac:dyDescent="0.3">
      <c r="A113" s="45">
        <v>829</v>
      </c>
      <c r="B113" s="46" t="s">
        <v>492</v>
      </c>
      <c r="C113" s="194" t="s">
        <v>1368</v>
      </c>
      <c r="D113" s="46"/>
      <c r="E113" s="46"/>
      <c r="F113" s="61" t="s">
        <v>31</v>
      </c>
      <c r="G113" s="288">
        <v>150</v>
      </c>
      <c r="H113" s="289">
        <v>5</v>
      </c>
      <c r="I113" s="290">
        <v>1</v>
      </c>
      <c r="J113" s="48" t="s">
        <v>213</v>
      </c>
      <c r="K113" s="50"/>
      <c r="L113" s="53" t="str">
        <f t="shared" si="0"/>
        <v>1kilos</v>
      </c>
      <c r="M113" s="54">
        <f t="shared" si="1"/>
        <v>5</v>
      </c>
      <c r="N113" s="55" t="str">
        <f t="shared" si="2"/>
        <v>5kilos</v>
      </c>
      <c r="O113" s="56">
        <f t="shared" si="3"/>
        <v>750</v>
      </c>
      <c r="P113" s="44">
        <f>O113/H113</f>
        <v>150</v>
      </c>
      <c r="Q113" s="66"/>
      <c r="R113" s="32"/>
      <c r="S113" s="32"/>
      <c r="T113" s="32"/>
      <c r="U113" s="32"/>
      <c r="V113" s="32"/>
      <c r="W113" s="32"/>
      <c r="X113" s="32"/>
      <c r="Y113" s="32"/>
      <c r="Z113" s="32"/>
    </row>
    <row r="114" spans="1:26" ht="15" customHeight="1" x14ac:dyDescent="0.3">
      <c r="A114" s="424"/>
      <c r="B114" s="46" t="s">
        <v>891</v>
      </c>
      <c r="C114" s="194" t="s">
        <v>1368</v>
      </c>
      <c r="D114" s="46"/>
      <c r="E114" s="46" t="s">
        <v>892</v>
      </c>
      <c r="F114" s="61" t="s">
        <v>31</v>
      </c>
      <c r="G114" s="288">
        <v>265</v>
      </c>
      <c r="H114" s="289">
        <v>1</v>
      </c>
      <c r="I114" s="290">
        <v>1</v>
      </c>
      <c r="J114" s="48" t="s">
        <v>213</v>
      </c>
      <c r="K114" s="50"/>
      <c r="L114" s="53" t="str">
        <f t="shared" si="0"/>
        <v>1kilos</v>
      </c>
      <c r="M114" s="54">
        <f t="shared" si="1"/>
        <v>1</v>
      </c>
      <c r="N114" s="55" t="str">
        <f t="shared" si="2"/>
        <v>1kilos</v>
      </c>
      <c r="O114" s="56">
        <f t="shared" si="3"/>
        <v>265</v>
      </c>
      <c r="P114" s="44"/>
      <c r="Q114" s="12"/>
      <c r="R114" s="12"/>
      <c r="S114" s="151"/>
      <c r="T114" s="12"/>
      <c r="U114" s="12"/>
      <c r="V114" s="12"/>
      <c r="W114" s="12"/>
      <c r="X114" s="12"/>
      <c r="Y114" s="12"/>
      <c r="Z114" s="12"/>
    </row>
    <row r="115" spans="1:26" ht="15" customHeight="1" x14ac:dyDescent="0.3">
      <c r="A115" s="45"/>
      <c r="B115" s="219" t="s">
        <v>893</v>
      </c>
      <c r="C115" s="194" t="s">
        <v>2021</v>
      </c>
      <c r="D115" s="219"/>
      <c r="E115" s="219" t="s">
        <v>894</v>
      </c>
      <c r="F115" s="61" t="s">
        <v>31</v>
      </c>
      <c r="G115" s="291">
        <v>559</v>
      </c>
      <c r="H115" s="292">
        <v>1</v>
      </c>
      <c r="I115" s="293">
        <v>1000</v>
      </c>
      <c r="J115" s="414" t="s">
        <v>39</v>
      </c>
      <c r="K115" s="50"/>
      <c r="L115" s="53" t="str">
        <f t="shared" si="0"/>
        <v>1000grams</v>
      </c>
      <c r="M115" s="54">
        <f t="shared" si="1"/>
        <v>1000</v>
      </c>
      <c r="N115" s="55" t="str">
        <f t="shared" si="2"/>
        <v>1000grams</v>
      </c>
      <c r="O115" s="56">
        <f t="shared" si="3"/>
        <v>559</v>
      </c>
      <c r="P115" s="12"/>
      <c r="Q115" s="12"/>
      <c r="R115" s="12"/>
      <c r="S115" s="151"/>
      <c r="T115" s="12"/>
      <c r="U115" s="12"/>
      <c r="V115" s="12"/>
      <c r="W115" s="12"/>
      <c r="X115" s="12"/>
      <c r="Y115" s="12"/>
      <c r="Z115" s="12"/>
    </row>
    <row r="116" spans="1:26" ht="15" customHeight="1" x14ac:dyDescent="0.3">
      <c r="A116" s="45">
        <v>878</v>
      </c>
      <c r="B116" s="46" t="s">
        <v>895</v>
      </c>
      <c r="C116" s="194" t="s">
        <v>1368</v>
      </c>
      <c r="D116" s="46"/>
      <c r="E116" s="46" t="s">
        <v>896</v>
      </c>
      <c r="F116" s="61" t="s">
        <v>31</v>
      </c>
      <c r="G116" s="288">
        <v>34.75</v>
      </c>
      <c r="H116" s="289">
        <v>2</v>
      </c>
      <c r="I116" s="290">
        <v>1</v>
      </c>
      <c r="J116" s="48" t="s">
        <v>304</v>
      </c>
      <c r="K116" s="50"/>
      <c r="L116" s="53" t="str">
        <f t="shared" si="0"/>
        <v>1packs</v>
      </c>
      <c r="M116" s="54">
        <f t="shared" si="1"/>
        <v>2</v>
      </c>
      <c r="N116" s="55" t="str">
        <f t="shared" si="2"/>
        <v>2packs</v>
      </c>
      <c r="O116" s="56">
        <f t="shared" si="3"/>
        <v>69.5</v>
      </c>
      <c r="P116" s="44"/>
      <c r="Q116" s="66"/>
      <c r="R116" s="32"/>
      <c r="S116" s="32"/>
      <c r="T116" s="32"/>
      <c r="U116" s="32"/>
      <c r="V116" s="32"/>
      <c r="W116" s="32"/>
      <c r="X116" s="32"/>
      <c r="Y116" s="32"/>
      <c r="Z116" s="32"/>
    </row>
    <row r="117" spans="1:26" ht="15" customHeight="1" x14ac:dyDescent="0.3">
      <c r="A117" s="45"/>
      <c r="B117" s="46" t="s">
        <v>895</v>
      </c>
      <c r="C117" s="194" t="s">
        <v>2020</v>
      </c>
      <c r="D117" s="46"/>
      <c r="E117" s="46" t="s">
        <v>897</v>
      </c>
      <c r="F117" s="61" t="s">
        <v>31</v>
      </c>
      <c r="G117" s="288">
        <v>32</v>
      </c>
      <c r="H117" s="289">
        <v>1</v>
      </c>
      <c r="I117" s="290">
        <v>110</v>
      </c>
      <c r="J117" s="48" t="s">
        <v>39</v>
      </c>
      <c r="K117" s="50"/>
      <c r="L117" s="53" t="str">
        <f t="shared" si="0"/>
        <v>110grams</v>
      </c>
      <c r="M117" s="54">
        <f t="shared" si="1"/>
        <v>110</v>
      </c>
      <c r="N117" s="55" t="str">
        <f t="shared" si="2"/>
        <v>110grams</v>
      </c>
      <c r="O117" s="56">
        <f t="shared" si="3"/>
        <v>32</v>
      </c>
      <c r="P117" s="12"/>
      <c r="Q117" s="12"/>
      <c r="R117" s="12"/>
      <c r="S117" s="151"/>
      <c r="T117" s="12"/>
      <c r="U117" s="12"/>
      <c r="V117" s="12"/>
      <c r="W117" s="12"/>
      <c r="X117" s="12"/>
      <c r="Y117" s="12"/>
      <c r="Z117" s="12"/>
    </row>
    <row r="118" spans="1:26" ht="15" customHeight="1" x14ac:dyDescent="0.3">
      <c r="A118" s="45"/>
      <c r="B118" s="219" t="s">
        <v>898</v>
      </c>
      <c r="C118" s="194" t="s">
        <v>2021</v>
      </c>
      <c r="D118" s="46"/>
      <c r="E118" s="219" t="s">
        <v>897</v>
      </c>
      <c r="F118" s="61" t="s">
        <v>31</v>
      </c>
      <c r="G118" s="291">
        <v>77</v>
      </c>
      <c r="H118" s="292">
        <v>1</v>
      </c>
      <c r="I118" s="293">
        <v>350</v>
      </c>
      <c r="J118" s="414" t="s">
        <v>32</v>
      </c>
      <c r="K118" s="50"/>
      <c r="L118" s="53" t="str">
        <f t="shared" si="0"/>
        <v>350ml</v>
      </c>
      <c r="M118" s="54">
        <f t="shared" si="1"/>
        <v>350</v>
      </c>
      <c r="N118" s="55" t="str">
        <f t="shared" si="2"/>
        <v>350ml</v>
      </c>
      <c r="O118" s="56">
        <f t="shared" si="3"/>
        <v>77</v>
      </c>
      <c r="P118" s="12"/>
      <c r="Q118" s="12"/>
      <c r="R118" s="12"/>
      <c r="S118" s="151"/>
      <c r="T118" s="12"/>
      <c r="U118" s="12"/>
      <c r="V118" s="12"/>
      <c r="W118" s="12"/>
      <c r="X118" s="12"/>
      <c r="Y118" s="12"/>
      <c r="Z118" s="12"/>
    </row>
    <row r="119" spans="1:26" ht="15" customHeight="1" x14ac:dyDescent="0.3">
      <c r="A119" s="45">
        <v>160</v>
      </c>
      <c r="B119" s="46" t="s">
        <v>899</v>
      </c>
      <c r="C119" s="194" t="s">
        <v>2024</v>
      </c>
      <c r="D119" s="46"/>
      <c r="E119" s="46" t="s">
        <v>900</v>
      </c>
      <c r="F119" s="61" t="s">
        <v>31</v>
      </c>
      <c r="G119" s="288">
        <v>17</v>
      </c>
      <c r="H119" s="289">
        <v>3</v>
      </c>
      <c r="I119" s="290">
        <v>1</v>
      </c>
      <c r="J119" s="48" t="s">
        <v>304</v>
      </c>
      <c r="K119" s="50"/>
      <c r="L119" s="53" t="str">
        <f t="shared" si="0"/>
        <v>1packs</v>
      </c>
      <c r="M119" s="54">
        <f t="shared" si="1"/>
        <v>3</v>
      </c>
      <c r="N119" s="55" t="str">
        <f t="shared" si="2"/>
        <v>3packs</v>
      </c>
      <c r="O119" s="56">
        <f t="shared" si="3"/>
        <v>51</v>
      </c>
      <c r="P119" s="44">
        <f t="shared" ref="P119:P120" si="15">O119/H119</f>
        <v>17</v>
      </c>
      <c r="Q119" s="66"/>
      <c r="R119" s="32" t="b">
        <f t="shared" ref="R119:R120" si="16">P119=G119</f>
        <v>1</v>
      </c>
      <c r="S119" s="32"/>
      <c r="T119" s="32"/>
      <c r="U119" s="32"/>
      <c r="V119" s="32"/>
      <c r="W119" s="32"/>
      <c r="X119" s="32"/>
      <c r="Y119" s="32"/>
      <c r="Z119" s="32"/>
    </row>
    <row r="120" spans="1:26" ht="15" customHeight="1" x14ac:dyDescent="0.3">
      <c r="A120" s="45">
        <v>366</v>
      </c>
      <c r="B120" s="46" t="s">
        <v>899</v>
      </c>
      <c r="C120" s="194" t="s">
        <v>2025</v>
      </c>
      <c r="D120" s="46"/>
      <c r="E120" s="46" t="s">
        <v>858</v>
      </c>
      <c r="F120" s="61" t="s">
        <v>31</v>
      </c>
      <c r="G120" s="288">
        <v>25.56</v>
      </c>
      <c r="H120" s="289">
        <v>9</v>
      </c>
      <c r="I120" s="290">
        <v>100</v>
      </c>
      <c r="J120" s="48" t="s">
        <v>92</v>
      </c>
      <c r="K120" s="50"/>
      <c r="L120" s="53" t="str">
        <f t="shared" si="0"/>
        <v>100pieces</v>
      </c>
      <c r="M120" s="54">
        <f t="shared" si="1"/>
        <v>900</v>
      </c>
      <c r="N120" s="55" t="str">
        <f t="shared" si="2"/>
        <v>900pieces</v>
      </c>
      <c r="O120" s="56">
        <f t="shared" si="3"/>
        <v>230.04</v>
      </c>
      <c r="P120" s="44">
        <f t="shared" si="15"/>
        <v>25.56</v>
      </c>
      <c r="Q120" s="66"/>
      <c r="R120" s="32" t="b">
        <f t="shared" si="16"/>
        <v>1</v>
      </c>
      <c r="S120" s="32"/>
      <c r="T120" s="32"/>
      <c r="U120" s="32"/>
      <c r="V120" s="32"/>
      <c r="W120" s="32"/>
      <c r="X120" s="32"/>
      <c r="Y120" s="32"/>
      <c r="Z120" s="32"/>
    </row>
    <row r="121" spans="1:26" ht="15" customHeight="1" x14ac:dyDescent="0.3">
      <c r="A121" s="45"/>
      <c r="B121" s="46" t="s">
        <v>899</v>
      </c>
      <c r="C121" s="194" t="s">
        <v>2023</v>
      </c>
      <c r="D121" s="46"/>
      <c r="E121" s="46" t="s">
        <v>900</v>
      </c>
      <c r="F121" s="61" t="s">
        <v>31</v>
      </c>
      <c r="G121" s="288">
        <v>25</v>
      </c>
      <c r="H121" s="289">
        <v>1</v>
      </c>
      <c r="I121" s="290">
        <v>1</v>
      </c>
      <c r="J121" s="48" t="s">
        <v>304</v>
      </c>
      <c r="K121" s="50"/>
      <c r="L121" s="53" t="str">
        <f t="shared" si="0"/>
        <v>1packs</v>
      </c>
      <c r="M121" s="54">
        <f t="shared" si="1"/>
        <v>1</v>
      </c>
      <c r="N121" s="55" t="str">
        <f t="shared" si="2"/>
        <v>1packs</v>
      </c>
      <c r="O121" s="56">
        <f t="shared" si="3"/>
        <v>25</v>
      </c>
      <c r="P121" s="44"/>
      <c r="Q121" s="12"/>
      <c r="R121" s="12"/>
      <c r="S121" s="151"/>
      <c r="T121" s="12"/>
      <c r="U121" s="12"/>
      <c r="V121" s="12"/>
      <c r="W121" s="12"/>
      <c r="X121" s="12"/>
      <c r="Y121" s="12"/>
      <c r="Z121" s="12"/>
    </row>
    <row r="122" spans="1:26" ht="15" customHeight="1" x14ac:dyDescent="0.3">
      <c r="A122" s="45"/>
      <c r="B122" s="46" t="s">
        <v>899</v>
      </c>
      <c r="C122" s="194" t="s">
        <v>2022</v>
      </c>
      <c r="D122" s="46"/>
      <c r="E122" s="46" t="s">
        <v>901</v>
      </c>
      <c r="F122" s="61" t="s">
        <v>31</v>
      </c>
      <c r="G122" s="288">
        <v>18</v>
      </c>
      <c r="H122" s="289">
        <v>4</v>
      </c>
      <c r="I122" s="290">
        <v>1</v>
      </c>
      <c r="J122" s="48" t="s">
        <v>304</v>
      </c>
      <c r="K122" s="50"/>
      <c r="L122" s="53" t="str">
        <f t="shared" si="0"/>
        <v>1packs</v>
      </c>
      <c r="M122" s="54">
        <f t="shared" si="1"/>
        <v>4</v>
      </c>
      <c r="N122" s="55" t="str">
        <f t="shared" si="2"/>
        <v>4packs</v>
      </c>
      <c r="O122" s="56">
        <f t="shared" si="3"/>
        <v>72</v>
      </c>
      <c r="P122" s="12"/>
      <c r="Q122" s="12"/>
      <c r="R122" s="12"/>
      <c r="S122" s="151"/>
      <c r="T122" s="12"/>
      <c r="U122" s="12"/>
      <c r="V122" s="12"/>
      <c r="W122" s="12"/>
      <c r="X122" s="12"/>
      <c r="Y122" s="12"/>
      <c r="Z122" s="12"/>
    </row>
    <row r="123" spans="1:26" ht="15" customHeight="1" x14ac:dyDescent="0.3">
      <c r="A123" s="45">
        <v>367</v>
      </c>
      <c r="B123" s="46" t="s">
        <v>899</v>
      </c>
      <c r="C123" s="194" t="s">
        <v>2025</v>
      </c>
      <c r="D123" s="46"/>
      <c r="E123" s="46"/>
      <c r="F123" s="61" t="s">
        <v>31</v>
      </c>
      <c r="G123" s="288">
        <v>22.27</v>
      </c>
      <c r="H123" s="289">
        <v>1</v>
      </c>
      <c r="I123" s="290">
        <v>100</v>
      </c>
      <c r="J123" s="48" t="s">
        <v>92</v>
      </c>
      <c r="K123" s="50"/>
      <c r="L123" s="53" t="str">
        <f t="shared" si="0"/>
        <v>100pieces</v>
      </c>
      <c r="M123" s="54">
        <f t="shared" si="1"/>
        <v>100</v>
      </c>
      <c r="N123" s="55" t="str">
        <f t="shared" si="2"/>
        <v>100pieces</v>
      </c>
      <c r="O123" s="56">
        <f t="shared" si="3"/>
        <v>22.27</v>
      </c>
      <c r="P123" s="44">
        <f t="shared" ref="P123:P124" si="17">O123/H123</f>
        <v>22.27</v>
      </c>
      <c r="Q123" s="66"/>
      <c r="R123" s="32" t="b">
        <f>P123=G123</f>
        <v>1</v>
      </c>
      <c r="S123" s="32"/>
      <c r="T123" s="32"/>
      <c r="U123" s="32"/>
      <c r="V123" s="32"/>
      <c r="W123" s="32"/>
      <c r="X123" s="32"/>
      <c r="Y123" s="32"/>
      <c r="Z123" s="32"/>
    </row>
    <row r="124" spans="1:26" ht="15" customHeight="1" x14ac:dyDescent="0.3">
      <c r="A124" s="45">
        <v>734</v>
      </c>
      <c r="B124" s="219" t="s">
        <v>902</v>
      </c>
      <c r="C124" s="194" t="s">
        <v>2026</v>
      </c>
      <c r="D124" s="46"/>
      <c r="E124" s="219" t="s">
        <v>854</v>
      </c>
      <c r="F124" s="61" t="s">
        <v>31</v>
      </c>
      <c r="G124" s="288">
        <v>68</v>
      </c>
      <c r="H124" s="289">
        <v>1</v>
      </c>
      <c r="I124" s="290">
        <v>9</v>
      </c>
      <c r="J124" s="48" t="s">
        <v>39</v>
      </c>
      <c r="K124" s="50"/>
      <c r="L124" s="53" t="str">
        <f t="shared" si="0"/>
        <v>9grams</v>
      </c>
      <c r="M124" s="54">
        <f t="shared" si="1"/>
        <v>9</v>
      </c>
      <c r="N124" s="55" t="str">
        <f t="shared" si="2"/>
        <v>9grams</v>
      </c>
      <c r="O124" s="56">
        <f t="shared" si="3"/>
        <v>68</v>
      </c>
      <c r="P124" s="44">
        <f t="shared" si="17"/>
        <v>68</v>
      </c>
      <c r="Q124" s="66"/>
      <c r="R124" s="32"/>
      <c r="S124" s="32"/>
      <c r="T124" s="32"/>
      <c r="U124" s="32"/>
      <c r="V124" s="32"/>
      <c r="W124" s="32"/>
      <c r="X124" s="32"/>
      <c r="Y124" s="32"/>
      <c r="Z124" s="32"/>
    </row>
    <row r="125" spans="1:26" ht="15" customHeight="1" x14ac:dyDescent="0.3">
      <c r="A125" s="45"/>
      <c r="B125" s="219" t="s">
        <v>902</v>
      </c>
      <c r="C125" s="194" t="s">
        <v>2021</v>
      </c>
      <c r="D125" s="46"/>
      <c r="E125" s="219" t="s">
        <v>854</v>
      </c>
      <c r="F125" s="61" t="s">
        <v>31</v>
      </c>
      <c r="G125" s="291">
        <v>59.5</v>
      </c>
      <c r="H125" s="292">
        <v>4</v>
      </c>
      <c r="I125" s="293">
        <v>9</v>
      </c>
      <c r="J125" s="414" t="s">
        <v>39</v>
      </c>
      <c r="K125" s="50"/>
      <c r="L125" s="53" t="str">
        <f t="shared" si="0"/>
        <v>9grams</v>
      </c>
      <c r="M125" s="54">
        <f t="shared" si="1"/>
        <v>36</v>
      </c>
      <c r="N125" s="55" t="str">
        <f t="shared" si="2"/>
        <v>36grams</v>
      </c>
      <c r="O125" s="56">
        <f t="shared" si="3"/>
        <v>238</v>
      </c>
      <c r="P125" s="12"/>
      <c r="Q125" s="12"/>
      <c r="R125" s="12"/>
      <c r="S125" s="151"/>
      <c r="T125" s="12"/>
      <c r="U125" s="12"/>
      <c r="V125" s="12"/>
      <c r="W125" s="12"/>
      <c r="X125" s="12"/>
      <c r="Y125" s="12"/>
      <c r="Z125" s="12"/>
    </row>
    <row r="126" spans="1:26" ht="15" customHeight="1" x14ac:dyDescent="0.3">
      <c r="A126" s="45"/>
      <c r="B126" s="219" t="s">
        <v>903</v>
      </c>
      <c r="C126" s="194" t="s">
        <v>2021</v>
      </c>
      <c r="D126" s="46"/>
      <c r="E126" s="219" t="s">
        <v>904</v>
      </c>
      <c r="F126" s="61" t="s">
        <v>31</v>
      </c>
      <c r="G126" s="291">
        <v>252</v>
      </c>
      <c r="H126" s="292">
        <v>1</v>
      </c>
      <c r="I126" s="293">
        <v>2</v>
      </c>
      <c r="J126" s="414" t="s">
        <v>213</v>
      </c>
      <c r="K126" s="50"/>
      <c r="L126" s="53" t="str">
        <f t="shared" si="0"/>
        <v>2kilos</v>
      </c>
      <c r="M126" s="54">
        <f t="shared" si="1"/>
        <v>2</v>
      </c>
      <c r="N126" s="55" t="str">
        <f t="shared" si="2"/>
        <v>2kilos</v>
      </c>
      <c r="O126" s="56">
        <f t="shared" si="3"/>
        <v>252</v>
      </c>
      <c r="P126" s="12"/>
      <c r="Q126" s="12"/>
      <c r="R126" s="12"/>
      <c r="S126" s="151"/>
      <c r="T126" s="12"/>
      <c r="U126" s="12"/>
      <c r="V126" s="12"/>
      <c r="W126" s="12"/>
      <c r="X126" s="12"/>
      <c r="Y126" s="12"/>
      <c r="Z126" s="12"/>
    </row>
    <row r="127" spans="1:26" ht="15" customHeight="1" x14ac:dyDescent="0.3">
      <c r="A127" s="45">
        <v>859</v>
      </c>
      <c r="B127" s="46" t="s">
        <v>905</v>
      </c>
      <c r="C127" s="194" t="s">
        <v>1368</v>
      </c>
      <c r="D127" s="46"/>
      <c r="E127" s="46"/>
      <c r="F127" s="61" t="s">
        <v>31</v>
      </c>
      <c r="G127" s="288">
        <v>130</v>
      </c>
      <c r="H127" s="289">
        <v>2</v>
      </c>
      <c r="I127" s="293">
        <v>2</v>
      </c>
      <c r="J127" s="414" t="s">
        <v>213</v>
      </c>
      <c r="K127" s="50" t="s">
        <v>2019</v>
      </c>
      <c r="L127" s="53" t="str">
        <f t="shared" si="0"/>
        <v>2kilos</v>
      </c>
      <c r="M127" s="54">
        <f t="shared" si="1"/>
        <v>4</v>
      </c>
      <c r="N127" s="55" t="str">
        <f t="shared" si="2"/>
        <v>4kilos</v>
      </c>
      <c r="O127" s="56">
        <f t="shared" si="3"/>
        <v>260</v>
      </c>
      <c r="P127" s="44">
        <f>O127/H127</f>
        <v>130</v>
      </c>
      <c r="Q127" s="62">
        <f>G127-P127</f>
        <v>0</v>
      </c>
      <c r="R127" s="32" t="b">
        <f>P127=G127</f>
        <v>1</v>
      </c>
      <c r="S127" s="32"/>
      <c r="T127" s="32"/>
      <c r="U127" s="32"/>
      <c r="V127" s="32"/>
      <c r="W127" s="32"/>
      <c r="X127" s="32"/>
      <c r="Y127" s="32"/>
      <c r="Z127" s="32"/>
    </row>
    <row r="128" spans="1:26" ht="15" customHeight="1" x14ac:dyDescent="0.3">
      <c r="A128" s="45"/>
      <c r="B128" s="46" t="s">
        <v>906</v>
      </c>
      <c r="C128" s="194" t="s">
        <v>2022</v>
      </c>
      <c r="D128" s="46"/>
      <c r="E128" s="46" t="s">
        <v>907</v>
      </c>
      <c r="F128" s="61" t="s">
        <v>31</v>
      </c>
      <c r="G128" s="288">
        <v>380</v>
      </c>
      <c r="H128" s="289">
        <v>7</v>
      </c>
      <c r="I128" s="293">
        <v>2</v>
      </c>
      <c r="J128" s="414" t="s">
        <v>213</v>
      </c>
      <c r="K128" s="50"/>
      <c r="L128" s="53" t="str">
        <f t="shared" si="0"/>
        <v>2kilos</v>
      </c>
      <c r="M128" s="54">
        <f t="shared" si="1"/>
        <v>14</v>
      </c>
      <c r="N128" s="55" t="str">
        <f t="shared" si="2"/>
        <v>14kilos</v>
      </c>
      <c r="O128" s="56">
        <f t="shared" si="3"/>
        <v>2660</v>
      </c>
      <c r="P128" s="12"/>
      <c r="Q128" s="12"/>
      <c r="R128" s="12"/>
      <c r="S128" s="151"/>
      <c r="T128" s="12"/>
      <c r="U128" s="12"/>
      <c r="V128" s="12"/>
      <c r="W128" s="12"/>
      <c r="X128" s="12"/>
      <c r="Y128" s="12"/>
      <c r="Z128" s="12"/>
    </row>
    <row r="129" spans="1:26" ht="15" customHeight="1" x14ac:dyDescent="0.3">
      <c r="A129" s="45"/>
      <c r="B129" s="46" t="s">
        <v>906</v>
      </c>
      <c r="C129" s="194" t="s">
        <v>2021</v>
      </c>
      <c r="D129" s="46"/>
      <c r="E129" s="46" t="s">
        <v>907</v>
      </c>
      <c r="F129" s="61" t="s">
        <v>31</v>
      </c>
      <c r="G129" s="291">
        <v>385</v>
      </c>
      <c r="H129" s="292">
        <v>3</v>
      </c>
      <c r="I129" s="293">
        <v>1</v>
      </c>
      <c r="J129" s="414" t="s">
        <v>213</v>
      </c>
      <c r="K129" s="50"/>
      <c r="L129" s="53" t="str">
        <f t="shared" si="0"/>
        <v>1kilos</v>
      </c>
      <c r="M129" s="54">
        <f t="shared" si="1"/>
        <v>3</v>
      </c>
      <c r="N129" s="55" t="str">
        <f t="shared" si="2"/>
        <v>3kilos</v>
      </c>
      <c r="O129" s="56">
        <f t="shared" si="3"/>
        <v>1155</v>
      </c>
      <c r="P129" s="12"/>
      <c r="Q129" s="12"/>
      <c r="R129" s="12"/>
      <c r="S129" s="151"/>
      <c r="T129" s="12"/>
      <c r="U129" s="12"/>
      <c r="V129" s="12"/>
      <c r="W129" s="12"/>
      <c r="X129" s="12"/>
      <c r="Y129" s="12"/>
      <c r="Z129" s="12"/>
    </row>
    <row r="130" spans="1:26" ht="15" customHeight="1" x14ac:dyDescent="0.3">
      <c r="A130" s="45">
        <v>117</v>
      </c>
      <c r="B130" s="46" t="s">
        <v>908</v>
      </c>
      <c r="C130" s="194" t="s">
        <v>2024</v>
      </c>
      <c r="D130" s="46"/>
      <c r="E130" s="46"/>
      <c r="F130" s="61" t="s">
        <v>31</v>
      </c>
      <c r="G130" s="288">
        <v>312</v>
      </c>
      <c r="H130" s="289">
        <v>20</v>
      </c>
      <c r="I130" s="290">
        <v>1</v>
      </c>
      <c r="J130" s="48" t="s">
        <v>213</v>
      </c>
      <c r="K130" s="50"/>
      <c r="L130" s="53" t="str">
        <f t="shared" si="0"/>
        <v>1kilos</v>
      </c>
      <c r="M130" s="54">
        <f t="shared" si="1"/>
        <v>20</v>
      </c>
      <c r="N130" s="55" t="str">
        <f t="shared" si="2"/>
        <v>20kilos</v>
      </c>
      <c r="O130" s="56">
        <f t="shared" si="3"/>
        <v>6240</v>
      </c>
      <c r="P130" s="44">
        <f t="shared" ref="P130:P131" si="18">O130/H130</f>
        <v>312</v>
      </c>
      <c r="Q130" s="66"/>
      <c r="R130" s="32" t="b">
        <f t="shared" ref="R130:R131" si="19">P130=G130</f>
        <v>1</v>
      </c>
      <c r="S130" s="32"/>
      <c r="T130" s="32"/>
      <c r="U130" s="32"/>
      <c r="V130" s="32"/>
      <c r="W130" s="32"/>
      <c r="X130" s="32"/>
      <c r="Y130" s="32"/>
      <c r="Z130" s="32"/>
    </row>
    <row r="131" spans="1:26" ht="15" customHeight="1" x14ac:dyDescent="0.3">
      <c r="A131" s="45">
        <v>451</v>
      </c>
      <c r="B131" s="46" t="s">
        <v>908</v>
      </c>
      <c r="C131" s="194" t="s">
        <v>2025</v>
      </c>
      <c r="D131" s="46"/>
      <c r="E131" s="46"/>
      <c r="F131" s="61" t="s">
        <v>31</v>
      </c>
      <c r="G131" s="288">
        <v>385</v>
      </c>
      <c r="H131" s="289">
        <v>13</v>
      </c>
      <c r="I131" s="290">
        <v>1</v>
      </c>
      <c r="J131" s="48" t="s">
        <v>213</v>
      </c>
      <c r="K131" s="50" t="s">
        <v>2019</v>
      </c>
      <c r="L131" s="53" t="str">
        <f t="shared" si="0"/>
        <v>1kilos</v>
      </c>
      <c r="M131" s="54">
        <f t="shared" si="1"/>
        <v>13</v>
      </c>
      <c r="N131" s="55" t="str">
        <f t="shared" si="2"/>
        <v>13kilos</v>
      </c>
      <c r="O131" s="56">
        <f t="shared" si="3"/>
        <v>5005</v>
      </c>
      <c r="P131" s="44">
        <f t="shared" si="18"/>
        <v>385</v>
      </c>
      <c r="Q131" s="44">
        <f>G131-P131</f>
        <v>0</v>
      </c>
      <c r="R131" s="32" t="b">
        <f t="shared" si="19"/>
        <v>1</v>
      </c>
      <c r="S131" s="32"/>
      <c r="T131" s="32"/>
      <c r="U131" s="32"/>
      <c r="V131" s="32"/>
      <c r="W131" s="32"/>
      <c r="X131" s="32"/>
      <c r="Y131" s="32"/>
      <c r="Z131" s="32"/>
    </row>
    <row r="132" spans="1:26" ht="15" customHeight="1" x14ac:dyDescent="0.3">
      <c r="A132" s="45"/>
      <c r="B132" s="46" t="s">
        <v>908</v>
      </c>
      <c r="C132" s="194" t="s">
        <v>2022</v>
      </c>
      <c r="D132" s="46"/>
      <c r="E132" s="46" t="s">
        <v>907</v>
      </c>
      <c r="F132" s="61" t="s">
        <v>31</v>
      </c>
      <c r="G132" s="288">
        <v>380</v>
      </c>
      <c r="H132" s="289">
        <v>20</v>
      </c>
      <c r="I132" s="290">
        <v>1</v>
      </c>
      <c r="J132" s="48" t="s">
        <v>213</v>
      </c>
      <c r="K132" s="50"/>
      <c r="L132" s="53" t="str">
        <f t="shared" si="0"/>
        <v>1kilos</v>
      </c>
      <c r="M132" s="54">
        <f t="shared" si="1"/>
        <v>20</v>
      </c>
      <c r="N132" s="55" t="str">
        <f t="shared" si="2"/>
        <v>20kilos</v>
      </c>
      <c r="O132" s="56">
        <f t="shared" si="3"/>
        <v>7600</v>
      </c>
      <c r="P132" s="12"/>
      <c r="Q132" s="12"/>
      <c r="R132" s="12"/>
      <c r="S132" s="151"/>
      <c r="T132" s="12"/>
      <c r="U132" s="12"/>
      <c r="V132" s="12"/>
      <c r="W132" s="12"/>
      <c r="X132" s="12"/>
      <c r="Y132" s="12"/>
      <c r="Z132" s="12"/>
    </row>
    <row r="133" spans="1:26" ht="15" customHeight="1" x14ac:dyDescent="0.3">
      <c r="A133" s="45"/>
      <c r="B133" s="46" t="s">
        <v>908</v>
      </c>
      <c r="C133" s="194" t="s">
        <v>2021</v>
      </c>
      <c r="D133" s="46"/>
      <c r="E133" s="46" t="s">
        <v>907</v>
      </c>
      <c r="F133" s="61" t="s">
        <v>31</v>
      </c>
      <c r="G133" s="291">
        <v>385</v>
      </c>
      <c r="H133" s="292">
        <v>17</v>
      </c>
      <c r="I133" s="293">
        <v>1</v>
      </c>
      <c r="J133" s="414" t="s">
        <v>213</v>
      </c>
      <c r="K133" s="50"/>
      <c r="L133" s="53" t="str">
        <f t="shared" si="0"/>
        <v>1kilos</v>
      </c>
      <c r="M133" s="54">
        <f t="shared" si="1"/>
        <v>17</v>
      </c>
      <c r="N133" s="55" t="str">
        <f t="shared" si="2"/>
        <v>17kilos</v>
      </c>
      <c r="O133" s="56">
        <f t="shared" si="3"/>
        <v>6545</v>
      </c>
      <c r="P133" s="12"/>
      <c r="Q133" s="12"/>
      <c r="R133" s="12"/>
      <c r="S133" s="151"/>
      <c r="T133" s="12"/>
      <c r="U133" s="12"/>
      <c r="V133" s="12"/>
      <c r="W133" s="12"/>
      <c r="X133" s="12"/>
      <c r="Y133" s="12"/>
      <c r="Z133" s="12"/>
    </row>
    <row r="134" spans="1:26" ht="15" customHeight="1" x14ac:dyDescent="0.3">
      <c r="A134" s="45"/>
      <c r="B134" s="46" t="s">
        <v>908</v>
      </c>
      <c r="C134" s="194" t="s">
        <v>2023</v>
      </c>
      <c r="D134" s="46"/>
      <c r="E134" s="46" t="s">
        <v>909</v>
      </c>
      <c r="F134" s="61" t="s">
        <v>31</v>
      </c>
      <c r="G134" s="288">
        <v>320</v>
      </c>
      <c r="H134" s="289">
        <v>62</v>
      </c>
      <c r="I134" s="290">
        <v>1</v>
      </c>
      <c r="J134" s="48" t="s">
        <v>213</v>
      </c>
      <c r="K134" s="50"/>
      <c r="L134" s="53" t="str">
        <f t="shared" si="0"/>
        <v>1kilos</v>
      </c>
      <c r="M134" s="54">
        <f t="shared" si="1"/>
        <v>62</v>
      </c>
      <c r="N134" s="55" t="str">
        <f t="shared" si="2"/>
        <v>62kilos</v>
      </c>
      <c r="O134" s="56">
        <f t="shared" si="3"/>
        <v>19840</v>
      </c>
      <c r="P134" s="12"/>
      <c r="Q134" s="12"/>
      <c r="R134" s="12"/>
      <c r="S134" s="151"/>
      <c r="T134" s="12"/>
      <c r="U134" s="12"/>
      <c r="V134" s="12"/>
      <c r="W134" s="12"/>
      <c r="X134" s="12"/>
      <c r="Y134" s="12"/>
      <c r="Z134" s="12"/>
    </row>
    <row r="135" spans="1:26" ht="15" customHeight="1" x14ac:dyDescent="0.3">
      <c r="A135" s="45">
        <v>691</v>
      </c>
      <c r="B135" s="46" t="s">
        <v>164</v>
      </c>
      <c r="C135" s="194" t="s">
        <v>2026</v>
      </c>
      <c r="D135" s="46"/>
      <c r="E135" s="46" t="s">
        <v>910</v>
      </c>
      <c r="F135" s="61" t="s">
        <v>31</v>
      </c>
      <c r="G135" s="288">
        <v>31</v>
      </c>
      <c r="H135" s="289">
        <v>4</v>
      </c>
      <c r="I135" s="290">
        <v>250</v>
      </c>
      <c r="J135" s="48" t="s">
        <v>39</v>
      </c>
      <c r="K135" s="50"/>
      <c r="L135" s="53" t="str">
        <f t="shared" si="0"/>
        <v>250grams</v>
      </c>
      <c r="M135" s="54">
        <f t="shared" si="1"/>
        <v>1000</v>
      </c>
      <c r="N135" s="55" t="str">
        <f t="shared" si="2"/>
        <v>1000grams</v>
      </c>
      <c r="O135" s="56">
        <f t="shared" si="3"/>
        <v>124</v>
      </c>
      <c r="P135" s="44">
        <f t="shared" ref="P135:P136" si="20">O135/H135</f>
        <v>31</v>
      </c>
      <c r="Q135" s="66"/>
      <c r="R135" s="32"/>
      <c r="S135" s="32"/>
      <c r="T135" s="32"/>
      <c r="U135" s="32"/>
      <c r="V135" s="32"/>
      <c r="W135" s="32"/>
      <c r="X135" s="32"/>
      <c r="Y135" s="32"/>
      <c r="Z135" s="32"/>
    </row>
    <row r="136" spans="1:26" ht="15" customHeight="1" x14ac:dyDescent="0.3">
      <c r="A136" s="45">
        <v>801</v>
      </c>
      <c r="B136" s="46" t="s">
        <v>164</v>
      </c>
      <c r="C136" s="194" t="s">
        <v>1368</v>
      </c>
      <c r="D136" s="46"/>
      <c r="E136" s="46" t="s">
        <v>910</v>
      </c>
      <c r="F136" s="61" t="s">
        <v>31</v>
      </c>
      <c r="G136" s="288">
        <v>35</v>
      </c>
      <c r="H136" s="289">
        <v>10</v>
      </c>
      <c r="I136" s="290">
        <v>250</v>
      </c>
      <c r="J136" s="48" t="s">
        <v>39</v>
      </c>
      <c r="K136" s="50" t="s">
        <v>2019</v>
      </c>
      <c r="L136" s="53" t="str">
        <f t="shared" si="0"/>
        <v>250grams</v>
      </c>
      <c r="M136" s="54">
        <f t="shared" si="1"/>
        <v>2500</v>
      </c>
      <c r="N136" s="55" t="str">
        <f t="shared" si="2"/>
        <v>2500grams</v>
      </c>
      <c r="O136" s="56">
        <f t="shared" si="3"/>
        <v>350</v>
      </c>
      <c r="P136" s="44">
        <f t="shared" si="20"/>
        <v>35</v>
      </c>
      <c r="Q136" s="62">
        <f>G136-P136</f>
        <v>0</v>
      </c>
      <c r="R136" s="32" t="b">
        <f>P136=G136</f>
        <v>1</v>
      </c>
      <c r="S136" s="32"/>
      <c r="T136" s="32"/>
      <c r="U136" s="32"/>
      <c r="V136" s="32"/>
      <c r="W136" s="32"/>
      <c r="X136" s="32"/>
      <c r="Y136" s="32"/>
      <c r="Z136" s="32"/>
    </row>
    <row r="137" spans="1:26" ht="15" customHeight="1" x14ac:dyDescent="0.3">
      <c r="A137" s="45"/>
      <c r="B137" s="46" t="s">
        <v>164</v>
      </c>
      <c r="C137" s="194" t="s">
        <v>2023</v>
      </c>
      <c r="D137" s="46"/>
      <c r="E137" s="46" t="s">
        <v>910</v>
      </c>
      <c r="F137" s="61" t="s">
        <v>31</v>
      </c>
      <c r="G137" s="288">
        <v>31</v>
      </c>
      <c r="H137" s="289">
        <v>3</v>
      </c>
      <c r="I137" s="290">
        <v>250</v>
      </c>
      <c r="J137" s="420" t="s">
        <v>39</v>
      </c>
      <c r="K137" s="50"/>
      <c r="L137" s="53" t="str">
        <f t="shared" si="0"/>
        <v>250grams</v>
      </c>
      <c r="M137" s="54">
        <f t="shared" si="1"/>
        <v>750</v>
      </c>
      <c r="N137" s="55" t="str">
        <f t="shared" si="2"/>
        <v>750grams</v>
      </c>
      <c r="O137" s="56">
        <f t="shared" si="3"/>
        <v>93</v>
      </c>
      <c r="P137" s="12"/>
      <c r="Q137" s="12"/>
      <c r="R137" s="12"/>
      <c r="S137" s="151"/>
      <c r="T137" s="12"/>
      <c r="U137" s="12"/>
      <c r="V137" s="12"/>
      <c r="W137" s="12"/>
      <c r="X137" s="12"/>
      <c r="Y137" s="12"/>
      <c r="Z137" s="12"/>
    </row>
    <row r="138" spans="1:26" ht="15" customHeight="1" x14ac:dyDescent="0.3">
      <c r="A138" s="45">
        <v>264</v>
      </c>
      <c r="B138" s="46" t="s">
        <v>164</v>
      </c>
      <c r="C138" s="194" t="s">
        <v>2025</v>
      </c>
      <c r="D138" s="46"/>
      <c r="E138" s="46" t="s">
        <v>910</v>
      </c>
      <c r="F138" s="61" t="s">
        <v>31</v>
      </c>
      <c r="G138" s="288">
        <v>31</v>
      </c>
      <c r="H138" s="289">
        <v>6</v>
      </c>
      <c r="I138" s="290">
        <v>250</v>
      </c>
      <c r="J138" s="48" t="s">
        <v>39</v>
      </c>
      <c r="K138" s="50"/>
      <c r="L138" s="53" t="str">
        <f t="shared" si="0"/>
        <v>250grams</v>
      </c>
      <c r="M138" s="54">
        <f t="shared" si="1"/>
        <v>1500</v>
      </c>
      <c r="N138" s="55" t="str">
        <f t="shared" si="2"/>
        <v>1500grams</v>
      </c>
      <c r="O138" s="56">
        <f t="shared" si="3"/>
        <v>186</v>
      </c>
      <c r="P138" s="44">
        <f t="shared" ref="P138:P139" si="21">O138/H138</f>
        <v>31</v>
      </c>
      <c r="Q138" s="66"/>
      <c r="R138" s="32"/>
      <c r="S138" s="32"/>
      <c r="T138" s="32"/>
      <c r="U138" s="32"/>
      <c r="V138" s="32"/>
      <c r="W138" s="32"/>
      <c r="X138" s="32"/>
      <c r="Y138" s="32"/>
      <c r="Z138" s="32"/>
    </row>
    <row r="139" spans="1:26" ht="15" customHeight="1" x14ac:dyDescent="0.3">
      <c r="A139" s="45">
        <v>655</v>
      </c>
      <c r="B139" s="46" t="s">
        <v>911</v>
      </c>
      <c r="C139" s="194" t="s">
        <v>2026</v>
      </c>
      <c r="D139" s="46"/>
      <c r="E139" s="46"/>
      <c r="F139" s="61" t="s">
        <v>31</v>
      </c>
      <c r="G139" s="288">
        <v>700</v>
      </c>
      <c r="H139" s="289">
        <v>0</v>
      </c>
      <c r="I139" s="290">
        <v>1000</v>
      </c>
      <c r="J139" s="48" t="s">
        <v>39</v>
      </c>
      <c r="K139" s="50"/>
      <c r="L139" s="53" t="str">
        <f t="shared" si="0"/>
        <v>1000grams</v>
      </c>
      <c r="M139" s="54">
        <f t="shared" si="1"/>
        <v>0</v>
      </c>
      <c r="N139" s="55" t="str">
        <f t="shared" si="2"/>
        <v>0grams</v>
      </c>
      <c r="O139" s="56">
        <f t="shared" si="3"/>
        <v>0</v>
      </c>
      <c r="P139" s="44" t="e">
        <f t="shared" si="21"/>
        <v>#DIV/0!</v>
      </c>
      <c r="Q139" s="66"/>
      <c r="R139" s="32" t="e">
        <f>P139=G139</f>
        <v>#DIV/0!</v>
      </c>
      <c r="S139" s="32"/>
      <c r="T139" s="32"/>
      <c r="U139" s="32"/>
      <c r="V139" s="32"/>
      <c r="W139" s="32"/>
      <c r="X139" s="32"/>
      <c r="Y139" s="32"/>
      <c r="Z139" s="32"/>
    </row>
    <row r="140" spans="1:26" ht="15" customHeight="1" x14ac:dyDescent="0.3">
      <c r="A140" s="45"/>
      <c r="B140" s="46" t="s">
        <v>911</v>
      </c>
      <c r="C140" s="194" t="s">
        <v>2023</v>
      </c>
      <c r="D140" s="46"/>
      <c r="E140" s="46"/>
      <c r="F140" s="61" t="s">
        <v>31</v>
      </c>
      <c r="G140" s="288">
        <v>195</v>
      </c>
      <c r="H140" s="289">
        <v>0</v>
      </c>
      <c r="I140" s="290">
        <v>1000</v>
      </c>
      <c r="J140" s="48" t="s">
        <v>39</v>
      </c>
      <c r="K140" s="50"/>
      <c r="L140" s="53" t="str">
        <f t="shared" si="0"/>
        <v>1000grams</v>
      </c>
      <c r="M140" s="54">
        <f t="shared" si="1"/>
        <v>0</v>
      </c>
      <c r="N140" s="55" t="str">
        <f t="shared" si="2"/>
        <v>0grams</v>
      </c>
      <c r="O140" s="56">
        <f t="shared" si="3"/>
        <v>0</v>
      </c>
      <c r="P140" s="44"/>
      <c r="Q140" s="12"/>
      <c r="R140" s="12"/>
      <c r="S140" s="151"/>
      <c r="T140" s="12"/>
      <c r="U140" s="12"/>
      <c r="V140" s="12"/>
      <c r="W140" s="12"/>
      <c r="X140" s="12"/>
      <c r="Y140" s="12"/>
      <c r="Z140" s="12"/>
    </row>
    <row r="141" spans="1:26" ht="15" customHeight="1" x14ac:dyDescent="0.3">
      <c r="A141" s="45"/>
      <c r="B141" s="46" t="s">
        <v>911</v>
      </c>
      <c r="C141" s="194" t="s">
        <v>2022</v>
      </c>
      <c r="D141" s="46"/>
      <c r="E141" s="46" t="s">
        <v>912</v>
      </c>
      <c r="F141" s="61" t="s">
        <v>31</v>
      </c>
      <c r="G141" s="288">
        <v>195</v>
      </c>
      <c r="H141" s="289">
        <v>0</v>
      </c>
      <c r="I141" s="290">
        <v>1000</v>
      </c>
      <c r="J141" s="48" t="s">
        <v>39</v>
      </c>
      <c r="K141" s="50"/>
      <c r="L141" s="53" t="str">
        <f t="shared" si="0"/>
        <v>1000grams</v>
      </c>
      <c r="M141" s="54">
        <f t="shared" si="1"/>
        <v>0</v>
      </c>
      <c r="N141" s="55" t="str">
        <f t="shared" si="2"/>
        <v>0grams</v>
      </c>
      <c r="O141" s="56">
        <f t="shared" si="3"/>
        <v>0</v>
      </c>
      <c r="P141" s="12"/>
      <c r="Q141" s="12"/>
      <c r="R141" s="12"/>
      <c r="S141" s="151"/>
      <c r="T141" s="12"/>
      <c r="U141" s="12"/>
      <c r="V141" s="12"/>
      <c r="W141" s="12"/>
      <c r="X141" s="12"/>
      <c r="Y141" s="12"/>
      <c r="Z141" s="12"/>
    </row>
    <row r="142" spans="1:26" ht="15" customHeight="1" x14ac:dyDescent="0.3">
      <c r="A142" s="45">
        <v>372</v>
      </c>
      <c r="B142" s="46" t="s">
        <v>913</v>
      </c>
      <c r="C142" s="194" t="s">
        <v>2025</v>
      </c>
      <c r="D142" s="46"/>
      <c r="E142" s="46"/>
      <c r="F142" s="61" t="s">
        <v>31</v>
      </c>
      <c r="G142" s="288">
        <v>7</v>
      </c>
      <c r="H142" s="289">
        <v>8</v>
      </c>
      <c r="I142" s="290">
        <v>1</v>
      </c>
      <c r="J142" s="48" t="s">
        <v>92</v>
      </c>
      <c r="K142" s="50"/>
      <c r="L142" s="53" t="str">
        <f t="shared" si="0"/>
        <v>1pieces</v>
      </c>
      <c r="M142" s="54">
        <f t="shared" si="1"/>
        <v>8</v>
      </c>
      <c r="N142" s="55" t="str">
        <f t="shared" si="2"/>
        <v>8pieces</v>
      </c>
      <c r="O142" s="56">
        <f t="shared" si="3"/>
        <v>56</v>
      </c>
      <c r="P142" s="44">
        <f t="shared" ref="P142:P143" si="22">O142/H142</f>
        <v>7</v>
      </c>
      <c r="Q142" s="66"/>
      <c r="R142" s="32" t="b">
        <f>P142=G142</f>
        <v>1</v>
      </c>
      <c r="S142" s="32"/>
      <c r="T142" s="32"/>
      <c r="U142" s="32"/>
      <c r="V142" s="32"/>
      <c r="W142" s="32"/>
      <c r="X142" s="32"/>
      <c r="Y142" s="32"/>
      <c r="Z142" s="32"/>
    </row>
    <row r="143" spans="1:26" ht="15" customHeight="1" x14ac:dyDescent="0.3">
      <c r="A143" s="45">
        <v>568</v>
      </c>
      <c r="B143" s="46" t="s">
        <v>914</v>
      </c>
      <c r="C143" s="194" t="s">
        <v>2026</v>
      </c>
      <c r="D143" s="46"/>
      <c r="E143" s="46" t="s">
        <v>915</v>
      </c>
      <c r="F143" s="61" t="s">
        <v>31</v>
      </c>
      <c r="G143" s="288">
        <v>10</v>
      </c>
      <c r="H143" s="289">
        <v>33</v>
      </c>
      <c r="I143" s="290">
        <v>1</v>
      </c>
      <c r="J143" s="48" t="s">
        <v>92</v>
      </c>
      <c r="K143" s="50"/>
      <c r="L143" s="53" t="str">
        <f t="shared" si="0"/>
        <v>1pieces</v>
      </c>
      <c r="M143" s="54">
        <f t="shared" si="1"/>
        <v>33</v>
      </c>
      <c r="N143" s="55" t="str">
        <f t="shared" si="2"/>
        <v>33pieces</v>
      </c>
      <c r="O143" s="56">
        <f t="shared" si="3"/>
        <v>330</v>
      </c>
      <c r="P143" s="44">
        <f t="shared" si="22"/>
        <v>10</v>
      </c>
      <c r="Q143" s="66"/>
      <c r="R143" s="32"/>
      <c r="S143" s="32"/>
      <c r="T143" s="32"/>
      <c r="U143" s="32"/>
      <c r="V143" s="32"/>
      <c r="W143" s="32"/>
      <c r="X143" s="32"/>
      <c r="Y143" s="32"/>
      <c r="Z143" s="32"/>
    </row>
    <row r="144" spans="1:26" ht="15" customHeight="1" x14ac:dyDescent="0.3">
      <c r="A144" s="45"/>
      <c r="B144" s="219" t="s">
        <v>916</v>
      </c>
      <c r="C144" s="194" t="s">
        <v>2021</v>
      </c>
      <c r="D144" s="46"/>
      <c r="E144" s="219" t="s">
        <v>917</v>
      </c>
      <c r="F144" s="61" t="s">
        <v>31</v>
      </c>
      <c r="G144" s="291">
        <v>102</v>
      </c>
      <c r="H144" s="292">
        <v>3</v>
      </c>
      <c r="I144" s="293">
        <v>500</v>
      </c>
      <c r="J144" s="414" t="s">
        <v>39</v>
      </c>
      <c r="K144" s="50"/>
      <c r="L144" s="53" t="str">
        <f t="shared" si="0"/>
        <v>500grams</v>
      </c>
      <c r="M144" s="54">
        <f t="shared" si="1"/>
        <v>1500</v>
      </c>
      <c r="N144" s="55" t="str">
        <f t="shared" si="2"/>
        <v>1500grams</v>
      </c>
      <c r="O144" s="56">
        <f t="shared" si="3"/>
        <v>306</v>
      </c>
      <c r="P144" s="12"/>
      <c r="Q144" s="12"/>
      <c r="R144" s="12"/>
      <c r="S144" s="151"/>
      <c r="T144" s="12"/>
      <c r="U144" s="12"/>
      <c r="V144" s="12"/>
      <c r="W144" s="12"/>
      <c r="X144" s="12"/>
      <c r="Y144" s="12"/>
      <c r="Z144" s="12"/>
    </row>
    <row r="145" spans="1:26" ht="15" customHeight="1" x14ac:dyDescent="0.3">
      <c r="A145" s="45"/>
      <c r="B145" s="219" t="s">
        <v>916</v>
      </c>
      <c r="C145" s="194" t="s">
        <v>2021</v>
      </c>
      <c r="D145" s="46"/>
      <c r="E145" s="219" t="s">
        <v>918</v>
      </c>
      <c r="F145" s="61" t="s">
        <v>31</v>
      </c>
      <c r="G145" s="291">
        <v>89</v>
      </c>
      <c r="H145" s="292">
        <v>2</v>
      </c>
      <c r="I145" s="293">
        <v>320</v>
      </c>
      <c r="J145" s="414" t="s">
        <v>39</v>
      </c>
      <c r="K145" s="50"/>
      <c r="L145" s="53" t="str">
        <f t="shared" si="0"/>
        <v>320grams</v>
      </c>
      <c r="M145" s="54">
        <f t="shared" si="1"/>
        <v>640</v>
      </c>
      <c r="N145" s="55" t="str">
        <f t="shared" si="2"/>
        <v>640grams</v>
      </c>
      <c r="O145" s="56">
        <f t="shared" si="3"/>
        <v>178</v>
      </c>
      <c r="P145" s="12"/>
      <c r="Q145" s="12"/>
      <c r="R145" s="12"/>
      <c r="S145" s="151"/>
      <c r="T145" s="12"/>
      <c r="U145" s="12"/>
      <c r="V145" s="12"/>
      <c r="W145" s="12"/>
      <c r="X145" s="12"/>
      <c r="Y145" s="12"/>
      <c r="Z145" s="12"/>
    </row>
    <row r="146" spans="1:26" ht="15" customHeight="1" x14ac:dyDescent="0.3">
      <c r="A146" s="45">
        <v>57</v>
      </c>
      <c r="B146" s="46" t="s">
        <v>318</v>
      </c>
      <c r="C146" s="194" t="s">
        <v>29</v>
      </c>
      <c r="D146" s="46"/>
      <c r="E146" s="46" t="s">
        <v>919</v>
      </c>
      <c r="F146" s="61" t="s">
        <v>31</v>
      </c>
      <c r="G146" s="288">
        <v>41.9</v>
      </c>
      <c r="H146" s="289">
        <v>6</v>
      </c>
      <c r="I146" s="290">
        <v>500</v>
      </c>
      <c r="J146" s="48" t="s">
        <v>39</v>
      </c>
      <c r="K146" s="183" t="s">
        <v>2019</v>
      </c>
      <c r="L146" s="415" t="str">
        <f t="shared" si="0"/>
        <v>500grams</v>
      </c>
      <c r="M146" s="416">
        <f t="shared" si="1"/>
        <v>3000</v>
      </c>
      <c r="N146" s="417" t="str">
        <f t="shared" si="2"/>
        <v>3000grams</v>
      </c>
      <c r="O146" s="418">
        <f t="shared" si="3"/>
        <v>251.39999999999998</v>
      </c>
      <c r="P146" s="425">
        <f t="shared" ref="P146:P149" si="23">O146/H146</f>
        <v>41.9</v>
      </c>
      <c r="Q146" s="66"/>
      <c r="R146" s="32" t="b">
        <f>P146=G146</f>
        <v>1</v>
      </c>
      <c r="S146" s="32"/>
      <c r="T146" s="32"/>
      <c r="V146" s="32"/>
      <c r="W146" s="32"/>
      <c r="X146" s="32"/>
      <c r="Y146" s="32"/>
      <c r="Z146" s="32"/>
    </row>
    <row r="147" spans="1:26" ht="15" customHeight="1" x14ac:dyDescent="0.3">
      <c r="A147" s="45">
        <v>106</v>
      </c>
      <c r="B147" s="46" t="s">
        <v>318</v>
      </c>
      <c r="C147" s="194" t="s">
        <v>2024</v>
      </c>
      <c r="D147" s="46"/>
      <c r="E147" s="46" t="s">
        <v>919</v>
      </c>
      <c r="F147" s="61" t="s">
        <v>31</v>
      </c>
      <c r="G147" s="288">
        <v>41.9</v>
      </c>
      <c r="H147" s="289">
        <v>28</v>
      </c>
      <c r="I147" s="290">
        <v>500</v>
      </c>
      <c r="J147" s="48" t="s">
        <v>39</v>
      </c>
      <c r="K147" s="50"/>
      <c r="L147" s="53" t="str">
        <f t="shared" si="0"/>
        <v>500grams</v>
      </c>
      <c r="M147" s="54">
        <f t="shared" si="1"/>
        <v>14000</v>
      </c>
      <c r="N147" s="55" t="str">
        <f t="shared" si="2"/>
        <v>14000grams</v>
      </c>
      <c r="O147" s="56">
        <f t="shared" si="3"/>
        <v>1173.2</v>
      </c>
      <c r="P147" s="44">
        <f t="shared" si="23"/>
        <v>41.9</v>
      </c>
      <c r="Q147" s="66"/>
      <c r="R147" s="32"/>
      <c r="S147" s="32"/>
      <c r="T147" s="32"/>
      <c r="U147" s="32"/>
      <c r="V147" s="32"/>
      <c r="W147" s="32"/>
      <c r="X147" s="32"/>
      <c r="Y147" s="32"/>
      <c r="Z147" s="32"/>
    </row>
    <row r="148" spans="1:26" ht="15" customHeight="1" x14ac:dyDescent="0.3">
      <c r="A148" s="45">
        <v>356</v>
      </c>
      <c r="B148" s="46" t="s">
        <v>318</v>
      </c>
      <c r="C148" s="194" t="s">
        <v>2025</v>
      </c>
      <c r="D148" s="46"/>
      <c r="E148" s="46" t="s">
        <v>919</v>
      </c>
      <c r="F148" s="61" t="s">
        <v>31</v>
      </c>
      <c r="G148" s="288">
        <v>41.9</v>
      </c>
      <c r="H148" s="289">
        <v>4</v>
      </c>
      <c r="I148" s="290">
        <v>500</v>
      </c>
      <c r="J148" s="48" t="s">
        <v>39</v>
      </c>
      <c r="K148" s="50"/>
      <c r="L148" s="53" t="str">
        <f t="shared" si="0"/>
        <v>500grams</v>
      </c>
      <c r="M148" s="54">
        <f t="shared" si="1"/>
        <v>2000</v>
      </c>
      <c r="N148" s="55" t="str">
        <f t="shared" si="2"/>
        <v>2000grams</v>
      </c>
      <c r="O148" s="56">
        <f t="shared" si="3"/>
        <v>167.6</v>
      </c>
      <c r="P148" s="44">
        <f t="shared" si="23"/>
        <v>41.9</v>
      </c>
      <c r="Q148" s="66"/>
      <c r="R148" s="32" t="b">
        <f>P148=G148</f>
        <v>1</v>
      </c>
      <c r="S148" s="32"/>
      <c r="T148" s="32"/>
      <c r="U148" s="32"/>
      <c r="V148" s="32"/>
      <c r="W148" s="32"/>
      <c r="X148" s="32"/>
      <c r="Y148" s="32"/>
      <c r="Z148" s="32"/>
    </row>
    <row r="149" spans="1:26" ht="15" customHeight="1" x14ac:dyDescent="0.3">
      <c r="A149" s="45">
        <v>761</v>
      </c>
      <c r="B149" s="46" t="s">
        <v>318</v>
      </c>
      <c r="C149" s="194" t="s">
        <v>2026</v>
      </c>
      <c r="D149" s="46"/>
      <c r="E149" s="46" t="s">
        <v>919</v>
      </c>
      <c r="F149" s="61" t="s">
        <v>31</v>
      </c>
      <c r="G149" s="288">
        <v>41.9</v>
      </c>
      <c r="H149" s="289">
        <v>2</v>
      </c>
      <c r="I149" s="290">
        <v>500</v>
      </c>
      <c r="J149" s="48" t="s">
        <v>39</v>
      </c>
      <c r="K149" s="50"/>
      <c r="L149" s="53" t="str">
        <f t="shared" si="0"/>
        <v>500grams</v>
      </c>
      <c r="M149" s="54">
        <f t="shared" si="1"/>
        <v>1000</v>
      </c>
      <c r="N149" s="55" t="str">
        <f t="shared" si="2"/>
        <v>1000grams</v>
      </c>
      <c r="O149" s="56">
        <f t="shared" si="3"/>
        <v>83.8</v>
      </c>
      <c r="P149" s="44">
        <f t="shared" si="23"/>
        <v>41.9</v>
      </c>
      <c r="Q149" s="66"/>
      <c r="R149" s="32"/>
      <c r="S149" s="32"/>
      <c r="T149" s="32"/>
      <c r="U149" s="32"/>
      <c r="V149" s="32"/>
      <c r="W149" s="32"/>
      <c r="X149" s="32"/>
      <c r="Y149" s="32"/>
      <c r="Z149" s="32"/>
    </row>
    <row r="150" spans="1:26" ht="15" customHeight="1" x14ac:dyDescent="0.3">
      <c r="A150" s="45">
        <v>913</v>
      </c>
      <c r="B150" s="46" t="s">
        <v>318</v>
      </c>
      <c r="C150" s="194" t="s">
        <v>1368</v>
      </c>
      <c r="D150" s="46"/>
      <c r="E150" s="46" t="s">
        <v>920</v>
      </c>
      <c r="F150" s="61" t="s">
        <v>31</v>
      </c>
      <c r="G150" s="288">
        <v>78.5</v>
      </c>
      <c r="H150" s="289">
        <v>1</v>
      </c>
      <c r="I150" s="290">
        <v>907</v>
      </c>
      <c r="J150" s="48" t="s">
        <v>39</v>
      </c>
      <c r="K150" s="50"/>
      <c r="L150" s="53" t="str">
        <f t="shared" si="0"/>
        <v>907grams</v>
      </c>
      <c r="M150" s="54">
        <f t="shared" si="1"/>
        <v>907</v>
      </c>
      <c r="N150" s="55" t="str">
        <f t="shared" si="2"/>
        <v>907grams</v>
      </c>
      <c r="O150" s="56">
        <f t="shared" si="3"/>
        <v>78.5</v>
      </c>
      <c r="P150" s="44"/>
      <c r="Q150" s="66"/>
      <c r="R150" s="32"/>
      <c r="S150" s="32"/>
      <c r="T150" s="32"/>
      <c r="U150" s="32"/>
      <c r="V150" s="32"/>
      <c r="W150" s="32"/>
      <c r="X150" s="32"/>
      <c r="Y150" s="32"/>
      <c r="Z150" s="32"/>
    </row>
    <row r="151" spans="1:26" ht="15" customHeight="1" x14ac:dyDescent="0.3">
      <c r="A151" s="45"/>
      <c r="B151" s="46" t="s">
        <v>318</v>
      </c>
      <c r="C151" s="194" t="s">
        <v>2023</v>
      </c>
      <c r="D151" s="46"/>
      <c r="E151" s="46" t="s">
        <v>919</v>
      </c>
      <c r="F151" s="61" t="s">
        <v>31</v>
      </c>
      <c r="G151" s="288">
        <v>41.9</v>
      </c>
      <c r="H151" s="289">
        <v>7</v>
      </c>
      <c r="I151" s="290">
        <v>500</v>
      </c>
      <c r="J151" s="48" t="s">
        <v>39</v>
      </c>
      <c r="K151" s="50"/>
      <c r="L151" s="53" t="str">
        <f t="shared" si="0"/>
        <v>500grams</v>
      </c>
      <c r="M151" s="54">
        <f t="shared" si="1"/>
        <v>3500</v>
      </c>
      <c r="N151" s="55" t="str">
        <f t="shared" si="2"/>
        <v>3500grams</v>
      </c>
      <c r="O151" s="56">
        <f t="shared" si="3"/>
        <v>293.3</v>
      </c>
      <c r="P151" s="12"/>
      <c r="Q151" s="12"/>
      <c r="R151" s="12"/>
      <c r="S151" s="151"/>
      <c r="T151" s="12"/>
      <c r="U151" s="12"/>
      <c r="V151" s="12"/>
      <c r="W151" s="12"/>
      <c r="X151" s="12"/>
      <c r="Y151" s="12"/>
      <c r="Z151" s="12"/>
    </row>
    <row r="152" spans="1:26" ht="15" customHeight="1" x14ac:dyDescent="0.3">
      <c r="A152" s="45"/>
      <c r="B152" s="46" t="s">
        <v>318</v>
      </c>
      <c r="C152" s="194" t="s">
        <v>2022</v>
      </c>
      <c r="D152" s="46"/>
      <c r="E152" s="46" t="s">
        <v>912</v>
      </c>
      <c r="F152" s="61" t="s">
        <v>31</v>
      </c>
      <c r="G152" s="288">
        <v>45</v>
      </c>
      <c r="H152" s="289">
        <v>7</v>
      </c>
      <c r="I152" s="290">
        <v>500</v>
      </c>
      <c r="J152" s="48" t="s">
        <v>39</v>
      </c>
      <c r="K152" s="50"/>
      <c r="L152" s="53" t="str">
        <f t="shared" si="0"/>
        <v>500grams</v>
      </c>
      <c r="M152" s="54">
        <f t="shared" si="1"/>
        <v>3500</v>
      </c>
      <c r="N152" s="55" t="str">
        <f t="shared" si="2"/>
        <v>3500grams</v>
      </c>
      <c r="O152" s="56">
        <f t="shared" si="3"/>
        <v>315</v>
      </c>
      <c r="P152" s="12"/>
      <c r="Q152" s="12"/>
      <c r="R152" s="12"/>
      <c r="S152" s="151"/>
      <c r="T152" s="12"/>
      <c r="U152" s="12"/>
      <c r="V152" s="12"/>
      <c r="W152" s="12"/>
      <c r="X152" s="12"/>
      <c r="Y152" s="12"/>
      <c r="Z152" s="12"/>
    </row>
    <row r="153" spans="1:26" ht="15" customHeight="1" x14ac:dyDescent="0.3">
      <c r="A153" s="45"/>
      <c r="B153" s="46" t="s">
        <v>318</v>
      </c>
      <c r="C153" s="194" t="s">
        <v>2021</v>
      </c>
      <c r="D153" s="46"/>
      <c r="E153" s="219" t="s">
        <v>919</v>
      </c>
      <c r="F153" s="61" t="s">
        <v>31</v>
      </c>
      <c r="G153" s="291">
        <v>42</v>
      </c>
      <c r="H153" s="292">
        <v>3</v>
      </c>
      <c r="I153" s="293">
        <v>500</v>
      </c>
      <c r="J153" s="414" t="s">
        <v>39</v>
      </c>
      <c r="K153" s="50"/>
      <c r="L153" s="53" t="str">
        <f t="shared" si="0"/>
        <v>500grams</v>
      </c>
      <c r="M153" s="54">
        <f t="shared" si="1"/>
        <v>1500</v>
      </c>
      <c r="N153" s="55" t="str">
        <f t="shared" si="2"/>
        <v>1500grams</v>
      </c>
      <c r="O153" s="56">
        <f t="shared" si="3"/>
        <v>126</v>
      </c>
      <c r="P153" s="12"/>
      <c r="Q153" s="12"/>
      <c r="R153" s="12"/>
      <c r="S153" s="151"/>
      <c r="T153" s="12"/>
      <c r="U153" s="12"/>
      <c r="V153" s="12"/>
      <c r="W153" s="12"/>
      <c r="X153" s="12"/>
      <c r="Y153" s="12"/>
      <c r="Z153" s="12"/>
    </row>
    <row r="154" spans="1:26" ht="15" customHeight="1" x14ac:dyDescent="0.3">
      <c r="A154" s="45"/>
      <c r="B154" s="46" t="s">
        <v>318</v>
      </c>
      <c r="C154" s="194" t="s">
        <v>2020</v>
      </c>
      <c r="D154" s="46"/>
      <c r="E154" s="46" t="s">
        <v>919</v>
      </c>
      <c r="F154" s="61" t="s">
        <v>31</v>
      </c>
      <c r="G154" s="288">
        <v>41.9</v>
      </c>
      <c r="H154" s="289">
        <v>3</v>
      </c>
      <c r="I154" s="290">
        <v>500</v>
      </c>
      <c r="J154" s="48" t="s">
        <v>39</v>
      </c>
      <c r="K154" s="50"/>
      <c r="L154" s="53" t="str">
        <f t="shared" si="0"/>
        <v>500grams</v>
      </c>
      <c r="M154" s="54">
        <f t="shared" si="1"/>
        <v>1500</v>
      </c>
      <c r="N154" s="55" t="str">
        <f t="shared" si="2"/>
        <v>1500grams</v>
      </c>
      <c r="O154" s="56">
        <f t="shared" si="3"/>
        <v>125.69999999999999</v>
      </c>
      <c r="P154" s="12"/>
      <c r="Q154" s="12"/>
      <c r="R154" s="12"/>
      <c r="S154" s="151"/>
      <c r="T154" s="12"/>
      <c r="U154" s="12"/>
      <c r="V154" s="12"/>
      <c r="W154" s="12"/>
      <c r="X154" s="12"/>
      <c r="Y154" s="12"/>
      <c r="Z154" s="12"/>
    </row>
    <row r="155" spans="1:26" ht="15" customHeight="1" x14ac:dyDescent="0.3">
      <c r="A155" s="45"/>
      <c r="B155" s="219" t="s">
        <v>921</v>
      </c>
      <c r="C155" s="194" t="s">
        <v>2021</v>
      </c>
      <c r="D155" s="46"/>
      <c r="E155" s="219" t="s">
        <v>922</v>
      </c>
      <c r="F155" s="61" t="s">
        <v>31</v>
      </c>
      <c r="G155" s="291">
        <v>12.1</v>
      </c>
      <c r="H155" s="292">
        <v>1</v>
      </c>
      <c r="I155" s="293">
        <v>1</v>
      </c>
      <c r="J155" s="414" t="s">
        <v>92</v>
      </c>
      <c r="K155" s="50"/>
      <c r="L155" s="53" t="str">
        <f t="shared" si="0"/>
        <v>1pieces</v>
      </c>
      <c r="M155" s="54">
        <f t="shared" si="1"/>
        <v>1</v>
      </c>
      <c r="N155" s="55" t="str">
        <f t="shared" si="2"/>
        <v>1pieces</v>
      </c>
      <c r="O155" s="56">
        <f t="shared" si="3"/>
        <v>12.1</v>
      </c>
      <c r="P155" s="12"/>
      <c r="Q155" s="12"/>
      <c r="R155" s="12"/>
      <c r="S155" s="151"/>
      <c r="T155" s="12"/>
      <c r="U155" s="12"/>
      <c r="V155" s="12"/>
      <c r="W155" s="12"/>
      <c r="X155" s="12"/>
      <c r="Y155" s="12"/>
      <c r="Z155" s="12"/>
    </row>
    <row r="156" spans="1:26" ht="15" customHeight="1" x14ac:dyDescent="0.3">
      <c r="A156" s="45"/>
      <c r="B156" s="219" t="s">
        <v>921</v>
      </c>
      <c r="C156" s="194" t="s">
        <v>2021</v>
      </c>
      <c r="D156" s="46"/>
      <c r="E156" s="219" t="s">
        <v>724</v>
      </c>
      <c r="F156" s="61" t="s">
        <v>31</v>
      </c>
      <c r="G156" s="291">
        <v>25.52</v>
      </c>
      <c r="H156" s="292">
        <v>2</v>
      </c>
      <c r="I156" s="293">
        <v>20</v>
      </c>
      <c r="J156" s="414" t="s">
        <v>39</v>
      </c>
      <c r="K156" s="50"/>
      <c r="L156" s="53" t="str">
        <f t="shared" si="0"/>
        <v>20grams</v>
      </c>
      <c r="M156" s="54">
        <f t="shared" si="1"/>
        <v>40</v>
      </c>
      <c r="N156" s="55" t="str">
        <f t="shared" si="2"/>
        <v>40grams</v>
      </c>
      <c r="O156" s="56">
        <f t="shared" si="3"/>
        <v>51.04</v>
      </c>
      <c r="P156" s="12"/>
      <c r="Q156" s="12"/>
      <c r="R156" s="12"/>
      <c r="S156" s="151"/>
      <c r="T156" s="12"/>
      <c r="U156" s="12"/>
      <c r="V156" s="12"/>
      <c r="W156" s="12"/>
      <c r="X156" s="12"/>
      <c r="Y156" s="12"/>
      <c r="Z156" s="12"/>
    </row>
    <row r="157" spans="1:26" ht="15" customHeight="1" x14ac:dyDescent="0.3">
      <c r="A157" s="45"/>
      <c r="B157" s="219" t="s">
        <v>923</v>
      </c>
      <c r="C157" s="194" t="s">
        <v>2021</v>
      </c>
      <c r="D157" s="46"/>
      <c r="E157" s="219" t="s">
        <v>724</v>
      </c>
      <c r="F157" s="61" t="s">
        <v>31</v>
      </c>
      <c r="G157" s="291">
        <v>25.52</v>
      </c>
      <c r="H157" s="292">
        <v>3</v>
      </c>
      <c r="I157" s="293">
        <v>19</v>
      </c>
      <c r="J157" s="414" t="s">
        <v>39</v>
      </c>
      <c r="K157" s="50"/>
      <c r="L157" s="53" t="str">
        <f t="shared" si="0"/>
        <v>19grams</v>
      </c>
      <c r="M157" s="54">
        <f t="shared" si="1"/>
        <v>57</v>
      </c>
      <c r="N157" s="55" t="str">
        <f t="shared" si="2"/>
        <v>57grams</v>
      </c>
      <c r="O157" s="56">
        <f t="shared" si="3"/>
        <v>76.56</v>
      </c>
      <c r="P157" s="12"/>
      <c r="Q157" s="12"/>
      <c r="R157" s="12"/>
      <c r="S157" s="151"/>
      <c r="T157" s="12"/>
      <c r="U157" s="12"/>
      <c r="V157" s="12"/>
      <c r="W157" s="12"/>
      <c r="X157" s="12"/>
      <c r="Y157" s="12"/>
      <c r="Z157" s="12"/>
    </row>
    <row r="158" spans="1:26" ht="15" customHeight="1" x14ac:dyDescent="0.3">
      <c r="A158" s="45"/>
      <c r="B158" s="46" t="s">
        <v>924</v>
      </c>
      <c r="C158" s="194" t="s">
        <v>2023</v>
      </c>
      <c r="D158" s="46"/>
      <c r="E158" s="46" t="s">
        <v>925</v>
      </c>
      <c r="F158" s="61" t="s">
        <v>31</v>
      </c>
      <c r="G158" s="288">
        <v>6</v>
      </c>
      <c r="H158" s="289">
        <v>154</v>
      </c>
      <c r="I158" s="290">
        <v>10</v>
      </c>
      <c r="J158" s="48" t="s">
        <v>92</v>
      </c>
      <c r="K158" s="50"/>
      <c r="L158" s="53" t="str">
        <f t="shared" si="0"/>
        <v>10pieces</v>
      </c>
      <c r="M158" s="54">
        <f t="shared" si="1"/>
        <v>1540</v>
      </c>
      <c r="N158" s="55" t="str">
        <f t="shared" si="2"/>
        <v>1540pieces</v>
      </c>
      <c r="O158" s="56">
        <f t="shared" si="3"/>
        <v>924</v>
      </c>
      <c r="P158" s="12"/>
      <c r="Q158" s="12"/>
      <c r="R158" s="12"/>
      <c r="S158" s="151"/>
      <c r="T158" s="12"/>
      <c r="U158" s="12"/>
      <c r="V158" s="12"/>
      <c r="W158" s="12"/>
      <c r="X158" s="12"/>
      <c r="Y158" s="12"/>
      <c r="Z158" s="12"/>
    </row>
    <row r="159" spans="1:26" ht="15" customHeight="1" x14ac:dyDescent="0.3">
      <c r="A159" s="45"/>
      <c r="B159" s="46" t="s">
        <v>924</v>
      </c>
      <c r="C159" s="194" t="s">
        <v>2023</v>
      </c>
      <c r="D159" s="46"/>
      <c r="E159" s="46" t="s">
        <v>926</v>
      </c>
      <c r="F159" s="61" t="s">
        <v>31</v>
      </c>
      <c r="G159" s="288">
        <v>6</v>
      </c>
      <c r="H159" s="289">
        <v>100</v>
      </c>
      <c r="I159" s="290">
        <v>10</v>
      </c>
      <c r="J159" s="48" t="s">
        <v>92</v>
      </c>
      <c r="K159" s="50"/>
      <c r="L159" s="53" t="str">
        <f t="shared" si="0"/>
        <v>10pieces</v>
      </c>
      <c r="M159" s="54">
        <f t="shared" si="1"/>
        <v>1000</v>
      </c>
      <c r="N159" s="55" t="str">
        <f t="shared" si="2"/>
        <v>1000pieces</v>
      </c>
      <c r="O159" s="56">
        <f t="shared" si="3"/>
        <v>600</v>
      </c>
      <c r="P159" s="12"/>
      <c r="Q159" s="12"/>
      <c r="R159" s="12"/>
      <c r="S159" s="151"/>
      <c r="T159" s="12"/>
      <c r="U159" s="12"/>
      <c r="V159" s="12"/>
      <c r="W159" s="12"/>
      <c r="X159" s="12"/>
      <c r="Y159" s="12"/>
      <c r="Z159" s="12"/>
    </row>
    <row r="160" spans="1:26" ht="15" customHeight="1" x14ac:dyDescent="0.3">
      <c r="A160" s="45">
        <v>433</v>
      </c>
      <c r="B160" s="219" t="s">
        <v>924</v>
      </c>
      <c r="C160" s="194" t="s">
        <v>2025</v>
      </c>
      <c r="D160" s="46"/>
      <c r="E160" s="46" t="s">
        <v>927</v>
      </c>
      <c r="F160" s="61" t="s">
        <v>31</v>
      </c>
      <c r="G160" s="288">
        <v>6.8</v>
      </c>
      <c r="H160" s="289">
        <v>3</v>
      </c>
      <c r="I160" s="290">
        <v>28</v>
      </c>
      <c r="J160" s="48" t="s">
        <v>39</v>
      </c>
      <c r="K160" s="50"/>
      <c r="L160" s="53" t="str">
        <f t="shared" si="0"/>
        <v>28grams</v>
      </c>
      <c r="M160" s="54">
        <f t="shared" si="1"/>
        <v>84</v>
      </c>
      <c r="N160" s="55" t="str">
        <f t="shared" si="2"/>
        <v>84grams</v>
      </c>
      <c r="O160" s="56">
        <f t="shared" si="3"/>
        <v>20.399999999999999</v>
      </c>
      <c r="P160" s="44">
        <f t="shared" ref="P160:P171" si="24">O160/H160</f>
        <v>6.8</v>
      </c>
      <c r="Q160" s="66"/>
      <c r="R160" s="32" t="b">
        <f>P160=G160</f>
        <v>1</v>
      </c>
      <c r="S160" s="32"/>
      <c r="T160" s="32"/>
      <c r="U160" s="32"/>
      <c r="V160" s="32"/>
      <c r="W160" s="32"/>
      <c r="X160" s="32"/>
      <c r="Y160" s="32"/>
      <c r="Z160" s="32"/>
    </row>
    <row r="161" spans="1:26" ht="15" customHeight="1" x14ac:dyDescent="0.3">
      <c r="A161" s="45">
        <v>589</v>
      </c>
      <c r="B161" s="46" t="s">
        <v>924</v>
      </c>
      <c r="C161" s="194" t="s">
        <v>2026</v>
      </c>
      <c r="D161" s="46"/>
      <c r="E161" s="46" t="s">
        <v>928</v>
      </c>
      <c r="F161" s="61" t="s">
        <v>31</v>
      </c>
      <c r="G161" s="288">
        <v>6.05</v>
      </c>
      <c r="H161" s="289">
        <v>30</v>
      </c>
      <c r="I161" s="290">
        <v>28</v>
      </c>
      <c r="J161" s="48" t="s">
        <v>39</v>
      </c>
      <c r="K161" s="50"/>
      <c r="L161" s="53" t="str">
        <f t="shared" si="0"/>
        <v>28grams</v>
      </c>
      <c r="M161" s="54">
        <f t="shared" si="1"/>
        <v>840</v>
      </c>
      <c r="N161" s="55" t="str">
        <f t="shared" si="2"/>
        <v>840grams</v>
      </c>
      <c r="O161" s="56">
        <f t="shared" si="3"/>
        <v>181.5</v>
      </c>
      <c r="P161" s="44">
        <f t="shared" si="24"/>
        <v>6.05</v>
      </c>
      <c r="Q161" s="66"/>
      <c r="R161" s="32"/>
      <c r="S161" s="32"/>
      <c r="T161" s="32"/>
      <c r="U161" s="32"/>
      <c r="V161" s="32"/>
      <c r="W161" s="32"/>
      <c r="X161" s="32"/>
      <c r="Y161" s="32"/>
      <c r="Z161" s="32"/>
    </row>
    <row r="162" spans="1:26" ht="15" customHeight="1" x14ac:dyDescent="0.3">
      <c r="A162" s="45">
        <v>590</v>
      </c>
      <c r="B162" s="46" t="s">
        <v>924</v>
      </c>
      <c r="C162" s="194" t="s">
        <v>2026</v>
      </c>
      <c r="D162" s="46"/>
      <c r="E162" s="46" t="s">
        <v>925</v>
      </c>
      <c r="F162" s="61" t="s">
        <v>31</v>
      </c>
      <c r="G162" s="288">
        <v>6.05</v>
      </c>
      <c r="H162" s="289">
        <v>60</v>
      </c>
      <c r="I162" s="290">
        <v>28</v>
      </c>
      <c r="J162" s="48" t="s">
        <v>39</v>
      </c>
      <c r="K162" s="50"/>
      <c r="L162" s="53" t="str">
        <f t="shared" si="0"/>
        <v>28grams</v>
      </c>
      <c r="M162" s="54">
        <f t="shared" si="1"/>
        <v>1680</v>
      </c>
      <c r="N162" s="55" t="str">
        <f t="shared" si="2"/>
        <v>1680grams</v>
      </c>
      <c r="O162" s="56">
        <f t="shared" si="3"/>
        <v>363</v>
      </c>
      <c r="P162" s="44">
        <f t="shared" si="24"/>
        <v>6.05</v>
      </c>
      <c r="Q162" s="66"/>
      <c r="R162" s="32" t="b">
        <f>P162=G162</f>
        <v>1</v>
      </c>
      <c r="S162" s="32"/>
      <c r="T162" s="32"/>
      <c r="U162" s="32"/>
      <c r="V162" s="32"/>
      <c r="W162" s="32"/>
      <c r="X162" s="32"/>
      <c r="Y162" s="32"/>
      <c r="Z162" s="32"/>
    </row>
    <row r="163" spans="1:26" ht="15" customHeight="1" x14ac:dyDescent="0.3">
      <c r="A163" s="45">
        <v>595</v>
      </c>
      <c r="B163" s="46" t="s">
        <v>924</v>
      </c>
      <c r="C163" s="194" t="s">
        <v>2026</v>
      </c>
      <c r="D163" s="46"/>
      <c r="E163" s="46" t="s">
        <v>929</v>
      </c>
      <c r="F163" s="61" t="s">
        <v>31</v>
      </c>
      <c r="G163" s="288">
        <v>24.6</v>
      </c>
      <c r="H163" s="289">
        <v>24</v>
      </c>
      <c r="I163" s="290">
        <v>60</v>
      </c>
      <c r="J163" s="48" t="s">
        <v>39</v>
      </c>
      <c r="K163" s="50"/>
      <c r="L163" s="53" t="str">
        <f t="shared" si="0"/>
        <v>60grams</v>
      </c>
      <c r="M163" s="54">
        <f t="shared" si="1"/>
        <v>1440</v>
      </c>
      <c r="N163" s="55" t="str">
        <f t="shared" si="2"/>
        <v>1440grams</v>
      </c>
      <c r="O163" s="56">
        <f t="shared" si="3"/>
        <v>590.40000000000009</v>
      </c>
      <c r="P163" s="44">
        <f t="shared" si="24"/>
        <v>24.600000000000005</v>
      </c>
      <c r="Q163" s="66"/>
      <c r="R163" s="32"/>
      <c r="S163" s="32"/>
      <c r="T163" s="32"/>
      <c r="U163" s="32"/>
      <c r="V163" s="32"/>
      <c r="W163" s="32"/>
      <c r="X163" s="32"/>
      <c r="Y163" s="32"/>
      <c r="Z163" s="32"/>
    </row>
    <row r="164" spans="1:26" ht="15" customHeight="1" x14ac:dyDescent="0.3">
      <c r="A164" s="45">
        <v>596</v>
      </c>
      <c r="B164" s="46" t="s">
        <v>924</v>
      </c>
      <c r="C164" s="194" t="s">
        <v>2026</v>
      </c>
      <c r="D164" s="46"/>
      <c r="E164" s="46" t="s">
        <v>930</v>
      </c>
      <c r="F164" s="61" t="s">
        <v>31</v>
      </c>
      <c r="G164" s="288">
        <v>36.9</v>
      </c>
      <c r="H164" s="289">
        <v>3</v>
      </c>
      <c r="I164" s="290">
        <v>100</v>
      </c>
      <c r="J164" s="48" t="s">
        <v>39</v>
      </c>
      <c r="K164" s="50"/>
      <c r="L164" s="53" t="str">
        <f t="shared" si="0"/>
        <v>100grams</v>
      </c>
      <c r="M164" s="54">
        <f t="shared" si="1"/>
        <v>300</v>
      </c>
      <c r="N164" s="55" t="str">
        <f t="shared" si="2"/>
        <v>300grams</v>
      </c>
      <c r="O164" s="56">
        <f t="shared" si="3"/>
        <v>110.69999999999999</v>
      </c>
      <c r="P164" s="44">
        <f t="shared" si="24"/>
        <v>36.9</v>
      </c>
      <c r="Q164" s="66"/>
      <c r="R164" s="32" t="b">
        <f t="shared" ref="R164:R165" si="25">P164=G164</f>
        <v>1</v>
      </c>
      <c r="S164" s="32"/>
      <c r="T164" s="32"/>
      <c r="U164" s="32"/>
      <c r="V164" s="32"/>
      <c r="W164" s="32"/>
      <c r="X164" s="32"/>
      <c r="Y164" s="32"/>
      <c r="Z164" s="32"/>
    </row>
    <row r="165" spans="1:26" ht="15" customHeight="1" x14ac:dyDescent="0.3">
      <c r="A165" s="45">
        <v>602</v>
      </c>
      <c r="B165" s="46" t="s">
        <v>924</v>
      </c>
      <c r="C165" s="194" t="s">
        <v>2026</v>
      </c>
      <c r="D165" s="46"/>
      <c r="E165" s="46" t="s">
        <v>931</v>
      </c>
      <c r="F165" s="61" t="s">
        <v>31</v>
      </c>
      <c r="G165" s="288">
        <v>7.07</v>
      </c>
      <c r="H165" s="289">
        <v>80</v>
      </c>
      <c r="I165" s="290">
        <v>30</v>
      </c>
      <c r="J165" s="48" t="s">
        <v>39</v>
      </c>
      <c r="K165" s="50" t="s">
        <v>2019</v>
      </c>
      <c r="L165" s="53" t="str">
        <f t="shared" si="0"/>
        <v>30grams</v>
      </c>
      <c r="M165" s="54">
        <f t="shared" si="1"/>
        <v>2400</v>
      </c>
      <c r="N165" s="55" t="str">
        <f t="shared" si="2"/>
        <v>2400grams</v>
      </c>
      <c r="O165" s="56">
        <f t="shared" si="3"/>
        <v>565.6</v>
      </c>
      <c r="P165" s="44">
        <f t="shared" si="24"/>
        <v>7.07</v>
      </c>
      <c r="Q165" s="66">
        <f>G165-P165</f>
        <v>0</v>
      </c>
      <c r="R165" s="32" t="b">
        <f t="shared" si="25"/>
        <v>1</v>
      </c>
      <c r="S165" s="32"/>
      <c r="T165" s="32"/>
      <c r="U165" s="32"/>
      <c r="V165" s="32"/>
      <c r="W165" s="32"/>
      <c r="X165" s="32"/>
      <c r="Y165" s="32"/>
      <c r="Z165" s="32"/>
    </row>
    <row r="166" spans="1:26" ht="15" customHeight="1" x14ac:dyDescent="0.3">
      <c r="A166" s="45">
        <v>611</v>
      </c>
      <c r="B166" s="46" t="s">
        <v>924</v>
      </c>
      <c r="C166" s="194" t="s">
        <v>2026</v>
      </c>
      <c r="D166" s="46"/>
      <c r="E166" s="46" t="s">
        <v>932</v>
      </c>
      <c r="F166" s="61" t="s">
        <v>31</v>
      </c>
      <c r="G166" s="288">
        <v>6.71</v>
      </c>
      <c r="H166" s="289">
        <v>80</v>
      </c>
      <c r="I166" s="290">
        <v>10</v>
      </c>
      <c r="J166" s="422" t="s">
        <v>92</v>
      </c>
      <c r="K166" s="50"/>
      <c r="L166" s="53" t="str">
        <f t="shared" si="0"/>
        <v>10pieces</v>
      </c>
      <c r="M166" s="54">
        <f t="shared" si="1"/>
        <v>800</v>
      </c>
      <c r="N166" s="55" t="str">
        <f t="shared" si="2"/>
        <v>800pieces</v>
      </c>
      <c r="O166" s="56">
        <f t="shared" si="3"/>
        <v>536.79999999999995</v>
      </c>
      <c r="P166" s="44">
        <f t="shared" si="24"/>
        <v>6.7099999999999991</v>
      </c>
      <c r="Q166" s="66"/>
      <c r="R166" s="32"/>
      <c r="S166" s="32"/>
      <c r="T166" s="32"/>
      <c r="U166" s="32"/>
      <c r="V166" s="32"/>
      <c r="W166" s="32"/>
      <c r="X166" s="32"/>
      <c r="Y166" s="32"/>
      <c r="Z166" s="32"/>
    </row>
    <row r="167" spans="1:26" ht="15" customHeight="1" x14ac:dyDescent="0.3">
      <c r="A167" s="45">
        <v>612</v>
      </c>
      <c r="B167" s="46" t="s">
        <v>924</v>
      </c>
      <c r="C167" s="194" t="s">
        <v>2026</v>
      </c>
      <c r="D167" s="46"/>
      <c r="E167" s="46" t="s">
        <v>933</v>
      </c>
      <c r="F167" s="61" t="s">
        <v>31</v>
      </c>
      <c r="G167" s="288">
        <v>17.850000000000001</v>
      </c>
      <c r="H167" s="289">
        <v>56</v>
      </c>
      <c r="I167" s="290">
        <v>40</v>
      </c>
      <c r="J167" s="422" t="s">
        <v>92</v>
      </c>
      <c r="K167" s="50"/>
      <c r="L167" s="53" t="str">
        <f t="shared" si="0"/>
        <v>40pieces</v>
      </c>
      <c r="M167" s="54">
        <f t="shared" si="1"/>
        <v>2240</v>
      </c>
      <c r="N167" s="55" t="str">
        <f t="shared" si="2"/>
        <v>2240pieces</v>
      </c>
      <c r="O167" s="56">
        <f t="shared" si="3"/>
        <v>999.60000000000014</v>
      </c>
      <c r="P167" s="44">
        <f t="shared" si="24"/>
        <v>17.850000000000001</v>
      </c>
      <c r="Q167" s="66"/>
      <c r="R167" s="32"/>
      <c r="S167" s="32"/>
      <c r="T167" s="32"/>
      <c r="U167" s="32"/>
      <c r="V167" s="32"/>
      <c r="W167" s="32"/>
      <c r="X167" s="32"/>
      <c r="Y167" s="32"/>
      <c r="Z167" s="32"/>
    </row>
    <row r="168" spans="1:26" ht="15" customHeight="1" x14ac:dyDescent="0.3">
      <c r="A168" s="45">
        <v>616</v>
      </c>
      <c r="B168" s="46" t="s">
        <v>924</v>
      </c>
      <c r="C168" s="194" t="s">
        <v>2026</v>
      </c>
      <c r="D168" s="46"/>
      <c r="E168" s="46" t="s">
        <v>934</v>
      </c>
      <c r="F168" s="61" t="s">
        <v>31</v>
      </c>
      <c r="G168" s="288">
        <v>6.13</v>
      </c>
      <c r="H168" s="289">
        <v>30</v>
      </c>
      <c r="I168" s="290">
        <v>33</v>
      </c>
      <c r="J168" s="48" t="s">
        <v>39</v>
      </c>
      <c r="K168" s="50" t="s">
        <v>2019</v>
      </c>
      <c r="L168" s="53" t="str">
        <f t="shared" si="0"/>
        <v>33grams</v>
      </c>
      <c r="M168" s="54">
        <f t="shared" si="1"/>
        <v>990</v>
      </c>
      <c r="N168" s="55" t="str">
        <f t="shared" si="2"/>
        <v>990grams</v>
      </c>
      <c r="O168" s="56">
        <f t="shared" si="3"/>
        <v>183.9</v>
      </c>
      <c r="P168" s="44">
        <f t="shared" si="24"/>
        <v>6.13</v>
      </c>
      <c r="Q168" s="44">
        <f t="shared" ref="Q168:Q171" si="26">G168-P168</f>
        <v>0</v>
      </c>
      <c r="R168" s="32" t="b">
        <f t="shared" ref="R168:R171" si="27">P168=G168</f>
        <v>1</v>
      </c>
      <c r="S168" s="32"/>
      <c r="T168" s="32"/>
      <c r="U168" s="32"/>
      <c r="V168" s="32"/>
      <c r="W168" s="32"/>
      <c r="X168" s="32"/>
      <c r="Y168" s="32"/>
      <c r="Z168" s="32"/>
    </row>
    <row r="169" spans="1:26" ht="15" customHeight="1" x14ac:dyDescent="0.3">
      <c r="A169" s="45">
        <v>636</v>
      </c>
      <c r="B169" s="46" t="s">
        <v>924</v>
      </c>
      <c r="C169" s="194" t="s">
        <v>2026</v>
      </c>
      <c r="D169" s="46"/>
      <c r="E169" s="46" t="s">
        <v>935</v>
      </c>
      <c r="F169" s="61" t="s">
        <v>31</v>
      </c>
      <c r="G169" s="288">
        <v>6.29</v>
      </c>
      <c r="H169" s="289">
        <v>60</v>
      </c>
      <c r="I169" s="290">
        <v>30</v>
      </c>
      <c r="J169" s="48" t="s">
        <v>39</v>
      </c>
      <c r="K169" s="50" t="s">
        <v>2019</v>
      </c>
      <c r="L169" s="53" t="str">
        <f t="shared" si="0"/>
        <v>30grams</v>
      </c>
      <c r="M169" s="54">
        <f t="shared" si="1"/>
        <v>1800</v>
      </c>
      <c r="N169" s="55" t="str">
        <f t="shared" si="2"/>
        <v>1800grams</v>
      </c>
      <c r="O169" s="56">
        <f t="shared" si="3"/>
        <v>377.4</v>
      </c>
      <c r="P169" s="44">
        <f t="shared" si="24"/>
        <v>6.29</v>
      </c>
      <c r="Q169" s="44">
        <f t="shared" si="26"/>
        <v>0</v>
      </c>
      <c r="R169" s="32" t="b">
        <f t="shared" si="27"/>
        <v>1</v>
      </c>
      <c r="S169" s="32"/>
      <c r="T169" s="32"/>
      <c r="U169" s="32"/>
      <c r="V169" s="32"/>
      <c r="W169" s="32"/>
      <c r="X169" s="32"/>
      <c r="Y169" s="32"/>
      <c r="Z169" s="32"/>
    </row>
    <row r="170" spans="1:26" ht="15" customHeight="1" x14ac:dyDescent="0.3">
      <c r="A170" s="45">
        <v>637</v>
      </c>
      <c r="B170" s="46" t="s">
        <v>924</v>
      </c>
      <c r="C170" s="194" t="s">
        <v>2026</v>
      </c>
      <c r="D170" s="46"/>
      <c r="E170" s="46" t="s">
        <v>936</v>
      </c>
      <c r="F170" s="61" t="s">
        <v>31</v>
      </c>
      <c r="G170" s="288">
        <v>6.17</v>
      </c>
      <c r="H170" s="289">
        <v>30</v>
      </c>
      <c r="I170" s="290">
        <v>30</v>
      </c>
      <c r="J170" s="48" t="s">
        <v>39</v>
      </c>
      <c r="K170" s="50" t="s">
        <v>2019</v>
      </c>
      <c r="L170" s="53" t="str">
        <f t="shared" si="0"/>
        <v>30grams</v>
      </c>
      <c r="M170" s="54">
        <f t="shared" si="1"/>
        <v>900</v>
      </c>
      <c r="N170" s="55" t="str">
        <f t="shared" si="2"/>
        <v>900grams</v>
      </c>
      <c r="O170" s="56">
        <f t="shared" si="3"/>
        <v>185.1</v>
      </c>
      <c r="P170" s="44">
        <f t="shared" si="24"/>
        <v>6.17</v>
      </c>
      <c r="Q170" s="66">
        <f t="shared" si="26"/>
        <v>0</v>
      </c>
      <c r="R170" s="32" t="b">
        <f t="shared" si="27"/>
        <v>1</v>
      </c>
      <c r="S170" s="32"/>
      <c r="T170" s="32"/>
      <c r="U170" s="32"/>
      <c r="V170" s="32"/>
      <c r="W170" s="32"/>
      <c r="X170" s="32"/>
      <c r="Y170" s="32"/>
      <c r="Z170" s="32"/>
    </row>
    <row r="171" spans="1:26" ht="15" customHeight="1" x14ac:dyDescent="0.3">
      <c r="A171" s="45">
        <v>639</v>
      </c>
      <c r="B171" s="46" t="s">
        <v>924</v>
      </c>
      <c r="C171" s="194" t="s">
        <v>2026</v>
      </c>
      <c r="D171" s="46"/>
      <c r="E171" s="46" t="s">
        <v>937</v>
      </c>
      <c r="F171" s="61" t="s">
        <v>31</v>
      </c>
      <c r="G171" s="288">
        <v>17.899999999999999</v>
      </c>
      <c r="H171" s="289">
        <v>3</v>
      </c>
      <c r="I171" s="290">
        <v>80</v>
      </c>
      <c r="J171" s="48" t="s">
        <v>39</v>
      </c>
      <c r="K171" s="50" t="s">
        <v>2019</v>
      </c>
      <c r="L171" s="53" t="str">
        <f t="shared" si="0"/>
        <v>80grams</v>
      </c>
      <c r="M171" s="54">
        <f t="shared" si="1"/>
        <v>240</v>
      </c>
      <c r="N171" s="55" t="str">
        <f t="shared" si="2"/>
        <v>240grams</v>
      </c>
      <c r="O171" s="56">
        <f t="shared" si="3"/>
        <v>53.699999999999996</v>
      </c>
      <c r="P171" s="44">
        <f t="shared" si="24"/>
        <v>17.899999999999999</v>
      </c>
      <c r="Q171" s="66">
        <f t="shared" si="26"/>
        <v>0</v>
      </c>
      <c r="R171" s="32" t="b">
        <f t="shared" si="27"/>
        <v>1</v>
      </c>
      <c r="S171" s="32"/>
      <c r="T171" s="32"/>
      <c r="U171" s="32"/>
      <c r="V171" s="32"/>
      <c r="W171" s="32"/>
      <c r="X171" s="32"/>
      <c r="Y171" s="32"/>
      <c r="Z171" s="32"/>
    </row>
    <row r="172" spans="1:26" ht="15" customHeight="1" x14ac:dyDescent="0.3">
      <c r="A172" s="45"/>
      <c r="B172" s="46" t="s">
        <v>924</v>
      </c>
      <c r="C172" s="194" t="s">
        <v>2023</v>
      </c>
      <c r="D172" s="46"/>
      <c r="E172" s="46" t="s">
        <v>933</v>
      </c>
      <c r="F172" s="61" t="s">
        <v>31</v>
      </c>
      <c r="G172" s="288">
        <v>6</v>
      </c>
      <c r="H172" s="289">
        <v>44</v>
      </c>
      <c r="I172" s="290">
        <v>10</v>
      </c>
      <c r="J172" s="422" t="s">
        <v>92</v>
      </c>
      <c r="K172" s="50"/>
      <c r="L172" s="53" t="str">
        <f t="shared" si="0"/>
        <v>10pieces</v>
      </c>
      <c r="M172" s="54">
        <f t="shared" si="1"/>
        <v>440</v>
      </c>
      <c r="N172" s="55" t="str">
        <f t="shared" si="2"/>
        <v>440pieces</v>
      </c>
      <c r="O172" s="56">
        <f t="shared" si="3"/>
        <v>264</v>
      </c>
      <c r="P172" s="12"/>
      <c r="Q172" s="12"/>
      <c r="R172" s="12"/>
      <c r="S172" s="151"/>
      <c r="T172" s="12"/>
      <c r="U172" s="12"/>
      <c r="V172" s="12"/>
      <c r="W172" s="12"/>
      <c r="X172" s="12"/>
      <c r="Y172" s="12"/>
      <c r="Z172" s="12"/>
    </row>
    <row r="173" spans="1:26" ht="15" customHeight="1" x14ac:dyDescent="0.3">
      <c r="A173" s="45"/>
      <c r="B173" s="46" t="s">
        <v>924</v>
      </c>
      <c r="C173" s="194" t="s">
        <v>2022</v>
      </c>
      <c r="D173" s="46"/>
      <c r="E173" s="46" t="s">
        <v>933</v>
      </c>
      <c r="F173" s="61" t="s">
        <v>31</v>
      </c>
      <c r="G173" s="288">
        <v>5.8</v>
      </c>
      <c r="H173" s="289">
        <v>140</v>
      </c>
      <c r="I173" s="290">
        <v>30</v>
      </c>
      <c r="J173" s="422" t="s">
        <v>39</v>
      </c>
      <c r="K173" s="50"/>
      <c r="L173" s="53" t="str">
        <f t="shared" si="0"/>
        <v>30grams</v>
      </c>
      <c r="M173" s="54">
        <f t="shared" si="1"/>
        <v>4200</v>
      </c>
      <c r="N173" s="55" t="str">
        <f t="shared" si="2"/>
        <v>4200grams</v>
      </c>
      <c r="O173" s="56">
        <f t="shared" si="3"/>
        <v>812</v>
      </c>
      <c r="P173" s="12"/>
      <c r="Q173" s="12"/>
      <c r="R173" s="12"/>
      <c r="S173" s="151"/>
      <c r="T173" s="12"/>
      <c r="U173" s="12"/>
      <c r="V173" s="12"/>
      <c r="W173" s="12"/>
      <c r="X173" s="12"/>
      <c r="Y173" s="12"/>
      <c r="Z173" s="12"/>
    </row>
    <row r="174" spans="1:26" ht="15" customHeight="1" x14ac:dyDescent="0.3">
      <c r="A174" s="45">
        <v>591</v>
      </c>
      <c r="B174" s="46" t="s">
        <v>924</v>
      </c>
      <c r="C174" s="194" t="s">
        <v>2026</v>
      </c>
      <c r="D174" s="46"/>
      <c r="E174" s="46" t="s">
        <v>938</v>
      </c>
      <c r="F174" s="61" t="s">
        <v>31</v>
      </c>
      <c r="G174" s="288">
        <v>5.92</v>
      </c>
      <c r="H174" s="289">
        <v>30</v>
      </c>
      <c r="I174" s="290">
        <v>10</v>
      </c>
      <c r="J174" s="48" t="s">
        <v>92</v>
      </c>
      <c r="K174" s="50"/>
      <c r="L174" s="53" t="str">
        <f t="shared" si="0"/>
        <v>10pieces</v>
      </c>
      <c r="M174" s="54">
        <f t="shared" si="1"/>
        <v>300</v>
      </c>
      <c r="N174" s="55" t="str">
        <f t="shared" si="2"/>
        <v>300pieces</v>
      </c>
      <c r="O174" s="56">
        <f t="shared" si="3"/>
        <v>177.6</v>
      </c>
      <c r="P174" s="44">
        <f>O174/H174</f>
        <v>5.92</v>
      </c>
      <c r="Q174" s="66"/>
      <c r="R174" s="32"/>
      <c r="S174" s="32"/>
      <c r="T174" s="32"/>
      <c r="U174" s="32"/>
      <c r="V174" s="32"/>
      <c r="W174" s="32"/>
      <c r="X174" s="32"/>
      <c r="Y174" s="32"/>
      <c r="Z174" s="32"/>
    </row>
    <row r="175" spans="1:26" ht="15" customHeight="1" x14ac:dyDescent="0.3">
      <c r="A175" s="45"/>
      <c r="B175" s="46" t="s">
        <v>924</v>
      </c>
      <c r="C175" s="194" t="s">
        <v>2023</v>
      </c>
      <c r="D175" s="46"/>
      <c r="E175" s="46" t="s">
        <v>938</v>
      </c>
      <c r="F175" s="61" t="s">
        <v>31</v>
      </c>
      <c r="G175" s="288">
        <v>6</v>
      </c>
      <c r="H175" s="289">
        <v>84</v>
      </c>
      <c r="I175" s="290">
        <v>10</v>
      </c>
      <c r="J175" s="48" t="s">
        <v>92</v>
      </c>
      <c r="K175" s="50"/>
      <c r="L175" s="53" t="str">
        <f t="shared" si="0"/>
        <v>10pieces</v>
      </c>
      <c r="M175" s="54">
        <f t="shared" si="1"/>
        <v>840</v>
      </c>
      <c r="N175" s="55" t="str">
        <f t="shared" si="2"/>
        <v>840pieces</v>
      </c>
      <c r="O175" s="56">
        <f t="shared" si="3"/>
        <v>504</v>
      </c>
      <c r="P175" s="12"/>
      <c r="Q175" s="12"/>
      <c r="R175" s="12"/>
      <c r="S175" s="151"/>
      <c r="T175" s="12"/>
      <c r="U175" s="12"/>
      <c r="V175" s="12"/>
      <c r="W175" s="12"/>
      <c r="X175" s="12"/>
      <c r="Y175" s="12"/>
      <c r="Z175" s="12"/>
    </row>
    <row r="176" spans="1:26" ht="15" customHeight="1" x14ac:dyDescent="0.3">
      <c r="A176" s="45"/>
      <c r="B176" s="46" t="s">
        <v>924</v>
      </c>
      <c r="C176" s="194" t="s">
        <v>2023</v>
      </c>
      <c r="D176" s="46"/>
      <c r="E176" s="46" t="s">
        <v>939</v>
      </c>
      <c r="F176" s="61" t="s">
        <v>31</v>
      </c>
      <c r="G176" s="288">
        <v>5.72</v>
      </c>
      <c r="H176" s="289">
        <v>47</v>
      </c>
      <c r="I176" s="290">
        <v>28</v>
      </c>
      <c r="J176" s="48" t="s">
        <v>39</v>
      </c>
      <c r="K176" s="50"/>
      <c r="L176" s="53" t="str">
        <f t="shared" si="0"/>
        <v>28grams</v>
      </c>
      <c r="M176" s="54">
        <f t="shared" si="1"/>
        <v>1316</v>
      </c>
      <c r="N176" s="55" t="str">
        <f t="shared" si="2"/>
        <v>1316grams</v>
      </c>
      <c r="O176" s="56">
        <f t="shared" si="3"/>
        <v>268.83999999999997</v>
      </c>
      <c r="P176" s="12"/>
      <c r="Q176" s="12"/>
      <c r="R176" s="12"/>
      <c r="S176" s="151"/>
      <c r="T176" s="12"/>
      <c r="U176" s="12"/>
      <c r="V176" s="12"/>
      <c r="W176" s="12"/>
      <c r="X176" s="12"/>
      <c r="Y176" s="12"/>
      <c r="Z176" s="12"/>
    </row>
    <row r="177" spans="1:26" ht="15" customHeight="1" x14ac:dyDescent="0.3">
      <c r="A177" s="45">
        <v>592</v>
      </c>
      <c r="B177" s="46" t="s">
        <v>924</v>
      </c>
      <c r="C177" s="194" t="s">
        <v>2026</v>
      </c>
      <c r="D177" s="46"/>
      <c r="E177" s="46" t="s">
        <v>939</v>
      </c>
      <c r="F177" s="61" t="s">
        <v>31</v>
      </c>
      <c r="G177" s="288">
        <v>22</v>
      </c>
      <c r="H177" s="289">
        <v>8</v>
      </c>
      <c r="I177" s="290">
        <v>90</v>
      </c>
      <c r="J177" s="48" t="s">
        <v>39</v>
      </c>
      <c r="K177" s="50"/>
      <c r="L177" s="53" t="str">
        <f t="shared" si="0"/>
        <v>90grams</v>
      </c>
      <c r="M177" s="54">
        <f t="shared" si="1"/>
        <v>720</v>
      </c>
      <c r="N177" s="55" t="str">
        <f t="shared" si="2"/>
        <v>720grams</v>
      </c>
      <c r="O177" s="56">
        <f t="shared" si="3"/>
        <v>176</v>
      </c>
      <c r="P177" s="44">
        <f t="shared" ref="P177:P178" si="28">O177/H177</f>
        <v>22</v>
      </c>
      <c r="Q177" s="66"/>
      <c r="R177" s="32" t="b">
        <f t="shared" ref="R177:R178" si="29">P177=G177</f>
        <v>1</v>
      </c>
      <c r="S177" s="32"/>
      <c r="T177" s="32"/>
      <c r="U177" s="32"/>
      <c r="V177" s="32"/>
      <c r="W177" s="32"/>
      <c r="X177" s="32"/>
      <c r="Y177" s="32"/>
      <c r="Z177" s="32"/>
    </row>
    <row r="178" spans="1:26" ht="15" customHeight="1" x14ac:dyDescent="0.3">
      <c r="A178" s="45">
        <v>606</v>
      </c>
      <c r="B178" s="46" t="s">
        <v>924</v>
      </c>
      <c r="C178" s="194" t="s">
        <v>2026</v>
      </c>
      <c r="D178" s="46"/>
      <c r="E178" s="46" t="s">
        <v>940</v>
      </c>
      <c r="F178" s="61" t="s">
        <v>31</v>
      </c>
      <c r="G178" s="288">
        <v>7.39</v>
      </c>
      <c r="H178" s="289">
        <v>43</v>
      </c>
      <c r="I178" s="290">
        <v>33</v>
      </c>
      <c r="J178" s="48" t="s">
        <v>39</v>
      </c>
      <c r="K178" s="50" t="s">
        <v>2019</v>
      </c>
      <c r="L178" s="53" t="str">
        <f t="shared" si="0"/>
        <v>33grams</v>
      </c>
      <c r="M178" s="54">
        <f t="shared" si="1"/>
        <v>1419</v>
      </c>
      <c r="N178" s="55" t="str">
        <f t="shared" si="2"/>
        <v>1419grams</v>
      </c>
      <c r="O178" s="56">
        <f t="shared" si="3"/>
        <v>317.77</v>
      </c>
      <c r="P178" s="44">
        <f t="shared" si="28"/>
        <v>7.39</v>
      </c>
      <c r="Q178" s="66">
        <f>G178-P178</f>
        <v>0</v>
      </c>
      <c r="R178" s="32" t="b">
        <f t="shared" si="29"/>
        <v>1</v>
      </c>
      <c r="S178" s="32"/>
      <c r="T178" s="32"/>
      <c r="U178" s="32"/>
      <c r="V178" s="32"/>
      <c r="W178" s="32"/>
      <c r="X178" s="32"/>
      <c r="Y178" s="32"/>
      <c r="Z178" s="32"/>
    </row>
    <row r="179" spans="1:26" ht="15" customHeight="1" x14ac:dyDescent="0.3">
      <c r="A179" s="45"/>
      <c r="B179" s="46" t="s">
        <v>924</v>
      </c>
      <c r="C179" s="194" t="s">
        <v>2023</v>
      </c>
      <c r="D179" s="46"/>
      <c r="E179" s="46" t="s">
        <v>940</v>
      </c>
      <c r="F179" s="61" t="s">
        <v>31</v>
      </c>
      <c r="G179" s="288">
        <v>73.900000000000006</v>
      </c>
      <c r="H179" s="289">
        <v>10</v>
      </c>
      <c r="I179" s="290">
        <v>33</v>
      </c>
      <c r="J179" s="48" t="s">
        <v>39</v>
      </c>
      <c r="K179" s="50"/>
      <c r="L179" s="53" t="str">
        <f t="shared" si="0"/>
        <v>33grams</v>
      </c>
      <c r="M179" s="54">
        <f t="shared" si="1"/>
        <v>330</v>
      </c>
      <c r="N179" s="55" t="str">
        <f t="shared" si="2"/>
        <v>330grams</v>
      </c>
      <c r="O179" s="56">
        <f t="shared" si="3"/>
        <v>739</v>
      </c>
      <c r="P179" s="12"/>
      <c r="Q179" s="12"/>
      <c r="R179" s="12"/>
      <c r="S179" s="151"/>
      <c r="T179" s="12"/>
      <c r="U179" s="12"/>
      <c r="V179" s="12"/>
      <c r="W179" s="12"/>
      <c r="X179" s="12"/>
      <c r="Y179" s="12"/>
      <c r="Z179" s="12"/>
    </row>
    <row r="180" spans="1:26" ht="15" customHeight="1" x14ac:dyDescent="0.3">
      <c r="A180" s="45"/>
      <c r="B180" s="219" t="s">
        <v>924</v>
      </c>
      <c r="C180" s="194" t="s">
        <v>2021</v>
      </c>
      <c r="D180" s="46"/>
      <c r="E180" s="219" t="s">
        <v>929</v>
      </c>
      <c r="F180" s="61" t="s">
        <v>31</v>
      </c>
      <c r="G180" s="291">
        <v>24.5</v>
      </c>
      <c r="H180" s="292">
        <v>3</v>
      </c>
      <c r="I180" s="293">
        <v>60</v>
      </c>
      <c r="J180" s="414" t="s">
        <v>39</v>
      </c>
      <c r="K180" s="50"/>
      <c r="L180" s="53" t="str">
        <f t="shared" si="0"/>
        <v>60grams</v>
      </c>
      <c r="M180" s="54">
        <f t="shared" si="1"/>
        <v>180</v>
      </c>
      <c r="N180" s="55" t="str">
        <f t="shared" si="2"/>
        <v>180grams</v>
      </c>
      <c r="O180" s="56">
        <f t="shared" si="3"/>
        <v>73.5</v>
      </c>
      <c r="P180" s="12"/>
      <c r="Q180" s="12"/>
      <c r="R180" s="12"/>
      <c r="S180" s="151"/>
      <c r="T180" s="12"/>
      <c r="U180" s="12"/>
      <c r="V180" s="12"/>
      <c r="W180" s="12"/>
      <c r="X180" s="12"/>
      <c r="Y180" s="12"/>
      <c r="Z180" s="12"/>
    </row>
    <row r="181" spans="1:26" ht="15" customHeight="1" x14ac:dyDescent="0.3">
      <c r="A181" s="45"/>
      <c r="B181" s="219" t="s">
        <v>924</v>
      </c>
      <c r="C181" s="194" t="s">
        <v>2021</v>
      </c>
      <c r="D181" s="46"/>
      <c r="E181" s="46" t="s">
        <v>941</v>
      </c>
      <c r="F181" s="61" t="s">
        <v>31</v>
      </c>
      <c r="G181" s="291">
        <v>7.3</v>
      </c>
      <c r="H181" s="292">
        <v>8</v>
      </c>
      <c r="I181" s="293">
        <v>1</v>
      </c>
      <c r="J181" s="414" t="s">
        <v>92</v>
      </c>
      <c r="K181" s="50"/>
      <c r="L181" s="53" t="str">
        <f t="shared" si="0"/>
        <v>1pieces</v>
      </c>
      <c r="M181" s="54">
        <f t="shared" si="1"/>
        <v>8</v>
      </c>
      <c r="N181" s="55" t="str">
        <f t="shared" si="2"/>
        <v>8pieces</v>
      </c>
      <c r="O181" s="56">
        <f t="shared" si="3"/>
        <v>58.4</v>
      </c>
      <c r="P181" s="12"/>
      <c r="Q181" s="12"/>
      <c r="R181" s="12"/>
      <c r="S181" s="151"/>
      <c r="T181" s="12"/>
      <c r="U181" s="12"/>
      <c r="V181" s="12"/>
      <c r="W181" s="12"/>
      <c r="X181" s="12"/>
      <c r="Y181" s="12"/>
      <c r="Z181" s="12"/>
    </row>
    <row r="182" spans="1:26" ht="15" customHeight="1" x14ac:dyDescent="0.3">
      <c r="A182" s="45"/>
      <c r="B182" s="219" t="s">
        <v>924</v>
      </c>
      <c r="C182" s="194" t="s">
        <v>2021</v>
      </c>
      <c r="D182" s="46"/>
      <c r="E182" s="219" t="s">
        <v>942</v>
      </c>
      <c r="F182" s="61" t="s">
        <v>31</v>
      </c>
      <c r="G182" s="291">
        <v>7.77</v>
      </c>
      <c r="H182" s="292">
        <v>5</v>
      </c>
      <c r="I182" s="293">
        <v>1</v>
      </c>
      <c r="J182" s="414" t="s">
        <v>92</v>
      </c>
      <c r="K182" s="50"/>
      <c r="L182" s="53" t="str">
        <f t="shared" si="0"/>
        <v>1pieces</v>
      </c>
      <c r="M182" s="54">
        <f t="shared" si="1"/>
        <v>5</v>
      </c>
      <c r="N182" s="55" t="str">
        <f t="shared" si="2"/>
        <v>5pieces</v>
      </c>
      <c r="O182" s="56">
        <f t="shared" si="3"/>
        <v>38.849999999999994</v>
      </c>
      <c r="P182" s="12"/>
      <c r="Q182" s="12"/>
      <c r="R182" s="12"/>
      <c r="S182" s="151"/>
      <c r="T182" s="12"/>
      <c r="U182" s="12"/>
      <c r="V182" s="12"/>
      <c r="W182" s="12"/>
      <c r="X182" s="12"/>
      <c r="Y182" s="12"/>
      <c r="Z182" s="12"/>
    </row>
    <row r="183" spans="1:26" ht="15" customHeight="1" x14ac:dyDescent="0.3">
      <c r="A183" s="45"/>
      <c r="B183" s="219" t="s">
        <v>924</v>
      </c>
      <c r="C183" s="194" t="s">
        <v>2021</v>
      </c>
      <c r="D183" s="46"/>
      <c r="E183" s="219" t="s">
        <v>943</v>
      </c>
      <c r="F183" s="61" t="s">
        <v>31</v>
      </c>
      <c r="G183" s="291">
        <v>7.77</v>
      </c>
      <c r="H183" s="292">
        <v>1</v>
      </c>
      <c r="I183" s="293">
        <v>1</v>
      </c>
      <c r="J183" s="414" t="s">
        <v>92</v>
      </c>
      <c r="K183" s="50"/>
      <c r="L183" s="53" t="str">
        <f t="shared" si="0"/>
        <v>1pieces</v>
      </c>
      <c r="M183" s="54">
        <f t="shared" si="1"/>
        <v>1</v>
      </c>
      <c r="N183" s="55" t="str">
        <f t="shared" si="2"/>
        <v>1pieces</v>
      </c>
      <c r="O183" s="56">
        <f t="shared" si="3"/>
        <v>7.77</v>
      </c>
      <c r="P183" s="12"/>
      <c r="Q183" s="12"/>
      <c r="R183" s="12"/>
      <c r="S183" s="151"/>
      <c r="T183" s="12"/>
      <c r="U183" s="12"/>
      <c r="V183" s="12"/>
      <c r="W183" s="12"/>
      <c r="X183" s="12"/>
      <c r="Y183" s="12"/>
      <c r="Z183" s="12"/>
    </row>
    <row r="184" spans="1:26" ht="15" customHeight="1" x14ac:dyDescent="0.3">
      <c r="A184" s="45"/>
      <c r="B184" s="219" t="s">
        <v>924</v>
      </c>
      <c r="C184" s="194" t="s">
        <v>2020</v>
      </c>
      <c r="D184" s="46"/>
      <c r="E184" s="46" t="s">
        <v>944</v>
      </c>
      <c r="F184" s="61" t="s">
        <v>31</v>
      </c>
      <c r="G184" s="288">
        <v>8.42</v>
      </c>
      <c r="H184" s="289">
        <v>7</v>
      </c>
      <c r="I184" s="290">
        <v>57</v>
      </c>
      <c r="J184" s="48" t="s">
        <v>39</v>
      </c>
      <c r="K184" s="50"/>
      <c r="L184" s="53" t="str">
        <f t="shared" si="0"/>
        <v>57grams</v>
      </c>
      <c r="M184" s="54">
        <f t="shared" si="1"/>
        <v>399</v>
      </c>
      <c r="N184" s="55" t="str">
        <f t="shared" si="2"/>
        <v>399grams</v>
      </c>
      <c r="O184" s="56">
        <f t="shared" si="3"/>
        <v>58.94</v>
      </c>
      <c r="P184" s="12"/>
      <c r="Q184" s="12"/>
      <c r="R184" s="12"/>
      <c r="S184" s="151"/>
      <c r="T184" s="12"/>
      <c r="U184" s="12"/>
      <c r="V184" s="12"/>
      <c r="W184" s="12"/>
      <c r="X184" s="12"/>
      <c r="Y184" s="12"/>
      <c r="Z184" s="12"/>
    </row>
    <row r="185" spans="1:26" ht="15" customHeight="1" x14ac:dyDescent="0.3">
      <c r="A185" s="45">
        <v>603</v>
      </c>
      <c r="B185" s="219" t="s">
        <v>924</v>
      </c>
      <c r="C185" s="194" t="s">
        <v>2026</v>
      </c>
      <c r="D185" s="46"/>
      <c r="E185" s="46" t="s">
        <v>945</v>
      </c>
      <c r="F185" s="61" t="s">
        <v>31</v>
      </c>
      <c r="G185" s="288">
        <v>7.19</v>
      </c>
      <c r="H185" s="289">
        <v>30</v>
      </c>
      <c r="I185" s="290">
        <v>30</v>
      </c>
      <c r="J185" s="48" t="s">
        <v>39</v>
      </c>
      <c r="K185" s="50"/>
      <c r="L185" s="53" t="str">
        <f t="shared" si="0"/>
        <v>30grams</v>
      </c>
      <c r="M185" s="54">
        <f t="shared" si="1"/>
        <v>900</v>
      </c>
      <c r="N185" s="55" t="str">
        <f t="shared" si="2"/>
        <v>900grams</v>
      </c>
      <c r="O185" s="56">
        <f t="shared" si="3"/>
        <v>215.70000000000002</v>
      </c>
      <c r="P185" s="44">
        <f t="shared" ref="P185:P189" si="30">O185/H185</f>
        <v>7.19</v>
      </c>
      <c r="Q185" s="66"/>
      <c r="R185" s="32" t="b">
        <f t="shared" ref="R185:R187" si="31">P185=G185</f>
        <v>1</v>
      </c>
      <c r="S185" s="32"/>
      <c r="T185" s="32"/>
      <c r="U185" s="32"/>
      <c r="V185" s="32"/>
      <c r="W185" s="32"/>
      <c r="X185" s="32"/>
      <c r="Y185" s="32"/>
      <c r="Z185" s="32"/>
    </row>
    <row r="186" spans="1:26" ht="15" customHeight="1" x14ac:dyDescent="0.3">
      <c r="A186" s="45">
        <v>604</v>
      </c>
      <c r="B186" s="219" t="s">
        <v>924</v>
      </c>
      <c r="C186" s="194" t="s">
        <v>2026</v>
      </c>
      <c r="D186" s="46"/>
      <c r="E186" s="46" t="s">
        <v>946</v>
      </c>
      <c r="F186" s="61" t="s">
        <v>31</v>
      </c>
      <c r="G186" s="288">
        <v>16.12</v>
      </c>
      <c r="H186" s="289">
        <v>36</v>
      </c>
      <c r="I186" s="290">
        <v>40</v>
      </c>
      <c r="J186" s="48" t="s">
        <v>39</v>
      </c>
      <c r="K186" s="50"/>
      <c r="L186" s="53" t="str">
        <f t="shared" si="0"/>
        <v>40grams</v>
      </c>
      <c r="M186" s="54">
        <f t="shared" si="1"/>
        <v>1440</v>
      </c>
      <c r="N186" s="55" t="str">
        <f t="shared" si="2"/>
        <v>1440grams</v>
      </c>
      <c r="O186" s="56">
        <f t="shared" si="3"/>
        <v>580.32000000000005</v>
      </c>
      <c r="P186" s="44">
        <f t="shared" si="30"/>
        <v>16.12</v>
      </c>
      <c r="Q186" s="66"/>
      <c r="R186" s="32" t="b">
        <f t="shared" si="31"/>
        <v>1</v>
      </c>
      <c r="S186" s="32"/>
      <c r="T186" s="32"/>
      <c r="U186" s="32"/>
      <c r="V186" s="32"/>
      <c r="W186" s="32"/>
      <c r="X186" s="32"/>
      <c r="Y186" s="32"/>
      <c r="Z186" s="32"/>
    </row>
    <row r="187" spans="1:26" ht="15" customHeight="1" x14ac:dyDescent="0.3">
      <c r="A187" s="45">
        <v>605</v>
      </c>
      <c r="B187" s="219" t="s">
        <v>924</v>
      </c>
      <c r="C187" s="194" t="s">
        <v>2026</v>
      </c>
      <c r="D187" s="46"/>
      <c r="E187" s="46" t="s">
        <v>947</v>
      </c>
      <c r="F187" s="61" t="s">
        <v>31</v>
      </c>
      <c r="G187" s="288">
        <v>7.07</v>
      </c>
      <c r="H187" s="289">
        <v>30</v>
      </c>
      <c r="I187" s="290">
        <v>30</v>
      </c>
      <c r="J187" s="48" t="s">
        <v>39</v>
      </c>
      <c r="K187" s="50" t="s">
        <v>2019</v>
      </c>
      <c r="L187" s="53" t="str">
        <f t="shared" si="0"/>
        <v>30grams</v>
      </c>
      <c r="M187" s="54">
        <f t="shared" si="1"/>
        <v>900</v>
      </c>
      <c r="N187" s="55" t="str">
        <f t="shared" si="2"/>
        <v>900grams</v>
      </c>
      <c r="O187" s="56">
        <f t="shared" si="3"/>
        <v>212.10000000000002</v>
      </c>
      <c r="P187" s="44">
        <f t="shared" si="30"/>
        <v>7.0700000000000012</v>
      </c>
      <c r="Q187" s="66">
        <f>G187-P187</f>
        <v>0</v>
      </c>
      <c r="R187" s="32" t="b">
        <f t="shared" si="31"/>
        <v>1</v>
      </c>
      <c r="S187" s="32"/>
      <c r="T187" s="32"/>
      <c r="U187" s="32"/>
      <c r="V187" s="32"/>
      <c r="W187" s="32"/>
      <c r="X187" s="32"/>
      <c r="Y187" s="32"/>
      <c r="Z187" s="32"/>
    </row>
    <row r="188" spans="1:26" ht="15" customHeight="1" x14ac:dyDescent="0.3">
      <c r="A188" s="45">
        <v>607</v>
      </c>
      <c r="B188" s="46" t="s">
        <v>924</v>
      </c>
      <c r="C188" s="194" t="s">
        <v>2026</v>
      </c>
      <c r="D188" s="46"/>
      <c r="E188" s="46" t="s">
        <v>948</v>
      </c>
      <c r="F188" s="61" t="s">
        <v>31</v>
      </c>
      <c r="G188" s="288">
        <v>8.17</v>
      </c>
      <c r="H188" s="289">
        <v>30</v>
      </c>
      <c r="I188" s="290">
        <v>25</v>
      </c>
      <c r="J188" s="48" t="s">
        <v>39</v>
      </c>
      <c r="K188" s="50"/>
      <c r="L188" s="53" t="str">
        <f t="shared" si="0"/>
        <v>25grams</v>
      </c>
      <c r="M188" s="54">
        <f t="shared" si="1"/>
        <v>750</v>
      </c>
      <c r="N188" s="55" t="str">
        <f t="shared" si="2"/>
        <v>750grams</v>
      </c>
      <c r="O188" s="56">
        <f t="shared" si="3"/>
        <v>245.1</v>
      </c>
      <c r="P188" s="44">
        <f t="shared" si="30"/>
        <v>8.17</v>
      </c>
      <c r="Q188" s="66"/>
      <c r="R188" s="32"/>
      <c r="S188" s="32"/>
      <c r="T188" s="32"/>
      <c r="U188" s="32"/>
      <c r="V188" s="32"/>
      <c r="W188" s="32"/>
      <c r="X188" s="32"/>
      <c r="Y188" s="32"/>
      <c r="Z188" s="32"/>
    </row>
    <row r="189" spans="1:26" ht="15" customHeight="1" x14ac:dyDescent="0.3">
      <c r="A189" s="45">
        <v>608</v>
      </c>
      <c r="B189" s="46" t="s">
        <v>924</v>
      </c>
      <c r="C189" s="194" t="s">
        <v>2026</v>
      </c>
      <c r="D189" s="46"/>
      <c r="E189" s="46" t="s">
        <v>949</v>
      </c>
      <c r="F189" s="61" t="s">
        <v>31</v>
      </c>
      <c r="G189" s="288">
        <v>8.0500000000000007</v>
      </c>
      <c r="H189" s="289">
        <v>30</v>
      </c>
      <c r="I189" s="290">
        <v>25</v>
      </c>
      <c r="J189" s="48" t="s">
        <v>39</v>
      </c>
      <c r="K189" s="50"/>
      <c r="L189" s="53" t="str">
        <f t="shared" si="0"/>
        <v>25grams</v>
      </c>
      <c r="M189" s="54">
        <f t="shared" si="1"/>
        <v>750</v>
      </c>
      <c r="N189" s="55" t="str">
        <f t="shared" si="2"/>
        <v>750grams</v>
      </c>
      <c r="O189" s="56">
        <f t="shared" si="3"/>
        <v>241.50000000000003</v>
      </c>
      <c r="P189" s="44">
        <f t="shared" si="30"/>
        <v>8.0500000000000007</v>
      </c>
      <c r="Q189" s="66"/>
      <c r="R189" s="32" t="b">
        <f>P189=G189</f>
        <v>1</v>
      </c>
      <c r="S189" s="32"/>
      <c r="T189" s="32"/>
      <c r="U189" s="32"/>
      <c r="V189" s="32"/>
      <c r="W189" s="32"/>
      <c r="X189" s="32"/>
      <c r="Y189" s="32"/>
      <c r="Z189" s="32"/>
    </row>
    <row r="190" spans="1:26" ht="15" customHeight="1" x14ac:dyDescent="0.3">
      <c r="A190" s="45"/>
      <c r="B190" s="219" t="s">
        <v>924</v>
      </c>
      <c r="C190" s="194" t="s">
        <v>2020</v>
      </c>
      <c r="D190" s="46"/>
      <c r="E190" s="46" t="s">
        <v>933</v>
      </c>
      <c r="F190" s="61" t="s">
        <v>31</v>
      </c>
      <c r="G190" s="288">
        <v>5.0999999999999996</v>
      </c>
      <c r="H190" s="289">
        <v>3</v>
      </c>
      <c r="I190" s="290">
        <v>30</v>
      </c>
      <c r="J190" s="48" t="s">
        <v>39</v>
      </c>
      <c r="K190" s="50"/>
      <c r="L190" s="53" t="str">
        <f t="shared" si="0"/>
        <v>30grams</v>
      </c>
      <c r="M190" s="54">
        <f t="shared" si="1"/>
        <v>90</v>
      </c>
      <c r="N190" s="55" t="str">
        <f t="shared" si="2"/>
        <v>90grams</v>
      </c>
      <c r="O190" s="56">
        <f t="shared" si="3"/>
        <v>15.299999999999999</v>
      </c>
      <c r="P190" s="12"/>
      <c r="Q190" s="12"/>
      <c r="R190" s="12"/>
      <c r="S190" s="151"/>
      <c r="T190" s="12"/>
      <c r="U190" s="12"/>
      <c r="V190" s="12"/>
      <c r="W190" s="12"/>
      <c r="X190" s="12"/>
      <c r="Y190" s="12"/>
      <c r="Z190" s="12"/>
    </row>
    <row r="191" spans="1:26" ht="15" customHeight="1" x14ac:dyDescent="0.3">
      <c r="A191" s="45">
        <v>614</v>
      </c>
      <c r="B191" s="426" t="s">
        <v>924</v>
      </c>
      <c r="C191" s="194" t="s">
        <v>2026</v>
      </c>
      <c r="D191" s="46"/>
      <c r="E191" s="46" t="s">
        <v>950</v>
      </c>
      <c r="F191" s="61" t="s">
        <v>31</v>
      </c>
      <c r="G191" s="288">
        <v>6.03</v>
      </c>
      <c r="H191" s="289">
        <v>50</v>
      </c>
      <c r="I191" s="290">
        <v>31</v>
      </c>
      <c r="J191" s="48" t="s">
        <v>39</v>
      </c>
      <c r="K191" s="50"/>
      <c r="L191" s="53" t="str">
        <f t="shared" si="0"/>
        <v>31grams</v>
      </c>
      <c r="M191" s="54">
        <f t="shared" si="1"/>
        <v>1550</v>
      </c>
      <c r="N191" s="55" t="str">
        <f t="shared" si="2"/>
        <v>1550grams</v>
      </c>
      <c r="O191" s="56">
        <f t="shared" si="3"/>
        <v>301.5</v>
      </c>
      <c r="P191" s="44">
        <f t="shared" ref="P191:P192" si="32">O191/H191</f>
        <v>6.03</v>
      </c>
      <c r="Q191" s="66"/>
      <c r="R191" s="32" t="b">
        <f>P191=G191</f>
        <v>1</v>
      </c>
      <c r="S191" s="32"/>
      <c r="T191" s="32"/>
      <c r="U191" s="32"/>
      <c r="V191" s="32"/>
      <c r="W191" s="32"/>
      <c r="X191" s="32"/>
      <c r="Y191" s="32"/>
      <c r="Z191" s="32"/>
    </row>
    <row r="192" spans="1:26" ht="15" customHeight="1" x14ac:dyDescent="0.3">
      <c r="A192" s="45">
        <v>615</v>
      </c>
      <c r="B192" s="426" t="s">
        <v>924</v>
      </c>
      <c r="C192" s="194" t="s">
        <v>2026</v>
      </c>
      <c r="D192" s="46"/>
      <c r="E192" s="46" t="s">
        <v>951</v>
      </c>
      <c r="F192" s="61" t="s">
        <v>31</v>
      </c>
      <c r="G192" s="288">
        <v>5.92</v>
      </c>
      <c r="H192" s="289">
        <v>30</v>
      </c>
      <c r="I192" s="290">
        <v>32</v>
      </c>
      <c r="J192" s="48" t="s">
        <v>39</v>
      </c>
      <c r="K192" s="50"/>
      <c r="L192" s="53" t="str">
        <f t="shared" si="0"/>
        <v>32grams</v>
      </c>
      <c r="M192" s="54">
        <f t="shared" si="1"/>
        <v>960</v>
      </c>
      <c r="N192" s="55" t="str">
        <f t="shared" si="2"/>
        <v>960grams</v>
      </c>
      <c r="O192" s="56">
        <f t="shared" si="3"/>
        <v>177.6</v>
      </c>
      <c r="P192" s="44">
        <f t="shared" si="32"/>
        <v>5.92</v>
      </c>
      <c r="Q192" s="66"/>
      <c r="R192" s="32"/>
      <c r="S192" s="32"/>
      <c r="T192" s="32"/>
      <c r="U192" s="32"/>
      <c r="V192" s="32"/>
      <c r="W192" s="32"/>
      <c r="X192" s="32"/>
      <c r="Y192" s="32"/>
      <c r="Z192" s="32"/>
    </row>
    <row r="193" spans="1:26" ht="15" customHeight="1" x14ac:dyDescent="0.3">
      <c r="A193" s="45"/>
      <c r="B193" s="426" t="s">
        <v>924</v>
      </c>
      <c r="C193" s="194" t="s">
        <v>2023</v>
      </c>
      <c r="D193" s="46"/>
      <c r="E193" s="46" t="s">
        <v>951</v>
      </c>
      <c r="F193" s="61" t="s">
        <v>31</v>
      </c>
      <c r="G193" s="288">
        <v>6.5</v>
      </c>
      <c r="H193" s="289">
        <v>180</v>
      </c>
      <c r="I193" s="290">
        <v>32</v>
      </c>
      <c r="J193" s="48" t="s">
        <v>39</v>
      </c>
      <c r="K193" s="50"/>
      <c r="L193" s="53" t="str">
        <f t="shared" si="0"/>
        <v>32grams</v>
      </c>
      <c r="M193" s="54">
        <f t="shared" si="1"/>
        <v>5760</v>
      </c>
      <c r="N193" s="55" t="str">
        <f t="shared" si="2"/>
        <v>5760grams</v>
      </c>
      <c r="O193" s="56">
        <f t="shared" si="3"/>
        <v>1170</v>
      </c>
      <c r="P193" s="12"/>
      <c r="Q193" s="12"/>
      <c r="R193" s="12"/>
      <c r="S193" s="151"/>
      <c r="T193" s="12"/>
      <c r="U193" s="12"/>
      <c r="V193" s="12"/>
      <c r="W193" s="12"/>
      <c r="X193" s="12"/>
      <c r="Y193" s="12"/>
      <c r="Z193" s="12"/>
    </row>
    <row r="194" spans="1:26" ht="15" customHeight="1" x14ac:dyDescent="0.3">
      <c r="A194" s="45"/>
      <c r="B194" s="219" t="s">
        <v>924</v>
      </c>
      <c r="C194" s="194" t="s">
        <v>2020</v>
      </c>
      <c r="D194" s="46"/>
      <c r="E194" s="46" t="s">
        <v>952</v>
      </c>
      <c r="F194" s="61" t="s">
        <v>31</v>
      </c>
      <c r="G194" s="288">
        <v>6.13</v>
      </c>
      <c r="H194" s="289">
        <v>10</v>
      </c>
      <c r="I194" s="290">
        <v>33</v>
      </c>
      <c r="J194" s="48" t="s">
        <v>39</v>
      </c>
      <c r="K194" s="50"/>
      <c r="L194" s="53" t="str">
        <f t="shared" si="0"/>
        <v>33grams</v>
      </c>
      <c r="M194" s="54">
        <f t="shared" si="1"/>
        <v>330</v>
      </c>
      <c r="N194" s="55" t="str">
        <f t="shared" si="2"/>
        <v>330grams</v>
      </c>
      <c r="O194" s="56">
        <f t="shared" si="3"/>
        <v>61.3</v>
      </c>
      <c r="P194" s="12"/>
      <c r="Q194" s="12"/>
      <c r="R194" s="12"/>
      <c r="S194" s="151"/>
      <c r="T194" s="12"/>
      <c r="U194" s="12"/>
      <c r="V194" s="12"/>
      <c r="W194" s="12"/>
      <c r="X194" s="12"/>
      <c r="Y194" s="12"/>
      <c r="Z194" s="12"/>
    </row>
    <row r="195" spans="1:26" ht="15" customHeight="1" x14ac:dyDescent="0.3">
      <c r="A195" s="45"/>
      <c r="B195" s="426" t="s">
        <v>924</v>
      </c>
      <c r="C195" s="194" t="s">
        <v>2023</v>
      </c>
      <c r="D195" s="46"/>
      <c r="E195" s="46" t="s">
        <v>953</v>
      </c>
      <c r="F195" s="61" t="s">
        <v>31</v>
      </c>
      <c r="G195" s="288">
        <v>6</v>
      </c>
      <c r="H195" s="289">
        <v>60</v>
      </c>
      <c r="I195" s="290">
        <v>36</v>
      </c>
      <c r="J195" s="48" t="s">
        <v>39</v>
      </c>
      <c r="K195" s="50"/>
      <c r="L195" s="53" t="str">
        <f t="shared" si="0"/>
        <v>36grams</v>
      </c>
      <c r="M195" s="54">
        <f t="shared" si="1"/>
        <v>2160</v>
      </c>
      <c r="N195" s="55" t="str">
        <f t="shared" si="2"/>
        <v>2160grams</v>
      </c>
      <c r="O195" s="56">
        <f t="shared" si="3"/>
        <v>360</v>
      </c>
      <c r="P195" s="12"/>
      <c r="Q195" s="12"/>
      <c r="R195" s="12"/>
      <c r="S195" s="151"/>
      <c r="T195" s="12"/>
      <c r="U195" s="12"/>
      <c r="V195" s="12"/>
      <c r="W195" s="12"/>
      <c r="X195" s="12"/>
      <c r="Y195" s="12"/>
      <c r="Z195" s="12"/>
    </row>
    <row r="196" spans="1:26" ht="15" customHeight="1" x14ac:dyDescent="0.3">
      <c r="A196" s="45">
        <v>860</v>
      </c>
      <c r="B196" s="46" t="s">
        <v>924</v>
      </c>
      <c r="C196" s="194" t="s">
        <v>1368</v>
      </c>
      <c r="D196" s="46"/>
      <c r="E196" s="46" t="s">
        <v>954</v>
      </c>
      <c r="F196" s="61" t="s">
        <v>31</v>
      </c>
      <c r="G196" s="288">
        <v>63.75</v>
      </c>
      <c r="H196" s="289">
        <v>2</v>
      </c>
      <c r="I196" s="290">
        <v>1</v>
      </c>
      <c r="J196" s="48" t="s">
        <v>304</v>
      </c>
      <c r="K196" s="50" t="s">
        <v>2019</v>
      </c>
      <c r="L196" s="53" t="str">
        <f t="shared" si="0"/>
        <v>1packs</v>
      </c>
      <c r="M196" s="54">
        <f t="shared" si="1"/>
        <v>2</v>
      </c>
      <c r="N196" s="55" t="str">
        <f t="shared" si="2"/>
        <v>2packs</v>
      </c>
      <c r="O196" s="56">
        <f t="shared" si="3"/>
        <v>127.5</v>
      </c>
      <c r="P196" s="44">
        <f>O196/H196</f>
        <v>63.75</v>
      </c>
      <c r="Q196" s="66">
        <f>G196-P196</f>
        <v>0</v>
      </c>
      <c r="R196" s="32" t="b">
        <f>P196=G196</f>
        <v>1</v>
      </c>
      <c r="S196" s="32"/>
      <c r="T196" s="32"/>
      <c r="U196" s="32"/>
      <c r="V196" s="32"/>
      <c r="W196" s="32"/>
      <c r="X196" s="32"/>
      <c r="Y196" s="32"/>
      <c r="Z196" s="32"/>
    </row>
    <row r="197" spans="1:26" ht="15" customHeight="1" x14ac:dyDescent="0.3">
      <c r="A197" s="45"/>
      <c r="B197" s="46" t="s">
        <v>924</v>
      </c>
      <c r="C197" s="194" t="s">
        <v>2023</v>
      </c>
      <c r="D197" s="46"/>
      <c r="E197" s="46" t="s">
        <v>955</v>
      </c>
      <c r="F197" s="61" t="s">
        <v>31</v>
      </c>
      <c r="G197" s="288">
        <v>6.88</v>
      </c>
      <c r="H197" s="289">
        <v>100</v>
      </c>
      <c r="I197" s="290">
        <v>30</v>
      </c>
      <c r="J197" s="48" t="s">
        <v>39</v>
      </c>
      <c r="K197" s="50"/>
      <c r="L197" s="53" t="str">
        <f t="shared" si="0"/>
        <v>30grams</v>
      </c>
      <c r="M197" s="54">
        <f t="shared" si="1"/>
        <v>3000</v>
      </c>
      <c r="N197" s="55" t="str">
        <f t="shared" si="2"/>
        <v>3000grams</v>
      </c>
      <c r="O197" s="56">
        <f t="shared" si="3"/>
        <v>688</v>
      </c>
      <c r="P197" s="12"/>
      <c r="Q197" s="12"/>
      <c r="R197" s="12"/>
      <c r="S197" s="151"/>
      <c r="T197" s="12"/>
      <c r="U197" s="12"/>
      <c r="V197" s="12"/>
      <c r="W197" s="12"/>
      <c r="X197" s="12"/>
      <c r="Y197" s="12"/>
      <c r="Z197" s="12"/>
    </row>
    <row r="198" spans="1:26" ht="15" customHeight="1" x14ac:dyDescent="0.3">
      <c r="A198" s="45"/>
      <c r="B198" s="46" t="s">
        <v>924</v>
      </c>
      <c r="C198" s="194" t="s">
        <v>2023</v>
      </c>
      <c r="D198" s="46"/>
      <c r="E198" s="46" t="s">
        <v>935</v>
      </c>
      <c r="F198" s="61" t="s">
        <v>31</v>
      </c>
      <c r="G198" s="288">
        <v>6.9</v>
      </c>
      <c r="H198" s="289">
        <v>48</v>
      </c>
      <c r="I198" s="290">
        <v>30</v>
      </c>
      <c r="J198" s="48" t="s">
        <v>39</v>
      </c>
      <c r="K198" s="50"/>
      <c r="L198" s="53" t="str">
        <f t="shared" si="0"/>
        <v>30grams</v>
      </c>
      <c r="M198" s="54">
        <f t="shared" si="1"/>
        <v>1440</v>
      </c>
      <c r="N198" s="55" t="str">
        <f t="shared" si="2"/>
        <v>1440grams</v>
      </c>
      <c r="O198" s="56">
        <f t="shared" si="3"/>
        <v>331.20000000000005</v>
      </c>
      <c r="P198" s="12"/>
      <c r="Q198" s="12"/>
      <c r="R198" s="12"/>
      <c r="S198" s="151"/>
      <c r="T198" s="12"/>
      <c r="U198" s="12"/>
      <c r="V198" s="12"/>
      <c r="W198" s="12"/>
      <c r="X198" s="12"/>
      <c r="Y198" s="12"/>
      <c r="Z198" s="12"/>
    </row>
    <row r="199" spans="1:26" ht="15" customHeight="1" x14ac:dyDescent="0.3">
      <c r="A199" s="45">
        <v>638</v>
      </c>
      <c r="B199" s="46" t="s">
        <v>924</v>
      </c>
      <c r="C199" s="194" t="s">
        <v>2026</v>
      </c>
      <c r="D199" s="46"/>
      <c r="E199" s="46" t="s">
        <v>956</v>
      </c>
      <c r="F199" s="61" t="s">
        <v>31</v>
      </c>
      <c r="G199" s="288">
        <v>6.14</v>
      </c>
      <c r="H199" s="289">
        <v>30</v>
      </c>
      <c r="I199" s="290">
        <v>30</v>
      </c>
      <c r="J199" s="48" t="s">
        <v>39</v>
      </c>
      <c r="K199" s="50"/>
      <c r="L199" s="53" t="str">
        <f t="shared" si="0"/>
        <v>30grams</v>
      </c>
      <c r="M199" s="54">
        <f t="shared" si="1"/>
        <v>900</v>
      </c>
      <c r="N199" s="55" t="str">
        <f t="shared" si="2"/>
        <v>900grams</v>
      </c>
      <c r="O199" s="56">
        <f t="shared" si="3"/>
        <v>184.2</v>
      </c>
      <c r="P199" s="44">
        <f>O199/H199</f>
        <v>6.14</v>
      </c>
      <c r="Q199" s="66"/>
      <c r="R199" s="32" t="b">
        <f>P199=G199</f>
        <v>1</v>
      </c>
      <c r="S199" s="32"/>
      <c r="T199" s="32"/>
      <c r="U199" s="32"/>
      <c r="V199" s="32"/>
      <c r="W199" s="32"/>
      <c r="X199" s="32"/>
      <c r="Y199" s="32"/>
      <c r="Z199" s="32"/>
    </row>
    <row r="200" spans="1:26" ht="15" customHeight="1" x14ac:dyDescent="0.3">
      <c r="A200" s="427"/>
      <c r="B200" s="299" t="s">
        <v>924</v>
      </c>
      <c r="C200" s="392" t="s">
        <v>2022</v>
      </c>
      <c r="D200" s="299"/>
      <c r="E200" s="299" t="s">
        <v>387</v>
      </c>
      <c r="F200" s="61" t="s">
        <v>31</v>
      </c>
      <c r="G200" s="300">
        <v>7.87</v>
      </c>
      <c r="H200" s="301">
        <v>5</v>
      </c>
      <c r="I200" s="302">
        <v>30</v>
      </c>
      <c r="J200" s="428" t="s">
        <v>39</v>
      </c>
      <c r="K200" s="429"/>
      <c r="L200" s="430" t="str">
        <f t="shared" si="0"/>
        <v>30grams</v>
      </c>
      <c r="M200" s="431">
        <f t="shared" si="1"/>
        <v>150</v>
      </c>
      <c r="N200" s="432" t="str">
        <f t="shared" si="2"/>
        <v>150grams</v>
      </c>
      <c r="O200" s="433">
        <f t="shared" si="3"/>
        <v>39.35</v>
      </c>
      <c r="P200" s="434"/>
      <c r="Q200" s="434"/>
      <c r="R200" s="434"/>
      <c r="S200" s="435"/>
      <c r="T200" s="434"/>
      <c r="U200" s="434"/>
      <c r="V200" s="434"/>
      <c r="W200" s="434"/>
      <c r="X200" s="434"/>
      <c r="Y200" s="434"/>
      <c r="Z200" s="434"/>
    </row>
    <row r="201" spans="1:26" ht="15" customHeight="1" x14ac:dyDescent="0.3">
      <c r="A201" s="45">
        <v>836</v>
      </c>
      <c r="B201" s="46" t="s">
        <v>503</v>
      </c>
      <c r="C201" s="194" t="s">
        <v>1368</v>
      </c>
      <c r="D201" s="46"/>
      <c r="E201" s="46" t="s">
        <v>865</v>
      </c>
      <c r="F201" s="61" t="s">
        <v>31</v>
      </c>
      <c r="G201" s="288">
        <v>17</v>
      </c>
      <c r="H201" s="289">
        <v>5</v>
      </c>
      <c r="I201" s="290">
        <v>100</v>
      </c>
      <c r="J201" s="48" t="s">
        <v>39</v>
      </c>
      <c r="K201" s="50"/>
      <c r="L201" s="53" t="str">
        <f t="shared" si="0"/>
        <v>100grams</v>
      </c>
      <c r="M201" s="54">
        <f t="shared" si="1"/>
        <v>500</v>
      </c>
      <c r="N201" s="55" t="str">
        <f t="shared" si="2"/>
        <v>500grams</v>
      </c>
      <c r="O201" s="56">
        <f t="shared" si="3"/>
        <v>85</v>
      </c>
      <c r="P201" s="44">
        <f>O201/H201</f>
        <v>17</v>
      </c>
      <c r="Q201" s="66"/>
      <c r="R201" s="32"/>
      <c r="S201" s="32"/>
      <c r="T201" s="32"/>
      <c r="U201" s="32"/>
      <c r="V201" s="32"/>
      <c r="W201" s="32"/>
      <c r="X201" s="32"/>
      <c r="Y201" s="32"/>
      <c r="Z201" s="32"/>
    </row>
    <row r="202" spans="1:26" ht="15" customHeight="1" x14ac:dyDescent="0.3">
      <c r="A202" s="45"/>
      <c r="B202" s="46" t="s">
        <v>503</v>
      </c>
      <c r="C202" s="194" t="s">
        <v>2021</v>
      </c>
      <c r="D202" s="46"/>
      <c r="E202" s="219" t="s">
        <v>957</v>
      </c>
      <c r="F202" s="61" t="s">
        <v>31</v>
      </c>
      <c r="G202" s="291">
        <v>28</v>
      </c>
      <c r="H202" s="303">
        <v>1</v>
      </c>
      <c r="I202" s="293">
        <v>180</v>
      </c>
      <c r="J202" s="414" t="s">
        <v>39</v>
      </c>
      <c r="K202" s="50"/>
      <c r="L202" s="53" t="str">
        <f t="shared" si="0"/>
        <v>180grams</v>
      </c>
      <c r="M202" s="54">
        <f t="shared" si="1"/>
        <v>180</v>
      </c>
      <c r="N202" s="55" t="str">
        <f t="shared" si="2"/>
        <v>180grams</v>
      </c>
      <c r="O202" s="56">
        <f t="shared" si="3"/>
        <v>28</v>
      </c>
      <c r="P202" s="12"/>
      <c r="Q202" s="12"/>
      <c r="R202" s="12"/>
      <c r="S202" s="151"/>
      <c r="T202" s="12"/>
      <c r="U202" s="12"/>
      <c r="V202" s="12"/>
      <c r="W202" s="12"/>
      <c r="X202" s="12"/>
      <c r="Y202" s="12"/>
      <c r="Z202" s="12"/>
    </row>
    <row r="203" spans="1:26" ht="15" customHeight="1" x14ac:dyDescent="0.3">
      <c r="A203" s="45"/>
      <c r="B203" s="46" t="s">
        <v>503</v>
      </c>
      <c r="C203" s="194" t="s">
        <v>2022</v>
      </c>
      <c r="D203" s="46"/>
      <c r="E203" s="46" t="s">
        <v>958</v>
      </c>
      <c r="F203" s="61" t="s">
        <v>31</v>
      </c>
      <c r="G203" s="288">
        <v>28</v>
      </c>
      <c r="H203" s="289">
        <v>14</v>
      </c>
      <c r="I203" s="290">
        <v>180</v>
      </c>
      <c r="J203" s="48" t="s">
        <v>39</v>
      </c>
      <c r="K203" s="50"/>
      <c r="L203" s="53" t="str">
        <f t="shared" si="0"/>
        <v>180grams</v>
      </c>
      <c r="M203" s="54">
        <f t="shared" si="1"/>
        <v>2520</v>
      </c>
      <c r="N203" s="55" t="str">
        <f t="shared" si="2"/>
        <v>2520grams</v>
      </c>
      <c r="O203" s="56">
        <f t="shared" si="3"/>
        <v>392</v>
      </c>
      <c r="P203" s="12"/>
      <c r="Q203" s="12"/>
      <c r="R203" s="12"/>
      <c r="S203" s="151"/>
      <c r="T203" s="12"/>
      <c r="U203" s="12"/>
      <c r="V203" s="12"/>
      <c r="W203" s="12"/>
      <c r="X203" s="12"/>
      <c r="Y203" s="12"/>
      <c r="Z203" s="12"/>
    </row>
    <row r="204" spans="1:26" ht="15" customHeight="1" x14ac:dyDescent="0.3">
      <c r="A204" s="45">
        <v>692</v>
      </c>
      <c r="B204" s="46" t="s">
        <v>503</v>
      </c>
      <c r="C204" s="194" t="s">
        <v>2026</v>
      </c>
      <c r="D204" s="46"/>
      <c r="E204" s="46" t="s">
        <v>958</v>
      </c>
      <c r="F204" s="61" t="s">
        <v>31</v>
      </c>
      <c r="G204" s="288">
        <v>31.8</v>
      </c>
      <c r="H204" s="289">
        <v>4</v>
      </c>
      <c r="I204" s="290">
        <v>180</v>
      </c>
      <c r="J204" s="48" t="s">
        <v>39</v>
      </c>
      <c r="K204" s="50"/>
      <c r="L204" s="53" t="str">
        <f t="shared" si="0"/>
        <v>180grams</v>
      </c>
      <c r="M204" s="54">
        <f t="shared" si="1"/>
        <v>720</v>
      </c>
      <c r="N204" s="55" t="str">
        <f t="shared" si="2"/>
        <v>720grams</v>
      </c>
      <c r="O204" s="56">
        <f t="shared" si="3"/>
        <v>127.2</v>
      </c>
      <c r="P204" s="44">
        <f>O204/H204</f>
        <v>31.8</v>
      </c>
      <c r="Q204" s="66"/>
      <c r="R204" s="32" t="b">
        <f>P204=G204</f>
        <v>1</v>
      </c>
      <c r="S204" s="32"/>
      <c r="T204" s="32"/>
      <c r="U204" s="32"/>
      <c r="V204" s="32"/>
      <c r="W204" s="32"/>
      <c r="X204" s="32"/>
      <c r="Y204" s="32"/>
      <c r="Z204" s="32"/>
    </row>
    <row r="205" spans="1:26" ht="15" customHeight="1" x14ac:dyDescent="0.3">
      <c r="A205" s="45"/>
      <c r="B205" s="46" t="s">
        <v>503</v>
      </c>
      <c r="C205" s="194" t="s">
        <v>2023</v>
      </c>
      <c r="D205" s="46"/>
      <c r="E205" s="46" t="s">
        <v>959</v>
      </c>
      <c r="F205" s="61" t="s">
        <v>31</v>
      </c>
      <c r="G205" s="288">
        <v>15.8</v>
      </c>
      <c r="H205" s="289">
        <v>2</v>
      </c>
      <c r="I205" s="290">
        <v>100</v>
      </c>
      <c r="J205" s="48" t="s">
        <v>39</v>
      </c>
      <c r="K205" s="50"/>
      <c r="L205" s="53" t="str">
        <f t="shared" si="0"/>
        <v>100grams</v>
      </c>
      <c r="M205" s="54">
        <f t="shared" si="1"/>
        <v>200</v>
      </c>
      <c r="N205" s="55" t="str">
        <f t="shared" si="2"/>
        <v>200grams</v>
      </c>
      <c r="O205" s="56">
        <f t="shared" si="3"/>
        <v>31.6</v>
      </c>
      <c r="P205" s="44"/>
      <c r="Q205" s="12"/>
      <c r="R205" s="12"/>
      <c r="S205" s="151"/>
      <c r="T205" s="12"/>
      <c r="U205" s="12"/>
      <c r="V205" s="12"/>
      <c r="W205" s="12"/>
      <c r="X205" s="12"/>
      <c r="Y205" s="12"/>
      <c r="Z205" s="12"/>
    </row>
    <row r="206" spans="1:26" ht="15" customHeight="1" x14ac:dyDescent="0.3">
      <c r="A206" s="45"/>
      <c r="B206" s="46" t="s">
        <v>503</v>
      </c>
      <c r="C206" s="194" t="s">
        <v>2021</v>
      </c>
      <c r="D206" s="46"/>
      <c r="E206" s="219" t="s">
        <v>865</v>
      </c>
      <c r="F206" s="61" t="s">
        <v>31</v>
      </c>
      <c r="G206" s="291">
        <v>28</v>
      </c>
      <c r="H206" s="292">
        <v>3</v>
      </c>
      <c r="I206" s="293">
        <v>180</v>
      </c>
      <c r="J206" s="414" t="s">
        <v>39</v>
      </c>
      <c r="K206" s="50"/>
      <c r="L206" s="53" t="str">
        <f t="shared" si="0"/>
        <v>180grams</v>
      </c>
      <c r="M206" s="54">
        <f t="shared" si="1"/>
        <v>540</v>
      </c>
      <c r="N206" s="55" t="str">
        <f t="shared" si="2"/>
        <v>540grams</v>
      </c>
      <c r="O206" s="56">
        <f t="shared" si="3"/>
        <v>84</v>
      </c>
      <c r="P206" s="12"/>
      <c r="Q206" s="12"/>
      <c r="R206" s="12"/>
      <c r="S206" s="151"/>
      <c r="T206" s="12"/>
      <c r="U206" s="12"/>
      <c r="V206" s="12"/>
      <c r="W206" s="12"/>
      <c r="X206" s="12"/>
      <c r="Y206" s="12"/>
      <c r="Z206" s="12"/>
    </row>
    <row r="207" spans="1:26" ht="15" customHeight="1" x14ac:dyDescent="0.3">
      <c r="A207" s="45">
        <v>273</v>
      </c>
      <c r="B207" s="46" t="s">
        <v>503</v>
      </c>
      <c r="C207" s="194" t="s">
        <v>2025</v>
      </c>
      <c r="D207" s="46"/>
      <c r="E207" s="46" t="s">
        <v>960</v>
      </c>
      <c r="F207" s="61" t="s">
        <v>31</v>
      </c>
      <c r="G207" s="288">
        <v>31.1</v>
      </c>
      <c r="H207" s="289">
        <v>10</v>
      </c>
      <c r="I207" s="290">
        <v>110</v>
      </c>
      <c r="J207" s="48" t="s">
        <v>39</v>
      </c>
      <c r="K207" s="50"/>
      <c r="L207" s="53" t="str">
        <f t="shared" si="0"/>
        <v>110grams</v>
      </c>
      <c r="M207" s="54">
        <f t="shared" si="1"/>
        <v>1100</v>
      </c>
      <c r="N207" s="55" t="str">
        <f t="shared" si="2"/>
        <v>1100grams</v>
      </c>
      <c r="O207" s="56">
        <f t="shared" si="3"/>
        <v>311</v>
      </c>
      <c r="P207" s="44">
        <f t="shared" ref="P207:P209" si="33">O207/H207</f>
        <v>31.1</v>
      </c>
      <c r="Q207" s="66"/>
      <c r="R207" s="32" t="b">
        <f t="shared" ref="R207:R209" si="34">P207=G207</f>
        <v>1</v>
      </c>
      <c r="S207" s="32"/>
      <c r="T207" s="32"/>
      <c r="U207" s="32"/>
      <c r="V207" s="32"/>
      <c r="W207" s="32"/>
      <c r="X207" s="32"/>
      <c r="Y207" s="32"/>
      <c r="Z207" s="32"/>
    </row>
    <row r="208" spans="1:26" ht="15" customHeight="1" x14ac:dyDescent="0.3">
      <c r="A208" s="45">
        <v>293</v>
      </c>
      <c r="B208" s="46" t="s">
        <v>961</v>
      </c>
      <c r="C208" s="194" t="s">
        <v>2025</v>
      </c>
      <c r="D208" s="46"/>
      <c r="E208" s="46" t="s">
        <v>962</v>
      </c>
      <c r="F208" s="61" t="s">
        <v>31</v>
      </c>
      <c r="G208" s="288">
        <v>118</v>
      </c>
      <c r="H208" s="289">
        <v>1</v>
      </c>
      <c r="I208" s="290">
        <v>250</v>
      </c>
      <c r="J208" s="48" t="s">
        <v>39</v>
      </c>
      <c r="K208" s="50"/>
      <c r="L208" s="53" t="str">
        <f t="shared" si="0"/>
        <v>250grams</v>
      </c>
      <c r="M208" s="54">
        <f t="shared" si="1"/>
        <v>250</v>
      </c>
      <c r="N208" s="55" t="str">
        <f t="shared" si="2"/>
        <v>250grams</v>
      </c>
      <c r="O208" s="56">
        <f t="shared" si="3"/>
        <v>118</v>
      </c>
      <c r="P208" s="44">
        <f t="shared" si="33"/>
        <v>118</v>
      </c>
      <c r="Q208" s="66"/>
      <c r="R208" s="32" t="b">
        <f t="shared" si="34"/>
        <v>1</v>
      </c>
      <c r="S208" s="32"/>
      <c r="T208" s="32"/>
      <c r="U208" s="32"/>
      <c r="V208" s="32"/>
      <c r="W208" s="32"/>
      <c r="X208" s="32"/>
      <c r="Y208" s="32"/>
      <c r="Z208" s="32"/>
    </row>
    <row r="209" spans="1:26" ht="15" customHeight="1" x14ac:dyDescent="0.3">
      <c r="A209" s="45">
        <v>537</v>
      </c>
      <c r="B209" s="46" t="s">
        <v>506</v>
      </c>
      <c r="C209" s="194" t="s">
        <v>2026</v>
      </c>
      <c r="D209" s="46"/>
      <c r="E209" s="46" t="s">
        <v>963</v>
      </c>
      <c r="F209" s="61" t="s">
        <v>31</v>
      </c>
      <c r="G209" s="288">
        <v>219</v>
      </c>
      <c r="H209" s="289">
        <v>0</v>
      </c>
      <c r="I209" s="290">
        <v>165</v>
      </c>
      <c r="J209" s="48" t="s">
        <v>519</v>
      </c>
      <c r="K209" s="50" t="s">
        <v>2019</v>
      </c>
      <c r="L209" s="53" t="str">
        <f t="shared" si="0"/>
        <v>165drained weight grams</v>
      </c>
      <c r="M209" s="54">
        <f t="shared" si="1"/>
        <v>0</v>
      </c>
      <c r="N209" s="55" t="str">
        <f t="shared" si="2"/>
        <v>0drained weight grams</v>
      </c>
      <c r="O209" s="56">
        <f t="shared" si="3"/>
        <v>0</v>
      </c>
      <c r="P209" s="44" t="e">
        <f t="shared" si="33"/>
        <v>#DIV/0!</v>
      </c>
      <c r="Q209" s="44" t="e">
        <f>G209-P209</f>
        <v>#DIV/0!</v>
      </c>
      <c r="R209" s="32" t="e">
        <f t="shared" si="34"/>
        <v>#DIV/0!</v>
      </c>
      <c r="S209" s="32"/>
      <c r="T209" s="32"/>
      <c r="U209" s="32"/>
      <c r="V209" s="32"/>
      <c r="W209" s="32"/>
      <c r="X209" s="32"/>
      <c r="Y209" s="32"/>
      <c r="Z209" s="32"/>
    </row>
    <row r="210" spans="1:26" ht="15" customHeight="1" x14ac:dyDescent="0.3">
      <c r="A210" s="45"/>
      <c r="B210" s="46" t="s">
        <v>506</v>
      </c>
      <c r="C210" s="194" t="s">
        <v>2023</v>
      </c>
      <c r="D210" s="46"/>
      <c r="E210" s="46" t="s">
        <v>963</v>
      </c>
      <c r="F210" s="61" t="s">
        <v>31</v>
      </c>
      <c r="G210" s="288">
        <v>161</v>
      </c>
      <c r="H210" s="289">
        <v>2</v>
      </c>
      <c r="I210" s="290">
        <v>165</v>
      </c>
      <c r="J210" s="48" t="s">
        <v>519</v>
      </c>
      <c r="K210" s="50"/>
      <c r="L210" s="53" t="str">
        <f t="shared" si="0"/>
        <v>165drained weight grams</v>
      </c>
      <c r="M210" s="54">
        <f t="shared" si="1"/>
        <v>330</v>
      </c>
      <c r="N210" s="55" t="str">
        <f t="shared" si="2"/>
        <v>330drained weight grams</v>
      </c>
      <c r="O210" s="56">
        <f t="shared" si="3"/>
        <v>322</v>
      </c>
      <c r="P210" s="44"/>
      <c r="Q210" s="12"/>
      <c r="R210" s="12"/>
      <c r="S210" s="151"/>
      <c r="T210" s="12"/>
      <c r="U210" s="12"/>
      <c r="V210" s="12"/>
      <c r="W210" s="12"/>
      <c r="X210" s="12"/>
      <c r="Y210" s="12"/>
      <c r="Z210" s="12"/>
    </row>
    <row r="211" spans="1:26" ht="15" customHeight="1" x14ac:dyDescent="0.3">
      <c r="A211" s="45"/>
      <c r="B211" s="46" t="s">
        <v>506</v>
      </c>
      <c r="C211" s="194" t="s">
        <v>2022</v>
      </c>
      <c r="D211" s="46"/>
      <c r="E211" s="46" t="s">
        <v>963</v>
      </c>
      <c r="F211" s="61" t="s">
        <v>31</v>
      </c>
      <c r="G211" s="288">
        <v>78</v>
      </c>
      <c r="H211" s="289">
        <v>1</v>
      </c>
      <c r="I211" s="290">
        <v>70</v>
      </c>
      <c r="J211" s="48" t="s">
        <v>39</v>
      </c>
      <c r="K211" s="50"/>
      <c r="L211" s="53" t="str">
        <f t="shared" si="0"/>
        <v>70grams</v>
      </c>
      <c r="M211" s="54">
        <f t="shared" si="1"/>
        <v>70</v>
      </c>
      <c r="N211" s="55" t="str">
        <f t="shared" si="2"/>
        <v>70grams</v>
      </c>
      <c r="O211" s="56">
        <f t="shared" si="3"/>
        <v>78</v>
      </c>
      <c r="P211" s="12"/>
      <c r="Q211" s="12"/>
      <c r="R211" s="12"/>
      <c r="S211" s="151"/>
      <c r="T211" s="12"/>
      <c r="U211" s="12"/>
      <c r="V211" s="12"/>
      <c r="W211" s="12"/>
      <c r="X211" s="12"/>
      <c r="Y211" s="12"/>
      <c r="Z211" s="12"/>
    </row>
    <row r="212" spans="1:26" ht="15" customHeight="1" x14ac:dyDescent="0.3">
      <c r="A212" s="45">
        <v>91</v>
      </c>
      <c r="B212" s="46" t="s">
        <v>964</v>
      </c>
      <c r="C212" s="194" t="s">
        <v>29</v>
      </c>
      <c r="D212" s="46"/>
      <c r="E212" s="46" t="s">
        <v>965</v>
      </c>
      <c r="F212" s="61" t="s">
        <v>31</v>
      </c>
      <c r="G212" s="288">
        <v>40.4</v>
      </c>
      <c r="H212" s="289">
        <v>3</v>
      </c>
      <c r="I212" s="290">
        <v>100</v>
      </c>
      <c r="J212" s="48" t="s">
        <v>39</v>
      </c>
      <c r="K212" s="61" t="s">
        <v>2019</v>
      </c>
      <c r="L212" s="415" t="str">
        <f t="shared" si="0"/>
        <v>100grams</v>
      </c>
      <c r="M212" s="416">
        <f t="shared" si="1"/>
        <v>300</v>
      </c>
      <c r="N212" s="417" t="str">
        <f t="shared" si="2"/>
        <v>300grams</v>
      </c>
      <c r="O212" s="418">
        <f t="shared" si="3"/>
        <v>121.19999999999999</v>
      </c>
      <c r="P212" s="419">
        <f>O212/H212</f>
        <v>40.4</v>
      </c>
      <c r="Q212" s="66"/>
      <c r="R212" s="32"/>
      <c r="S212" s="32"/>
      <c r="T212" s="32"/>
      <c r="V212" s="32"/>
      <c r="W212" s="32"/>
      <c r="X212" s="32"/>
      <c r="Y212" s="32"/>
      <c r="Z212" s="32"/>
    </row>
    <row r="213" spans="1:26" ht="15" customHeight="1" x14ac:dyDescent="0.3">
      <c r="A213" s="45"/>
      <c r="B213" s="46" t="s">
        <v>964</v>
      </c>
      <c r="C213" s="194" t="s">
        <v>2021</v>
      </c>
      <c r="D213" s="46"/>
      <c r="E213" s="219"/>
      <c r="F213" s="61" t="s">
        <v>31</v>
      </c>
      <c r="G213" s="291">
        <v>650</v>
      </c>
      <c r="H213" s="292">
        <v>3</v>
      </c>
      <c r="I213" s="293">
        <v>1000</v>
      </c>
      <c r="J213" s="414" t="s">
        <v>39</v>
      </c>
      <c r="K213" s="50"/>
      <c r="L213" s="53" t="str">
        <f t="shared" si="0"/>
        <v>1000grams</v>
      </c>
      <c r="M213" s="54">
        <f t="shared" si="1"/>
        <v>3000</v>
      </c>
      <c r="N213" s="55" t="str">
        <f t="shared" si="2"/>
        <v>3000grams</v>
      </c>
      <c r="O213" s="56">
        <f t="shared" si="3"/>
        <v>1950</v>
      </c>
      <c r="P213" s="12"/>
      <c r="Q213" s="12"/>
      <c r="R213" s="12"/>
      <c r="S213" s="151"/>
      <c r="T213" s="12"/>
      <c r="U213" s="12"/>
      <c r="V213" s="12"/>
      <c r="W213" s="12"/>
      <c r="X213" s="12"/>
      <c r="Y213" s="12"/>
      <c r="Z213" s="12"/>
    </row>
    <row r="214" spans="1:26" ht="15" customHeight="1" x14ac:dyDescent="0.3">
      <c r="A214" s="45">
        <v>35</v>
      </c>
      <c r="B214" s="46" t="s">
        <v>966</v>
      </c>
      <c r="C214" s="194" t="s">
        <v>29</v>
      </c>
      <c r="D214" s="46"/>
      <c r="E214" s="46" t="s">
        <v>967</v>
      </c>
      <c r="F214" s="61" t="s">
        <v>31</v>
      </c>
      <c r="G214" s="288">
        <v>590</v>
      </c>
      <c r="H214" s="289">
        <v>0</v>
      </c>
      <c r="I214" s="290">
        <v>1000</v>
      </c>
      <c r="J214" s="48" t="s">
        <v>39</v>
      </c>
      <c r="K214" s="61" t="s">
        <v>2019</v>
      </c>
      <c r="L214" s="415" t="str">
        <f t="shared" si="0"/>
        <v>1000grams</v>
      </c>
      <c r="M214" s="416">
        <f t="shared" si="1"/>
        <v>0</v>
      </c>
      <c r="N214" s="417" t="str">
        <f t="shared" si="2"/>
        <v>0grams</v>
      </c>
      <c r="O214" s="418">
        <f t="shared" si="3"/>
        <v>0</v>
      </c>
      <c r="P214" s="419" t="e">
        <f t="shared" ref="P214:P215" si="35">O214/H214</f>
        <v>#DIV/0!</v>
      </c>
      <c r="Q214" s="66"/>
      <c r="R214" s="32"/>
      <c r="S214" s="32"/>
      <c r="T214" s="32"/>
      <c r="V214" s="32"/>
      <c r="W214" s="32"/>
      <c r="X214" s="32"/>
      <c r="Y214" s="32"/>
      <c r="Z214" s="32"/>
    </row>
    <row r="215" spans="1:26" ht="15" customHeight="1" x14ac:dyDescent="0.3">
      <c r="A215" s="45">
        <v>189</v>
      </c>
      <c r="B215" s="46" t="s">
        <v>966</v>
      </c>
      <c r="C215" s="194" t="s">
        <v>2024</v>
      </c>
      <c r="D215" s="46"/>
      <c r="E215" s="46" t="s">
        <v>967</v>
      </c>
      <c r="F215" s="61" t="s">
        <v>31</v>
      </c>
      <c r="G215" s="288">
        <v>590</v>
      </c>
      <c r="H215" s="289">
        <v>1</v>
      </c>
      <c r="I215" s="290">
        <v>1000</v>
      </c>
      <c r="J215" s="48" t="s">
        <v>39</v>
      </c>
      <c r="K215" s="50"/>
      <c r="L215" s="53" t="str">
        <f t="shared" si="0"/>
        <v>1000grams</v>
      </c>
      <c r="M215" s="54">
        <f t="shared" si="1"/>
        <v>1000</v>
      </c>
      <c r="N215" s="55" t="str">
        <f t="shared" si="2"/>
        <v>1000grams</v>
      </c>
      <c r="O215" s="56">
        <f t="shared" si="3"/>
        <v>590</v>
      </c>
      <c r="P215" s="44">
        <f t="shared" si="35"/>
        <v>590</v>
      </c>
      <c r="Q215" s="66"/>
      <c r="R215" s="32"/>
      <c r="S215" s="32"/>
      <c r="T215" s="32"/>
      <c r="U215" s="32"/>
      <c r="V215" s="32"/>
      <c r="W215" s="32"/>
      <c r="X215" s="32"/>
      <c r="Y215" s="32"/>
      <c r="Z215" s="32"/>
    </row>
    <row r="216" spans="1:26" ht="15" customHeight="1" x14ac:dyDescent="0.3">
      <c r="A216" s="45"/>
      <c r="B216" s="46" t="s">
        <v>966</v>
      </c>
      <c r="C216" s="194" t="s">
        <v>2023</v>
      </c>
      <c r="D216" s="46"/>
      <c r="E216" s="46" t="s">
        <v>967</v>
      </c>
      <c r="F216" s="61" t="s">
        <v>31</v>
      </c>
      <c r="G216" s="288">
        <v>590</v>
      </c>
      <c r="H216" s="289">
        <v>2</v>
      </c>
      <c r="I216" s="290">
        <v>1000</v>
      </c>
      <c r="J216" s="48" t="s">
        <v>39</v>
      </c>
      <c r="K216" s="50"/>
      <c r="L216" s="53" t="str">
        <f t="shared" si="0"/>
        <v>1000grams</v>
      </c>
      <c r="M216" s="54">
        <f t="shared" si="1"/>
        <v>2000</v>
      </c>
      <c r="N216" s="55" t="str">
        <f t="shared" si="2"/>
        <v>2000grams</v>
      </c>
      <c r="O216" s="56">
        <f t="shared" si="3"/>
        <v>1180</v>
      </c>
      <c r="P216" s="44"/>
      <c r="Q216" s="12"/>
      <c r="R216" s="12"/>
      <c r="S216" s="151"/>
      <c r="T216" s="12"/>
      <c r="U216" s="12"/>
      <c r="V216" s="12"/>
      <c r="W216" s="12"/>
      <c r="X216" s="12"/>
      <c r="Y216" s="12"/>
      <c r="Z216" s="12"/>
    </row>
    <row r="217" spans="1:26" ht="15" customHeight="1" x14ac:dyDescent="0.3">
      <c r="A217" s="45">
        <v>291</v>
      </c>
      <c r="B217" s="46" t="s">
        <v>966</v>
      </c>
      <c r="C217" s="194" t="s">
        <v>2025</v>
      </c>
      <c r="D217" s="46"/>
      <c r="E217" s="46" t="s">
        <v>962</v>
      </c>
      <c r="F217" s="61" t="s">
        <v>31</v>
      </c>
      <c r="G217" s="288">
        <v>250</v>
      </c>
      <c r="H217" s="289">
        <v>6</v>
      </c>
      <c r="I217" s="290">
        <v>250</v>
      </c>
      <c r="J217" s="48" t="s">
        <v>39</v>
      </c>
      <c r="K217" s="50"/>
      <c r="L217" s="53" t="str">
        <f t="shared" si="0"/>
        <v>250grams</v>
      </c>
      <c r="M217" s="54">
        <f t="shared" si="1"/>
        <v>1500</v>
      </c>
      <c r="N217" s="55" t="str">
        <f t="shared" si="2"/>
        <v>1500grams</v>
      </c>
      <c r="O217" s="56">
        <f t="shared" si="3"/>
        <v>1500</v>
      </c>
      <c r="P217" s="44">
        <f t="shared" ref="P217:P218" si="36">O217/H217</f>
        <v>250</v>
      </c>
      <c r="Q217" s="66"/>
      <c r="R217" s="32" t="b">
        <f t="shared" ref="R217:R218" si="37">P217=G217</f>
        <v>1</v>
      </c>
      <c r="S217" s="32"/>
      <c r="T217" s="32"/>
      <c r="U217" s="32"/>
      <c r="V217" s="32"/>
      <c r="W217" s="32"/>
      <c r="X217" s="32"/>
      <c r="Y217" s="32"/>
      <c r="Z217" s="32"/>
    </row>
    <row r="218" spans="1:26" ht="15" customHeight="1" x14ac:dyDescent="0.3">
      <c r="A218" s="45">
        <v>304</v>
      </c>
      <c r="B218" s="46" t="s">
        <v>968</v>
      </c>
      <c r="C218" s="194" t="s">
        <v>2025</v>
      </c>
      <c r="D218" s="46"/>
      <c r="E218" s="46" t="s">
        <v>969</v>
      </c>
      <c r="F218" s="61" t="s">
        <v>31</v>
      </c>
      <c r="G218" s="288">
        <v>350</v>
      </c>
      <c r="H218" s="289">
        <v>1</v>
      </c>
      <c r="I218" s="290">
        <v>500</v>
      </c>
      <c r="J218" s="48" t="s">
        <v>39</v>
      </c>
      <c r="K218" s="50"/>
      <c r="L218" s="53" t="str">
        <f t="shared" si="0"/>
        <v>500grams</v>
      </c>
      <c r="M218" s="54">
        <f t="shared" si="1"/>
        <v>500</v>
      </c>
      <c r="N218" s="55" t="str">
        <f t="shared" si="2"/>
        <v>500grams</v>
      </c>
      <c r="O218" s="56">
        <f t="shared" si="3"/>
        <v>350</v>
      </c>
      <c r="P218" s="44">
        <f t="shared" si="36"/>
        <v>350</v>
      </c>
      <c r="Q218" s="66"/>
      <c r="R218" s="32" t="b">
        <f t="shared" si="37"/>
        <v>1</v>
      </c>
      <c r="S218" s="32"/>
      <c r="T218" s="32"/>
      <c r="U218" s="32"/>
      <c r="V218" s="32"/>
      <c r="W218" s="32"/>
      <c r="X218" s="32"/>
      <c r="Y218" s="32"/>
      <c r="Z218" s="32"/>
    </row>
    <row r="219" spans="1:26" ht="15" customHeight="1" x14ac:dyDescent="0.3">
      <c r="A219" s="45"/>
      <c r="B219" s="219" t="s">
        <v>509</v>
      </c>
      <c r="C219" s="194" t="s">
        <v>2021</v>
      </c>
      <c r="D219" s="46"/>
      <c r="E219" s="219" t="s">
        <v>199</v>
      </c>
      <c r="F219" s="61" t="s">
        <v>31</v>
      </c>
      <c r="G219" s="291">
        <v>127</v>
      </c>
      <c r="H219" s="292">
        <v>8</v>
      </c>
      <c r="I219" s="293">
        <v>1</v>
      </c>
      <c r="J219" s="414" t="s">
        <v>200</v>
      </c>
      <c r="K219" s="50"/>
      <c r="L219" s="53" t="str">
        <f t="shared" si="0"/>
        <v>1gal</v>
      </c>
      <c r="M219" s="54">
        <f t="shared" si="1"/>
        <v>8</v>
      </c>
      <c r="N219" s="55" t="str">
        <f t="shared" si="2"/>
        <v>8gal</v>
      </c>
      <c r="O219" s="56">
        <f t="shared" si="3"/>
        <v>1016</v>
      </c>
      <c r="P219" s="12"/>
      <c r="Q219" s="12"/>
      <c r="R219" s="12"/>
      <c r="S219" s="151"/>
      <c r="T219" s="12"/>
      <c r="U219" s="12"/>
      <c r="V219" s="12"/>
      <c r="W219" s="12"/>
      <c r="X219" s="12"/>
      <c r="Y219" s="12"/>
      <c r="Z219" s="12"/>
    </row>
    <row r="220" spans="1:26" ht="15" customHeight="1" x14ac:dyDescent="0.3">
      <c r="A220" s="45">
        <v>713</v>
      </c>
      <c r="B220" s="46" t="s">
        <v>970</v>
      </c>
      <c r="C220" s="194" t="s">
        <v>2026</v>
      </c>
      <c r="D220" s="46"/>
      <c r="E220" s="46" t="s">
        <v>971</v>
      </c>
      <c r="F220" s="61" t="s">
        <v>31</v>
      </c>
      <c r="G220" s="288">
        <v>47</v>
      </c>
      <c r="H220" s="289">
        <v>3</v>
      </c>
      <c r="I220" s="290">
        <v>240</v>
      </c>
      <c r="J220" s="48" t="s">
        <v>39</v>
      </c>
      <c r="K220" s="50"/>
      <c r="L220" s="53" t="str">
        <f t="shared" si="0"/>
        <v>240grams</v>
      </c>
      <c r="M220" s="54">
        <f t="shared" si="1"/>
        <v>720</v>
      </c>
      <c r="N220" s="55" t="str">
        <f t="shared" si="2"/>
        <v>720grams</v>
      </c>
      <c r="O220" s="56">
        <f t="shared" si="3"/>
        <v>141</v>
      </c>
      <c r="P220" s="44">
        <f>O220/H220</f>
        <v>47</v>
      </c>
      <c r="Q220" s="66"/>
      <c r="R220" s="32" t="b">
        <f>P220=G220</f>
        <v>1</v>
      </c>
      <c r="S220" s="32"/>
      <c r="T220" s="32"/>
      <c r="U220" s="32"/>
      <c r="V220" s="32"/>
      <c r="W220" s="32"/>
      <c r="X220" s="32"/>
      <c r="Y220" s="32"/>
      <c r="Z220" s="32"/>
    </row>
    <row r="221" spans="1:26" ht="15" customHeight="1" x14ac:dyDescent="0.3">
      <c r="A221" s="45"/>
      <c r="B221" s="46" t="s">
        <v>970</v>
      </c>
      <c r="C221" s="194" t="s">
        <v>2023</v>
      </c>
      <c r="D221" s="46"/>
      <c r="E221" s="46" t="s">
        <v>971</v>
      </c>
      <c r="F221" s="61" t="s">
        <v>31</v>
      </c>
      <c r="G221" s="288">
        <v>44.21</v>
      </c>
      <c r="H221" s="289">
        <v>5</v>
      </c>
      <c r="I221" s="290">
        <v>240</v>
      </c>
      <c r="J221" s="48" t="s">
        <v>39</v>
      </c>
      <c r="K221" s="50"/>
      <c r="L221" s="53" t="str">
        <f t="shared" si="0"/>
        <v>240grams</v>
      </c>
      <c r="M221" s="54">
        <f t="shared" si="1"/>
        <v>1200</v>
      </c>
      <c r="N221" s="55" t="str">
        <f t="shared" si="2"/>
        <v>1200grams</v>
      </c>
      <c r="O221" s="56">
        <f t="shared" si="3"/>
        <v>221.05</v>
      </c>
      <c r="P221" s="12"/>
      <c r="Q221" s="12"/>
      <c r="R221" s="12"/>
      <c r="S221" s="151"/>
      <c r="T221" s="12"/>
      <c r="U221" s="12"/>
      <c r="V221" s="12"/>
      <c r="W221" s="12"/>
      <c r="X221" s="12"/>
      <c r="Y221" s="12"/>
      <c r="Z221" s="12"/>
    </row>
    <row r="222" spans="1:26" ht="15" customHeight="1" x14ac:dyDescent="0.3">
      <c r="A222" s="45">
        <v>714</v>
      </c>
      <c r="B222" s="219" t="s">
        <v>972</v>
      </c>
      <c r="C222" s="194" t="s">
        <v>2026</v>
      </c>
      <c r="D222" s="46"/>
      <c r="E222" s="46" t="s">
        <v>971</v>
      </c>
      <c r="F222" s="61" t="s">
        <v>31</v>
      </c>
      <c r="G222" s="288">
        <v>47</v>
      </c>
      <c r="H222" s="289">
        <v>2</v>
      </c>
      <c r="I222" s="290">
        <v>240</v>
      </c>
      <c r="J222" s="48" t="s">
        <v>39</v>
      </c>
      <c r="K222" s="50"/>
      <c r="L222" s="53" t="str">
        <f t="shared" si="0"/>
        <v>240grams</v>
      </c>
      <c r="M222" s="54">
        <f t="shared" si="1"/>
        <v>480</v>
      </c>
      <c r="N222" s="55" t="str">
        <f t="shared" si="2"/>
        <v>480grams</v>
      </c>
      <c r="O222" s="56">
        <f t="shared" si="3"/>
        <v>94</v>
      </c>
      <c r="P222" s="44">
        <f>O222/H222</f>
        <v>47</v>
      </c>
      <c r="Q222" s="66"/>
      <c r="R222" s="32"/>
      <c r="S222" s="32"/>
      <c r="T222" s="32"/>
      <c r="U222" s="32"/>
      <c r="V222" s="32"/>
      <c r="W222" s="32"/>
      <c r="X222" s="32"/>
      <c r="Y222" s="32"/>
      <c r="Z222" s="32"/>
    </row>
    <row r="223" spans="1:26" ht="15" customHeight="1" x14ac:dyDescent="0.3">
      <c r="A223" s="45"/>
      <c r="B223" s="46" t="s">
        <v>973</v>
      </c>
      <c r="C223" s="194" t="s">
        <v>2022</v>
      </c>
      <c r="D223" s="46"/>
      <c r="E223" s="46" t="s">
        <v>974</v>
      </c>
      <c r="F223" s="61" t="s">
        <v>31</v>
      </c>
      <c r="G223" s="288">
        <v>25.44</v>
      </c>
      <c r="H223" s="289">
        <v>39</v>
      </c>
      <c r="I223" s="290">
        <v>500</v>
      </c>
      <c r="J223" s="422" t="s">
        <v>32</v>
      </c>
      <c r="K223" s="50"/>
      <c r="L223" s="53" t="str">
        <f t="shared" si="0"/>
        <v>500ml</v>
      </c>
      <c r="M223" s="54">
        <f t="shared" si="1"/>
        <v>19500</v>
      </c>
      <c r="N223" s="55" t="str">
        <f t="shared" si="2"/>
        <v>19500ml</v>
      </c>
      <c r="O223" s="56">
        <f t="shared" si="3"/>
        <v>992.16000000000008</v>
      </c>
      <c r="P223" s="12"/>
      <c r="Q223" s="12"/>
      <c r="R223" s="12"/>
      <c r="S223" s="151"/>
      <c r="T223" s="12"/>
      <c r="U223" s="12"/>
      <c r="V223" s="12"/>
      <c r="W223" s="12"/>
      <c r="X223" s="12"/>
      <c r="Y223" s="12"/>
      <c r="Z223" s="12"/>
    </row>
    <row r="224" spans="1:26" ht="15" customHeight="1" x14ac:dyDescent="0.3">
      <c r="A224" s="45"/>
      <c r="B224" s="46" t="s">
        <v>973</v>
      </c>
      <c r="C224" s="194" t="s">
        <v>2022</v>
      </c>
      <c r="D224" s="46"/>
      <c r="E224" s="46" t="s">
        <v>974</v>
      </c>
      <c r="F224" s="61" t="s">
        <v>31</v>
      </c>
      <c r="G224" s="288">
        <v>20.75</v>
      </c>
      <c r="H224" s="289">
        <v>221</v>
      </c>
      <c r="I224" s="290">
        <v>350</v>
      </c>
      <c r="J224" s="422" t="s">
        <v>32</v>
      </c>
      <c r="K224" s="50"/>
      <c r="L224" s="53" t="str">
        <f t="shared" si="0"/>
        <v>350ml</v>
      </c>
      <c r="M224" s="54">
        <f t="shared" si="1"/>
        <v>77350</v>
      </c>
      <c r="N224" s="55" t="str">
        <f t="shared" si="2"/>
        <v>77350ml</v>
      </c>
      <c r="O224" s="56">
        <f t="shared" si="3"/>
        <v>4585.75</v>
      </c>
      <c r="P224" s="12"/>
      <c r="Q224" s="12"/>
      <c r="R224" s="12"/>
      <c r="S224" s="151"/>
      <c r="T224" s="12"/>
      <c r="U224" s="12"/>
      <c r="V224" s="12"/>
      <c r="W224" s="12"/>
      <c r="X224" s="12"/>
      <c r="Y224" s="12"/>
      <c r="Z224" s="12"/>
    </row>
    <row r="225" spans="1:26" ht="15" customHeight="1" x14ac:dyDescent="0.3">
      <c r="A225" s="45"/>
      <c r="B225" s="46" t="s">
        <v>973</v>
      </c>
      <c r="C225" s="194" t="s">
        <v>2021</v>
      </c>
      <c r="D225" s="46"/>
      <c r="E225" s="46" t="s">
        <v>974</v>
      </c>
      <c r="F225" s="61" t="s">
        <v>31</v>
      </c>
      <c r="G225" s="291">
        <v>25.22</v>
      </c>
      <c r="H225" s="292">
        <v>21</v>
      </c>
      <c r="I225" s="293">
        <v>500</v>
      </c>
      <c r="J225" s="436" t="s">
        <v>32</v>
      </c>
      <c r="K225" s="50"/>
      <c r="L225" s="53" t="str">
        <f t="shared" si="0"/>
        <v>500ml</v>
      </c>
      <c r="M225" s="54">
        <f t="shared" si="1"/>
        <v>10500</v>
      </c>
      <c r="N225" s="55" t="str">
        <f t="shared" si="2"/>
        <v>10500ml</v>
      </c>
      <c r="O225" s="56">
        <f t="shared" si="3"/>
        <v>529.62</v>
      </c>
      <c r="P225" s="12"/>
      <c r="Q225" s="12"/>
      <c r="R225" s="12"/>
      <c r="S225" s="151"/>
      <c r="T225" s="12"/>
      <c r="U225" s="12"/>
      <c r="V225" s="12"/>
      <c r="W225" s="12"/>
      <c r="X225" s="12"/>
      <c r="Y225" s="12"/>
      <c r="Z225" s="12"/>
    </row>
    <row r="226" spans="1:26" ht="15" customHeight="1" x14ac:dyDescent="0.3">
      <c r="A226" s="45">
        <v>368</v>
      </c>
      <c r="B226" s="46" t="s">
        <v>975</v>
      </c>
      <c r="C226" s="194" t="s">
        <v>2025</v>
      </c>
      <c r="D226" s="46"/>
      <c r="E226" s="46" t="s">
        <v>976</v>
      </c>
      <c r="F226" s="61" t="s">
        <v>31</v>
      </c>
      <c r="G226" s="288">
        <v>4</v>
      </c>
      <c r="H226" s="289">
        <v>183</v>
      </c>
      <c r="I226" s="290">
        <v>1</v>
      </c>
      <c r="J226" s="420" t="s">
        <v>92</v>
      </c>
      <c r="K226" s="50" t="s">
        <v>2019</v>
      </c>
      <c r="L226" s="53" t="str">
        <f t="shared" si="0"/>
        <v>1pieces</v>
      </c>
      <c r="M226" s="54">
        <f t="shared" si="1"/>
        <v>183</v>
      </c>
      <c r="N226" s="55" t="str">
        <f t="shared" si="2"/>
        <v>183pieces</v>
      </c>
      <c r="O226" s="56">
        <f t="shared" si="3"/>
        <v>732</v>
      </c>
      <c r="P226" s="44">
        <f t="shared" ref="P226:P231" si="38">O226/H226</f>
        <v>4</v>
      </c>
      <c r="Q226" s="66">
        <f>G226-P226</f>
        <v>0</v>
      </c>
      <c r="R226" s="32" t="b">
        <f>P226=G226</f>
        <v>1</v>
      </c>
      <c r="S226" s="32"/>
      <c r="T226" s="32"/>
      <c r="U226" s="32"/>
      <c r="V226" s="32"/>
      <c r="W226" s="32"/>
      <c r="X226" s="32"/>
      <c r="Y226" s="32"/>
      <c r="Z226" s="32"/>
    </row>
    <row r="227" spans="1:26" ht="15" customHeight="1" x14ac:dyDescent="0.3">
      <c r="A227" s="45">
        <v>370</v>
      </c>
      <c r="B227" s="46" t="s">
        <v>975</v>
      </c>
      <c r="C227" s="194" t="s">
        <v>2025</v>
      </c>
      <c r="D227" s="46"/>
      <c r="E227" s="46" t="s">
        <v>977</v>
      </c>
      <c r="F227" s="61" t="s">
        <v>31</v>
      </c>
      <c r="G227" s="288">
        <v>6</v>
      </c>
      <c r="H227" s="289">
        <v>20</v>
      </c>
      <c r="I227" s="290">
        <v>1</v>
      </c>
      <c r="J227" s="48" t="s">
        <v>92</v>
      </c>
      <c r="K227" s="50"/>
      <c r="L227" s="53" t="str">
        <f t="shared" si="0"/>
        <v>1pieces</v>
      </c>
      <c r="M227" s="54">
        <f t="shared" si="1"/>
        <v>20</v>
      </c>
      <c r="N227" s="55" t="str">
        <f t="shared" si="2"/>
        <v>20pieces</v>
      </c>
      <c r="O227" s="56">
        <f t="shared" si="3"/>
        <v>120</v>
      </c>
      <c r="P227" s="44">
        <f t="shared" si="38"/>
        <v>6</v>
      </c>
      <c r="Q227" s="66"/>
      <c r="R227" s="32"/>
      <c r="S227" s="32"/>
      <c r="T227" s="32"/>
      <c r="U227" s="32"/>
      <c r="V227" s="32"/>
      <c r="W227" s="32"/>
      <c r="X227" s="32"/>
      <c r="Y227" s="32"/>
      <c r="Z227" s="32"/>
    </row>
    <row r="228" spans="1:26" ht="15" customHeight="1" x14ac:dyDescent="0.3">
      <c r="A228" s="45">
        <v>369</v>
      </c>
      <c r="B228" s="46" t="s">
        <v>975</v>
      </c>
      <c r="C228" s="194" t="s">
        <v>2025</v>
      </c>
      <c r="D228" s="46"/>
      <c r="E228" s="46" t="s">
        <v>978</v>
      </c>
      <c r="F228" s="61" t="s">
        <v>31</v>
      </c>
      <c r="G228" s="288">
        <v>5</v>
      </c>
      <c r="H228" s="289">
        <v>183</v>
      </c>
      <c r="I228" s="290">
        <v>1</v>
      </c>
      <c r="J228" s="48" t="s">
        <v>92</v>
      </c>
      <c r="K228" s="50"/>
      <c r="L228" s="53" t="str">
        <f t="shared" si="0"/>
        <v>1pieces</v>
      </c>
      <c r="M228" s="54">
        <f t="shared" si="1"/>
        <v>183</v>
      </c>
      <c r="N228" s="55" t="str">
        <f t="shared" si="2"/>
        <v>183pieces</v>
      </c>
      <c r="O228" s="56">
        <f t="shared" si="3"/>
        <v>915</v>
      </c>
      <c r="P228" s="44">
        <f t="shared" si="38"/>
        <v>5</v>
      </c>
      <c r="Q228" s="66"/>
      <c r="R228" s="32" t="b">
        <f t="shared" ref="R228:R229" si="39">P228=G228</f>
        <v>1</v>
      </c>
      <c r="S228" s="32"/>
      <c r="T228" s="32"/>
      <c r="U228" s="32"/>
      <c r="V228" s="32"/>
      <c r="W228" s="32"/>
      <c r="X228" s="32"/>
      <c r="Y228" s="32"/>
      <c r="Z228" s="32"/>
    </row>
    <row r="229" spans="1:26" ht="15" customHeight="1" x14ac:dyDescent="0.3">
      <c r="A229" s="45">
        <v>302</v>
      </c>
      <c r="B229" s="46" t="s">
        <v>48</v>
      </c>
      <c r="C229" s="194" t="s">
        <v>2025</v>
      </c>
      <c r="D229" s="46"/>
      <c r="E229" s="46" t="s">
        <v>959</v>
      </c>
      <c r="F229" s="61" t="s">
        <v>31</v>
      </c>
      <c r="G229" s="288">
        <v>145</v>
      </c>
      <c r="H229" s="289">
        <v>2</v>
      </c>
      <c r="I229" s="290">
        <v>1</v>
      </c>
      <c r="J229" s="48" t="s">
        <v>213</v>
      </c>
      <c r="K229" s="50"/>
      <c r="L229" s="53" t="str">
        <f t="shared" si="0"/>
        <v>1kilos</v>
      </c>
      <c r="M229" s="54">
        <f t="shared" si="1"/>
        <v>2</v>
      </c>
      <c r="N229" s="55" t="str">
        <f t="shared" si="2"/>
        <v>2kilos</v>
      </c>
      <c r="O229" s="56">
        <f t="shared" si="3"/>
        <v>290</v>
      </c>
      <c r="P229" s="44">
        <f t="shared" si="38"/>
        <v>145</v>
      </c>
      <c r="Q229" s="66"/>
      <c r="R229" s="32" t="b">
        <f t="shared" si="39"/>
        <v>1</v>
      </c>
      <c r="S229" s="32"/>
      <c r="T229" s="32"/>
      <c r="U229" s="32"/>
      <c r="V229" s="32"/>
      <c r="W229" s="32"/>
      <c r="X229" s="32"/>
      <c r="Y229" s="32"/>
      <c r="Z229" s="32"/>
    </row>
    <row r="230" spans="1:26" ht="15" customHeight="1" x14ac:dyDescent="0.3">
      <c r="A230" s="45">
        <v>680</v>
      </c>
      <c r="B230" s="46" t="s">
        <v>48</v>
      </c>
      <c r="C230" s="194" t="s">
        <v>2026</v>
      </c>
      <c r="D230" s="46"/>
      <c r="E230" s="46" t="s">
        <v>979</v>
      </c>
      <c r="F230" s="61" t="s">
        <v>31</v>
      </c>
      <c r="G230" s="288">
        <v>36.700000000000003</v>
      </c>
      <c r="H230" s="289">
        <v>2</v>
      </c>
      <c r="I230" s="290">
        <v>230</v>
      </c>
      <c r="J230" s="48" t="s">
        <v>39</v>
      </c>
      <c r="K230" s="50"/>
      <c r="L230" s="53" t="str">
        <f t="shared" si="0"/>
        <v>230grams</v>
      </c>
      <c r="M230" s="54">
        <f t="shared" si="1"/>
        <v>460</v>
      </c>
      <c r="N230" s="55" t="str">
        <f t="shared" si="2"/>
        <v>460grams</v>
      </c>
      <c r="O230" s="56">
        <f t="shared" si="3"/>
        <v>73.400000000000006</v>
      </c>
      <c r="P230" s="44">
        <f t="shared" si="38"/>
        <v>36.700000000000003</v>
      </c>
      <c r="Q230" s="66"/>
      <c r="R230" s="32"/>
      <c r="S230" s="32"/>
      <c r="T230" s="32"/>
      <c r="U230" s="32"/>
      <c r="V230" s="32"/>
      <c r="W230" s="32"/>
      <c r="X230" s="32"/>
      <c r="Y230" s="32"/>
      <c r="Z230" s="32"/>
    </row>
    <row r="231" spans="1:26" ht="15" customHeight="1" x14ac:dyDescent="0.3">
      <c r="A231" s="45">
        <v>826</v>
      </c>
      <c r="B231" s="46" t="s">
        <v>48</v>
      </c>
      <c r="C231" s="194" t="s">
        <v>1368</v>
      </c>
      <c r="D231" s="46"/>
      <c r="E231" s="46" t="s">
        <v>980</v>
      </c>
      <c r="F231" s="61" t="s">
        <v>31</v>
      </c>
      <c r="G231" s="288">
        <v>41</v>
      </c>
      <c r="H231" s="289">
        <v>5</v>
      </c>
      <c r="I231" s="290">
        <v>230</v>
      </c>
      <c r="J231" s="48" t="s">
        <v>39</v>
      </c>
      <c r="K231" s="50"/>
      <c r="L231" s="53" t="str">
        <f t="shared" si="0"/>
        <v>230grams</v>
      </c>
      <c r="M231" s="54">
        <f t="shared" si="1"/>
        <v>1150</v>
      </c>
      <c r="N231" s="55" t="str">
        <f t="shared" si="2"/>
        <v>1150grams</v>
      </c>
      <c r="O231" s="56">
        <f t="shared" si="3"/>
        <v>205</v>
      </c>
      <c r="P231" s="44">
        <f t="shared" si="38"/>
        <v>41</v>
      </c>
      <c r="Q231" s="66"/>
      <c r="R231" s="32" t="b">
        <f>P231=G231</f>
        <v>1</v>
      </c>
      <c r="S231" s="32"/>
      <c r="T231" s="32"/>
      <c r="U231" s="32"/>
      <c r="V231" s="32"/>
      <c r="W231" s="32"/>
      <c r="X231" s="32"/>
      <c r="Y231" s="32"/>
      <c r="Z231" s="32"/>
    </row>
    <row r="232" spans="1:26" ht="15" customHeight="1" x14ac:dyDescent="0.3">
      <c r="A232" s="45"/>
      <c r="B232" s="46" t="s">
        <v>48</v>
      </c>
      <c r="C232" s="194" t="s">
        <v>2023</v>
      </c>
      <c r="D232" s="46"/>
      <c r="E232" s="46" t="s">
        <v>980</v>
      </c>
      <c r="F232" s="61" t="s">
        <v>31</v>
      </c>
      <c r="G232" s="288">
        <v>36.700000000000003</v>
      </c>
      <c r="H232" s="289">
        <v>5</v>
      </c>
      <c r="I232" s="290">
        <v>230</v>
      </c>
      <c r="J232" s="48" t="s">
        <v>39</v>
      </c>
      <c r="K232" s="50"/>
      <c r="L232" s="53" t="str">
        <f t="shared" si="0"/>
        <v>230grams</v>
      </c>
      <c r="M232" s="54">
        <f t="shared" si="1"/>
        <v>1150</v>
      </c>
      <c r="N232" s="55" t="str">
        <f t="shared" si="2"/>
        <v>1150grams</v>
      </c>
      <c r="O232" s="56">
        <f t="shared" si="3"/>
        <v>183.5</v>
      </c>
      <c r="P232" s="12"/>
      <c r="Q232" s="12"/>
      <c r="R232" s="12"/>
      <c r="S232" s="151"/>
      <c r="T232" s="12"/>
      <c r="U232" s="12"/>
      <c r="V232" s="12"/>
      <c r="W232" s="12"/>
      <c r="X232" s="12"/>
      <c r="Y232" s="12"/>
      <c r="Z232" s="12"/>
    </row>
    <row r="233" spans="1:26" ht="15" customHeight="1" x14ac:dyDescent="0.3">
      <c r="A233" s="45"/>
      <c r="B233" s="46" t="s">
        <v>48</v>
      </c>
      <c r="C233" s="194" t="s">
        <v>2022</v>
      </c>
      <c r="D233" s="46"/>
      <c r="E233" s="305" t="s">
        <v>981</v>
      </c>
      <c r="F233" s="61" t="s">
        <v>31</v>
      </c>
      <c r="G233" s="288">
        <v>38</v>
      </c>
      <c r="H233" s="289">
        <v>16</v>
      </c>
      <c r="I233" s="290">
        <v>230</v>
      </c>
      <c r="J233" s="48" t="s">
        <v>39</v>
      </c>
      <c r="K233" s="50"/>
      <c r="L233" s="53" t="str">
        <f t="shared" si="0"/>
        <v>230grams</v>
      </c>
      <c r="M233" s="54">
        <f t="shared" si="1"/>
        <v>3680</v>
      </c>
      <c r="N233" s="55" t="str">
        <f t="shared" si="2"/>
        <v>3680grams</v>
      </c>
      <c r="O233" s="56">
        <f t="shared" si="3"/>
        <v>608</v>
      </c>
      <c r="P233" s="12"/>
      <c r="Q233" s="12"/>
      <c r="R233" s="12"/>
      <c r="S233" s="151"/>
      <c r="T233" s="12"/>
      <c r="U233" s="12"/>
      <c r="V233" s="12"/>
      <c r="W233" s="12"/>
      <c r="X233" s="12"/>
      <c r="Y233" s="12"/>
      <c r="Z233" s="12"/>
    </row>
    <row r="234" spans="1:26" ht="15" customHeight="1" x14ac:dyDescent="0.3">
      <c r="A234" s="45"/>
      <c r="B234" s="46" t="s">
        <v>48</v>
      </c>
      <c r="C234" s="194" t="s">
        <v>2022</v>
      </c>
      <c r="D234" s="46"/>
      <c r="E234" s="305" t="s">
        <v>981</v>
      </c>
      <c r="F234" s="61" t="s">
        <v>31</v>
      </c>
      <c r="G234" s="288">
        <v>152</v>
      </c>
      <c r="H234" s="289">
        <v>1</v>
      </c>
      <c r="I234" s="290">
        <v>1</v>
      </c>
      <c r="J234" s="48" t="s">
        <v>213</v>
      </c>
      <c r="K234" s="50"/>
      <c r="L234" s="53" t="str">
        <f t="shared" si="0"/>
        <v>1kilos</v>
      </c>
      <c r="M234" s="54">
        <f t="shared" si="1"/>
        <v>1</v>
      </c>
      <c r="N234" s="55" t="str">
        <f t="shared" si="2"/>
        <v>1kilos</v>
      </c>
      <c r="O234" s="56">
        <f t="shared" si="3"/>
        <v>152</v>
      </c>
      <c r="P234" s="12"/>
      <c r="Q234" s="12"/>
      <c r="R234" s="12"/>
      <c r="S234" s="151"/>
      <c r="T234" s="12"/>
      <c r="U234" s="12"/>
      <c r="V234" s="12"/>
      <c r="W234" s="12"/>
      <c r="X234" s="12"/>
      <c r="Y234" s="12"/>
      <c r="Z234" s="12"/>
    </row>
    <row r="235" spans="1:26" ht="15" customHeight="1" x14ac:dyDescent="0.3">
      <c r="A235" s="45"/>
      <c r="B235" s="46" t="s">
        <v>48</v>
      </c>
      <c r="C235" s="194" t="s">
        <v>2021</v>
      </c>
      <c r="D235" s="46"/>
      <c r="E235" s="219" t="s">
        <v>982</v>
      </c>
      <c r="F235" s="61" t="s">
        <v>31</v>
      </c>
      <c r="G235" s="291">
        <v>31.66</v>
      </c>
      <c r="H235" s="292">
        <v>7</v>
      </c>
      <c r="I235" s="293">
        <v>230</v>
      </c>
      <c r="J235" s="414" t="s">
        <v>39</v>
      </c>
      <c r="K235" s="50"/>
      <c r="L235" s="53" t="str">
        <f t="shared" si="0"/>
        <v>230grams</v>
      </c>
      <c r="M235" s="54">
        <f t="shared" si="1"/>
        <v>1610</v>
      </c>
      <c r="N235" s="55" t="str">
        <f t="shared" si="2"/>
        <v>1610grams</v>
      </c>
      <c r="O235" s="56">
        <f t="shared" si="3"/>
        <v>221.62</v>
      </c>
      <c r="P235" s="12"/>
      <c r="Q235" s="12"/>
      <c r="R235" s="12"/>
      <c r="S235" s="151"/>
      <c r="T235" s="12"/>
      <c r="U235" s="12"/>
      <c r="V235" s="12"/>
      <c r="W235" s="12"/>
      <c r="X235" s="12"/>
      <c r="Y235" s="12"/>
      <c r="Z235" s="12"/>
    </row>
    <row r="236" spans="1:26" ht="15" customHeight="1" x14ac:dyDescent="0.3">
      <c r="A236" s="45">
        <v>171</v>
      </c>
      <c r="B236" s="46" t="s">
        <v>48</v>
      </c>
      <c r="C236" s="194" t="s">
        <v>2024</v>
      </c>
      <c r="D236" s="46"/>
      <c r="E236" s="46" t="s">
        <v>979</v>
      </c>
      <c r="F236" s="61" t="s">
        <v>31</v>
      </c>
      <c r="G236" s="288">
        <v>143.19999999999999</v>
      </c>
      <c r="H236" s="289">
        <v>2</v>
      </c>
      <c r="I236" s="290">
        <v>1000</v>
      </c>
      <c r="J236" s="48" t="s">
        <v>39</v>
      </c>
      <c r="K236" s="50" t="s">
        <v>2019</v>
      </c>
      <c r="L236" s="53" t="str">
        <f t="shared" si="0"/>
        <v>1000grams</v>
      </c>
      <c r="M236" s="54">
        <f t="shared" si="1"/>
        <v>2000</v>
      </c>
      <c r="N236" s="55" t="str">
        <f t="shared" si="2"/>
        <v>2000grams</v>
      </c>
      <c r="O236" s="56">
        <f t="shared" si="3"/>
        <v>286.39999999999998</v>
      </c>
      <c r="P236" s="44">
        <f>O236/H236</f>
        <v>143.19999999999999</v>
      </c>
      <c r="Q236" s="62">
        <f>G236-P236</f>
        <v>0</v>
      </c>
      <c r="R236" s="32" t="b">
        <f>P236=G236</f>
        <v>1</v>
      </c>
      <c r="S236" s="32"/>
      <c r="T236" s="32"/>
      <c r="U236" s="32"/>
      <c r="V236" s="32"/>
      <c r="W236" s="32"/>
      <c r="X236" s="32"/>
      <c r="Y236" s="32"/>
      <c r="Z236" s="32"/>
    </row>
    <row r="237" spans="1:26" ht="15" customHeight="1" x14ac:dyDescent="0.3">
      <c r="A237" s="45"/>
      <c r="B237" s="46" t="s">
        <v>48</v>
      </c>
      <c r="C237" s="194" t="s">
        <v>2020</v>
      </c>
      <c r="D237" s="46"/>
      <c r="E237" s="46" t="s">
        <v>979</v>
      </c>
      <c r="F237" s="61" t="s">
        <v>31</v>
      </c>
      <c r="G237" s="288">
        <v>36.700000000000003</v>
      </c>
      <c r="H237" s="289">
        <v>1</v>
      </c>
      <c r="I237" s="290">
        <v>230</v>
      </c>
      <c r="J237" s="48" t="s">
        <v>39</v>
      </c>
      <c r="K237" s="50"/>
      <c r="L237" s="53" t="str">
        <f t="shared" si="0"/>
        <v>230grams</v>
      </c>
      <c r="M237" s="54">
        <f t="shared" si="1"/>
        <v>230</v>
      </c>
      <c r="N237" s="55" t="str">
        <f t="shared" si="2"/>
        <v>230grams</v>
      </c>
      <c r="O237" s="56">
        <f t="shared" si="3"/>
        <v>36.700000000000003</v>
      </c>
      <c r="P237" s="12"/>
      <c r="Q237" s="12"/>
      <c r="R237" s="12"/>
      <c r="S237" s="151"/>
      <c r="T237" s="12"/>
      <c r="U237" s="12"/>
      <c r="V237" s="12"/>
      <c r="W237" s="12"/>
      <c r="X237" s="12"/>
      <c r="Y237" s="12"/>
      <c r="Z237" s="12"/>
    </row>
    <row r="238" spans="1:26" ht="15" customHeight="1" x14ac:dyDescent="0.3">
      <c r="A238" s="45">
        <v>185</v>
      </c>
      <c r="B238" s="46" t="s">
        <v>48</v>
      </c>
      <c r="C238" s="194" t="s">
        <v>2024</v>
      </c>
      <c r="D238" s="46"/>
      <c r="E238" s="46" t="s">
        <v>981</v>
      </c>
      <c r="F238" s="61" t="s">
        <v>31</v>
      </c>
      <c r="G238" s="288">
        <v>120</v>
      </c>
      <c r="H238" s="289">
        <v>1</v>
      </c>
      <c r="I238" s="290">
        <v>1000</v>
      </c>
      <c r="J238" s="48" t="s">
        <v>39</v>
      </c>
      <c r="K238" s="50"/>
      <c r="L238" s="53" t="str">
        <f t="shared" si="0"/>
        <v>1000grams</v>
      </c>
      <c r="M238" s="54">
        <f t="shared" si="1"/>
        <v>1000</v>
      </c>
      <c r="N238" s="55" t="str">
        <f t="shared" si="2"/>
        <v>1000grams</v>
      </c>
      <c r="O238" s="56">
        <f t="shared" si="3"/>
        <v>120</v>
      </c>
      <c r="P238" s="44">
        <f>O238/H238</f>
        <v>120</v>
      </c>
      <c r="Q238" s="66"/>
      <c r="R238" s="32"/>
      <c r="S238" s="32"/>
      <c r="T238" s="32"/>
      <c r="U238" s="32"/>
      <c r="V238" s="32"/>
      <c r="W238" s="32"/>
      <c r="X238" s="32"/>
      <c r="Y238" s="32"/>
      <c r="Z238" s="32"/>
    </row>
    <row r="239" spans="1:26" ht="15" customHeight="1" x14ac:dyDescent="0.3">
      <c r="A239" s="45"/>
      <c r="B239" s="46" t="s">
        <v>48</v>
      </c>
      <c r="C239" s="194" t="s">
        <v>2023</v>
      </c>
      <c r="D239" s="46"/>
      <c r="E239" s="46" t="s">
        <v>983</v>
      </c>
      <c r="F239" s="61" t="s">
        <v>31</v>
      </c>
      <c r="G239" s="288">
        <v>21</v>
      </c>
      <c r="H239" s="289">
        <v>1</v>
      </c>
      <c r="I239" s="290">
        <v>62</v>
      </c>
      <c r="J239" s="48" t="s">
        <v>39</v>
      </c>
      <c r="K239" s="50"/>
      <c r="L239" s="53" t="str">
        <f t="shared" si="0"/>
        <v>62grams</v>
      </c>
      <c r="M239" s="54">
        <f t="shared" si="1"/>
        <v>62</v>
      </c>
      <c r="N239" s="55" t="str">
        <f t="shared" si="2"/>
        <v>62grams</v>
      </c>
      <c r="O239" s="56">
        <f t="shared" si="3"/>
        <v>21</v>
      </c>
      <c r="P239" s="44"/>
      <c r="Q239" s="12"/>
      <c r="R239" s="12"/>
      <c r="S239" s="151"/>
      <c r="T239" s="12"/>
      <c r="U239" s="12"/>
      <c r="V239" s="12"/>
      <c r="W239" s="12"/>
      <c r="X239" s="12"/>
      <c r="Y239" s="12"/>
      <c r="Z239" s="12"/>
    </row>
    <row r="240" spans="1:26" ht="15" customHeight="1" x14ac:dyDescent="0.3">
      <c r="A240" s="45">
        <v>328</v>
      </c>
      <c r="B240" s="46" t="s">
        <v>984</v>
      </c>
      <c r="C240" s="194" t="s">
        <v>2025</v>
      </c>
      <c r="D240" s="46"/>
      <c r="E240" s="46" t="s">
        <v>985</v>
      </c>
      <c r="F240" s="61" t="s">
        <v>31</v>
      </c>
      <c r="G240" s="288">
        <v>18.14</v>
      </c>
      <c r="H240" s="289">
        <v>0</v>
      </c>
      <c r="I240" s="290">
        <v>62</v>
      </c>
      <c r="J240" s="48" t="s">
        <v>39</v>
      </c>
      <c r="K240" s="50"/>
      <c r="L240" s="53" t="str">
        <f t="shared" si="0"/>
        <v>62grams</v>
      </c>
      <c r="M240" s="54">
        <f t="shared" si="1"/>
        <v>0</v>
      </c>
      <c r="N240" s="55" t="str">
        <f t="shared" si="2"/>
        <v>0grams</v>
      </c>
      <c r="O240" s="56">
        <f t="shared" si="3"/>
        <v>0</v>
      </c>
      <c r="P240" s="44" t="e">
        <f t="shared" ref="P240:P242" si="40">O240/H240</f>
        <v>#DIV/0!</v>
      </c>
      <c r="Q240" s="66"/>
      <c r="R240" s="32" t="e">
        <f t="shared" ref="R240:R241" si="41">P240=G240</f>
        <v>#DIV/0!</v>
      </c>
      <c r="S240" s="32"/>
      <c r="T240" s="32"/>
      <c r="U240" s="32"/>
      <c r="V240" s="32"/>
      <c r="W240" s="32"/>
      <c r="X240" s="32"/>
      <c r="Y240" s="32"/>
      <c r="Z240" s="32"/>
    </row>
    <row r="241" spans="1:26" ht="15" customHeight="1" x14ac:dyDescent="0.3">
      <c r="A241" s="45">
        <v>478</v>
      </c>
      <c r="B241" s="46" t="s">
        <v>986</v>
      </c>
      <c r="C241" s="194" t="s">
        <v>2025</v>
      </c>
      <c r="D241" s="46"/>
      <c r="E241" s="46"/>
      <c r="F241" s="61" t="s">
        <v>31</v>
      </c>
      <c r="G241" s="288">
        <v>150</v>
      </c>
      <c r="H241" s="289">
        <v>2</v>
      </c>
      <c r="I241" s="290">
        <v>1</v>
      </c>
      <c r="J241" s="48" t="s">
        <v>213</v>
      </c>
      <c r="K241" s="50"/>
      <c r="L241" s="53" t="str">
        <f t="shared" si="0"/>
        <v>1kilos</v>
      </c>
      <c r="M241" s="54">
        <f t="shared" si="1"/>
        <v>2</v>
      </c>
      <c r="N241" s="55" t="str">
        <f t="shared" si="2"/>
        <v>2kilos</v>
      </c>
      <c r="O241" s="56">
        <f t="shared" si="3"/>
        <v>300</v>
      </c>
      <c r="P241" s="44">
        <f t="shared" si="40"/>
        <v>150</v>
      </c>
      <c r="Q241" s="66"/>
      <c r="R241" s="32" t="b">
        <f t="shared" si="41"/>
        <v>1</v>
      </c>
      <c r="S241" s="32"/>
      <c r="T241" s="32"/>
      <c r="U241" s="32"/>
      <c r="V241" s="32"/>
      <c r="W241" s="32"/>
      <c r="X241" s="32"/>
      <c r="Y241" s="32"/>
      <c r="Z241" s="32"/>
    </row>
    <row r="242" spans="1:26" ht="15" customHeight="1" x14ac:dyDescent="0.3">
      <c r="A242" s="45">
        <v>656</v>
      </c>
      <c r="B242" s="46" t="s">
        <v>986</v>
      </c>
      <c r="C242" s="194" t="s">
        <v>2026</v>
      </c>
      <c r="D242" s="46"/>
      <c r="E242" s="46"/>
      <c r="F242" s="61" t="s">
        <v>31</v>
      </c>
      <c r="G242" s="288">
        <v>300</v>
      </c>
      <c r="H242" s="289">
        <v>3</v>
      </c>
      <c r="I242" s="290">
        <v>1</v>
      </c>
      <c r="J242" s="48" t="s">
        <v>213</v>
      </c>
      <c r="K242" s="50"/>
      <c r="L242" s="53" t="str">
        <f t="shared" si="0"/>
        <v>1kilos</v>
      </c>
      <c r="M242" s="54">
        <f t="shared" si="1"/>
        <v>3</v>
      </c>
      <c r="N242" s="55" t="str">
        <f t="shared" si="2"/>
        <v>3kilos</v>
      </c>
      <c r="O242" s="56">
        <f t="shared" si="3"/>
        <v>900</v>
      </c>
      <c r="P242" s="44">
        <f t="shared" si="40"/>
        <v>300</v>
      </c>
      <c r="Q242" s="66"/>
      <c r="R242" s="32"/>
      <c r="S242" s="32"/>
      <c r="T242" s="32"/>
      <c r="U242" s="32"/>
      <c r="V242" s="32"/>
      <c r="W242" s="32"/>
      <c r="X242" s="32"/>
      <c r="Y242" s="32"/>
      <c r="Z242" s="32"/>
    </row>
    <row r="243" spans="1:26" ht="15" customHeight="1" x14ac:dyDescent="0.3">
      <c r="A243" s="45">
        <v>905</v>
      </c>
      <c r="B243" s="46" t="s">
        <v>986</v>
      </c>
      <c r="C243" s="194" t="s">
        <v>1368</v>
      </c>
      <c r="D243" s="46"/>
      <c r="E243" s="46"/>
      <c r="F243" s="61" t="s">
        <v>31</v>
      </c>
      <c r="G243" s="288">
        <v>100</v>
      </c>
      <c r="H243" s="289">
        <v>1</v>
      </c>
      <c r="I243" s="290">
        <v>1</v>
      </c>
      <c r="J243" s="48" t="s">
        <v>213</v>
      </c>
      <c r="K243" s="50"/>
      <c r="L243" s="53" t="str">
        <f t="shared" si="0"/>
        <v>1kilos</v>
      </c>
      <c r="M243" s="54">
        <f t="shared" si="1"/>
        <v>1</v>
      </c>
      <c r="N243" s="55" t="str">
        <f t="shared" si="2"/>
        <v>1kilos</v>
      </c>
      <c r="O243" s="56">
        <f t="shared" si="3"/>
        <v>100</v>
      </c>
      <c r="P243" s="44"/>
      <c r="Q243" s="66"/>
      <c r="R243" s="32"/>
      <c r="S243" s="32"/>
      <c r="T243" s="32"/>
      <c r="U243" s="32"/>
      <c r="V243" s="32"/>
      <c r="W243" s="32"/>
      <c r="X243" s="32"/>
      <c r="Y243" s="32"/>
      <c r="Z243" s="32"/>
    </row>
    <row r="244" spans="1:26" ht="15" customHeight="1" x14ac:dyDescent="0.3">
      <c r="A244" s="45">
        <v>300</v>
      </c>
      <c r="B244" s="46" t="s">
        <v>235</v>
      </c>
      <c r="C244" s="194" t="s">
        <v>2025</v>
      </c>
      <c r="D244" s="46"/>
      <c r="E244" s="46" t="s">
        <v>987</v>
      </c>
      <c r="F244" s="61" t="s">
        <v>31</v>
      </c>
      <c r="G244" s="288">
        <v>68.3</v>
      </c>
      <c r="H244" s="289">
        <v>2</v>
      </c>
      <c r="I244" s="290">
        <v>120</v>
      </c>
      <c r="J244" s="48" t="s">
        <v>39</v>
      </c>
      <c r="K244" s="50" t="s">
        <v>2019</v>
      </c>
      <c r="L244" s="53" t="str">
        <f t="shared" si="0"/>
        <v>120grams</v>
      </c>
      <c r="M244" s="54">
        <f t="shared" si="1"/>
        <v>240</v>
      </c>
      <c r="N244" s="55" t="str">
        <f t="shared" si="2"/>
        <v>240grams</v>
      </c>
      <c r="O244" s="56">
        <f t="shared" si="3"/>
        <v>136.6</v>
      </c>
      <c r="P244" s="44">
        <f>O244/H244</f>
        <v>68.3</v>
      </c>
      <c r="Q244" s="44">
        <f>G244-P244</f>
        <v>0</v>
      </c>
      <c r="R244" s="32" t="b">
        <f>P244=G244</f>
        <v>1</v>
      </c>
      <c r="S244" s="32"/>
      <c r="T244" s="32"/>
      <c r="U244" s="32"/>
      <c r="V244" s="32"/>
      <c r="W244" s="32"/>
      <c r="X244" s="32"/>
      <c r="Y244" s="32"/>
      <c r="Z244" s="32"/>
    </row>
    <row r="245" spans="1:26" ht="15" customHeight="1" x14ac:dyDescent="0.3">
      <c r="A245" s="45"/>
      <c r="B245" s="46" t="s">
        <v>235</v>
      </c>
      <c r="C245" s="194" t="s">
        <v>2023</v>
      </c>
      <c r="D245" s="46"/>
      <c r="E245" s="46" t="s">
        <v>987</v>
      </c>
      <c r="F245" s="61" t="s">
        <v>31</v>
      </c>
      <c r="G245" s="288">
        <v>35.200000000000003</v>
      </c>
      <c r="H245" s="289">
        <v>3</v>
      </c>
      <c r="I245" s="290">
        <v>60</v>
      </c>
      <c r="J245" s="48" t="s">
        <v>39</v>
      </c>
      <c r="K245" s="50"/>
      <c r="L245" s="53" t="str">
        <f t="shared" si="0"/>
        <v>60grams</v>
      </c>
      <c r="M245" s="54">
        <f t="shared" si="1"/>
        <v>180</v>
      </c>
      <c r="N245" s="55" t="str">
        <f t="shared" si="2"/>
        <v>180grams</v>
      </c>
      <c r="O245" s="56">
        <f t="shared" si="3"/>
        <v>105.60000000000001</v>
      </c>
      <c r="P245" s="12"/>
      <c r="Q245" s="12"/>
      <c r="R245" s="12"/>
      <c r="S245" s="151"/>
      <c r="T245" s="12"/>
      <c r="U245" s="12"/>
      <c r="V245" s="12"/>
      <c r="W245" s="12"/>
      <c r="X245" s="12"/>
      <c r="Y245" s="12"/>
      <c r="Z245" s="12"/>
    </row>
    <row r="246" spans="1:26" ht="15" customHeight="1" x14ac:dyDescent="0.3">
      <c r="A246" s="45"/>
      <c r="B246" s="46" t="s">
        <v>235</v>
      </c>
      <c r="C246" s="194" t="s">
        <v>2022</v>
      </c>
      <c r="D246" s="46"/>
      <c r="E246" s="46" t="s">
        <v>987</v>
      </c>
      <c r="F246" s="61" t="s">
        <v>31</v>
      </c>
      <c r="G246" s="288">
        <v>68</v>
      </c>
      <c r="H246" s="289">
        <v>7</v>
      </c>
      <c r="I246" s="290">
        <v>120</v>
      </c>
      <c r="J246" s="48" t="s">
        <v>39</v>
      </c>
      <c r="K246" s="50"/>
      <c r="L246" s="53" t="str">
        <f t="shared" si="0"/>
        <v>120grams</v>
      </c>
      <c r="M246" s="54">
        <f t="shared" si="1"/>
        <v>840</v>
      </c>
      <c r="N246" s="55" t="str">
        <f t="shared" si="2"/>
        <v>840grams</v>
      </c>
      <c r="O246" s="56">
        <f t="shared" si="3"/>
        <v>476</v>
      </c>
      <c r="P246" s="12"/>
      <c r="Q246" s="12"/>
      <c r="R246" s="12"/>
      <c r="S246" s="151"/>
      <c r="T246" s="12"/>
      <c r="U246" s="12"/>
      <c r="V246" s="12"/>
      <c r="W246" s="12"/>
      <c r="X246" s="12"/>
      <c r="Y246" s="12"/>
      <c r="Z246" s="12"/>
    </row>
    <row r="247" spans="1:26" ht="15" customHeight="1" x14ac:dyDescent="0.3">
      <c r="A247" s="45"/>
      <c r="B247" s="46" t="s">
        <v>235</v>
      </c>
      <c r="C247" s="194" t="s">
        <v>2022</v>
      </c>
      <c r="D247" s="46"/>
      <c r="E247" s="46" t="s">
        <v>987</v>
      </c>
      <c r="F247" s="61" t="s">
        <v>31</v>
      </c>
      <c r="G247" s="288">
        <v>35.200000000000003</v>
      </c>
      <c r="H247" s="289">
        <v>3</v>
      </c>
      <c r="I247" s="290">
        <v>60</v>
      </c>
      <c r="J247" s="48" t="s">
        <v>39</v>
      </c>
      <c r="K247" s="50"/>
      <c r="L247" s="53" t="str">
        <f t="shared" si="0"/>
        <v>60grams</v>
      </c>
      <c r="M247" s="54">
        <f t="shared" si="1"/>
        <v>180</v>
      </c>
      <c r="N247" s="55" t="str">
        <f t="shared" si="2"/>
        <v>180grams</v>
      </c>
      <c r="O247" s="56">
        <f t="shared" si="3"/>
        <v>105.60000000000001</v>
      </c>
      <c r="P247" s="12"/>
      <c r="Q247" s="12"/>
      <c r="R247" s="12"/>
      <c r="S247" s="151"/>
      <c r="T247" s="12"/>
      <c r="U247" s="12"/>
      <c r="V247" s="12"/>
      <c r="W247" s="12"/>
      <c r="X247" s="12"/>
      <c r="Y247" s="12"/>
      <c r="Z247" s="12"/>
    </row>
    <row r="248" spans="1:26" ht="15" customHeight="1" x14ac:dyDescent="0.3">
      <c r="A248" s="45"/>
      <c r="B248" s="46" t="s">
        <v>235</v>
      </c>
      <c r="C248" s="194" t="s">
        <v>2021</v>
      </c>
      <c r="D248" s="46"/>
      <c r="E248" s="46" t="s">
        <v>987</v>
      </c>
      <c r="F248" s="61" t="s">
        <v>31</v>
      </c>
      <c r="G248" s="291">
        <v>5.67</v>
      </c>
      <c r="H248" s="292">
        <v>12</v>
      </c>
      <c r="I248" s="293">
        <v>10</v>
      </c>
      <c r="J248" s="414" t="s">
        <v>39</v>
      </c>
      <c r="K248" s="50"/>
      <c r="L248" s="53" t="str">
        <f t="shared" si="0"/>
        <v>10grams</v>
      </c>
      <c r="M248" s="54">
        <f t="shared" si="1"/>
        <v>120</v>
      </c>
      <c r="N248" s="55" t="str">
        <f t="shared" si="2"/>
        <v>120grams</v>
      </c>
      <c r="O248" s="56">
        <f t="shared" si="3"/>
        <v>68.039999999999992</v>
      </c>
      <c r="P248" s="12"/>
      <c r="Q248" s="12"/>
      <c r="R248" s="12"/>
      <c r="S248" s="151"/>
      <c r="T248" s="12"/>
      <c r="U248" s="12"/>
      <c r="V248" s="12"/>
      <c r="W248" s="12"/>
      <c r="X248" s="12"/>
      <c r="Y248" s="12"/>
      <c r="Z248" s="12"/>
    </row>
    <row r="249" spans="1:26" ht="15" customHeight="1" x14ac:dyDescent="0.3">
      <c r="A249" s="45">
        <v>780</v>
      </c>
      <c r="B249" s="46" t="s">
        <v>235</v>
      </c>
      <c r="C249" s="194" t="s">
        <v>1368</v>
      </c>
      <c r="D249" s="46"/>
      <c r="E249" s="46" t="s">
        <v>987</v>
      </c>
      <c r="F249" s="61" t="s">
        <v>31</v>
      </c>
      <c r="G249" s="288">
        <v>5</v>
      </c>
      <c r="H249" s="289">
        <v>36</v>
      </c>
      <c r="I249" s="290">
        <v>10</v>
      </c>
      <c r="J249" s="48" t="s">
        <v>39</v>
      </c>
      <c r="K249" s="50" t="s">
        <v>2019</v>
      </c>
      <c r="L249" s="53" t="str">
        <f t="shared" si="0"/>
        <v>10grams</v>
      </c>
      <c r="M249" s="54">
        <f t="shared" si="1"/>
        <v>360</v>
      </c>
      <c r="N249" s="55" t="str">
        <f t="shared" si="2"/>
        <v>360grams</v>
      </c>
      <c r="O249" s="56">
        <f t="shared" si="3"/>
        <v>180</v>
      </c>
      <c r="P249" s="44">
        <f t="shared" ref="P249:P251" si="42">O249/H249</f>
        <v>5</v>
      </c>
      <c r="Q249" s="66">
        <f>G249-P249</f>
        <v>0</v>
      </c>
      <c r="R249" s="32" t="b">
        <f>P249=G249</f>
        <v>1</v>
      </c>
      <c r="S249" s="32"/>
      <c r="T249" s="32"/>
      <c r="U249" s="32"/>
      <c r="V249" s="32"/>
      <c r="W249" s="32"/>
      <c r="X249" s="32"/>
      <c r="Y249" s="32"/>
      <c r="Z249" s="32"/>
    </row>
    <row r="250" spans="1:26" ht="15" customHeight="1" x14ac:dyDescent="0.3">
      <c r="A250" s="45">
        <v>36</v>
      </c>
      <c r="B250" s="46" t="s">
        <v>237</v>
      </c>
      <c r="C250" s="194" t="s">
        <v>29</v>
      </c>
      <c r="D250" s="46"/>
      <c r="E250" s="46" t="s">
        <v>987</v>
      </c>
      <c r="F250" s="61" t="s">
        <v>31</v>
      </c>
      <c r="G250" s="288">
        <v>5.86</v>
      </c>
      <c r="H250" s="289">
        <v>7</v>
      </c>
      <c r="I250" s="290">
        <v>10</v>
      </c>
      <c r="J250" s="48" t="s">
        <v>39</v>
      </c>
      <c r="K250" s="61" t="s">
        <v>2019</v>
      </c>
      <c r="L250" s="415" t="str">
        <f t="shared" si="0"/>
        <v>10grams</v>
      </c>
      <c r="M250" s="416">
        <f t="shared" si="1"/>
        <v>70</v>
      </c>
      <c r="N250" s="417" t="str">
        <f t="shared" si="2"/>
        <v>70grams</v>
      </c>
      <c r="O250" s="418">
        <f t="shared" si="3"/>
        <v>41.02</v>
      </c>
      <c r="P250" s="419">
        <f t="shared" si="42"/>
        <v>5.86</v>
      </c>
      <c r="Q250" s="66"/>
      <c r="R250" s="32"/>
      <c r="S250" s="32"/>
      <c r="T250" s="32"/>
      <c r="V250" s="32"/>
      <c r="W250" s="32"/>
      <c r="X250" s="32"/>
      <c r="Y250" s="32"/>
      <c r="Z250" s="32"/>
    </row>
    <row r="251" spans="1:26" ht="15" customHeight="1" x14ac:dyDescent="0.3">
      <c r="A251" s="45">
        <v>546</v>
      </c>
      <c r="B251" s="46" t="s">
        <v>237</v>
      </c>
      <c r="C251" s="194" t="s">
        <v>2026</v>
      </c>
      <c r="D251" s="46"/>
      <c r="E251" s="46" t="s">
        <v>987</v>
      </c>
      <c r="F251" s="61" t="s">
        <v>31</v>
      </c>
      <c r="G251" s="288">
        <v>35.200000000000003</v>
      </c>
      <c r="H251" s="289">
        <v>3</v>
      </c>
      <c r="I251" s="290">
        <v>60</v>
      </c>
      <c r="J251" s="48" t="s">
        <v>39</v>
      </c>
      <c r="K251" s="50"/>
      <c r="L251" s="53" t="str">
        <f t="shared" si="0"/>
        <v>60grams</v>
      </c>
      <c r="M251" s="54">
        <f t="shared" si="1"/>
        <v>180</v>
      </c>
      <c r="N251" s="55" t="str">
        <f t="shared" si="2"/>
        <v>180grams</v>
      </c>
      <c r="O251" s="56">
        <f t="shared" si="3"/>
        <v>105.60000000000001</v>
      </c>
      <c r="P251" s="44">
        <f t="shared" si="42"/>
        <v>35.200000000000003</v>
      </c>
      <c r="Q251" s="66"/>
      <c r="R251" s="32"/>
      <c r="S251" s="32"/>
      <c r="T251" s="32"/>
      <c r="U251" s="32"/>
      <c r="V251" s="32"/>
      <c r="W251" s="32"/>
      <c r="X251" s="32"/>
      <c r="Y251" s="32"/>
      <c r="Z251" s="32"/>
    </row>
    <row r="252" spans="1:26" ht="15" customHeight="1" x14ac:dyDescent="0.3">
      <c r="A252" s="45"/>
      <c r="B252" s="46" t="s">
        <v>237</v>
      </c>
      <c r="C252" s="194" t="s">
        <v>2023</v>
      </c>
      <c r="D252" s="46"/>
      <c r="E252" s="46" t="s">
        <v>987</v>
      </c>
      <c r="F252" s="61" t="s">
        <v>31</v>
      </c>
      <c r="G252" s="288">
        <v>35.200000000000003</v>
      </c>
      <c r="H252" s="289">
        <v>3</v>
      </c>
      <c r="I252" s="290">
        <v>60</v>
      </c>
      <c r="J252" s="48" t="s">
        <v>39</v>
      </c>
      <c r="K252" s="50"/>
      <c r="L252" s="53" t="str">
        <f t="shared" si="0"/>
        <v>60grams</v>
      </c>
      <c r="M252" s="54">
        <f t="shared" si="1"/>
        <v>180</v>
      </c>
      <c r="N252" s="55" t="str">
        <f t="shared" si="2"/>
        <v>180grams</v>
      </c>
      <c r="O252" s="56">
        <f t="shared" si="3"/>
        <v>105.60000000000001</v>
      </c>
      <c r="P252" s="12"/>
      <c r="Q252" s="12"/>
      <c r="R252" s="12"/>
      <c r="S252" s="151"/>
      <c r="T252" s="12"/>
      <c r="U252" s="12"/>
      <c r="V252" s="12"/>
      <c r="W252" s="12"/>
      <c r="X252" s="12"/>
      <c r="Y252" s="12"/>
      <c r="Z252" s="12"/>
    </row>
    <row r="253" spans="1:26" ht="15" customHeight="1" x14ac:dyDescent="0.3">
      <c r="A253" s="45"/>
      <c r="B253" s="46" t="s">
        <v>237</v>
      </c>
      <c r="C253" s="194" t="s">
        <v>2022</v>
      </c>
      <c r="D253" s="46"/>
      <c r="E253" s="46" t="s">
        <v>987</v>
      </c>
      <c r="F253" s="61" t="s">
        <v>31</v>
      </c>
      <c r="G253" s="288">
        <v>68</v>
      </c>
      <c r="H253" s="289">
        <v>12</v>
      </c>
      <c r="I253" s="290">
        <v>120</v>
      </c>
      <c r="J253" s="48" t="s">
        <v>39</v>
      </c>
      <c r="K253" s="50"/>
      <c r="L253" s="53" t="str">
        <f t="shared" si="0"/>
        <v>120grams</v>
      </c>
      <c r="M253" s="54">
        <f t="shared" si="1"/>
        <v>1440</v>
      </c>
      <c r="N253" s="55" t="str">
        <f t="shared" si="2"/>
        <v>1440grams</v>
      </c>
      <c r="O253" s="56">
        <f t="shared" si="3"/>
        <v>816</v>
      </c>
      <c r="P253" s="12"/>
      <c r="Q253" s="12"/>
      <c r="R253" s="12"/>
      <c r="S253" s="151"/>
      <c r="T253" s="12"/>
      <c r="U253" s="12"/>
      <c r="V253" s="12"/>
      <c r="W253" s="12"/>
      <c r="X253" s="12"/>
      <c r="Y253" s="12"/>
      <c r="Z253" s="12"/>
    </row>
    <row r="254" spans="1:26" ht="15" customHeight="1" x14ac:dyDescent="0.3">
      <c r="A254" s="45"/>
      <c r="B254" s="46" t="s">
        <v>237</v>
      </c>
      <c r="C254" s="194" t="s">
        <v>2021</v>
      </c>
      <c r="D254" s="46"/>
      <c r="E254" s="46" t="s">
        <v>987</v>
      </c>
      <c r="F254" s="61" t="s">
        <v>31</v>
      </c>
      <c r="G254" s="291">
        <v>5.78</v>
      </c>
      <c r="H254" s="292">
        <v>12</v>
      </c>
      <c r="I254" s="293">
        <v>30</v>
      </c>
      <c r="J254" s="414" t="s">
        <v>39</v>
      </c>
      <c r="K254" s="50"/>
      <c r="L254" s="53" t="str">
        <f t="shared" si="0"/>
        <v>30grams</v>
      </c>
      <c r="M254" s="54">
        <f t="shared" si="1"/>
        <v>360</v>
      </c>
      <c r="N254" s="55" t="str">
        <f t="shared" si="2"/>
        <v>360grams</v>
      </c>
      <c r="O254" s="56">
        <f t="shared" si="3"/>
        <v>69.36</v>
      </c>
      <c r="P254" s="12"/>
      <c r="Q254" s="12"/>
      <c r="R254" s="12"/>
      <c r="S254" s="151"/>
      <c r="T254" s="12"/>
      <c r="U254" s="12"/>
      <c r="V254" s="12"/>
      <c r="W254" s="12"/>
      <c r="X254" s="12"/>
      <c r="Y254" s="12"/>
      <c r="Z254" s="12"/>
    </row>
    <row r="255" spans="1:26" ht="15" customHeight="1" x14ac:dyDescent="0.3">
      <c r="A255" s="45">
        <v>31</v>
      </c>
      <c r="B255" s="46" t="s">
        <v>518</v>
      </c>
      <c r="C255" s="194" t="s">
        <v>29</v>
      </c>
      <c r="D255" s="46"/>
      <c r="E255" s="46" t="s">
        <v>987</v>
      </c>
      <c r="F255" s="61" t="s">
        <v>31</v>
      </c>
      <c r="G255" s="288">
        <v>5.86</v>
      </c>
      <c r="H255" s="289">
        <v>8</v>
      </c>
      <c r="I255" s="290">
        <v>60</v>
      </c>
      <c r="J255" s="48" t="s">
        <v>39</v>
      </c>
      <c r="K255" s="61" t="s">
        <v>2019</v>
      </c>
      <c r="L255" s="415" t="str">
        <f t="shared" si="0"/>
        <v>60grams</v>
      </c>
      <c r="M255" s="416">
        <f t="shared" si="1"/>
        <v>480</v>
      </c>
      <c r="N255" s="417" t="str">
        <f t="shared" si="2"/>
        <v>480grams</v>
      </c>
      <c r="O255" s="418">
        <f t="shared" si="3"/>
        <v>46.88</v>
      </c>
      <c r="P255" s="419">
        <f t="shared" ref="P255:P256" si="43">O255/H255</f>
        <v>5.86</v>
      </c>
      <c r="Q255" s="66">
        <f t="shared" ref="Q255:Q256" si="44">G255-P255</f>
        <v>0</v>
      </c>
      <c r="R255" s="32" t="b">
        <f t="shared" ref="R255:R256" si="45">P255=G255</f>
        <v>1</v>
      </c>
      <c r="S255" s="32"/>
      <c r="T255" s="32"/>
      <c r="V255" s="32"/>
      <c r="W255" s="32"/>
      <c r="X255" s="32"/>
      <c r="Y255" s="32"/>
      <c r="Z255" s="32"/>
    </row>
    <row r="256" spans="1:26" ht="15" customHeight="1" x14ac:dyDescent="0.3">
      <c r="A256" s="45">
        <v>547</v>
      </c>
      <c r="B256" s="46" t="s">
        <v>518</v>
      </c>
      <c r="C256" s="194" t="s">
        <v>2026</v>
      </c>
      <c r="D256" s="46"/>
      <c r="E256" s="46" t="s">
        <v>987</v>
      </c>
      <c r="F256" s="61" t="s">
        <v>31</v>
      </c>
      <c r="G256" s="288">
        <v>35.200000000000003</v>
      </c>
      <c r="H256" s="289">
        <v>3</v>
      </c>
      <c r="I256" s="290">
        <v>60</v>
      </c>
      <c r="J256" s="48" t="s">
        <v>39</v>
      </c>
      <c r="K256" s="50" t="s">
        <v>2019</v>
      </c>
      <c r="L256" s="53" t="str">
        <f t="shared" si="0"/>
        <v>60grams</v>
      </c>
      <c r="M256" s="54">
        <f t="shared" si="1"/>
        <v>180</v>
      </c>
      <c r="N256" s="55" t="str">
        <f t="shared" si="2"/>
        <v>180grams</v>
      </c>
      <c r="O256" s="56">
        <f t="shared" si="3"/>
        <v>105.60000000000001</v>
      </c>
      <c r="P256" s="44">
        <f t="shared" si="43"/>
        <v>35.200000000000003</v>
      </c>
      <c r="Q256" s="66">
        <f t="shared" si="44"/>
        <v>0</v>
      </c>
      <c r="R256" s="32" t="b">
        <f t="shared" si="45"/>
        <v>1</v>
      </c>
      <c r="S256" s="32"/>
      <c r="T256" s="32"/>
      <c r="U256" s="32"/>
      <c r="V256" s="32"/>
      <c r="W256" s="32"/>
      <c r="X256" s="32"/>
      <c r="Y256" s="32"/>
      <c r="Z256" s="32"/>
    </row>
    <row r="257" spans="1:26" ht="15" customHeight="1" x14ac:dyDescent="0.3">
      <c r="A257" s="45"/>
      <c r="B257" s="46" t="s">
        <v>518</v>
      </c>
      <c r="C257" s="194" t="s">
        <v>2023</v>
      </c>
      <c r="D257" s="46"/>
      <c r="E257" s="46" t="s">
        <v>987</v>
      </c>
      <c r="F257" s="61" t="s">
        <v>31</v>
      </c>
      <c r="G257" s="288">
        <v>35.200000000000003</v>
      </c>
      <c r="H257" s="289">
        <v>3</v>
      </c>
      <c r="I257" s="290">
        <v>60</v>
      </c>
      <c r="J257" s="48" t="s">
        <v>39</v>
      </c>
      <c r="K257" s="50"/>
      <c r="L257" s="53" t="str">
        <f t="shared" si="0"/>
        <v>60grams</v>
      </c>
      <c r="M257" s="54">
        <f t="shared" si="1"/>
        <v>180</v>
      </c>
      <c r="N257" s="55" t="str">
        <f t="shared" si="2"/>
        <v>180grams</v>
      </c>
      <c r="O257" s="56">
        <f t="shared" si="3"/>
        <v>105.60000000000001</v>
      </c>
      <c r="P257" s="12"/>
      <c r="Q257" s="12"/>
      <c r="R257" s="12"/>
      <c r="S257" s="151"/>
      <c r="T257" s="12"/>
      <c r="U257" s="12"/>
      <c r="V257" s="12"/>
      <c r="W257" s="12"/>
      <c r="X257" s="12"/>
      <c r="Y257" s="12"/>
      <c r="Z257" s="12"/>
    </row>
    <row r="258" spans="1:26" ht="15" customHeight="1" x14ac:dyDescent="0.3">
      <c r="A258" s="45"/>
      <c r="B258" s="46" t="s">
        <v>518</v>
      </c>
      <c r="C258" s="194" t="s">
        <v>2021</v>
      </c>
      <c r="D258" s="46"/>
      <c r="E258" s="46" t="s">
        <v>987</v>
      </c>
      <c r="F258" s="61" t="s">
        <v>31</v>
      </c>
      <c r="G258" s="291">
        <v>5.66</v>
      </c>
      <c r="H258" s="292">
        <v>7</v>
      </c>
      <c r="I258" s="293">
        <v>10</v>
      </c>
      <c r="J258" s="414" t="s">
        <v>39</v>
      </c>
      <c r="K258" s="50"/>
      <c r="L258" s="53" t="str">
        <f t="shared" si="0"/>
        <v>10grams</v>
      </c>
      <c r="M258" s="54">
        <f t="shared" si="1"/>
        <v>70</v>
      </c>
      <c r="N258" s="55" t="str">
        <f t="shared" si="2"/>
        <v>70grams</v>
      </c>
      <c r="O258" s="56">
        <f t="shared" si="3"/>
        <v>39.620000000000005</v>
      </c>
      <c r="P258" s="12"/>
      <c r="Q258" s="12"/>
      <c r="R258" s="12"/>
      <c r="S258" s="151"/>
      <c r="T258" s="12"/>
      <c r="U258" s="12"/>
      <c r="V258" s="12"/>
      <c r="W258" s="12"/>
      <c r="X258" s="12"/>
      <c r="Y258" s="12"/>
      <c r="Z258" s="12"/>
    </row>
    <row r="259" spans="1:26" ht="15" customHeight="1" x14ac:dyDescent="0.3">
      <c r="A259" s="45">
        <v>777</v>
      </c>
      <c r="B259" s="46" t="s">
        <v>518</v>
      </c>
      <c r="C259" s="194" t="s">
        <v>1368</v>
      </c>
      <c r="D259" s="46"/>
      <c r="E259" s="46" t="s">
        <v>987</v>
      </c>
      <c r="F259" s="61" t="s">
        <v>31</v>
      </c>
      <c r="G259" s="288">
        <v>5</v>
      </c>
      <c r="H259" s="289">
        <v>44</v>
      </c>
      <c r="I259" s="290">
        <v>10</v>
      </c>
      <c r="J259" s="48" t="s">
        <v>39</v>
      </c>
      <c r="K259" s="50"/>
      <c r="L259" s="53" t="str">
        <f t="shared" si="0"/>
        <v>10grams</v>
      </c>
      <c r="M259" s="54">
        <f t="shared" si="1"/>
        <v>440</v>
      </c>
      <c r="N259" s="55" t="str">
        <f t="shared" si="2"/>
        <v>440grams</v>
      </c>
      <c r="O259" s="56">
        <f t="shared" si="3"/>
        <v>220</v>
      </c>
      <c r="P259" s="44">
        <f t="shared" ref="P259:P260" si="46">O259/H259</f>
        <v>5</v>
      </c>
      <c r="Q259" s="66"/>
      <c r="R259" s="32"/>
      <c r="S259" s="32"/>
      <c r="T259" s="32"/>
      <c r="U259" s="32"/>
      <c r="V259" s="32"/>
      <c r="W259" s="32"/>
      <c r="X259" s="32"/>
      <c r="Y259" s="32"/>
      <c r="Z259" s="32"/>
    </row>
    <row r="260" spans="1:26" ht="15" customHeight="1" x14ac:dyDescent="0.3">
      <c r="A260" s="45">
        <v>299</v>
      </c>
      <c r="B260" s="46" t="s">
        <v>518</v>
      </c>
      <c r="C260" s="194" t="s">
        <v>2025</v>
      </c>
      <c r="D260" s="46"/>
      <c r="E260" s="46" t="s">
        <v>987</v>
      </c>
      <c r="F260" s="61" t="s">
        <v>31</v>
      </c>
      <c r="G260" s="288">
        <v>68.3</v>
      </c>
      <c r="H260" s="289">
        <v>2</v>
      </c>
      <c r="I260" s="290">
        <v>120</v>
      </c>
      <c r="J260" s="48" t="s">
        <v>39</v>
      </c>
      <c r="K260" s="50"/>
      <c r="L260" s="53" t="str">
        <f t="shared" si="0"/>
        <v>120grams</v>
      </c>
      <c r="M260" s="54">
        <f t="shared" si="1"/>
        <v>240</v>
      </c>
      <c r="N260" s="55" t="str">
        <f t="shared" si="2"/>
        <v>240grams</v>
      </c>
      <c r="O260" s="56">
        <f t="shared" si="3"/>
        <v>136.6</v>
      </c>
      <c r="P260" s="44">
        <f t="shared" si="46"/>
        <v>68.3</v>
      </c>
      <c r="Q260" s="66"/>
      <c r="R260" s="32" t="b">
        <f>P260=G260</f>
        <v>1</v>
      </c>
      <c r="S260" s="32"/>
      <c r="T260" s="32"/>
      <c r="U260" s="32"/>
      <c r="V260" s="32"/>
      <c r="W260" s="32"/>
      <c r="X260" s="32"/>
      <c r="Y260" s="32"/>
      <c r="Z260" s="32"/>
    </row>
    <row r="261" spans="1:26" ht="15" customHeight="1" x14ac:dyDescent="0.3">
      <c r="A261" s="45"/>
      <c r="B261" s="219" t="s">
        <v>988</v>
      </c>
      <c r="C261" s="194" t="s">
        <v>2021</v>
      </c>
      <c r="D261" s="46"/>
      <c r="E261" s="46" t="s">
        <v>989</v>
      </c>
      <c r="F261" s="61" t="s">
        <v>31</v>
      </c>
      <c r="G261" s="291">
        <v>0.35</v>
      </c>
      <c r="H261" s="292">
        <v>150</v>
      </c>
      <c r="I261" s="293">
        <v>1</v>
      </c>
      <c r="J261" s="48" t="s">
        <v>990</v>
      </c>
      <c r="K261" s="50"/>
      <c r="L261" s="53" t="str">
        <f t="shared" si="0"/>
        <v>1ream</v>
      </c>
      <c r="M261" s="54">
        <f t="shared" si="1"/>
        <v>150</v>
      </c>
      <c r="N261" s="55" t="str">
        <f t="shared" si="2"/>
        <v>150ream</v>
      </c>
      <c r="O261" s="56">
        <f t="shared" si="3"/>
        <v>52.5</v>
      </c>
      <c r="P261" s="12"/>
      <c r="Q261" s="12"/>
      <c r="R261" s="12"/>
      <c r="S261" s="151"/>
      <c r="T261" s="12"/>
      <c r="U261" s="12"/>
      <c r="V261" s="12"/>
      <c r="W261" s="12"/>
      <c r="X261" s="12"/>
      <c r="Y261" s="12"/>
      <c r="Z261" s="12"/>
    </row>
    <row r="262" spans="1:26" ht="15" customHeight="1" x14ac:dyDescent="0.3">
      <c r="A262" s="45"/>
      <c r="B262" s="46" t="s">
        <v>988</v>
      </c>
      <c r="C262" s="194" t="s">
        <v>2022</v>
      </c>
      <c r="D262" s="46"/>
      <c r="E262" s="46" t="s">
        <v>991</v>
      </c>
      <c r="F262" s="61" t="s">
        <v>31</v>
      </c>
      <c r="G262" s="288">
        <v>25</v>
      </c>
      <c r="H262" s="289">
        <v>3</v>
      </c>
      <c r="I262" s="290">
        <v>1</v>
      </c>
      <c r="J262" s="48" t="s">
        <v>990</v>
      </c>
      <c r="K262" s="50"/>
      <c r="L262" s="53" t="str">
        <f t="shared" si="0"/>
        <v>1ream</v>
      </c>
      <c r="M262" s="54">
        <f t="shared" si="1"/>
        <v>3</v>
      </c>
      <c r="N262" s="55" t="str">
        <f t="shared" si="2"/>
        <v>3ream</v>
      </c>
      <c r="O262" s="56">
        <f t="shared" si="3"/>
        <v>75</v>
      </c>
      <c r="P262" s="12"/>
      <c r="Q262" s="12"/>
      <c r="R262" s="12"/>
      <c r="S262" s="151"/>
      <c r="T262" s="12"/>
      <c r="U262" s="12"/>
      <c r="V262" s="12"/>
      <c r="W262" s="12"/>
      <c r="X262" s="12"/>
      <c r="Y262" s="12"/>
      <c r="Z262" s="12"/>
    </row>
    <row r="263" spans="1:26" ht="15" customHeight="1" x14ac:dyDescent="0.3">
      <c r="A263" s="45">
        <v>65</v>
      </c>
      <c r="B263" s="46" t="s">
        <v>992</v>
      </c>
      <c r="C263" s="194" t="s">
        <v>29</v>
      </c>
      <c r="D263" s="46"/>
      <c r="E263" s="46"/>
      <c r="F263" s="61" t="s">
        <v>31</v>
      </c>
      <c r="G263" s="288">
        <v>47</v>
      </c>
      <c r="H263" s="289">
        <v>15</v>
      </c>
      <c r="I263" s="290">
        <v>1</v>
      </c>
      <c r="J263" s="48" t="s">
        <v>990</v>
      </c>
      <c r="K263" s="61" t="s">
        <v>2019</v>
      </c>
      <c r="L263" s="415" t="str">
        <f t="shared" si="0"/>
        <v>1ream</v>
      </c>
      <c r="M263" s="416">
        <f t="shared" si="1"/>
        <v>15</v>
      </c>
      <c r="N263" s="417" t="str">
        <f t="shared" si="2"/>
        <v>15ream</v>
      </c>
      <c r="O263" s="418">
        <f t="shared" si="3"/>
        <v>705</v>
      </c>
      <c r="P263" s="419">
        <f t="shared" ref="P263:P264" si="47">O263/H263</f>
        <v>47</v>
      </c>
      <c r="Q263" s="66"/>
      <c r="R263" s="32"/>
      <c r="S263" s="32"/>
      <c r="T263" s="32"/>
      <c r="U263" s="32"/>
      <c r="V263" s="32"/>
      <c r="W263" s="32"/>
      <c r="X263" s="32"/>
      <c r="Y263" s="32"/>
      <c r="Z263" s="32"/>
    </row>
    <row r="264" spans="1:26" ht="15" customHeight="1" x14ac:dyDescent="0.3">
      <c r="A264" s="45">
        <v>383</v>
      </c>
      <c r="B264" s="46" t="s">
        <v>992</v>
      </c>
      <c r="C264" s="194" t="s">
        <v>2025</v>
      </c>
      <c r="D264" s="46"/>
      <c r="E264" s="46"/>
      <c r="F264" s="61" t="s">
        <v>31</v>
      </c>
      <c r="G264" s="288">
        <v>0.6</v>
      </c>
      <c r="H264" s="289">
        <v>50</v>
      </c>
      <c r="I264" s="290">
        <v>1</v>
      </c>
      <c r="J264" s="48" t="s">
        <v>990</v>
      </c>
      <c r="K264" s="50"/>
      <c r="L264" s="53" t="str">
        <f t="shared" ref="L264:L518" si="48">CONCATENATE(I264,J264)</f>
        <v>1ream</v>
      </c>
      <c r="M264" s="54">
        <f t="shared" ref="M264:M518" si="49">H264*I264</f>
        <v>50</v>
      </c>
      <c r="N264" s="55" t="str">
        <f t="shared" ref="N264:N518" si="50">CONCATENATE(M264,K264,J264)</f>
        <v>50ream</v>
      </c>
      <c r="O264" s="56">
        <f t="shared" ref="O264:O518" si="51">G264*H264</f>
        <v>30</v>
      </c>
      <c r="P264" s="44">
        <f t="shared" si="47"/>
        <v>0.6</v>
      </c>
      <c r="Q264" s="66"/>
      <c r="R264" s="32" t="b">
        <f>P264=G264</f>
        <v>1</v>
      </c>
      <c r="S264" s="32"/>
      <c r="T264" s="32"/>
      <c r="U264" s="32"/>
      <c r="V264" s="32"/>
      <c r="W264" s="32"/>
      <c r="X264" s="32"/>
      <c r="Y264" s="32"/>
      <c r="Z264" s="32"/>
    </row>
    <row r="265" spans="1:26" ht="15" customHeight="1" x14ac:dyDescent="0.3">
      <c r="A265" s="45"/>
      <c r="B265" s="219" t="s">
        <v>993</v>
      </c>
      <c r="C265" s="194" t="s">
        <v>2021</v>
      </c>
      <c r="D265" s="46"/>
      <c r="E265" s="46" t="s">
        <v>989</v>
      </c>
      <c r="F265" s="61" t="s">
        <v>31</v>
      </c>
      <c r="G265" s="291">
        <v>1.2</v>
      </c>
      <c r="H265" s="292">
        <v>66</v>
      </c>
      <c r="I265" s="293">
        <v>1</v>
      </c>
      <c r="J265" s="48" t="s">
        <v>990</v>
      </c>
      <c r="K265" s="50"/>
      <c r="L265" s="53" t="str">
        <f t="shared" si="48"/>
        <v>1ream</v>
      </c>
      <c r="M265" s="54">
        <f t="shared" si="49"/>
        <v>66</v>
      </c>
      <c r="N265" s="55" t="str">
        <f t="shared" si="50"/>
        <v>66ream</v>
      </c>
      <c r="O265" s="56">
        <f t="shared" si="51"/>
        <v>79.2</v>
      </c>
      <c r="P265" s="12"/>
      <c r="Q265" s="12"/>
      <c r="R265" s="12"/>
      <c r="S265" s="151"/>
      <c r="T265" s="12"/>
      <c r="U265" s="12"/>
      <c r="V265" s="12"/>
      <c r="W265" s="12"/>
      <c r="X265" s="12"/>
      <c r="Y265" s="12"/>
      <c r="Z265" s="12"/>
    </row>
    <row r="266" spans="1:26" ht="15" customHeight="1" x14ac:dyDescent="0.3">
      <c r="A266" s="45"/>
      <c r="B266" s="219" t="s">
        <v>994</v>
      </c>
      <c r="C266" s="194" t="s">
        <v>2021</v>
      </c>
      <c r="D266" s="46"/>
      <c r="E266" s="46" t="s">
        <v>989</v>
      </c>
      <c r="F266" s="61" t="s">
        <v>31</v>
      </c>
      <c r="G266" s="291">
        <v>0.4</v>
      </c>
      <c r="H266" s="292">
        <v>165</v>
      </c>
      <c r="I266" s="293">
        <v>1</v>
      </c>
      <c r="J266" s="48" t="s">
        <v>990</v>
      </c>
      <c r="K266" s="50"/>
      <c r="L266" s="53" t="str">
        <f t="shared" si="48"/>
        <v>1ream</v>
      </c>
      <c r="M266" s="54">
        <f t="shared" si="49"/>
        <v>165</v>
      </c>
      <c r="N266" s="55" t="str">
        <f t="shared" si="50"/>
        <v>165ream</v>
      </c>
      <c r="O266" s="56">
        <f t="shared" si="51"/>
        <v>66</v>
      </c>
      <c r="P266" s="12"/>
      <c r="Q266" s="12"/>
      <c r="R266" s="12"/>
      <c r="S266" s="151"/>
      <c r="T266" s="12"/>
      <c r="U266" s="12"/>
      <c r="V266" s="12"/>
      <c r="W266" s="12"/>
      <c r="X266" s="12"/>
      <c r="Y266" s="12"/>
      <c r="Z266" s="12"/>
    </row>
    <row r="267" spans="1:26" ht="15" customHeight="1" x14ac:dyDescent="0.3">
      <c r="A267" s="45">
        <v>835</v>
      </c>
      <c r="B267" s="46" t="s">
        <v>995</v>
      </c>
      <c r="C267" s="194" t="s">
        <v>1368</v>
      </c>
      <c r="D267" s="46"/>
      <c r="E267" s="46" t="s">
        <v>989</v>
      </c>
      <c r="F267" s="61" t="s">
        <v>31</v>
      </c>
      <c r="G267" s="288">
        <v>55</v>
      </c>
      <c r="H267" s="289">
        <v>5</v>
      </c>
      <c r="I267" s="290">
        <v>1</v>
      </c>
      <c r="J267" s="48" t="s">
        <v>990</v>
      </c>
      <c r="K267" s="50"/>
      <c r="L267" s="53" t="str">
        <f t="shared" si="48"/>
        <v>1ream</v>
      </c>
      <c r="M267" s="54">
        <f t="shared" si="49"/>
        <v>5</v>
      </c>
      <c r="N267" s="55" t="str">
        <f t="shared" si="50"/>
        <v>5ream</v>
      </c>
      <c r="O267" s="56">
        <f t="shared" si="51"/>
        <v>275</v>
      </c>
      <c r="P267" s="44">
        <f>O267/H267</f>
        <v>55</v>
      </c>
      <c r="Q267" s="66"/>
      <c r="R267" s="32"/>
      <c r="S267" s="32"/>
      <c r="T267" s="32"/>
      <c r="U267" s="32"/>
      <c r="V267" s="32"/>
      <c r="W267" s="32"/>
      <c r="X267" s="32"/>
      <c r="Y267" s="32"/>
      <c r="Z267" s="32"/>
    </row>
    <row r="268" spans="1:26" ht="15" customHeight="1" x14ac:dyDescent="0.3">
      <c r="A268" s="45"/>
      <c r="B268" s="46" t="s">
        <v>996</v>
      </c>
      <c r="C268" s="194" t="s">
        <v>2023</v>
      </c>
      <c r="D268" s="46"/>
      <c r="E268" s="46" t="s">
        <v>989</v>
      </c>
      <c r="F268" s="61" t="s">
        <v>31</v>
      </c>
      <c r="G268" s="288">
        <v>0.5</v>
      </c>
      <c r="H268" s="289">
        <v>100</v>
      </c>
      <c r="I268" s="290">
        <v>1</v>
      </c>
      <c r="J268" s="48" t="s">
        <v>990</v>
      </c>
      <c r="K268" s="50"/>
      <c r="L268" s="53" t="str">
        <f t="shared" si="48"/>
        <v>1ream</v>
      </c>
      <c r="M268" s="54">
        <f t="shared" si="49"/>
        <v>100</v>
      </c>
      <c r="N268" s="55" t="str">
        <f t="shared" si="50"/>
        <v>100ream</v>
      </c>
      <c r="O268" s="56">
        <f t="shared" si="51"/>
        <v>50</v>
      </c>
      <c r="P268" s="12"/>
      <c r="Q268" s="12"/>
      <c r="R268" s="12"/>
      <c r="S268" s="151"/>
      <c r="T268" s="12"/>
      <c r="U268" s="12"/>
      <c r="V268" s="12"/>
      <c r="W268" s="12"/>
      <c r="X268" s="12"/>
      <c r="Y268" s="12"/>
      <c r="Z268" s="12"/>
    </row>
    <row r="269" spans="1:26" ht="15" customHeight="1" x14ac:dyDescent="0.3">
      <c r="A269" s="45"/>
      <c r="B269" s="46" t="s">
        <v>996</v>
      </c>
      <c r="C269" s="194" t="s">
        <v>2022</v>
      </c>
      <c r="D269" s="46"/>
      <c r="E269" s="46" t="s">
        <v>991</v>
      </c>
      <c r="F269" s="61" t="s">
        <v>31</v>
      </c>
      <c r="G269" s="288">
        <v>44.6</v>
      </c>
      <c r="H269" s="289">
        <v>6</v>
      </c>
      <c r="I269" s="290">
        <v>1</v>
      </c>
      <c r="J269" s="48" t="s">
        <v>990</v>
      </c>
      <c r="K269" s="50"/>
      <c r="L269" s="53" t="str">
        <f t="shared" si="48"/>
        <v>1ream</v>
      </c>
      <c r="M269" s="54">
        <f t="shared" si="49"/>
        <v>6</v>
      </c>
      <c r="N269" s="55" t="str">
        <f t="shared" si="50"/>
        <v>6ream</v>
      </c>
      <c r="O269" s="56">
        <f t="shared" si="51"/>
        <v>267.60000000000002</v>
      </c>
      <c r="P269" s="12"/>
      <c r="Q269" s="12"/>
      <c r="R269" s="12"/>
      <c r="S269" s="151"/>
      <c r="T269" s="12"/>
      <c r="U269" s="12"/>
      <c r="V269" s="12"/>
      <c r="W269" s="12"/>
      <c r="X269" s="12"/>
      <c r="Y269" s="12"/>
      <c r="Z269" s="12"/>
    </row>
    <row r="270" spans="1:26" ht="15" customHeight="1" x14ac:dyDescent="0.3">
      <c r="A270" s="45">
        <v>856</v>
      </c>
      <c r="B270" s="46" t="s">
        <v>997</v>
      </c>
      <c r="C270" s="194" t="s">
        <v>1368</v>
      </c>
      <c r="D270" s="46"/>
      <c r="E270" s="46" t="s">
        <v>989</v>
      </c>
      <c r="F270" s="61" t="s">
        <v>31</v>
      </c>
      <c r="G270" s="288">
        <v>75</v>
      </c>
      <c r="H270" s="289">
        <v>3</v>
      </c>
      <c r="I270" s="290">
        <v>1</v>
      </c>
      <c r="J270" s="48" t="s">
        <v>990</v>
      </c>
      <c r="K270" s="50"/>
      <c r="L270" s="53" t="str">
        <f t="shared" si="48"/>
        <v>1ream</v>
      </c>
      <c r="M270" s="54">
        <f t="shared" si="49"/>
        <v>3</v>
      </c>
      <c r="N270" s="55" t="str">
        <f t="shared" si="50"/>
        <v>3ream</v>
      </c>
      <c r="O270" s="56">
        <f t="shared" si="51"/>
        <v>225</v>
      </c>
      <c r="P270" s="44">
        <f>O270/H270</f>
        <v>75</v>
      </c>
      <c r="Q270" s="66"/>
      <c r="R270" s="32"/>
      <c r="S270" s="32"/>
      <c r="T270" s="32"/>
      <c r="U270" s="32"/>
      <c r="V270" s="32"/>
      <c r="W270" s="32"/>
      <c r="X270" s="32"/>
      <c r="Y270" s="32"/>
      <c r="Z270" s="32"/>
    </row>
    <row r="271" spans="1:26" ht="15" customHeight="1" x14ac:dyDescent="0.3">
      <c r="A271" s="45"/>
      <c r="B271" s="46" t="s">
        <v>998</v>
      </c>
      <c r="C271" s="194" t="s">
        <v>2022</v>
      </c>
      <c r="D271" s="46"/>
      <c r="E271" s="46" t="s">
        <v>999</v>
      </c>
      <c r="F271" s="61" t="s">
        <v>31</v>
      </c>
      <c r="G271" s="288">
        <v>115</v>
      </c>
      <c r="H271" s="289">
        <v>1</v>
      </c>
      <c r="I271" s="290">
        <v>1</v>
      </c>
      <c r="J271" s="48" t="s">
        <v>213</v>
      </c>
      <c r="K271" s="50"/>
      <c r="L271" s="53" t="str">
        <f t="shared" si="48"/>
        <v>1kilos</v>
      </c>
      <c r="M271" s="54">
        <f t="shared" si="49"/>
        <v>1</v>
      </c>
      <c r="N271" s="55" t="str">
        <f t="shared" si="50"/>
        <v>1kilos</v>
      </c>
      <c r="O271" s="56">
        <f t="shared" si="51"/>
        <v>115</v>
      </c>
      <c r="P271" s="12"/>
      <c r="Q271" s="12"/>
      <c r="R271" s="12"/>
      <c r="S271" s="151"/>
      <c r="T271" s="12"/>
      <c r="U271" s="12"/>
      <c r="V271" s="12"/>
      <c r="W271" s="12"/>
      <c r="X271" s="12"/>
      <c r="Y271" s="12"/>
      <c r="Z271" s="12"/>
    </row>
    <row r="272" spans="1:26" ht="15" customHeight="1" x14ac:dyDescent="0.3">
      <c r="A272" s="45"/>
      <c r="B272" s="219" t="s">
        <v>998</v>
      </c>
      <c r="C272" s="194" t="s">
        <v>2021</v>
      </c>
      <c r="D272" s="46"/>
      <c r="E272" s="219" t="s">
        <v>1000</v>
      </c>
      <c r="F272" s="61" t="s">
        <v>31</v>
      </c>
      <c r="G272" s="291">
        <v>160</v>
      </c>
      <c r="H272" s="292">
        <v>2</v>
      </c>
      <c r="I272" s="293">
        <v>2</v>
      </c>
      <c r="J272" s="414" t="s">
        <v>213</v>
      </c>
      <c r="K272" s="50"/>
      <c r="L272" s="53" t="str">
        <f t="shared" si="48"/>
        <v>2kilos</v>
      </c>
      <c r="M272" s="54">
        <f t="shared" si="49"/>
        <v>4</v>
      </c>
      <c r="N272" s="55" t="str">
        <f t="shared" si="50"/>
        <v>4kilos</v>
      </c>
      <c r="O272" s="56">
        <f t="shared" si="51"/>
        <v>320</v>
      </c>
      <c r="P272" s="12"/>
      <c r="Q272" s="12"/>
      <c r="R272" s="12"/>
      <c r="S272" s="151"/>
      <c r="T272" s="12"/>
      <c r="U272" s="12"/>
      <c r="V272" s="12"/>
      <c r="W272" s="12"/>
      <c r="X272" s="12"/>
      <c r="Y272" s="12"/>
      <c r="Z272" s="12"/>
    </row>
    <row r="273" spans="1:26" ht="15" customHeight="1" x14ac:dyDescent="0.3">
      <c r="A273" s="45"/>
      <c r="B273" s="219" t="s">
        <v>998</v>
      </c>
      <c r="C273" s="194" t="s">
        <v>2021</v>
      </c>
      <c r="D273" s="46"/>
      <c r="E273" s="219" t="s">
        <v>904</v>
      </c>
      <c r="F273" s="61" t="s">
        <v>31</v>
      </c>
      <c r="G273" s="291">
        <v>126</v>
      </c>
      <c r="H273" s="292">
        <v>1</v>
      </c>
      <c r="I273" s="293">
        <v>800</v>
      </c>
      <c r="J273" s="414" t="s">
        <v>39</v>
      </c>
      <c r="K273" s="50"/>
      <c r="L273" s="53" t="str">
        <f t="shared" si="48"/>
        <v>800grams</v>
      </c>
      <c r="M273" s="54">
        <f t="shared" si="49"/>
        <v>800</v>
      </c>
      <c r="N273" s="55" t="str">
        <f t="shared" si="50"/>
        <v>800grams</v>
      </c>
      <c r="O273" s="56">
        <f t="shared" si="51"/>
        <v>126</v>
      </c>
      <c r="P273" s="12"/>
      <c r="Q273" s="12"/>
      <c r="R273" s="12"/>
      <c r="S273" s="151"/>
      <c r="T273" s="12"/>
      <c r="U273" s="12"/>
      <c r="V273" s="12"/>
      <c r="W273" s="12"/>
      <c r="X273" s="12"/>
      <c r="Y273" s="12"/>
      <c r="Z273" s="12"/>
    </row>
    <row r="274" spans="1:26" ht="15" customHeight="1" x14ac:dyDescent="0.3">
      <c r="A274" s="45"/>
      <c r="B274" s="46" t="s">
        <v>1001</v>
      </c>
      <c r="C274" s="194" t="s">
        <v>2023</v>
      </c>
      <c r="D274" s="46"/>
      <c r="E274" s="46"/>
      <c r="F274" s="61" t="s">
        <v>31</v>
      </c>
      <c r="G274" s="288">
        <v>46</v>
      </c>
      <c r="H274" s="289">
        <v>1</v>
      </c>
      <c r="I274" s="290">
        <v>1</v>
      </c>
      <c r="J274" s="48" t="s">
        <v>92</v>
      </c>
      <c r="K274" s="50"/>
      <c r="L274" s="53" t="str">
        <f t="shared" si="48"/>
        <v>1pieces</v>
      </c>
      <c r="M274" s="54">
        <f t="shared" si="49"/>
        <v>1</v>
      </c>
      <c r="N274" s="55" t="str">
        <f t="shared" si="50"/>
        <v>1pieces</v>
      </c>
      <c r="O274" s="56">
        <f t="shared" si="51"/>
        <v>46</v>
      </c>
      <c r="P274" s="44"/>
      <c r="Q274" s="12"/>
      <c r="R274" s="12"/>
      <c r="S274" s="151"/>
      <c r="T274" s="12"/>
      <c r="U274" s="12"/>
      <c r="V274" s="12"/>
      <c r="W274" s="12"/>
      <c r="X274" s="12"/>
      <c r="Y274" s="12"/>
      <c r="Z274" s="12"/>
    </row>
    <row r="275" spans="1:26" ht="15" customHeight="1" x14ac:dyDescent="0.3">
      <c r="A275" s="45">
        <v>179</v>
      </c>
      <c r="B275" s="46" t="s">
        <v>1002</v>
      </c>
      <c r="C275" s="194" t="s">
        <v>2024</v>
      </c>
      <c r="D275" s="46"/>
      <c r="E275" s="46"/>
      <c r="F275" s="61" t="s">
        <v>31</v>
      </c>
      <c r="G275" s="288">
        <v>260</v>
      </c>
      <c r="H275" s="289">
        <v>1</v>
      </c>
      <c r="I275" s="290">
        <v>1</v>
      </c>
      <c r="J275" s="48" t="s">
        <v>213</v>
      </c>
      <c r="K275" s="50"/>
      <c r="L275" s="53" t="str">
        <f t="shared" si="48"/>
        <v>1kilos</v>
      </c>
      <c r="M275" s="54">
        <f t="shared" si="49"/>
        <v>1</v>
      </c>
      <c r="N275" s="55" t="str">
        <f t="shared" si="50"/>
        <v>1kilos</v>
      </c>
      <c r="O275" s="56">
        <f t="shared" si="51"/>
        <v>260</v>
      </c>
      <c r="P275" s="44">
        <f>O275/H275</f>
        <v>260</v>
      </c>
      <c r="Q275" s="66"/>
      <c r="R275" s="32"/>
      <c r="S275" s="32"/>
      <c r="T275" s="32"/>
      <c r="U275" s="32"/>
      <c r="V275" s="32"/>
      <c r="W275" s="32"/>
      <c r="X275" s="32"/>
      <c r="Y275" s="32"/>
      <c r="Z275" s="32"/>
    </row>
    <row r="276" spans="1:26" ht="15" customHeight="1" x14ac:dyDescent="0.3">
      <c r="A276" s="45"/>
      <c r="B276" s="46" t="s">
        <v>1003</v>
      </c>
      <c r="C276" s="194" t="s">
        <v>2020</v>
      </c>
      <c r="D276" s="46"/>
      <c r="E276" s="46" t="s">
        <v>1004</v>
      </c>
      <c r="F276" s="61" t="s">
        <v>31</v>
      </c>
      <c r="G276" s="288">
        <v>5</v>
      </c>
      <c r="H276" s="289">
        <v>120</v>
      </c>
      <c r="I276" s="290">
        <v>1</v>
      </c>
      <c r="J276" s="48" t="s">
        <v>92</v>
      </c>
      <c r="K276" s="50"/>
      <c r="L276" s="53" t="str">
        <f t="shared" si="48"/>
        <v>1pieces</v>
      </c>
      <c r="M276" s="54">
        <f t="shared" si="49"/>
        <v>120</v>
      </c>
      <c r="N276" s="55" t="str">
        <f t="shared" si="50"/>
        <v>120pieces</v>
      </c>
      <c r="O276" s="56">
        <f t="shared" si="51"/>
        <v>600</v>
      </c>
      <c r="P276" s="12"/>
      <c r="Q276" s="12"/>
      <c r="R276" s="12"/>
      <c r="S276" s="151"/>
      <c r="T276" s="12"/>
      <c r="U276" s="12"/>
      <c r="V276" s="12"/>
      <c r="W276" s="12"/>
      <c r="X276" s="12"/>
      <c r="Y276" s="12"/>
      <c r="Z276" s="12"/>
    </row>
    <row r="277" spans="1:26" ht="15" customHeight="1" x14ac:dyDescent="0.3">
      <c r="A277" s="45">
        <v>542</v>
      </c>
      <c r="B277" s="219" t="s">
        <v>1005</v>
      </c>
      <c r="C277" s="194" t="s">
        <v>2026</v>
      </c>
      <c r="D277" s="46"/>
      <c r="E277" s="46" t="s">
        <v>1006</v>
      </c>
      <c r="F277" s="61" t="s">
        <v>31</v>
      </c>
      <c r="G277" s="288">
        <v>195</v>
      </c>
      <c r="H277" s="289">
        <v>2</v>
      </c>
      <c r="I277" s="290">
        <v>912</v>
      </c>
      <c r="J277" s="48" t="s">
        <v>39</v>
      </c>
      <c r="K277" s="50"/>
      <c r="L277" s="53" t="str">
        <f t="shared" si="48"/>
        <v>912grams</v>
      </c>
      <c r="M277" s="54">
        <f t="shared" si="49"/>
        <v>1824</v>
      </c>
      <c r="N277" s="55" t="str">
        <f t="shared" si="50"/>
        <v>1824grams</v>
      </c>
      <c r="O277" s="56">
        <f t="shared" si="51"/>
        <v>390</v>
      </c>
      <c r="P277" s="44">
        <f t="shared" ref="P277:P279" si="52">O277/H277</f>
        <v>195</v>
      </c>
      <c r="Q277" s="66"/>
      <c r="R277" s="32" t="b">
        <f t="shared" ref="R277:R279" si="53">P277=G277</f>
        <v>1</v>
      </c>
      <c r="S277" s="32"/>
      <c r="T277" s="32"/>
      <c r="U277" s="32"/>
      <c r="V277" s="32"/>
      <c r="W277" s="32"/>
      <c r="X277" s="32"/>
      <c r="Y277" s="32"/>
      <c r="Z277" s="32"/>
    </row>
    <row r="278" spans="1:26" ht="15" customHeight="1" x14ac:dyDescent="0.3">
      <c r="A278" s="45">
        <v>868</v>
      </c>
      <c r="B278" s="46" t="s">
        <v>1005</v>
      </c>
      <c r="C278" s="194" t="s">
        <v>1368</v>
      </c>
      <c r="D278" s="46"/>
      <c r="E278" s="46" t="s">
        <v>1006</v>
      </c>
      <c r="F278" s="61" t="s">
        <v>31</v>
      </c>
      <c r="G278" s="288">
        <v>268.5</v>
      </c>
      <c r="H278" s="289">
        <v>2</v>
      </c>
      <c r="I278" s="290">
        <v>912</v>
      </c>
      <c r="J278" s="48" t="s">
        <v>39</v>
      </c>
      <c r="K278" s="50" t="s">
        <v>2019</v>
      </c>
      <c r="L278" s="53" t="str">
        <f t="shared" si="48"/>
        <v>912grams</v>
      </c>
      <c r="M278" s="54">
        <f t="shared" si="49"/>
        <v>1824</v>
      </c>
      <c r="N278" s="55" t="str">
        <f t="shared" si="50"/>
        <v>1824grams</v>
      </c>
      <c r="O278" s="56">
        <f t="shared" si="51"/>
        <v>537</v>
      </c>
      <c r="P278" s="44">
        <f t="shared" si="52"/>
        <v>268.5</v>
      </c>
      <c r="Q278" s="66">
        <f>G278-P278</f>
        <v>0</v>
      </c>
      <c r="R278" s="32" t="b">
        <f t="shared" si="53"/>
        <v>1</v>
      </c>
      <c r="S278" s="32"/>
      <c r="T278" s="32"/>
      <c r="U278" s="32"/>
      <c r="V278" s="32"/>
      <c r="W278" s="32"/>
      <c r="X278" s="32"/>
      <c r="Y278" s="32"/>
      <c r="Z278" s="32"/>
    </row>
    <row r="279" spans="1:26" ht="15" customHeight="1" x14ac:dyDescent="0.3">
      <c r="A279" s="45">
        <v>721</v>
      </c>
      <c r="B279" s="219" t="s">
        <v>1005</v>
      </c>
      <c r="C279" s="194" t="s">
        <v>2026</v>
      </c>
      <c r="D279" s="46"/>
      <c r="E279" s="46" t="s">
        <v>1006</v>
      </c>
      <c r="F279" s="61" t="s">
        <v>31</v>
      </c>
      <c r="G279" s="288">
        <v>58</v>
      </c>
      <c r="H279" s="289">
        <v>5</v>
      </c>
      <c r="I279" s="290">
        <v>228</v>
      </c>
      <c r="J279" s="48" t="s">
        <v>39</v>
      </c>
      <c r="K279" s="50"/>
      <c r="L279" s="53" t="str">
        <f t="shared" si="48"/>
        <v>228grams</v>
      </c>
      <c r="M279" s="54">
        <f t="shared" si="49"/>
        <v>1140</v>
      </c>
      <c r="N279" s="55" t="str">
        <f t="shared" si="50"/>
        <v>1140grams</v>
      </c>
      <c r="O279" s="56">
        <f t="shared" si="51"/>
        <v>290</v>
      </c>
      <c r="P279" s="44">
        <f t="shared" si="52"/>
        <v>58</v>
      </c>
      <c r="Q279" s="66"/>
      <c r="R279" s="32" t="b">
        <f t="shared" si="53"/>
        <v>1</v>
      </c>
      <c r="S279" s="32"/>
      <c r="T279" s="32"/>
      <c r="U279" s="32"/>
      <c r="V279" s="32"/>
      <c r="W279" s="32"/>
      <c r="X279" s="32"/>
      <c r="Y279" s="32"/>
      <c r="Z279" s="32"/>
    </row>
    <row r="280" spans="1:26" ht="15" customHeight="1" x14ac:dyDescent="0.3">
      <c r="A280" s="45"/>
      <c r="B280" s="219" t="s">
        <v>1007</v>
      </c>
      <c r="C280" s="194" t="s">
        <v>2021</v>
      </c>
      <c r="D280" s="46"/>
      <c r="E280" s="219" t="s">
        <v>1008</v>
      </c>
      <c r="F280" s="61" t="s">
        <v>31</v>
      </c>
      <c r="G280" s="291">
        <v>54</v>
      </c>
      <c r="H280" s="292">
        <v>4</v>
      </c>
      <c r="I280" s="293">
        <v>200</v>
      </c>
      <c r="J280" s="414" t="s">
        <v>39</v>
      </c>
      <c r="K280" s="50"/>
      <c r="L280" s="53" t="str">
        <f t="shared" si="48"/>
        <v>200grams</v>
      </c>
      <c r="M280" s="54">
        <f t="shared" si="49"/>
        <v>800</v>
      </c>
      <c r="N280" s="55" t="str">
        <f t="shared" si="50"/>
        <v>800grams</v>
      </c>
      <c r="O280" s="56">
        <f t="shared" si="51"/>
        <v>216</v>
      </c>
      <c r="P280" s="12"/>
      <c r="Q280" s="12"/>
      <c r="R280" s="12"/>
      <c r="S280" s="151"/>
      <c r="T280" s="12"/>
      <c r="U280" s="12"/>
      <c r="V280" s="12"/>
      <c r="W280" s="12"/>
      <c r="X280" s="12"/>
      <c r="Y280" s="12"/>
      <c r="Z280" s="12"/>
    </row>
    <row r="281" spans="1:26" ht="15" customHeight="1" x14ac:dyDescent="0.3">
      <c r="A281" s="45">
        <v>838</v>
      </c>
      <c r="B281" s="46" t="s">
        <v>1007</v>
      </c>
      <c r="C281" s="194" t="s">
        <v>1368</v>
      </c>
      <c r="D281" s="46"/>
      <c r="E281" s="46" t="s">
        <v>1009</v>
      </c>
      <c r="F281" s="61" t="s">
        <v>31</v>
      </c>
      <c r="G281" s="288">
        <v>52</v>
      </c>
      <c r="H281" s="289">
        <v>4</v>
      </c>
      <c r="I281" s="290">
        <v>200</v>
      </c>
      <c r="J281" s="48" t="s">
        <v>39</v>
      </c>
      <c r="K281" s="50"/>
      <c r="L281" s="53" t="str">
        <f t="shared" si="48"/>
        <v>200grams</v>
      </c>
      <c r="M281" s="54">
        <f t="shared" si="49"/>
        <v>800</v>
      </c>
      <c r="N281" s="55" t="str">
        <f t="shared" si="50"/>
        <v>800grams</v>
      </c>
      <c r="O281" s="56">
        <f t="shared" si="51"/>
        <v>208</v>
      </c>
      <c r="P281" s="44">
        <f>O281/H281</f>
        <v>52</v>
      </c>
      <c r="Q281" s="66"/>
      <c r="R281" s="32"/>
      <c r="S281" s="32"/>
      <c r="T281" s="32"/>
      <c r="U281" s="32"/>
      <c r="V281" s="32"/>
      <c r="W281" s="32"/>
      <c r="X281" s="32"/>
      <c r="Y281" s="32"/>
      <c r="Z281" s="32"/>
    </row>
    <row r="282" spans="1:26" ht="15" customHeight="1" x14ac:dyDescent="0.3">
      <c r="A282" s="45">
        <v>892</v>
      </c>
      <c r="B282" s="46" t="s">
        <v>1010</v>
      </c>
      <c r="C282" s="194" t="s">
        <v>1368</v>
      </c>
      <c r="D282" s="46"/>
      <c r="E282" s="46" t="s">
        <v>1011</v>
      </c>
      <c r="F282" s="61" t="s">
        <v>31</v>
      </c>
      <c r="G282" s="288">
        <v>62.5</v>
      </c>
      <c r="H282" s="289">
        <v>1</v>
      </c>
      <c r="I282" s="290">
        <v>400</v>
      </c>
      <c r="J282" s="48" t="s">
        <v>39</v>
      </c>
      <c r="K282" s="50"/>
      <c r="L282" s="53" t="str">
        <f t="shared" si="48"/>
        <v>400grams</v>
      </c>
      <c r="M282" s="54">
        <f t="shared" si="49"/>
        <v>400</v>
      </c>
      <c r="N282" s="55" t="str">
        <f t="shared" si="50"/>
        <v>400grams</v>
      </c>
      <c r="O282" s="56">
        <f t="shared" si="51"/>
        <v>62.5</v>
      </c>
      <c r="P282" s="44"/>
      <c r="Q282" s="66"/>
      <c r="R282" s="32"/>
      <c r="S282" s="32"/>
      <c r="T282" s="32"/>
      <c r="U282" s="32"/>
      <c r="V282" s="32"/>
      <c r="W282" s="32"/>
      <c r="X282" s="32"/>
      <c r="Y282" s="32"/>
      <c r="Z282" s="32"/>
    </row>
    <row r="283" spans="1:26" ht="15" customHeight="1" x14ac:dyDescent="0.3">
      <c r="A283" s="45">
        <v>693</v>
      </c>
      <c r="B283" s="46" t="s">
        <v>168</v>
      </c>
      <c r="C283" s="194" t="s">
        <v>2026</v>
      </c>
      <c r="D283" s="46"/>
      <c r="E283" s="46" t="s">
        <v>865</v>
      </c>
      <c r="F283" s="61" t="s">
        <v>31</v>
      </c>
      <c r="G283" s="288">
        <v>56.9</v>
      </c>
      <c r="H283" s="289">
        <v>6</v>
      </c>
      <c r="I283" s="290">
        <v>156</v>
      </c>
      <c r="J283" s="48" t="s">
        <v>519</v>
      </c>
      <c r="K283" s="50"/>
      <c r="L283" s="53" t="str">
        <f t="shared" si="48"/>
        <v>156drained weight grams</v>
      </c>
      <c r="M283" s="54">
        <f t="shared" si="49"/>
        <v>936</v>
      </c>
      <c r="N283" s="55" t="str">
        <f t="shared" si="50"/>
        <v>936drained weight grams</v>
      </c>
      <c r="O283" s="56">
        <f t="shared" si="51"/>
        <v>341.4</v>
      </c>
      <c r="P283" s="44">
        <f>O283/H283</f>
        <v>56.9</v>
      </c>
      <c r="Q283" s="66"/>
      <c r="R283" s="32"/>
      <c r="S283" s="32"/>
      <c r="T283" s="32"/>
      <c r="U283" s="32"/>
      <c r="V283" s="32"/>
      <c r="W283" s="32"/>
      <c r="X283" s="32"/>
      <c r="Y283" s="32"/>
      <c r="Z283" s="32"/>
    </row>
    <row r="284" spans="1:26" ht="15" customHeight="1" x14ac:dyDescent="0.3">
      <c r="A284" s="45"/>
      <c r="B284" s="46" t="s">
        <v>168</v>
      </c>
      <c r="C284" s="194" t="s">
        <v>2023</v>
      </c>
      <c r="D284" s="46"/>
      <c r="E284" s="46" t="s">
        <v>982</v>
      </c>
      <c r="F284" s="61" t="s">
        <v>31</v>
      </c>
      <c r="G284" s="288">
        <v>50</v>
      </c>
      <c r="H284" s="289">
        <v>8</v>
      </c>
      <c r="I284" s="290">
        <v>180</v>
      </c>
      <c r="J284" s="48" t="s">
        <v>519</v>
      </c>
      <c r="K284" s="50"/>
      <c r="L284" s="53" t="str">
        <f t="shared" si="48"/>
        <v>180drained weight grams</v>
      </c>
      <c r="M284" s="54">
        <f t="shared" si="49"/>
        <v>1440</v>
      </c>
      <c r="N284" s="55" t="str">
        <f t="shared" si="50"/>
        <v>1440drained weight grams</v>
      </c>
      <c r="O284" s="56">
        <f t="shared" si="51"/>
        <v>400</v>
      </c>
      <c r="P284" s="12"/>
      <c r="Q284" s="12"/>
      <c r="R284" s="12"/>
      <c r="S284" s="151"/>
      <c r="T284" s="12"/>
      <c r="U284" s="12"/>
      <c r="V284" s="12"/>
      <c r="W284" s="12"/>
      <c r="X284" s="12"/>
      <c r="Y284" s="12"/>
      <c r="Z284" s="12"/>
    </row>
    <row r="285" spans="1:26" ht="15" customHeight="1" x14ac:dyDescent="0.3">
      <c r="A285" s="45"/>
      <c r="B285" s="46" t="s">
        <v>168</v>
      </c>
      <c r="C285" s="194" t="s">
        <v>2022</v>
      </c>
      <c r="D285" s="46"/>
      <c r="E285" s="46" t="s">
        <v>982</v>
      </c>
      <c r="F285" s="61" t="s">
        <v>31</v>
      </c>
      <c r="G285" s="288">
        <v>50</v>
      </c>
      <c r="H285" s="289">
        <v>22</v>
      </c>
      <c r="I285" s="290">
        <v>180</v>
      </c>
      <c r="J285" s="48" t="s">
        <v>39</v>
      </c>
      <c r="K285" s="50"/>
      <c r="L285" s="53" t="str">
        <f t="shared" si="48"/>
        <v>180grams</v>
      </c>
      <c r="M285" s="54">
        <f t="shared" si="49"/>
        <v>3960</v>
      </c>
      <c r="N285" s="55" t="str">
        <f t="shared" si="50"/>
        <v>3960grams</v>
      </c>
      <c r="O285" s="56">
        <f t="shared" si="51"/>
        <v>1100</v>
      </c>
      <c r="P285" s="12"/>
      <c r="Q285" s="12"/>
      <c r="R285" s="12"/>
      <c r="S285" s="151"/>
      <c r="T285" s="12"/>
      <c r="U285" s="12"/>
      <c r="V285" s="12"/>
      <c r="W285" s="12"/>
      <c r="X285" s="12"/>
      <c r="Y285" s="12"/>
      <c r="Z285" s="12"/>
    </row>
    <row r="286" spans="1:26" ht="15" customHeight="1" x14ac:dyDescent="0.3">
      <c r="A286" s="45"/>
      <c r="B286" s="219" t="s">
        <v>168</v>
      </c>
      <c r="C286" s="194" t="s">
        <v>2021</v>
      </c>
      <c r="D286" s="46"/>
      <c r="E286" s="219" t="s">
        <v>982</v>
      </c>
      <c r="F286" s="61" t="s">
        <v>31</v>
      </c>
      <c r="G286" s="291">
        <v>50</v>
      </c>
      <c r="H286" s="292">
        <v>7</v>
      </c>
      <c r="I286" s="293">
        <v>180</v>
      </c>
      <c r="J286" s="414" t="s">
        <v>39</v>
      </c>
      <c r="K286" s="50"/>
      <c r="L286" s="53" t="str">
        <f t="shared" si="48"/>
        <v>180grams</v>
      </c>
      <c r="M286" s="54">
        <f t="shared" si="49"/>
        <v>1260</v>
      </c>
      <c r="N286" s="55" t="str">
        <f t="shared" si="50"/>
        <v>1260grams</v>
      </c>
      <c r="O286" s="56">
        <f t="shared" si="51"/>
        <v>350</v>
      </c>
      <c r="P286" s="12"/>
      <c r="Q286" s="12"/>
      <c r="R286" s="12"/>
      <c r="S286" s="151"/>
      <c r="T286" s="12"/>
      <c r="U286" s="12"/>
      <c r="V286" s="12"/>
      <c r="W286" s="12"/>
      <c r="X286" s="12"/>
      <c r="Y286" s="12"/>
      <c r="Z286" s="12"/>
    </row>
    <row r="287" spans="1:26" ht="15" customHeight="1" x14ac:dyDescent="0.3">
      <c r="A287" s="45">
        <v>479</v>
      </c>
      <c r="B287" s="46" t="s">
        <v>450</v>
      </c>
      <c r="C287" s="194" t="s">
        <v>2025</v>
      </c>
      <c r="D287" s="46"/>
      <c r="E287" s="46"/>
      <c r="F287" s="61" t="s">
        <v>31</v>
      </c>
      <c r="G287" s="288">
        <v>75</v>
      </c>
      <c r="H287" s="289">
        <v>4</v>
      </c>
      <c r="I287" s="290">
        <v>1</v>
      </c>
      <c r="J287" s="290" t="s">
        <v>213</v>
      </c>
      <c r="K287" s="50"/>
      <c r="L287" s="53" t="str">
        <f t="shared" si="48"/>
        <v>1kilos</v>
      </c>
      <c r="M287" s="54">
        <f t="shared" si="49"/>
        <v>4</v>
      </c>
      <c r="N287" s="55" t="str">
        <f t="shared" si="50"/>
        <v>4kilos</v>
      </c>
      <c r="O287" s="56">
        <f t="shared" si="51"/>
        <v>300</v>
      </c>
      <c r="P287" s="44">
        <f t="shared" ref="P287:P288" si="54">O287/H287</f>
        <v>75</v>
      </c>
      <c r="Q287" s="66"/>
      <c r="R287" s="32" t="b">
        <f t="shared" ref="R287:R288" si="55">P287=G287</f>
        <v>1</v>
      </c>
      <c r="S287" s="32"/>
      <c r="T287" s="32"/>
      <c r="U287" s="32"/>
      <c r="V287" s="32"/>
      <c r="W287" s="32"/>
      <c r="X287" s="32"/>
      <c r="Y287" s="32"/>
      <c r="Z287" s="32"/>
    </row>
    <row r="288" spans="1:26" ht="15" customHeight="1" x14ac:dyDescent="0.3">
      <c r="A288" s="45">
        <v>657</v>
      </c>
      <c r="B288" s="46" t="s">
        <v>450</v>
      </c>
      <c r="C288" s="194" t="s">
        <v>2026</v>
      </c>
      <c r="D288" s="46"/>
      <c r="E288" s="46"/>
      <c r="F288" s="61" t="s">
        <v>31</v>
      </c>
      <c r="G288" s="288">
        <v>80</v>
      </c>
      <c r="H288" s="289">
        <v>5</v>
      </c>
      <c r="I288" s="290">
        <v>1</v>
      </c>
      <c r="J288" s="290" t="s">
        <v>213</v>
      </c>
      <c r="K288" s="50"/>
      <c r="L288" s="53" t="str">
        <f t="shared" si="48"/>
        <v>1kilos</v>
      </c>
      <c r="M288" s="54">
        <f t="shared" si="49"/>
        <v>5</v>
      </c>
      <c r="N288" s="55" t="str">
        <f t="shared" si="50"/>
        <v>5kilos</v>
      </c>
      <c r="O288" s="56">
        <f t="shared" si="51"/>
        <v>400</v>
      </c>
      <c r="P288" s="44">
        <f t="shared" si="54"/>
        <v>80</v>
      </c>
      <c r="Q288" s="66"/>
      <c r="R288" s="32" t="b">
        <f t="shared" si="55"/>
        <v>1</v>
      </c>
      <c r="S288" s="32"/>
      <c r="T288" s="32"/>
      <c r="U288" s="32"/>
      <c r="V288" s="32"/>
      <c r="W288" s="32"/>
      <c r="X288" s="32"/>
      <c r="Y288" s="32"/>
      <c r="Z288" s="32"/>
    </row>
    <row r="289" spans="1:26" ht="15" customHeight="1" x14ac:dyDescent="0.3">
      <c r="A289" s="45">
        <v>885</v>
      </c>
      <c r="B289" s="46" t="s">
        <v>450</v>
      </c>
      <c r="C289" s="194" t="s">
        <v>1368</v>
      </c>
      <c r="D289" s="46"/>
      <c r="E289" s="46"/>
      <c r="F289" s="61" t="s">
        <v>31</v>
      </c>
      <c r="G289" s="288">
        <v>75</v>
      </c>
      <c r="H289" s="289">
        <v>1</v>
      </c>
      <c r="I289" s="290">
        <v>1</v>
      </c>
      <c r="J289" s="290" t="s">
        <v>213</v>
      </c>
      <c r="K289" s="50"/>
      <c r="L289" s="53" t="str">
        <f t="shared" si="48"/>
        <v>1kilos</v>
      </c>
      <c r="M289" s="54">
        <f t="shared" si="49"/>
        <v>1</v>
      </c>
      <c r="N289" s="55" t="str">
        <f t="shared" si="50"/>
        <v>1kilos</v>
      </c>
      <c r="O289" s="56">
        <f t="shared" si="51"/>
        <v>75</v>
      </c>
      <c r="P289" s="44"/>
      <c r="Q289" s="66"/>
      <c r="R289" s="32"/>
      <c r="S289" s="32"/>
      <c r="T289" s="32"/>
      <c r="U289" s="32"/>
      <c r="V289" s="32"/>
      <c r="W289" s="32"/>
      <c r="X289" s="32"/>
      <c r="Y289" s="32"/>
      <c r="Z289" s="32"/>
    </row>
    <row r="290" spans="1:26" ht="15" customHeight="1" x14ac:dyDescent="0.3">
      <c r="A290" s="45"/>
      <c r="B290" s="46" t="s">
        <v>450</v>
      </c>
      <c r="C290" s="194" t="s">
        <v>2023</v>
      </c>
      <c r="D290" s="46"/>
      <c r="E290" s="46"/>
      <c r="F290" s="61" t="s">
        <v>31</v>
      </c>
      <c r="G290" s="288">
        <v>62</v>
      </c>
      <c r="H290" s="289">
        <v>2</v>
      </c>
      <c r="I290" s="290">
        <v>1</v>
      </c>
      <c r="J290" s="290" t="s">
        <v>213</v>
      </c>
      <c r="K290" s="50"/>
      <c r="L290" s="53" t="str">
        <f t="shared" si="48"/>
        <v>1kilos</v>
      </c>
      <c r="M290" s="54">
        <f t="shared" si="49"/>
        <v>2</v>
      </c>
      <c r="N290" s="55" t="str">
        <f t="shared" si="50"/>
        <v>2kilos</v>
      </c>
      <c r="O290" s="56">
        <f t="shared" si="51"/>
        <v>124</v>
      </c>
      <c r="P290" s="12"/>
      <c r="Q290" s="12"/>
      <c r="R290" s="12"/>
      <c r="S290" s="151"/>
      <c r="T290" s="12"/>
      <c r="U290" s="12"/>
      <c r="V290" s="12"/>
      <c r="W290" s="12"/>
      <c r="X290" s="12"/>
      <c r="Y290" s="12"/>
      <c r="Z290" s="12"/>
    </row>
    <row r="291" spans="1:26" ht="15" customHeight="1" x14ac:dyDescent="0.3">
      <c r="A291" s="45">
        <v>900</v>
      </c>
      <c r="B291" s="46" t="s">
        <v>1012</v>
      </c>
      <c r="C291" s="194" t="s">
        <v>1368</v>
      </c>
      <c r="D291" s="46"/>
      <c r="E291" s="46" t="s">
        <v>1013</v>
      </c>
      <c r="F291" s="61" t="s">
        <v>31</v>
      </c>
      <c r="G291" s="288">
        <v>152.25</v>
      </c>
      <c r="H291" s="289">
        <v>1</v>
      </c>
      <c r="I291" s="290">
        <v>236</v>
      </c>
      <c r="J291" s="422" t="s">
        <v>32</v>
      </c>
      <c r="K291" s="50"/>
      <c r="L291" s="53" t="str">
        <f t="shared" si="48"/>
        <v>236ml</v>
      </c>
      <c r="M291" s="54">
        <f t="shared" si="49"/>
        <v>236</v>
      </c>
      <c r="N291" s="55" t="str">
        <f t="shared" si="50"/>
        <v>236ml</v>
      </c>
      <c r="O291" s="56">
        <f t="shared" si="51"/>
        <v>152.25</v>
      </c>
      <c r="P291" s="44"/>
      <c r="Q291" s="66"/>
      <c r="R291" s="32"/>
      <c r="S291" s="32"/>
      <c r="T291" s="32"/>
      <c r="U291" s="32"/>
      <c r="V291" s="32"/>
      <c r="W291" s="32"/>
      <c r="X291" s="32"/>
      <c r="Y291" s="32"/>
      <c r="Z291" s="32"/>
    </row>
    <row r="292" spans="1:26" ht="15" customHeight="1" x14ac:dyDescent="0.3">
      <c r="A292" s="45"/>
      <c r="B292" s="219" t="s">
        <v>1014</v>
      </c>
      <c r="C292" s="194" t="s">
        <v>2021</v>
      </c>
      <c r="D292" s="46"/>
      <c r="E292" s="46" t="s">
        <v>854</v>
      </c>
      <c r="F292" s="61" t="s">
        <v>31</v>
      </c>
      <c r="G292" s="291">
        <v>37.25</v>
      </c>
      <c r="H292" s="292">
        <v>1</v>
      </c>
      <c r="I292" s="293">
        <v>45</v>
      </c>
      <c r="J292" s="414" t="s">
        <v>39</v>
      </c>
      <c r="K292" s="50"/>
      <c r="L292" s="53" t="str">
        <f t="shared" si="48"/>
        <v>45grams</v>
      </c>
      <c r="M292" s="54">
        <f t="shared" si="49"/>
        <v>45</v>
      </c>
      <c r="N292" s="55" t="str">
        <f t="shared" si="50"/>
        <v>45grams</v>
      </c>
      <c r="O292" s="56">
        <f t="shared" si="51"/>
        <v>37.25</v>
      </c>
      <c r="P292" s="12"/>
      <c r="Q292" s="12"/>
      <c r="R292" s="12"/>
      <c r="S292" s="151"/>
      <c r="T292" s="12"/>
      <c r="U292" s="12"/>
      <c r="V292" s="12"/>
      <c r="W292" s="12"/>
      <c r="X292" s="12"/>
      <c r="Y292" s="12"/>
      <c r="Z292" s="12"/>
    </row>
    <row r="293" spans="1:26" ht="15" customHeight="1" x14ac:dyDescent="0.3">
      <c r="A293" s="45">
        <v>314</v>
      </c>
      <c r="B293" s="219" t="s">
        <v>1014</v>
      </c>
      <c r="C293" s="194" t="s">
        <v>2025</v>
      </c>
      <c r="D293" s="46"/>
      <c r="E293" s="46" t="s">
        <v>854</v>
      </c>
      <c r="F293" s="61" t="s">
        <v>31</v>
      </c>
      <c r="G293" s="288">
        <v>65</v>
      </c>
      <c r="H293" s="289">
        <v>1</v>
      </c>
      <c r="I293" s="290">
        <v>40</v>
      </c>
      <c r="J293" s="48" t="s">
        <v>39</v>
      </c>
      <c r="K293" s="50"/>
      <c r="L293" s="53" t="str">
        <f t="shared" si="48"/>
        <v>40grams</v>
      </c>
      <c r="M293" s="54">
        <f t="shared" si="49"/>
        <v>40</v>
      </c>
      <c r="N293" s="55" t="str">
        <f t="shared" si="50"/>
        <v>40grams</v>
      </c>
      <c r="O293" s="56">
        <f t="shared" si="51"/>
        <v>65</v>
      </c>
      <c r="P293" s="44">
        <f t="shared" ref="P293:P294" si="56">O293/H293</f>
        <v>65</v>
      </c>
      <c r="Q293" s="66"/>
      <c r="R293" s="32" t="b">
        <f t="shared" ref="R293:R294" si="57">P293=G293</f>
        <v>1</v>
      </c>
      <c r="S293" s="32"/>
      <c r="T293" s="32"/>
      <c r="U293" s="32"/>
      <c r="V293" s="32"/>
      <c r="W293" s="32"/>
      <c r="X293" s="32"/>
      <c r="Y293" s="32"/>
      <c r="Z293" s="32"/>
    </row>
    <row r="294" spans="1:26" ht="15" customHeight="1" x14ac:dyDescent="0.3">
      <c r="A294" s="45">
        <v>642</v>
      </c>
      <c r="B294" s="46" t="s">
        <v>1015</v>
      </c>
      <c r="C294" s="194" t="s">
        <v>2026</v>
      </c>
      <c r="D294" s="46"/>
      <c r="E294" s="46" t="s">
        <v>1016</v>
      </c>
      <c r="F294" s="61" t="s">
        <v>31</v>
      </c>
      <c r="G294" s="288">
        <v>7.43</v>
      </c>
      <c r="H294" s="289">
        <v>30</v>
      </c>
      <c r="I294" s="290">
        <v>38</v>
      </c>
      <c r="J294" s="48" t="s">
        <v>39</v>
      </c>
      <c r="K294" s="50" t="s">
        <v>2019</v>
      </c>
      <c r="L294" s="53" t="str">
        <f t="shared" si="48"/>
        <v>38grams</v>
      </c>
      <c r="M294" s="54">
        <f t="shared" si="49"/>
        <v>1140</v>
      </c>
      <c r="N294" s="55" t="str">
        <f t="shared" si="50"/>
        <v>1140grams</v>
      </c>
      <c r="O294" s="56">
        <f t="shared" si="51"/>
        <v>222.89999999999998</v>
      </c>
      <c r="P294" s="44">
        <f t="shared" si="56"/>
        <v>7.4299999999999988</v>
      </c>
      <c r="Q294" s="66">
        <f>G294-P294</f>
        <v>0</v>
      </c>
      <c r="R294" s="32" t="b">
        <f t="shared" si="57"/>
        <v>1</v>
      </c>
      <c r="S294" s="32"/>
      <c r="T294" s="32"/>
      <c r="U294" s="32"/>
      <c r="V294" s="32"/>
      <c r="W294" s="32"/>
      <c r="X294" s="32"/>
      <c r="Y294" s="32"/>
      <c r="Z294" s="32"/>
    </row>
    <row r="295" spans="1:26" ht="15" customHeight="1" x14ac:dyDescent="0.3">
      <c r="A295" s="45"/>
      <c r="B295" s="46" t="s">
        <v>1015</v>
      </c>
      <c r="C295" s="194" t="s">
        <v>2023</v>
      </c>
      <c r="D295" s="46"/>
      <c r="E295" s="46" t="s">
        <v>1017</v>
      </c>
      <c r="F295" s="61" t="s">
        <v>31</v>
      </c>
      <c r="G295" s="288">
        <v>7</v>
      </c>
      <c r="H295" s="289">
        <v>50</v>
      </c>
      <c r="I295" s="290">
        <v>33</v>
      </c>
      <c r="J295" s="48" t="s">
        <v>39</v>
      </c>
      <c r="K295" s="50"/>
      <c r="L295" s="53" t="str">
        <f t="shared" si="48"/>
        <v>33grams</v>
      </c>
      <c r="M295" s="54">
        <f t="shared" si="49"/>
        <v>1650</v>
      </c>
      <c r="N295" s="55" t="str">
        <f t="shared" si="50"/>
        <v>1650grams</v>
      </c>
      <c r="O295" s="56">
        <f t="shared" si="51"/>
        <v>350</v>
      </c>
      <c r="P295" s="12"/>
      <c r="Q295" s="12"/>
      <c r="R295" s="12"/>
      <c r="S295" s="151"/>
      <c r="T295" s="12"/>
      <c r="U295" s="12"/>
      <c r="V295" s="12"/>
      <c r="W295" s="12"/>
      <c r="X295" s="12"/>
      <c r="Y295" s="12"/>
      <c r="Z295" s="12"/>
    </row>
    <row r="296" spans="1:26" ht="15" customHeight="1" x14ac:dyDescent="0.3">
      <c r="A296" s="45">
        <v>601</v>
      </c>
      <c r="B296" s="219" t="s">
        <v>1015</v>
      </c>
      <c r="C296" s="194" t="s">
        <v>2026</v>
      </c>
      <c r="D296" s="46"/>
      <c r="E296" s="46" t="s">
        <v>1018</v>
      </c>
      <c r="F296" s="61" t="s">
        <v>31</v>
      </c>
      <c r="G296" s="288">
        <v>8.42</v>
      </c>
      <c r="H296" s="289">
        <v>30</v>
      </c>
      <c r="I296" s="290">
        <v>37</v>
      </c>
      <c r="J296" s="48" t="s">
        <v>39</v>
      </c>
      <c r="K296" s="50"/>
      <c r="L296" s="53" t="str">
        <f t="shared" si="48"/>
        <v>37grams</v>
      </c>
      <c r="M296" s="54">
        <f t="shared" si="49"/>
        <v>1110</v>
      </c>
      <c r="N296" s="55" t="str">
        <f t="shared" si="50"/>
        <v>1110grams</v>
      </c>
      <c r="O296" s="56">
        <f t="shared" si="51"/>
        <v>252.6</v>
      </c>
      <c r="P296" s="44">
        <f>O296/H296</f>
        <v>8.42</v>
      </c>
      <c r="Q296" s="66"/>
      <c r="R296" s="32"/>
      <c r="S296" s="32"/>
      <c r="T296" s="32"/>
      <c r="U296" s="32"/>
      <c r="V296" s="32"/>
      <c r="W296" s="32"/>
      <c r="X296" s="32"/>
      <c r="Y296" s="32"/>
      <c r="Z296" s="32"/>
    </row>
    <row r="297" spans="1:26" ht="15" customHeight="1" x14ac:dyDescent="0.3">
      <c r="A297" s="45"/>
      <c r="B297" s="46" t="s">
        <v>1015</v>
      </c>
      <c r="C297" s="194" t="s">
        <v>2023</v>
      </c>
      <c r="D297" s="46"/>
      <c r="E297" s="46" t="s">
        <v>1019</v>
      </c>
      <c r="F297" s="61" t="s">
        <v>31</v>
      </c>
      <c r="G297" s="288">
        <v>7</v>
      </c>
      <c r="H297" s="289">
        <v>83</v>
      </c>
      <c r="I297" s="290">
        <v>42</v>
      </c>
      <c r="J297" s="48" t="s">
        <v>39</v>
      </c>
      <c r="K297" s="50"/>
      <c r="L297" s="53" t="str">
        <f t="shared" si="48"/>
        <v>42grams</v>
      </c>
      <c r="M297" s="54">
        <f t="shared" si="49"/>
        <v>3486</v>
      </c>
      <c r="N297" s="55" t="str">
        <f t="shared" si="50"/>
        <v>3486grams</v>
      </c>
      <c r="O297" s="56">
        <f t="shared" si="51"/>
        <v>581</v>
      </c>
      <c r="P297" s="12"/>
      <c r="Q297" s="12"/>
      <c r="R297" s="12"/>
      <c r="S297" s="151"/>
      <c r="T297" s="12"/>
      <c r="U297" s="12"/>
      <c r="V297" s="12"/>
      <c r="W297" s="12"/>
      <c r="X297" s="12"/>
      <c r="Y297" s="12"/>
      <c r="Z297" s="12"/>
    </row>
    <row r="298" spans="1:26" ht="15" customHeight="1" x14ac:dyDescent="0.3">
      <c r="A298" s="45">
        <v>641</v>
      </c>
      <c r="B298" s="46" t="s">
        <v>1015</v>
      </c>
      <c r="C298" s="194" t="s">
        <v>2026</v>
      </c>
      <c r="D298" s="46"/>
      <c r="E298" s="46" t="s">
        <v>1020</v>
      </c>
      <c r="F298" s="61" t="s">
        <v>31</v>
      </c>
      <c r="G298" s="288">
        <v>7.43</v>
      </c>
      <c r="H298" s="289">
        <v>20</v>
      </c>
      <c r="I298" s="290">
        <v>38</v>
      </c>
      <c r="J298" s="48" t="s">
        <v>39</v>
      </c>
      <c r="K298" s="50"/>
      <c r="L298" s="53" t="str">
        <f t="shared" si="48"/>
        <v>38grams</v>
      </c>
      <c r="M298" s="54">
        <f t="shared" si="49"/>
        <v>760</v>
      </c>
      <c r="N298" s="55" t="str">
        <f t="shared" si="50"/>
        <v>760grams</v>
      </c>
      <c r="O298" s="56">
        <f t="shared" si="51"/>
        <v>148.6</v>
      </c>
      <c r="P298" s="44">
        <f>O298/H298</f>
        <v>7.43</v>
      </c>
      <c r="Q298" s="66"/>
      <c r="R298" s="32"/>
      <c r="S298" s="32"/>
      <c r="T298" s="32"/>
      <c r="U298" s="32"/>
      <c r="V298" s="32"/>
      <c r="W298" s="32"/>
      <c r="X298" s="32"/>
      <c r="Y298" s="32"/>
      <c r="Z298" s="32"/>
    </row>
    <row r="299" spans="1:26" ht="15" customHeight="1" x14ac:dyDescent="0.3">
      <c r="A299" s="45"/>
      <c r="B299" s="46" t="s">
        <v>50</v>
      </c>
      <c r="C299" s="194" t="s">
        <v>2022</v>
      </c>
      <c r="D299" s="46"/>
      <c r="E299" s="46" t="s">
        <v>991</v>
      </c>
      <c r="F299" s="61" t="s">
        <v>31</v>
      </c>
      <c r="G299" s="288">
        <v>50</v>
      </c>
      <c r="H299" s="289">
        <v>5</v>
      </c>
      <c r="I299" s="290">
        <v>1000</v>
      </c>
      <c r="J299" s="48" t="s">
        <v>213</v>
      </c>
      <c r="K299" s="50"/>
      <c r="L299" s="53" t="str">
        <f t="shared" si="48"/>
        <v>1000kilos</v>
      </c>
      <c r="M299" s="54">
        <f t="shared" si="49"/>
        <v>5000</v>
      </c>
      <c r="N299" s="55" t="str">
        <f t="shared" si="50"/>
        <v>5000kilos</v>
      </c>
      <c r="O299" s="56">
        <f t="shared" si="51"/>
        <v>250</v>
      </c>
      <c r="P299" s="12"/>
      <c r="Q299" s="12"/>
      <c r="R299" s="12"/>
      <c r="S299" s="151"/>
      <c r="T299" s="12"/>
      <c r="U299" s="12"/>
      <c r="V299" s="12"/>
      <c r="W299" s="12"/>
      <c r="X299" s="12"/>
      <c r="Y299" s="12"/>
      <c r="Z299" s="12"/>
    </row>
    <row r="300" spans="1:26" ht="15" customHeight="1" x14ac:dyDescent="0.3">
      <c r="A300" s="45">
        <v>481</v>
      </c>
      <c r="B300" s="46" t="s">
        <v>1021</v>
      </c>
      <c r="C300" s="194" t="s">
        <v>2025</v>
      </c>
      <c r="D300" s="46"/>
      <c r="E300" s="46"/>
      <c r="F300" s="61" t="s">
        <v>31</v>
      </c>
      <c r="G300" s="288">
        <v>90</v>
      </c>
      <c r="H300" s="289">
        <v>1</v>
      </c>
      <c r="I300" s="290">
        <v>1</v>
      </c>
      <c r="J300" s="48" t="s">
        <v>213</v>
      </c>
      <c r="K300" s="50"/>
      <c r="L300" s="53" t="str">
        <f t="shared" si="48"/>
        <v>1kilos</v>
      </c>
      <c r="M300" s="54">
        <f t="shared" si="49"/>
        <v>1</v>
      </c>
      <c r="N300" s="55" t="str">
        <f t="shared" si="50"/>
        <v>1kilos</v>
      </c>
      <c r="O300" s="56">
        <f t="shared" si="51"/>
        <v>90</v>
      </c>
      <c r="P300" s="44">
        <f t="shared" ref="P300:P302" si="58">O300/H300</f>
        <v>90</v>
      </c>
      <c r="Q300" s="66"/>
      <c r="R300" s="32"/>
      <c r="S300" s="32"/>
      <c r="T300" s="32"/>
      <c r="U300" s="32"/>
      <c r="V300" s="32"/>
      <c r="W300" s="32"/>
      <c r="X300" s="32"/>
      <c r="Y300" s="32"/>
      <c r="Z300" s="32"/>
    </row>
    <row r="301" spans="1:26" ht="15" customHeight="1" x14ac:dyDescent="0.3">
      <c r="A301" s="45">
        <v>658</v>
      </c>
      <c r="B301" s="46" t="s">
        <v>1021</v>
      </c>
      <c r="C301" s="194" t="s">
        <v>2026</v>
      </c>
      <c r="D301" s="46"/>
      <c r="E301" s="46" t="s">
        <v>216</v>
      </c>
      <c r="F301" s="61" t="s">
        <v>31</v>
      </c>
      <c r="G301" s="288">
        <v>180</v>
      </c>
      <c r="H301" s="289">
        <v>3</v>
      </c>
      <c r="I301" s="290">
        <v>1000</v>
      </c>
      <c r="J301" s="48" t="s">
        <v>39</v>
      </c>
      <c r="K301" s="50"/>
      <c r="L301" s="53" t="str">
        <f t="shared" si="48"/>
        <v>1000grams</v>
      </c>
      <c r="M301" s="54">
        <f t="shared" si="49"/>
        <v>3000</v>
      </c>
      <c r="N301" s="55" t="str">
        <f t="shared" si="50"/>
        <v>3000grams</v>
      </c>
      <c r="O301" s="56">
        <f t="shared" si="51"/>
        <v>540</v>
      </c>
      <c r="P301" s="44">
        <f t="shared" si="58"/>
        <v>180</v>
      </c>
      <c r="Q301" s="66"/>
      <c r="R301" s="32"/>
      <c r="S301" s="32"/>
      <c r="T301" s="32"/>
      <c r="U301" s="32"/>
      <c r="V301" s="32"/>
      <c r="W301" s="32"/>
      <c r="X301" s="32"/>
      <c r="Y301" s="32"/>
      <c r="Z301" s="32"/>
    </row>
    <row r="302" spans="1:26" ht="15" customHeight="1" x14ac:dyDescent="0.3">
      <c r="A302" s="45">
        <v>846</v>
      </c>
      <c r="B302" s="46" t="s">
        <v>1021</v>
      </c>
      <c r="C302" s="194" t="s">
        <v>1368</v>
      </c>
      <c r="D302" s="46"/>
      <c r="E302" s="46"/>
      <c r="F302" s="61" t="s">
        <v>31</v>
      </c>
      <c r="G302" s="288">
        <v>45</v>
      </c>
      <c r="H302" s="289">
        <v>4</v>
      </c>
      <c r="I302" s="290">
        <v>1000</v>
      </c>
      <c r="J302" s="48" t="s">
        <v>39</v>
      </c>
      <c r="K302" s="50"/>
      <c r="L302" s="53" t="str">
        <f t="shared" si="48"/>
        <v>1000grams</v>
      </c>
      <c r="M302" s="54">
        <f t="shared" si="49"/>
        <v>4000</v>
      </c>
      <c r="N302" s="55" t="str">
        <f t="shared" si="50"/>
        <v>4000grams</v>
      </c>
      <c r="O302" s="56">
        <f t="shared" si="51"/>
        <v>180</v>
      </c>
      <c r="P302" s="44">
        <f t="shared" si="58"/>
        <v>45</v>
      </c>
      <c r="Q302" s="66"/>
      <c r="R302" s="32" t="b">
        <f>P302=G302</f>
        <v>1</v>
      </c>
      <c r="S302" s="32"/>
      <c r="T302" s="32"/>
      <c r="U302" s="32"/>
      <c r="V302" s="32"/>
      <c r="W302" s="32"/>
      <c r="X302" s="32"/>
      <c r="Y302" s="32"/>
      <c r="Z302" s="32"/>
    </row>
    <row r="303" spans="1:26" ht="15" customHeight="1" x14ac:dyDescent="0.3">
      <c r="A303" s="45"/>
      <c r="B303" s="219" t="s">
        <v>1022</v>
      </c>
      <c r="C303" s="194" t="s">
        <v>2021</v>
      </c>
      <c r="D303" s="46"/>
      <c r="E303" s="219" t="s">
        <v>1023</v>
      </c>
      <c r="F303" s="61" t="s">
        <v>31</v>
      </c>
      <c r="G303" s="291">
        <v>0.71</v>
      </c>
      <c r="H303" s="292">
        <v>343</v>
      </c>
      <c r="I303" s="293">
        <v>1</v>
      </c>
      <c r="J303" s="414" t="s">
        <v>92</v>
      </c>
      <c r="K303" s="50"/>
      <c r="L303" s="53" t="str">
        <f t="shared" si="48"/>
        <v>1pieces</v>
      </c>
      <c r="M303" s="54">
        <f t="shared" si="49"/>
        <v>343</v>
      </c>
      <c r="N303" s="55" t="str">
        <f t="shared" si="50"/>
        <v>343pieces</v>
      </c>
      <c r="O303" s="56">
        <f t="shared" si="51"/>
        <v>243.53</v>
      </c>
      <c r="P303" s="12"/>
      <c r="Q303" s="12"/>
      <c r="R303" s="12"/>
      <c r="S303" s="151"/>
      <c r="T303" s="12"/>
      <c r="U303" s="12"/>
      <c r="V303" s="12"/>
      <c r="W303" s="12"/>
      <c r="X303" s="12"/>
      <c r="Y303" s="12"/>
      <c r="Z303" s="12"/>
    </row>
    <row r="304" spans="1:26" ht="15" customHeight="1" x14ac:dyDescent="0.3">
      <c r="A304" s="45"/>
      <c r="B304" s="219" t="s">
        <v>1024</v>
      </c>
      <c r="C304" s="194" t="s">
        <v>2021</v>
      </c>
      <c r="D304" s="46"/>
      <c r="E304" s="219" t="s">
        <v>1025</v>
      </c>
      <c r="F304" s="61" t="s">
        <v>31</v>
      </c>
      <c r="G304" s="291">
        <v>0.78</v>
      </c>
      <c r="H304" s="292">
        <v>50</v>
      </c>
      <c r="I304" s="293">
        <v>1</v>
      </c>
      <c r="J304" s="414" t="s">
        <v>92</v>
      </c>
      <c r="K304" s="50"/>
      <c r="L304" s="53" t="str">
        <f t="shared" si="48"/>
        <v>1pieces</v>
      </c>
      <c r="M304" s="54">
        <f t="shared" si="49"/>
        <v>50</v>
      </c>
      <c r="N304" s="55" t="str">
        <f t="shared" si="50"/>
        <v>50pieces</v>
      </c>
      <c r="O304" s="56">
        <f t="shared" si="51"/>
        <v>39</v>
      </c>
      <c r="P304" s="12"/>
      <c r="Q304" s="12"/>
      <c r="R304" s="12"/>
      <c r="S304" s="151"/>
      <c r="T304" s="12"/>
      <c r="U304" s="12"/>
      <c r="V304" s="12"/>
      <c r="W304" s="12"/>
      <c r="X304" s="12"/>
      <c r="Y304" s="12"/>
      <c r="Z304" s="12"/>
    </row>
    <row r="305" spans="1:26" ht="15" customHeight="1" x14ac:dyDescent="0.3">
      <c r="A305" s="45"/>
      <c r="B305" s="219" t="s">
        <v>1026</v>
      </c>
      <c r="C305" s="194" t="s">
        <v>2021</v>
      </c>
      <c r="D305" s="46"/>
      <c r="E305" s="219" t="s">
        <v>1027</v>
      </c>
      <c r="F305" s="61" t="s">
        <v>31</v>
      </c>
      <c r="G305" s="291">
        <v>0.79</v>
      </c>
      <c r="H305" s="292">
        <v>45</v>
      </c>
      <c r="I305" s="293">
        <v>1</v>
      </c>
      <c r="J305" s="414" t="s">
        <v>92</v>
      </c>
      <c r="K305" s="50"/>
      <c r="L305" s="53" t="str">
        <f t="shared" si="48"/>
        <v>1pieces</v>
      </c>
      <c r="M305" s="54">
        <f t="shared" si="49"/>
        <v>45</v>
      </c>
      <c r="N305" s="55" t="str">
        <f t="shared" si="50"/>
        <v>45pieces</v>
      </c>
      <c r="O305" s="56">
        <f t="shared" si="51"/>
        <v>35.550000000000004</v>
      </c>
      <c r="P305" s="12"/>
      <c r="Q305" s="12"/>
      <c r="R305" s="12"/>
      <c r="S305" s="151"/>
      <c r="T305" s="12"/>
      <c r="U305" s="12"/>
      <c r="V305" s="12"/>
      <c r="W305" s="12"/>
      <c r="X305" s="12"/>
      <c r="Y305" s="12"/>
      <c r="Z305" s="12"/>
    </row>
    <row r="306" spans="1:26" ht="15" customHeight="1" x14ac:dyDescent="0.3">
      <c r="A306" s="45"/>
      <c r="B306" s="219" t="s">
        <v>1028</v>
      </c>
      <c r="C306" s="194" t="s">
        <v>2023</v>
      </c>
      <c r="D306" s="46"/>
      <c r="E306" s="219" t="s">
        <v>1029</v>
      </c>
      <c r="F306" s="61" t="s">
        <v>31</v>
      </c>
      <c r="G306" s="291">
        <v>36</v>
      </c>
      <c r="H306" s="292">
        <v>28</v>
      </c>
      <c r="I306" s="293">
        <v>24</v>
      </c>
      <c r="J306" s="414" t="s">
        <v>92</v>
      </c>
      <c r="K306" s="50"/>
      <c r="L306" s="53" t="str">
        <f t="shared" si="48"/>
        <v>24pieces</v>
      </c>
      <c r="M306" s="54">
        <f t="shared" si="49"/>
        <v>672</v>
      </c>
      <c r="N306" s="55" t="str">
        <f t="shared" si="50"/>
        <v>672pieces</v>
      </c>
      <c r="O306" s="56">
        <f t="shared" si="51"/>
        <v>1008</v>
      </c>
      <c r="P306" s="12"/>
      <c r="Q306" s="12"/>
      <c r="R306" s="12"/>
      <c r="S306" s="151"/>
      <c r="T306" s="12"/>
      <c r="U306" s="12"/>
      <c r="V306" s="12"/>
      <c r="W306" s="12"/>
      <c r="X306" s="12"/>
      <c r="Y306" s="12"/>
      <c r="Z306" s="12"/>
    </row>
    <row r="307" spans="1:26" ht="15" customHeight="1" x14ac:dyDescent="0.3">
      <c r="A307" s="45"/>
      <c r="B307" s="219" t="s">
        <v>1030</v>
      </c>
      <c r="C307" s="194" t="s">
        <v>2021</v>
      </c>
      <c r="D307" s="46"/>
      <c r="E307" s="219" t="s">
        <v>1031</v>
      </c>
      <c r="F307" s="61" t="s">
        <v>31</v>
      </c>
      <c r="G307" s="291">
        <v>0.83</v>
      </c>
      <c r="H307" s="292">
        <v>74</v>
      </c>
      <c r="I307" s="293">
        <v>1</v>
      </c>
      <c r="J307" s="414" t="s">
        <v>92</v>
      </c>
      <c r="K307" s="50"/>
      <c r="L307" s="53" t="str">
        <f t="shared" si="48"/>
        <v>1pieces</v>
      </c>
      <c r="M307" s="54">
        <f t="shared" si="49"/>
        <v>74</v>
      </c>
      <c r="N307" s="55" t="str">
        <f t="shared" si="50"/>
        <v>74pieces</v>
      </c>
      <c r="O307" s="56">
        <f t="shared" si="51"/>
        <v>61.419999999999995</v>
      </c>
      <c r="P307" s="12"/>
      <c r="Q307" s="12"/>
      <c r="R307" s="12"/>
      <c r="S307" s="151"/>
      <c r="T307" s="12"/>
      <c r="U307" s="12"/>
      <c r="V307" s="12"/>
      <c r="W307" s="12"/>
      <c r="X307" s="12"/>
      <c r="Y307" s="12"/>
      <c r="Z307" s="12"/>
    </row>
    <row r="308" spans="1:26" ht="15" customHeight="1" x14ac:dyDescent="0.3">
      <c r="A308" s="45"/>
      <c r="B308" s="219" t="s">
        <v>1032</v>
      </c>
      <c r="C308" s="194" t="s">
        <v>2021</v>
      </c>
      <c r="D308" s="46"/>
      <c r="E308" s="219" t="s">
        <v>1033</v>
      </c>
      <c r="F308" s="61" t="s">
        <v>31</v>
      </c>
      <c r="G308" s="291">
        <v>0.8</v>
      </c>
      <c r="H308" s="292">
        <v>62</v>
      </c>
      <c r="I308" s="293">
        <v>1</v>
      </c>
      <c r="J308" s="414" t="s">
        <v>92</v>
      </c>
      <c r="K308" s="50"/>
      <c r="L308" s="53" t="str">
        <f t="shared" si="48"/>
        <v>1pieces</v>
      </c>
      <c r="M308" s="54">
        <f t="shared" si="49"/>
        <v>62</v>
      </c>
      <c r="N308" s="55" t="str">
        <f t="shared" si="50"/>
        <v>62pieces</v>
      </c>
      <c r="O308" s="56">
        <f t="shared" si="51"/>
        <v>49.6</v>
      </c>
      <c r="P308" s="12"/>
      <c r="Q308" s="12"/>
      <c r="R308" s="12"/>
      <c r="S308" s="151"/>
      <c r="T308" s="12"/>
      <c r="U308" s="12"/>
      <c r="V308" s="12"/>
      <c r="W308" s="12"/>
      <c r="X308" s="12"/>
      <c r="Y308" s="12"/>
      <c r="Z308" s="12"/>
    </row>
    <row r="309" spans="1:26" ht="15" customHeight="1" x14ac:dyDescent="0.3">
      <c r="A309" s="45"/>
      <c r="B309" s="219" t="s">
        <v>1034</v>
      </c>
      <c r="C309" s="194" t="s">
        <v>2021</v>
      </c>
      <c r="D309" s="46"/>
      <c r="E309" s="219" t="s">
        <v>1035</v>
      </c>
      <c r="F309" s="61" t="s">
        <v>31</v>
      </c>
      <c r="G309" s="291">
        <v>1.19</v>
      </c>
      <c r="H309" s="292">
        <v>28</v>
      </c>
      <c r="I309" s="293">
        <v>1</v>
      </c>
      <c r="J309" s="414" t="s">
        <v>92</v>
      </c>
      <c r="K309" s="50"/>
      <c r="L309" s="53" t="str">
        <f t="shared" si="48"/>
        <v>1pieces</v>
      </c>
      <c r="M309" s="54">
        <f t="shared" si="49"/>
        <v>28</v>
      </c>
      <c r="N309" s="55" t="str">
        <f t="shared" si="50"/>
        <v>28pieces</v>
      </c>
      <c r="O309" s="56">
        <f t="shared" si="51"/>
        <v>33.32</v>
      </c>
      <c r="P309" s="12"/>
      <c r="Q309" s="12"/>
      <c r="R309" s="12"/>
      <c r="S309" s="151"/>
      <c r="T309" s="12"/>
      <c r="U309" s="12"/>
      <c r="V309" s="12"/>
      <c r="W309" s="12"/>
      <c r="X309" s="12"/>
      <c r="Y309" s="12"/>
      <c r="Z309" s="12"/>
    </row>
    <row r="310" spans="1:26" ht="15" customHeight="1" x14ac:dyDescent="0.3">
      <c r="A310" s="45">
        <v>272</v>
      </c>
      <c r="B310" s="46" t="s">
        <v>1036</v>
      </c>
      <c r="C310" s="194" t="s">
        <v>2025</v>
      </c>
      <c r="D310" s="46"/>
      <c r="E310" s="46" t="s">
        <v>1037</v>
      </c>
      <c r="F310" s="61" t="s">
        <v>31</v>
      </c>
      <c r="G310" s="288">
        <v>60.3</v>
      </c>
      <c r="H310" s="289">
        <v>8</v>
      </c>
      <c r="I310" s="290">
        <v>425</v>
      </c>
      <c r="J310" s="48" t="s">
        <v>39</v>
      </c>
      <c r="K310" s="50"/>
      <c r="L310" s="53" t="str">
        <f t="shared" si="48"/>
        <v>425grams</v>
      </c>
      <c r="M310" s="54">
        <f t="shared" si="49"/>
        <v>3400</v>
      </c>
      <c r="N310" s="55" t="str">
        <f t="shared" si="50"/>
        <v>3400grams</v>
      </c>
      <c r="O310" s="56">
        <f t="shared" si="51"/>
        <v>482.4</v>
      </c>
      <c r="P310" s="44">
        <f t="shared" ref="P310:P312" si="59">O310/H310</f>
        <v>60.3</v>
      </c>
      <c r="Q310" s="66"/>
      <c r="R310" s="32"/>
      <c r="S310" s="32"/>
      <c r="T310" s="32"/>
      <c r="U310" s="32"/>
      <c r="V310" s="32"/>
      <c r="W310" s="32"/>
      <c r="X310" s="32"/>
      <c r="Y310" s="32"/>
      <c r="Z310" s="32"/>
    </row>
    <row r="311" spans="1:26" ht="15" customHeight="1" x14ac:dyDescent="0.3">
      <c r="A311" s="45">
        <v>809</v>
      </c>
      <c r="B311" s="46" t="s">
        <v>1036</v>
      </c>
      <c r="C311" s="194" t="s">
        <v>1368</v>
      </c>
      <c r="D311" s="46"/>
      <c r="E311" s="46">
        <v>555</v>
      </c>
      <c r="F311" s="61" t="s">
        <v>31</v>
      </c>
      <c r="G311" s="288">
        <v>63.1</v>
      </c>
      <c r="H311" s="289">
        <v>9</v>
      </c>
      <c r="I311" s="290">
        <v>425</v>
      </c>
      <c r="J311" s="48" t="s">
        <v>39</v>
      </c>
      <c r="K311" s="50" t="s">
        <v>2019</v>
      </c>
      <c r="L311" s="53" t="str">
        <f t="shared" si="48"/>
        <v>425grams</v>
      </c>
      <c r="M311" s="54">
        <f t="shared" si="49"/>
        <v>3825</v>
      </c>
      <c r="N311" s="55" t="str">
        <f t="shared" si="50"/>
        <v>3825grams</v>
      </c>
      <c r="O311" s="56">
        <f t="shared" si="51"/>
        <v>567.9</v>
      </c>
      <c r="P311" s="44">
        <f t="shared" si="59"/>
        <v>63.099999999999994</v>
      </c>
      <c r="Q311" s="66">
        <f>G311-P311</f>
        <v>0</v>
      </c>
      <c r="R311" s="32" t="b">
        <f>P311=G311</f>
        <v>1</v>
      </c>
      <c r="S311" s="32"/>
      <c r="T311" s="32"/>
      <c r="U311" s="32"/>
      <c r="V311" s="32"/>
      <c r="W311" s="32"/>
      <c r="X311" s="32"/>
      <c r="Y311" s="32"/>
      <c r="Z311" s="32"/>
    </row>
    <row r="312" spans="1:26" ht="15" customHeight="1" x14ac:dyDescent="0.3">
      <c r="A312" s="45">
        <v>444</v>
      </c>
      <c r="B312" s="46" t="s">
        <v>1036</v>
      </c>
      <c r="C312" s="194" t="s">
        <v>2025</v>
      </c>
      <c r="D312" s="46"/>
      <c r="E312" s="46">
        <v>555</v>
      </c>
      <c r="F312" s="61" t="s">
        <v>31</v>
      </c>
      <c r="G312" s="288">
        <v>24.3</v>
      </c>
      <c r="H312" s="289">
        <v>3</v>
      </c>
      <c r="I312" s="290">
        <v>155</v>
      </c>
      <c r="J312" s="48" t="s">
        <v>39</v>
      </c>
      <c r="K312" s="50"/>
      <c r="L312" s="53" t="str">
        <f t="shared" si="48"/>
        <v>155grams</v>
      </c>
      <c r="M312" s="54">
        <f t="shared" si="49"/>
        <v>465</v>
      </c>
      <c r="N312" s="55" t="str">
        <f t="shared" si="50"/>
        <v>465grams</v>
      </c>
      <c r="O312" s="56">
        <f t="shared" si="51"/>
        <v>72.900000000000006</v>
      </c>
      <c r="P312" s="44">
        <f t="shared" si="59"/>
        <v>24.3</v>
      </c>
      <c r="Q312" s="66"/>
      <c r="R312" s="32"/>
      <c r="S312" s="32"/>
      <c r="T312" s="32"/>
      <c r="U312" s="32"/>
      <c r="V312" s="32"/>
      <c r="W312" s="32"/>
      <c r="X312" s="32"/>
      <c r="Y312" s="32"/>
      <c r="Z312" s="32"/>
    </row>
    <row r="313" spans="1:26" ht="15" customHeight="1" x14ac:dyDescent="0.3">
      <c r="A313" s="45"/>
      <c r="B313" s="46" t="s">
        <v>1036</v>
      </c>
      <c r="C313" s="194" t="s">
        <v>2020</v>
      </c>
      <c r="D313" s="46"/>
      <c r="E313" s="46" t="s">
        <v>1038</v>
      </c>
      <c r="F313" s="61" t="s">
        <v>31</v>
      </c>
      <c r="G313" s="288">
        <v>64.400000000000006</v>
      </c>
      <c r="H313" s="289">
        <v>5</v>
      </c>
      <c r="I313" s="290">
        <v>425</v>
      </c>
      <c r="J313" s="48" t="s">
        <v>39</v>
      </c>
      <c r="K313" s="50"/>
      <c r="L313" s="53" t="str">
        <f t="shared" si="48"/>
        <v>425grams</v>
      </c>
      <c r="M313" s="54">
        <f t="shared" si="49"/>
        <v>2125</v>
      </c>
      <c r="N313" s="55" t="str">
        <f t="shared" si="50"/>
        <v>2125grams</v>
      </c>
      <c r="O313" s="56">
        <f t="shared" si="51"/>
        <v>322</v>
      </c>
      <c r="P313" s="12"/>
      <c r="Q313" s="12"/>
      <c r="R313" s="12"/>
      <c r="S313" s="151"/>
      <c r="T313" s="12"/>
      <c r="U313" s="12"/>
      <c r="V313" s="12"/>
      <c r="W313" s="12"/>
      <c r="X313" s="12"/>
      <c r="Y313" s="12"/>
      <c r="Z313" s="12"/>
    </row>
    <row r="314" spans="1:26" ht="15" customHeight="1" x14ac:dyDescent="0.3">
      <c r="A314" s="45">
        <v>127</v>
      </c>
      <c r="B314" s="46" t="s">
        <v>1039</v>
      </c>
      <c r="C314" s="194" t="s">
        <v>2024</v>
      </c>
      <c r="D314" s="46"/>
      <c r="E314" s="48">
        <v>555</v>
      </c>
      <c r="F314" s="61" t="s">
        <v>31</v>
      </c>
      <c r="G314" s="288">
        <v>60.3</v>
      </c>
      <c r="H314" s="289">
        <v>12</v>
      </c>
      <c r="I314" s="290">
        <v>425</v>
      </c>
      <c r="J314" s="48" t="s">
        <v>39</v>
      </c>
      <c r="K314" s="50"/>
      <c r="L314" s="53" t="str">
        <f t="shared" si="48"/>
        <v>425grams</v>
      </c>
      <c r="M314" s="54">
        <f t="shared" si="49"/>
        <v>5100</v>
      </c>
      <c r="N314" s="55" t="str">
        <f t="shared" si="50"/>
        <v>5100grams</v>
      </c>
      <c r="O314" s="56">
        <f t="shared" si="51"/>
        <v>723.59999999999991</v>
      </c>
      <c r="P314" s="44">
        <f t="shared" ref="P314:P315" si="60">O314/H314</f>
        <v>60.29999999999999</v>
      </c>
      <c r="Q314" s="66"/>
      <c r="R314" s="32" t="b">
        <f>P314=G314</f>
        <v>1</v>
      </c>
      <c r="S314" s="32"/>
      <c r="T314" s="32"/>
      <c r="U314" s="32"/>
      <c r="V314" s="32"/>
      <c r="W314" s="32"/>
      <c r="X314" s="32"/>
      <c r="Y314" s="32"/>
      <c r="Z314" s="32"/>
    </row>
    <row r="315" spans="1:26" ht="15" customHeight="1" x14ac:dyDescent="0.3">
      <c r="A315" s="45">
        <v>706</v>
      </c>
      <c r="B315" s="46" t="s">
        <v>1039</v>
      </c>
      <c r="C315" s="194" t="s">
        <v>2026</v>
      </c>
      <c r="D315" s="46"/>
      <c r="E315" s="46" t="s">
        <v>1040</v>
      </c>
      <c r="F315" s="61" t="s">
        <v>31</v>
      </c>
      <c r="G315" s="288">
        <v>59.9</v>
      </c>
      <c r="H315" s="289">
        <v>10</v>
      </c>
      <c r="I315" s="290">
        <v>425</v>
      </c>
      <c r="J315" s="48" t="s">
        <v>39</v>
      </c>
      <c r="K315" s="50"/>
      <c r="L315" s="53" t="str">
        <f t="shared" si="48"/>
        <v>425grams</v>
      </c>
      <c r="M315" s="54">
        <f t="shared" si="49"/>
        <v>4250</v>
      </c>
      <c r="N315" s="55" t="str">
        <f t="shared" si="50"/>
        <v>4250grams</v>
      </c>
      <c r="O315" s="56">
        <f t="shared" si="51"/>
        <v>599</v>
      </c>
      <c r="P315" s="44">
        <f t="shared" si="60"/>
        <v>59.9</v>
      </c>
      <c r="Q315" s="66"/>
      <c r="R315" s="32"/>
      <c r="S315" s="32"/>
      <c r="T315" s="32"/>
      <c r="U315" s="32"/>
      <c r="V315" s="32"/>
      <c r="W315" s="32"/>
      <c r="X315" s="32"/>
      <c r="Y315" s="32"/>
      <c r="Z315" s="32"/>
    </row>
    <row r="316" spans="1:26" ht="15" customHeight="1" x14ac:dyDescent="0.3">
      <c r="A316" s="45"/>
      <c r="B316" s="46" t="s">
        <v>1039</v>
      </c>
      <c r="C316" s="194" t="s">
        <v>2023</v>
      </c>
      <c r="D316" s="46"/>
      <c r="E316" s="422" t="s">
        <v>1902</v>
      </c>
      <c r="F316" s="61" t="s">
        <v>31</v>
      </c>
      <c r="G316" s="288">
        <v>60.3</v>
      </c>
      <c r="H316" s="289">
        <v>21</v>
      </c>
      <c r="I316" s="290">
        <v>425</v>
      </c>
      <c r="J316" s="422" t="s">
        <v>39</v>
      </c>
      <c r="K316" s="50"/>
      <c r="L316" s="53" t="str">
        <f t="shared" si="48"/>
        <v>425grams</v>
      </c>
      <c r="M316" s="54">
        <f t="shared" si="49"/>
        <v>8925</v>
      </c>
      <c r="N316" s="55" t="str">
        <f t="shared" si="50"/>
        <v>8925grams</v>
      </c>
      <c r="O316" s="56">
        <f t="shared" si="51"/>
        <v>1266.3</v>
      </c>
      <c r="P316" s="12"/>
      <c r="Q316" s="12"/>
      <c r="R316" s="12"/>
      <c r="S316" s="151"/>
      <c r="T316" s="12"/>
      <c r="U316" s="12"/>
      <c r="V316" s="12"/>
      <c r="W316" s="12"/>
      <c r="X316" s="12"/>
      <c r="Y316" s="12"/>
      <c r="Z316" s="12"/>
    </row>
    <row r="317" spans="1:26" ht="15" customHeight="1" x14ac:dyDescent="0.3">
      <c r="A317" s="45"/>
      <c r="B317" s="46" t="s">
        <v>1039</v>
      </c>
      <c r="C317" s="194" t="s">
        <v>2022</v>
      </c>
      <c r="D317" s="46"/>
      <c r="E317" s="422" t="s">
        <v>1902</v>
      </c>
      <c r="F317" s="61" t="s">
        <v>31</v>
      </c>
      <c r="G317" s="288">
        <v>60</v>
      </c>
      <c r="H317" s="289">
        <v>19</v>
      </c>
      <c r="I317" s="290">
        <v>425</v>
      </c>
      <c r="J317" s="422" t="s">
        <v>39</v>
      </c>
      <c r="K317" s="50"/>
      <c r="L317" s="53" t="str">
        <f t="shared" si="48"/>
        <v>425grams</v>
      </c>
      <c r="M317" s="54">
        <f t="shared" si="49"/>
        <v>8075</v>
      </c>
      <c r="N317" s="55" t="str">
        <f t="shared" si="50"/>
        <v>8075grams</v>
      </c>
      <c r="O317" s="56">
        <f t="shared" si="51"/>
        <v>1140</v>
      </c>
      <c r="P317" s="12"/>
      <c r="Q317" s="12"/>
      <c r="R317" s="12"/>
      <c r="S317" s="151"/>
      <c r="T317" s="12"/>
      <c r="U317" s="12"/>
      <c r="V317" s="12"/>
      <c r="W317" s="12"/>
      <c r="X317" s="12"/>
      <c r="Y317" s="12"/>
      <c r="Z317" s="12"/>
    </row>
    <row r="318" spans="1:26" ht="15" customHeight="1" x14ac:dyDescent="0.3">
      <c r="A318" s="45"/>
      <c r="B318" s="219" t="s">
        <v>1041</v>
      </c>
      <c r="C318" s="194" t="s">
        <v>2021</v>
      </c>
      <c r="D318" s="46"/>
      <c r="E318" s="219" t="s">
        <v>1042</v>
      </c>
      <c r="F318" s="61" t="s">
        <v>31</v>
      </c>
      <c r="G318" s="291">
        <v>258</v>
      </c>
      <c r="H318" s="292">
        <v>1</v>
      </c>
      <c r="I318" s="293">
        <v>595</v>
      </c>
      <c r="J318" s="414" t="s">
        <v>39</v>
      </c>
      <c r="K318" s="50"/>
      <c r="L318" s="53" t="str">
        <f t="shared" si="48"/>
        <v>595grams</v>
      </c>
      <c r="M318" s="54">
        <f t="shared" si="49"/>
        <v>595</v>
      </c>
      <c r="N318" s="55" t="str">
        <f t="shared" si="50"/>
        <v>595grams</v>
      </c>
      <c r="O318" s="56">
        <f t="shared" si="51"/>
        <v>258</v>
      </c>
      <c r="P318" s="12"/>
      <c r="Q318" s="12"/>
      <c r="R318" s="12"/>
      <c r="S318" s="151"/>
      <c r="T318" s="12"/>
      <c r="U318" s="12"/>
      <c r="V318" s="12"/>
      <c r="W318" s="12"/>
      <c r="X318" s="12"/>
      <c r="Y318" s="12"/>
      <c r="Z318" s="12"/>
    </row>
    <row r="319" spans="1:26" ht="15" customHeight="1" x14ac:dyDescent="0.3">
      <c r="A319" s="45">
        <v>893</v>
      </c>
      <c r="B319" s="46" t="s">
        <v>1043</v>
      </c>
      <c r="C319" s="194" t="s">
        <v>1368</v>
      </c>
      <c r="D319" s="46"/>
      <c r="E319" s="48" t="s">
        <v>1044</v>
      </c>
      <c r="F319" s="61" t="s">
        <v>31</v>
      </c>
      <c r="G319" s="288">
        <v>102.5</v>
      </c>
      <c r="H319" s="289">
        <v>1</v>
      </c>
      <c r="I319" s="290">
        <v>425</v>
      </c>
      <c r="J319" s="48" t="s">
        <v>39</v>
      </c>
      <c r="K319" s="50"/>
      <c r="L319" s="53" t="str">
        <f t="shared" si="48"/>
        <v>425grams</v>
      </c>
      <c r="M319" s="54">
        <f t="shared" si="49"/>
        <v>425</v>
      </c>
      <c r="N319" s="55" t="str">
        <f t="shared" si="50"/>
        <v>425grams</v>
      </c>
      <c r="O319" s="56">
        <f t="shared" si="51"/>
        <v>102.5</v>
      </c>
      <c r="P319" s="44">
        <f t="shared" ref="P319:P325" si="61">O319/H319</f>
        <v>102.5</v>
      </c>
      <c r="Q319" s="66"/>
      <c r="R319" s="32" t="b">
        <f t="shared" ref="R319:R325" si="62">P319=G319</f>
        <v>1</v>
      </c>
      <c r="S319" s="32"/>
      <c r="T319" s="32"/>
      <c r="U319" s="32"/>
      <c r="V319" s="32"/>
      <c r="W319" s="32"/>
      <c r="X319" s="32"/>
      <c r="Y319" s="32"/>
      <c r="Z319" s="32"/>
    </row>
    <row r="320" spans="1:26" ht="15" customHeight="1" x14ac:dyDescent="0.3">
      <c r="A320" s="45">
        <v>439</v>
      </c>
      <c r="B320" s="46" t="s">
        <v>1045</v>
      </c>
      <c r="C320" s="194" t="s">
        <v>2025</v>
      </c>
      <c r="D320" s="46"/>
      <c r="E320" s="48">
        <v>555</v>
      </c>
      <c r="F320" s="61" t="s">
        <v>31</v>
      </c>
      <c r="G320" s="288">
        <v>28.95</v>
      </c>
      <c r="H320" s="289">
        <v>4</v>
      </c>
      <c r="I320" s="290">
        <v>155</v>
      </c>
      <c r="J320" s="48" t="s">
        <v>39</v>
      </c>
      <c r="K320" s="50"/>
      <c r="L320" s="53" t="str">
        <f t="shared" si="48"/>
        <v>155grams</v>
      </c>
      <c r="M320" s="54">
        <f t="shared" si="49"/>
        <v>620</v>
      </c>
      <c r="N320" s="55" t="str">
        <f t="shared" si="50"/>
        <v>620grams</v>
      </c>
      <c r="O320" s="56">
        <f t="shared" si="51"/>
        <v>115.8</v>
      </c>
      <c r="P320" s="44">
        <f t="shared" si="61"/>
        <v>28.95</v>
      </c>
      <c r="Q320" s="66"/>
      <c r="R320" s="32" t="b">
        <f t="shared" si="62"/>
        <v>1</v>
      </c>
      <c r="S320" s="32"/>
      <c r="T320" s="32"/>
      <c r="U320" s="32"/>
      <c r="V320" s="32"/>
      <c r="W320" s="32"/>
      <c r="X320" s="32"/>
      <c r="Y320" s="32"/>
      <c r="Z320" s="32"/>
    </row>
    <row r="321" spans="1:26" ht="15" customHeight="1" x14ac:dyDescent="0.3">
      <c r="A321" s="45">
        <v>440</v>
      </c>
      <c r="B321" s="46" t="s">
        <v>1046</v>
      </c>
      <c r="C321" s="194" t="s">
        <v>2025</v>
      </c>
      <c r="D321" s="46"/>
      <c r="E321" s="48">
        <v>555</v>
      </c>
      <c r="F321" s="61" t="s">
        <v>31</v>
      </c>
      <c r="G321" s="288">
        <v>28.95</v>
      </c>
      <c r="H321" s="289">
        <v>20</v>
      </c>
      <c r="I321" s="290">
        <v>155</v>
      </c>
      <c r="J321" s="48" t="s">
        <v>39</v>
      </c>
      <c r="K321" s="50" t="s">
        <v>2019</v>
      </c>
      <c r="L321" s="53" t="str">
        <f t="shared" si="48"/>
        <v>155grams</v>
      </c>
      <c r="M321" s="54">
        <f t="shared" si="49"/>
        <v>3100</v>
      </c>
      <c r="N321" s="55" t="str">
        <f t="shared" si="50"/>
        <v>3100grams</v>
      </c>
      <c r="O321" s="56">
        <f t="shared" si="51"/>
        <v>579</v>
      </c>
      <c r="P321" s="44">
        <f t="shared" si="61"/>
        <v>28.95</v>
      </c>
      <c r="Q321" s="62">
        <f>G321-P321</f>
        <v>0</v>
      </c>
      <c r="R321" s="32" t="b">
        <f t="shared" si="62"/>
        <v>1</v>
      </c>
      <c r="S321" s="32"/>
      <c r="T321" s="32"/>
      <c r="U321" s="32"/>
      <c r="V321" s="32"/>
      <c r="W321" s="32"/>
      <c r="X321" s="32"/>
      <c r="Y321" s="32"/>
      <c r="Z321" s="32"/>
    </row>
    <row r="322" spans="1:26" ht="15" customHeight="1" x14ac:dyDescent="0.3">
      <c r="A322" s="45"/>
      <c r="B322" s="46" t="s">
        <v>1046</v>
      </c>
      <c r="C322" s="194" t="s">
        <v>2023</v>
      </c>
      <c r="D322" s="46"/>
      <c r="E322" s="48">
        <v>555</v>
      </c>
      <c r="F322" s="61" t="s">
        <v>31</v>
      </c>
      <c r="G322" s="288">
        <v>22</v>
      </c>
      <c r="H322" s="289">
        <v>7</v>
      </c>
      <c r="I322" s="290">
        <v>155</v>
      </c>
      <c r="J322" s="48" t="s">
        <v>39</v>
      </c>
      <c r="K322" s="50"/>
      <c r="L322" s="53" t="str">
        <f t="shared" si="48"/>
        <v>155grams</v>
      </c>
      <c r="M322" s="54">
        <f t="shared" si="49"/>
        <v>1085</v>
      </c>
      <c r="N322" s="55" t="str">
        <f t="shared" si="50"/>
        <v>1085grams</v>
      </c>
      <c r="O322" s="56">
        <f t="shared" si="51"/>
        <v>154</v>
      </c>
      <c r="P322" s="44">
        <f t="shared" si="61"/>
        <v>22</v>
      </c>
      <c r="Q322" s="12"/>
      <c r="R322" s="32" t="b">
        <f t="shared" si="62"/>
        <v>1</v>
      </c>
      <c r="S322" s="151"/>
      <c r="T322" s="12"/>
      <c r="U322" s="12"/>
      <c r="V322" s="12"/>
      <c r="W322" s="12"/>
      <c r="X322" s="12"/>
      <c r="Y322" s="12"/>
      <c r="Z322" s="12"/>
    </row>
    <row r="323" spans="1:26" ht="15" customHeight="1" x14ac:dyDescent="0.3">
      <c r="A323" s="45">
        <v>438</v>
      </c>
      <c r="B323" s="46" t="s">
        <v>1047</v>
      </c>
      <c r="C323" s="194" t="s">
        <v>2025</v>
      </c>
      <c r="D323" s="46"/>
      <c r="E323" s="48">
        <v>555</v>
      </c>
      <c r="F323" s="61" t="s">
        <v>31</v>
      </c>
      <c r="G323" s="288">
        <v>28.95</v>
      </c>
      <c r="H323" s="289">
        <v>5</v>
      </c>
      <c r="I323" s="290">
        <v>155</v>
      </c>
      <c r="J323" s="48" t="s">
        <v>39</v>
      </c>
      <c r="K323" s="50"/>
      <c r="L323" s="53" t="str">
        <f t="shared" si="48"/>
        <v>155grams</v>
      </c>
      <c r="M323" s="54">
        <f t="shared" si="49"/>
        <v>775</v>
      </c>
      <c r="N323" s="55" t="str">
        <f t="shared" si="50"/>
        <v>775grams</v>
      </c>
      <c r="O323" s="56">
        <f t="shared" si="51"/>
        <v>144.75</v>
      </c>
      <c r="P323" s="44">
        <f t="shared" si="61"/>
        <v>28.95</v>
      </c>
      <c r="Q323" s="66"/>
      <c r="R323" s="32" t="b">
        <f t="shared" si="62"/>
        <v>1</v>
      </c>
      <c r="S323" s="32"/>
      <c r="T323" s="32"/>
      <c r="U323" s="32"/>
      <c r="V323" s="32"/>
      <c r="W323" s="32"/>
      <c r="X323" s="32"/>
      <c r="Y323" s="32"/>
      <c r="Z323" s="32"/>
    </row>
    <row r="324" spans="1:26" ht="15" customHeight="1" x14ac:dyDescent="0.3">
      <c r="A324" s="45">
        <v>441</v>
      </c>
      <c r="B324" s="46" t="s">
        <v>1048</v>
      </c>
      <c r="C324" s="194" t="s">
        <v>2025</v>
      </c>
      <c r="D324" s="46"/>
      <c r="E324" s="48" t="s">
        <v>1049</v>
      </c>
      <c r="F324" s="61" t="s">
        <v>31</v>
      </c>
      <c r="G324" s="288">
        <v>37.5</v>
      </c>
      <c r="H324" s="289">
        <v>7</v>
      </c>
      <c r="I324" s="290">
        <v>150</v>
      </c>
      <c r="J324" s="48" t="s">
        <v>39</v>
      </c>
      <c r="K324" s="50" t="s">
        <v>2019</v>
      </c>
      <c r="L324" s="53" t="str">
        <f t="shared" si="48"/>
        <v>150grams</v>
      </c>
      <c r="M324" s="54">
        <f t="shared" si="49"/>
        <v>1050</v>
      </c>
      <c r="N324" s="55" t="str">
        <f t="shared" si="50"/>
        <v>1050grams</v>
      </c>
      <c r="O324" s="56">
        <f t="shared" si="51"/>
        <v>262.5</v>
      </c>
      <c r="P324" s="44">
        <f t="shared" si="61"/>
        <v>37.5</v>
      </c>
      <c r="Q324" s="62">
        <f>G324-P324</f>
        <v>0</v>
      </c>
      <c r="R324" s="32" t="b">
        <f t="shared" si="62"/>
        <v>1</v>
      </c>
      <c r="S324" s="32"/>
      <c r="T324" s="32"/>
      <c r="U324" s="32"/>
      <c r="V324" s="32"/>
      <c r="W324" s="32"/>
      <c r="X324" s="32"/>
      <c r="Y324" s="32"/>
      <c r="Z324" s="32"/>
    </row>
    <row r="325" spans="1:26" ht="15" customHeight="1" x14ac:dyDescent="0.3">
      <c r="A325" s="45">
        <v>695</v>
      </c>
      <c r="B325" s="46" t="s">
        <v>1050</v>
      </c>
      <c r="C325" s="194" t="s">
        <v>2026</v>
      </c>
      <c r="D325" s="46"/>
      <c r="E325" s="48" t="s">
        <v>1049</v>
      </c>
      <c r="F325" s="61" t="s">
        <v>31</v>
      </c>
      <c r="G325" s="288">
        <v>45.2</v>
      </c>
      <c r="H325" s="289">
        <v>8</v>
      </c>
      <c r="I325" s="290">
        <v>180</v>
      </c>
      <c r="J325" s="48" t="s">
        <v>39</v>
      </c>
      <c r="K325" s="50"/>
      <c r="L325" s="53" t="str">
        <f t="shared" si="48"/>
        <v>180grams</v>
      </c>
      <c r="M325" s="54">
        <f t="shared" si="49"/>
        <v>1440</v>
      </c>
      <c r="N325" s="55" t="str">
        <f t="shared" si="50"/>
        <v>1440grams</v>
      </c>
      <c r="O325" s="56">
        <f t="shared" si="51"/>
        <v>361.6</v>
      </c>
      <c r="P325" s="44">
        <f t="shared" si="61"/>
        <v>45.2</v>
      </c>
      <c r="Q325" s="66"/>
      <c r="R325" s="32" t="b">
        <f t="shared" si="62"/>
        <v>1</v>
      </c>
      <c r="S325" s="32"/>
      <c r="T325" s="32"/>
      <c r="U325" s="32"/>
      <c r="V325" s="32"/>
      <c r="W325" s="32"/>
      <c r="X325" s="32"/>
      <c r="Y325" s="32"/>
      <c r="Z325" s="32"/>
    </row>
    <row r="326" spans="1:26" ht="15" customHeight="1" x14ac:dyDescent="0.3">
      <c r="A326" s="45"/>
      <c r="B326" s="426" t="s">
        <v>1050</v>
      </c>
      <c r="C326" s="194" t="s">
        <v>2020</v>
      </c>
      <c r="D326" s="46"/>
      <c r="E326" s="46" t="s">
        <v>1051</v>
      </c>
      <c r="F326" s="61" t="s">
        <v>31</v>
      </c>
      <c r="G326" s="288">
        <v>28.5</v>
      </c>
      <c r="H326" s="289">
        <v>33</v>
      </c>
      <c r="I326" s="290">
        <v>85</v>
      </c>
      <c r="J326" s="48" t="s">
        <v>39</v>
      </c>
      <c r="K326" s="50"/>
      <c r="L326" s="53" t="str">
        <f t="shared" si="48"/>
        <v>85grams</v>
      </c>
      <c r="M326" s="54">
        <f t="shared" si="49"/>
        <v>2805</v>
      </c>
      <c r="N326" s="55" t="str">
        <f t="shared" si="50"/>
        <v>2805grams</v>
      </c>
      <c r="O326" s="56">
        <f t="shared" si="51"/>
        <v>940.5</v>
      </c>
      <c r="P326" s="12"/>
      <c r="Q326" s="12"/>
      <c r="R326" s="12"/>
      <c r="S326" s="151"/>
      <c r="T326" s="12"/>
      <c r="U326" s="12"/>
      <c r="V326" s="12"/>
      <c r="W326" s="12"/>
      <c r="X326" s="12"/>
      <c r="Y326" s="12"/>
      <c r="Z326" s="12"/>
    </row>
    <row r="327" spans="1:26" ht="15" customHeight="1" x14ac:dyDescent="0.3">
      <c r="A327" s="45"/>
      <c r="B327" s="426" t="s">
        <v>1050</v>
      </c>
      <c r="C327" s="194" t="s">
        <v>2020</v>
      </c>
      <c r="D327" s="46"/>
      <c r="E327" s="219" t="s">
        <v>1052</v>
      </c>
      <c r="F327" s="61" t="s">
        <v>31</v>
      </c>
      <c r="G327" s="288">
        <v>28.5</v>
      </c>
      <c r="H327" s="289">
        <v>18</v>
      </c>
      <c r="I327" s="290">
        <v>85</v>
      </c>
      <c r="J327" s="48" t="s">
        <v>39</v>
      </c>
      <c r="K327" s="50"/>
      <c r="L327" s="53" t="str">
        <f t="shared" si="48"/>
        <v>85grams</v>
      </c>
      <c r="M327" s="54">
        <f t="shared" si="49"/>
        <v>1530</v>
      </c>
      <c r="N327" s="55" t="str">
        <f t="shared" si="50"/>
        <v>1530grams</v>
      </c>
      <c r="O327" s="56">
        <f t="shared" si="51"/>
        <v>513</v>
      </c>
      <c r="P327" s="12"/>
      <c r="Q327" s="12"/>
      <c r="R327" s="12"/>
      <c r="S327" s="151"/>
      <c r="T327" s="12"/>
      <c r="U327" s="12"/>
      <c r="V327" s="12"/>
      <c r="W327" s="12"/>
      <c r="X327" s="12"/>
      <c r="Y327" s="12"/>
      <c r="Z327" s="12"/>
    </row>
    <row r="328" spans="1:26" ht="15" customHeight="1" x14ac:dyDescent="0.3">
      <c r="A328" s="45">
        <v>443</v>
      </c>
      <c r="B328" s="46" t="s">
        <v>1053</v>
      </c>
      <c r="C328" s="194" t="s">
        <v>2025</v>
      </c>
      <c r="D328" s="46"/>
      <c r="E328" s="48" t="s">
        <v>1044</v>
      </c>
      <c r="F328" s="61" t="s">
        <v>31</v>
      </c>
      <c r="G328" s="288">
        <v>36.200000000000003</v>
      </c>
      <c r="H328" s="289">
        <v>5</v>
      </c>
      <c r="I328" s="290">
        <v>155</v>
      </c>
      <c r="J328" s="48" t="s">
        <v>39</v>
      </c>
      <c r="K328" s="50" t="s">
        <v>2019</v>
      </c>
      <c r="L328" s="53" t="str">
        <f t="shared" si="48"/>
        <v>155grams</v>
      </c>
      <c r="M328" s="54">
        <f t="shared" si="49"/>
        <v>775</v>
      </c>
      <c r="N328" s="55" t="str">
        <f t="shared" si="50"/>
        <v>775grams</v>
      </c>
      <c r="O328" s="56">
        <f t="shared" si="51"/>
        <v>181</v>
      </c>
      <c r="P328" s="44">
        <f t="shared" ref="P328:P333" si="63">O328/H328</f>
        <v>36.200000000000003</v>
      </c>
      <c r="Q328" s="66">
        <f>G328-P328</f>
        <v>0</v>
      </c>
      <c r="R328" s="32" t="b">
        <f t="shared" ref="R328:R333" si="64">P328=G328</f>
        <v>1</v>
      </c>
      <c r="S328" s="32"/>
      <c r="T328" s="32"/>
      <c r="U328" s="32"/>
      <c r="V328" s="32"/>
      <c r="W328" s="32"/>
      <c r="X328" s="32"/>
      <c r="Y328" s="32"/>
      <c r="Z328" s="32"/>
    </row>
    <row r="329" spans="1:26" ht="15" customHeight="1" x14ac:dyDescent="0.3">
      <c r="A329" s="45">
        <v>708</v>
      </c>
      <c r="B329" s="46" t="s">
        <v>1053</v>
      </c>
      <c r="C329" s="194" t="s">
        <v>2026</v>
      </c>
      <c r="D329" s="46"/>
      <c r="E329" s="48" t="s">
        <v>1044</v>
      </c>
      <c r="F329" s="61" t="s">
        <v>31</v>
      </c>
      <c r="G329" s="288">
        <v>98.4</v>
      </c>
      <c r="H329" s="289">
        <v>19</v>
      </c>
      <c r="I329" s="290">
        <v>420</v>
      </c>
      <c r="J329" s="48" t="s">
        <v>39</v>
      </c>
      <c r="K329" s="50"/>
      <c r="L329" s="53" t="str">
        <f t="shared" si="48"/>
        <v>420grams</v>
      </c>
      <c r="M329" s="54">
        <f t="shared" si="49"/>
        <v>7980</v>
      </c>
      <c r="N329" s="55" t="str">
        <f t="shared" si="50"/>
        <v>7980grams</v>
      </c>
      <c r="O329" s="56">
        <f t="shared" si="51"/>
        <v>1869.6000000000001</v>
      </c>
      <c r="P329" s="44">
        <f t="shared" si="63"/>
        <v>98.4</v>
      </c>
      <c r="Q329" s="66"/>
      <c r="R329" s="32" t="b">
        <f t="shared" si="64"/>
        <v>1</v>
      </c>
      <c r="S329" s="32"/>
      <c r="T329" s="32"/>
      <c r="U329" s="32"/>
      <c r="V329" s="32"/>
      <c r="W329" s="32"/>
      <c r="X329" s="32"/>
      <c r="Y329" s="32"/>
      <c r="Z329" s="32"/>
    </row>
    <row r="330" spans="1:26" ht="15" customHeight="1" x14ac:dyDescent="0.3">
      <c r="A330" s="45"/>
      <c r="B330" s="46" t="s">
        <v>1053</v>
      </c>
      <c r="C330" s="194" t="s">
        <v>2023</v>
      </c>
      <c r="D330" s="46"/>
      <c r="E330" s="48" t="s">
        <v>1044</v>
      </c>
      <c r="F330" s="61" t="s">
        <v>31</v>
      </c>
      <c r="G330" s="288">
        <v>98.4</v>
      </c>
      <c r="H330" s="289">
        <v>16</v>
      </c>
      <c r="I330" s="290">
        <v>420</v>
      </c>
      <c r="J330" s="437" t="s">
        <v>39</v>
      </c>
      <c r="K330" s="50"/>
      <c r="L330" s="53" t="str">
        <f t="shared" si="48"/>
        <v>420grams</v>
      </c>
      <c r="M330" s="54">
        <f t="shared" si="49"/>
        <v>6720</v>
      </c>
      <c r="N330" s="55" t="str">
        <f t="shared" si="50"/>
        <v>6720grams</v>
      </c>
      <c r="O330" s="56">
        <f t="shared" si="51"/>
        <v>1574.4</v>
      </c>
      <c r="P330" s="44">
        <f t="shared" si="63"/>
        <v>98.4</v>
      </c>
      <c r="Q330" s="12"/>
      <c r="R330" s="32" t="b">
        <f t="shared" si="64"/>
        <v>1</v>
      </c>
      <c r="S330" s="151"/>
      <c r="T330" s="12"/>
      <c r="U330" s="12"/>
      <c r="V330" s="12"/>
      <c r="W330" s="12"/>
      <c r="X330" s="12"/>
      <c r="Y330" s="12"/>
      <c r="Z330" s="12"/>
    </row>
    <row r="331" spans="1:26" ht="15" customHeight="1" x14ac:dyDescent="0.3">
      <c r="A331" s="45"/>
      <c r="B331" s="46" t="s">
        <v>1053</v>
      </c>
      <c r="C331" s="194" t="s">
        <v>2021</v>
      </c>
      <c r="D331" s="46"/>
      <c r="E331" s="414" t="s">
        <v>1044</v>
      </c>
      <c r="F331" s="61" t="s">
        <v>31</v>
      </c>
      <c r="G331" s="288">
        <v>98.8</v>
      </c>
      <c r="H331" s="308">
        <v>2</v>
      </c>
      <c r="I331" s="290">
        <v>420</v>
      </c>
      <c r="J331" s="48" t="s">
        <v>39</v>
      </c>
      <c r="K331" s="50"/>
      <c r="L331" s="53" t="str">
        <f t="shared" si="48"/>
        <v>420grams</v>
      </c>
      <c r="M331" s="54">
        <f t="shared" si="49"/>
        <v>840</v>
      </c>
      <c r="N331" s="55" t="str">
        <f t="shared" si="50"/>
        <v>840grams</v>
      </c>
      <c r="O331" s="56">
        <f t="shared" si="51"/>
        <v>197.6</v>
      </c>
      <c r="P331" s="44">
        <f t="shared" si="63"/>
        <v>98.8</v>
      </c>
      <c r="Q331" s="12"/>
      <c r="R331" s="32" t="b">
        <f t="shared" si="64"/>
        <v>1</v>
      </c>
      <c r="S331" s="151"/>
      <c r="T331" s="12"/>
      <c r="U331" s="12"/>
      <c r="V331" s="12"/>
      <c r="W331" s="12"/>
      <c r="X331" s="12"/>
      <c r="Y331" s="12"/>
      <c r="Z331" s="12"/>
    </row>
    <row r="332" spans="1:26" ht="15" customHeight="1" x14ac:dyDescent="0.3">
      <c r="A332" s="45"/>
      <c r="B332" s="46" t="s">
        <v>1053</v>
      </c>
      <c r="C332" s="194" t="s">
        <v>2020</v>
      </c>
      <c r="D332" s="46"/>
      <c r="E332" s="48" t="s">
        <v>1044</v>
      </c>
      <c r="F332" s="61" t="s">
        <v>31</v>
      </c>
      <c r="G332" s="288">
        <v>98.4</v>
      </c>
      <c r="H332" s="289">
        <v>2</v>
      </c>
      <c r="I332" s="290">
        <v>425</v>
      </c>
      <c r="J332" s="48" t="s">
        <v>39</v>
      </c>
      <c r="K332" s="50"/>
      <c r="L332" s="53" t="str">
        <f t="shared" si="48"/>
        <v>425grams</v>
      </c>
      <c r="M332" s="54">
        <f t="shared" si="49"/>
        <v>850</v>
      </c>
      <c r="N332" s="55" t="str">
        <f t="shared" si="50"/>
        <v>850grams</v>
      </c>
      <c r="O332" s="56">
        <f t="shared" si="51"/>
        <v>196.8</v>
      </c>
      <c r="P332" s="44">
        <f t="shared" si="63"/>
        <v>98.4</v>
      </c>
      <c r="Q332" s="12"/>
      <c r="R332" s="32" t="b">
        <f t="shared" si="64"/>
        <v>1</v>
      </c>
      <c r="S332" s="151"/>
      <c r="T332" s="12"/>
      <c r="U332" s="12"/>
      <c r="V332" s="12"/>
      <c r="W332" s="12"/>
      <c r="X332" s="12"/>
      <c r="Y332" s="12"/>
      <c r="Z332" s="12"/>
    </row>
    <row r="333" spans="1:26" ht="15" customHeight="1" x14ac:dyDescent="0.3">
      <c r="A333" s="45">
        <v>442</v>
      </c>
      <c r="B333" s="46" t="s">
        <v>1054</v>
      </c>
      <c r="C333" s="194" t="s">
        <v>2025</v>
      </c>
      <c r="D333" s="46"/>
      <c r="E333" s="48" t="s">
        <v>1044</v>
      </c>
      <c r="F333" s="61" t="s">
        <v>31</v>
      </c>
      <c r="G333" s="288">
        <v>36.200000000000003</v>
      </c>
      <c r="H333" s="289">
        <v>4</v>
      </c>
      <c r="I333" s="290">
        <v>155</v>
      </c>
      <c r="J333" s="48" t="s">
        <v>39</v>
      </c>
      <c r="K333" s="50"/>
      <c r="L333" s="53" t="str">
        <f t="shared" si="48"/>
        <v>155grams</v>
      </c>
      <c r="M333" s="54">
        <f t="shared" si="49"/>
        <v>620</v>
      </c>
      <c r="N333" s="55" t="str">
        <f t="shared" si="50"/>
        <v>620grams</v>
      </c>
      <c r="O333" s="56">
        <f t="shared" si="51"/>
        <v>144.80000000000001</v>
      </c>
      <c r="P333" s="44">
        <f t="shared" si="63"/>
        <v>36.200000000000003</v>
      </c>
      <c r="Q333" s="66"/>
      <c r="R333" s="32" t="b">
        <f t="shared" si="64"/>
        <v>1</v>
      </c>
      <c r="S333" s="32"/>
      <c r="T333" s="32"/>
      <c r="U333" s="32"/>
      <c r="V333" s="32"/>
      <c r="W333" s="32"/>
      <c r="X333" s="32"/>
      <c r="Y333" s="32"/>
      <c r="Z333" s="32"/>
    </row>
    <row r="334" spans="1:26" ht="15" customHeight="1" x14ac:dyDescent="0.3">
      <c r="A334" s="45"/>
      <c r="B334" s="219" t="s">
        <v>1055</v>
      </c>
      <c r="C334" s="194" t="s">
        <v>2020</v>
      </c>
      <c r="D334" s="46"/>
      <c r="E334" s="422" t="s">
        <v>1902</v>
      </c>
      <c r="F334" s="61" t="s">
        <v>31</v>
      </c>
      <c r="G334" s="288">
        <v>27.4</v>
      </c>
      <c r="H334" s="289">
        <v>2</v>
      </c>
      <c r="I334" s="290">
        <v>155</v>
      </c>
      <c r="J334" s="422" t="s">
        <v>39</v>
      </c>
      <c r="K334" s="50"/>
      <c r="L334" s="53" t="str">
        <f t="shared" si="48"/>
        <v>155grams</v>
      </c>
      <c r="M334" s="54">
        <f t="shared" si="49"/>
        <v>310</v>
      </c>
      <c r="N334" s="55" t="str">
        <f t="shared" si="50"/>
        <v>310grams</v>
      </c>
      <c r="O334" s="56">
        <f t="shared" si="51"/>
        <v>54.8</v>
      </c>
      <c r="P334" s="12"/>
      <c r="Q334" s="12"/>
      <c r="R334" s="12"/>
      <c r="S334" s="151"/>
      <c r="T334" s="12"/>
      <c r="U334" s="12"/>
      <c r="V334" s="12"/>
      <c r="W334" s="12"/>
      <c r="X334" s="12"/>
      <c r="Y334" s="12"/>
      <c r="Z334" s="12"/>
    </row>
    <row r="335" spans="1:26" ht="15" customHeight="1" x14ac:dyDescent="0.3">
      <c r="A335" s="45">
        <v>58</v>
      </c>
      <c r="B335" s="46" t="s">
        <v>320</v>
      </c>
      <c r="C335" s="194" t="s">
        <v>29</v>
      </c>
      <c r="D335" s="46"/>
      <c r="E335" s="46" t="s">
        <v>1056</v>
      </c>
      <c r="F335" s="61" t="s">
        <v>31</v>
      </c>
      <c r="G335" s="288">
        <v>132.5</v>
      </c>
      <c r="H335" s="289">
        <v>3</v>
      </c>
      <c r="I335" s="290">
        <v>500</v>
      </c>
      <c r="J335" s="48" t="s">
        <v>39</v>
      </c>
      <c r="K335" s="61" t="s">
        <v>2019</v>
      </c>
      <c r="L335" s="415" t="str">
        <f t="shared" si="48"/>
        <v>500grams</v>
      </c>
      <c r="M335" s="416">
        <f t="shared" si="49"/>
        <v>1500</v>
      </c>
      <c r="N335" s="417" t="str">
        <f t="shared" si="50"/>
        <v>1500grams</v>
      </c>
      <c r="O335" s="418">
        <f t="shared" si="51"/>
        <v>397.5</v>
      </c>
      <c r="P335" s="419">
        <f t="shared" ref="P335:P337" si="65">O335/H335</f>
        <v>132.5</v>
      </c>
      <c r="Q335" s="66"/>
      <c r="R335" s="32" t="b">
        <f>P335=G335</f>
        <v>1</v>
      </c>
      <c r="S335" s="32"/>
      <c r="T335" s="32"/>
      <c r="U335" s="32"/>
      <c r="V335" s="32"/>
      <c r="W335" s="32"/>
      <c r="X335" s="32"/>
      <c r="Y335" s="32"/>
      <c r="Z335" s="32"/>
    </row>
    <row r="336" spans="1:26" ht="15" customHeight="1" x14ac:dyDescent="0.3">
      <c r="A336" s="45">
        <v>762</v>
      </c>
      <c r="B336" s="46" t="s">
        <v>320</v>
      </c>
      <c r="C336" s="194" t="s">
        <v>2026</v>
      </c>
      <c r="D336" s="46"/>
      <c r="E336" s="46" t="s">
        <v>1056</v>
      </c>
      <c r="F336" s="61" t="s">
        <v>31</v>
      </c>
      <c r="G336" s="288">
        <v>132.5</v>
      </c>
      <c r="H336" s="289">
        <v>3</v>
      </c>
      <c r="I336" s="290">
        <v>500</v>
      </c>
      <c r="J336" s="48" t="s">
        <v>39</v>
      </c>
      <c r="K336" s="50"/>
      <c r="L336" s="53" t="str">
        <f t="shared" si="48"/>
        <v>500grams</v>
      </c>
      <c r="M336" s="54">
        <f t="shared" si="49"/>
        <v>1500</v>
      </c>
      <c r="N336" s="55" t="str">
        <f t="shared" si="50"/>
        <v>1500grams</v>
      </c>
      <c r="O336" s="56">
        <f t="shared" si="51"/>
        <v>397.5</v>
      </c>
      <c r="P336" s="44">
        <f t="shared" si="65"/>
        <v>132.5</v>
      </c>
      <c r="Q336" s="66"/>
      <c r="R336" s="32"/>
      <c r="S336" s="32"/>
      <c r="T336" s="32"/>
      <c r="U336" s="32"/>
      <c r="V336" s="32"/>
      <c r="W336" s="32"/>
      <c r="X336" s="32"/>
      <c r="Y336" s="32"/>
      <c r="Z336" s="32"/>
    </row>
    <row r="337" spans="1:26" ht="15" customHeight="1" x14ac:dyDescent="0.3">
      <c r="A337" s="45">
        <v>875</v>
      </c>
      <c r="B337" s="46" t="s">
        <v>320</v>
      </c>
      <c r="C337" s="194" t="s">
        <v>1368</v>
      </c>
      <c r="D337" s="46"/>
      <c r="E337" s="46" t="s">
        <v>1057</v>
      </c>
      <c r="F337" s="61" t="s">
        <v>31</v>
      </c>
      <c r="G337" s="288">
        <v>118.75</v>
      </c>
      <c r="H337" s="289">
        <v>2</v>
      </c>
      <c r="I337" s="290">
        <v>400</v>
      </c>
      <c r="J337" s="48" t="s">
        <v>39</v>
      </c>
      <c r="K337" s="50"/>
      <c r="L337" s="53" t="str">
        <f t="shared" si="48"/>
        <v>400grams</v>
      </c>
      <c r="M337" s="54">
        <f t="shared" si="49"/>
        <v>800</v>
      </c>
      <c r="N337" s="55" t="str">
        <f t="shared" si="50"/>
        <v>800grams</v>
      </c>
      <c r="O337" s="56">
        <f t="shared" si="51"/>
        <v>237.5</v>
      </c>
      <c r="P337" s="44">
        <f t="shared" si="65"/>
        <v>118.75</v>
      </c>
      <c r="Q337" s="66"/>
      <c r="R337" s="32"/>
      <c r="S337" s="32"/>
      <c r="T337" s="32"/>
      <c r="U337" s="32"/>
      <c r="V337" s="32"/>
      <c r="W337" s="32"/>
      <c r="X337" s="32"/>
      <c r="Y337" s="32"/>
      <c r="Z337" s="32"/>
    </row>
    <row r="338" spans="1:26" ht="15" customHeight="1" x14ac:dyDescent="0.3">
      <c r="A338" s="45">
        <v>914</v>
      </c>
      <c r="B338" s="309" t="s">
        <v>320</v>
      </c>
      <c r="C338" s="194" t="s">
        <v>1368</v>
      </c>
      <c r="D338" s="46"/>
      <c r="E338" s="46" t="s">
        <v>1056</v>
      </c>
      <c r="F338" s="61" t="s">
        <v>31</v>
      </c>
      <c r="G338" s="288">
        <v>143</v>
      </c>
      <c r="H338" s="289">
        <v>1</v>
      </c>
      <c r="I338" s="290">
        <v>500</v>
      </c>
      <c r="J338" s="48" t="s">
        <v>39</v>
      </c>
      <c r="K338" s="50"/>
      <c r="L338" s="53" t="str">
        <f t="shared" si="48"/>
        <v>500grams</v>
      </c>
      <c r="M338" s="54">
        <f t="shared" si="49"/>
        <v>500</v>
      </c>
      <c r="N338" s="55" t="str">
        <f t="shared" si="50"/>
        <v>500grams</v>
      </c>
      <c r="O338" s="56">
        <f t="shared" si="51"/>
        <v>143</v>
      </c>
      <c r="P338" s="44"/>
      <c r="Q338" s="66"/>
      <c r="R338" s="32"/>
      <c r="S338" s="32"/>
      <c r="T338" s="32"/>
      <c r="U338" s="32"/>
      <c r="V338" s="32"/>
      <c r="W338" s="32"/>
      <c r="X338" s="32"/>
      <c r="Y338" s="32"/>
      <c r="Z338" s="32"/>
    </row>
    <row r="339" spans="1:26" ht="15" customHeight="1" x14ac:dyDescent="0.3">
      <c r="A339" s="45"/>
      <c r="B339" s="310" t="s">
        <v>320</v>
      </c>
      <c r="C339" s="194" t="s">
        <v>2022</v>
      </c>
      <c r="D339" s="46"/>
      <c r="E339" s="46" t="s">
        <v>912</v>
      </c>
      <c r="F339" s="61" t="s">
        <v>31</v>
      </c>
      <c r="G339" s="288">
        <v>150</v>
      </c>
      <c r="H339" s="289">
        <v>1</v>
      </c>
      <c r="I339" s="290">
        <v>1000</v>
      </c>
      <c r="J339" s="48" t="s">
        <v>213</v>
      </c>
      <c r="K339" s="50"/>
      <c r="L339" s="53" t="str">
        <f t="shared" si="48"/>
        <v>1000kilos</v>
      </c>
      <c r="M339" s="54">
        <f t="shared" si="49"/>
        <v>1000</v>
      </c>
      <c r="N339" s="55" t="str">
        <f t="shared" si="50"/>
        <v>1000kilos</v>
      </c>
      <c r="O339" s="56">
        <f t="shared" si="51"/>
        <v>150</v>
      </c>
      <c r="P339" s="12"/>
      <c r="Q339" s="12"/>
      <c r="R339" s="12"/>
      <c r="S339" s="151"/>
      <c r="T339" s="12"/>
      <c r="U339" s="12"/>
      <c r="V339" s="12"/>
      <c r="W339" s="12"/>
      <c r="X339" s="12"/>
      <c r="Y339" s="12"/>
      <c r="Z339" s="12"/>
    </row>
    <row r="340" spans="1:26" ht="15" customHeight="1" x14ac:dyDescent="0.3">
      <c r="A340" s="45"/>
      <c r="B340" s="46" t="s">
        <v>320</v>
      </c>
      <c r="C340" s="194" t="s">
        <v>2021</v>
      </c>
      <c r="D340" s="46"/>
      <c r="E340" s="219" t="s">
        <v>1058</v>
      </c>
      <c r="F340" s="61" t="s">
        <v>31</v>
      </c>
      <c r="G340" s="295">
        <v>125</v>
      </c>
      <c r="H340" s="292">
        <v>1</v>
      </c>
      <c r="I340" s="293">
        <v>1000</v>
      </c>
      <c r="J340" s="414" t="s">
        <v>39</v>
      </c>
      <c r="K340" s="50"/>
      <c r="L340" s="53" t="str">
        <f t="shared" si="48"/>
        <v>1000grams</v>
      </c>
      <c r="M340" s="54">
        <f t="shared" si="49"/>
        <v>1000</v>
      </c>
      <c r="N340" s="55" t="str">
        <f t="shared" si="50"/>
        <v>1000grams</v>
      </c>
      <c r="O340" s="56">
        <f t="shared" si="51"/>
        <v>125</v>
      </c>
      <c r="P340" s="12"/>
      <c r="Q340" s="12"/>
      <c r="R340" s="12"/>
      <c r="S340" s="151"/>
      <c r="T340" s="12"/>
      <c r="U340" s="12"/>
      <c r="V340" s="12"/>
      <c r="W340" s="12"/>
      <c r="X340" s="12"/>
      <c r="Y340" s="12"/>
      <c r="Z340" s="12"/>
    </row>
    <row r="341" spans="1:26" ht="15" customHeight="1" x14ac:dyDescent="0.3">
      <c r="A341" s="45"/>
      <c r="B341" s="46" t="s">
        <v>320</v>
      </c>
      <c r="C341" s="194" t="s">
        <v>2020</v>
      </c>
      <c r="D341" s="46"/>
      <c r="E341" s="46" t="s">
        <v>1059</v>
      </c>
      <c r="F341" s="61" t="s">
        <v>31</v>
      </c>
      <c r="G341" s="288">
        <v>90.73</v>
      </c>
      <c r="H341" s="289">
        <v>3</v>
      </c>
      <c r="I341" s="290">
        <v>500</v>
      </c>
      <c r="J341" s="48" t="s">
        <v>39</v>
      </c>
      <c r="K341" s="50"/>
      <c r="L341" s="53" t="str">
        <f t="shared" si="48"/>
        <v>500grams</v>
      </c>
      <c r="M341" s="54">
        <f t="shared" si="49"/>
        <v>1500</v>
      </c>
      <c r="N341" s="55" t="str">
        <f t="shared" si="50"/>
        <v>1500grams</v>
      </c>
      <c r="O341" s="56">
        <f t="shared" si="51"/>
        <v>272.19</v>
      </c>
      <c r="P341" s="12"/>
      <c r="Q341" s="12"/>
      <c r="R341" s="12"/>
      <c r="S341" s="151"/>
      <c r="T341" s="12"/>
      <c r="U341" s="12"/>
      <c r="V341" s="12"/>
      <c r="W341" s="12"/>
      <c r="X341" s="12"/>
      <c r="Y341" s="12"/>
      <c r="Z341" s="12"/>
    </row>
    <row r="342" spans="1:26" ht="15" customHeight="1" x14ac:dyDescent="0.3">
      <c r="A342" s="45">
        <v>353</v>
      </c>
      <c r="B342" s="46" t="s">
        <v>320</v>
      </c>
      <c r="C342" s="194" t="s">
        <v>2025</v>
      </c>
      <c r="D342" s="46"/>
      <c r="E342" s="46" t="s">
        <v>1059</v>
      </c>
      <c r="F342" s="61" t="s">
        <v>31</v>
      </c>
      <c r="G342" s="288">
        <v>90.73</v>
      </c>
      <c r="H342" s="289">
        <v>30</v>
      </c>
      <c r="I342" s="290">
        <v>500</v>
      </c>
      <c r="J342" s="48" t="s">
        <v>39</v>
      </c>
      <c r="K342" s="50"/>
      <c r="L342" s="53" t="str">
        <f t="shared" si="48"/>
        <v>500grams</v>
      </c>
      <c r="M342" s="54">
        <f t="shared" si="49"/>
        <v>15000</v>
      </c>
      <c r="N342" s="55" t="str">
        <f t="shared" si="50"/>
        <v>15000grams</v>
      </c>
      <c r="O342" s="56">
        <f t="shared" si="51"/>
        <v>2721.9</v>
      </c>
      <c r="P342" s="44">
        <f t="shared" ref="P342:P346" si="66">O342/H342</f>
        <v>90.73</v>
      </c>
      <c r="Q342" s="66"/>
      <c r="R342" s="32" t="b">
        <f t="shared" ref="R342:R343" si="67">P342=G342</f>
        <v>1</v>
      </c>
      <c r="S342" s="32"/>
      <c r="T342" s="32"/>
      <c r="U342" s="32"/>
      <c r="V342" s="32"/>
      <c r="W342" s="32"/>
      <c r="X342" s="32"/>
      <c r="Y342" s="32"/>
      <c r="Z342" s="32"/>
    </row>
    <row r="343" spans="1:26" ht="15" customHeight="1" x14ac:dyDescent="0.3">
      <c r="A343" s="45">
        <v>74</v>
      </c>
      <c r="B343" s="46" t="s">
        <v>451</v>
      </c>
      <c r="C343" s="194" t="s">
        <v>29</v>
      </c>
      <c r="D343" s="46"/>
      <c r="E343" s="46"/>
      <c r="F343" s="61" t="s">
        <v>31</v>
      </c>
      <c r="G343" s="288">
        <v>225</v>
      </c>
      <c r="H343" s="289">
        <v>0</v>
      </c>
      <c r="I343" s="290">
        <v>1</v>
      </c>
      <c r="J343" s="48" t="s">
        <v>213</v>
      </c>
      <c r="K343" s="61" t="s">
        <v>2019</v>
      </c>
      <c r="L343" s="415" t="str">
        <f t="shared" si="48"/>
        <v>1kilos</v>
      </c>
      <c r="M343" s="416">
        <f t="shared" si="49"/>
        <v>0</v>
      </c>
      <c r="N343" s="417" t="str">
        <f t="shared" si="50"/>
        <v>0kilos</v>
      </c>
      <c r="O343" s="418">
        <f t="shared" si="51"/>
        <v>0</v>
      </c>
      <c r="P343" s="419" t="e">
        <f t="shared" si="66"/>
        <v>#DIV/0!</v>
      </c>
      <c r="Q343" s="66"/>
      <c r="R343" s="32" t="e">
        <f t="shared" si="67"/>
        <v>#DIV/0!</v>
      </c>
      <c r="S343" s="32"/>
      <c r="T343" s="32"/>
      <c r="U343" s="32"/>
      <c r="V343" s="32"/>
      <c r="W343" s="32"/>
      <c r="X343" s="32"/>
      <c r="Y343" s="32"/>
      <c r="Z343" s="32"/>
    </row>
    <row r="344" spans="1:26" ht="15" customHeight="1" x14ac:dyDescent="0.3">
      <c r="A344" s="45">
        <v>500</v>
      </c>
      <c r="B344" s="46" t="s">
        <v>451</v>
      </c>
      <c r="C344" s="194" t="s">
        <v>2025</v>
      </c>
      <c r="D344" s="46"/>
      <c r="E344" s="46"/>
      <c r="F344" s="61" t="s">
        <v>31</v>
      </c>
      <c r="G344" s="288">
        <v>70</v>
      </c>
      <c r="H344" s="289">
        <v>3</v>
      </c>
      <c r="I344" s="290">
        <v>1</v>
      </c>
      <c r="J344" s="48" t="s">
        <v>213</v>
      </c>
      <c r="K344" s="50"/>
      <c r="L344" s="53" t="str">
        <f t="shared" si="48"/>
        <v>1kilos</v>
      </c>
      <c r="M344" s="54">
        <f t="shared" si="49"/>
        <v>3</v>
      </c>
      <c r="N344" s="55" t="str">
        <f t="shared" si="50"/>
        <v>3kilos</v>
      </c>
      <c r="O344" s="56">
        <f t="shared" si="51"/>
        <v>210</v>
      </c>
      <c r="P344" s="44">
        <f t="shared" si="66"/>
        <v>70</v>
      </c>
      <c r="Q344" s="66"/>
      <c r="R344" s="32"/>
      <c r="S344" s="32"/>
      <c r="T344" s="32"/>
      <c r="U344" s="32"/>
      <c r="V344" s="32"/>
      <c r="W344" s="32"/>
      <c r="X344" s="32"/>
      <c r="Y344" s="32"/>
      <c r="Z344" s="32"/>
    </row>
    <row r="345" spans="1:26" ht="15" customHeight="1" x14ac:dyDescent="0.3">
      <c r="A345" s="45">
        <v>659</v>
      </c>
      <c r="B345" s="46" t="s">
        <v>451</v>
      </c>
      <c r="C345" s="194" t="s">
        <v>2026</v>
      </c>
      <c r="D345" s="46"/>
      <c r="E345" s="46"/>
      <c r="F345" s="61" t="s">
        <v>31</v>
      </c>
      <c r="G345" s="288">
        <v>120</v>
      </c>
      <c r="H345" s="289">
        <v>2</v>
      </c>
      <c r="I345" s="290">
        <v>1000</v>
      </c>
      <c r="J345" s="48" t="s">
        <v>39</v>
      </c>
      <c r="K345" s="50"/>
      <c r="L345" s="53" t="str">
        <f t="shared" si="48"/>
        <v>1000grams</v>
      </c>
      <c r="M345" s="54">
        <f t="shared" si="49"/>
        <v>2000</v>
      </c>
      <c r="N345" s="55" t="str">
        <f t="shared" si="50"/>
        <v>2000grams</v>
      </c>
      <c r="O345" s="56">
        <f t="shared" si="51"/>
        <v>240</v>
      </c>
      <c r="P345" s="44">
        <f t="shared" si="66"/>
        <v>120</v>
      </c>
      <c r="Q345" s="66"/>
      <c r="R345" s="32" t="b">
        <f>P345=G345</f>
        <v>1</v>
      </c>
      <c r="S345" s="32"/>
      <c r="T345" s="32"/>
      <c r="U345" s="32"/>
      <c r="V345" s="32"/>
      <c r="W345" s="32"/>
      <c r="X345" s="32"/>
      <c r="Y345" s="32"/>
      <c r="Z345" s="32"/>
    </row>
    <row r="346" spans="1:26" ht="15" customHeight="1" x14ac:dyDescent="0.3">
      <c r="A346" s="45">
        <v>847</v>
      </c>
      <c r="B346" s="46" t="s">
        <v>451</v>
      </c>
      <c r="C346" s="194" t="s">
        <v>1368</v>
      </c>
      <c r="D346" s="46"/>
      <c r="E346" s="46"/>
      <c r="F346" s="61" t="s">
        <v>31</v>
      </c>
      <c r="G346" s="288">
        <v>35</v>
      </c>
      <c r="H346" s="289">
        <v>3</v>
      </c>
      <c r="I346" s="290">
        <v>1000</v>
      </c>
      <c r="J346" s="48" t="s">
        <v>39</v>
      </c>
      <c r="K346" s="50"/>
      <c r="L346" s="53" t="str">
        <f t="shared" si="48"/>
        <v>1000grams</v>
      </c>
      <c r="M346" s="54">
        <f t="shared" si="49"/>
        <v>3000</v>
      </c>
      <c r="N346" s="55" t="str">
        <f t="shared" si="50"/>
        <v>3000grams</v>
      </c>
      <c r="O346" s="56">
        <f t="shared" si="51"/>
        <v>105</v>
      </c>
      <c r="P346" s="44">
        <f t="shared" si="66"/>
        <v>35</v>
      </c>
      <c r="Q346" s="66"/>
      <c r="R346" s="32"/>
      <c r="S346" s="32"/>
      <c r="T346" s="32"/>
      <c r="U346" s="32"/>
      <c r="V346" s="32"/>
      <c r="W346" s="32"/>
      <c r="X346" s="32"/>
      <c r="Y346" s="32"/>
      <c r="Z346" s="32"/>
    </row>
    <row r="347" spans="1:26" ht="15" customHeight="1" x14ac:dyDescent="0.3">
      <c r="A347" s="45"/>
      <c r="B347" s="46" t="s">
        <v>451</v>
      </c>
      <c r="C347" s="194" t="s">
        <v>2023</v>
      </c>
      <c r="D347" s="46"/>
      <c r="E347" s="46"/>
      <c r="F347" s="61" t="s">
        <v>31</v>
      </c>
      <c r="G347" s="288">
        <v>160</v>
      </c>
      <c r="H347" s="289">
        <v>2</v>
      </c>
      <c r="I347" s="290">
        <v>1000</v>
      </c>
      <c r="J347" s="48" t="s">
        <v>39</v>
      </c>
      <c r="K347" s="50"/>
      <c r="L347" s="53" t="str">
        <f t="shared" si="48"/>
        <v>1000grams</v>
      </c>
      <c r="M347" s="54">
        <f t="shared" si="49"/>
        <v>2000</v>
      </c>
      <c r="N347" s="55" t="str">
        <f t="shared" si="50"/>
        <v>2000grams</v>
      </c>
      <c r="O347" s="56">
        <f t="shared" si="51"/>
        <v>320</v>
      </c>
      <c r="P347" s="44"/>
      <c r="Q347" s="12"/>
      <c r="R347" s="12"/>
      <c r="S347" s="151"/>
      <c r="T347" s="12"/>
      <c r="U347" s="12"/>
      <c r="V347" s="12"/>
      <c r="W347" s="12"/>
      <c r="X347" s="12"/>
      <c r="Y347" s="12"/>
      <c r="Z347" s="12"/>
    </row>
    <row r="348" spans="1:26" ht="15" customHeight="1" x14ac:dyDescent="0.3">
      <c r="A348" s="45"/>
      <c r="B348" s="46" t="s">
        <v>451</v>
      </c>
      <c r="C348" s="194" t="s">
        <v>2020</v>
      </c>
      <c r="D348" s="46"/>
      <c r="E348" s="46" t="s">
        <v>1060</v>
      </c>
      <c r="F348" s="61" t="s">
        <v>31</v>
      </c>
      <c r="G348" s="288">
        <v>190</v>
      </c>
      <c r="H348" s="289">
        <v>4</v>
      </c>
      <c r="I348" s="290">
        <v>1000</v>
      </c>
      <c r="J348" s="48" t="s">
        <v>213</v>
      </c>
      <c r="K348" s="50"/>
      <c r="L348" s="53" t="str">
        <f t="shared" si="48"/>
        <v>1000kilos</v>
      </c>
      <c r="M348" s="54">
        <f t="shared" si="49"/>
        <v>4000</v>
      </c>
      <c r="N348" s="55" t="str">
        <f t="shared" si="50"/>
        <v>4000kilos</v>
      </c>
      <c r="O348" s="56">
        <f t="shared" si="51"/>
        <v>760</v>
      </c>
      <c r="P348" s="12"/>
      <c r="Q348" s="12"/>
      <c r="R348" s="12"/>
      <c r="S348" s="151"/>
      <c r="T348" s="12"/>
      <c r="U348" s="12"/>
      <c r="V348" s="12"/>
      <c r="W348" s="12"/>
      <c r="X348" s="12"/>
      <c r="Y348" s="12"/>
      <c r="Z348" s="12"/>
    </row>
    <row r="349" spans="1:26" ht="15" customHeight="1" x14ac:dyDescent="0.3">
      <c r="A349" s="45"/>
      <c r="B349" s="219" t="s">
        <v>1061</v>
      </c>
      <c r="C349" s="194" t="s">
        <v>2021</v>
      </c>
      <c r="D349" s="46"/>
      <c r="E349" s="219" t="s">
        <v>1062</v>
      </c>
      <c r="F349" s="61" t="s">
        <v>31</v>
      </c>
      <c r="G349" s="291">
        <v>90</v>
      </c>
      <c r="H349" s="292">
        <v>4</v>
      </c>
      <c r="I349" s="293">
        <v>1</v>
      </c>
      <c r="J349" s="414" t="s">
        <v>1063</v>
      </c>
      <c r="K349" s="50"/>
      <c r="L349" s="53" t="str">
        <f t="shared" si="48"/>
        <v>1pouch</v>
      </c>
      <c r="M349" s="54">
        <f t="shared" si="49"/>
        <v>4</v>
      </c>
      <c r="N349" s="55" t="str">
        <f t="shared" si="50"/>
        <v>4pouch</v>
      </c>
      <c r="O349" s="56">
        <f t="shared" si="51"/>
        <v>360</v>
      </c>
      <c r="P349" s="12"/>
      <c r="Q349" s="12"/>
      <c r="R349" s="12"/>
      <c r="S349" s="151"/>
      <c r="T349" s="12"/>
      <c r="U349" s="12"/>
      <c r="V349" s="12"/>
      <c r="W349" s="12"/>
      <c r="X349" s="12"/>
      <c r="Y349" s="12"/>
      <c r="Z349" s="12"/>
    </row>
    <row r="350" spans="1:26" ht="15" customHeight="1" x14ac:dyDescent="0.3">
      <c r="A350" s="45"/>
      <c r="B350" s="219" t="s">
        <v>1061</v>
      </c>
      <c r="C350" s="194" t="s">
        <v>2021</v>
      </c>
      <c r="D350" s="46"/>
      <c r="E350" s="219" t="s">
        <v>1062</v>
      </c>
      <c r="F350" s="61" t="s">
        <v>31</v>
      </c>
      <c r="G350" s="291">
        <v>245</v>
      </c>
      <c r="H350" s="292">
        <v>4</v>
      </c>
      <c r="I350" s="293">
        <v>1</v>
      </c>
      <c r="J350" s="414" t="s">
        <v>1064</v>
      </c>
      <c r="K350" s="50"/>
      <c r="L350" s="53" t="str">
        <f t="shared" si="48"/>
        <v>1jar</v>
      </c>
      <c r="M350" s="54">
        <f t="shared" si="49"/>
        <v>4</v>
      </c>
      <c r="N350" s="55" t="str">
        <f t="shared" si="50"/>
        <v>4jar</v>
      </c>
      <c r="O350" s="56">
        <f t="shared" si="51"/>
        <v>980</v>
      </c>
      <c r="P350" s="12"/>
      <c r="Q350" s="12"/>
      <c r="R350" s="12"/>
      <c r="S350" s="151"/>
      <c r="T350" s="12"/>
      <c r="U350" s="12"/>
      <c r="V350" s="12"/>
      <c r="W350" s="12"/>
      <c r="X350" s="12"/>
      <c r="Y350" s="12"/>
      <c r="Z350" s="12"/>
    </row>
    <row r="351" spans="1:26" ht="15" customHeight="1" x14ac:dyDescent="0.3">
      <c r="A351" s="45"/>
      <c r="B351" s="46" t="s">
        <v>1065</v>
      </c>
      <c r="C351" s="194" t="s">
        <v>2022</v>
      </c>
      <c r="D351" s="46"/>
      <c r="E351" s="46" t="s">
        <v>1066</v>
      </c>
      <c r="F351" s="61" t="s">
        <v>31</v>
      </c>
      <c r="G351" s="288">
        <v>98</v>
      </c>
      <c r="H351" s="289">
        <v>5</v>
      </c>
      <c r="I351" s="290">
        <v>80</v>
      </c>
      <c r="J351" s="48" t="s">
        <v>39</v>
      </c>
      <c r="K351" s="50"/>
      <c r="L351" s="53" t="str">
        <f t="shared" si="48"/>
        <v>80grams</v>
      </c>
      <c r="M351" s="54">
        <f t="shared" si="49"/>
        <v>400</v>
      </c>
      <c r="N351" s="55" t="str">
        <f t="shared" si="50"/>
        <v>400grams</v>
      </c>
      <c r="O351" s="56">
        <f t="shared" si="51"/>
        <v>490</v>
      </c>
      <c r="P351" s="12"/>
      <c r="Q351" s="12"/>
      <c r="R351" s="12"/>
      <c r="S351" s="151"/>
      <c r="T351" s="12"/>
      <c r="U351" s="12"/>
      <c r="V351" s="12"/>
      <c r="W351" s="12"/>
      <c r="X351" s="12"/>
      <c r="Y351" s="12"/>
      <c r="Z351" s="12"/>
    </row>
    <row r="352" spans="1:26" ht="15" customHeight="1" x14ac:dyDescent="0.3">
      <c r="A352" s="45"/>
      <c r="B352" s="46" t="s">
        <v>1067</v>
      </c>
      <c r="C352" s="194" t="s">
        <v>2020</v>
      </c>
      <c r="D352" s="46"/>
      <c r="E352" s="46" t="s">
        <v>47</v>
      </c>
      <c r="F352" s="61" t="s">
        <v>31</v>
      </c>
      <c r="G352" s="288">
        <v>65</v>
      </c>
      <c r="H352" s="289">
        <v>2</v>
      </c>
      <c r="I352" s="290">
        <v>1000</v>
      </c>
      <c r="J352" s="48" t="s">
        <v>213</v>
      </c>
      <c r="K352" s="50"/>
      <c r="L352" s="53" t="str">
        <f t="shared" si="48"/>
        <v>1000kilos</v>
      </c>
      <c r="M352" s="54">
        <f t="shared" si="49"/>
        <v>2000</v>
      </c>
      <c r="N352" s="55" t="str">
        <f t="shared" si="50"/>
        <v>2000kilos</v>
      </c>
      <c r="O352" s="56">
        <f t="shared" si="51"/>
        <v>130</v>
      </c>
      <c r="P352" s="12"/>
      <c r="Q352" s="12"/>
      <c r="R352" s="12"/>
      <c r="S352" s="151"/>
      <c r="T352" s="12"/>
      <c r="U352" s="12"/>
      <c r="V352" s="12"/>
      <c r="W352" s="12"/>
      <c r="X352" s="12"/>
      <c r="Y352" s="12"/>
      <c r="Z352" s="12"/>
    </row>
    <row r="353" spans="1:26" ht="15" customHeight="1" x14ac:dyDescent="0.3">
      <c r="A353" s="45">
        <v>262</v>
      </c>
      <c r="B353" s="46" t="s">
        <v>1067</v>
      </c>
      <c r="C353" s="194" t="s">
        <v>2025</v>
      </c>
      <c r="D353" s="46"/>
      <c r="E353" s="46" t="s">
        <v>1068</v>
      </c>
      <c r="F353" s="61" t="s">
        <v>31</v>
      </c>
      <c r="G353" s="288">
        <v>65</v>
      </c>
      <c r="H353" s="289">
        <v>5</v>
      </c>
      <c r="I353" s="290">
        <v>1</v>
      </c>
      <c r="J353" s="48" t="s">
        <v>213</v>
      </c>
      <c r="K353" s="50"/>
      <c r="L353" s="53" t="str">
        <f t="shared" si="48"/>
        <v>1kilos</v>
      </c>
      <c r="M353" s="54">
        <f t="shared" si="49"/>
        <v>5</v>
      </c>
      <c r="N353" s="55" t="str">
        <f t="shared" si="50"/>
        <v>5kilos</v>
      </c>
      <c r="O353" s="56">
        <f t="shared" si="51"/>
        <v>325</v>
      </c>
      <c r="P353" s="44">
        <f t="shared" ref="P353:P354" si="68">O353/H353</f>
        <v>65</v>
      </c>
      <c r="Q353" s="66"/>
      <c r="R353" s="32" t="b">
        <f t="shared" ref="R353:R354" si="69">P353=G353</f>
        <v>1</v>
      </c>
      <c r="S353" s="32"/>
      <c r="T353" s="32"/>
      <c r="U353" s="32"/>
      <c r="V353" s="32"/>
      <c r="W353" s="32"/>
      <c r="X353" s="32"/>
      <c r="Y353" s="32"/>
      <c r="Z353" s="32"/>
    </row>
    <row r="354" spans="1:26" ht="15" customHeight="1" x14ac:dyDescent="0.3">
      <c r="A354" s="45">
        <v>845</v>
      </c>
      <c r="B354" s="46" t="s">
        <v>52</v>
      </c>
      <c r="C354" s="194" t="s">
        <v>1368</v>
      </c>
      <c r="D354" s="46"/>
      <c r="E354" s="46"/>
      <c r="F354" s="61" t="s">
        <v>31</v>
      </c>
      <c r="G354" s="288">
        <v>44</v>
      </c>
      <c r="H354" s="289">
        <v>4</v>
      </c>
      <c r="I354" s="290">
        <v>1</v>
      </c>
      <c r="J354" s="48" t="s">
        <v>213</v>
      </c>
      <c r="K354" s="50"/>
      <c r="L354" s="53" t="str">
        <f t="shared" si="48"/>
        <v>1kilos</v>
      </c>
      <c r="M354" s="54">
        <f t="shared" si="49"/>
        <v>4</v>
      </c>
      <c r="N354" s="55" t="str">
        <f t="shared" si="50"/>
        <v>4kilos</v>
      </c>
      <c r="O354" s="56">
        <f t="shared" si="51"/>
        <v>176</v>
      </c>
      <c r="P354" s="44">
        <f t="shared" si="68"/>
        <v>44</v>
      </c>
      <c r="Q354" s="66"/>
      <c r="R354" s="32" t="b">
        <f t="shared" si="69"/>
        <v>1</v>
      </c>
      <c r="S354" s="32"/>
      <c r="T354" s="32"/>
      <c r="U354" s="32"/>
      <c r="V354" s="32"/>
      <c r="W354" s="32"/>
      <c r="X354" s="32"/>
      <c r="Y354" s="32"/>
      <c r="Z354" s="32"/>
    </row>
    <row r="355" spans="1:26" ht="15" customHeight="1" x14ac:dyDescent="0.3">
      <c r="A355" s="45"/>
      <c r="B355" s="46" t="s">
        <v>52</v>
      </c>
      <c r="C355" s="194" t="s">
        <v>2023</v>
      </c>
      <c r="D355" s="46"/>
      <c r="E355" s="46"/>
      <c r="F355" s="61" t="s">
        <v>31</v>
      </c>
      <c r="G355" s="288">
        <v>65</v>
      </c>
      <c r="H355" s="289">
        <v>5</v>
      </c>
      <c r="I355" s="290">
        <v>1000</v>
      </c>
      <c r="J355" s="48" t="s">
        <v>39</v>
      </c>
      <c r="K355" s="50"/>
      <c r="L355" s="53" t="str">
        <f t="shared" si="48"/>
        <v>1000grams</v>
      </c>
      <c r="M355" s="54">
        <f t="shared" si="49"/>
        <v>5000</v>
      </c>
      <c r="N355" s="55" t="str">
        <f t="shared" si="50"/>
        <v>5000grams</v>
      </c>
      <c r="O355" s="56">
        <f t="shared" si="51"/>
        <v>325</v>
      </c>
      <c r="P355" s="12"/>
      <c r="Q355" s="12"/>
      <c r="R355" s="12"/>
      <c r="S355" s="151"/>
      <c r="T355" s="12"/>
      <c r="U355" s="12"/>
      <c r="V355" s="12"/>
      <c r="W355" s="12"/>
      <c r="X355" s="12"/>
      <c r="Y355" s="12"/>
      <c r="Z355" s="12"/>
    </row>
    <row r="356" spans="1:26" ht="15" customHeight="1" x14ac:dyDescent="0.3">
      <c r="A356" s="45">
        <v>37</v>
      </c>
      <c r="B356" s="46" t="s">
        <v>238</v>
      </c>
      <c r="C356" s="194" t="s">
        <v>29</v>
      </c>
      <c r="D356" s="46"/>
      <c r="E356" s="46" t="s">
        <v>1069</v>
      </c>
      <c r="F356" s="61" t="s">
        <v>31</v>
      </c>
      <c r="G356" s="288">
        <v>88</v>
      </c>
      <c r="H356" s="289">
        <v>2</v>
      </c>
      <c r="I356" s="290">
        <v>3500</v>
      </c>
      <c r="J356" s="48" t="s">
        <v>32</v>
      </c>
      <c r="K356" s="61" t="s">
        <v>2019</v>
      </c>
      <c r="L356" s="415" t="str">
        <f t="shared" si="48"/>
        <v>3500ml</v>
      </c>
      <c r="M356" s="416">
        <f t="shared" si="49"/>
        <v>7000</v>
      </c>
      <c r="N356" s="417" t="str">
        <f t="shared" si="50"/>
        <v>7000ml</v>
      </c>
      <c r="O356" s="418">
        <f t="shared" si="51"/>
        <v>176</v>
      </c>
      <c r="P356" s="419">
        <f t="shared" ref="P356:P359" si="70">O356/H356</f>
        <v>88</v>
      </c>
      <c r="Q356" s="66"/>
      <c r="R356" s="32"/>
      <c r="S356" s="32"/>
      <c r="T356" s="32"/>
      <c r="U356" s="32"/>
      <c r="V356" s="32"/>
      <c r="W356" s="32"/>
      <c r="X356" s="32"/>
      <c r="Y356" s="32"/>
      <c r="Z356" s="32"/>
    </row>
    <row r="357" spans="1:26" ht="15" customHeight="1" x14ac:dyDescent="0.3">
      <c r="A357" s="45">
        <v>132</v>
      </c>
      <c r="B357" s="46" t="s">
        <v>238</v>
      </c>
      <c r="C357" s="194" t="s">
        <v>2024</v>
      </c>
      <c r="D357" s="46"/>
      <c r="E357" s="46" t="s">
        <v>1069</v>
      </c>
      <c r="F357" s="61" t="s">
        <v>31</v>
      </c>
      <c r="G357" s="288">
        <v>88</v>
      </c>
      <c r="H357" s="289">
        <v>11</v>
      </c>
      <c r="I357" s="290">
        <v>3500</v>
      </c>
      <c r="J357" s="48" t="s">
        <v>32</v>
      </c>
      <c r="K357" s="50"/>
      <c r="L357" s="53" t="str">
        <f t="shared" si="48"/>
        <v>3500ml</v>
      </c>
      <c r="M357" s="54">
        <f t="shared" si="49"/>
        <v>38500</v>
      </c>
      <c r="N357" s="55" t="str">
        <f t="shared" si="50"/>
        <v>38500ml</v>
      </c>
      <c r="O357" s="56">
        <f t="shared" si="51"/>
        <v>968</v>
      </c>
      <c r="P357" s="44">
        <f t="shared" si="70"/>
        <v>88</v>
      </c>
      <c r="Q357" s="66"/>
      <c r="R357" s="32" t="b">
        <f t="shared" ref="R357:R359" si="71">P357=G357</f>
        <v>1</v>
      </c>
      <c r="S357" s="32"/>
      <c r="T357" s="32"/>
      <c r="U357" s="32"/>
      <c r="V357" s="32"/>
      <c r="W357" s="32"/>
      <c r="X357" s="32"/>
      <c r="Y357" s="32"/>
      <c r="Z357" s="32"/>
    </row>
    <row r="358" spans="1:26" ht="15" customHeight="1" x14ac:dyDescent="0.3">
      <c r="A358" s="45">
        <v>287</v>
      </c>
      <c r="B358" s="46" t="s">
        <v>238</v>
      </c>
      <c r="C358" s="194" t="s">
        <v>2025</v>
      </c>
      <c r="D358" s="46"/>
      <c r="E358" s="46" t="s">
        <v>1070</v>
      </c>
      <c r="F358" s="61" t="s">
        <v>31</v>
      </c>
      <c r="G358" s="288">
        <v>228.7</v>
      </c>
      <c r="H358" s="289">
        <v>3</v>
      </c>
      <c r="I358" s="290">
        <v>4</v>
      </c>
      <c r="J358" s="48" t="s">
        <v>773</v>
      </c>
      <c r="K358" s="50"/>
      <c r="L358" s="53" t="str">
        <f t="shared" si="48"/>
        <v>4liters</v>
      </c>
      <c r="M358" s="54">
        <f t="shared" si="49"/>
        <v>12</v>
      </c>
      <c r="N358" s="55" t="str">
        <f t="shared" si="50"/>
        <v>12liters</v>
      </c>
      <c r="O358" s="56">
        <f t="shared" si="51"/>
        <v>686.09999999999991</v>
      </c>
      <c r="P358" s="44">
        <f t="shared" si="70"/>
        <v>228.69999999999996</v>
      </c>
      <c r="Q358" s="66"/>
      <c r="R358" s="32" t="b">
        <f t="shared" si="71"/>
        <v>1</v>
      </c>
      <c r="S358" s="32"/>
      <c r="T358" s="32"/>
      <c r="U358" s="32"/>
      <c r="V358" s="32"/>
      <c r="W358" s="32"/>
      <c r="X358" s="32"/>
      <c r="Y358" s="32"/>
      <c r="Z358" s="32"/>
    </row>
    <row r="359" spans="1:26" ht="15" customHeight="1" x14ac:dyDescent="0.3">
      <c r="A359" s="45">
        <v>548</v>
      </c>
      <c r="B359" s="219" t="s">
        <v>238</v>
      </c>
      <c r="C359" s="194" t="s">
        <v>2026</v>
      </c>
      <c r="D359" s="46"/>
      <c r="E359" s="46" t="s">
        <v>1069</v>
      </c>
      <c r="F359" s="61" t="s">
        <v>31</v>
      </c>
      <c r="G359" s="288">
        <v>88</v>
      </c>
      <c r="H359" s="289">
        <v>1</v>
      </c>
      <c r="I359" s="290">
        <v>3500</v>
      </c>
      <c r="J359" s="48" t="s">
        <v>200</v>
      </c>
      <c r="K359" s="50" t="s">
        <v>2019</v>
      </c>
      <c r="L359" s="53" t="str">
        <f t="shared" si="48"/>
        <v>3500gal</v>
      </c>
      <c r="M359" s="54">
        <f t="shared" si="49"/>
        <v>3500</v>
      </c>
      <c r="N359" s="55" t="str">
        <f t="shared" si="50"/>
        <v>3500gal</v>
      </c>
      <c r="O359" s="56">
        <f t="shared" si="51"/>
        <v>88</v>
      </c>
      <c r="P359" s="44">
        <f t="shared" si="70"/>
        <v>88</v>
      </c>
      <c r="Q359" s="66">
        <f>G359-P359</f>
        <v>0</v>
      </c>
      <c r="R359" s="32" t="b">
        <f t="shared" si="71"/>
        <v>1</v>
      </c>
      <c r="S359" s="32"/>
      <c r="T359" s="32"/>
      <c r="U359" s="32"/>
      <c r="V359" s="32"/>
      <c r="W359" s="32"/>
      <c r="X359" s="32"/>
      <c r="Y359" s="32"/>
      <c r="Z359" s="32"/>
    </row>
    <row r="360" spans="1:26" ht="15" customHeight="1" x14ac:dyDescent="0.3">
      <c r="A360" s="45"/>
      <c r="B360" s="46" t="s">
        <v>238</v>
      </c>
      <c r="C360" s="194" t="s">
        <v>2023</v>
      </c>
      <c r="D360" s="46"/>
      <c r="E360" s="46" t="s">
        <v>1069</v>
      </c>
      <c r="F360" s="61" t="s">
        <v>31</v>
      </c>
      <c r="G360" s="288">
        <v>80</v>
      </c>
      <c r="H360" s="289">
        <v>13</v>
      </c>
      <c r="I360" s="290">
        <v>3500</v>
      </c>
      <c r="J360" s="48" t="s">
        <v>200</v>
      </c>
      <c r="K360" s="50"/>
      <c r="L360" s="53" t="str">
        <f t="shared" si="48"/>
        <v>3500gal</v>
      </c>
      <c r="M360" s="54">
        <f t="shared" si="49"/>
        <v>45500</v>
      </c>
      <c r="N360" s="55" t="str">
        <f t="shared" si="50"/>
        <v>45500gal</v>
      </c>
      <c r="O360" s="56">
        <f t="shared" si="51"/>
        <v>1040</v>
      </c>
      <c r="P360" s="12"/>
      <c r="Q360" s="12"/>
      <c r="R360" s="12"/>
      <c r="S360" s="151"/>
      <c r="T360" s="12"/>
      <c r="U360" s="12"/>
      <c r="V360" s="12"/>
      <c r="W360" s="12"/>
      <c r="X360" s="12"/>
      <c r="Y360" s="12"/>
      <c r="Z360" s="12"/>
    </row>
    <row r="361" spans="1:26" ht="15" customHeight="1" x14ac:dyDescent="0.3">
      <c r="A361" s="45"/>
      <c r="B361" s="46" t="s">
        <v>238</v>
      </c>
      <c r="C361" s="194" t="s">
        <v>2022</v>
      </c>
      <c r="D361" s="46"/>
      <c r="E361" s="46" t="s">
        <v>1071</v>
      </c>
      <c r="F361" s="61" t="s">
        <v>31</v>
      </c>
      <c r="G361" s="288">
        <v>85</v>
      </c>
      <c r="H361" s="289">
        <v>8</v>
      </c>
      <c r="I361" s="290">
        <v>1</v>
      </c>
      <c r="J361" s="48" t="s">
        <v>200</v>
      </c>
      <c r="K361" s="50"/>
      <c r="L361" s="53" t="str">
        <f t="shared" si="48"/>
        <v>1gal</v>
      </c>
      <c r="M361" s="54">
        <f t="shared" si="49"/>
        <v>8</v>
      </c>
      <c r="N361" s="55" t="str">
        <f t="shared" si="50"/>
        <v>8gal</v>
      </c>
      <c r="O361" s="56">
        <f t="shared" si="51"/>
        <v>680</v>
      </c>
      <c r="P361" s="12"/>
      <c r="Q361" s="12"/>
      <c r="R361" s="12"/>
      <c r="S361" s="151"/>
      <c r="T361" s="12"/>
      <c r="U361" s="12"/>
      <c r="V361" s="12"/>
      <c r="W361" s="12"/>
      <c r="X361" s="12"/>
      <c r="Y361" s="12"/>
      <c r="Z361" s="12"/>
    </row>
    <row r="362" spans="1:26" ht="15" customHeight="1" x14ac:dyDescent="0.3">
      <c r="A362" s="45"/>
      <c r="B362" s="219" t="s">
        <v>238</v>
      </c>
      <c r="C362" s="194" t="s">
        <v>2021</v>
      </c>
      <c r="D362" s="46"/>
      <c r="E362" s="46" t="s">
        <v>1069</v>
      </c>
      <c r="F362" s="61" t="s">
        <v>31</v>
      </c>
      <c r="G362" s="291">
        <v>76</v>
      </c>
      <c r="H362" s="292">
        <v>7</v>
      </c>
      <c r="I362" s="290">
        <v>3500</v>
      </c>
      <c r="J362" s="414" t="s">
        <v>200</v>
      </c>
      <c r="K362" s="50"/>
      <c r="L362" s="53" t="str">
        <f t="shared" si="48"/>
        <v>3500gal</v>
      </c>
      <c r="M362" s="54">
        <f t="shared" si="49"/>
        <v>24500</v>
      </c>
      <c r="N362" s="55" t="str">
        <f t="shared" si="50"/>
        <v>24500gal</v>
      </c>
      <c r="O362" s="56">
        <f t="shared" si="51"/>
        <v>532</v>
      </c>
      <c r="P362" s="12"/>
      <c r="Q362" s="12"/>
      <c r="R362" s="12"/>
      <c r="S362" s="151"/>
      <c r="T362" s="12"/>
      <c r="U362" s="12"/>
      <c r="V362" s="12"/>
      <c r="W362" s="12"/>
      <c r="X362" s="12"/>
      <c r="Y362" s="12"/>
      <c r="Z362" s="12"/>
    </row>
    <row r="363" spans="1:26" ht="15" customHeight="1" x14ac:dyDescent="0.3">
      <c r="A363" s="45">
        <v>906</v>
      </c>
      <c r="B363" s="46" t="s">
        <v>1072</v>
      </c>
      <c r="C363" s="194" t="s">
        <v>1368</v>
      </c>
      <c r="D363" s="46"/>
      <c r="E363" s="46"/>
      <c r="F363" s="61" t="s">
        <v>31</v>
      </c>
      <c r="G363" s="288">
        <v>100</v>
      </c>
      <c r="H363" s="289">
        <v>1</v>
      </c>
      <c r="I363" s="290">
        <v>1000</v>
      </c>
      <c r="J363" s="48" t="s">
        <v>39</v>
      </c>
      <c r="K363" s="50"/>
      <c r="L363" s="53" t="str">
        <f t="shared" si="48"/>
        <v>1000grams</v>
      </c>
      <c r="M363" s="54">
        <f t="shared" si="49"/>
        <v>1000</v>
      </c>
      <c r="N363" s="55" t="str">
        <f t="shared" si="50"/>
        <v>1000grams</v>
      </c>
      <c r="O363" s="56">
        <f t="shared" si="51"/>
        <v>100</v>
      </c>
      <c r="P363" s="44"/>
      <c r="Q363" s="66"/>
      <c r="R363" s="32"/>
      <c r="S363" s="32"/>
      <c r="T363" s="32"/>
      <c r="U363" s="32"/>
      <c r="V363" s="32"/>
      <c r="W363" s="32"/>
      <c r="X363" s="32"/>
      <c r="Y363" s="32"/>
      <c r="Z363" s="32"/>
    </row>
    <row r="364" spans="1:26" ht="15" customHeight="1" x14ac:dyDescent="0.3">
      <c r="A364" s="45">
        <v>660</v>
      </c>
      <c r="B364" s="46" t="s">
        <v>1072</v>
      </c>
      <c r="C364" s="194" t="s">
        <v>2026</v>
      </c>
      <c r="D364" s="46"/>
      <c r="E364" s="46"/>
      <c r="F364" s="61" t="s">
        <v>31</v>
      </c>
      <c r="G364" s="288">
        <v>160</v>
      </c>
      <c r="H364" s="289">
        <v>1</v>
      </c>
      <c r="I364" s="290">
        <v>1000</v>
      </c>
      <c r="J364" s="48" t="s">
        <v>39</v>
      </c>
      <c r="K364" s="50"/>
      <c r="L364" s="53" t="str">
        <f t="shared" si="48"/>
        <v>1000grams</v>
      </c>
      <c r="M364" s="54">
        <f t="shared" si="49"/>
        <v>1000</v>
      </c>
      <c r="N364" s="55" t="str">
        <f t="shared" si="50"/>
        <v>1000grams</v>
      </c>
      <c r="O364" s="56">
        <f t="shared" si="51"/>
        <v>160</v>
      </c>
      <c r="P364" s="44">
        <f>O364/H364</f>
        <v>160</v>
      </c>
      <c r="Q364" s="66"/>
      <c r="R364" s="32"/>
      <c r="S364" s="32"/>
      <c r="T364" s="32"/>
      <c r="U364" s="32"/>
      <c r="V364" s="32"/>
      <c r="W364" s="32"/>
      <c r="X364" s="32"/>
      <c r="Y364" s="32"/>
      <c r="Z364" s="32"/>
    </row>
    <row r="365" spans="1:26" ht="15" customHeight="1" x14ac:dyDescent="0.3">
      <c r="A365" s="45"/>
      <c r="B365" s="46" t="s">
        <v>1072</v>
      </c>
      <c r="C365" s="194" t="s">
        <v>2023</v>
      </c>
      <c r="D365" s="46"/>
      <c r="E365" s="46"/>
      <c r="F365" s="61" t="s">
        <v>31</v>
      </c>
      <c r="G365" s="288">
        <v>235</v>
      </c>
      <c r="H365" s="289">
        <v>1</v>
      </c>
      <c r="I365" s="290">
        <v>1000</v>
      </c>
      <c r="J365" s="48" t="s">
        <v>39</v>
      </c>
      <c r="K365" s="50"/>
      <c r="L365" s="53" t="str">
        <f t="shared" si="48"/>
        <v>1000grams</v>
      </c>
      <c r="M365" s="54">
        <f t="shared" si="49"/>
        <v>1000</v>
      </c>
      <c r="N365" s="55" t="str">
        <f t="shared" si="50"/>
        <v>1000grams</v>
      </c>
      <c r="O365" s="56">
        <f t="shared" si="51"/>
        <v>235</v>
      </c>
      <c r="P365" s="44"/>
      <c r="Q365" s="12"/>
      <c r="R365" s="12"/>
      <c r="S365" s="151"/>
      <c r="T365" s="12"/>
      <c r="U365" s="12"/>
      <c r="V365" s="12"/>
      <c r="W365" s="12"/>
      <c r="X365" s="12"/>
      <c r="Y365" s="12"/>
      <c r="Z365" s="12"/>
    </row>
    <row r="366" spans="1:26" ht="15" customHeight="1" x14ac:dyDescent="0.3">
      <c r="A366" s="45"/>
      <c r="B366" s="219" t="s">
        <v>1073</v>
      </c>
      <c r="C366" s="194" t="s">
        <v>2021</v>
      </c>
      <c r="D366" s="46"/>
      <c r="E366" s="219" t="s">
        <v>1074</v>
      </c>
      <c r="F366" s="61" t="s">
        <v>31</v>
      </c>
      <c r="G366" s="291">
        <v>18.5</v>
      </c>
      <c r="H366" s="292">
        <v>4</v>
      </c>
      <c r="I366" s="293">
        <v>30</v>
      </c>
      <c r="J366" s="414" t="s">
        <v>39</v>
      </c>
      <c r="K366" s="50"/>
      <c r="L366" s="53" t="str">
        <f t="shared" si="48"/>
        <v>30grams</v>
      </c>
      <c r="M366" s="54">
        <f t="shared" si="49"/>
        <v>120</v>
      </c>
      <c r="N366" s="55" t="str">
        <f t="shared" si="50"/>
        <v>120grams</v>
      </c>
      <c r="O366" s="56">
        <f t="shared" si="51"/>
        <v>74</v>
      </c>
      <c r="P366" s="12"/>
      <c r="Q366" s="12"/>
      <c r="R366" s="12"/>
      <c r="S366" s="151"/>
      <c r="T366" s="12"/>
      <c r="U366" s="12"/>
      <c r="V366" s="12"/>
      <c r="W366" s="12"/>
      <c r="X366" s="12"/>
      <c r="Y366" s="12"/>
      <c r="Z366" s="12"/>
    </row>
    <row r="367" spans="1:26" ht="15" customHeight="1" x14ac:dyDescent="0.3">
      <c r="A367" s="45">
        <v>735</v>
      </c>
      <c r="B367" s="46" t="s">
        <v>530</v>
      </c>
      <c r="C367" s="194" t="s">
        <v>2026</v>
      </c>
      <c r="D367" s="46"/>
      <c r="E367" s="219" t="s">
        <v>854</v>
      </c>
      <c r="F367" s="61" t="s">
        <v>31</v>
      </c>
      <c r="G367" s="288">
        <v>69</v>
      </c>
      <c r="H367" s="289">
        <v>1</v>
      </c>
      <c r="I367" s="290">
        <v>26</v>
      </c>
      <c r="J367" s="48" t="s">
        <v>39</v>
      </c>
      <c r="K367" s="50" t="s">
        <v>2019</v>
      </c>
      <c r="L367" s="53" t="str">
        <f t="shared" si="48"/>
        <v>26grams</v>
      </c>
      <c r="M367" s="54">
        <f t="shared" si="49"/>
        <v>26</v>
      </c>
      <c r="N367" s="55" t="str">
        <f t="shared" si="50"/>
        <v>26grams</v>
      </c>
      <c r="O367" s="56">
        <f t="shared" si="51"/>
        <v>69</v>
      </c>
      <c r="P367" s="44">
        <f>O367/H367</f>
        <v>69</v>
      </c>
      <c r="Q367" s="66">
        <f>G367-P367</f>
        <v>0</v>
      </c>
      <c r="R367" s="32" t="b">
        <f>P367=G367</f>
        <v>1</v>
      </c>
      <c r="S367" s="32"/>
      <c r="T367" s="32"/>
      <c r="U367" s="32"/>
      <c r="V367" s="32"/>
      <c r="W367" s="32"/>
      <c r="X367" s="32"/>
      <c r="Y367" s="32"/>
      <c r="Z367" s="32"/>
    </row>
    <row r="368" spans="1:26" ht="15" customHeight="1" x14ac:dyDescent="0.3">
      <c r="A368" s="45"/>
      <c r="B368" s="219" t="s">
        <v>530</v>
      </c>
      <c r="C368" s="194" t="s">
        <v>2021</v>
      </c>
      <c r="D368" s="46"/>
      <c r="E368" s="219" t="s">
        <v>854</v>
      </c>
      <c r="F368" s="61" t="s">
        <v>31</v>
      </c>
      <c r="G368" s="291">
        <v>65.5</v>
      </c>
      <c r="H368" s="303">
        <v>2</v>
      </c>
      <c r="I368" s="293">
        <v>26</v>
      </c>
      <c r="J368" s="414" t="s">
        <v>39</v>
      </c>
      <c r="K368" s="50"/>
      <c r="L368" s="53" t="str">
        <f t="shared" si="48"/>
        <v>26grams</v>
      </c>
      <c r="M368" s="54">
        <f t="shared" si="49"/>
        <v>52</v>
      </c>
      <c r="N368" s="55" t="str">
        <f t="shared" si="50"/>
        <v>52grams</v>
      </c>
      <c r="O368" s="56">
        <f t="shared" si="51"/>
        <v>131</v>
      </c>
      <c r="P368" s="12"/>
      <c r="Q368" s="12"/>
      <c r="R368" s="12"/>
      <c r="S368" s="151"/>
      <c r="T368" s="12"/>
      <c r="U368" s="12"/>
      <c r="V368" s="12"/>
      <c r="W368" s="12"/>
      <c r="X368" s="12"/>
      <c r="Y368" s="12"/>
      <c r="Z368" s="12"/>
    </row>
    <row r="369" spans="1:26" ht="15" customHeight="1" x14ac:dyDescent="0.3">
      <c r="A369" s="45"/>
      <c r="B369" s="46" t="s">
        <v>1075</v>
      </c>
      <c r="C369" s="194" t="s">
        <v>2020</v>
      </c>
      <c r="D369" s="46"/>
      <c r="E369" s="46" t="s">
        <v>1076</v>
      </c>
      <c r="F369" s="61" t="s">
        <v>31</v>
      </c>
      <c r="G369" s="288">
        <v>8.6999999999999993</v>
      </c>
      <c r="H369" s="289">
        <v>31</v>
      </c>
      <c r="I369" s="290">
        <v>40</v>
      </c>
      <c r="J369" s="48" t="s">
        <v>39</v>
      </c>
      <c r="K369" s="50"/>
      <c r="L369" s="53" t="str">
        <f t="shared" si="48"/>
        <v>40grams</v>
      </c>
      <c r="M369" s="54">
        <f t="shared" si="49"/>
        <v>1240</v>
      </c>
      <c r="N369" s="55" t="str">
        <f t="shared" si="50"/>
        <v>1240grams</v>
      </c>
      <c r="O369" s="56">
        <f t="shared" si="51"/>
        <v>269.7</v>
      </c>
      <c r="P369" s="12"/>
      <c r="Q369" s="12"/>
      <c r="R369" s="12"/>
      <c r="S369" s="151"/>
      <c r="T369" s="12"/>
      <c r="U369" s="12"/>
      <c r="V369" s="12"/>
      <c r="W369" s="12"/>
      <c r="X369" s="12"/>
      <c r="Y369" s="12"/>
      <c r="Z369" s="12"/>
    </row>
    <row r="370" spans="1:26" ht="15" customHeight="1" x14ac:dyDescent="0.3">
      <c r="A370" s="45"/>
      <c r="B370" s="46" t="s">
        <v>1077</v>
      </c>
      <c r="C370" s="194" t="s">
        <v>2022</v>
      </c>
      <c r="D370" s="46"/>
      <c r="E370" s="219" t="s">
        <v>1078</v>
      </c>
      <c r="F370" s="61" t="s">
        <v>31</v>
      </c>
      <c r="G370" s="288">
        <v>8.6999999999999993</v>
      </c>
      <c r="H370" s="289">
        <v>2</v>
      </c>
      <c r="I370" s="290">
        <v>40</v>
      </c>
      <c r="J370" s="48" t="s">
        <v>39</v>
      </c>
      <c r="K370" s="50"/>
      <c r="L370" s="53" t="str">
        <f t="shared" si="48"/>
        <v>40grams</v>
      </c>
      <c r="M370" s="54">
        <f t="shared" si="49"/>
        <v>80</v>
      </c>
      <c r="N370" s="55" t="str">
        <f t="shared" si="50"/>
        <v>80grams</v>
      </c>
      <c r="O370" s="56">
        <f t="shared" si="51"/>
        <v>17.399999999999999</v>
      </c>
      <c r="P370" s="12"/>
      <c r="Q370" s="12"/>
      <c r="R370" s="12"/>
      <c r="S370" s="151"/>
      <c r="T370" s="12"/>
      <c r="U370" s="12"/>
      <c r="V370" s="12"/>
      <c r="W370" s="12"/>
      <c r="X370" s="12"/>
      <c r="Y370" s="12"/>
      <c r="Z370" s="12"/>
    </row>
    <row r="371" spans="1:26" ht="15" customHeight="1" x14ac:dyDescent="0.3">
      <c r="A371" s="45"/>
      <c r="B371" s="46" t="s">
        <v>1079</v>
      </c>
      <c r="C371" s="194" t="s">
        <v>2022</v>
      </c>
      <c r="D371" s="46"/>
      <c r="E371" s="219" t="s">
        <v>1080</v>
      </c>
      <c r="F371" s="61" t="s">
        <v>31</v>
      </c>
      <c r="G371" s="288">
        <v>8.6999999999999993</v>
      </c>
      <c r="H371" s="289">
        <v>45</v>
      </c>
      <c r="I371" s="290">
        <v>40</v>
      </c>
      <c r="J371" s="48" t="s">
        <v>39</v>
      </c>
      <c r="K371" s="50"/>
      <c r="L371" s="53" t="str">
        <f t="shared" si="48"/>
        <v>40grams</v>
      </c>
      <c r="M371" s="54">
        <f t="shared" si="49"/>
        <v>1800</v>
      </c>
      <c r="N371" s="55" t="str">
        <f t="shared" si="50"/>
        <v>1800grams</v>
      </c>
      <c r="O371" s="56">
        <f t="shared" si="51"/>
        <v>391.49999999999994</v>
      </c>
      <c r="P371" s="12"/>
      <c r="Q371" s="12"/>
      <c r="R371" s="12"/>
      <c r="S371" s="151"/>
      <c r="T371" s="12"/>
      <c r="U371" s="12"/>
      <c r="V371" s="12"/>
      <c r="W371" s="12"/>
      <c r="X371" s="12"/>
      <c r="Y371" s="12"/>
      <c r="Z371" s="12"/>
    </row>
    <row r="372" spans="1:26" ht="15" customHeight="1" x14ac:dyDescent="0.3">
      <c r="A372" s="45"/>
      <c r="B372" s="46" t="s">
        <v>1079</v>
      </c>
      <c r="C372" s="194" t="s">
        <v>2021</v>
      </c>
      <c r="D372" s="46"/>
      <c r="E372" s="219" t="s">
        <v>1080</v>
      </c>
      <c r="F372" s="61" t="s">
        <v>31</v>
      </c>
      <c r="G372" s="291">
        <v>8.6999999999999993</v>
      </c>
      <c r="H372" s="292">
        <v>6</v>
      </c>
      <c r="I372" s="293">
        <v>40</v>
      </c>
      <c r="J372" s="414" t="s">
        <v>39</v>
      </c>
      <c r="K372" s="50"/>
      <c r="L372" s="53" t="str">
        <f t="shared" si="48"/>
        <v>40grams</v>
      </c>
      <c r="M372" s="54">
        <f t="shared" si="49"/>
        <v>240</v>
      </c>
      <c r="N372" s="55" t="str">
        <f t="shared" si="50"/>
        <v>240grams</v>
      </c>
      <c r="O372" s="56">
        <f t="shared" si="51"/>
        <v>52.199999999999996</v>
      </c>
      <c r="P372" s="12"/>
      <c r="Q372" s="12"/>
      <c r="R372" s="12"/>
      <c r="S372" s="151"/>
      <c r="T372" s="12"/>
      <c r="U372" s="12"/>
      <c r="V372" s="12"/>
      <c r="W372" s="12"/>
      <c r="X372" s="12"/>
      <c r="Y372" s="12"/>
      <c r="Z372" s="12"/>
    </row>
    <row r="373" spans="1:26" ht="15" customHeight="1" x14ac:dyDescent="0.3">
      <c r="A373" s="45"/>
      <c r="B373" s="46" t="s">
        <v>1079</v>
      </c>
      <c r="C373" s="194" t="s">
        <v>2020</v>
      </c>
      <c r="D373" s="46"/>
      <c r="E373" s="219" t="s">
        <v>1080</v>
      </c>
      <c r="F373" s="61" t="s">
        <v>31</v>
      </c>
      <c r="G373" s="288">
        <v>8.6999999999999993</v>
      </c>
      <c r="H373" s="289">
        <v>52</v>
      </c>
      <c r="I373" s="290">
        <v>40</v>
      </c>
      <c r="J373" s="48" t="s">
        <v>39</v>
      </c>
      <c r="K373" s="50"/>
      <c r="L373" s="53" t="str">
        <f t="shared" si="48"/>
        <v>40grams</v>
      </c>
      <c r="M373" s="54">
        <f t="shared" si="49"/>
        <v>2080</v>
      </c>
      <c r="N373" s="55" t="str">
        <f t="shared" si="50"/>
        <v>2080grams</v>
      </c>
      <c r="O373" s="56">
        <f t="shared" si="51"/>
        <v>452.4</v>
      </c>
      <c r="P373" s="12"/>
      <c r="Q373" s="12"/>
      <c r="R373" s="12"/>
      <c r="S373" s="151"/>
      <c r="T373" s="12"/>
      <c r="U373" s="12"/>
      <c r="V373" s="12"/>
      <c r="W373" s="12"/>
      <c r="X373" s="12"/>
      <c r="Y373" s="12"/>
      <c r="Z373" s="12"/>
    </row>
    <row r="374" spans="1:26" ht="15" customHeight="1" x14ac:dyDescent="0.3">
      <c r="A374" s="45"/>
      <c r="B374" s="46" t="s">
        <v>1081</v>
      </c>
      <c r="C374" s="194" t="s">
        <v>2023</v>
      </c>
      <c r="D374" s="46"/>
      <c r="E374" s="46" t="s">
        <v>1082</v>
      </c>
      <c r="F374" s="61" t="s">
        <v>31</v>
      </c>
      <c r="G374" s="288">
        <v>95</v>
      </c>
      <c r="H374" s="289">
        <v>2</v>
      </c>
      <c r="I374" s="290">
        <v>200</v>
      </c>
      <c r="J374" s="48" t="s">
        <v>39</v>
      </c>
      <c r="K374" s="50"/>
      <c r="L374" s="53" t="str">
        <f t="shared" si="48"/>
        <v>200grams</v>
      </c>
      <c r="M374" s="54">
        <f t="shared" si="49"/>
        <v>400</v>
      </c>
      <c r="N374" s="55" t="str">
        <f t="shared" si="50"/>
        <v>400grams</v>
      </c>
      <c r="O374" s="56">
        <f t="shared" si="51"/>
        <v>190</v>
      </c>
      <c r="P374" s="44"/>
      <c r="Q374" s="12"/>
      <c r="R374" s="12"/>
      <c r="S374" s="151"/>
      <c r="T374" s="12"/>
      <c r="U374" s="12"/>
      <c r="V374" s="12"/>
      <c r="W374" s="12"/>
      <c r="X374" s="12"/>
      <c r="Y374" s="12"/>
      <c r="Z374" s="12"/>
    </row>
    <row r="375" spans="1:26" ht="15" customHeight="1" x14ac:dyDescent="0.3">
      <c r="A375" s="45">
        <v>6</v>
      </c>
      <c r="B375" s="46" t="s">
        <v>53</v>
      </c>
      <c r="C375" s="194" t="s">
        <v>29</v>
      </c>
      <c r="D375" s="46"/>
      <c r="E375" s="46" t="s">
        <v>1083</v>
      </c>
      <c r="F375" s="61" t="s">
        <v>31</v>
      </c>
      <c r="G375" s="288">
        <v>36.4</v>
      </c>
      <c r="H375" s="289">
        <v>5</v>
      </c>
      <c r="I375" s="290">
        <v>160</v>
      </c>
      <c r="J375" s="48" t="s">
        <v>39</v>
      </c>
      <c r="K375" s="61" t="s">
        <v>2019</v>
      </c>
      <c r="L375" s="415" t="str">
        <f t="shared" si="48"/>
        <v>160grams</v>
      </c>
      <c r="M375" s="416">
        <f t="shared" si="49"/>
        <v>800</v>
      </c>
      <c r="N375" s="417" t="str">
        <f t="shared" si="50"/>
        <v>800grams</v>
      </c>
      <c r="O375" s="418">
        <f t="shared" si="51"/>
        <v>182</v>
      </c>
      <c r="P375" s="419">
        <f t="shared" ref="P375:P379" si="72">O375/H375</f>
        <v>36.4</v>
      </c>
      <c r="Q375" s="66"/>
      <c r="R375" s="95"/>
      <c r="S375" s="32"/>
      <c r="T375" s="32"/>
      <c r="U375" s="32"/>
      <c r="V375" s="32"/>
      <c r="W375" s="32"/>
      <c r="X375" s="32"/>
      <c r="Y375" s="32"/>
      <c r="Z375" s="32"/>
    </row>
    <row r="376" spans="1:26" ht="15" customHeight="1" x14ac:dyDescent="0.3">
      <c r="A376" s="45">
        <v>164</v>
      </c>
      <c r="B376" s="46" t="s">
        <v>53</v>
      </c>
      <c r="C376" s="194" t="s">
        <v>2024</v>
      </c>
      <c r="D376" s="46"/>
      <c r="E376" s="46" t="s">
        <v>1083</v>
      </c>
      <c r="F376" s="61" t="s">
        <v>31</v>
      </c>
      <c r="G376" s="288">
        <v>35.5</v>
      </c>
      <c r="H376" s="289">
        <v>3</v>
      </c>
      <c r="I376" s="290">
        <v>160</v>
      </c>
      <c r="J376" s="48" t="s">
        <v>39</v>
      </c>
      <c r="K376" s="50"/>
      <c r="L376" s="53" t="str">
        <f t="shared" si="48"/>
        <v>160grams</v>
      </c>
      <c r="M376" s="54">
        <f t="shared" si="49"/>
        <v>480</v>
      </c>
      <c r="N376" s="55" t="str">
        <f t="shared" si="50"/>
        <v>480grams</v>
      </c>
      <c r="O376" s="56">
        <f t="shared" si="51"/>
        <v>106.5</v>
      </c>
      <c r="P376" s="44">
        <f t="shared" si="72"/>
        <v>35.5</v>
      </c>
      <c r="Q376" s="66"/>
      <c r="R376" s="32"/>
      <c r="S376" s="32"/>
      <c r="T376" s="32"/>
      <c r="U376" s="32"/>
      <c r="V376" s="32"/>
      <c r="W376" s="32"/>
      <c r="X376" s="32"/>
      <c r="Y376" s="32"/>
      <c r="Z376" s="32"/>
    </row>
    <row r="377" spans="1:26" ht="15" customHeight="1" x14ac:dyDescent="0.3">
      <c r="A377" s="45">
        <v>332</v>
      </c>
      <c r="B377" s="46" t="s">
        <v>53</v>
      </c>
      <c r="C377" s="194" t="s">
        <v>2025</v>
      </c>
      <c r="D377" s="46"/>
      <c r="E377" s="46" t="s">
        <v>1083</v>
      </c>
      <c r="F377" s="61" t="s">
        <v>31</v>
      </c>
      <c r="G377" s="288">
        <v>35.5</v>
      </c>
      <c r="H377" s="289">
        <v>0</v>
      </c>
      <c r="I377" s="290">
        <v>160</v>
      </c>
      <c r="J377" s="48" t="s">
        <v>39</v>
      </c>
      <c r="K377" s="50"/>
      <c r="L377" s="53" t="str">
        <f t="shared" si="48"/>
        <v>160grams</v>
      </c>
      <c r="M377" s="54">
        <f t="shared" si="49"/>
        <v>0</v>
      </c>
      <c r="N377" s="55" t="str">
        <f t="shared" si="50"/>
        <v>0grams</v>
      </c>
      <c r="O377" s="56">
        <f t="shared" si="51"/>
        <v>0</v>
      </c>
      <c r="P377" s="44" t="e">
        <f t="shared" si="72"/>
        <v>#DIV/0!</v>
      </c>
      <c r="Q377" s="66"/>
      <c r="R377" s="32" t="e">
        <f t="shared" ref="R377:R378" si="73">P377=G377</f>
        <v>#DIV/0!</v>
      </c>
      <c r="S377" s="32"/>
      <c r="T377" s="32"/>
      <c r="U377" s="32"/>
      <c r="V377" s="32"/>
      <c r="W377" s="32"/>
      <c r="X377" s="32"/>
      <c r="Y377" s="32"/>
      <c r="Z377" s="32"/>
    </row>
    <row r="378" spans="1:26" ht="15" customHeight="1" x14ac:dyDescent="0.3">
      <c r="A378" s="45">
        <v>681</v>
      </c>
      <c r="B378" s="46" t="s">
        <v>53</v>
      </c>
      <c r="C378" s="194" t="s">
        <v>2026</v>
      </c>
      <c r="D378" s="46"/>
      <c r="E378" s="46" t="s">
        <v>1083</v>
      </c>
      <c r="F378" s="61" t="s">
        <v>31</v>
      </c>
      <c r="G378" s="288">
        <v>35.5</v>
      </c>
      <c r="H378" s="289">
        <v>17</v>
      </c>
      <c r="I378" s="290">
        <v>160</v>
      </c>
      <c r="J378" s="48" t="s">
        <v>39</v>
      </c>
      <c r="K378" s="50" t="s">
        <v>2019</v>
      </c>
      <c r="L378" s="53" t="str">
        <f t="shared" si="48"/>
        <v>160grams</v>
      </c>
      <c r="M378" s="54">
        <f t="shared" si="49"/>
        <v>2720</v>
      </c>
      <c r="N378" s="55" t="str">
        <f t="shared" si="50"/>
        <v>2720grams</v>
      </c>
      <c r="O378" s="56">
        <f t="shared" si="51"/>
        <v>603.5</v>
      </c>
      <c r="P378" s="44">
        <f t="shared" si="72"/>
        <v>35.5</v>
      </c>
      <c r="Q378" s="66">
        <f>G378-P378</f>
        <v>0</v>
      </c>
      <c r="R378" s="32" t="b">
        <f t="shared" si="73"/>
        <v>1</v>
      </c>
      <c r="S378" s="32"/>
      <c r="T378" s="32"/>
      <c r="U378" s="32"/>
      <c r="V378" s="32"/>
      <c r="W378" s="32"/>
      <c r="X378" s="32"/>
      <c r="Y378" s="32"/>
      <c r="Z378" s="32"/>
    </row>
    <row r="379" spans="1:26" ht="15" customHeight="1" x14ac:dyDescent="0.3">
      <c r="A379" s="45">
        <v>854</v>
      </c>
      <c r="B379" s="46" t="s">
        <v>53</v>
      </c>
      <c r="C379" s="194" t="s">
        <v>1368</v>
      </c>
      <c r="D379" s="46"/>
      <c r="E379" s="46" t="s">
        <v>1084</v>
      </c>
      <c r="F379" s="61" t="s">
        <v>31</v>
      </c>
      <c r="G379" s="288">
        <v>56.5</v>
      </c>
      <c r="H379" s="289">
        <v>3</v>
      </c>
      <c r="I379" s="290">
        <v>165</v>
      </c>
      <c r="J379" s="48" t="s">
        <v>39</v>
      </c>
      <c r="K379" s="50"/>
      <c r="L379" s="53" t="str">
        <f t="shared" si="48"/>
        <v>165grams</v>
      </c>
      <c r="M379" s="54">
        <f t="shared" si="49"/>
        <v>495</v>
      </c>
      <c r="N379" s="55" t="str">
        <f t="shared" si="50"/>
        <v>495grams</v>
      </c>
      <c r="O379" s="56">
        <f t="shared" si="51"/>
        <v>169.5</v>
      </c>
      <c r="P379" s="44">
        <f t="shared" si="72"/>
        <v>56.5</v>
      </c>
      <c r="Q379" s="66"/>
      <c r="R379" s="32"/>
      <c r="S379" s="32"/>
      <c r="T379" s="32"/>
      <c r="U379" s="32"/>
      <c r="V379" s="32"/>
      <c r="W379" s="32"/>
      <c r="X379" s="32"/>
      <c r="Y379" s="32"/>
      <c r="Z379" s="32"/>
    </row>
    <row r="380" spans="1:26" ht="15" customHeight="1" x14ac:dyDescent="0.3">
      <c r="A380" s="45"/>
      <c r="B380" s="46" t="s">
        <v>53</v>
      </c>
      <c r="C380" s="194" t="s">
        <v>2021</v>
      </c>
      <c r="D380" s="46"/>
      <c r="E380" s="46" t="s">
        <v>1084</v>
      </c>
      <c r="F380" s="61" t="s">
        <v>31</v>
      </c>
      <c r="G380" s="291">
        <v>135</v>
      </c>
      <c r="H380" s="292">
        <v>4</v>
      </c>
      <c r="I380" s="293">
        <v>430</v>
      </c>
      <c r="J380" s="414" t="s">
        <v>39</v>
      </c>
      <c r="K380" s="50"/>
      <c r="L380" s="53" t="str">
        <f t="shared" si="48"/>
        <v>430grams</v>
      </c>
      <c r="M380" s="54">
        <f t="shared" si="49"/>
        <v>1720</v>
      </c>
      <c r="N380" s="55" t="str">
        <f t="shared" si="50"/>
        <v>1720grams</v>
      </c>
      <c r="O380" s="56">
        <f t="shared" si="51"/>
        <v>540</v>
      </c>
      <c r="P380" s="12"/>
      <c r="Q380" s="12"/>
      <c r="R380" s="12"/>
      <c r="S380" s="151"/>
      <c r="T380" s="12"/>
      <c r="U380" s="12"/>
      <c r="V380" s="12"/>
      <c r="W380" s="12"/>
      <c r="X380" s="12"/>
      <c r="Y380" s="12"/>
      <c r="Z380" s="12"/>
    </row>
    <row r="381" spans="1:26" ht="15" customHeight="1" x14ac:dyDescent="0.3">
      <c r="A381" s="45"/>
      <c r="B381" s="46" t="s">
        <v>53</v>
      </c>
      <c r="C381" s="194" t="s">
        <v>2020</v>
      </c>
      <c r="D381" s="46"/>
      <c r="E381" s="46" t="s">
        <v>1085</v>
      </c>
      <c r="F381" s="61" t="s">
        <v>31</v>
      </c>
      <c r="G381" s="288">
        <v>36.700000000000003</v>
      </c>
      <c r="H381" s="289">
        <v>1</v>
      </c>
      <c r="I381" s="290">
        <v>160</v>
      </c>
      <c r="J381" s="48" t="s">
        <v>39</v>
      </c>
      <c r="K381" s="50"/>
      <c r="L381" s="53" t="str">
        <f t="shared" si="48"/>
        <v>160grams</v>
      </c>
      <c r="M381" s="54">
        <f t="shared" si="49"/>
        <v>160</v>
      </c>
      <c r="N381" s="55" t="str">
        <f t="shared" si="50"/>
        <v>160grams</v>
      </c>
      <c r="O381" s="56">
        <f t="shared" si="51"/>
        <v>36.700000000000003</v>
      </c>
      <c r="P381" s="12"/>
      <c r="Q381" s="12"/>
      <c r="R381" s="12"/>
      <c r="S381" s="151"/>
      <c r="T381" s="12"/>
      <c r="U381" s="12"/>
      <c r="V381" s="12"/>
      <c r="W381" s="12"/>
      <c r="X381" s="12"/>
      <c r="Y381" s="12"/>
      <c r="Z381" s="12"/>
    </row>
    <row r="382" spans="1:26" ht="15" customHeight="1" x14ac:dyDescent="0.3">
      <c r="A382" s="45">
        <v>870</v>
      </c>
      <c r="B382" s="46" t="s">
        <v>53</v>
      </c>
      <c r="C382" s="194" t="s">
        <v>1368</v>
      </c>
      <c r="D382" s="46"/>
      <c r="E382" s="46" t="s">
        <v>1083</v>
      </c>
      <c r="F382" s="61" t="s">
        <v>31</v>
      </c>
      <c r="G382" s="288">
        <v>105</v>
      </c>
      <c r="H382" s="289">
        <v>2</v>
      </c>
      <c r="I382" s="290">
        <v>430</v>
      </c>
      <c r="J382" s="48" t="s">
        <v>39</v>
      </c>
      <c r="K382" s="50"/>
      <c r="L382" s="53" t="str">
        <f t="shared" si="48"/>
        <v>430grams</v>
      </c>
      <c r="M382" s="54">
        <f t="shared" si="49"/>
        <v>860</v>
      </c>
      <c r="N382" s="55" t="str">
        <f t="shared" si="50"/>
        <v>860grams</v>
      </c>
      <c r="O382" s="56">
        <f t="shared" si="51"/>
        <v>210</v>
      </c>
      <c r="P382" s="44">
        <f>O382/H382</f>
        <v>105</v>
      </c>
      <c r="Q382" s="66"/>
      <c r="R382" s="32" t="b">
        <f>P382=G382</f>
        <v>1</v>
      </c>
      <c r="S382" s="32"/>
      <c r="T382" s="32"/>
      <c r="U382" s="32"/>
      <c r="V382" s="32"/>
      <c r="W382" s="32"/>
      <c r="X382" s="32"/>
      <c r="Y382" s="32"/>
      <c r="Z382" s="32"/>
    </row>
    <row r="383" spans="1:26" ht="15" customHeight="1" x14ac:dyDescent="0.3">
      <c r="A383" s="45">
        <v>898</v>
      </c>
      <c r="B383" s="46" t="s">
        <v>53</v>
      </c>
      <c r="C383" s="194" t="s">
        <v>1368</v>
      </c>
      <c r="D383" s="46"/>
      <c r="E383" s="46" t="s">
        <v>1083</v>
      </c>
      <c r="F383" s="61" t="s">
        <v>31</v>
      </c>
      <c r="G383" s="288">
        <v>40</v>
      </c>
      <c r="H383" s="289">
        <v>1</v>
      </c>
      <c r="I383" s="290">
        <v>165</v>
      </c>
      <c r="J383" s="48" t="s">
        <v>39</v>
      </c>
      <c r="K383" s="50"/>
      <c r="L383" s="53" t="str">
        <f t="shared" si="48"/>
        <v>165grams</v>
      </c>
      <c r="M383" s="54">
        <f t="shared" si="49"/>
        <v>165</v>
      </c>
      <c r="N383" s="55" t="str">
        <f t="shared" si="50"/>
        <v>165grams</v>
      </c>
      <c r="O383" s="56">
        <f t="shared" si="51"/>
        <v>40</v>
      </c>
      <c r="P383" s="44"/>
      <c r="Q383" s="66"/>
      <c r="R383" s="32"/>
      <c r="S383" s="32"/>
      <c r="T383" s="32"/>
      <c r="U383" s="32"/>
      <c r="V383" s="32"/>
      <c r="W383" s="32"/>
      <c r="X383" s="32"/>
      <c r="Y383" s="32"/>
      <c r="Z383" s="32"/>
    </row>
    <row r="384" spans="1:26" ht="15" customHeight="1" x14ac:dyDescent="0.3">
      <c r="A384" s="45">
        <v>825</v>
      </c>
      <c r="B384" s="46" t="s">
        <v>1086</v>
      </c>
      <c r="C384" s="194" t="s">
        <v>1368</v>
      </c>
      <c r="D384" s="46"/>
      <c r="E384" s="46" t="s">
        <v>1084</v>
      </c>
      <c r="F384" s="61" t="s">
        <v>31</v>
      </c>
      <c r="G384" s="288">
        <v>120</v>
      </c>
      <c r="H384" s="289">
        <v>6</v>
      </c>
      <c r="I384" s="290">
        <v>200</v>
      </c>
      <c r="J384" s="48" t="s">
        <v>39</v>
      </c>
      <c r="K384" s="50"/>
      <c r="L384" s="53" t="str">
        <f t="shared" si="48"/>
        <v>200grams</v>
      </c>
      <c r="M384" s="54">
        <f t="shared" si="49"/>
        <v>1200</v>
      </c>
      <c r="N384" s="55" t="str">
        <f t="shared" si="50"/>
        <v>1200grams</v>
      </c>
      <c r="O384" s="56">
        <f t="shared" si="51"/>
        <v>720</v>
      </c>
      <c r="P384" s="44">
        <f t="shared" ref="P384:P387" si="74">O384/H384</f>
        <v>120</v>
      </c>
      <c r="Q384" s="66"/>
      <c r="R384" s="32" t="b">
        <f t="shared" ref="R384:R387" si="75">P384=G384</f>
        <v>1</v>
      </c>
      <c r="S384" s="32"/>
      <c r="T384" s="32"/>
      <c r="U384" s="32"/>
      <c r="V384" s="32"/>
      <c r="W384" s="32"/>
      <c r="X384" s="32"/>
      <c r="Y384" s="32"/>
      <c r="Z384" s="32"/>
    </row>
    <row r="385" spans="1:26" ht="15" customHeight="1" x14ac:dyDescent="0.3">
      <c r="A385" s="45">
        <v>828</v>
      </c>
      <c r="B385" s="46" t="s">
        <v>1086</v>
      </c>
      <c r="C385" s="194" t="s">
        <v>1368</v>
      </c>
      <c r="D385" s="46"/>
      <c r="E385" s="46" t="s">
        <v>1087</v>
      </c>
      <c r="F385" s="61" t="s">
        <v>31</v>
      </c>
      <c r="G385" s="288">
        <v>79</v>
      </c>
      <c r="H385" s="289">
        <v>5</v>
      </c>
      <c r="I385" s="290">
        <v>250</v>
      </c>
      <c r="J385" s="48" t="s">
        <v>39</v>
      </c>
      <c r="K385" s="50" t="s">
        <v>2019</v>
      </c>
      <c r="L385" s="53" t="str">
        <f t="shared" si="48"/>
        <v>250grams</v>
      </c>
      <c r="M385" s="54">
        <f t="shared" si="49"/>
        <v>1250</v>
      </c>
      <c r="N385" s="55" t="str">
        <f t="shared" si="50"/>
        <v>1250grams</v>
      </c>
      <c r="O385" s="56">
        <f t="shared" si="51"/>
        <v>395</v>
      </c>
      <c r="P385" s="44">
        <f t="shared" si="74"/>
        <v>79</v>
      </c>
      <c r="Q385" s="66">
        <f t="shared" ref="Q385:Q387" si="76">G385-P385</f>
        <v>0</v>
      </c>
      <c r="R385" s="32" t="b">
        <f t="shared" si="75"/>
        <v>1</v>
      </c>
      <c r="S385" s="32"/>
      <c r="T385" s="32"/>
      <c r="U385" s="32"/>
      <c r="V385" s="32"/>
      <c r="W385" s="32"/>
      <c r="X385" s="32"/>
      <c r="Y385" s="32"/>
      <c r="Z385" s="32"/>
    </row>
    <row r="386" spans="1:26" ht="15" customHeight="1" x14ac:dyDescent="0.3">
      <c r="A386" s="45">
        <v>38</v>
      </c>
      <c r="B386" s="46" t="s">
        <v>240</v>
      </c>
      <c r="C386" s="194" t="s">
        <v>29</v>
      </c>
      <c r="D386" s="46"/>
      <c r="E386" s="46" t="s">
        <v>1088</v>
      </c>
      <c r="F386" s="61" t="s">
        <v>31</v>
      </c>
      <c r="G386" s="288">
        <v>88</v>
      </c>
      <c r="H386" s="289">
        <v>1</v>
      </c>
      <c r="I386" s="290">
        <v>250</v>
      </c>
      <c r="J386" s="422" t="s">
        <v>39</v>
      </c>
      <c r="K386" s="61" t="s">
        <v>2019</v>
      </c>
      <c r="L386" s="415" t="str">
        <f t="shared" si="48"/>
        <v>250grams</v>
      </c>
      <c r="M386" s="416">
        <f t="shared" si="49"/>
        <v>250</v>
      </c>
      <c r="N386" s="417" t="str">
        <f t="shared" si="50"/>
        <v>250grams</v>
      </c>
      <c r="O386" s="418">
        <f t="shared" si="51"/>
        <v>88</v>
      </c>
      <c r="P386" s="419">
        <f t="shared" si="74"/>
        <v>88</v>
      </c>
      <c r="Q386" s="44">
        <f t="shared" si="76"/>
        <v>0</v>
      </c>
      <c r="R386" s="32" t="b">
        <f t="shared" si="75"/>
        <v>1</v>
      </c>
      <c r="S386" s="32"/>
      <c r="T386" s="32"/>
      <c r="U386" s="32"/>
      <c r="V386" s="32"/>
      <c r="W386" s="32"/>
      <c r="X386" s="32"/>
      <c r="Y386" s="32"/>
      <c r="Z386" s="32"/>
    </row>
    <row r="387" spans="1:26" ht="15" customHeight="1" x14ac:dyDescent="0.3">
      <c r="A387" s="45">
        <v>333</v>
      </c>
      <c r="B387" s="46" t="s">
        <v>240</v>
      </c>
      <c r="C387" s="194" t="s">
        <v>2025</v>
      </c>
      <c r="D387" s="46"/>
      <c r="E387" s="46" t="s">
        <v>1089</v>
      </c>
      <c r="F387" s="61" t="s">
        <v>31</v>
      </c>
      <c r="G387" s="288">
        <v>40</v>
      </c>
      <c r="H387" s="289">
        <v>1</v>
      </c>
      <c r="I387" s="290">
        <v>200</v>
      </c>
      <c r="J387" s="48" t="s">
        <v>39</v>
      </c>
      <c r="K387" s="50" t="s">
        <v>2019</v>
      </c>
      <c r="L387" s="53" t="str">
        <f t="shared" si="48"/>
        <v>200grams</v>
      </c>
      <c r="M387" s="54">
        <f t="shared" si="49"/>
        <v>200</v>
      </c>
      <c r="N387" s="55" t="str">
        <f t="shared" si="50"/>
        <v>200grams</v>
      </c>
      <c r="O387" s="56">
        <f t="shared" si="51"/>
        <v>40</v>
      </c>
      <c r="P387" s="44">
        <f t="shared" si="74"/>
        <v>40</v>
      </c>
      <c r="Q387" s="44">
        <f t="shared" si="76"/>
        <v>0</v>
      </c>
      <c r="R387" s="32" t="b">
        <f t="shared" si="75"/>
        <v>1</v>
      </c>
      <c r="S387" s="32"/>
      <c r="T387" s="32"/>
      <c r="U387" s="32"/>
      <c r="V387" s="32"/>
      <c r="W387" s="32"/>
      <c r="X387" s="32"/>
      <c r="Y387" s="32"/>
      <c r="Z387" s="32"/>
    </row>
    <row r="388" spans="1:26" ht="15" customHeight="1" x14ac:dyDescent="0.3">
      <c r="A388" s="45"/>
      <c r="B388" s="219" t="s">
        <v>240</v>
      </c>
      <c r="C388" s="194" t="s">
        <v>2021</v>
      </c>
      <c r="D388" s="46"/>
      <c r="E388" s="219" t="s">
        <v>1088</v>
      </c>
      <c r="F388" s="61" t="s">
        <v>31</v>
      </c>
      <c r="G388" s="291">
        <v>88</v>
      </c>
      <c r="H388" s="292">
        <v>1</v>
      </c>
      <c r="I388" s="293">
        <v>250</v>
      </c>
      <c r="J388" s="436" t="s">
        <v>39</v>
      </c>
      <c r="K388" s="50"/>
      <c r="L388" s="53" t="str">
        <f t="shared" si="48"/>
        <v>250grams</v>
      </c>
      <c r="M388" s="54">
        <f t="shared" si="49"/>
        <v>250</v>
      </c>
      <c r="N388" s="55" t="str">
        <f t="shared" si="50"/>
        <v>250grams</v>
      </c>
      <c r="O388" s="56">
        <f t="shared" si="51"/>
        <v>88</v>
      </c>
      <c r="P388" s="12"/>
      <c r="Q388" s="12"/>
      <c r="R388" s="12"/>
      <c r="S388" s="151"/>
      <c r="T388" s="12"/>
      <c r="U388" s="12"/>
      <c r="V388" s="12"/>
      <c r="W388" s="12"/>
      <c r="X388" s="12"/>
      <c r="Y388" s="12"/>
      <c r="Z388" s="12"/>
    </row>
    <row r="389" spans="1:26" ht="15" customHeight="1" x14ac:dyDescent="0.3">
      <c r="A389" s="45">
        <v>283</v>
      </c>
      <c r="B389" s="46" t="s">
        <v>1090</v>
      </c>
      <c r="C389" s="194" t="s">
        <v>2025</v>
      </c>
      <c r="D389" s="46"/>
      <c r="E389" s="46" t="s">
        <v>1068</v>
      </c>
      <c r="F389" s="61" t="s">
        <v>31</v>
      </c>
      <c r="G389" s="288">
        <v>15</v>
      </c>
      <c r="H389" s="289">
        <v>3</v>
      </c>
      <c r="I389" s="290">
        <v>30</v>
      </c>
      <c r="J389" s="48" t="s">
        <v>39</v>
      </c>
      <c r="K389" s="50" t="s">
        <v>2019</v>
      </c>
      <c r="L389" s="53" t="str">
        <f t="shared" si="48"/>
        <v>30grams</v>
      </c>
      <c r="M389" s="54">
        <f t="shared" si="49"/>
        <v>90</v>
      </c>
      <c r="N389" s="55" t="str">
        <f t="shared" si="50"/>
        <v>90grams</v>
      </c>
      <c r="O389" s="56">
        <f t="shared" si="51"/>
        <v>45</v>
      </c>
      <c r="P389" s="44">
        <f>O389/H389</f>
        <v>15</v>
      </c>
      <c r="Q389" s="44">
        <f>G389-P389</f>
        <v>0</v>
      </c>
      <c r="R389" s="32" t="b">
        <f>P389=G389</f>
        <v>1</v>
      </c>
      <c r="S389" s="32"/>
      <c r="T389" s="32"/>
      <c r="U389" s="32"/>
      <c r="V389" s="32"/>
      <c r="W389" s="32"/>
      <c r="X389" s="32"/>
      <c r="Y389" s="32"/>
      <c r="Z389" s="32"/>
    </row>
    <row r="390" spans="1:26" ht="15" customHeight="1" x14ac:dyDescent="0.3">
      <c r="A390" s="45"/>
      <c r="B390" s="46" t="s">
        <v>1090</v>
      </c>
      <c r="C390" s="194" t="s">
        <v>2020</v>
      </c>
      <c r="D390" s="46"/>
      <c r="E390" s="46" t="s">
        <v>1004</v>
      </c>
      <c r="F390" s="61" t="s">
        <v>31</v>
      </c>
      <c r="G390" s="288">
        <v>55</v>
      </c>
      <c r="H390" s="289">
        <v>22</v>
      </c>
      <c r="I390" s="290">
        <v>1</v>
      </c>
      <c r="J390" s="48" t="s">
        <v>304</v>
      </c>
      <c r="K390" s="50"/>
      <c r="L390" s="53" t="str">
        <f t="shared" si="48"/>
        <v>1packs</v>
      </c>
      <c r="M390" s="54">
        <f t="shared" si="49"/>
        <v>22</v>
      </c>
      <c r="N390" s="55" t="str">
        <f t="shared" si="50"/>
        <v>22packs</v>
      </c>
      <c r="O390" s="56">
        <f t="shared" si="51"/>
        <v>1210</v>
      </c>
      <c r="P390" s="12"/>
      <c r="Q390" s="12"/>
      <c r="R390" s="12"/>
      <c r="S390" s="151"/>
      <c r="T390" s="12"/>
      <c r="U390" s="12"/>
      <c r="V390" s="12"/>
      <c r="W390" s="12"/>
      <c r="X390" s="12"/>
      <c r="Y390" s="12"/>
      <c r="Z390" s="12"/>
    </row>
    <row r="391" spans="1:26" ht="15" customHeight="1" x14ac:dyDescent="0.3">
      <c r="A391" s="45">
        <v>284</v>
      </c>
      <c r="B391" s="46" t="s">
        <v>1091</v>
      </c>
      <c r="C391" s="194" t="s">
        <v>2025</v>
      </c>
      <c r="D391" s="46"/>
      <c r="E391" s="46" t="s">
        <v>1068</v>
      </c>
      <c r="F391" s="61" t="s">
        <v>31</v>
      </c>
      <c r="G391" s="288">
        <v>60</v>
      </c>
      <c r="H391" s="289">
        <v>1</v>
      </c>
      <c r="I391" s="290">
        <v>1</v>
      </c>
      <c r="J391" s="48" t="s">
        <v>213</v>
      </c>
      <c r="K391" s="50" t="s">
        <v>2019</v>
      </c>
      <c r="L391" s="53" t="str">
        <f t="shared" si="48"/>
        <v>1kilos</v>
      </c>
      <c r="M391" s="54">
        <f t="shared" si="49"/>
        <v>1</v>
      </c>
      <c r="N391" s="55" t="str">
        <f t="shared" si="50"/>
        <v>1kilos</v>
      </c>
      <c r="O391" s="56">
        <f t="shared" si="51"/>
        <v>60</v>
      </c>
      <c r="P391" s="44">
        <f t="shared" ref="P391:P395" si="77">O391/H391</f>
        <v>60</v>
      </c>
      <c r="Q391" s="44">
        <f>G391-P391</f>
        <v>0</v>
      </c>
      <c r="R391" s="32" t="b">
        <f t="shared" ref="R391:R392" si="78">P391=G391</f>
        <v>1</v>
      </c>
      <c r="S391" s="32"/>
      <c r="T391" s="32"/>
      <c r="U391" s="32"/>
      <c r="V391" s="32"/>
      <c r="W391" s="32"/>
      <c r="X391" s="32"/>
      <c r="Y391" s="32"/>
      <c r="Z391" s="32"/>
    </row>
    <row r="392" spans="1:26" ht="15" customHeight="1" x14ac:dyDescent="0.3">
      <c r="A392" s="45">
        <v>176</v>
      </c>
      <c r="B392" s="46" t="s">
        <v>1092</v>
      </c>
      <c r="C392" s="194" t="s">
        <v>2024</v>
      </c>
      <c r="D392" s="46"/>
      <c r="E392" s="46"/>
      <c r="F392" s="61" t="s">
        <v>31</v>
      </c>
      <c r="G392" s="288">
        <v>220</v>
      </c>
      <c r="H392" s="289">
        <v>2</v>
      </c>
      <c r="I392" s="290">
        <v>1000</v>
      </c>
      <c r="J392" s="48" t="s">
        <v>39</v>
      </c>
      <c r="K392" s="50"/>
      <c r="L392" s="53" t="str">
        <f t="shared" si="48"/>
        <v>1000grams</v>
      </c>
      <c r="M392" s="54">
        <f t="shared" si="49"/>
        <v>2000</v>
      </c>
      <c r="N392" s="55" t="str">
        <f t="shared" si="50"/>
        <v>2000grams</v>
      </c>
      <c r="O392" s="56">
        <f t="shared" si="51"/>
        <v>440</v>
      </c>
      <c r="P392" s="44">
        <f t="shared" si="77"/>
        <v>220</v>
      </c>
      <c r="Q392" s="66"/>
      <c r="R392" s="32" t="b">
        <f t="shared" si="78"/>
        <v>1</v>
      </c>
      <c r="S392" s="32"/>
      <c r="T392" s="32"/>
      <c r="U392" s="32"/>
      <c r="V392" s="32"/>
      <c r="W392" s="32"/>
      <c r="X392" s="32"/>
      <c r="Y392" s="32"/>
      <c r="Z392" s="32"/>
    </row>
    <row r="393" spans="1:26" ht="15" customHeight="1" x14ac:dyDescent="0.3">
      <c r="A393" s="45">
        <v>23</v>
      </c>
      <c r="B393" s="46" t="s">
        <v>1093</v>
      </c>
      <c r="C393" s="194" t="s">
        <v>29</v>
      </c>
      <c r="D393" s="46"/>
      <c r="E393" s="46"/>
      <c r="F393" s="61" t="s">
        <v>31</v>
      </c>
      <c r="G393" s="288">
        <v>290</v>
      </c>
      <c r="H393" s="289">
        <v>3</v>
      </c>
      <c r="I393" s="290">
        <v>1</v>
      </c>
      <c r="J393" s="48" t="s">
        <v>213</v>
      </c>
      <c r="K393" s="61" t="s">
        <v>2019</v>
      </c>
      <c r="L393" s="415" t="str">
        <f t="shared" si="48"/>
        <v>1kilos</v>
      </c>
      <c r="M393" s="416">
        <f t="shared" si="49"/>
        <v>3</v>
      </c>
      <c r="N393" s="417" t="str">
        <f t="shared" si="50"/>
        <v>3kilos</v>
      </c>
      <c r="O393" s="418">
        <f t="shared" si="51"/>
        <v>870</v>
      </c>
      <c r="P393" s="419">
        <f t="shared" si="77"/>
        <v>290</v>
      </c>
      <c r="Q393" s="66"/>
      <c r="R393" s="32"/>
      <c r="S393" s="32"/>
      <c r="T393" s="32"/>
      <c r="U393" s="32"/>
      <c r="V393" s="32"/>
      <c r="W393" s="32"/>
      <c r="X393" s="32"/>
      <c r="Y393" s="32"/>
      <c r="Z393" s="32"/>
    </row>
    <row r="394" spans="1:26" ht="15" customHeight="1" x14ac:dyDescent="0.3">
      <c r="A394" s="45">
        <v>25</v>
      </c>
      <c r="B394" s="46" t="s">
        <v>1094</v>
      </c>
      <c r="C394" s="194" t="s">
        <v>29</v>
      </c>
      <c r="D394" s="46"/>
      <c r="E394" s="46"/>
      <c r="F394" s="61" t="s">
        <v>31</v>
      </c>
      <c r="G394" s="288">
        <v>190</v>
      </c>
      <c r="H394" s="289">
        <v>6</v>
      </c>
      <c r="I394" s="290">
        <v>1</v>
      </c>
      <c r="J394" s="48" t="s">
        <v>213</v>
      </c>
      <c r="K394" s="61" t="s">
        <v>2019</v>
      </c>
      <c r="L394" s="415" t="str">
        <f t="shared" si="48"/>
        <v>1kilos</v>
      </c>
      <c r="M394" s="416">
        <f t="shared" si="49"/>
        <v>6</v>
      </c>
      <c r="N394" s="417" t="str">
        <f t="shared" si="50"/>
        <v>6kilos</v>
      </c>
      <c r="O394" s="418">
        <f t="shared" si="51"/>
        <v>1140</v>
      </c>
      <c r="P394" s="419">
        <f t="shared" si="77"/>
        <v>190</v>
      </c>
      <c r="Q394" s="66"/>
      <c r="R394" s="32" t="b">
        <f t="shared" ref="R394:R395" si="79">P394=G394</f>
        <v>1</v>
      </c>
      <c r="S394" s="32"/>
      <c r="T394" s="32"/>
      <c r="U394" s="32"/>
      <c r="V394" s="32"/>
      <c r="W394" s="32"/>
      <c r="X394" s="32"/>
      <c r="Y394" s="32"/>
      <c r="Z394" s="32"/>
    </row>
    <row r="395" spans="1:26" ht="15" customHeight="1" x14ac:dyDescent="0.3">
      <c r="A395" s="45">
        <v>712</v>
      </c>
      <c r="B395" s="46" t="s">
        <v>1094</v>
      </c>
      <c r="C395" s="194" t="s">
        <v>2026</v>
      </c>
      <c r="D395" s="46"/>
      <c r="E395" s="46"/>
      <c r="F395" s="61" t="s">
        <v>31</v>
      </c>
      <c r="G395" s="288">
        <v>170</v>
      </c>
      <c r="H395" s="289">
        <v>7</v>
      </c>
      <c r="I395" s="290">
        <v>1</v>
      </c>
      <c r="J395" s="48" t="s">
        <v>213</v>
      </c>
      <c r="K395" s="50"/>
      <c r="L395" s="53" t="str">
        <f t="shared" si="48"/>
        <v>1kilos</v>
      </c>
      <c r="M395" s="54">
        <f t="shared" si="49"/>
        <v>7</v>
      </c>
      <c r="N395" s="55" t="str">
        <f t="shared" si="50"/>
        <v>7kilos</v>
      </c>
      <c r="O395" s="56">
        <f t="shared" si="51"/>
        <v>1190</v>
      </c>
      <c r="P395" s="44">
        <f t="shared" si="77"/>
        <v>170</v>
      </c>
      <c r="Q395" s="66"/>
      <c r="R395" s="32" t="b">
        <f t="shared" si="79"/>
        <v>1</v>
      </c>
      <c r="S395" s="32"/>
      <c r="T395" s="32"/>
      <c r="U395" s="32"/>
      <c r="V395" s="32"/>
      <c r="W395" s="32"/>
      <c r="X395" s="32"/>
      <c r="Y395" s="32"/>
      <c r="Z395" s="32"/>
    </row>
    <row r="396" spans="1:26" ht="15" customHeight="1" x14ac:dyDescent="0.3">
      <c r="A396" s="45"/>
      <c r="B396" s="46" t="s">
        <v>1094</v>
      </c>
      <c r="C396" s="194" t="s">
        <v>2021</v>
      </c>
      <c r="D396" s="46"/>
      <c r="E396" s="219"/>
      <c r="F396" s="61" t="s">
        <v>31</v>
      </c>
      <c r="G396" s="291">
        <v>190</v>
      </c>
      <c r="H396" s="292">
        <v>11</v>
      </c>
      <c r="I396" s="293">
        <v>1</v>
      </c>
      <c r="J396" s="414" t="s">
        <v>213</v>
      </c>
      <c r="K396" s="50"/>
      <c r="L396" s="53" t="str">
        <f t="shared" si="48"/>
        <v>1kilos</v>
      </c>
      <c r="M396" s="54">
        <f t="shared" si="49"/>
        <v>11</v>
      </c>
      <c r="N396" s="55" t="str">
        <f t="shared" si="50"/>
        <v>11kilos</v>
      </c>
      <c r="O396" s="56">
        <f t="shared" si="51"/>
        <v>2090</v>
      </c>
      <c r="P396" s="12"/>
      <c r="Q396" s="12"/>
      <c r="R396" s="12"/>
      <c r="S396" s="151"/>
      <c r="T396" s="12"/>
      <c r="U396" s="12"/>
      <c r="V396" s="12"/>
      <c r="W396" s="12"/>
      <c r="X396" s="12"/>
      <c r="Y396" s="12"/>
      <c r="Z396" s="12"/>
    </row>
    <row r="397" spans="1:26" ht="15" customHeight="1" x14ac:dyDescent="0.3">
      <c r="A397" s="45"/>
      <c r="B397" s="46" t="s">
        <v>1093</v>
      </c>
      <c r="C397" s="194" t="s">
        <v>2021</v>
      </c>
      <c r="D397" s="46"/>
      <c r="E397" s="219"/>
      <c r="F397" s="61" t="s">
        <v>31</v>
      </c>
      <c r="G397" s="291">
        <v>265</v>
      </c>
      <c r="H397" s="292">
        <v>2</v>
      </c>
      <c r="I397" s="293">
        <v>1</v>
      </c>
      <c r="J397" s="414" t="s">
        <v>213</v>
      </c>
      <c r="K397" s="50"/>
      <c r="L397" s="53" t="str">
        <f t="shared" si="48"/>
        <v>1kilos</v>
      </c>
      <c r="M397" s="54">
        <f t="shared" si="49"/>
        <v>2</v>
      </c>
      <c r="N397" s="55" t="str">
        <f t="shared" si="50"/>
        <v>2kilos</v>
      </c>
      <c r="O397" s="56">
        <f t="shared" si="51"/>
        <v>530</v>
      </c>
      <c r="P397" s="12"/>
      <c r="Q397" s="12"/>
      <c r="R397" s="12"/>
      <c r="S397" s="151"/>
      <c r="T397" s="12"/>
      <c r="U397" s="12"/>
      <c r="V397" s="12"/>
      <c r="W397" s="12"/>
      <c r="X397" s="12"/>
      <c r="Y397" s="12"/>
      <c r="Z397" s="12"/>
    </row>
    <row r="398" spans="1:26" ht="15" customHeight="1" x14ac:dyDescent="0.3">
      <c r="A398" s="45"/>
      <c r="B398" s="46" t="s">
        <v>1095</v>
      </c>
      <c r="C398" s="194" t="s">
        <v>2022</v>
      </c>
      <c r="D398" s="46"/>
      <c r="E398" s="46" t="s">
        <v>850</v>
      </c>
      <c r="F398" s="61" t="s">
        <v>31</v>
      </c>
      <c r="G398" s="288">
        <v>265</v>
      </c>
      <c r="H398" s="289">
        <v>7</v>
      </c>
      <c r="I398" s="290">
        <v>1000</v>
      </c>
      <c r="J398" s="48" t="s">
        <v>39</v>
      </c>
      <c r="K398" s="50"/>
      <c r="L398" s="53" t="str">
        <f t="shared" si="48"/>
        <v>1000grams</v>
      </c>
      <c r="M398" s="54">
        <f t="shared" si="49"/>
        <v>7000</v>
      </c>
      <c r="N398" s="55" t="str">
        <f t="shared" si="50"/>
        <v>7000grams</v>
      </c>
      <c r="O398" s="56">
        <f t="shared" si="51"/>
        <v>1855</v>
      </c>
      <c r="P398" s="12"/>
      <c r="Q398" s="12"/>
      <c r="R398" s="12"/>
      <c r="S398" s="151"/>
      <c r="T398" s="12"/>
      <c r="U398" s="12"/>
      <c r="V398" s="12"/>
      <c r="W398" s="12"/>
      <c r="X398" s="12"/>
      <c r="Y398" s="12"/>
      <c r="Z398" s="12"/>
    </row>
    <row r="399" spans="1:26" ht="15" customHeight="1" x14ac:dyDescent="0.3">
      <c r="A399" s="45">
        <v>456</v>
      </c>
      <c r="B399" s="46" t="s">
        <v>1096</v>
      </c>
      <c r="C399" s="194" t="s">
        <v>2025</v>
      </c>
      <c r="D399" s="46"/>
      <c r="E399" s="46"/>
      <c r="F399" s="61" t="s">
        <v>31</v>
      </c>
      <c r="G399" s="288">
        <v>150</v>
      </c>
      <c r="H399" s="289">
        <v>56</v>
      </c>
      <c r="I399" s="290">
        <v>1</v>
      </c>
      <c r="J399" s="48" t="s">
        <v>213</v>
      </c>
      <c r="K399" s="50"/>
      <c r="L399" s="53" t="str">
        <f t="shared" si="48"/>
        <v>1kilos</v>
      </c>
      <c r="M399" s="54">
        <f t="shared" si="49"/>
        <v>56</v>
      </c>
      <c r="N399" s="55" t="str">
        <f t="shared" si="50"/>
        <v>56kilos</v>
      </c>
      <c r="O399" s="56">
        <f t="shared" si="51"/>
        <v>8400</v>
      </c>
      <c r="P399" s="44">
        <f t="shared" ref="P399:P402" si="80">O399/H399</f>
        <v>150</v>
      </c>
      <c r="Q399" s="66"/>
      <c r="R399" s="32" t="b">
        <f t="shared" ref="R399:R400" si="81">P399=G399</f>
        <v>1</v>
      </c>
      <c r="S399" s="32"/>
      <c r="T399" s="32"/>
      <c r="U399" s="32"/>
      <c r="V399" s="32"/>
      <c r="W399" s="32"/>
      <c r="X399" s="32"/>
      <c r="Y399" s="32"/>
      <c r="Z399" s="32"/>
    </row>
    <row r="400" spans="1:26" ht="15" customHeight="1" x14ac:dyDescent="0.3">
      <c r="A400" s="45">
        <v>24</v>
      </c>
      <c r="B400" s="46" t="s">
        <v>1097</v>
      </c>
      <c r="C400" s="194" t="s">
        <v>29</v>
      </c>
      <c r="D400" s="46"/>
      <c r="E400" s="46"/>
      <c r="F400" s="61" t="s">
        <v>31</v>
      </c>
      <c r="G400" s="288">
        <v>134</v>
      </c>
      <c r="H400" s="289">
        <v>4</v>
      </c>
      <c r="I400" s="290">
        <v>1</v>
      </c>
      <c r="J400" s="48" t="s">
        <v>213</v>
      </c>
      <c r="K400" s="61" t="s">
        <v>2019</v>
      </c>
      <c r="L400" s="415" t="str">
        <f t="shared" si="48"/>
        <v>1kilos</v>
      </c>
      <c r="M400" s="416">
        <f t="shared" si="49"/>
        <v>4</v>
      </c>
      <c r="N400" s="417" t="str">
        <f t="shared" si="50"/>
        <v>4kilos</v>
      </c>
      <c r="O400" s="418">
        <f t="shared" si="51"/>
        <v>536</v>
      </c>
      <c r="P400" s="419">
        <f t="shared" si="80"/>
        <v>134</v>
      </c>
      <c r="Q400" s="66"/>
      <c r="R400" s="32" t="b">
        <f t="shared" si="81"/>
        <v>1</v>
      </c>
      <c r="S400" s="32"/>
      <c r="T400" s="32"/>
      <c r="U400" s="32"/>
      <c r="V400" s="32"/>
      <c r="W400" s="32"/>
      <c r="X400" s="32"/>
      <c r="Y400" s="32"/>
      <c r="Z400" s="32"/>
    </row>
    <row r="401" spans="1:26" ht="15" customHeight="1" x14ac:dyDescent="0.3">
      <c r="A401" s="45">
        <v>103</v>
      </c>
      <c r="B401" s="46" t="s">
        <v>1097</v>
      </c>
      <c r="C401" s="194" t="s">
        <v>2024</v>
      </c>
      <c r="D401" s="46"/>
      <c r="E401" s="46"/>
      <c r="F401" s="61" t="s">
        <v>31</v>
      </c>
      <c r="G401" s="288">
        <v>134</v>
      </c>
      <c r="H401" s="289">
        <v>38</v>
      </c>
      <c r="I401" s="290">
        <v>1</v>
      </c>
      <c r="J401" s="48" t="s">
        <v>213</v>
      </c>
      <c r="K401" s="50"/>
      <c r="L401" s="53" t="str">
        <f t="shared" si="48"/>
        <v>1kilos</v>
      </c>
      <c r="M401" s="54">
        <f t="shared" si="49"/>
        <v>38</v>
      </c>
      <c r="N401" s="55" t="str">
        <f t="shared" si="50"/>
        <v>38kilos</v>
      </c>
      <c r="O401" s="56">
        <f t="shared" si="51"/>
        <v>5092</v>
      </c>
      <c r="P401" s="44">
        <f t="shared" si="80"/>
        <v>134</v>
      </c>
      <c r="Q401" s="66"/>
      <c r="R401" s="32"/>
      <c r="S401" s="32"/>
      <c r="T401" s="32"/>
      <c r="U401" s="32"/>
      <c r="V401" s="32"/>
      <c r="W401" s="32"/>
      <c r="X401" s="32"/>
      <c r="Y401" s="32"/>
      <c r="Z401" s="32"/>
    </row>
    <row r="402" spans="1:26" ht="15" customHeight="1" x14ac:dyDescent="0.3">
      <c r="A402" s="45">
        <v>540</v>
      </c>
      <c r="B402" s="46" t="s">
        <v>1097</v>
      </c>
      <c r="C402" s="194" t="s">
        <v>2026</v>
      </c>
      <c r="D402" s="46"/>
      <c r="E402" s="46"/>
      <c r="F402" s="61" t="s">
        <v>31</v>
      </c>
      <c r="G402" s="288">
        <v>134</v>
      </c>
      <c r="H402" s="289">
        <v>115</v>
      </c>
      <c r="I402" s="290">
        <v>1</v>
      </c>
      <c r="J402" s="48" t="s">
        <v>213</v>
      </c>
      <c r="K402" s="50"/>
      <c r="L402" s="53" t="str">
        <f t="shared" si="48"/>
        <v>1kilos</v>
      </c>
      <c r="M402" s="54">
        <f t="shared" si="49"/>
        <v>115</v>
      </c>
      <c r="N402" s="55" t="str">
        <f t="shared" si="50"/>
        <v>115kilos</v>
      </c>
      <c r="O402" s="56">
        <f t="shared" si="51"/>
        <v>15410</v>
      </c>
      <c r="P402" s="44">
        <f t="shared" si="80"/>
        <v>134</v>
      </c>
      <c r="Q402" s="66"/>
      <c r="R402" s="32" t="b">
        <f>P402=G402</f>
        <v>1</v>
      </c>
      <c r="S402" s="32"/>
      <c r="T402" s="32"/>
      <c r="U402" s="32"/>
      <c r="V402" s="32"/>
      <c r="W402" s="32"/>
      <c r="X402" s="32"/>
      <c r="Y402" s="32"/>
      <c r="Z402" s="32"/>
    </row>
    <row r="403" spans="1:26" ht="15" customHeight="1" x14ac:dyDescent="0.3">
      <c r="A403" s="45"/>
      <c r="B403" s="46" t="s">
        <v>1097</v>
      </c>
      <c r="C403" s="194" t="s">
        <v>2023</v>
      </c>
      <c r="D403" s="46"/>
      <c r="E403" s="46"/>
      <c r="F403" s="61" t="s">
        <v>31</v>
      </c>
      <c r="G403" s="288">
        <v>134</v>
      </c>
      <c r="H403" s="289">
        <v>64</v>
      </c>
      <c r="I403" s="290">
        <v>1</v>
      </c>
      <c r="J403" s="48" t="s">
        <v>213</v>
      </c>
      <c r="K403" s="50"/>
      <c r="L403" s="53" t="str">
        <f t="shared" si="48"/>
        <v>1kilos</v>
      </c>
      <c r="M403" s="54">
        <f t="shared" si="49"/>
        <v>64</v>
      </c>
      <c r="N403" s="55" t="str">
        <f t="shared" si="50"/>
        <v>64kilos</v>
      </c>
      <c r="O403" s="56">
        <f t="shared" si="51"/>
        <v>8576</v>
      </c>
      <c r="P403" s="12"/>
      <c r="Q403" s="12"/>
      <c r="R403" s="12"/>
      <c r="S403" s="151"/>
      <c r="T403" s="12"/>
      <c r="U403" s="12"/>
      <c r="V403" s="12"/>
      <c r="W403" s="12"/>
      <c r="X403" s="12"/>
      <c r="Y403" s="12"/>
      <c r="Z403" s="12"/>
    </row>
    <row r="404" spans="1:26" ht="15" customHeight="1" x14ac:dyDescent="0.3">
      <c r="A404" s="45"/>
      <c r="B404" s="46" t="s">
        <v>1097</v>
      </c>
      <c r="C404" s="194" t="s">
        <v>2020</v>
      </c>
      <c r="D404" s="46"/>
      <c r="E404" s="46" t="s">
        <v>1098</v>
      </c>
      <c r="F404" s="61" t="s">
        <v>31</v>
      </c>
      <c r="G404" s="288">
        <v>145</v>
      </c>
      <c r="H404" s="289">
        <v>11</v>
      </c>
      <c r="I404" s="290">
        <v>1000</v>
      </c>
      <c r="J404" s="48" t="s">
        <v>213</v>
      </c>
      <c r="K404" s="50"/>
      <c r="L404" s="53" t="str">
        <f t="shared" si="48"/>
        <v>1000kilos</v>
      </c>
      <c r="M404" s="54">
        <f t="shared" si="49"/>
        <v>11000</v>
      </c>
      <c r="N404" s="55" t="str">
        <f t="shared" si="50"/>
        <v>11000kilos</v>
      </c>
      <c r="O404" s="56">
        <f t="shared" si="51"/>
        <v>1595</v>
      </c>
      <c r="P404" s="12"/>
      <c r="Q404" s="12"/>
      <c r="R404" s="12"/>
      <c r="S404" s="151"/>
      <c r="T404" s="12"/>
      <c r="U404" s="12"/>
      <c r="V404" s="12"/>
      <c r="W404" s="12"/>
      <c r="X404" s="12"/>
      <c r="Y404" s="12"/>
      <c r="Z404" s="12"/>
    </row>
    <row r="405" spans="1:26" ht="15" customHeight="1" x14ac:dyDescent="0.3">
      <c r="A405" s="45"/>
      <c r="B405" s="46" t="s">
        <v>1099</v>
      </c>
      <c r="C405" s="194" t="s">
        <v>2022</v>
      </c>
      <c r="D405" s="46"/>
      <c r="E405" s="46" t="s">
        <v>850</v>
      </c>
      <c r="F405" s="61" t="s">
        <v>31</v>
      </c>
      <c r="G405" s="288">
        <v>190</v>
      </c>
      <c r="H405" s="289">
        <v>12</v>
      </c>
      <c r="I405" s="290">
        <v>1000</v>
      </c>
      <c r="J405" s="48" t="s">
        <v>39</v>
      </c>
      <c r="K405" s="50"/>
      <c r="L405" s="53" t="str">
        <f t="shared" si="48"/>
        <v>1000grams</v>
      </c>
      <c r="M405" s="54">
        <f t="shared" si="49"/>
        <v>12000</v>
      </c>
      <c r="N405" s="55" t="str">
        <f t="shared" si="50"/>
        <v>12000grams</v>
      </c>
      <c r="O405" s="56">
        <f t="shared" si="51"/>
        <v>2280</v>
      </c>
      <c r="P405" s="12"/>
      <c r="Q405" s="12"/>
      <c r="R405" s="12"/>
      <c r="S405" s="151"/>
      <c r="T405" s="12"/>
      <c r="U405" s="12"/>
      <c r="V405" s="12"/>
      <c r="W405" s="12"/>
      <c r="X405" s="12"/>
      <c r="Y405" s="12"/>
      <c r="Z405" s="12"/>
    </row>
    <row r="406" spans="1:26" ht="15" customHeight="1" x14ac:dyDescent="0.3">
      <c r="A406" s="45">
        <v>457</v>
      </c>
      <c r="B406" s="46" t="s">
        <v>1094</v>
      </c>
      <c r="C406" s="194" t="s">
        <v>2025</v>
      </c>
      <c r="D406" s="46"/>
      <c r="E406" s="46"/>
      <c r="F406" s="61" t="s">
        <v>31</v>
      </c>
      <c r="G406" s="288">
        <v>185</v>
      </c>
      <c r="H406" s="289">
        <v>50</v>
      </c>
      <c r="I406" s="290">
        <v>1</v>
      </c>
      <c r="J406" s="48" t="s">
        <v>213</v>
      </c>
      <c r="K406" s="50" t="s">
        <v>2019</v>
      </c>
      <c r="L406" s="53" t="str">
        <f t="shared" si="48"/>
        <v>1kilos</v>
      </c>
      <c r="M406" s="54">
        <f t="shared" si="49"/>
        <v>50</v>
      </c>
      <c r="N406" s="55" t="str">
        <f t="shared" si="50"/>
        <v>50kilos</v>
      </c>
      <c r="O406" s="56">
        <f t="shared" si="51"/>
        <v>9250</v>
      </c>
      <c r="P406" s="44">
        <f t="shared" ref="P406:P407" si="82">O406/H406</f>
        <v>185</v>
      </c>
      <c r="Q406" s="66">
        <f>G406-P406</f>
        <v>0</v>
      </c>
      <c r="R406" s="32" t="b">
        <f t="shared" ref="R406:R407" si="83">P406=G406</f>
        <v>1</v>
      </c>
      <c r="S406" s="32"/>
      <c r="T406" s="32"/>
      <c r="U406" s="32"/>
      <c r="V406" s="32"/>
      <c r="W406" s="32"/>
      <c r="X406" s="32"/>
      <c r="Y406" s="32"/>
      <c r="Z406" s="32"/>
    </row>
    <row r="407" spans="1:26" ht="15" customHeight="1" x14ac:dyDescent="0.3">
      <c r="A407" s="45">
        <v>776</v>
      </c>
      <c r="B407" s="46" t="s">
        <v>1094</v>
      </c>
      <c r="C407" s="194" t="s">
        <v>1368</v>
      </c>
      <c r="D407" s="46"/>
      <c r="E407" s="46"/>
      <c r="F407" s="61" t="s">
        <v>31</v>
      </c>
      <c r="G407" s="288">
        <v>195</v>
      </c>
      <c r="H407" s="289">
        <v>78</v>
      </c>
      <c r="I407" s="290">
        <v>1000</v>
      </c>
      <c r="J407" s="48" t="s">
        <v>39</v>
      </c>
      <c r="K407" s="50"/>
      <c r="L407" s="53" t="str">
        <f t="shared" si="48"/>
        <v>1000grams</v>
      </c>
      <c r="M407" s="54">
        <f t="shared" si="49"/>
        <v>78000</v>
      </c>
      <c r="N407" s="55" t="str">
        <f t="shared" si="50"/>
        <v>78000grams</v>
      </c>
      <c r="O407" s="56">
        <f t="shared" si="51"/>
        <v>15210</v>
      </c>
      <c r="P407" s="44">
        <f t="shared" si="82"/>
        <v>195</v>
      </c>
      <c r="Q407" s="66"/>
      <c r="R407" s="32" t="b">
        <f t="shared" si="83"/>
        <v>1</v>
      </c>
      <c r="S407" s="32"/>
      <c r="T407" s="32"/>
      <c r="U407" s="32"/>
      <c r="V407" s="32"/>
      <c r="W407" s="32"/>
      <c r="X407" s="32"/>
      <c r="Y407" s="32"/>
      <c r="Z407" s="32"/>
    </row>
    <row r="408" spans="1:26" ht="15" customHeight="1" x14ac:dyDescent="0.3">
      <c r="A408" s="45"/>
      <c r="B408" s="219" t="s">
        <v>242</v>
      </c>
      <c r="C408" s="194" t="s">
        <v>2021</v>
      </c>
      <c r="D408" s="46"/>
      <c r="E408" s="219" t="s">
        <v>987</v>
      </c>
      <c r="F408" s="61" t="s">
        <v>31</v>
      </c>
      <c r="G408" s="291">
        <v>55</v>
      </c>
      <c r="H408" s="292">
        <v>4</v>
      </c>
      <c r="I408" s="293">
        <v>60</v>
      </c>
      <c r="J408" s="414" t="s">
        <v>39</v>
      </c>
      <c r="K408" s="50"/>
      <c r="L408" s="53" t="str">
        <f t="shared" si="48"/>
        <v>60grams</v>
      </c>
      <c r="M408" s="54">
        <f t="shared" si="49"/>
        <v>240</v>
      </c>
      <c r="N408" s="55" t="str">
        <f t="shared" si="50"/>
        <v>240grams</v>
      </c>
      <c r="O408" s="56">
        <f t="shared" si="51"/>
        <v>220</v>
      </c>
      <c r="P408" s="12"/>
      <c r="Q408" s="12"/>
      <c r="R408" s="12"/>
      <c r="S408" s="151"/>
      <c r="T408" s="12"/>
      <c r="U408" s="12"/>
      <c r="V408" s="12"/>
      <c r="W408" s="12"/>
      <c r="X408" s="12"/>
      <c r="Y408" s="12"/>
      <c r="Z408" s="12"/>
    </row>
    <row r="409" spans="1:26" ht="15" customHeight="1" x14ac:dyDescent="0.3">
      <c r="A409" s="45"/>
      <c r="B409" s="46" t="s">
        <v>1100</v>
      </c>
      <c r="C409" s="194" t="s">
        <v>2022</v>
      </c>
      <c r="D409" s="46"/>
      <c r="E409" s="46" t="s">
        <v>1101</v>
      </c>
      <c r="F409" s="61" t="s">
        <v>31</v>
      </c>
      <c r="G409" s="288">
        <v>300</v>
      </c>
      <c r="H409" s="289">
        <v>0</v>
      </c>
      <c r="I409" s="290">
        <v>1000</v>
      </c>
      <c r="J409" s="48" t="s">
        <v>39</v>
      </c>
      <c r="K409" s="50"/>
      <c r="L409" s="53" t="str">
        <f t="shared" si="48"/>
        <v>1000grams</v>
      </c>
      <c r="M409" s="54">
        <f t="shared" si="49"/>
        <v>0</v>
      </c>
      <c r="N409" s="55" t="str">
        <f t="shared" si="50"/>
        <v>0grams</v>
      </c>
      <c r="O409" s="56">
        <f t="shared" si="51"/>
        <v>0</v>
      </c>
      <c r="P409" s="12"/>
      <c r="Q409" s="12"/>
      <c r="R409" s="12"/>
      <c r="S409" s="151"/>
      <c r="T409" s="12"/>
      <c r="U409" s="12"/>
      <c r="V409" s="12"/>
      <c r="W409" s="12"/>
      <c r="X409" s="12"/>
      <c r="Y409" s="12"/>
      <c r="Z409" s="12"/>
    </row>
    <row r="410" spans="1:26" ht="15" customHeight="1" x14ac:dyDescent="0.3">
      <c r="A410" s="45">
        <v>320</v>
      </c>
      <c r="B410" s="46" t="s">
        <v>244</v>
      </c>
      <c r="C410" s="194" t="s">
        <v>2025</v>
      </c>
      <c r="D410" s="46"/>
      <c r="E410" s="46" t="s">
        <v>1102</v>
      </c>
      <c r="F410" s="61" t="s">
        <v>31</v>
      </c>
      <c r="G410" s="288">
        <v>157.5</v>
      </c>
      <c r="H410" s="289">
        <v>2</v>
      </c>
      <c r="I410" s="290">
        <v>226</v>
      </c>
      <c r="J410" s="48" t="s">
        <v>39</v>
      </c>
      <c r="K410" s="50"/>
      <c r="L410" s="53" t="str">
        <f t="shared" si="48"/>
        <v>226grams</v>
      </c>
      <c r="M410" s="54">
        <f t="shared" si="49"/>
        <v>452</v>
      </c>
      <c r="N410" s="55" t="str">
        <f t="shared" si="50"/>
        <v>452grams</v>
      </c>
      <c r="O410" s="56">
        <f t="shared" si="51"/>
        <v>315</v>
      </c>
      <c r="P410" s="44">
        <f>O410/H410</f>
        <v>157.5</v>
      </c>
      <c r="Q410" s="66"/>
      <c r="R410" s="32" t="b">
        <f>P410=G410</f>
        <v>1</v>
      </c>
      <c r="S410" s="32"/>
      <c r="T410" s="32"/>
      <c r="U410" s="32"/>
      <c r="V410" s="32"/>
      <c r="W410" s="32"/>
      <c r="X410" s="32"/>
      <c r="Y410" s="32"/>
      <c r="Z410" s="32"/>
    </row>
    <row r="411" spans="1:26" ht="15" customHeight="1" x14ac:dyDescent="0.3">
      <c r="A411" s="45"/>
      <c r="B411" s="219" t="s">
        <v>1103</v>
      </c>
      <c r="C411" s="194" t="s">
        <v>2021</v>
      </c>
      <c r="D411" s="46"/>
      <c r="E411" s="219"/>
      <c r="F411" s="61" t="s">
        <v>31</v>
      </c>
      <c r="G411" s="291">
        <v>22</v>
      </c>
      <c r="H411" s="292">
        <v>1</v>
      </c>
      <c r="I411" s="293">
        <v>30</v>
      </c>
      <c r="J411" s="414" t="s">
        <v>39</v>
      </c>
      <c r="K411" s="50"/>
      <c r="L411" s="53" t="str">
        <f t="shared" si="48"/>
        <v>30grams</v>
      </c>
      <c r="M411" s="54">
        <f t="shared" si="49"/>
        <v>30</v>
      </c>
      <c r="N411" s="55" t="str">
        <f t="shared" si="50"/>
        <v>30grams</v>
      </c>
      <c r="O411" s="56">
        <f t="shared" si="51"/>
        <v>22</v>
      </c>
      <c r="P411" s="12"/>
      <c r="Q411" s="12"/>
      <c r="R411" s="12"/>
      <c r="S411" s="151"/>
      <c r="T411" s="12"/>
      <c r="U411" s="12"/>
      <c r="V411" s="12"/>
      <c r="W411" s="12"/>
      <c r="X411" s="12"/>
      <c r="Y411" s="12"/>
      <c r="Z411" s="12"/>
    </row>
    <row r="412" spans="1:26" ht="15" customHeight="1" x14ac:dyDescent="0.3">
      <c r="A412" s="45">
        <v>44</v>
      </c>
      <c r="B412" s="219" t="s">
        <v>1103</v>
      </c>
      <c r="C412" s="194" t="s">
        <v>29</v>
      </c>
      <c r="D412" s="46"/>
      <c r="E412" s="219" t="s">
        <v>854</v>
      </c>
      <c r="F412" s="61" t="s">
        <v>31</v>
      </c>
      <c r="G412" s="288">
        <v>87.5</v>
      </c>
      <c r="H412" s="289">
        <v>2</v>
      </c>
      <c r="I412" s="290">
        <v>35</v>
      </c>
      <c r="J412" s="48" t="s">
        <v>39</v>
      </c>
      <c r="K412" s="61" t="s">
        <v>2019</v>
      </c>
      <c r="L412" s="415" t="str">
        <f t="shared" si="48"/>
        <v>35grams</v>
      </c>
      <c r="M412" s="416">
        <f t="shared" si="49"/>
        <v>70</v>
      </c>
      <c r="N412" s="417" t="str">
        <f t="shared" si="50"/>
        <v>70grams</v>
      </c>
      <c r="O412" s="418">
        <f t="shared" si="51"/>
        <v>175</v>
      </c>
      <c r="P412" s="419">
        <f>O412/H412</f>
        <v>87.5</v>
      </c>
      <c r="Q412" s="66"/>
      <c r="R412" s="32" t="b">
        <f>P412=G412</f>
        <v>1</v>
      </c>
      <c r="S412" s="32"/>
      <c r="T412" s="32"/>
      <c r="U412" s="32"/>
      <c r="V412" s="32"/>
      <c r="W412" s="32"/>
      <c r="X412" s="32"/>
      <c r="Y412" s="32"/>
      <c r="Z412" s="32"/>
    </row>
    <row r="413" spans="1:26" ht="15" customHeight="1" x14ac:dyDescent="0.3">
      <c r="A413" s="45"/>
      <c r="B413" s="219" t="s">
        <v>1103</v>
      </c>
      <c r="C413" s="194" t="s">
        <v>2021</v>
      </c>
      <c r="D413" s="46"/>
      <c r="E413" s="219" t="s">
        <v>854</v>
      </c>
      <c r="F413" s="61" t="s">
        <v>31</v>
      </c>
      <c r="G413" s="291">
        <v>87.5</v>
      </c>
      <c r="H413" s="292">
        <v>2</v>
      </c>
      <c r="I413" s="293">
        <v>35</v>
      </c>
      <c r="J413" s="414" t="s">
        <v>39</v>
      </c>
      <c r="K413" s="50"/>
      <c r="L413" s="53" t="str">
        <f t="shared" si="48"/>
        <v>35grams</v>
      </c>
      <c r="M413" s="54">
        <f t="shared" si="49"/>
        <v>70</v>
      </c>
      <c r="N413" s="55" t="str">
        <f t="shared" si="50"/>
        <v>70grams</v>
      </c>
      <c r="O413" s="56">
        <f t="shared" si="51"/>
        <v>175</v>
      </c>
      <c r="P413" s="12"/>
      <c r="Q413" s="12"/>
      <c r="R413" s="12"/>
      <c r="S413" s="151"/>
      <c r="T413" s="12"/>
      <c r="U413" s="12"/>
      <c r="V413" s="12"/>
      <c r="W413" s="12"/>
      <c r="X413" s="12"/>
      <c r="Y413" s="12"/>
      <c r="Z413" s="12"/>
    </row>
    <row r="414" spans="1:26" ht="15" customHeight="1" x14ac:dyDescent="0.3">
      <c r="A414" s="45">
        <v>552</v>
      </c>
      <c r="B414" s="46" t="s">
        <v>1104</v>
      </c>
      <c r="C414" s="194" t="s">
        <v>2026</v>
      </c>
      <c r="D414" s="46"/>
      <c r="E414" s="219" t="s">
        <v>854</v>
      </c>
      <c r="F414" s="61" t="s">
        <v>31</v>
      </c>
      <c r="G414" s="288">
        <v>87.5</v>
      </c>
      <c r="H414" s="289">
        <v>0</v>
      </c>
      <c r="I414" s="290">
        <v>35</v>
      </c>
      <c r="J414" s="48" t="s">
        <v>39</v>
      </c>
      <c r="K414" s="50" t="s">
        <v>2019</v>
      </c>
      <c r="L414" s="53" t="str">
        <f t="shared" si="48"/>
        <v>35grams</v>
      </c>
      <c r="M414" s="54">
        <f t="shared" si="49"/>
        <v>0</v>
      </c>
      <c r="N414" s="55" t="str">
        <f t="shared" si="50"/>
        <v>0grams</v>
      </c>
      <c r="O414" s="56">
        <f t="shared" si="51"/>
        <v>0</v>
      </c>
      <c r="P414" s="44" t="e">
        <f>O414/H414</f>
        <v>#DIV/0!</v>
      </c>
      <c r="Q414" s="66" t="e">
        <f>G414-P414</f>
        <v>#DIV/0!</v>
      </c>
      <c r="R414" s="32" t="e">
        <f>P414=G414</f>
        <v>#DIV/0!</v>
      </c>
      <c r="S414" s="32"/>
      <c r="T414" s="32"/>
      <c r="U414" s="32"/>
      <c r="V414" s="32"/>
      <c r="W414" s="32"/>
      <c r="X414" s="32"/>
      <c r="Y414" s="32"/>
      <c r="Z414" s="32"/>
    </row>
    <row r="415" spans="1:26" ht="15" customHeight="1" x14ac:dyDescent="0.3">
      <c r="A415" s="45"/>
      <c r="B415" s="219" t="s">
        <v>1105</v>
      </c>
      <c r="C415" s="194" t="s">
        <v>2021</v>
      </c>
      <c r="D415" s="46"/>
      <c r="E415" s="219" t="s">
        <v>1106</v>
      </c>
      <c r="F415" s="61" t="s">
        <v>31</v>
      </c>
      <c r="G415" s="291">
        <v>125</v>
      </c>
      <c r="H415" s="292">
        <v>1</v>
      </c>
      <c r="I415" s="293">
        <v>350</v>
      </c>
      <c r="J415" s="414" t="s">
        <v>39</v>
      </c>
      <c r="K415" s="50"/>
      <c r="L415" s="53" t="str">
        <f t="shared" si="48"/>
        <v>350grams</v>
      </c>
      <c r="M415" s="54">
        <f t="shared" si="49"/>
        <v>350</v>
      </c>
      <c r="N415" s="55" t="str">
        <f t="shared" si="50"/>
        <v>350grams</v>
      </c>
      <c r="O415" s="56">
        <f t="shared" si="51"/>
        <v>125</v>
      </c>
      <c r="P415" s="12"/>
      <c r="Q415" s="12"/>
      <c r="R415" s="12"/>
      <c r="S415" s="151"/>
      <c r="T415" s="12"/>
      <c r="U415" s="12"/>
      <c r="V415" s="12"/>
      <c r="W415" s="12"/>
      <c r="X415" s="12"/>
      <c r="Y415" s="12"/>
      <c r="Z415" s="12"/>
    </row>
    <row r="416" spans="1:26" ht="15" customHeight="1" x14ac:dyDescent="0.3">
      <c r="A416" s="45"/>
      <c r="B416" s="426" t="s">
        <v>1107</v>
      </c>
      <c r="C416" s="194" t="s">
        <v>2023</v>
      </c>
      <c r="D416" s="46"/>
      <c r="E416" s="46" t="s">
        <v>1108</v>
      </c>
      <c r="F416" s="61" t="s">
        <v>31</v>
      </c>
      <c r="G416" s="288">
        <v>8.9</v>
      </c>
      <c r="H416" s="289">
        <v>576</v>
      </c>
      <c r="I416" s="290">
        <v>24</v>
      </c>
      <c r="J416" s="48" t="s">
        <v>39</v>
      </c>
      <c r="K416" s="50"/>
      <c r="L416" s="53" t="str">
        <f t="shared" si="48"/>
        <v>24grams</v>
      </c>
      <c r="M416" s="54">
        <f t="shared" si="49"/>
        <v>13824</v>
      </c>
      <c r="N416" s="55" t="str">
        <f t="shared" si="50"/>
        <v>13824grams</v>
      </c>
      <c r="O416" s="56">
        <f t="shared" si="51"/>
        <v>5126.4000000000005</v>
      </c>
      <c r="P416" s="12"/>
      <c r="Q416" s="12"/>
      <c r="R416" s="12"/>
      <c r="S416" s="151"/>
      <c r="T416" s="12"/>
      <c r="U416" s="12"/>
      <c r="V416" s="12"/>
      <c r="W416" s="12"/>
      <c r="X416" s="12"/>
      <c r="Y416" s="12"/>
      <c r="Z416" s="12"/>
    </row>
    <row r="417" spans="1:26" ht="15" customHeight="1" x14ac:dyDescent="0.3">
      <c r="A417" s="45"/>
      <c r="B417" s="426" t="s">
        <v>1107</v>
      </c>
      <c r="C417" s="194" t="s">
        <v>2022</v>
      </c>
      <c r="D417" s="46"/>
      <c r="E417" s="46" t="s">
        <v>1108</v>
      </c>
      <c r="F417" s="61" t="s">
        <v>31</v>
      </c>
      <c r="G417" s="288">
        <v>8.16</v>
      </c>
      <c r="H417" s="289">
        <v>35</v>
      </c>
      <c r="I417" s="290">
        <v>24</v>
      </c>
      <c r="J417" s="48" t="s">
        <v>39</v>
      </c>
      <c r="K417" s="50"/>
      <c r="L417" s="53" t="str">
        <f t="shared" si="48"/>
        <v>24grams</v>
      </c>
      <c r="M417" s="54">
        <f t="shared" si="49"/>
        <v>840</v>
      </c>
      <c r="N417" s="55" t="str">
        <f t="shared" si="50"/>
        <v>840grams</v>
      </c>
      <c r="O417" s="56">
        <f t="shared" si="51"/>
        <v>285.60000000000002</v>
      </c>
      <c r="P417" s="12"/>
      <c r="Q417" s="12"/>
      <c r="R417" s="12"/>
      <c r="S417" s="151"/>
      <c r="T417" s="12"/>
      <c r="U417" s="12"/>
      <c r="V417" s="12"/>
      <c r="W417" s="12"/>
      <c r="X417" s="12"/>
      <c r="Y417" s="12"/>
      <c r="Z417" s="12"/>
    </row>
    <row r="418" spans="1:26" ht="15" customHeight="1" x14ac:dyDescent="0.3">
      <c r="A418" s="45"/>
      <c r="B418" s="426" t="s">
        <v>1107</v>
      </c>
      <c r="C418" s="194" t="s">
        <v>2021</v>
      </c>
      <c r="D418" s="46"/>
      <c r="E418" s="46" t="s">
        <v>1108</v>
      </c>
      <c r="F418" s="61" t="s">
        <v>31</v>
      </c>
      <c r="G418" s="291">
        <v>8.9</v>
      </c>
      <c r="H418" s="292">
        <v>5</v>
      </c>
      <c r="I418" s="290">
        <v>24</v>
      </c>
      <c r="J418" s="414" t="s">
        <v>39</v>
      </c>
      <c r="K418" s="50"/>
      <c r="L418" s="53" t="str">
        <f t="shared" si="48"/>
        <v>24grams</v>
      </c>
      <c r="M418" s="54">
        <f t="shared" si="49"/>
        <v>120</v>
      </c>
      <c r="N418" s="55" t="str">
        <f t="shared" si="50"/>
        <v>120grams</v>
      </c>
      <c r="O418" s="56">
        <f t="shared" si="51"/>
        <v>44.5</v>
      </c>
      <c r="P418" s="12"/>
      <c r="Q418" s="12"/>
      <c r="R418" s="12"/>
      <c r="S418" s="151"/>
      <c r="T418" s="12"/>
      <c r="U418" s="12"/>
      <c r="V418" s="12"/>
      <c r="W418" s="12"/>
      <c r="X418" s="12"/>
      <c r="Y418" s="12"/>
      <c r="Z418" s="12"/>
    </row>
    <row r="419" spans="1:26" ht="15" customHeight="1" x14ac:dyDescent="0.3">
      <c r="A419" s="45"/>
      <c r="B419" s="426" t="s">
        <v>1107</v>
      </c>
      <c r="C419" s="194" t="s">
        <v>2020</v>
      </c>
      <c r="D419" s="46"/>
      <c r="E419" s="46" t="s">
        <v>1108</v>
      </c>
      <c r="F419" s="61" t="s">
        <v>31</v>
      </c>
      <c r="G419" s="288">
        <v>8.9</v>
      </c>
      <c r="H419" s="289">
        <v>292</v>
      </c>
      <c r="I419" s="290">
        <v>24</v>
      </c>
      <c r="J419" s="48" t="s">
        <v>39</v>
      </c>
      <c r="K419" s="50"/>
      <c r="L419" s="53" t="str">
        <f t="shared" si="48"/>
        <v>24grams</v>
      </c>
      <c r="M419" s="54">
        <f t="shared" si="49"/>
        <v>7008</v>
      </c>
      <c r="N419" s="55" t="str">
        <f t="shared" si="50"/>
        <v>7008grams</v>
      </c>
      <c r="O419" s="56">
        <f t="shared" si="51"/>
        <v>2598.8000000000002</v>
      </c>
      <c r="P419" s="12"/>
      <c r="Q419" s="12"/>
      <c r="R419" s="12"/>
      <c r="S419" s="151"/>
      <c r="T419" s="12"/>
      <c r="U419" s="12"/>
      <c r="V419" s="12"/>
      <c r="W419" s="12"/>
      <c r="X419" s="12"/>
      <c r="Y419" s="12"/>
      <c r="Z419" s="12"/>
    </row>
    <row r="420" spans="1:26" ht="15" customHeight="1" x14ac:dyDescent="0.3">
      <c r="A420" s="45"/>
      <c r="B420" s="46" t="s">
        <v>549</v>
      </c>
      <c r="C420" s="194" t="s">
        <v>2023</v>
      </c>
      <c r="D420" s="46"/>
      <c r="E420" s="46" t="s">
        <v>1109</v>
      </c>
      <c r="F420" s="61" t="s">
        <v>31</v>
      </c>
      <c r="G420" s="288">
        <v>274.5</v>
      </c>
      <c r="H420" s="289">
        <v>1</v>
      </c>
      <c r="I420" s="290">
        <v>623</v>
      </c>
      <c r="J420" s="48" t="s">
        <v>39</v>
      </c>
      <c r="K420" s="50"/>
      <c r="L420" s="53" t="str">
        <f t="shared" si="48"/>
        <v>623grams</v>
      </c>
      <c r="M420" s="54">
        <f t="shared" si="49"/>
        <v>623</v>
      </c>
      <c r="N420" s="55" t="str">
        <f t="shared" si="50"/>
        <v>623grams</v>
      </c>
      <c r="O420" s="56">
        <f t="shared" si="51"/>
        <v>274.5</v>
      </c>
      <c r="P420" s="44"/>
      <c r="Q420" s="12"/>
      <c r="R420" s="12"/>
      <c r="S420" s="151"/>
      <c r="T420" s="12"/>
      <c r="U420" s="12"/>
      <c r="V420" s="12"/>
      <c r="W420" s="12"/>
      <c r="X420" s="12"/>
      <c r="Y420" s="12"/>
      <c r="Z420" s="12"/>
    </row>
    <row r="421" spans="1:26" ht="15" customHeight="1" x14ac:dyDescent="0.3">
      <c r="A421" s="45"/>
      <c r="B421" s="219" t="s">
        <v>1110</v>
      </c>
      <c r="C421" s="194" t="s">
        <v>2021</v>
      </c>
      <c r="D421" s="46"/>
      <c r="E421" s="219" t="s">
        <v>870</v>
      </c>
      <c r="F421" s="61" t="s">
        <v>31</v>
      </c>
      <c r="G421" s="291">
        <v>163.5</v>
      </c>
      <c r="H421" s="292">
        <v>1</v>
      </c>
      <c r="I421" s="293">
        <v>210</v>
      </c>
      <c r="J421" s="414" t="s">
        <v>39</v>
      </c>
      <c r="K421" s="50"/>
      <c r="L421" s="53" t="str">
        <f t="shared" si="48"/>
        <v>210grams</v>
      </c>
      <c r="M421" s="54">
        <f t="shared" si="49"/>
        <v>210</v>
      </c>
      <c r="N421" s="55" t="str">
        <f t="shared" si="50"/>
        <v>210grams</v>
      </c>
      <c r="O421" s="56">
        <f t="shared" si="51"/>
        <v>163.5</v>
      </c>
      <c r="P421" s="12"/>
      <c r="Q421" s="12"/>
      <c r="R421" s="12"/>
      <c r="S421" s="151"/>
      <c r="T421" s="12"/>
      <c r="U421" s="12"/>
      <c r="V421" s="12"/>
      <c r="W421" s="12"/>
      <c r="X421" s="12"/>
      <c r="Y421" s="12"/>
      <c r="Z421" s="12"/>
    </row>
    <row r="422" spans="1:26" ht="15" customHeight="1" x14ac:dyDescent="0.3">
      <c r="A422" s="45"/>
      <c r="B422" s="46" t="s">
        <v>1111</v>
      </c>
      <c r="C422" s="194" t="s">
        <v>2022</v>
      </c>
      <c r="D422" s="46"/>
      <c r="E422" s="46" t="s">
        <v>912</v>
      </c>
      <c r="F422" s="61" t="s">
        <v>31</v>
      </c>
      <c r="G422" s="288">
        <v>185</v>
      </c>
      <c r="H422" s="289">
        <v>2</v>
      </c>
      <c r="I422" s="290">
        <v>500</v>
      </c>
      <c r="J422" s="48" t="s">
        <v>39</v>
      </c>
      <c r="K422" s="50"/>
      <c r="L422" s="53" t="str">
        <f t="shared" si="48"/>
        <v>500grams</v>
      </c>
      <c r="M422" s="54">
        <f t="shared" si="49"/>
        <v>1000</v>
      </c>
      <c r="N422" s="55" t="str">
        <f t="shared" si="50"/>
        <v>1000grams</v>
      </c>
      <c r="O422" s="56">
        <f t="shared" si="51"/>
        <v>370</v>
      </c>
      <c r="P422" s="12"/>
      <c r="Q422" s="12"/>
      <c r="R422" s="12"/>
      <c r="S422" s="151"/>
      <c r="T422" s="12"/>
      <c r="U422" s="12"/>
      <c r="V422" s="12"/>
      <c r="W422" s="12"/>
      <c r="X422" s="12"/>
      <c r="Y422" s="12"/>
      <c r="Z422" s="12"/>
    </row>
    <row r="423" spans="1:26" ht="15" customHeight="1" x14ac:dyDescent="0.3">
      <c r="A423" s="45"/>
      <c r="B423" s="219" t="s">
        <v>1112</v>
      </c>
      <c r="C423" s="194" t="s">
        <v>2021</v>
      </c>
      <c r="D423" s="46"/>
      <c r="E423" s="219" t="s">
        <v>854</v>
      </c>
      <c r="F423" s="61" t="s">
        <v>31</v>
      </c>
      <c r="G423" s="291">
        <v>59</v>
      </c>
      <c r="H423" s="292">
        <v>3</v>
      </c>
      <c r="I423" s="293">
        <v>30</v>
      </c>
      <c r="J423" s="414" t="s">
        <v>39</v>
      </c>
      <c r="K423" s="50"/>
      <c r="L423" s="53" t="str">
        <f t="shared" si="48"/>
        <v>30grams</v>
      </c>
      <c r="M423" s="54">
        <f t="shared" si="49"/>
        <v>90</v>
      </c>
      <c r="N423" s="55" t="str">
        <f t="shared" si="50"/>
        <v>90grams</v>
      </c>
      <c r="O423" s="56">
        <f t="shared" si="51"/>
        <v>177</v>
      </c>
      <c r="P423" s="12"/>
      <c r="Q423" s="12"/>
      <c r="R423" s="12"/>
      <c r="S423" s="151"/>
      <c r="T423" s="12"/>
      <c r="U423" s="12"/>
      <c r="V423" s="12"/>
      <c r="W423" s="12"/>
      <c r="X423" s="12"/>
      <c r="Y423" s="12"/>
      <c r="Z423" s="12"/>
    </row>
    <row r="424" spans="1:26" ht="15" customHeight="1" x14ac:dyDescent="0.3">
      <c r="A424" s="45"/>
      <c r="B424" s="46" t="s">
        <v>1113</v>
      </c>
      <c r="C424" s="194" t="s">
        <v>2022</v>
      </c>
      <c r="D424" s="46"/>
      <c r="E424" s="46" t="s">
        <v>1114</v>
      </c>
      <c r="F424" s="61" t="s">
        <v>31</v>
      </c>
      <c r="G424" s="288">
        <v>300</v>
      </c>
      <c r="H424" s="289">
        <v>1</v>
      </c>
      <c r="I424" s="290">
        <v>1</v>
      </c>
      <c r="J424" s="48" t="s">
        <v>210</v>
      </c>
      <c r="K424" s="50"/>
      <c r="L424" s="53" t="str">
        <f t="shared" si="48"/>
        <v>1roll</v>
      </c>
      <c r="M424" s="54">
        <f t="shared" si="49"/>
        <v>1</v>
      </c>
      <c r="N424" s="55" t="str">
        <f t="shared" si="50"/>
        <v>1roll</v>
      </c>
      <c r="O424" s="56">
        <f t="shared" si="51"/>
        <v>300</v>
      </c>
      <c r="P424" s="12"/>
      <c r="Q424" s="12"/>
      <c r="R424" s="12"/>
      <c r="S424" s="151"/>
      <c r="T424" s="12"/>
      <c r="U424" s="12"/>
      <c r="V424" s="12"/>
      <c r="W424" s="12"/>
      <c r="X424" s="12"/>
      <c r="Y424" s="12"/>
      <c r="Z424" s="12"/>
    </row>
    <row r="425" spans="1:26" ht="15" customHeight="1" x14ac:dyDescent="0.3">
      <c r="A425" s="45">
        <v>388</v>
      </c>
      <c r="B425" s="219" t="s">
        <v>1113</v>
      </c>
      <c r="C425" s="194" t="s">
        <v>2025</v>
      </c>
      <c r="D425" s="46"/>
      <c r="E425" s="46" t="s">
        <v>1114</v>
      </c>
      <c r="F425" s="61" t="s">
        <v>31</v>
      </c>
      <c r="G425" s="288">
        <v>275</v>
      </c>
      <c r="H425" s="289">
        <v>2</v>
      </c>
      <c r="I425" s="290">
        <v>1</v>
      </c>
      <c r="J425" s="48" t="s">
        <v>92</v>
      </c>
      <c r="K425" s="50"/>
      <c r="L425" s="53" t="str">
        <f t="shared" si="48"/>
        <v>1pieces</v>
      </c>
      <c r="M425" s="54">
        <f t="shared" si="49"/>
        <v>2</v>
      </c>
      <c r="N425" s="55" t="str">
        <f t="shared" si="50"/>
        <v>2pieces</v>
      </c>
      <c r="O425" s="56">
        <f t="shared" si="51"/>
        <v>550</v>
      </c>
      <c r="P425" s="44">
        <f>O425/H425</f>
        <v>275</v>
      </c>
      <c r="Q425" s="66"/>
      <c r="R425" s="32" t="b">
        <f>P425=G425</f>
        <v>1</v>
      </c>
      <c r="S425" s="32"/>
      <c r="T425" s="32"/>
      <c r="U425" s="32"/>
      <c r="V425" s="32"/>
      <c r="W425" s="32"/>
      <c r="X425" s="32"/>
      <c r="Y425" s="32"/>
      <c r="Z425" s="32"/>
    </row>
    <row r="426" spans="1:26" ht="15" customHeight="1" x14ac:dyDescent="0.3">
      <c r="A426" s="45">
        <v>879</v>
      </c>
      <c r="B426" s="219" t="s">
        <v>1113</v>
      </c>
      <c r="C426" s="194" t="s">
        <v>1368</v>
      </c>
      <c r="D426" s="46"/>
      <c r="E426" s="46" t="s">
        <v>1115</v>
      </c>
      <c r="F426" s="61" t="s">
        <v>31</v>
      </c>
      <c r="G426" s="288">
        <v>595</v>
      </c>
      <c r="H426" s="289">
        <v>2</v>
      </c>
      <c r="I426" s="290">
        <v>1</v>
      </c>
      <c r="J426" s="48" t="s">
        <v>210</v>
      </c>
      <c r="K426" s="50"/>
      <c r="L426" s="53" t="str">
        <f t="shared" si="48"/>
        <v>1roll</v>
      </c>
      <c r="M426" s="54">
        <f t="shared" si="49"/>
        <v>2</v>
      </c>
      <c r="N426" s="55" t="str">
        <f t="shared" si="50"/>
        <v>2roll</v>
      </c>
      <c r="O426" s="56">
        <f t="shared" si="51"/>
        <v>1190</v>
      </c>
      <c r="P426" s="44"/>
      <c r="Q426" s="66"/>
      <c r="R426" s="32"/>
      <c r="S426" s="32"/>
      <c r="T426" s="32"/>
      <c r="U426" s="32"/>
      <c r="V426" s="32"/>
      <c r="W426" s="32"/>
      <c r="X426" s="32"/>
      <c r="Y426" s="32"/>
      <c r="Z426" s="32"/>
    </row>
    <row r="427" spans="1:26" ht="15" customHeight="1" x14ac:dyDescent="0.3">
      <c r="A427" s="45">
        <v>66</v>
      </c>
      <c r="B427" s="219" t="s">
        <v>1113</v>
      </c>
      <c r="C427" s="194" t="s">
        <v>29</v>
      </c>
      <c r="D427" s="46"/>
      <c r="E427" s="46" t="s">
        <v>1114</v>
      </c>
      <c r="F427" s="61" t="s">
        <v>31</v>
      </c>
      <c r="G427" s="288">
        <v>238</v>
      </c>
      <c r="H427" s="289">
        <v>1</v>
      </c>
      <c r="I427" s="290">
        <v>1</v>
      </c>
      <c r="J427" s="48" t="s">
        <v>92</v>
      </c>
      <c r="K427" s="61" t="s">
        <v>2019</v>
      </c>
      <c r="L427" s="415" t="str">
        <f t="shared" si="48"/>
        <v>1pieces</v>
      </c>
      <c r="M427" s="416">
        <f t="shared" si="49"/>
        <v>1</v>
      </c>
      <c r="N427" s="417" t="str">
        <f t="shared" si="50"/>
        <v>1pieces</v>
      </c>
      <c r="O427" s="418">
        <f t="shared" si="51"/>
        <v>238</v>
      </c>
      <c r="P427" s="419">
        <f t="shared" ref="P427:P428" si="84">O427/H427</f>
        <v>238</v>
      </c>
      <c r="Q427" s="66"/>
      <c r="R427" s="32"/>
      <c r="S427" s="32"/>
      <c r="T427" s="32"/>
      <c r="U427" s="32"/>
      <c r="V427" s="32"/>
      <c r="W427" s="32"/>
      <c r="X427" s="32"/>
      <c r="Y427" s="32"/>
      <c r="Z427" s="32"/>
    </row>
    <row r="428" spans="1:26" ht="15" customHeight="1" x14ac:dyDescent="0.3">
      <c r="A428" s="45">
        <v>768</v>
      </c>
      <c r="B428" s="219" t="s">
        <v>1113</v>
      </c>
      <c r="C428" s="194" t="s">
        <v>2026</v>
      </c>
      <c r="D428" s="46"/>
      <c r="E428" s="46" t="s">
        <v>1114</v>
      </c>
      <c r="F428" s="61" t="s">
        <v>31</v>
      </c>
      <c r="G428" s="288">
        <v>192.5</v>
      </c>
      <c r="H428" s="289">
        <v>1</v>
      </c>
      <c r="I428" s="290">
        <v>1</v>
      </c>
      <c r="J428" s="48" t="s">
        <v>210</v>
      </c>
      <c r="K428" s="50"/>
      <c r="L428" s="53" t="str">
        <f t="shared" si="48"/>
        <v>1roll</v>
      </c>
      <c r="M428" s="54">
        <f t="shared" si="49"/>
        <v>1</v>
      </c>
      <c r="N428" s="55" t="str">
        <f t="shared" si="50"/>
        <v>1roll</v>
      </c>
      <c r="O428" s="56">
        <f t="shared" si="51"/>
        <v>192.5</v>
      </c>
      <c r="P428" s="44">
        <f t="shared" si="84"/>
        <v>192.5</v>
      </c>
      <c r="Q428" s="66"/>
      <c r="R428" s="32"/>
      <c r="S428" s="32"/>
      <c r="T428" s="32"/>
      <c r="U428" s="32"/>
      <c r="V428" s="32"/>
      <c r="W428" s="32"/>
      <c r="X428" s="32"/>
      <c r="Y428" s="32"/>
      <c r="Z428" s="32"/>
    </row>
    <row r="429" spans="1:26" ht="15" customHeight="1" x14ac:dyDescent="0.3">
      <c r="A429" s="45"/>
      <c r="B429" s="219" t="s">
        <v>1113</v>
      </c>
      <c r="C429" s="194" t="s">
        <v>2023</v>
      </c>
      <c r="D429" s="46"/>
      <c r="E429" s="46" t="s">
        <v>1114</v>
      </c>
      <c r="F429" s="61" t="s">
        <v>31</v>
      </c>
      <c r="G429" s="288">
        <v>340</v>
      </c>
      <c r="H429" s="289">
        <v>2</v>
      </c>
      <c r="I429" s="290">
        <v>1</v>
      </c>
      <c r="J429" s="48" t="s">
        <v>210</v>
      </c>
      <c r="K429" s="50"/>
      <c r="L429" s="53" t="str">
        <f t="shared" si="48"/>
        <v>1roll</v>
      </c>
      <c r="M429" s="54">
        <f t="shared" si="49"/>
        <v>2</v>
      </c>
      <c r="N429" s="55" t="str">
        <f t="shared" si="50"/>
        <v>2roll</v>
      </c>
      <c r="O429" s="56">
        <f t="shared" si="51"/>
        <v>680</v>
      </c>
      <c r="P429" s="44"/>
      <c r="Q429" s="12"/>
      <c r="R429" s="12"/>
      <c r="S429" s="151"/>
      <c r="T429" s="12"/>
      <c r="U429" s="12"/>
      <c r="V429" s="12"/>
      <c r="W429" s="12"/>
      <c r="X429" s="12"/>
      <c r="Y429" s="12"/>
      <c r="Z429" s="12"/>
    </row>
    <row r="430" spans="1:26" ht="15" customHeight="1" x14ac:dyDescent="0.3">
      <c r="A430" s="45"/>
      <c r="B430" s="219" t="s">
        <v>1113</v>
      </c>
      <c r="C430" s="194" t="s">
        <v>2021</v>
      </c>
      <c r="D430" s="46"/>
      <c r="E430" s="219" t="s">
        <v>1115</v>
      </c>
      <c r="F430" s="61" t="s">
        <v>31</v>
      </c>
      <c r="G430" s="291">
        <v>300</v>
      </c>
      <c r="H430" s="292">
        <v>5</v>
      </c>
      <c r="I430" s="293">
        <v>1</v>
      </c>
      <c r="J430" s="414" t="s">
        <v>210</v>
      </c>
      <c r="K430" s="50"/>
      <c r="L430" s="53" t="str">
        <f t="shared" si="48"/>
        <v>1roll</v>
      </c>
      <c r="M430" s="54">
        <f t="shared" si="49"/>
        <v>5</v>
      </c>
      <c r="N430" s="55" t="str">
        <f t="shared" si="50"/>
        <v>5roll</v>
      </c>
      <c r="O430" s="56">
        <f t="shared" si="51"/>
        <v>1500</v>
      </c>
      <c r="P430" s="12"/>
      <c r="Q430" s="12"/>
      <c r="R430" s="12"/>
      <c r="S430" s="151"/>
      <c r="T430" s="12"/>
      <c r="U430" s="12"/>
      <c r="V430" s="12"/>
      <c r="W430" s="12"/>
      <c r="X430" s="12"/>
      <c r="Y430" s="12"/>
      <c r="Z430" s="12"/>
    </row>
    <row r="431" spans="1:26" ht="15" customHeight="1" x14ac:dyDescent="0.3">
      <c r="A431" s="45"/>
      <c r="B431" s="219" t="s">
        <v>1116</v>
      </c>
      <c r="C431" s="194" t="s">
        <v>2021</v>
      </c>
      <c r="D431" s="46"/>
      <c r="E431" s="219" t="s">
        <v>1074</v>
      </c>
      <c r="F431" s="61" t="s">
        <v>31</v>
      </c>
      <c r="G431" s="291">
        <v>43.6</v>
      </c>
      <c r="H431" s="292">
        <v>4</v>
      </c>
      <c r="I431" s="293">
        <v>20</v>
      </c>
      <c r="J431" s="414" t="s">
        <v>39</v>
      </c>
      <c r="K431" s="50"/>
      <c r="L431" s="53" t="str">
        <f t="shared" si="48"/>
        <v>20grams</v>
      </c>
      <c r="M431" s="54">
        <f t="shared" si="49"/>
        <v>80</v>
      </c>
      <c r="N431" s="55" t="str">
        <f t="shared" si="50"/>
        <v>80grams</v>
      </c>
      <c r="O431" s="56">
        <f t="shared" si="51"/>
        <v>174.4</v>
      </c>
      <c r="P431" s="12"/>
      <c r="Q431" s="12"/>
      <c r="R431" s="12"/>
      <c r="S431" s="151"/>
      <c r="T431" s="12"/>
      <c r="U431" s="12"/>
      <c r="V431" s="12"/>
      <c r="W431" s="12"/>
      <c r="X431" s="12"/>
      <c r="Y431" s="12"/>
      <c r="Z431" s="12"/>
    </row>
    <row r="432" spans="1:26" ht="15" customHeight="1" x14ac:dyDescent="0.3">
      <c r="A432" s="45">
        <v>364</v>
      </c>
      <c r="B432" s="46" t="s">
        <v>1117</v>
      </c>
      <c r="C432" s="194" t="s">
        <v>2025</v>
      </c>
      <c r="D432" s="46"/>
      <c r="E432" s="46"/>
      <c r="F432" s="61" t="s">
        <v>31</v>
      </c>
      <c r="G432" s="288">
        <v>50</v>
      </c>
      <c r="H432" s="289">
        <v>9</v>
      </c>
      <c r="I432" s="290">
        <v>100</v>
      </c>
      <c r="J432" s="48" t="s">
        <v>92</v>
      </c>
      <c r="K432" s="50" t="s">
        <v>2019</v>
      </c>
      <c r="L432" s="53" t="str">
        <f t="shared" si="48"/>
        <v>100pieces</v>
      </c>
      <c r="M432" s="54">
        <f t="shared" si="49"/>
        <v>900</v>
      </c>
      <c r="N432" s="55" t="str">
        <f t="shared" si="50"/>
        <v>900pieces</v>
      </c>
      <c r="O432" s="56">
        <f t="shared" si="51"/>
        <v>450</v>
      </c>
      <c r="P432" s="44">
        <f>O432/H432</f>
        <v>50</v>
      </c>
      <c r="Q432" s="66">
        <f>G432-P432</f>
        <v>0</v>
      </c>
      <c r="R432" s="32" t="b">
        <f>P432=G432</f>
        <v>1</v>
      </c>
      <c r="S432" s="32"/>
      <c r="T432" s="32"/>
      <c r="U432" s="32"/>
      <c r="V432" s="32"/>
      <c r="W432" s="32"/>
      <c r="X432" s="32"/>
      <c r="Y432" s="32"/>
      <c r="Z432" s="32"/>
    </row>
    <row r="433" spans="1:26" ht="15" customHeight="1" x14ac:dyDescent="0.3">
      <c r="A433" s="45"/>
      <c r="B433" s="46" t="s">
        <v>1117</v>
      </c>
      <c r="C433" s="194" t="s">
        <v>2021</v>
      </c>
      <c r="D433" s="46"/>
      <c r="E433" s="219" t="s">
        <v>1118</v>
      </c>
      <c r="F433" s="61" t="s">
        <v>31</v>
      </c>
      <c r="G433" s="291">
        <v>25</v>
      </c>
      <c r="H433" s="292">
        <v>13</v>
      </c>
      <c r="I433" s="293">
        <v>1</v>
      </c>
      <c r="J433" s="414" t="s">
        <v>304</v>
      </c>
      <c r="K433" s="50"/>
      <c r="L433" s="53" t="str">
        <f t="shared" si="48"/>
        <v>1packs</v>
      </c>
      <c r="M433" s="54">
        <f t="shared" si="49"/>
        <v>13</v>
      </c>
      <c r="N433" s="55" t="str">
        <f t="shared" si="50"/>
        <v>13packs</v>
      </c>
      <c r="O433" s="56">
        <f t="shared" si="51"/>
        <v>325</v>
      </c>
      <c r="P433" s="12"/>
      <c r="Q433" s="12"/>
      <c r="R433" s="12"/>
      <c r="S433" s="151"/>
      <c r="T433" s="12"/>
      <c r="U433" s="12"/>
      <c r="V433" s="12"/>
      <c r="W433" s="12"/>
      <c r="X433" s="12"/>
      <c r="Y433" s="12"/>
      <c r="Z433" s="12"/>
    </row>
    <row r="434" spans="1:26" ht="15" customHeight="1" x14ac:dyDescent="0.3">
      <c r="A434" s="45">
        <v>4</v>
      </c>
      <c r="B434" s="46" t="s">
        <v>1119</v>
      </c>
      <c r="C434" s="194" t="s">
        <v>29</v>
      </c>
      <c r="D434" s="46"/>
      <c r="E434" s="46" t="s">
        <v>1120</v>
      </c>
      <c r="F434" s="61" t="s">
        <v>31</v>
      </c>
      <c r="G434" s="288">
        <v>60.2</v>
      </c>
      <c r="H434" s="289">
        <v>4</v>
      </c>
      <c r="I434" s="290">
        <v>70</v>
      </c>
      <c r="J434" s="48" t="s">
        <v>39</v>
      </c>
      <c r="K434" s="61" t="s">
        <v>2019</v>
      </c>
      <c r="L434" s="415" t="str">
        <f t="shared" si="48"/>
        <v>70grams</v>
      </c>
      <c r="M434" s="416">
        <f t="shared" si="49"/>
        <v>280</v>
      </c>
      <c r="N434" s="417" t="str">
        <f t="shared" si="50"/>
        <v>280grams</v>
      </c>
      <c r="O434" s="418">
        <f t="shared" si="51"/>
        <v>240.8</v>
      </c>
      <c r="P434" s="419">
        <f>O434/H434</f>
        <v>60.2</v>
      </c>
      <c r="Q434" s="44">
        <f>G434-P434</f>
        <v>0</v>
      </c>
      <c r="R434" s="32" t="b">
        <f>P434=G434</f>
        <v>1</v>
      </c>
      <c r="S434" s="95"/>
      <c r="T434" s="32"/>
      <c r="U434" s="32"/>
      <c r="V434" s="32"/>
      <c r="W434" s="32"/>
      <c r="X434" s="32"/>
      <c r="Y434" s="32"/>
      <c r="Z434" s="32"/>
    </row>
    <row r="435" spans="1:26" ht="15" customHeight="1" x14ac:dyDescent="0.3">
      <c r="A435" s="45"/>
      <c r="B435" s="46" t="s">
        <v>1119</v>
      </c>
      <c r="C435" s="194" t="s">
        <v>2022</v>
      </c>
      <c r="D435" s="46"/>
      <c r="E435" s="46" t="s">
        <v>1120</v>
      </c>
      <c r="F435" s="61" t="s">
        <v>31</v>
      </c>
      <c r="G435" s="288">
        <v>60.2</v>
      </c>
      <c r="H435" s="289">
        <v>1</v>
      </c>
      <c r="I435" s="290">
        <v>70</v>
      </c>
      <c r="J435" s="48" t="s">
        <v>39</v>
      </c>
      <c r="K435" s="50"/>
      <c r="L435" s="53" t="str">
        <f t="shared" si="48"/>
        <v>70grams</v>
      </c>
      <c r="M435" s="54">
        <f t="shared" si="49"/>
        <v>70</v>
      </c>
      <c r="N435" s="55" t="str">
        <f t="shared" si="50"/>
        <v>70grams</v>
      </c>
      <c r="O435" s="56">
        <f t="shared" si="51"/>
        <v>60.2</v>
      </c>
      <c r="P435" s="12"/>
      <c r="Q435" s="12"/>
      <c r="R435" s="12"/>
      <c r="S435" s="151"/>
      <c r="T435" s="12"/>
      <c r="U435" s="12"/>
      <c r="V435" s="12"/>
      <c r="W435" s="12"/>
      <c r="X435" s="12"/>
      <c r="Y435" s="12"/>
      <c r="Z435" s="12"/>
    </row>
    <row r="436" spans="1:26" ht="15" customHeight="1" x14ac:dyDescent="0.3">
      <c r="A436" s="45"/>
      <c r="B436" s="219" t="s">
        <v>1119</v>
      </c>
      <c r="C436" s="194" t="s">
        <v>2021</v>
      </c>
      <c r="D436" s="46"/>
      <c r="E436" s="219" t="s">
        <v>1121</v>
      </c>
      <c r="F436" s="61" t="s">
        <v>31</v>
      </c>
      <c r="G436" s="291">
        <v>340</v>
      </c>
      <c r="H436" s="292">
        <v>1</v>
      </c>
      <c r="I436" s="293">
        <v>500</v>
      </c>
      <c r="J436" s="414" t="s">
        <v>39</v>
      </c>
      <c r="K436" s="50"/>
      <c r="L436" s="53" t="str">
        <f t="shared" si="48"/>
        <v>500grams</v>
      </c>
      <c r="M436" s="54">
        <f t="shared" si="49"/>
        <v>500</v>
      </c>
      <c r="N436" s="55" t="str">
        <f t="shared" si="50"/>
        <v>500grams</v>
      </c>
      <c r="O436" s="56">
        <f t="shared" si="51"/>
        <v>340</v>
      </c>
      <c r="P436" s="12"/>
      <c r="Q436" s="12"/>
      <c r="R436" s="12"/>
      <c r="S436" s="151"/>
      <c r="T436" s="12"/>
      <c r="U436" s="12"/>
      <c r="V436" s="12"/>
      <c r="W436" s="12"/>
      <c r="X436" s="12"/>
      <c r="Y436" s="12"/>
      <c r="Z436" s="12"/>
    </row>
    <row r="437" spans="1:26" ht="15" customHeight="1" x14ac:dyDescent="0.3">
      <c r="A437" s="45"/>
      <c r="B437" s="219" t="s">
        <v>1119</v>
      </c>
      <c r="C437" s="194" t="s">
        <v>2021</v>
      </c>
      <c r="D437" s="46"/>
      <c r="E437" s="219" t="s">
        <v>1106</v>
      </c>
      <c r="F437" s="61" t="s">
        <v>31</v>
      </c>
      <c r="G437" s="291">
        <v>262</v>
      </c>
      <c r="H437" s="292">
        <v>1</v>
      </c>
      <c r="I437" s="293">
        <v>1000</v>
      </c>
      <c r="J437" s="414" t="s">
        <v>39</v>
      </c>
      <c r="K437" s="50"/>
      <c r="L437" s="53" t="str">
        <f t="shared" si="48"/>
        <v>1000grams</v>
      </c>
      <c r="M437" s="54">
        <f t="shared" si="49"/>
        <v>1000</v>
      </c>
      <c r="N437" s="55" t="str">
        <f t="shared" si="50"/>
        <v>1000grams</v>
      </c>
      <c r="O437" s="56">
        <f t="shared" si="51"/>
        <v>262</v>
      </c>
      <c r="P437" s="12"/>
      <c r="Q437" s="12"/>
      <c r="R437" s="12"/>
      <c r="S437" s="151"/>
      <c r="T437" s="12"/>
      <c r="U437" s="12"/>
      <c r="V437" s="12"/>
      <c r="W437" s="12"/>
      <c r="X437" s="12"/>
      <c r="Y437" s="12"/>
      <c r="Z437" s="12"/>
    </row>
    <row r="438" spans="1:26" ht="15" customHeight="1" x14ac:dyDescent="0.3">
      <c r="A438" s="45"/>
      <c r="B438" s="46" t="s">
        <v>1122</v>
      </c>
      <c r="C438" s="194" t="s">
        <v>2022</v>
      </c>
      <c r="D438" s="46"/>
      <c r="E438" s="46" t="s">
        <v>1123</v>
      </c>
      <c r="F438" s="61" t="s">
        <v>31</v>
      </c>
      <c r="G438" s="288">
        <v>46</v>
      </c>
      <c r="H438" s="289">
        <v>1</v>
      </c>
      <c r="I438" s="290">
        <v>200</v>
      </c>
      <c r="J438" s="48" t="s">
        <v>39</v>
      </c>
      <c r="K438" s="50"/>
      <c r="L438" s="53" t="str">
        <f t="shared" si="48"/>
        <v>200grams</v>
      </c>
      <c r="M438" s="54">
        <f t="shared" si="49"/>
        <v>200</v>
      </c>
      <c r="N438" s="55" t="str">
        <f t="shared" si="50"/>
        <v>200grams</v>
      </c>
      <c r="O438" s="56">
        <f t="shared" si="51"/>
        <v>46</v>
      </c>
      <c r="P438" s="12"/>
      <c r="Q438" s="12"/>
      <c r="R438" s="12"/>
      <c r="S438" s="151"/>
      <c r="T438" s="12"/>
      <c r="U438" s="12"/>
      <c r="V438" s="12"/>
      <c r="W438" s="12"/>
      <c r="X438" s="12"/>
      <c r="Y438" s="12"/>
      <c r="Z438" s="12"/>
    </row>
    <row r="439" spans="1:26" ht="15" customHeight="1" x14ac:dyDescent="0.3">
      <c r="A439" s="45">
        <v>39</v>
      </c>
      <c r="B439" s="46" t="s">
        <v>555</v>
      </c>
      <c r="C439" s="194" t="s">
        <v>29</v>
      </c>
      <c r="D439" s="46"/>
      <c r="E439" s="46" t="s">
        <v>1124</v>
      </c>
      <c r="F439" s="61" t="s">
        <v>31</v>
      </c>
      <c r="G439" s="288">
        <v>28.55</v>
      </c>
      <c r="H439" s="289">
        <v>9</v>
      </c>
      <c r="I439" s="290">
        <v>50</v>
      </c>
      <c r="J439" s="48" t="s">
        <v>39</v>
      </c>
      <c r="K439" s="61" t="s">
        <v>2019</v>
      </c>
      <c r="L439" s="415" t="str">
        <f t="shared" si="48"/>
        <v>50grams</v>
      </c>
      <c r="M439" s="416">
        <f t="shared" si="49"/>
        <v>450</v>
      </c>
      <c r="N439" s="417" t="str">
        <f t="shared" si="50"/>
        <v>450grams</v>
      </c>
      <c r="O439" s="418">
        <f t="shared" si="51"/>
        <v>256.95</v>
      </c>
      <c r="P439" s="419">
        <f t="shared" ref="P439:P441" si="85">O439/H439</f>
        <v>28.549999999999997</v>
      </c>
      <c r="Q439" s="66"/>
      <c r="R439" s="32" t="b">
        <f t="shared" ref="R439:R441" si="86">P439=G439</f>
        <v>1</v>
      </c>
      <c r="S439" s="32"/>
      <c r="T439" s="32"/>
      <c r="U439" s="32"/>
      <c r="V439" s="32"/>
      <c r="W439" s="32"/>
      <c r="X439" s="32"/>
      <c r="Y439" s="32"/>
      <c r="Z439" s="32"/>
    </row>
    <row r="440" spans="1:26" ht="15" customHeight="1" x14ac:dyDescent="0.3">
      <c r="A440" s="45">
        <v>177</v>
      </c>
      <c r="B440" s="46" t="s">
        <v>555</v>
      </c>
      <c r="C440" s="194" t="s">
        <v>2024</v>
      </c>
      <c r="D440" s="46"/>
      <c r="E440" s="46" t="s">
        <v>1124</v>
      </c>
      <c r="F440" s="61" t="s">
        <v>31</v>
      </c>
      <c r="G440" s="288">
        <v>685</v>
      </c>
      <c r="H440" s="289">
        <v>2</v>
      </c>
      <c r="I440" s="290">
        <v>50</v>
      </c>
      <c r="J440" s="48" t="s">
        <v>39</v>
      </c>
      <c r="K440" s="50"/>
      <c r="L440" s="53" t="str">
        <f t="shared" si="48"/>
        <v>50grams</v>
      </c>
      <c r="M440" s="54">
        <f t="shared" si="49"/>
        <v>100</v>
      </c>
      <c r="N440" s="55" t="str">
        <f t="shared" si="50"/>
        <v>100grams</v>
      </c>
      <c r="O440" s="56">
        <f t="shared" si="51"/>
        <v>1370</v>
      </c>
      <c r="P440" s="44">
        <f t="shared" si="85"/>
        <v>685</v>
      </c>
      <c r="Q440" s="66"/>
      <c r="R440" s="32" t="b">
        <f t="shared" si="86"/>
        <v>1</v>
      </c>
      <c r="S440" s="32"/>
      <c r="T440" s="32"/>
      <c r="U440" s="32"/>
      <c r="V440" s="32"/>
      <c r="W440" s="32"/>
      <c r="X440" s="32"/>
      <c r="Y440" s="32"/>
      <c r="Z440" s="32"/>
    </row>
    <row r="441" spans="1:26" ht="15" customHeight="1" x14ac:dyDescent="0.3">
      <c r="A441" s="45">
        <v>550</v>
      </c>
      <c r="B441" s="46" t="s">
        <v>555</v>
      </c>
      <c r="C441" s="194" t="s">
        <v>2026</v>
      </c>
      <c r="D441" s="46"/>
      <c r="E441" s="46" t="s">
        <v>1124</v>
      </c>
      <c r="F441" s="61" t="s">
        <v>31</v>
      </c>
      <c r="G441" s="288">
        <v>31.55</v>
      </c>
      <c r="H441" s="289">
        <v>13</v>
      </c>
      <c r="I441" s="290">
        <v>50</v>
      </c>
      <c r="J441" s="48" t="s">
        <v>39</v>
      </c>
      <c r="K441" s="50" t="s">
        <v>2019</v>
      </c>
      <c r="L441" s="53" t="str">
        <f t="shared" si="48"/>
        <v>50grams</v>
      </c>
      <c r="M441" s="54">
        <f t="shared" si="49"/>
        <v>650</v>
      </c>
      <c r="N441" s="55" t="str">
        <f t="shared" si="50"/>
        <v>650grams</v>
      </c>
      <c r="O441" s="56">
        <f t="shared" si="51"/>
        <v>410.15000000000003</v>
      </c>
      <c r="P441" s="44">
        <f t="shared" si="85"/>
        <v>31.550000000000004</v>
      </c>
      <c r="Q441" s="66">
        <f>G441-P441</f>
        <v>0</v>
      </c>
      <c r="R441" s="32" t="b">
        <f t="shared" si="86"/>
        <v>1</v>
      </c>
      <c r="S441" s="32"/>
      <c r="T441" s="32"/>
      <c r="U441" s="32"/>
      <c r="V441" s="32"/>
      <c r="W441" s="32"/>
      <c r="X441" s="32"/>
      <c r="Y441" s="32"/>
      <c r="Z441" s="32"/>
    </row>
    <row r="442" spans="1:26" ht="15" customHeight="1" x14ac:dyDescent="0.3">
      <c r="A442" s="45"/>
      <c r="B442" s="46" t="s">
        <v>555</v>
      </c>
      <c r="C442" s="194" t="s">
        <v>2023</v>
      </c>
      <c r="D442" s="46"/>
      <c r="E442" s="46" t="s">
        <v>1124</v>
      </c>
      <c r="F442" s="61" t="s">
        <v>31</v>
      </c>
      <c r="G442" s="288">
        <v>685.1</v>
      </c>
      <c r="H442" s="289">
        <v>72</v>
      </c>
      <c r="I442" s="290">
        <v>50</v>
      </c>
      <c r="J442" s="48" t="s">
        <v>39</v>
      </c>
      <c r="K442" s="50"/>
      <c r="L442" s="53" t="str">
        <f t="shared" si="48"/>
        <v>50grams</v>
      </c>
      <c r="M442" s="54">
        <f t="shared" si="49"/>
        <v>3600</v>
      </c>
      <c r="N442" s="55" t="str">
        <f t="shared" si="50"/>
        <v>3600grams</v>
      </c>
      <c r="O442" s="56">
        <f t="shared" si="51"/>
        <v>49327.200000000004</v>
      </c>
      <c r="P442" s="12"/>
      <c r="Q442" s="12"/>
      <c r="R442" s="12"/>
      <c r="S442" s="151"/>
      <c r="T442" s="12"/>
      <c r="U442" s="12"/>
      <c r="V442" s="12"/>
      <c r="W442" s="12"/>
      <c r="X442" s="12"/>
      <c r="Y442" s="12"/>
      <c r="Z442" s="12"/>
    </row>
    <row r="443" spans="1:26" ht="15" customHeight="1" x14ac:dyDescent="0.3">
      <c r="A443" s="45">
        <v>301</v>
      </c>
      <c r="B443" s="46" t="s">
        <v>556</v>
      </c>
      <c r="C443" s="194" t="s">
        <v>2025</v>
      </c>
      <c r="D443" s="46"/>
      <c r="E443" s="46" t="s">
        <v>1124</v>
      </c>
      <c r="F443" s="61" t="s">
        <v>31</v>
      </c>
      <c r="G443" s="288">
        <v>26.15</v>
      </c>
      <c r="H443" s="289">
        <v>47</v>
      </c>
      <c r="I443" s="290">
        <v>50</v>
      </c>
      <c r="J443" s="48" t="s">
        <v>39</v>
      </c>
      <c r="K443" s="50"/>
      <c r="L443" s="53" t="str">
        <f t="shared" si="48"/>
        <v>50grams</v>
      </c>
      <c r="M443" s="54">
        <f t="shared" si="49"/>
        <v>2350</v>
      </c>
      <c r="N443" s="55" t="str">
        <f t="shared" si="50"/>
        <v>2350grams</v>
      </c>
      <c r="O443" s="56">
        <f t="shared" si="51"/>
        <v>1229.05</v>
      </c>
      <c r="P443" s="44">
        <f>O443/H443</f>
        <v>26.15</v>
      </c>
      <c r="Q443" s="66"/>
      <c r="R443" s="32"/>
      <c r="S443" s="32"/>
      <c r="T443" s="32"/>
      <c r="U443" s="32"/>
      <c r="V443" s="32"/>
      <c r="W443" s="32"/>
      <c r="X443" s="32"/>
      <c r="Y443" s="32"/>
      <c r="Z443" s="32"/>
    </row>
    <row r="444" spans="1:26" ht="15" customHeight="1" x14ac:dyDescent="0.3">
      <c r="A444" s="45"/>
      <c r="B444" s="46" t="s">
        <v>1125</v>
      </c>
      <c r="C444" s="194" t="s">
        <v>2022</v>
      </c>
      <c r="D444" s="46"/>
      <c r="E444" s="46" t="s">
        <v>1126</v>
      </c>
      <c r="F444" s="61" t="s">
        <v>31</v>
      </c>
      <c r="G444" s="288">
        <v>840</v>
      </c>
      <c r="H444" s="289">
        <v>4</v>
      </c>
      <c r="I444" s="290">
        <v>1000</v>
      </c>
      <c r="J444" s="48" t="s">
        <v>213</v>
      </c>
      <c r="K444" s="50"/>
      <c r="L444" s="53" t="str">
        <f t="shared" si="48"/>
        <v>1000kilos</v>
      </c>
      <c r="M444" s="54">
        <f t="shared" si="49"/>
        <v>4000</v>
      </c>
      <c r="N444" s="55" t="str">
        <f t="shared" si="50"/>
        <v>4000kilos</v>
      </c>
      <c r="O444" s="56">
        <f t="shared" si="51"/>
        <v>3360</v>
      </c>
      <c r="P444" s="12"/>
      <c r="Q444" s="12"/>
      <c r="R444" s="12"/>
      <c r="S444" s="151"/>
      <c r="T444" s="12"/>
      <c r="U444" s="12"/>
      <c r="V444" s="12"/>
      <c r="W444" s="12"/>
      <c r="X444" s="12"/>
      <c r="Y444" s="12"/>
      <c r="Z444" s="12"/>
    </row>
    <row r="445" spans="1:26" ht="15" customHeight="1" x14ac:dyDescent="0.3">
      <c r="A445" s="45"/>
      <c r="B445" s="46" t="s">
        <v>1127</v>
      </c>
      <c r="C445" s="194" t="s">
        <v>2022</v>
      </c>
      <c r="D445" s="46"/>
      <c r="E445" s="46" t="s">
        <v>1128</v>
      </c>
      <c r="F445" s="61" t="s">
        <v>31</v>
      </c>
      <c r="G445" s="288">
        <v>1.96</v>
      </c>
      <c r="H445" s="289">
        <v>528</v>
      </c>
      <c r="I445" s="290">
        <v>5</v>
      </c>
      <c r="J445" s="48" t="s">
        <v>39</v>
      </c>
      <c r="K445" s="50"/>
      <c r="L445" s="53" t="str">
        <f t="shared" si="48"/>
        <v>5grams</v>
      </c>
      <c r="M445" s="54">
        <f t="shared" si="49"/>
        <v>2640</v>
      </c>
      <c r="N445" s="55" t="str">
        <f t="shared" si="50"/>
        <v>2640grams</v>
      </c>
      <c r="O445" s="56">
        <f t="shared" si="51"/>
        <v>1034.8799999999999</v>
      </c>
      <c r="P445" s="12"/>
      <c r="Q445" s="12"/>
      <c r="R445" s="12"/>
      <c r="S445" s="151"/>
      <c r="T445" s="12"/>
      <c r="U445" s="12"/>
      <c r="V445" s="12"/>
      <c r="W445" s="12"/>
      <c r="X445" s="12"/>
      <c r="Y445" s="12"/>
      <c r="Z445" s="12"/>
    </row>
    <row r="446" spans="1:26" ht="15" customHeight="1" x14ac:dyDescent="0.3">
      <c r="A446" s="45"/>
      <c r="B446" s="46" t="s">
        <v>1127</v>
      </c>
      <c r="C446" s="194" t="s">
        <v>2020</v>
      </c>
      <c r="D446" s="46"/>
      <c r="E446" s="46" t="s">
        <v>1128</v>
      </c>
      <c r="F446" s="61" t="s">
        <v>31</v>
      </c>
      <c r="G446" s="288">
        <v>1.95</v>
      </c>
      <c r="H446" s="289">
        <v>187</v>
      </c>
      <c r="I446" s="290">
        <v>5</v>
      </c>
      <c r="J446" s="48" t="s">
        <v>39</v>
      </c>
      <c r="K446" s="50"/>
      <c r="L446" s="53" t="str">
        <f t="shared" si="48"/>
        <v>5grams</v>
      </c>
      <c r="M446" s="54">
        <f t="shared" si="49"/>
        <v>935</v>
      </c>
      <c r="N446" s="55" t="str">
        <f t="shared" si="50"/>
        <v>935grams</v>
      </c>
      <c r="O446" s="56">
        <f t="shared" si="51"/>
        <v>364.65</v>
      </c>
      <c r="P446" s="12"/>
      <c r="Q446" s="12"/>
      <c r="R446" s="12"/>
      <c r="S446" s="151"/>
      <c r="T446" s="12"/>
      <c r="U446" s="12"/>
      <c r="V446" s="12"/>
      <c r="W446" s="12"/>
      <c r="X446" s="12"/>
      <c r="Y446" s="12"/>
      <c r="Z446" s="12"/>
    </row>
    <row r="447" spans="1:26" ht="15" customHeight="1" x14ac:dyDescent="0.3">
      <c r="A447" s="45"/>
      <c r="B447" s="219" t="s">
        <v>1127</v>
      </c>
      <c r="C447" s="194" t="s">
        <v>2021</v>
      </c>
      <c r="D447" s="46"/>
      <c r="E447" s="219" t="s">
        <v>1129</v>
      </c>
      <c r="F447" s="61" t="s">
        <v>31</v>
      </c>
      <c r="G447" s="291">
        <v>60.5</v>
      </c>
      <c r="H447" s="292">
        <v>1</v>
      </c>
      <c r="I447" s="293">
        <v>250</v>
      </c>
      <c r="J447" s="414" t="s">
        <v>39</v>
      </c>
      <c r="K447" s="50"/>
      <c r="L447" s="53" t="str">
        <f t="shared" si="48"/>
        <v>250grams</v>
      </c>
      <c r="M447" s="54">
        <f t="shared" si="49"/>
        <v>250</v>
      </c>
      <c r="N447" s="55" t="str">
        <f t="shared" si="50"/>
        <v>250grams</v>
      </c>
      <c r="O447" s="56">
        <f t="shared" si="51"/>
        <v>60.5</v>
      </c>
      <c r="P447" s="12"/>
      <c r="Q447" s="12"/>
      <c r="R447" s="12"/>
      <c r="S447" s="151"/>
      <c r="T447" s="12"/>
      <c r="U447" s="12"/>
      <c r="V447" s="12"/>
      <c r="W447" s="12"/>
      <c r="X447" s="12"/>
      <c r="Y447" s="12"/>
      <c r="Z447" s="12"/>
    </row>
    <row r="448" spans="1:26" ht="15" customHeight="1" x14ac:dyDescent="0.3">
      <c r="A448" s="45"/>
      <c r="B448" s="219" t="s">
        <v>1127</v>
      </c>
      <c r="C448" s="194" t="s">
        <v>2021</v>
      </c>
      <c r="D448" s="46"/>
      <c r="E448" s="219" t="s">
        <v>1129</v>
      </c>
      <c r="F448" s="61" t="s">
        <v>31</v>
      </c>
      <c r="G448" s="291">
        <v>57</v>
      </c>
      <c r="H448" s="292">
        <v>1</v>
      </c>
      <c r="I448" s="293">
        <v>220</v>
      </c>
      <c r="J448" s="414" t="s">
        <v>39</v>
      </c>
      <c r="K448" s="50"/>
      <c r="L448" s="53" t="str">
        <f t="shared" si="48"/>
        <v>220grams</v>
      </c>
      <c r="M448" s="54">
        <f t="shared" si="49"/>
        <v>220</v>
      </c>
      <c r="N448" s="55" t="str">
        <f t="shared" si="50"/>
        <v>220grams</v>
      </c>
      <c r="O448" s="56">
        <f t="shared" si="51"/>
        <v>57</v>
      </c>
      <c r="P448" s="12"/>
      <c r="Q448" s="12"/>
      <c r="R448" s="12"/>
      <c r="S448" s="151"/>
      <c r="T448" s="12"/>
      <c r="U448" s="12"/>
      <c r="V448" s="12"/>
      <c r="W448" s="12"/>
      <c r="X448" s="12"/>
      <c r="Y448" s="12"/>
      <c r="Z448" s="12"/>
    </row>
    <row r="449" spans="1:26" ht="15" customHeight="1" x14ac:dyDescent="0.3">
      <c r="A449" s="45"/>
      <c r="B449" s="46" t="s">
        <v>1130</v>
      </c>
      <c r="C449" s="194" t="s">
        <v>2022</v>
      </c>
      <c r="D449" s="46"/>
      <c r="E449" s="46" t="s">
        <v>1131</v>
      </c>
      <c r="F449" s="61" t="s">
        <v>31</v>
      </c>
      <c r="G449" s="288">
        <v>486</v>
      </c>
      <c r="H449" s="289">
        <v>1</v>
      </c>
      <c r="I449" s="290">
        <v>100</v>
      </c>
      <c r="J449" s="48" t="s">
        <v>92</v>
      </c>
      <c r="K449" s="50"/>
      <c r="L449" s="53" t="str">
        <f t="shared" si="48"/>
        <v>100pieces</v>
      </c>
      <c r="M449" s="54">
        <f t="shared" si="49"/>
        <v>100</v>
      </c>
      <c r="N449" s="55" t="str">
        <f t="shared" si="50"/>
        <v>100pieces</v>
      </c>
      <c r="O449" s="56">
        <f t="shared" si="51"/>
        <v>486</v>
      </c>
      <c r="P449" s="12"/>
      <c r="Q449" s="12"/>
      <c r="R449" s="12"/>
      <c r="S449" s="151"/>
      <c r="T449" s="12"/>
      <c r="U449" s="12"/>
      <c r="V449" s="12"/>
      <c r="W449" s="12"/>
      <c r="X449" s="12"/>
      <c r="Y449" s="12"/>
      <c r="Z449" s="12"/>
    </row>
    <row r="450" spans="1:26" ht="15" customHeight="1" x14ac:dyDescent="0.3">
      <c r="A450" s="45"/>
      <c r="B450" s="219" t="s">
        <v>1130</v>
      </c>
      <c r="C450" s="194" t="s">
        <v>2021</v>
      </c>
      <c r="D450" s="46"/>
      <c r="E450" s="219" t="s">
        <v>1132</v>
      </c>
      <c r="F450" s="61" t="s">
        <v>31</v>
      </c>
      <c r="G450" s="291">
        <v>5.6</v>
      </c>
      <c r="H450" s="292">
        <v>300</v>
      </c>
      <c r="I450" s="293">
        <v>1</v>
      </c>
      <c r="J450" s="414" t="s">
        <v>92</v>
      </c>
      <c r="K450" s="50"/>
      <c r="L450" s="53" t="str">
        <f t="shared" si="48"/>
        <v>1pieces</v>
      </c>
      <c r="M450" s="54">
        <f t="shared" si="49"/>
        <v>300</v>
      </c>
      <c r="N450" s="55" t="str">
        <f t="shared" si="50"/>
        <v>300pieces</v>
      </c>
      <c r="O450" s="56">
        <f t="shared" si="51"/>
        <v>1680</v>
      </c>
      <c r="P450" s="12"/>
      <c r="Q450" s="12"/>
      <c r="R450" s="12"/>
      <c r="S450" s="151"/>
      <c r="T450" s="12"/>
      <c r="U450" s="12"/>
      <c r="V450" s="12"/>
      <c r="W450" s="12"/>
      <c r="X450" s="12"/>
      <c r="Y450" s="12"/>
      <c r="Z450" s="12"/>
    </row>
    <row r="451" spans="1:26" ht="15" customHeight="1" x14ac:dyDescent="0.3">
      <c r="A451" s="45">
        <v>15</v>
      </c>
      <c r="B451" s="46" t="s">
        <v>131</v>
      </c>
      <c r="C451" s="194" t="s">
        <v>29</v>
      </c>
      <c r="D451" s="46"/>
      <c r="E451" s="46" t="s">
        <v>1133</v>
      </c>
      <c r="F451" s="61" t="s">
        <v>31</v>
      </c>
      <c r="G451" s="288">
        <v>2.75</v>
      </c>
      <c r="H451" s="289">
        <v>32</v>
      </c>
      <c r="I451" s="290">
        <v>1</v>
      </c>
      <c r="J451" s="48" t="s">
        <v>92</v>
      </c>
      <c r="K451" s="61" t="s">
        <v>2019</v>
      </c>
      <c r="L451" s="415" t="str">
        <f t="shared" si="48"/>
        <v>1pieces</v>
      </c>
      <c r="M451" s="416">
        <f t="shared" si="49"/>
        <v>32</v>
      </c>
      <c r="N451" s="417" t="str">
        <f t="shared" si="50"/>
        <v>32pieces</v>
      </c>
      <c r="O451" s="418">
        <f t="shared" si="51"/>
        <v>88</v>
      </c>
      <c r="P451" s="419">
        <f>O451/H451</f>
        <v>2.75</v>
      </c>
      <c r="Q451" s="66"/>
      <c r="R451" s="32"/>
      <c r="S451" s="32"/>
      <c r="T451" s="32"/>
      <c r="U451" s="32"/>
      <c r="V451" s="32"/>
      <c r="W451" s="32"/>
      <c r="X451" s="32"/>
      <c r="Y451" s="32"/>
      <c r="Z451" s="32"/>
    </row>
    <row r="452" spans="1:26" ht="15" customHeight="1" x14ac:dyDescent="0.3">
      <c r="A452" s="45"/>
      <c r="B452" s="46" t="s">
        <v>131</v>
      </c>
      <c r="C452" s="194" t="s">
        <v>2023</v>
      </c>
      <c r="D452" s="46"/>
      <c r="E452" s="46" t="s">
        <v>1134</v>
      </c>
      <c r="F452" s="61" t="s">
        <v>31</v>
      </c>
      <c r="G452" s="288">
        <v>132</v>
      </c>
      <c r="H452" s="289">
        <v>1</v>
      </c>
      <c r="I452" s="290">
        <v>48</v>
      </c>
      <c r="J452" s="48" t="s">
        <v>92</v>
      </c>
      <c r="K452" s="50"/>
      <c r="L452" s="53" t="str">
        <f t="shared" si="48"/>
        <v>48pieces</v>
      </c>
      <c r="M452" s="54">
        <f t="shared" si="49"/>
        <v>48</v>
      </c>
      <c r="N452" s="55" t="str">
        <f t="shared" si="50"/>
        <v>48pieces</v>
      </c>
      <c r="O452" s="56">
        <f t="shared" si="51"/>
        <v>132</v>
      </c>
      <c r="P452" s="12"/>
      <c r="Q452" s="12"/>
      <c r="R452" s="12"/>
      <c r="S452" s="151"/>
      <c r="T452" s="12"/>
      <c r="U452" s="12"/>
      <c r="V452" s="12"/>
      <c r="W452" s="12"/>
      <c r="X452" s="12"/>
      <c r="Y452" s="12"/>
      <c r="Z452" s="12"/>
    </row>
    <row r="453" spans="1:26" ht="15" customHeight="1" x14ac:dyDescent="0.3">
      <c r="A453" s="45"/>
      <c r="B453" s="46" t="s">
        <v>131</v>
      </c>
      <c r="C453" s="194" t="s">
        <v>2022</v>
      </c>
      <c r="D453" s="46"/>
      <c r="E453" s="46" t="s">
        <v>1133</v>
      </c>
      <c r="F453" s="61" t="s">
        <v>31</v>
      </c>
      <c r="G453" s="288">
        <v>2.75</v>
      </c>
      <c r="H453" s="289">
        <v>40</v>
      </c>
      <c r="I453" s="290">
        <v>2</v>
      </c>
      <c r="J453" s="48" t="s">
        <v>39</v>
      </c>
      <c r="K453" s="50"/>
      <c r="L453" s="53" t="str">
        <f t="shared" si="48"/>
        <v>2grams</v>
      </c>
      <c r="M453" s="54">
        <f t="shared" si="49"/>
        <v>80</v>
      </c>
      <c r="N453" s="55" t="str">
        <f t="shared" si="50"/>
        <v>80grams</v>
      </c>
      <c r="O453" s="56">
        <f t="shared" si="51"/>
        <v>110</v>
      </c>
      <c r="P453" s="12"/>
      <c r="Q453" s="12"/>
      <c r="R453" s="12"/>
      <c r="S453" s="151"/>
      <c r="T453" s="12"/>
      <c r="U453" s="12"/>
      <c r="V453" s="12"/>
      <c r="W453" s="12"/>
      <c r="X453" s="12"/>
      <c r="Y453" s="12"/>
      <c r="Z453" s="12"/>
    </row>
    <row r="454" spans="1:26" ht="15" customHeight="1" x14ac:dyDescent="0.3">
      <c r="A454" s="45"/>
      <c r="B454" s="219" t="s">
        <v>131</v>
      </c>
      <c r="C454" s="194" t="s">
        <v>2021</v>
      </c>
      <c r="D454" s="46"/>
      <c r="E454" s="219" t="s">
        <v>1135</v>
      </c>
      <c r="F454" s="61" t="s">
        <v>31</v>
      </c>
      <c r="G454" s="291">
        <v>3.2</v>
      </c>
      <c r="H454" s="292">
        <v>31</v>
      </c>
      <c r="I454" s="293">
        <v>1</v>
      </c>
      <c r="J454" s="414" t="s">
        <v>39</v>
      </c>
      <c r="K454" s="50"/>
      <c r="L454" s="53" t="str">
        <f t="shared" si="48"/>
        <v>1grams</v>
      </c>
      <c r="M454" s="54">
        <f t="shared" si="49"/>
        <v>31</v>
      </c>
      <c r="N454" s="55" t="str">
        <f t="shared" si="50"/>
        <v>31grams</v>
      </c>
      <c r="O454" s="56">
        <f t="shared" si="51"/>
        <v>99.2</v>
      </c>
      <c r="P454" s="12"/>
      <c r="Q454" s="12"/>
      <c r="R454" s="12"/>
      <c r="S454" s="151"/>
      <c r="T454" s="12"/>
      <c r="U454" s="12"/>
      <c r="V454" s="12"/>
      <c r="W454" s="12"/>
      <c r="X454" s="12"/>
      <c r="Y454" s="12"/>
      <c r="Z454" s="12"/>
    </row>
    <row r="455" spans="1:26" ht="15" customHeight="1" x14ac:dyDescent="0.3">
      <c r="A455" s="45"/>
      <c r="B455" s="46" t="s">
        <v>131</v>
      </c>
      <c r="C455" s="194" t="s">
        <v>2020</v>
      </c>
      <c r="D455" s="46"/>
      <c r="E455" s="219" t="s">
        <v>1133</v>
      </c>
      <c r="F455" s="61" t="s">
        <v>31</v>
      </c>
      <c r="G455" s="288">
        <v>3.1</v>
      </c>
      <c r="H455" s="289">
        <v>1770</v>
      </c>
      <c r="I455" s="290">
        <v>2</v>
      </c>
      <c r="J455" s="48" t="s">
        <v>39</v>
      </c>
      <c r="K455" s="50"/>
      <c r="L455" s="53" t="str">
        <f t="shared" si="48"/>
        <v>2grams</v>
      </c>
      <c r="M455" s="54">
        <f t="shared" si="49"/>
        <v>3540</v>
      </c>
      <c r="N455" s="55" t="str">
        <f t="shared" si="50"/>
        <v>3540grams</v>
      </c>
      <c r="O455" s="56">
        <f t="shared" si="51"/>
        <v>5487</v>
      </c>
      <c r="P455" s="12"/>
      <c r="Q455" s="12"/>
      <c r="R455" s="12"/>
      <c r="S455" s="151"/>
      <c r="T455" s="12"/>
      <c r="U455" s="12"/>
      <c r="V455" s="12"/>
      <c r="W455" s="12"/>
      <c r="X455" s="12"/>
      <c r="Y455" s="12"/>
      <c r="Z455" s="12"/>
    </row>
    <row r="456" spans="1:26" ht="15" customHeight="1" x14ac:dyDescent="0.3">
      <c r="A456" s="45">
        <v>5</v>
      </c>
      <c r="B456" s="46" t="s">
        <v>56</v>
      </c>
      <c r="C456" s="194" t="s">
        <v>29</v>
      </c>
      <c r="D456" s="46"/>
      <c r="E456" s="46" t="s">
        <v>35</v>
      </c>
      <c r="F456" s="61" t="s">
        <v>31</v>
      </c>
      <c r="G456" s="288">
        <v>70.7</v>
      </c>
      <c r="H456" s="289">
        <v>7</v>
      </c>
      <c r="I456" s="290">
        <v>370</v>
      </c>
      <c r="J456" s="48" t="s">
        <v>32</v>
      </c>
      <c r="K456" s="61" t="s">
        <v>2019</v>
      </c>
      <c r="L456" s="415" t="str">
        <f t="shared" si="48"/>
        <v>370ml</v>
      </c>
      <c r="M456" s="416">
        <f t="shared" si="49"/>
        <v>2590</v>
      </c>
      <c r="N456" s="417" t="str">
        <f t="shared" si="50"/>
        <v>2590ml</v>
      </c>
      <c r="O456" s="418">
        <f t="shared" si="51"/>
        <v>494.90000000000003</v>
      </c>
      <c r="P456" s="419">
        <f>O456/H456</f>
        <v>70.7</v>
      </c>
      <c r="Q456" s="66"/>
      <c r="R456" s="32" t="b">
        <f>P456=G456</f>
        <v>1</v>
      </c>
      <c r="S456" s="32"/>
      <c r="T456" s="32"/>
      <c r="U456" s="32"/>
      <c r="V456" s="32"/>
      <c r="W456" s="32"/>
      <c r="X456" s="32"/>
      <c r="Y456" s="32"/>
      <c r="Z456" s="32"/>
    </row>
    <row r="457" spans="1:26" ht="15" customHeight="1" x14ac:dyDescent="0.3">
      <c r="A457" s="45"/>
      <c r="B457" s="46" t="s">
        <v>56</v>
      </c>
      <c r="C457" s="194" t="s">
        <v>2022</v>
      </c>
      <c r="D457" s="46"/>
      <c r="E457" s="46" t="s">
        <v>35</v>
      </c>
      <c r="F457" s="61" t="s">
        <v>31</v>
      </c>
      <c r="G457" s="288">
        <v>56</v>
      </c>
      <c r="H457" s="289">
        <v>14</v>
      </c>
      <c r="I457" s="290">
        <v>370</v>
      </c>
      <c r="J457" s="48" t="s">
        <v>32</v>
      </c>
      <c r="K457" s="50"/>
      <c r="L457" s="53" t="str">
        <f t="shared" si="48"/>
        <v>370ml</v>
      </c>
      <c r="M457" s="54">
        <f t="shared" si="49"/>
        <v>5180</v>
      </c>
      <c r="N457" s="55" t="str">
        <f t="shared" si="50"/>
        <v>5180ml</v>
      </c>
      <c r="O457" s="56">
        <f t="shared" si="51"/>
        <v>784</v>
      </c>
      <c r="P457" s="12"/>
      <c r="Q457" s="12"/>
      <c r="R457" s="12"/>
      <c r="S457" s="151"/>
      <c r="T457" s="12"/>
      <c r="U457" s="12"/>
      <c r="V457" s="12"/>
      <c r="W457" s="12"/>
      <c r="X457" s="12"/>
      <c r="Y457" s="12"/>
      <c r="Z457" s="12"/>
    </row>
    <row r="458" spans="1:26" ht="15" customHeight="1" x14ac:dyDescent="0.3">
      <c r="A458" s="45"/>
      <c r="B458" s="46" t="s">
        <v>56</v>
      </c>
      <c r="C458" s="194" t="s">
        <v>2021</v>
      </c>
      <c r="D458" s="46"/>
      <c r="E458" s="219" t="s">
        <v>1136</v>
      </c>
      <c r="F458" s="61" t="s">
        <v>31</v>
      </c>
      <c r="G458" s="291">
        <v>52.5</v>
      </c>
      <c r="H458" s="292">
        <v>4</v>
      </c>
      <c r="I458" s="293">
        <v>370</v>
      </c>
      <c r="J458" s="48" t="s">
        <v>32</v>
      </c>
      <c r="K458" s="50"/>
      <c r="L458" s="53" t="str">
        <f t="shared" si="48"/>
        <v>370ml</v>
      </c>
      <c r="M458" s="54">
        <f t="shared" si="49"/>
        <v>1480</v>
      </c>
      <c r="N458" s="55" t="str">
        <f t="shared" si="50"/>
        <v>1480ml</v>
      </c>
      <c r="O458" s="56">
        <f t="shared" si="51"/>
        <v>210</v>
      </c>
      <c r="P458" s="12"/>
      <c r="Q458" s="12"/>
      <c r="R458" s="12"/>
      <c r="S458" s="151"/>
      <c r="T458" s="12"/>
      <c r="U458" s="12"/>
      <c r="V458" s="12"/>
      <c r="W458" s="12"/>
      <c r="X458" s="12"/>
      <c r="Y458" s="12"/>
      <c r="Z458" s="12"/>
    </row>
    <row r="459" spans="1:26" ht="15" customHeight="1" x14ac:dyDescent="0.3">
      <c r="A459" s="45"/>
      <c r="B459" s="46" t="s">
        <v>56</v>
      </c>
      <c r="C459" s="194" t="s">
        <v>2020</v>
      </c>
      <c r="D459" s="46"/>
      <c r="E459" s="46" t="s">
        <v>1137</v>
      </c>
      <c r="F459" s="61" t="s">
        <v>31</v>
      </c>
      <c r="G459" s="288">
        <v>41.6</v>
      </c>
      <c r="H459" s="289">
        <v>6</v>
      </c>
      <c r="I459" s="290">
        <v>374</v>
      </c>
      <c r="J459" s="48" t="s">
        <v>32</v>
      </c>
      <c r="K459" s="50"/>
      <c r="L459" s="53" t="str">
        <f t="shared" si="48"/>
        <v>374ml</v>
      </c>
      <c r="M459" s="54">
        <f t="shared" si="49"/>
        <v>2244</v>
      </c>
      <c r="N459" s="55" t="str">
        <f t="shared" si="50"/>
        <v>2244ml</v>
      </c>
      <c r="O459" s="56">
        <f t="shared" si="51"/>
        <v>249.60000000000002</v>
      </c>
      <c r="P459" s="12"/>
      <c r="Q459" s="12"/>
      <c r="R459" s="12"/>
      <c r="S459" s="151"/>
      <c r="T459" s="12"/>
      <c r="U459" s="12"/>
      <c r="V459" s="12"/>
      <c r="W459" s="12"/>
      <c r="X459" s="12"/>
      <c r="Y459" s="12"/>
      <c r="Z459" s="12"/>
    </row>
    <row r="460" spans="1:26" ht="15" customHeight="1" x14ac:dyDescent="0.3">
      <c r="A460" s="45">
        <v>7</v>
      </c>
      <c r="B460" s="46" t="s">
        <v>56</v>
      </c>
      <c r="C460" s="194" t="s">
        <v>29</v>
      </c>
      <c r="D460" s="46"/>
      <c r="E460" s="46" t="s">
        <v>1137</v>
      </c>
      <c r="F460" s="61" t="s">
        <v>31</v>
      </c>
      <c r="G460" s="288">
        <v>41.6</v>
      </c>
      <c r="H460" s="289">
        <v>3</v>
      </c>
      <c r="I460" s="290">
        <v>374</v>
      </c>
      <c r="J460" s="48" t="s">
        <v>32</v>
      </c>
      <c r="K460" s="61" t="s">
        <v>2019</v>
      </c>
      <c r="L460" s="415" t="str">
        <f t="shared" si="48"/>
        <v>374ml</v>
      </c>
      <c r="M460" s="416">
        <f t="shared" si="49"/>
        <v>1122</v>
      </c>
      <c r="N460" s="417" t="str">
        <f t="shared" si="50"/>
        <v>1122ml</v>
      </c>
      <c r="O460" s="418">
        <f t="shared" si="51"/>
        <v>124.80000000000001</v>
      </c>
      <c r="P460" s="419">
        <f t="shared" ref="P460:P463" si="87">O460/H460</f>
        <v>41.6</v>
      </c>
      <c r="Q460" s="66"/>
      <c r="R460" s="32" t="b">
        <f>P460=G460</f>
        <v>1</v>
      </c>
      <c r="S460" s="32"/>
      <c r="T460" s="32"/>
      <c r="U460" s="32"/>
      <c r="V460" s="32"/>
      <c r="W460" s="32"/>
      <c r="X460" s="32"/>
      <c r="Y460" s="32"/>
      <c r="Z460" s="32"/>
    </row>
    <row r="461" spans="1:26" ht="15" customHeight="1" x14ac:dyDescent="0.3">
      <c r="A461" s="45">
        <v>341</v>
      </c>
      <c r="B461" s="46" t="s">
        <v>56</v>
      </c>
      <c r="C461" s="194" t="s">
        <v>2025</v>
      </c>
      <c r="D461" s="46"/>
      <c r="E461" s="46" t="s">
        <v>1137</v>
      </c>
      <c r="F461" s="61" t="s">
        <v>31</v>
      </c>
      <c r="G461" s="288">
        <v>41.6</v>
      </c>
      <c r="H461" s="289">
        <v>0</v>
      </c>
      <c r="I461" s="290">
        <v>374</v>
      </c>
      <c r="J461" s="48" t="s">
        <v>32</v>
      </c>
      <c r="K461" s="50"/>
      <c r="L461" s="53" t="str">
        <f t="shared" si="48"/>
        <v>374ml</v>
      </c>
      <c r="M461" s="54">
        <f t="shared" si="49"/>
        <v>0</v>
      </c>
      <c r="N461" s="55" t="str">
        <f t="shared" si="50"/>
        <v>0ml</v>
      </c>
      <c r="O461" s="56">
        <f t="shared" si="51"/>
        <v>0</v>
      </c>
      <c r="P461" s="44" t="e">
        <f t="shared" si="87"/>
        <v>#DIV/0!</v>
      </c>
      <c r="Q461" s="66"/>
      <c r="R461" s="32"/>
      <c r="S461" s="32"/>
      <c r="T461" s="32"/>
      <c r="U461" s="32"/>
      <c r="V461" s="32"/>
      <c r="W461" s="32"/>
      <c r="X461" s="32"/>
      <c r="Y461" s="32"/>
      <c r="Z461" s="32"/>
    </row>
    <row r="462" spans="1:26" ht="15" customHeight="1" x14ac:dyDescent="0.3">
      <c r="A462" s="45">
        <v>682</v>
      </c>
      <c r="B462" s="46" t="s">
        <v>56</v>
      </c>
      <c r="C462" s="194" t="s">
        <v>2026</v>
      </c>
      <c r="D462" s="46"/>
      <c r="E462" s="46" t="s">
        <v>1137</v>
      </c>
      <c r="F462" s="61" t="s">
        <v>31</v>
      </c>
      <c r="G462" s="288">
        <v>41.6</v>
      </c>
      <c r="H462" s="289">
        <v>16</v>
      </c>
      <c r="I462" s="290">
        <v>374</v>
      </c>
      <c r="J462" s="48" t="s">
        <v>32</v>
      </c>
      <c r="K462" s="50"/>
      <c r="L462" s="53" t="str">
        <f t="shared" si="48"/>
        <v>374ml</v>
      </c>
      <c r="M462" s="54">
        <f t="shared" si="49"/>
        <v>5984</v>
      </c>
      <c r="N462" s="55" t="str">
        <f t="shared" si="50"/>
        <v>5984ml</v>
      </c>
      <c r="O462" s="56">
        <f t="shared" si="51"/>
        <v>665.6</v>
      </c>
      <c r="P462" s="44">
        <f t="shared" si="87"/>
        <v>41.6</v>
      </c>
      <c r="Q462" s="66"/>
      <c r="R462" s="32" t="b">
        <f t="shared" ref="R462:R463" si="88">P462=G462</f>
        <v>1</v>
      </c>
      <c r="S462" s="32"/>
      <c r="T462" s="32"/>
      <c r="U462" s="32"/>
      <c r="V462" s="32"/>
      <c r="W462" s="32"/>
      <c r="X462" s="32"/>
      <c r="Y462" s="32"/>
      <c r="Z462" s="32"/>
    </row>
    <row r="463" spans="1:26" ht="15" customHeight="1" x14ac:dyDescent="0.3">
      <c r="A463" s="45">
        <v>812</v>
      </c>
      <c r="B463" s="46" t="s">
        <v>56</v>
      </c>
      <c r="C463" s="194" t="s">
        <v>1368</v>
      </c>
      <c r="D463" s="46"/>
      <c r="E463" s="46" t="s">
        <v>1137</v>
      </c>
      <c r="F463" s="61" t="s">
        <v>31</v>
      </c>
      <c r="G463" s="288">
        <v>42.5</v>
      </c>
      <c r="H463" s="289">
        <v>7</v>
      </c>
      <c r="I463" s="290">
        <v>390</v>
      </c>
      <c r="J463" s="48" t="s">
        <v>32</v>
      </c>
      <c r="K463" s="50"/>
      <c r="L463" s="53" t="str">
        <f t="shared" si="48"/>
        <v>390ml</v>
      </c>
      <c r="M463" s="54">
        <f t="shared" si="49"/>
        <v>2730</v>
      </c>
      <c r="N463" s="55" t="str">
        <f t="shared" si="50"/>
        <v>2730ml</v>
      </c>
      <c r="O463" s="56">
        <f t="shared" si="51"/>
        <v>297.5</v>
      </c>
      <c r="P463" s="44">
        <f t="shared" si="87"/>
        <v>42.5</v>
      </c>
      <c r="Q463" s="66"/>
      <c r="R463" s="32" t="b">
        <f t="shared" si="88"/>
        <v>1</v>
      </c>
      <c r="S463" s="32"/>
      <c r="T463" s="32"/>
      <c r="U463" s="32"/>
      <c r="V463" s="32"/>
      <c r="W463" s="32"/>
      <c r="X463" s="32"/>
      <c r="Y463" s="32"/>
      <c r="Z463" s="32"/>
    </row>
    <row r="464" spans="1:26" ht="15" customHeight="1" x14ac:dyDescent="0.3">
      <c r="A464" s="45"/>
      <c r="B464" s="46" t="s">
        <v>56</v>
      </c>
      <c r="C464" s="194" t="s">
        <v>2023</v>
      </c>
      <c r="D464" s="46"/>
      <c r="E464" s="46" t="s">
        <v>36</v>
      </c>
      <c r="F464" s="61" t="s">
        <v>31</v>
      </c>
      <c r="G464" s="288">
        <v>52.7</v>
      </c>
      <c r="H464" s="289">
        <v>26</v>
      </c>
      <c r="I464" s="290">
        <v>380</v>
      </c>
      <c r="J464" s="48" t="s">
        <v>32</v>
      </c>
      <c r="K464" s="50"/>
      <c r="L464" s="53" t="str">
        <f t="shared" si="48"/>
        <v>380ml</v>
      </c>
      <c r="M464" s="54">
        <f t="shared" si="49"/>
        <v>9880</v>
      </c>
      <c r="N464" s="55" t="str">
        <f t="shared" si="50"/>
        <v>9880ml</v>
      </c>
      <c r="O464" s="56">
        <f t="shared" si="51"/>
        <v>1370.2</v>
      </c>
      <c r="P464" s="12"/>
      <c r="Q464" s="12"/>
      <c r="R464" s="12"/>
      <c r="S464" s="151"/>
      <c r="T464" s="12"/>
      <c r="U464" s="12"/>
      <c r="V464" s="12"/>
      <c r="W464" s="12"/>
      <c r="X464" s="12"/>
      <c r="Y464" s="12"/>
      <c r="Z464" s="12"/>
    </row>
    <row r="465" spans="1:26" ht="15" customHeight="1" x14ac:dyDescent="0.3">
      <c r="A465" s="45"/>
      <c r="B465" s="219" t="s">
        <v>56</v>
      </c>
      <c r="C465" s="194" t="s">
        <v>2021</v>
      </c>
      <c r="D465" s="46"/>
      <c r="E465" s="219" t="s">
        <v>1138</v>
      </c>
      <c r="F465" s="61" t="s">
        <v>31</v>
      </c>
      <c r="G465" s="291">
        <v>41.66</v>
      </c>
      <c r="H465" s="292">
        <v>28</v>
      </c>
      <c r="I465" s="293">
        <v>380</v>
      </c>
      <c r="J465" s="414" t="s">
        <v>32</v>
      </c>
      <c r="K465" s="50"/>
      <c r="L465" s="53" t="str">
        <f t="shared" si="48"/>
        <v>380ml</v>
      </c>
      <c r="M465" s="54">
        <f t="shared" si="49"/>
        <v>10640</v>
      </c>
      <c r="N465" s="55" t="str">
        <f t="shared" si="50"/>
        <v>10640ml</v>
      </c>
      <c r="O465" s="56">
        <f t="shared" si="51"/>
        <v>1166.48</v>
      </c>
      <c r="P465" s="12"/>
      <c r="Q465" s="12"/>
      <c r="R465" s="12"/>
      <c r="S465" s="151"/>
      <c r="T465" s="12"/>
      <c r="U465" s="12"/>
      <c r="V465" s="12"/>
      <c r="W465" s="12"/>
      <c r="X465" s="12"/>
      <c r="Y465" s="12"/>
      <c r="Z465" s="12"/>
    </row>
    <row r="466" spans="1:26" ht="15" customHeight="1" x14ac:dyDescent="0.3">
      <c r="A466" s="45"/>
      <c r="B466" s="46" t="s">
        <v>56</v>
      </c>
      <c r="C466" s="194" t="s">
        <v>2022</v>
      </c>
      <c r="D466" s="46"/>
      <c r="E466" s="46" t="s">
        <v>1139</v>
      </c>
      <c r="F466" s="61" t="s">
        <v>31</v>
      </c>
      <c r="G466" s="288">
        <v>54</v>
      </c>
      <c r="H466" s="289">
        <v>1</v>
      </c>
      <c r="I466" s="290">
        <v>390</v>
      </c>
      <c r="J466" s="48" t="s">
        <v>32</v>
      </c>
      <c r="K466" s="50"/>
      <c r="L466" s="53" t="str">
        <f t="shared" si="48"/>
        <v>390ml</v>
      </c>
      <c r="M466" s="54">
        <f t="shared" si="49"/>
        <v>390</v>
      </c>
      <c r="N466" s="55" t="str">
        <f t="shared" si="50"/>
        <v>390ml</v>
      </c>
      <c r="O466" s="56">
        <f t="shared" si="51"/>
        <v>54</v>
      </c>
      <c r="P466" s="12"/>
      <c r="Q466" s="12"/>
      <c r="R466" s="12"/>
      <c r="S466" s="151"/>
      <c r="T466" s="12"/>
      <c r="U466" s="12"/>
      <c r="V466" s="12"/>
      <c r="W466" s="12"/>
      <c r="X466" s="12"/>
      <c r="Y466" s="12"/>
      <c r="Z466" s="12"/>
    </row>
    <row r="467" spans="1:26" ht="15" customHeight="1" x14ac:dyDescent="0.3">
      <c r="A467" s="45">
        <v>342</v>
      </c>
      <c r="B467" s="46" t="s">
        <v>56</v>
      </c>
      <c r="C467" s="194" t="s">
        <v>2025</v>
      </c>
      <c r="D467" s="46"/>
      <c r="E467" s="46" t="s">
        <v>1140</v>
      </c>
      <c r="F467" s="61" t="s">
        <v>31</v>
      </c>
      <c r="G467" s="288">
        <v>59</v>
      </c>
      <c r="H467" s="289">
        <v>0</v>
      </c>
      <c r="I467" s="290">
        <v>374</v>
      </c>
      <c r="J467" s="48" t="s">
        <v>32</v>
      </c>
      <c r="K467" s="50"/>
      <c r="L467" s="53" t="str">
        <f t="shared" si="48"/>
        <v>374ml</v>
      </c>
      <c r="M467" s="54">
        <f t="shared" si="49"/>
        <v>0</v>
      </c>
      <c r="N467" s="55" t="str">
        <f t="shared" si="50"/>
        <v>0ml</v>
      </c>
      <c r="O467" s="56">
        <f t="shared" si="51"/>
        <v>0</v>
      </c>
      <c r="P467" s="44" t="e">
        <f>O467/H467</f>
        <v>#DIV/0!</v>
      </c>
      <c r="Q467" s="66"/>
      <c r="R467" s="32"/>
      <c r="S467" s="32"/>
      <c r="T467" s="32"/>
      <c r="U467" s="32"/>
      <c r="V467" s="32"/>
      <c r="W467" s="32"/>
      <c r="X467" s="32"/>
      <c r="Y467" s="32"/>
      <c r="Z467" s="32"/>
    </row>
    <row r="468" spans="1:26" ht="15" customHeight="1" x14ac:dyDescent="0.3">
      <c r="A468" s="45"/>
      <c r="B468" s="46" t="s">
        <v>56</v>
      </c>
      <c r="C468" s="194" t="s">
        <v>2022</v>
      </c>
      <c r="D468" s="46"/>
      <c r="E468" s="46" t="s">
        <v>1140</v>
      </c>
      <c r="F468" s="61" t="s">
        <v>31</v>
      </c>
      <c r="G468" s="288">
        <v>57.75</v>
      </c>
      <c r="H468" s="289">
        <v>1</v>
      </c>
      <c r="I468" s="290">
        <v>390</v>
      </c>
      <c r="J468" s="48" t="s">
        <v>32</v>
      </c>
      <c r="K468" s="50"/>
      <c r="L468" s="53" t="str">
        <f t="shared" si="48"/>
        <v>390ml</v>
      </c>
      <c r="M468" s="54">
        <f t="shared" si="49"/>
        <v>390</v>
      </c>
      <c r="N468" s="55" t="str">
        <f t="shared" si="50"/>
        <v>390ml</v>
      </c>
      <c r="O468" s="56">
        <f t="shared" si="51"/>
        <v>57.75</v>
      </c>
      <c r="P468" s="12"/>
      <c r="Q468" s="12"/>
      <c r="R468" s="12"/>
      <c r="S468" s="151"/>
      <c r="T468" s="12"/>
      <c r="U468" s="12"/>
      <c r="V468" s="12"/>
      <c r="W468" s="12"/>
      <c r="X468" s="12"/>
      <c r="Y468" s="12"/>
      <c r="Z468" s="12"/>
    </row>
    <row r="469" spans="1:26" ht="15" customHeight="1" x14ac:dyDescent="0.3">
      <c r="A469" s="45">
        <v>129</v>
      </c>
      <c r="B469" s="46" t="s">
        <v>1141</v>
      </c>
      <c r="C469" s="194" t="s">
        <v>2024</v>
      </c>
      <c r="D469" s="46"/>
      <c r="E469" s="46" t="s">
        <v>1142</v>
      </c>
      <c r="F469" s="61" t="s">
        <v>31</v>
      </c>
      <c r="G469" s="288">
        <v>6.1</v>
      </c>
      <c r="H469" s="289">
        <v>11</v>
      </c>
      <c r="I469" s="290">
        <v>13</v>
      </c>
      <c r="J469" s="48" t="s">
        <v>32</v>
      </c>
      <c r="K469" s="50"/>
      <c r="L469" s="53" t="str">
        <f t="shared" si="48"/>
        <v>13ml</v>
      </c>
      <c r="M469" s="54">
        <f t="shared" si="49"/>
        <v>143</v>
      </c>
      <c r="N469" s="55" t="str">
        <f t="shared" si="50"/>
        <v>143ml</v>
      </c>
      <c r="O469" s="56">
        <f t="shared" si="51"/>
        <v>67.099999999999994</v>
      </c>
      <c r="P469" s="44">
        <f t="shared" ref="P469:P472" si="89">O469/H469</f>
        <v>6.1</v>
      </c>
      <c r="Q469" s="66"/>
      <c r="R469" s="32"/>
      <c r="S469" s="32"/>
      <c r="T469" s="32"/>
      <c r="U469" s="32"/>
      <c r="V469" s="32"/>
      <c r="W469" s="32"/>
      <c r="X469" s="32"/>
      <c r="Y469" s="32"/>
      <c r="Z469" s="32"/>
    </row>
    <row r="470" spans="1:26" ht="15" customHeight="1" x14ac:dyDescent="0.3">
      <c r="A470" s="45"/>
      <c r="B470" s="46" t="s">
        <v>1143</v>
      </c>
      <c r="C470" s="194" t="s">
        <v>2022</v>
      </c>
      <c r="D470" s="46"/>
      <c r="E470" s="46" t="s">
        <v>1144</v>
      </c>
      <c r="F470" s="61" t="s">
        <v>31</v>
      </c>
      <c r="G470" s="288">
        <v>210</v>
      </c>
      <c r="H470" s="289">
        <v>1</v>
      </c>
      <c r="I470" s="290">
        <v>2272</v>
      </c>
      <c r="J470" s="422" t="s">
        <v>39</v>
      </c>
      <c r="K470" s="50"/>
      <c r="L470" s="53" t="str">
        <f t="shared" si="48"/>
        <v>2272grams</v>
      </c>
      <c r="M470" s="54">
        <f t="shared" si="49"/>
        <v>2272</v>
      </c>
      <c r="N470" s="55" t="str">
        <f t="shared" si="50"/>
        <v>2272grams</v>
      </c>
      <c r="O470" s="56">
        <f t="shared" si="51"/>
        <v>210</v>
      </c>
      <c r="P470" s="419">
        <f t="shared" si="89"/>
        <v>210</v>
      </c>
      <c r="Q470" s="66"/>
      <c r="R470" s="32" t="b">
        <f t="shared" ref="R470:R471" si="90">P470=G470</f>
        <v>1</v>
      </c>
      <c r="S470" s="151"/>
      <c r="T470" s="12"/>
      <c r="U470" s="12"/>
      <c r="V470" s="12"/>
      <c r="W470" s="12"/>
      <c r="X470" s="12"/>
      <c r="Y470" s="12"/>
      <c r="Z470" s="12"/>
    </row>
    <row r="471" spans="1:26" ht="15" customHeight="1" x14ac:dyDescent="0.3">
      <c r="A471" s="45"/>
      <c r="B471" s="219" t="s">
        <v>1143</v>
      </c>
      <c r="C471" s="194" t="s">
        <v>2021</v>
      </c>
      <c r="D471" s="46"/>
      <c r="E471" s="219" t="s">
        <v>1144</v>
      </c>
      <c r="F471" s="61" t="s">
        <v>31</v>
      </c>
      <c r="G471" s="291">
        <v>70</v>
      </c>
      <c r="H471" s="292">
        <v>2</v>
      </c>
      <c r="I471" s="293">
        <v>450</v>
      </c>
      <c r="J471" s="436" t="s">
        <v>39</v>
      </c>
      <c r="K471" s="50"/>
      <c r="L471" s="53" t="str">
        <f t="shared" si="48"/>
        <v>450grams</v>
      </c>
      <c r="M471" s="54">
        <f t="shared" si="49"/>
        <v>900</v>
      </c>
      <c r="N471" s="55" t="str">
        <f t="shared" si="50"/>
        <v>900grams</v>
      </c>
      <c r="O471" s="56">
        <f t="shared" si="51"/>
        <v>140</v>
      </c>
      <c r="P471" s="419">
        <f t="shared" si="89"/>
        <v>70</v>
      </c>
      <c r="Q471" s="66"/>
      <c r="R471" s="32" t="b">
        <f t="shared" si="90"/>
        <v>1</v>
      </c>
      <c r="S471" s="151"/>
      <c r="T471" s="12"/>
      <c r="U471" s="12"/>
      <c r="V471" s="12"/>
      <c r="W471" s="12"/>
      <c r="X471" s="12"/>
      <c r="Y471" s="12"/>
      <c r="Z471" s="12"/>
    </row>
    <row r="472" spans="1:26" ht="15" customHeight="1" x14ac:dyDescent="0.3">
      <c r="A472" s="45">
        <v>815</v>
      </c>
      <c r="B472" s="46" t="s">
        <v>217</v>
      </c>
      <c r="C472" s="194" t="s">
        <v>1368</v>
      </c>
      <c r="D472" s="46"/>
      <c r="E472" s="46" t="s">
        <v>1145</v>
      </c>
      <c r="F472" s="61" t="s">
        <v>31</v>
      </c>
      <c r="G472" s="288">
        <v>69</v>
      </c>
      <c r="H472" s="289">
        <v>7</v>
      </c>
      <c r="I472" s="290">
        <v>250</v>
      </c>
      <c r="J472" s="48" t="s">
        <v>39</v>
      </c>
      <c r="K472" s="50"/>
      <c r="L472" s="53" t="str">
        <f t="shared" si="48"/>
        <v>250grams</v>
      </c>
      <c r="M472" s="54">
        <f t="shared" si="49"/>
        <v>1750</v>
      </c>
      <c r="N472" s="55" t="str">
        <f t="shared" si="50"/>
        <v>1750grams</v>
      </c>
      <c r="O472" s="56">
        <f t="shared" si="51"/>
        <v>483</v>
      </c>
      <c r="P472" s="44">
        <f t="shared" si="89"/>
        <v>69</v>
      </c>
      <c r="Q472" s="66"/>
      <c r="R472" s="32"/>
      <c r="S472" s="32"/>
      <c r="T472" s="32"/>
      <c r="U472" s="32"/>
      <c r="V472" s="32"/>
      <c r="W472" s="32"/>
      <c r="X472" s="32"/>
      <c r="Y472" s="32"/>
      <c r="Z472" s="32"/>
    </row>
    <row r="473" spans="1:26" ht="15" customHeight="1" x14ac:dyDescent="0.3">
      <c r="A473" s="45"/>
      <c r="B473" s="219" t="s">
        <v>1146</v>
      </c>
      <c r="C473" s="194" t="s">
        <v>2021</v>
      </c>
      <c r="D473" s="46"/>
      <c r="E473" s="46" t="s">
        <v>1147</v>
      </c>
      <c r="F473" s="61" t="s">
        <v>31</v>
      </c>
      <c r="G473" s="291">
        <v>83.3</v>
      </c>
      <c r="H473" s="292">
        <v>4</v>
      </c>
      <c r="I473" s="293">
        <v>143</v>
      </c>
      <c r="J473" s="414" t="s">
        <v>39</v>
      </c>
      <c r="K473" s="50"/>
      <c r="L473" s="53" t="str">
        <f t="shared" si="48"/>
        <v>143grams</v>
      </c>
      <c r="M473" s="54">
        <f t="shared" si="49"/>
        <v>572</v>
      </c>
      <c r="N473" s="55" t="str">
        <f t="shared" si="50"/>
        <v>572grams</v>
      </c>
      <c r="O473" s="56">
        <f t="shared" si="51"/>
        <v>333.2</v>
      </c>
      <c r="P473" s="12"/>
      <c r="Q473" s="12"/>
      <c r="R473" s="12"/>
      <c r="S473" s="151"/>
      <c r="T473" s="12"/>
      <c r="U473" s="12"/>
      <c r="V473" s="12"/>
      <c r="W473" s="12"/>
      <c r="X473" s="12"/>
      <c r="Y473" s="12"/>
      <c r="Z473" s="12"/>
    </row>
    <row r="474" spans="1:26" ht="15" customHeight="1" x14ac:dyDescent="0.3">
      <c r="A474" s="45">
        <v>597</v>
      </c>
      <c r="B474" s="46" t="s">
        <v>1146</v>
      </c>
      <c r="C474" s="194" t="s">
        <v>2026</v>
      </c>
      <c r="D474" s="46"/>
      <c r="E474" s="46" t="s">
        <v>1148</v>
      </c>
      <c r="F474" s="61" t="s">
        <v>31</v>
      </c>
      <c r="G474" s="288">
        <v>56.2</v>
      </c>
      <c r="H474" s="289">
        <v>2</v>
      </c>
      <c r="I474" s="290">
        <v>130</v>
      </c>
      <c r="J474" s="48" t="s">
        <v>39</v>
      </c>
      <c r="K474" s="50"/>
      <c r="L474" s="53" t="str">
        <f t="shared" si="48"/>
        <v>130grams</v>
      </c>
      <c r="M474" s="54">
        <f t="shared" si="49"/>
        <v>260</v>
      </c>
      <c r="N474" s="55" t="str">
        <f t="shared" si="50"/>
        <v>260grams</v>
      </c>
      <c r="O474" s="56">
        <f t="shared" si="51"/>
        <v>112.4</v>
      </c>
      <c r="P474" s="44">
        <f t="shared" ref="P474:P480" si="91">O474/H474</f>
        <v>56.2</v>
      </c>
      <c r="Q474" s="66"/>
      <c r="R474" s="32"/>
      <c r="S474" s="32"/>
      <c r="T474" s="32"/>
      <c r="U474" s="32"/>
      <c r="V474" s="32"/>
      <c r="W474" s="32"/>
      <c r="X474" s="32"/>
      <c r="Y474" s="32"/>
      <c r="Z474" s="32"/>
    </row>
    <row r="475" spans="1:26" ht="15" customHeight="1" x14ac:dyDescent="0.3">
      <c r="A475" s="45">
        <v>610</v>
      </c>
      <c r="B475" s="46" t="s">
        <v>1146</v>
      </c>
      <c r="C475" s="194" t="s">
        <v>2026</v>
      </c>
      <c r="D475" s="46"/>
      <c r="E475" s="46" t="s">
        <v>1149</v>
      </c>
      <c r="F475" s="61" t="s">
        <v>31</v>
      </c>
      <c r="G475" s="288">
        <v>33.299999999999997</v>
      </c>
      <c r="H475" s="289">
        <v>20</v>
      </c>
      <c r="I475" s="290">
        <v>130</v>
      </c>
      <c r="J475" s="48" t="s">
        <v>39</v>
      </c>
      <c r="K475" s="50"/>
      <c r="L475" s="53" t="str">
        <f t="shared" si="48"/>
        <v>130grams</v>
      </c>
      <c r="M475" s="54">
        <f t="shared" si="49"/>
        <v>2600</v>
      </c>
      <c r="N475" s="55" t="str">
        <f t="shared" si="50"/>
        <v>2600grams</v>
      </c>
      <c r="O475" s="56">
        <f t="shared" si="51"/>
        <v>666</v>
      </c>
      <c r="P475" s="44">
        <f t="shared" si="91"/>
        <v>33.299999999999997</v>
      </c>
      <c r="Q475" s="66"/>
      <c r="R475" s="32"/>
      <c r="S475" s="32"/>
      <c r="T475" s="32"/>
      <c r="U475" s="32"/>
      <c r="V475" s="32"/>
      <c r="W475" s="32"/>
      <c r="X475" s="32"/>
      <c r="Y475" s="32"/>
      <c r="Z475" s="32"/>
    </row>
    <row r="476" spans="1:26" ht="15" customHeight="1" x14ac:dyDescent="0.3">
      <c r="A476" s="45">
        <v>609</v>
      </c>
      <c r="B476" s="46" t="s">
        <v>1146</v>
      </c>
      <c r="C476" s="194" t="s">
        <v>2026</v>
      </c>
      <c r="D476" s="46"/>
      <c r="E476" s="46" t="s">
        <v>1149</v>
      </c>
      <c r="F476" s="61" t="s">
        <v>31</v>
      </c>
      <c r="G476" s="288">
        <v>11.08</v>
      </c>
      <c r="H476" s="289">
        <v>60</v>
      </c>
      <c r="I476" s="290">
        <v>32</v>
      </c>
      <c r="J476" s="48" t="s">
        <v>39</v>
      </c>
      <c r="K476" s="50"/>
      <c r="L476" s="53" t="str">
        <f t="shared" si="48"/>
        <v>32grams</v>
      </c>
      <c r="M476" s="54">
        <f t="shared" si="49"/>
        <v>1920</v>
      </c>
      <c r="N476" s="55" t="str">
        <f t="shared" si="50"/>
        <v>1920grams</v>
      </c>
      <c r="O476" s="56">
        <f t="shared" si="51"/>
        <v>664.8</v>
      </c>
      <c r="P476" s="44">
        <f t="shared" si="91"/>
        <v>11.08</v>
      </c>
      <c r="Q476" s="66"/>
      <c r="R476" s="32"/>
      <c r="S476" s="32"/>
      <c r="T476" s="32"/>
      <c r="U476" s="32"/>
      <c r="V476" s="32"/>
      <c r="W476" s="32"/>
      <c r="X476" s="32"/>
      <c r="Y476" s="32"/>
      <c r="Z476" s="32"/>
    </row>
    <row r="477" spans="1:26" ht="15" customHeight="1" x14ac:dyDescent="0.3">
      <c r="A477" s="45">
        <v>119</v>
      </c>
      <c r="B477" s="46" t="s">
        <v>569</v>
      </c>
      <c r="C477" s="194" t="s">
        <v>2024</v>
      </c>
      <c r="D477" s="46"/>
      <c r="E477" s="46"/>
      <c r="F477" s="61" t="s">
        <v>31</v>
      </c>
      <c r="G477" s="288">
        <v>295</v>
      </c>
      <c r="H477" s="289">
        <v>16</v>
      </c>
      <c r="I477" s="290">
        <v>3500</v>
      </c>
      <c r="J477" s="48" t="s">
        <v>32</v>
      </c>
      <c r="K477" s="50"/>
      <c r="L477" s="53" t="str">
        <f t="shared" si="48"/>
        <v>3500ml</v>
      </c>
      <c r="M477" s="54">
        <f t="shared" si="49"/>
        <v>56000</v>
      </c>
      <c r="N477" s="55" t="str">
        <f t="shared" si="50"/>
        <v>56000ml</v>
      </c>
      <c r="O477" s="56">
        <f t="shared" si="51"/>
        <v>4720</v>
      </c>
      <c r="P477" s="44">
        <f t="shared" si="91"/>
        <v>295</v>
      </c>
      <c r="Q477" s="66"/>
      <c r="R477" s="32"/>
      <c r="S477" s="32"/>
      <c r="T477" s="32"/>
      <c r="U477" s="32"/>
      <c r="V477" s="32"/>
      <c r="W477" s="32"/>
      <c r="X477" s="32"/>
      <c r="Y477" s="32"/>
      <c r="Z477" s="32"/>
    </row>
    <row r="478" spans="1:26" ht="15" customHeight="1" x14ac:dyDescent="0.3">
      <c r="A478" s="45">
        <v>330</v>
      </c>
      <c r="B478" s="46" t="s">
        <v>569</v>
      </c>
      <c r="C478" s="194" t="s">
        <v>2025</v>
      </c>
      <c r="D478" s="46"/>
      <c r="E478" s="46" t="s">
        <v>1150</v>
      </c>
      <c r="F478" s="61" t="s">
        <v>31</v>
      </c>
      <c r="G478" s="288">
        <v>1768</v>
      </c>
      <c r="H478" s="289">
        <v>3</v>
      </c>
      <c r="I478" s="290">
        <v>16</v>
      </c>
      <c r="J478" s="48" t="s">
        <v>773</v>
      </c>
      <c r="K478" s="50"/>
      <c r="L478" s="53" t="str">
        <f t="shared" si="48"/>
        <v>16liters</v>
      </c>
      <c r="M478" s="54">
        <f t="shared" si="49"/>
        <v>48</v>
      </c>
      <c r="N478" s="55" t="str">
        <f t="shared" si="50"/>
        <v>48liters</v>
      </c>
      <c r="O478" s="56">
        <f t="shared" si="51"/>
        <v>5304</v>
      </c>
      <c r="P478" s="44">
        <f t="shared" si="91"/>
        <v>1768</v>
      </c>
      <c r="Q478" s="66"/>
      <c r="R478" s="32"/>
      <c r="S478" s="32"/>
      <c r="T478" s="32"/>
      <c r="U478" s="32"/>
      <c r="V478" s="32"/>
      <c r="W478" s="32"/>
      <c r="X478" s="32"/>
      <c r="Y478" s="32"/>
      <c r="Z478" s="32"/>
    </row>
    <row r="479" spans="1:26" ht="15" customHeight="1" x14ac:dyDescent="0.3">
      <c r="A479" s="45">
        <v>723</v>
      </c>
      <c r="B479" s="46" t="s">
        <v>569</v>
      </c>
      <c r="C479" s="194" t="s">
        <v>2026</v>
      </c>
      <c r="D479" s="46"/>
      <c r="E479" s="46" t="s">
        <v>1150</v>
      </c>
      <c r="F479" s="61" t="s">
        <v>31</v>
      </c>
      <c r="G479" s="288">
        <v>1608.5</v>
      </c>
      <c r="H479" s="289">
        <v>2</v>
      </c>
      <c r="I479" s="290">
        <v>16</v>
      </c>
      <c r="J479" s="48" t="s">
        <v>773</v>
      </c>
      <c r="K479" s="50" t="s">
        <v>2019</v>
      </c>
      <c r="L479" s="53" t="str">
        <f t="shared" si="48"/>
        <v>16liters</v>
      </c>
      <c r="M479" s="54">
        <f t="shared" si="49"/>
        <v>32</v>
      </c>
      <c r="N479" s="55" t="str">
        <f t="shared" si="50"/>
        <v>32liters</v>
      </c>
      <c r="O479" s="56">
        <f t="shared" si="51"/>
        <v>3217</v>
      </c>
      <c r="P479" s="44">
        <f t="shared" si="91"/>
        <v>1608.5</v>
      </c>
      <c r="Q479" s="44">
        <f>G479-P479</f>
        <v>0</v>
      </c>
      <c r="R479" s="32" t="b">
        <f>P479=G479</f>
        <v>1</v>
      </c>
      <c r="S479" s="32"/>
      <c r="T479" s="32"/>
      <c r="U479" s="32"/>
      <c r="V479" s="32"/>
      <c r="W479" s="32"/>
      <c r="X479" s="32"/>
      <c r="Y479" s="32"/>
      <c r="Z479" s="32"/>
    </row>
    <row r="480" spans="1:26" ht="15" customHeight="1" x14ac:dyDescent="0.3">
      <c r="A480" s="45">
        <v>816</v>
      </c>
      <c r="B480" s="46" t="s">
        <v>569</v>
      </c>
      <c r="C480" s="194" t="s">
        <v>1368</v>
      </c>
      <c r="D480" s="46"/>
      <c r="E480" s="46" t="s">
        <v>1151</v>
      </c>
      <c r="F480" s="61" t="s">
        <v>31</v>
      </c>
      <c r="G480" s="288">
        <v>318</v>
      </c>
      <c r="H480" s="289">
        <v>7</v>
      </c>
      <c r="I480" s="290">
        <v>3</v>
      </c>
      <c r="J480" s="48" t="s">
        <v>213</v>
      </c>
      <c r="K480" s="50"/>
      <c r="L480" s="53" t="str">
        <f t="shared" si="48"/>
        <v>3kilos</v>
      </c>
      <c r="M480" s="54">
        <f t="shared" si="49"/>
        <v>21</v>
      </c>
      <c r="N480" s="55" t="str">
        <f t="shared" si="50"/>
        <v>21kilos</v>
      </c>
      <c r="O480" s="56">
        <f t="shared" si="51"/>
        <v>2226</v>
      </c>
      <c r="P480" s="44">
        <f t="shared" si="91"/>
        <v>318</v>
      </c>
      <c r="Q480" s="66"/>
      <c r="R480" s="32"/>
      <c r="S480" s="32"/>
      <c r="T480" s="32"/>
      <c r="U480" s="32"/>
      <c r="V480" s="32"/>
      <c r="W480" s="32"/>
      <c r="X480" s="32"/>
      <c r="Y480" s="32"/>
      <c r="Z480" s="32"/>
    </row>
    <row r="481" spans="1:26" ht="15" customHeight="1" x14ac:dyDescent="0.3">
      <c r="A481" s="45"/>
      <c r="B481" s="46" t="s">
        <v>569</v>
      </c>
      <c r="C481" s="194" t="s">
        <v>2023</v>
      </c>
      <c r="D481" s="46"/>
      <c r="E481" s="46" t="s">
        <v>1150</v>
      </c>
      <c r="F481" s="61" t="s">
        <v>31</v>
      </c>
      <c r="G481" s="288">
        <v>1768.3</v>
      </c>
      <c r="H481" s="289">
        <v>2</v>
      </c>
      <c r="I481" s="290">
        <v>16</v>
      </c>
      <c r="J481" s="48" t="s">
        <v>773</v>
      </c>
      <c r="K481" s="50"/>
      <c r="L481" s="53" t="str">
        <f t="shared" si="48"/>
        <v>16liters</v>
      </c>
      <c r="M481" s="54">
        <f t="shared" si="49"/>
        <v>32</v>
      </c>
      <c r="N481" s="55" t="str">
        <f t="shared" si="50"/>
        <v>32liters</v>
      </c>
      <c r="O481" s="56">
        <f t="shared" si="51"/>
        <v>3536.6</v>
      </c>
      <c r="P481" s="44"/>
      <c r="Q481" s="12"/>
      <c r="R481" s="12"/>
      <c r="S481" s="151"/>
      <c r="T481" s="12"/>
      <c r="U481" s="12"/>
      <c r="V481" s="12"/>
      <c r="W481" s="12"/>
      <c r="X481" s="12"/>
      <c r="Y481" s="12"/>
      <c r="Z481" s="12"/>
    </row>
    <row r="482" spans="1:26" ht="15" customHeight="1" x14ac:dyDescent="0.3">
      <c r="A482" s="45"/>
      <c r="B482" s="46" t="s">
        <v>569</v>
      </c>
      <c r="C482" s="194" t="s">
        <v>2023</v>
      </c>
      <c r="D482" s="46"/>
      <c r="E482" s="46"/>
      <c r="F482" s="61" t="s">
        <v>31</v>
      </c>
      <c r="G482" s="288">
        <v>340</v>
      </c>
      <c r="H482" s="289">
        <v>6</v>
      </c>
      <c r="I482" s="290">
        <v>1</v>
      </c>
      <c r="J482" s="48" t="s">
        <v>200</v>
      </c>
      <c r="K482" s="50"/>
      <c r="L482" s="53" t="str">
        <f t="shared" si="48"/>
        <v>1gal</v>
      </c>
      <c r="M482" s="54">
        <f t="shared" si="49"/>
        <v>6</v>
      </c>
      <c r="N482" s="55" t="str">
        <f t="shared" si="50"/>
        <v>6gal</v>
      </c>
      <c r="O482" s="56">
        <f t="shared" si="51"/>
        <v>2040</v>
      </c>
      <c r="P482" s="12"/>
      <c r="Q482" s="12"/>
      <c r="R482" s="12"/>
      <c r="S482" s="151"/>
      <c r="T482" s="12"/>
      <c r="U482" s="12"/>
      <c r="V482" s="12"/>
      <c r="W482" s="12"/>
      <c r="X482" s="12"/>
      <c r="Y482" s="12"/>
      <c r="Z482" s="12"/>
    </row>
    <row r="483" spans="1:26" ht="15" customHeight="1" x14ac:dyDescent="0.3">
      <c r="A483" s="45"/>
      <c r="B483" s="46" t="s">
        <v>569</v>
      </c>
      <c r="C483" s="194" t="s">
        <v>2021</v>
      </c>
      <c r="D483" s="46"/>
      <c r="E483" s="219"/>
      <c r="F483" s="61" t="s">
        <v>31</v>
      </c>
      <c r="G483" s="291">
        <v>1540</v>
      </c>
      <c r="H483" s="292">
        <v>1</v>
      </c>
      <c r="I483" s="293">
        <v>1</v>
      </c>
      <c r="J483" s="414" t="s">
        <v>32</v>
      </c>
      <c r="K483" s="50"/>
      <c r="L483" s="53" t="str">
        <f t="shared" si="48"/>
        <v>1ml</v>
      </c>
      <c r="M483" s="54">
        <f t="shared" si="49"/>
        <v>1</v>
      </c>
      <c r="N483" s="55" t="str">
        <f t="shared" si="50"/>
        <v>1ml</v>
      </c>
      <c r="O483" s="56">
        <f t="shared" si="51"/>
        <v>1540</v>
      </c>
      <c r="P483" s="12"/>
      <c r="Q483" s="12"/>
      <c r="R483" s="12"/>
      <c r="S483" s="151"/>
      <c r="T483" s="12"/>
      <c r="U483" s="12"/>
      <c r="V483" s="12"/>
      <c r="W483" s="12"/>
      <c r="X483" s="12"/>
      <c r="Y483" s="12"/>
      <c r="Z483" s="12"/>
    </row>
    <row r="484" spans="1:26" ht="15" customHeight="1" x14ac:dyDescent="0.3">
      <c r="A484" s="45"/>
      <c r="B484" s="46" t="s">
        <v>569</v>
      </c>
      <c r="C484" s="194" t="s">
        <v>2020</v>
      </c>
      <c r="D484" s="46"/>
      <c r="E484" s="46" t="s">
        <v>1150</v>
      </c>
      <c r="F484" s="61" t="s">
        <v>31</v>
      </c>
      <c r="G484" s="288">
        <v>1608.5</v>
      </c>
      <c r="H484" s="289">
        <v>1</v>
      </c>
      <c r="I484" s="290">
        <v>16</v>
      </c>
      <c r="J484" s="48" t="s">
        <v>773</v>
      </c>
      <c r="K484" s="50"/>
      <c r="L484" s="53" t="str">
        <f t="shared" si="48"/>
        <v>16liters</v>
      </c>
      <c r="M484" s="54">
        <f t="shared" si="49"/>
        <v>16</v>
      </c>
      <c r="N484" s="55" t="str">
        <f t="shared" si="50"/>
        <v>16liters</v>
      </c>
      <c r="O484" s="56">
        <f t="shared" si="51"/>
        <v>1608.5</v>
      </c>
      <c r="P484" s="12"/>
      <c r="Q484" s="12"/>
      <c r="R484" s="12"/>
      <c r="S484" s="151"/>
      <c r="T484" s="12"/>
      <c r="U484" s="12"/>
      <c r="V484" s="12"/>
      <c r="W484" s="12"/>
      <c r="X484" s="12"/>
      <c r="Y484" s="12"/>
      <c r="Z484" s="12"/>
    </row>
    <row r="485" spans="1:26" ht="15" customHeight="1" x14ac:dyDescent="0.3">
      <c r="A485" s="45"/>
      <c r="B485" s="46" t="s">
        <v>569</v>
      </c>
      <c r="C485" s="194" t="s">
        <v>2022</v>
      </c>
      <c r="D485" s="46"/>
      <c r="E485" s="46" t="s">
        <v>1071</v>
      </c>
      <c r="F485" s="61" t="s">
        <v>31</v>
      </c>
      <c r="G485" s="288">
        <v>1560</v>
      </c>
      <c r="H485" s="289">
        <v>4</v>
      </c>
      <c r="I485" s="290">
        <v>16</v>
      </c>
      <c r="J485" s="48" t="s">
        <v>773</v>
      </c>
      <c r="K485" s="50"/>
      <c r="L485" s="53" t="str">
        <f t="shared" si="48"/>
        <v>16liters</v>
      </c>
      <c r="M485" s="54">
        <f t="shared" si="49"/>
        <v>64</v>
      </c>
      <c r="N485" s="55" t="str">
        <f t="shared" si="50"/>
        <v>64liters</v>
      </c>
      <c r="O485" s="56">
        <f t="shared" si="51"/>
        <v>6240</v>
      </c>
      <c r="P485" s="12"/>
      <c r="Q485" s="12"/>
      <c r="R485" s="12"/>
      <c r="S485" s="151"/>
      <c r="T485" s="12"/>
      <c r="U485" s="12"/>
      <c r="V485" s="12"/>
      <c r="W485" s="12"/>
      <c r="X485" s="12"/>
      <c r="Y485" s="12"/>
      <c r="Z485" s="12"/>
    </row>
    <row r="486" spans="1:26" ht="15" customHeight="1" x14ac:dyDescent="0.3">
      <c r="A486" s="45"/>
      <c r="B486" s="46" t="s">
        <v>1152</v>
      </c>
      <c r="C486" s="194" t="s">
        <v>2022</v>
      </c>
      <c r="D486" s="46"/>
      <c r="E486" s="46" t="s">
        <v>1153</v>
      </c>
      <c r="F486" s="61" t="s">
        <v>31</v>
      </c>
      <c r="G486" s="288">
        <v>78</v>
      </c>
      <c r="H486" s="289">
        <v>1</v>
      </c>
      <c r="I486" s="290">
        <v>350</v>
      </c>
      <c r="J486" s="48" t="s">
        <v>32</v>
      </c>
      <c r="K486" s="50"/>
      <c r="L486" s="53" t="str">
        <f t="shared" si="48"/>
        <v>350ml</v>
      </c>
      <c r="M486" s="54">
        <f t="shared" si="49"/>
        <v>350</v>
      </c>
      <c r="N486" s="55" t="str">
        <f t="shared" si="50"/>
        <v>350ml</v>
      </c>
      <c r="O486" s="56">
        <f t="shared" si="51"/>
        <v>78</v>
      </c>
      <c r="P486" s="12"/>
      <c r="Q486" s="12"/>
      <c r="R486" s="12"/>
      <c r="S486" s="151"/>
      <c r="T486" s="12"/>
      <c r="U486" s="12"/>
      <c r="V486" s="12"/>
      <c r="W486" s="12"/>
      <c r="X486" s="12"/>
      <c r="Y486" s="12"/>
      <c r="Z486" s="12"/>
    </row>
    <row r="487" spans="1:26" ht="15" customHeight="1" x14ac:dyDescent="0.3">
      <c r="A487" s="45"/>
      <c r="B487" s="219" t="s">
        <v>1154</v>
      </c>
      <c r="C487" s="194" t="s">
        <v>2021</v>
      </c>
      <c r="D487" s="46"/>
      <c r="E487" s="219" t="s">
        <v>1074</v>
      </c>
      <c r="F487" s="61" t="s">
        <v>31</v>
      </c>
      <c r="G487" s="291">
        <v>11.3</v>
      </c>
      <c r="H487" s="292">
        <v>3</v>
      </c>
      <c r="I487" s="293">
        <v>30</v>
      </c>
      <c r="J487" s="414" t="s">
        <v>39</v>
      </c>
      <c r="K487" s="50"/>
      <c r="L487" s="53" t="str">
        <f t="shared" si="48"/>
        <v>30grams</v>
      </c>
      <c r="M487" s="54">
        <f t="shared" si="49"/>
        <v>90</v>
      </c>
      <c r="N487" s="55" t="str">
        <f t="shared" si="50"/>
        <v>90grams</v>
      </c>
      <c r="O487" s="56">
        <f t="shared" si="51"/>
        <v>33.900000000000006</v>
      </c>
      <c r="P487" s="12"/>
      <c r="Q487" s="12"/>
      <c r="R487" s="12"/>
      <c r="S487" s="151"/>
      <c r="T487" s="12"/>
      <c r="U487" s="12"/>
      <c r="V487" s="12"/>
      <c r="W487" s="12"/>
      <c r="X487" s="12"/>
      <c r="Y487" s="12"/>
      <c r="Z487" s="12"/>
    </row>
    <row r="488" spans="1:26" ht="15" customHeight="1" x14ac:dyDescent="0.3">
      <c r="A488" s="45"/>
      <c r="B488" s="219" t="s">
        <v>1155</v>
      </c>
      <c r="C488" s="194" t="s">
        <v>2021</v>
      </c>
      <c r="D488" s="46"/>
      <c r="E488" s="219" t="s">
        <v>1156</v>
      </c>
      <c r="F488" s="61" t="s">
        <v>31</v>
      </c>
      <c r="G488" s="291">
        <v>102</v>
      </c>
      <c r="H488" s="292">
        <v>1</v>
      </c>
      <c r="I488" s="293">
        <v>500</v>
      </c>
      <c r="J488" s="414" t="s">
        <v>32</v>
      </c>
      <c r="K488" s="50"/>
      <c r="L488" s="53" t="str">
        <f t="shared" si="48"/>
        <v>500ml</v>
      </c>
      <c r="M488" s="54">
        <f t="shared" si="49"/>
        <v>500</v>
      </c>
      <c r="N488" s="55" t="str">
        <f t="shared" si="50"/>
        <v>500ml</v>
      </c>
      <c r="O488" s="56">
        <f t="shared" si="51"/>
        <v>102</v>
      </c>
      <c r="P488" s="12"/>
      <c r="Q488" s="12"/>
      <c r="R488" s="12"/>
      <c r="S488" s="151"/>
      <c r="T488" s="12"/>
      <c r="U488" s="12"/>
      <c r="V488" s="12"/>
      <c r="W488" s="12"/>
      <c r="X488" s="12"/>
      <c r="Y488" s="12"/>
      <c r="Z488" s="12"/>
    </row>
    <row r="489" spans="1:26" ht="15" customHeight="1" x14ac:dyDescent="0.3">
      <c r="A489" s="45">
        <v>694</v>
      </c>
      <c r="B489" s="46" t="s">
        <v>171</v>
      </c>
      <c r="C489" s="194" t="s">
        <v>2026</v>
      </c>
      <c r="D489" s="46"/>
      <c r="E489" s="46" t="s">
        <v>1157</v>
      </c>
      <c r="F489" s="61" t="s">
        <v>31</v>
      </c>
      <c r="G489" s="288">
        <v>56.1</v>
      </c>
      <c r="H489" s="289">
        <v>6</v>
      </c>
      <c r="I489" s="290">
        <v>260</v>
      </c>
      <c r="J489" s="48" t="s">
        <v>39</v>
      </c>
      <c r="K489" s="50" t="s">
        <v>2019</v>
      </c>
      <c r="L489" s="53" t="str">
        <f t="shared" si="48"/>
        <v>260grams</v>
      </c>
      <c r="M489" s="54">
        <f t="shared" si="49"/>
        <v>1560</v>
      </c>
      <c r="N489" s="55" t="str">
        <f t="shared" si="50"/>
        <v>1560grams</v>
      </c>
      <c r="O489" s="56">
        <f t="shared" si="51"/>
        <v>336.6</v>
      </c>
      <c r="P489" s="44">
        <f t="shared" ref="P489:P492" si="92">O489/H489</f>
        <v>56.1</v>
      </c>
      <c r="Q489" s="66">
        <f>G489-P489</f>
        <v>0</v>
      </c>
      <c r="R489" s="32" t="b">
        <f>P489=G489</f>
        <v>1</v>
      </c>
      <c r="S489" s="32"/>
      <c r="T489" s="32"/>
      <c r="U489" s="32"/>
      <c r="V489" s="32"/>
      <c r="W489" s="32"/>
      <c r="X489" s="32"/>
      <c r="Y489" s="32"/>
      <c r="Z489" s="32"/>
    </row>
    <row r="490" spans="1:26" ht="15" customHeight="1" x14ac:dyDescent="0.3">
      <c r="A490" s="45">
        <v>263</v>
      </c>
      <c r="B490" s="46" t="s">
        <v>62</v>
      </c>
      <c r="C490" s="194" t="s">
        <v>2025</v>
      </c>
      <c r="D490" s="46"/>
      <c r="E490" s="46" t="s">
        <v>1068</v>
      </c>
      <c r="F490" s="61" t="s">
        <v>31</v>
      </c>
      <c r="G490" s="288">
        <v>65</v>
      </c>
      <c r="H490" s="289">
        <v>5</v>
      </c>
      <c r="I490" s="290">
        <v>1</v>
      </c>
      <c r="J490" s="48" t="s">
        <v>213</v>
      </c>
      <c r="K490" s="50"/>
      <c r="L490" s="53" t="str">
        <f t="shared" si="48"/>
        <v>1kilos</v>
      </c>
      <c r="M490" s="54">
        <f t="shared" si="49"/>
        <v>5</v>
      </c>
      <c r="N490" s="55" t="str">
        <f t="shared" si="50"/>
        <v>5kilos</v>
      </c>
      <c r="O490" s="56">
        <f t="shared" si="51"/>
        <v>325</v>
      </c>
      <c r="P490" s="44">
        <f t="shared" si="92"/>
        <v>65</v>
      </c>
      <c r="Q490" s="66"/>
      <c r="R490" s="32"/>
      <c r="S490" s="32"/>
      <c r="T490" s="32"/>
      <c r="U490" s="32"/>
      <c r="V490" s="32"/>
      <c r="W490" s="32"/>
      <c r="X490" s="32"/>
      <c r="Y490" s="32"/>
      <c r="Z490" s="32"/>
    </row>
    <row r="491" spans="1:26" ht="15" customHeight="1" x14ac:dyDescent="0.3">
      <c r="A491" s="45">
        <v>508</v>
      </c>
      <c r="B491" s="46" t="s">
        <v>62</v>
      </c>
      <c r="C491" s="194" t="s">
        <v>2026</v>
      </c>
      <c r="D491" s="46"/>
      <c r="E491" s="46" t="s">
        <v>38</v>
      </c>
      <c r="F491" s="61" t="s">
        <v>31</v>
      </c>
      <c r="G491" s="288">
        <v>947.15</v>
      </c>
      <c r="H491" s="289">
        <v>1</v>
      </c>
      <c r="I491" s="290">
        <v>9600</v>
      </c>
      <c r="J491" s="48" t="s">
        <v>39</v>
      </c>
      <c r="K491" s="50"/>
      <c r="L491" s="53" t="str">
        <f t="shared" si="48"/>
        <v>9600grams</v>
      </c>
      <c r="M491" s="54">
        <f t="shared" si="49"/>
        <v>9600</v>
      </c>
      <c r="N491" s="55" t="str">
        <f t="shared" si="50"/>
        <v>9600grams</v>
      </c>
      <c r="O491" s="56">
        <f t="shared" si="51"/>
        <v>947.15</v>
      </c>
      <c r="P491" s="44">
        <f t="shared" si="92"/>
        <v>947.15</v>
      </c>
      <c r="Q491" s="66"/>
      <c r="R491" s="32" t="b">
        <f t="shared" ref="R491:R492" si="93">P491=G491</f>
        <v>1</v>
      </c>
      <c r="S491" s="32"/>
      <c r="T491" s="32"/>
      <c r="U491" s="32"/>
      <c r="V491" s="32"/>
      <c r="W491" s="32"/>
      <c r="X491" s="32"/>
      <c r="Y491" s="32"/>
      <c r="Z491" s="32"/>
    </row>
    <row r="492" spans="1:26" ht="15" customHeight="1" x14ac:dyDescent="0.3">
      <c r="A492" s="45">
        <v>848</v>
      </c>
      <c r="B492" s="46" t="s">
        <v>62</v>
      </c>
      <c r="C492" s="194" t="s">
        <v>1368</v>
      </c>
      <c r="D492" s="46"/>
      <c r="E492" s="46"/>
      <c r="F492" s="61" t="s">
        <v>31</v>
      </c>
      <c r="G492" s="288">
        <v>54</v>
      </c>
      <c r="H492" s="289">
        <v>3</v>
      </c>
      <c r="I492" s="290">
        <v>1</v>
      </c>
      <c r="J492" s="48" t="s">
        <v>213</v>
      </c>
      <c r="K492" s="50"/>
      <c r="L492" s="53" t="str">
        <f t="shared" si="48"/>
        <v>1kilos</v>
      </c>
      <c r="M492" s="54">
        <f t="shared" si="49"/>
        <v>3</v>
      </c>
      <c r="N492" s="55" t="str">
        <f t="shared" si="50"/>
        <v>3kilos</v>
      </c>
      <c r="O492" s="56">
        <f t="shared" si="51"/>
        <v>162</v>
      </c>
      <c r="P492" s="44">
        <f t="shared" si="92"/>
        <v>54</v>
      </c>
      <c r="Q492" s="66"/>
      <c r="R492" s="32" t="b">
        <f t="shared" si="93"/>
        <v>1</v>
      </c>
      <c r="S492" s="32"/>
      <c r="T492" s="32"/>
      <c r="U492" s="32"/>
      <c r="V492" s="32"/>
      <c r="W492" s="32"/>
      <c r="X492" s="32"/>
      <c r="Y492" s="32"/>
      <c r="Z492" s="32"/>
    </row>
    <row r="493" spans="1:26" ht="15" customHeight="1" x14ac:dyDescent="0.3">
      <c r="A493" s="45"/>
      <c r="B493" s="46" t="s">
        <v>62</v>
      </c>
      <c r="C493" s="194" t="s">
        <v>2023</v>
      </c>
      <c r="D493" s="46"/>
      <c r="E493" s="46" t="s">
        <v>851</v>
      </c>
      <c r="F493" s="61" t="s">
        <v>31</v>
      </c>
      <c r="G493" s="288">
        <v>60</v>
      </c>
      <c r="H493" s="289">
        <v>1</v>
      </c>
      <c r="I493" s="290">
        <v>1000</v>
      </c>
      <c r="J493" s="422" t="s">
        <v>39</v>
      </c>
      <c r="K493" s="50"/>
      <c r="L493" s="53" t="str">
        <f t="shared" si="48"/>
        <v>1000grams</v>
      </c>
      <c r="M493" s="54">
        <f t="shared" si="49"/>
        <v>1000</v>
      </c>
      <c r="N493" s="55" t="str">
        <f t="shared" si="50"/>
        <v>1000grams</v>
      </c>
      <c r="O493" s="56">
        <f t="shared" si="51"/>
        <v>60</v>
      </c>
      <c r="P493" s="44"/>
      <c r="Q493" s="12"/>
      <c r="R493" s="12"/>
      <c r="S493" s="151"/>
      <c r="T493" s="12"/>
      <c r="U493" s="12"/>
      <c r="V493" s="12"/>
      <c r="W493" s="12"/>
      <c r="X493" s="12"/>
      <c r="Y493" s="12"/>
      <c r="Z493" s="12"/>
    </row>
    <row r="494" spans="1:26" ht="15" customHeight="1" x14ac:dyDescent="0.3">
      <c r="A494" s="45"/>
      <c r="B494" s="46" t="s">
        <v>62</v>
      </c>
      <c r="C494" s="194" t="s">
        <v>2022</v>
      </c>
      <c r="D494" s="46"/>
      <c r="E494" s="46" t="s">
        <v>47</v>
      </c>
      <c r="F494" s="61" t="s">
        <v>31</v>
      </c>
      <c r="G494" s="288">
        <v>48.7</v>
      </c>
      <c r="H494" s="289">
        <v>4</v>
      </c>
      <c r="I494" s="290">
        <v>400</v>
      </c>
      <c r="J494" s="48" t="s">
        <v>39</v>
      </c>
      <c r="K494" s="50"/>
      <c r="L494" s="53" t="str">
        <f t="shared" si="48"/>
        <v>400grams</v>
      </c>
      <c r="M494" s="54">
        <f t="shared" si="49"/>
        <v>1600</v>
      </c>
      <c r="N494" s="55" t="str">
        <f t="shared" si="50"/>
        <v>1600grams</v>
      </c>
      <c r="O494" s="56">
        <f t="shared" si="51"/>
        <v>194.8</v>
      </c>
      <c r="P494" s="12"/>
      <c r="Q494" s="12"/>
      <c r="R494" s="12"/>
      <c r="S494" s="151"/>
      <c r="T494" s="12"/>
      <c r="U494" s="12"/>
      <c r="V494" s="12"/>
      <c r="W494" s="12"/>
      <c r="X494" s="12"/>
      <c r="Y494" s="12"/>
      <c r="Z494" s="12"/>
    </row>
    <row r="495" spans="1:26" ht="15" customHeight="1" x14ac:dyDescent="0.3">
      <c r="A495" s="45"/>
      <c r="B495" s="46" t="s">
        <v>62</v>
      </c>
      <c r="C495" s="194" t="s">
        <v>2021</v>
      </c>
      <c r="D495" s="46"/>
      <c r="E495" s="219"/>
      <c r="F495" s="61" t="s">
        <v>31</v>
      </c>
      <c r="G495" s="291">
        <v>56</v>
      </c>
      <c r="H495" s="292">
        <v>15</v>
      </c>
      <c r="I495" s="293">
        <v>1000</v>
      </c>
      <c r="J495" s="414" t="s">
        <v>39</v>
      </c>
      <c r="K495" s="50"/>
      <c r="L495" s="53" t="str">
        <f t="shared" si="48"/>
        <v>1000grams</v>
      </c>
      <c r="M495" s="54">
        <f t="shared" si="49"/>
        <v>15000</v>
      </c>
      <c r="N495" s="55" t="str">
        <f t="shared" si="50"/>
        <v>15000grams</v>
      </c>
      <c r="O495" s="56">
        <f t="shared" si="51"/>
        <v>840</v>
      </c>
      <c r="P495" s="12"/>
      <c r="Q495" s="12"/>
      <c r="R495" s="12"/>
      <c r="S495" s="151"/>
      <c r="T495" s="12"/>
      <c r="U495" s="12"/>
      <c r="V495" s="12"/>
      <c r="W495" s="12"/>
      <c r="X495" s="12"/>
      <c r="Y495" s="12"/>
      <c r="Z495" s="12"/>
    </row>
    <row r="496" spans="1:26" ht="15" customHeight="1" x14ac:dyDescent="0.3">
      <c r="A496" s="45"/>
      <c r="B496" s="46" t="s">
        <v>62</v>
      </c>
      <c r="C496" s="194" t="s">
        <v>2020</v>
      </c>
      <c r="D496" s="46"/>
      <c r="E496" s="46" t="s">
        <v>47</v>
      </c>
      <c r="F496" s="61" t="s">
        <v>31</v>
      </c>
      <c r="G496" s="288">
        <v>55</v>
      </c>
      <c r="H496" s="289">
        <v>5</v>
      </c>
      <c r="I496" s="290">
        <v>1000</v>
      </c>
      <c r="J496" s="48" t="s">
        <v>213</v>
      </c>
      <c r="K496" s="50"/>
      <c r="L496" s="53" t="str">
        <f t="shared" si="48"/>
        <v>1000kilos</v>
      </c>
      <c r="M496" s="54">
        <f t="shared" si="49"/>
        <v>5000</v>
      </c>
      <c r="N496" s="55" t="str">
        <f t="shared" si="50"/>
        <v>5000kilos</v>
      </c>
      <c r="O496" s="56">
        <f t="shared" si="51"/>
        <v>275</v>
      </c>
      <c r="P496" s="12"/>
      <c r="Q496" s="12"/>
      <c r="R496" s="12"/>
      <c r="S496" s="151"/>
      <c r="T496" s="12"/>
      <c r="U496" s="12"/>
      <c r="V496" s="12"/>
      <c r="W496" s="12"/>
      <c r="X496" s="12"/>
      <c r="Y496" s="12"/>
      <c r="Z496" s="12"/>
    </row>
    <row r="497" spans="1:26" ht="15" customHeight="1" x14ac:dyDescent="0.3">
      <c r="A497" s="45">
        <v>305</v>
      </c>
      <c r="B497" s="46" t="s">
        <v>1158</v>
      </c>
      <c r="C497" s="194" t="s">
        <v>2025</v>
      </c>
      <c r="D497" s="46"/>
      <c r="E497" s="46"/>
      <c r="F497" s="61" t="s">
        <v>31</v>
      </c>
      <c r="G497" s="288">
        <v>700</v>
      </c>
      <c r="H497" s="289">
        <v>0</v>
      </c>
      <c r="I497" s="290">
        <v>500</v>
      </c>
      <c r="J497" s="48" t="s">
        <v>39</v>
      </c>
      <c r="K497" s="50"/>
      <c r="L497" s="53" t="str">
        <f t="shared" si="48"/>
        <v>500grams</v>
      </c>
      <c r="M497" s="54">
        <f t="shared" si="49"/>
        <v>0</v>
      </c>
      <c r="N497" s="55" t="str">
        <f t="shared" si="50"/>
        <v>0grams</v>
      </c>
      <c r="O497" s="56">
        <f t="shared" si="51"/>
        <v>0</v>
      </c>
      <c r="P497" s="44" t="e">
        <f t="shared" ref="P497:P498" si="94">O497/H497</f>
        <v>#DIV/0!</v>
      </c>
      <c r="Q497" s="66"/>
      <c r="R497" s="32"/>
      <c r="S497" s="32"/>
      <c r="T497" s="32"/>
      <c r="U497" s="32"/>
      <c r="V497" s="32"/>
      <c r="W497" s="32"/>
      <c r="X497" s="32"/>
      <c r="Y497" s="32"/>
      <c r="Z497" s="32"/>
    </row>
    <row r="498" spans="1:26" ht="15" customHeight="1" x14ac:dyDescent="0.3">
      <c r="A498" s="45">
        <v>724</v>
      </c>
      <c r="B498" s="219" t="s">
        <v>248</v>
      </c>
      <c r="C498" s="194" t="s">
        <v>2026</v>
      </c>
      <c r="D498" s="46"/>
      <c r="E498" s="46" t="s">
        <v>987</v>
      </c>
      <c r="F498" s="61" t="s">
        <v>31</v>
      </c>
      <c r="G498" s="288">
        <v>35.9</v>
      </c>
      <c r="H498" s="289">
        <v>1</v>
      </c>
      <c r="I498" s="290">
        <v>37</v>
      </c>
      <c r="J498" s="48" t="s">
        <v>39</v>
      </c>
      <c r="K498" s="50"/>
      <c r="L498" s="53" t="str">
        <f t="shared" si="48"/>
        <v>37grams</v>
      </c>
      <c r="M498" s="54">
        <f t="shared" si="49"/>
        <v>37</v>
      </c>
      <c r="N498" s="55" t="str">
        <f t="shared" si="50"/>
        <v>37grams</v>
      </c>
      <c r="O498" s="56">
        <f t="shared" si="51"/>
        <v>35.9</v>
      </c>
      <c r="P498" s="44">
        <f t="shared" si="94"/>
        <v>35.9</v>
      </c>
      <c r="Q498" s="66"/>
      <c r="R498" s="32" t="b">
        <f>P498=G498</f>
        <v>1</v>
      </c>
      <c r="S498" s="32"/>
      <c r="T498" s="32"/>
      <c r="U498" s="32"/>
      <c r="V498" s="32"/>
      <c r="W498" s="32"/>
      <c r="X498" s="32"/>
      <c r="Y498" s="32"/>
      <c r="Z498" s="32"/>
    </row>
    <row r="499" spans="1:26" ht="15" customHeight="1" x14ac:dyDescent="0.3">
      <c r="A499" s="45"/>
      <c r="B499" s="219" t="s">
        <v>248</v>
      </c>
      <c r="C499" s="194" t="s">
        <v>2022</v>
      </c>
      <c r="D499" s="46"/>
      <c r="E499" s="46" t="s">
        <v>987</v>
      </c>
      <c r="F499" s="61" t="s">
        <v>31</v>
      </c>
      <c r="G499" s="288">
        <v>62</v>
      </c>
      <c r="H499" s="289">
        <v>2</v>
      </c>
      <c r="I499" s="290">
        <v>55</v>
      </c>
      <c r="J499" s="48" t="s">
        <v>39</v>
      </c>
      <c r="K499" s="50"/>
      <c r="L499" s="53" t="str">
        <f t="shared" si="48"/>
        <v>55grams</v>
      </c>
      <c r="M499" s="54">
        <f t="shared" si="49"/>
        <v>110</v>
      </c>
      <c r="N499" s="55" t="str">
        <f t="shared" si="50"/>
        <v>110grams</v>
      </c>
      <c r="O499" s="56">
        <f t="shared" si="51"/>
        <v>124</v>
      </c>
      <c r="P499" s="12"/>
      <c r="Q499" s="12"/>
      <c r="R499" s="12"/>
      <c r="S499" s="151"/>
      <c r="T499" s="12"/>
      <c r="U499" s="12"/>
      <c r="V499" s="12"/>
      <c r="W499" s="12"/>
      <c r="X499" s="12"/>
      <c r="Y499" s="12"/>
      <c r="Z499" s="12"/>
    </row>
    <row r="500" spans="1:26" ht="15" customHeight="1" x14ac:dyDescent="0.3">
      <c r="A500" s="45">
        <v>543</v>
      </c>
      <c r="B500" s="219" t="s">
        <v>1159</v>
      </c>
      <c r="C500" s="194" t="s">
        <v>2026</v>
      </c>
      <c r="D500" s="46"/>
      <c r="E500" s="46" t="s">
        <v>1160</v>
      </c>
      <c r="F500" s="61" t="s">
        <v>31</v>
      </c>
      <c r="G500" s="288">
        <v>186</v>
      </c>
      <c r="H500" s="289">
        <v>0</v>
      </c>
      <c r="I500" s="290">
        <v>500</v>
      </c>
      <c r="J500" s="48" t="s">
        <v>39</v>
      </c>
      <c r="K500" s="50" t="s">
        <v>2019</v>
      </c>
      <c r="L500" s="53" t="str">
        <f t="shared" si="48"/>
        <v>500grams</v>
      </c>
      <c r="M500" s="54">
        <f t="shared" si="49"/>
        <v>0</v>
      </c>
      <c r="N500" s="55" t="str">
        <f t="shared" si="50"/>
        <v>0grams</v>
      </c>
      <c r="O500" s="56">
        <f t="shared" si="51"/>
        <v>0</v>
      </c>
      <c r="P500" s="44" t="e">
        <f>O500/H500</f>
        <v>#DIV/0!</v>
      </c>
      <c r="Q500" s="44" t="e">
        <f>G500-P500</f>
        <v>#DIV/0!</v>
      </c>
      <c r="R500" s="32" t="e">
        <f>P500=G500</f>
        <v>#DIV/0!</v>
      </c>
      <c r="S500" s="32"/>
      <c r="T500" s="32"/>
      <c r="U500" s="32"/>
      <c r="V500" s="32"/>
      <c r="W500" s="32"/>
      <c r="X500" s="32"/>
      <c r="Y500" s="32"/>
      <c r="Z500" s="32"/>
    </row>
    <row r="501" spans="1:26" ht="15" customHeight="1" x14ac:dyDescent="0.3">
      <c r="A501" s="45"/>
      <c r="B501" s="46" t="s">
        <v>1161</v>
      </c>
      <c r="C501" s="194" t="s">
        <v>2023</v>
      </c>
      <c r="D501" s="46"/>
      <c r="E501" s="46" t="s">
        <v>1162</v>
      </c>
      <c r="F501" s="61" t="s">
        <v>31</v>
      </c>
      <c r="G501" s="288">
        <v>6.13</v>
      </c>
      <c r="H501" s="289">
        <v>50</v>
      </c>
      <c r="I501" s="290">
        <v>30</v>
      </c>
      <c r="J501" s="48" t="s">
        <v>39</v>
      </c>
      <c r="K501" s="50"/>
      <c r="L501" s="53" t="str">
        <f t="shared" si="48"/>
        <v>30grams</v>
      </c>
      <c r="M501" s="54">
        <f t="shared" si="49"/>
        <v>1500</v>
      </c>
      <c r="N501" s="55" t="str">
        <f t="shared" si="50"/>
        <v>1500grams</v>
      </c>
      <c r="O501" s="56">
        <f t="shared" si="51"/>
        <v>306.5</v>
      </c>
      <c r="P501" s="12"/>
      <c r="Q501" s="12"/>
      <c r="R501" s="12"/>
      <c r="S501" s="151"/>
      <c r="T501" s="12"/>
      <c r="U501" s="12"/>
      <c r="V501" s="12"/>
      <c r="W501" s="12"/>
      <c r="X501" s="12"/>
      <c r="Y501" s="12"/>
      <c r="Z501" s="12"/>
    </row>
    <row r="502" spans="1:26" ht="15" customHeight="1" x14ac:dyDescent="0.3">
      <c r="A502" s="45">
        <v>620</v>
      </c>
      <c r="B502" s="46" t="s">
        <v>1161</v>
      </c>
      <c r="C502" s="194" t="s">
        <v>2026</v>
      </c>
      <c r="D502" s="46"/>
      <c r="E502" s="46" t="s">
        <v>1163</v>
      </c>
      <c r="F502" s="61" t="s">
        <v>31</v>
      </c>
      <c r="G502" s="288">
        <v>5.71</v>
      </c>
      <c r="H502" s="289">
        <v>30</v>
      </c>
      <c r="I502" s="290">
        <v>28</v>
      </c>
      <c r="J502" s="48" t="s">
        <v>39</v>
      </c>
      <c r="K502" s="50"/>
      <c r="L502" s="53" t="str">
        <f t="shared" si="48"/>
        <v>28grams</v>
      </c>
      <c r="M502" s="54">
        <f t="shared" si="49"/>
        <v>840</v>
      </c>
      <c r="N502" s="55" t="str">
        <f t="shared" si="50"/>
        <v>840grams</v>
      </c>
      <c r="O502" s="56">
        <f t="shared" si="51"/>
        <v>171.3</v>
      </c>
      <c r="P502" s="44">
        <f>O502/H502</f>
        <v>5.71</v>
      </c>
      <c r="Q502" s="66"/>
      <c r="R502" s="32"/>
      <c r="S502" s="32"/>
      <c r="T502" s="32"/>
      <c r="U502" s="32"/>
      <c r="V502" s="32"/>
      <c r="W502" s="32"/>
      <c r="X502" s="32"/>
      <c r="Y502" s="32"/>
      <c r="Z502" s="32"/>
    </row>
    <row r="503" spans="1:26" ht="15" customHeight="1" x14ac:dyDescent="0.3">
      <c r="A503" s="45"/>
      <c r="B503" s="219" t="s">
        <v>1161</v>
      </c>
      <c r="C503" s="194" t="s">
        <v>2020</v>
      </c>
      <c r="D503" s="46"/>
      <c r="E503" s="46" t="s">
        <v>1164</v>
      </c>
      <c r="F503" s="61" t="s">
        <v>31</v>
      </c>
      <c r="G503" s="288">
        <v>5.51</v>
      </c>
      <c r="H503" s="289">
        <v>6</v>
      </c>
      <c r="I503" s="290">
        <v>25</v>
      </c>
      <c r="J503" s="48" t="s">
        <v>39</v>
      </c>
      <c r="K503" s="50"/>
      <c r="L503" s="53" t="str">
        <f t="shared" si="48"/>
        <v>25grams</v>
      </c>
      <c r="M503" s="54">
        <f t="shared" si="49"/>
        <v>150</v>
      </c>
      <c r="N503" s="55" t="str">
        <f t="shared" si="50"/>
        <v>150grams</v>
      </c>
      <c r="O503" s="56">
        <f t="shared" si="51"/>
        <v>33.06</v>
      </c>
      <c r="P503" s="12"/>
      <c r="Q503" s="12"/>
      <c r="R503" s="12"/>
      <c r="S503" s="151"/>
      <c r="T503" s="12"/>
      <c r="U503" s="12"/>
      <c r="V503" s="12"/>
      <c r="W503" s="12"/>
      <c r="X503" s="12"/>
      <c r="Y503" s="12"/>
      <c r="Z503" s="12"/>
    </row>
    <row r="504" spans="1:26" ht="15" customHeight="1" x14ac:dyDescent="0.3">
      <c r="A504" s="45">
        <v>644</v>
      </c>
      <c r="B504" s="219" t="s">
        <v>1161</v>
      </c>
      <c r="C504" s="194" t="s">
        <v>2026</v>
      </c>
      <c r="D504" s="46"/>
      <c r="E504" s="46" t="s">
        <v>1164</v>
      </c>
      <c r="F504" s="61" t="s">
        <v>31</v>
      </c>
      <c r="G504" s="288">
        <v>5.51</v>
      </c>
      <c r="H504" s="289">
        <v>72</v>
      </c>
      <c r="I504" s="290">
        <v>25</v>
      </c>
      <c r="J504" s="422" t="s">
        <v>39</v>
      </c>
      <c r="K504" s="50"/>
      <c r="L504" s="53" t="str">
        <f t="shared" si="48"/>
        <v>25grams</v>
      </c>
      <c r="M504" s="54">
        <f t="shared" si="49"/>
        <v>1800</v>
      </c>
      <c r="N504" s="55" t="str">
        <f t="shared" si="50"/>
        <v>1800grams</v>
      </c>
      <c r="O504" s="56">
        <f t="shared" si="51"/>
        <v>396.71999999999997</v>
      </c>
      <c r="P504" s="44">
        <f t="shared" ref="P504:P508" si="95">O504/H504</f>
        <v>5.51</v>
      </c>
      <c r="Q504" s="66"/>
      <c r="R504" s="32"/>
      <c r="S504" s="32"/>
      <c r="T504" s="32"/>
      <c r="U504" s="32"/>
      <c r="V504" s="32"/>
      <c r="W504" s="32"/>
      <c r="X504" s="32"/>
      <c r="Y504" s="32"/>
      <c r="Z504" s="32"/>
    </row>
    <row r="505" spans="1:26" ht="15" customHeight="1" x14ac:dyDescent="0.3">
      <c r="A505" s="45">
        <v>645</v>
      </c>
      <c r="B505" s="219" t="s">
        <v>1161</v>
      </c>
      <c r="C505" s="194" t="s">
        <v>2026</v>
      </c>
      <c r="D505" s="46"/>
      <c r="E505" s="46" t="s">
        <v>1164</v>
      </c>
      <c r="F505" s="61" t="s">
        <v>31</v>
      </c>
      <c r="G505" s="288">
        <v>201</v>
      </c>
      <c r="H505" s="289">
        <v>2</v>
      </c>
      <c r="I505" s="290">
        <v>1</v>
      </c>
      <c r="J505" s="422" t="s">
        <v>1165</v>
      </c>
      <c r="K505" s="50" t="s">
        <v>2019</v>
      </c>
      <c r="L505" s="53" t="str">
        <f t="shared" si="48"/>
        <v>1tub</v>
      </c>
      <c r="M505" s="54">
        <f t="shared" si="49"/>
        <v>2</v>
      </c>
      <c r="N505" s="55" t="str">
        <f t="shared" si="50"/>
        <v>2tub</v>
      </c>
      <c r="O505" s="56">
        <f t="shared" si="51"/>
        <v>402</v>
      </c>
      <c r="P505" s="44">
        <f t="shared" si="95"/>
        <v>201</v>
      </c>
      <c r="Q505" s="66">
        <f>G505-P505</f>
        <v>0</v>
      </c>
      <c r="R505" s="32" t="b">
        <f t="shared" ref="R505:R508" si="96">P505=G505</f>
        <v>1</v>
      </c>
      <c r="S505" s="32"/>
      <c r="T505" s="32"/>
      <c r="U505" s="32"/>
      <c r="V505" s="32"/>
      <c r="W505" s="32"/>
      <c r="X505" s="32"/>
      <c r="Y505" s="32"/>
      <c r="Z505" s="32"/>
    </row>
    <row r="506" spans="1:26" ht="15" customHeight="1" x14ac:dyDescent="0.3">
      <c r="A506" s="45">
        <v>646</v>
      </c>
      <c r="B506" s="219" t="s">
        <v>1161</v>
      </c>
      <c r="C506" s="194" t="s">
        <v>2026</v>
      </c>
      <c r="D506" s="46"/>
      <c r="E506" s="46" t="s">
        <v>1164</v>
      </c>
      <c r="F506" s="61" t="s">
        <v>31</v>
      </c>
      <c r="G506" s="288">
        <v>5.85</v>
      </c>
      <c r="H506" s="289">
        <v>20</v>
      </c>
      <c r="I506" s="290">
        <v>10</v>
      </c>
      <c r="J506" s="422" t="s">
        <v>92</v>
      </c>
      <c r="K506" s="50"/>
      <c r="L506" s="53" t="str">
        <f t="shared" si="48"/>
        <v>10pieces</v>
      </c>
      <c r="M506" s="54">
        <f t="shared" si="49"/>
        <v>200</v>
      </c>
      <c r="N506" s="55" t="str">
        <f t="shared" si="50"/>
        <v>200pieces</v>
      </c>
      <c r="O506" s="56">
        <f t="shared" si="51"/>
        <v>117</v>
      </c>
      <c r="P506" s="44">
        <f t="shared" si="95"/>
        <v>5.85</v>
      </c>
      <c r="Q506" s="66"/>
      <c r="R506" s="32" t="b">
        <f t="shared" si="96"/>
        <v>1</v>
      </c>
      <c r="S506" s="32"/>
      <c r="T506" s="32"/>
      <c r="U506" s="32"/>
      <c r="V506" s="32"/>
      <c r="W506" s="32"/>
      <c r="X506" s="32"/>
      <c r="Y506" s="32"/>
      <c r="Z506" s="32"/>
    </row>
    <row r="507" spans="1:26" ht="15" customHeight="1" x14ac:dyDescent="0.3">
      <c r="A507" s="45">
        <v>647</v>
      </c>
      <c r="B507" s="219" t="s">
        <v>1161</v>
      </c>
      <c r="C507" s="194" t="s">
        <v>2026</v>
      </c>
      <c r="D507" s="46"/>
      <c r="E507" s="46" t="s">
        <v>1166</v>
      </c>
      <c r="F507" s="61" t="s">
        <v>31</v>
      </c>
      <c r="G507" s="288">
        <v>6.66</v>
      </c>
      <c r="H507" s="289">
        <v>30</v>
      </c>
      <c r="I507" s="290">
        <v>10</v>
      </c>
      <c r="J507" s="422" t="s">
        <v>92</v>
      </c>
      <c r="K507" s="50"/>
      <c r="L507" s="53" t="str">
        <f t="shared" si="48"/>
        <v>10pieces</v>
      </c>
      <c r="M507" s="54">
        <f t="shared" si="49"/>
        <v>300</v>
      </c>
      <c r="N507" s="55" t="str">
        <f t="shared" si="50"/>
        <v>300pieces</v>
      </c>
      <c r="O507" s="56">
        <f t="shared" si="51"/>
        <v>199.8</v>
      </c>
      <c r="P507" s="44">
        <f t="shared" si="95"/>
        <v>6.66</v>
      </c>
      <c r="Q507" s="66"/>
      <c r="R507" s="32" t="b">
        <f t="shared" si="96"/>
        <v>1</v>
      </c>
      <c r="S507" s="32"/>
      <c r="T507" s="32"/>
      <c r="U507" s="32"/>
      <c r="V507" s="32"/>
      <c r="W507" s="32"/>
      <c r="X507" s="32"/>
      <c r="Y507" s="32"/>
      <c r="Z507" s="32"/>
    </row>
    <row r="508" spans="1:26" ht="15" customHeight="1" x14ac:dyDescent="0.3">
      <c r="A508" s="45">
        <v>113</v>
      </c>
      <c r="B508" s="219" t="s">
        <v>1161</v>
      </c>
      <c r="C508" s="194" t="s">
        <v>2024</v>
      </c>
      <c r="D508" s="46"/>
      <c r="E508" s="46" t="s">
        <v>1164</v>
      </c>
      <c r="F508" s="61" t="s">
        <v>31</v>
      </c>
      <c r="G508" s="288">
        <v>58.5</v>
      </c>
      <c r="H508" s="289">
        <v>20</v>
      </c>
      <c r="I508" s="290">
        <v>25</v>
      </c>
      <c r="J508" s="422" t="s">
        <v>39</v>
      </c>
      <c r="K508" s="50" t="s">
        <v>2019</v>
      </c>
      <c r="L508" s="53" t="str">
        <f t="shared" si="48"/>
        <v>25grams</v>
      </c>
      <c r="M508" s="54">
        <f t="shared" si="49"/>
        <v>500</v>
      </c>
      <c r="N508" s="55" t="str">
        <f t="shared" si="50"/>
        <v>500grams</v>
      </c>
      <c r="O508" s="56">
        <f t="shared" si="51"/>
        <v>1170</v>
      </c>
      <c r="P508" s="44">
        <f t="shared" si="95"/>
        <v>58.5</v>
      </c>
      <c r="Q508" s="62">
        <f>G508-P508</f>
        <v>0</v>
      </c>
      <c r="R508" s="32" t="b">
        <f t="shared" si="96"/>
        <v>1</v>
      </c>
      <c r="S508" s="32"/>
      <c r="T508" s="32"/>
      <c r="U508" s="32"/>
      <c r="V508" s="32"/>
      <c r="W508" s="32"/>
      <c r="X508" s="32"/>
      <c r="Y508" s="32"/>
      <c r="Z508" s="32"/>
    </row>
    <row r="509" spans="1:26" ht="15" customHeight="1" x14ac:dyDescent="0.3">
      <c r="A509" s="45"/>
      <c r="B509" s="219" t="s">
        <v>1161</v>
      </c>
      <c r="C509" s="194" t="s">
        <v>2023</v>
      </c>
      <c r="D509" s="46"/>
      <c r="E509" s="46" t="s">
        <v>1167</v>
      </c>
      <c r="F509" s="61" t="s">
        <v>31</v>
      </c>
      <c r="G509" s="311">
        <v>6.66</v>
      </c>
      <c r="H509" s="289">
        <v>16</v>
      </c>
      <c r="I509" s="290">
        <v>10</v>
      </c>
      <c r="J509" s="422" t="s">
        <v>92</v>
      </c>
      <c r="K509" s="50"/>
      <c r="L509" s="53" t="str">
        <f t="shared" si="48"/>
        <v>10pieces</v>
      </c>
      <c r="M509" s="54">
        <f t="shared" si="49"/>
        <v>160</v>
      </c>
      <c r="N509" s="55" t="str">
        <f t="shared" si="50"/>
        <v>160pieces</v>
      </c>
      <c r="O509" s="56">
        <f t="shared" si="51"/>
        <v>106.56</v>
      </c>
      <c r="P509" s="12"/>
      <c r="Q509" s="12"/>
      <c r="R509" s="12"/>
      <c r="S509" s="151"/>
      <c r="T509" s="12"/>
      <c r="U509" s="12"/>
      <c r="V509" s="12"/>
      <c r="W509" s="12"/>
      <c r="X509" s="12"/>
      <c r="Y509" s="12"/>
      <c r="Z509" s="12"/>
    </row>
    <row r="510" spans="1:26" ht="15" customHeight="1" x14ac:dyDescent="0.3">
      <c r="A510" s="45">
        <v>437</v>
      </c>
      <c r="B510" s="46" t="s">
        <v>1161</v>
      </c>
      <c r="C510" s="194" t="s">
        <v>2025</v>
      </c>
      <c r="D510" s="46"/>
      <c r="E510" s="46" t="s">
        <v>1168</v>
      </c>
      <c r="F510" s="61" t="s">
        <v>31</v>
      </c>
      <c r="G510" s="288">
        <v>5.7</v>
      </c>
      <c r="H510" s="312">
        <v>6</v>
      </c>
      <c r="I510" s="313">
        <v>33</v>
      </c>
      <c r="J510" s="438" t="s">
        <v>39</v>
      </c>
      <c r="K510" s="50"/>
      <c r="L510" s="53" t="str">
        <f t="shared" si="48"/>
        <v>33grams</v>
      </c>
      <c r="M510" s="54">
        <f t="shared" si="49"/>
        <v>198</v>
      </c>
      <c r="N510" s="55" t="str">
        <f t="shared" si="50"/>
        <v>198grams</v>
      </c>
      <c r="O510" s="56">
        <f t="shared" si="51"/>
        <v>34.200000000000003</v>
      </c>
      <c r="P510" s="44">
        <f t="shared" ref="P510:P518" si="97">O510/H510</f>
        <v>5.7</v>
      </c>
      <c r="Q510" s="66"/>
      <c r="R510" s="32" t="b">
        <f t="shared" ref="R510:R515" si="98">P510=G510</f>
        <v>1</v>
      </c>
      <c r="S510" s="32"/>
      <c r="T510" s="32"/>
      <c r="U510" s="32"/>
      <c r="V510" s="32"/>
      <c r="W510" s="32"/>
      <c r="X510" s="32"/>
      <c r="Y510" s="32"/>
      <c r="Z510" s="32"/>
    </row>
    <row r="511" spans="1:26" ht="15" customHeight="1" x14ac:dyDescent="0.3">
      <c r="A511" s="45">
        <v>436</v>
      </c>
      <c r="B511" s="46" t="s">
        <v>1161</v>
      </c>
      <c r="C511" s="194" t="s">
        <v>2025</v>
      </c>
      <c r="D511" s="46"/>
      <c r="E511" s="46" t="s">
        <v>1169</v>
      </c>
      <c r="F511" s="61" t="s">
        <v>31</v>
      </c>
      <c r="G511" s="288">
        <v>5.6</v>
      </c>
      <c r="H511" s="312">
        <v>7</v>
      </c>
      <c r="I511" s="313">
        <v>30</v>
      </c>
      <c r="J511" s="438" t="s">
        <v>39</v>
      </c>
      <c r="K511" s="50"/>
      <c r="L511" s="53" t="str">
        <f t="shared" si="48"/>
        <v>30grams</v>
      </c>
      <c r="M511" s="54">
        <f t="shared" si="49"/>
        <v>210</v>
      </c>
      <c r="N511" s="55" t="str">
        <f t="shared" si="50"/>
        <v>210grams</v>
      </c>
      <c r="O511" s="56">
        <f t="shared" si="51"/>
        <v>39.199999999999996</v>
      </c>
      <c r="P511" s="44">
        <f t="shared" si="97"/>
        <v>5.6</v>
      </c>
      <c r="Q511" s="66"/>
      <c r="R511" s="32" t="b">
        <f t="shared" si="98"/>
        <v>1</v>
      </c>
      <c r="S511" s="32"/>
      <c r="T511" s="32"/>
      <c r="U511" s="32"/>
      <c r="V511" s="32"/>
      <c r="W511" s="32"/>
      <c r="X511" s="32"/>
      <c r="Y511" s="32"/>
      <c r="Z511" s="32"/>
    </row>
    <row r="512" spans="1:26" ht="15" customHeight="1" x14ac:dyDescent="0.3">
      <c r="A512" s="45">
        <v>619</v>
      </c>
      <c r="B512" s="46" t="s">
        <v>1161</v>
      </c>
      <c r="C512" s="194" t="s">
        <v>2026</v>
      </c>
      <c r="D512" s="46"/>
      <c r="E512" s="46" t="s">
        <v>1170</v>
      </c>
      <c r="F512" s="61" t="s">
        <v>31</v>
      </c>
      <c r="G512" s="288">
        <v>5.71</v>
      </c>
      <c r="H512" s="289">
        <v>30</v>
      </c>
      <c r="I512" s="290">
        <v>10</v>
      </c>
      <c r="J512" s="48" t="s">
        <v>92</v>
      </c>
      <c r="K512" s="50"/>
      <c r="L512" s="53" t="str">
        <f t="shared" si="48"/>
        <v>10pieces</v>
      </c>
      <c r="M512" s="54">
        <f t="shared" si="49"/>
        <v>300</v>
      </c>
      <c r="N512" s="55" t="str">
        <f t="shared" si="50"/>
        <v>300pieces</v>
      </c>
      <c r="O512" s="56">
        <f t="shared" si="51"/>
        <v>171.3</v>
      </c>
      <c r="P512" s="44">
        <f t="shared" si="97"/>
        <v>5.71</v>
      </c>
      <c r="Q512" s="66"/>
      <c r="R512" s="32" t="b">
        <f t="shared" si="98"/>
        <v>1</v>
      </c>
      <c r="S512" s="32"/>
      <c r="T512" s="32"/>
      <c r="U512" s="32"/>
      <c r="V512" s="32"/>
      <c r="W512" s="32"/>
      <c r="X512" s="32"/>
      <c r="Y512" s="32"/>
      <c r="Z512" s="32"/>
    </row>
    <row r="513" spans="1:26" ht="15" customHeight="1" x14ac:dyDescent="0.3">
      <c r="A513" s="45">
        <v>621</v>
      </c>
      <c r="B513" s="46" t="s">
        <v>1161</v>
      </c>
      <c r="C513" s="194" t="s">
        <v>2026</v>
      </c>
      <c r="D513" s="46"/>
      <c r="E513" s="46" t="s">
        <v>1171</v>
      </c>
      <c r="F513" s="61" t="s">
        <v>31</v>
      </c>
      <c r="G513" s="288">
        <v>5.71</v>
      </c>
      <c r="H513" s="289">
        <v>30</v>
      </c>
      <c r="I513" s="290">
        <v>10</v>
      </c>
      <c r="J513" s="48" t="s">
        <v>92</v>
      </c>
      <c r="K513" s="50"/>
      <c r="L513" s="53" t="str">
        <f t="shared" si="48"/>
        <v>10pieces</v>
      </c>
      <c r="M513" s="54">
        <f t="shared" si="49"/>
        <v>300</v>
      </c>
      <c r="N513" s="55" t="str">
        <f t="shared" si="50"/>
        <v>300pieces</v>
      </c>
      <c r="O513" s="56">
        <f t="shared" si="51"/>
        <v>171.3</v>
      </c>
      <c r="P513" s="44">
        <f t="shared" si="97"/>
        <v>5.71</v>
      </c>
      <c r="Q513" s="66"/>
      <c r="R513" s="32" t="b">
        <f t="shared" si="98"/>
        <v>1</v>
      </c>
      <c r="S513" s="32"/>
      <c r="T513" s="32"/>
      <c r="U513" s="32"/>
      <c r="V513" s="32"/>
      <c r="W513" s="32"/>
      <c r="X513" s="32"/>
      <c r="Y513" s="32"/>
      <c r="Z513" s="32"/>
    </row>
    <row r="514" spans="1:26" ht="15" customHeight="1" x14ac:dyDescent="0.3">
      <c r="A514" s="45">
        <v>622</v>
      </c>
      <c r="B514" s="46" t="s">
        <v>1161</v>
      </c>
      <c r="C514" s="194" t="s">
        <v>2026</v>
      </c>
      <c r="D514" s="46"/>
      <c r="E514" s="46" t="s">
        <v>1172</v>
      </c>
      <c r="F514" s="61" t="s">
        <v>31</v>
      </c>
      <c r="G514" s="288">
        <v>5.71</v>
      </c>
      <c r="H514" s="289">
        <v>60</v>
      </c>
      <c r="I514" s="290">
        <v>10</v>
      </c>
      <c r="J514" s="48" t="s">
        <v>92</v>
      </c>
      <c r="K514" s="50" t="s">
        <v>2019</v>
      </c>
      <c r="L514" s="53" t="str">
        <f t="shared" si="48"/>
        <v>10pieces</v>
      </c>
      <c r="M514" s="54">
        <f t="shared" si="49"/>
        <v>600</v>
      </c>
      <c r="N514" s="55" t="str">
        <f t="shared" si="50"/>
        <v>600pieces</v>
      </c>
      <c r="O514" s="56">
        <f t="shared" si="51"/>
        <v>342.6</v>
      </c>
      <c r="P514" s="44">
        <f t="shared" si="97"/>
        <v>5.71</v>
      </c>
      <c r="Q514" s="62">
        <f>G514-P514</f>
        <v>0</v>
      </c>
      <c r="R514" s="32" t="b">
        <f t="shared" si="98"/>
        <v>1</v>
      </c>
      <c r="S514" s="32"/>
      <c r="T514" s="32"/>
      <c r="U514" s="32"/>
      <c r="V514" s="32"/>
      <c r="W514" s="32"/>
      <c r="X514" s="32"/>
      <c r="Y514" s="32"/>
      <c r="Z514" s="32"/>
    </row>
    <row r="515" spans="1:26" ht="15" customHeight="1" x14ac:dyDescent="0.3">
      <c r="A515" s="45">
        <v>623</v>
      </c>
      <c r="B515" s="46" t="s">
        <v>1161</v>
      </c>
      <c r="C515" s="194" t="s">
        <v>2026</v>
      </c>
      <c r="D515" s="46"/>
      <c r="E515" s="46" t="s">
        <v>1173</v>
      </c>
      <c r="F515" s="61" t="s">
        <v>31</v>
      </c>
      <c r="G515" s="288">
        <v>5.6</v>
      </c>
      <c r="H515" s="289">
        <v>60</v>
      </c>
      <c r="I515" s="290">
        <v>10</v>
      </c>
      <c r="J515" s="48" t="s">
        <v>92</v>
      </c>
      <c r="K515" s="50"/>
      <c r="L515" s="53" t="str">
        <f t="shared" si="48"/>
        <v>10pieces</v>
      </c>
      <c r="M515" s="54">
        <f t="shared" si="49"/>
        <v>600</v>
      </c>
      <c r="N515" s="55" t="str">
        <f t="shared" si="50"/>
        <v>600pieces</v>
      </c>
      <c r="O515" s="56">
        <f t="shared" si="51"/>
        <v>336</v>
      </c>
      <c r="P515" s="44">
        <f t="shared" si="97"/>
        <v>5.6</v>
      </c>
      <c r="Q515" s="66"/>
      <c r="R515" s="32" t="b">
        <f t="shared" si="98"/>
        <v>1</v>
      </c>
      <c r="S515" s="32"/>
      <c r="T515" s="32"/>
      <c r="U515" s="32"/>
      <c r="V515" s="32"/>
      <c r="W515" s="32"/>
      <c r="X515" s="32"/>
      <c r="Y515" s="32"/>
      <c r="Z515" s="32"/>
    </row>
    <row r="516" spans="1:26" ht="15" customHeight="1" x14ac:dyDescent="0.3">
      <c r="A516" s="45">
        <v>434</v>
      </c>
      <c r="B516" s="46" t="s">
        <v>1161</v>
      </c>
      <c r="C516" s="194" t="s">
        <v>2025</v>
      </c>
      <c r="D516" s="46"/>
      <c r="E516" s="46" t="s">
        <v>1174</v>
      </c>
      <c r="F516" s="61" t="s">
        <v>31</v>
      </c>
      <c r="G516" s="288">
        <v>5.6</v>
      </c>
      <c r="H516" s="312">
        <v>10</v>
      </c>
      <c r="I516" s="313">
        <v>1</v>
      </c>
      <c r="J516" s="438" t="s">
        <v>92</v>
      </c>
      <c r="K516" s="50"/>
      <c r="L516" s="53" t="str">
        <f t="shared" si="48"/>
        <v>1pieces</v>
      </c>
      <c r="M516" s="54">
        <f t="shared" si="49"/>
        <v>10</v>
      </c>
      <c r="N516" s="55" t="str">
        <f t="shared" si="50"/>
        <v>10pieces</v>
      </c>
      <c r="O516" s="56">
        <f t="shared" si="51"/>
        <v>56</v>
      </c>
      <c r="P516" s="44">
        <f t="shared" si="97"/>
        <v>5.6</v>
      </c>
      <c r="Q516" s="66"/>
      <c r="R516" s="32"/>
      <c r="S516" s="32"/>
      <c r="T516" s="32"/>
      <c r="U516" s="32"/>
      <c r="V516" s="32"/>
      <c r="W516" s="32"/>
      <c r="X516" s="32"/>
      <c r="Y516" s="32"/>
      <c r="Z516" s="32"/>
    </row>
    <row r="517" spans="1:26" ht="15" customHeight="1" x14ac:dyDescent="0.3">
      <c r="A517" s="45">
        <v>435</v>
      </c>
      <c r="B517" s="46" t="s">
        <v>1161</v>
      </c>
      <c r="C517" s="194" t="s">
        <v>2025</v>
      </c>
      <c r="D517" s="46"/>
      <c r="E517" s="46" t="s">
        <v>1175</v>
      </c>
      <c r="F517" s="61" t="s">
        <v>31</v>
      </c>
      <c r="G517" s="288">
        <v>5.9</v>
      </c>
      <c r="H517" s="289">
        <v>10</v>
      </c>
      <c r="I517" s="290">
        <v>30</v>
      </c>
      <c r="J517" s="48" t="s">
        <v>39</v>
      </c>
      <c r="K517" s="50"/>
      <c r="L517" s="53" t="str">
        <f t="shared" si="48"/>
        <v>30grams</v>
      </c>
      <c r="M517" s="54">
        <f t="shared" si="49"/>
        <v>300</v>
      </c>
      <c r="N517" s="55" t="str">
        <f t="shared" si="50"/>
        <v>300grams</v>
      </c>
      <c r="O517" s="56">
        <f t="shared" si="51"/>
        <v>59</v>
      </c>
      <c r="P517" s="44">
        <f t="shared" si="97"/>
        <v>5.9</v>
      </c>
      <c r="Q517" s="66"/>
      <c r="R517" s="32" t="b">
        <f>P517=G517</f>
        <v>1</v>
      </c>
      <c r="S517" s="32"/>
      <c r="T517" s="32"/>
      <c r="U517" s="32"/>
      <c r="V517" s="32"/>
      <c r="W517" s="32"/>
      <c r="X517" s="32"/>
      <c r="Y517" s="32"/>
      <c r="Z517" s="32"/>
    </row>
    <row r="518" spans="1:26" ht="15" customHeight="1" x14ac:dyDescent="0.3">
      <c r="A518" s="45">
        <v>754</v>
      </c>
      <c r="B518" s="46" t="s">
        <v>573</v>
      </c>
      <c r="C518" s="194" t="s">
        <v>2026</v>
      </c>
      <c r="D518" s="46"/>
      <c r="E518" s="46"/>
      <c r="F518" s="61" t="s">
        <v>31</v>
      </c>
      <c r="G518" s="288">
        <v>144</v>
      </c>
      <c r="H518" s="289">
        <v>3</v>
      </c>
      <c r="I518" s="290">
        <v>1000</v>
      </c>
      <c r="J518" s="48" t="s">
        <v>39</v>
      </c>
      <c r="K518" s="50"/>
      <c r="L518" s="53" t="str">
        <f t="shared" si="48"/>
        <v>1000grams</v>
      </c>
      <c r="M518" s="54">
        <f t="shared" si="49"/>
        <v>3000</v>
      </c>
      <c r="N518" s="55" t="str">
        <f t="shared" si="50"/>
        <v>3000grams</v>
      </c>
      <c r="O518" s="56">
        <f t="shared" si="51"/>
        <v>432</v>
      </c>
      <c r="P518" s="44">
        <f t="shared" si="97"/>
        <v>144</v>
      </c>
      <c r="Q518" s="66"/>
      <c r="R518" s="32"/>
      <c r="S518" s="32"/>
      <c r="T518" s="32"/>
      <c r="U518" s="32"/>
      <c r="V518" s="32"/>
      <c r="W518" s="32"/>
      <c r="X518" s="32"/>
      <c r="Y518" s="32"/>
      <c r="Z518" s="32"/>
    </row>
    <row r="519" spans="1:26" ht="15" customHeight="1" x14ac:dyDescent="0.3">
      <c r="A519" s="45"/>
      <c r="B519" s="46" t="s">
        <v>573</v>
      </c>
      <c r="C519" s="194" t="s">
        <v>2023</v>
      </c>
      <c r="D519" s="324"/>
      <c r="E519" s="423"/>
      <c r="F519" s="61" t="s">
        <v>31</v>
      </c>
      <c r="G519" s="288">
        <v>165</v>
      </c>
      <c r="H519" s="289">
        <v>1</v>
      </c>
      <c r="I519" s="290">
        <v>1000</v>
      </c>
      <c r="J519" s="48" t="s">
        <v>39</v>
      </c>
      <c r="K519" s="50"/>
      <c r="L519" s="53" t="str">
        <f t="shared" ref="L519:L773" si="99">CONCATENATE(I519,J519)</f>
        <v>1000grams</v>
      </c>
      <c r="M519" s="54">
        <f t="shared" ref="M519:M773" si="100">H519*I519</f>
        <v>1000</v>
      </c>
      <c r="N519" s="55" t="str">
        <f t="shared" ref="N519:N773" si="101">CONCATENATE(M519,K519,J519)</f>
        <v>1000grams</v>
      </c>
      <c r="O519" s="56">
        <f t="shared" ref="O519:O773" si="102">G519*H519</f>
        <v>165</v>
      </c>
      <c r="P519" s="44"/>
      <c r="Q519" s="12"/>
      <c r="R519" s="12"/>
      <c r="S519" s="151"/>
      <c r="T519" s="12"/>
      <c r="U519" s="12"/>
      <c r="V519" s="12"/>
      <c r="W519" s="12"/>
      <c r="X519" s="12"/>
      <c r="Y519" s="12"/>
      <c r="Z519" s="12"/>
    </row>
    <row r="520" spans="1:26" ht="15" customHeight="1" x14ac:dyDescent="0.3">
      <c r="A520" s="45"/>
      <c r="B520" s="219" t="s">
        <v>1176</v>
      </c>
      <c r="C520" s="194" t="s">
        <v>2021</v>
      </c>
      <c r="D520" s="46"/>
      <c r="E520" s="46" t="s">
        <v>865</v>
      </c>
      <c r="F520" s="61" t="s">
        <v>31</v>
      </c>
      <c r="G520" s="291">
        <v>44.75</v>
      </c>
      <c r="H520" s="292">
        <v>3</v>
      </c>
      <c r="I520" s="293">
        <v>425</v>
      </c>
      <c r="J520" s="414" t="s">
        <v>39</v>
      </c>
      <c r="K520" s="50"/>
      <c r="L520" s="53" t="str">
        <f t="shared" si="99"/>
        <v>425grams</v>
      </c>
      <c r="M520" s="54">
        <f t="shared" si="100"/>
        <v>1275</v>
      </c>
      <c r="N520" s="55" t="str">
        <f t="shared" si="101"/>
        <v>1275grams</v>
      </c>
      <c r="O520" s="56">
        <f t="shared" si="102"/>
        <v>134.25</v>
      </c>
      <c r="P520" s="12"/>
      <c r="Q520" s="12"/>
      <c r="R520" s="12"/>
      <c r="S520" s="151"/>
      <c r="T520" s="12"/>
      <c r="U520" s="12"/>
      <c r="V520" s="12"/>
      <c r="W520" s="12"/>
      <c r="X520" s="12"/>
      <c r="Y520" s="12"/>
      <c r="Z520" s="12"/>
    </row>
    <row r="521" spans="1:26" ht="15" customHeight="1" x14ac:dyDescent="0.3">
      <c r="A521" s="45"/>
      <c r="B521" s="219" t="s">
        <v>1176</v>
      </c>
      <c r="C521" s="194" t="s">
        <v>2020</v>
      </c>
      <c r="D521" s="46"/>
      <c r="E521" s="46" t="s">
        <v>865</v>
      </c>
      <c r="F521" s="61" t="s">
        <v>31</v>
      </c>
      <c r="G521" s="288">
        <v>56.3</v>
      </c>
      <c r="H521" s="289">
        <v>4</v>
      </c>
      <c r="I521" s="290">
        <v>425</v>
      </c>
      <c r="J521" s="48" t="s">
        <v>39</v>
      </c>
      <c r="K521" s="50"/>
      <c r="L521" s="53" t="str">
        <f t="shared" si="99"/>
        <v>425grams</v>
      </c>
      <c r="M521" s="54">
        <f t="shared" si="100"/>
        <v>1700</v>
      </c>
      <c r="N521" s="55" t="str">
        <f t="shared" si="101"/>
        <v>1700grams</v>
      </c>
      <c r="O521" s="56">
        <f t="shared" si="102"/>
        <v>225.2</v>
      </c>
      <c r="P521" s="12"/>
      <c r="Q521" s="12"/>
      <c r="R521" s="12"/>
      <c r="S521" s="151"/>
      <c r="T521" s="12"/>
      <c r="U521" s="12"/>
      <c r="V521" s="12"/>
      <c r="W521" s="12"/>
      <c r="X521" s="12"/>
      <c r="Y521" s="12"/>
      <c r="Z521" s="12"/>
    </row>
    <row r="522" spans="1:26" ht="15" customHeight="1" x14ac:dyDescent="0.3">
      <c r="A522" s="45">
        <v>19</v>
      </c>
      <c r="B522" s="46" t="s">
        <v>1176</v>
      </c>
      <c r="C522" s="194" t="s">
        <v>29</v>
      </c>
      <c r="D522" s="46"/>
      <c r="E522" s="46" t="s">
        <v>1177</v>
      </c>
      <c r="F522" s="61" t="s">
        <v>31</v>
      </c>
      <c r="G522" s="288">
        <v>52.6</v>
      </c>
      <c r="H522" s="289">
        <v>5</v>
      </c>
      <c r="I522" s="290">
        <v>425</v>
      </c>
      <c r="J522" s="48" t="s">
        <v>39</v>
      </c>
      <c r="K522" s="61" t="s">
        <v>2019</v>
      </c>
      <c r="L522" s="415" t="str">
        <f t="shared" si="99"/>
        <v>425grams</v>
      </c>
      <c r="M522" s="416">
        <f t="shared" si="100"/>
        <v>2125</v>
      </c>
      <c r="N522" s="417" t="str">
        <f t="shared" si="101"/>
        <v>2125grams</v>
      </c>
      <c r="O522" s="418">
        <f t="shared" si="102"/>
        <v>263</v>
      </c>
      <c r="P522" s="419">
        <f t="shared" ref="P522:P527" si="103">O522/H522</f>
        <v>52.6</v>
      </c>
      <c r="Q522" s="66"/>
      <c r="R522" s="32" t="b">
        <f t="shared" ref="R522:R526" si="104">P522=G522</f>
        <v>1</v>
      </c>
      <c r="S522" s="32"/>
      <c r="T522" s="32"/>
      <c r="U522" s="32"/>
      <c r="V522" s="32"/>
      <c r="W522" s="32"/>
      <c r="X522" s="32"/>
      <c r="Y522" s="32"/>
      <c r="Z522" s="32"/>
    </row>
    <row r="523" spans="1:26" ht="15" customHeight="1" x14ac:dyDescent="0.3">
      <c r="A523" s="45">
        <v>40</v>
      </c>
      <c r="B523" s="46" t="s">
        <v>250</v>
      </c>
      <c r="C523" s="194" t="s">
        <v>29</v>
      </c>
      <c r="D523" s="46"/>
      <c r="E523" s="46" t="s">
        <v>987</v>
      </c>
      <c r="F523" s="61" t="s">
        <v>31</v>
      </c>
      <c r="G523" s="288">
        <v>52.6</v>
      </c>
      <c r="H523" s="289">
        <v>5</v>
      </c>
      <c r="I523" s="290">
        <v>62</v>
      </c>
      <c r="J523" s="48" t="s">
        <v>39</v>
      </c>
      <c r="K523" s="61" t="s">
        <v>2019</v>
      </c>
      <c r="L523" s="415" t="str">
        <f t="shared" si="99"/>
        <v>62grams</v>
      </c>
      <c r="M523" s="416">
        <f t="shared" si="100"/>
        <v>310</v>
      </c>
      <c r="N523" s="417" t="str">
        <f t="shared" si="101"/>
        <v>310grams</v>
      </c>
      <c r="O523" s="418">
        <f t="shared" si="102"/>
        <v>263</v>
      </c>
      <c r="P523" s="419">
        <f t="shared" si="103"/>
        <v>52.6</v>
      </c>
      <c r="Q523" s="66"/>
      <c r="R523" s="32" t="b">
        <f t="shared" si="104"/>
        <v>1</v>
      </c>
      <c r="S523" s="32"/>
      <c r="T523" s="32"/>
      <c r="U523" s="32"/>
      <c r="V523" s="32"/>
      <c r="W523" s="32"/>
      <c r="X523" s="32"/>
      <c r="Y523" s="32"/>
      <c r="Z523" s="32"/>
    </row>
    <row r="524" spans="1:26" ht="15" customHeight="1" x14ac:dyDescent="0.3">
      <c r="A524" s="45">
        <v>123</v>
      </c>
      <c r="B524" s="46" t="s">
        <v>250</v>
      </c>
      <c r="C524" s="194" t="s">
        <v>2024</v>
      </c>
      <c r="D524" s="46"/>
      <c r="E524" s="46" t="s">
        <v>987</v>
      </c>
      <c r="F524" s="61" t="s">
        <v>31</v>
      </c>
      <c r="G524" s="288">
        <v>52.6</v>
      </c>
      <c r="H524" s="289">
        <v>13</v>
      </c>
      <c r="I524" s="290">
        <v>62</v>
      </c>
      <c r="J524" s="48" t="s">
        <v>39</v>
      </c>
      <c r="K524" s="50"/>
      <c r="L524" s="53" t="str">
        <f t="shared" si="99"/>
        <v>62grams</v>
      </c>
      <c r="M524" s="54">
        <f t="shared" si="100"/>
        <v>806</v>
      </c>
      <c r="N524" s="55" t="str">
        <f t="shared" si="101"/>
        <v>806grams</v>
      </c>
      <c r="O524" s="56">
        <f t="shared" si="102"/>
        <v>683.80000000000007</v>
      </c>
      <c r="P524" s="44">
        <f t="shared" si="103"/>
        <v>52.600000000000009</v>
      </c>
      <c r="Q524" s="66"/>
      <c r="R524" s="32" t="b">
        <f t="shared" si="104"/>
        <v>1</v>
      </c>
      <c r="S524" s="32"/>
      <c r="T524" s="32"/>
      <c r="U524" s="32"/>
      <c r="V524" s="32"/>
      <c r="W524" s="32"/>
      <c r="X524" s="32"/>
      <c r="Y524" s="32"/>
      <c r="Z524" s="32"/>
    </row>
    <row r="525" spans="1:26" ht="15" customHeight="1" x14ac:dyDescent="0.3">
      <c r="A525" s="45">
        <v>298</v>
      </c>
      <c r="B525" s="46" t="s">
        <v>250</v>
      </c>
      <c r="C525" s="194" t="s">
        <v>2025</v>
      </c>
      <c r="D525" s="46"/>
      <c r="E525" s="46" t="s">
        <v>987</v>
      </c>
      <c r="F525" s="61" t="s">
        <v>31</v>
      </c>
      <c r="G525" s="288">
        <v>55</v>
      </c>
      <c r="H525" s="289">
        <v>6</v>
      </c>
      <c r="I525" s="290">
        <v>62</v>
      </c>
      <c r="J525" s="48" t="s">
        <v>39</v>
      </c>
      <c r="K525" s="50"/>
      <c r="L525" s="53" t="str">
        <f t="shared" si="99"/>
        <v>62grams</v>
      </c>
      <c r="M525" s="54">
        <f t="shared" si="100"/>
        <v>372</v>
      </c>
      <c r="N525" s="55" t="str">
        <f t="shared" si="101"/>
        <v>372grams</v>
      </c>
      <c r="O525" s="56">
        <f t="shared" si="102"/>
        <v>330</v>
      </c>
      <c r="P525" s="44">
        <f t="shared" si="103"/>
        <v>55</v>
      </c>
      <c r="Q525" s="66"/>
      <c r="R525" s="32" t="b">
        <f t="shared" si="104"/>
        <v>1</v>
      </c>
      <c r="S525" s="32"/>
      <c r="T525" s="32"/>
      <c r="U525" s="32"/>
      <c r="V525" s="32"/>
      <c r="W525" s="32"/>
      <c r="X525" s="32"/>
      <c r="Y525" s="32"/>
      <c r="Z525" s="32"/>
    </row>
    <row r="526" spans="1:26" ht="15" customHeight="1" x14ac:dyDescent="0.3">
      <c r="A526" s="45">
        <v>725</v>
      </c>
      <c r="B526" s="219" t="s">
        <v>250</v>
      </c>
      <c r="C526" s="194" t="s">
        <v>2026</v>
      </c>
      <c r="D526" s="46"/>
      <c r="E526" s="46" t="s">
        <v>987</v>
      </c>
      <c r="F526" s="61" t="s">
        <v>31</v>
      </c>
      <c r="G526" s="288">
        <v>52.6</v>
      </c>
      <c r="H526" s="289">
        <v>9</v>
      </c>
      <c r="I526" s="290">
        <v>62</v>
      </c>
      <c r="J526" s="48" t="s">
        <v>39</v>
      </c>
      <c r="K526" s="50"/>
      <c r="L526" s="53" t="str">
        <f t="shared" si="99"/>
        <v>62grams</v>
      </c>
      <c r="M526" s="54">
        <f t="shared" si="100"/>
        <v>558</v>
      </c>
      <c r="N526" s="55" t="str">
        <f t="shared" si="101"/>
        <v>558grams</v>
      </c>
      <c r="O526" s="56">
        <f t="shared" si="102"/>
        <v>473.40000000000003</v>
      </c>
      <c r="P526" s="44">
        <f t="shared" si="103"/>
        <v>52.6</v>
      </c>
      <c r="Q526" s="66"/>
      <c r="R526" s="32" t="b">
        <f t="shared" si="104"/>
        <v>1</v>
      </c>
      <c r="S526" s="32"/>
      <c r="T526" s="32"/>
      <c r="U526" s="32"/>
      <c r="V526" s="32"/>
      <c r="W526" s="32"/>
      <c r="X526" s="32"/>
      <c r="Y526" s="32"/>
      <c r="Z526" s="32"/>
    </row>
    <row r="527" spans="1:26" ht="15" customHeight="1" x14ac:dyDescent="0.3">
      <c r="A527" s="45">
        <v>819</v>
      </c>
      <c r="B527" s="219" t="s">
        <v>250</v>
      </c>
      <c r="C527" s="194" t="s">
        <v>1368</v>
      </c>
      <c r="D527" s="46"/>
      <c r="E527" s="46" t="s">
        <v>987</v>
      </c>
      <c r="F527" s="61" t="s">
        <v>31</v>
      </c>
      <c r="G527" s="288">
        <v>55</v>
      </c>
      <c r="H527" s="289">
        <v>7</v>
      </c>
      <c r="I527" s="290">
        <v>62</v>
      </c>
      <c r="J527" s="48" t="s">
        <v>39</v>
      </c>
      <c r="K527" s="50"/>
      <c r="L527" s="53" t="str">
        <f t="shared" si="99"/>
        <v>62grams</v>
      </c>
      <c r="M527" s="54">
        <f t="shared" si="100"/>
        <v>434</v>
      </c>
      <c r="N527" s="55" t="str">
        <f t="shared" si="101"/>
        <v>434grams</v>
      </c>
      <c r="O527" s="56">
        <f t="shared" si="102"/>
        <v>385</v>
      </c>
      <c r="P527" s="44">
        <f t="shared" si="103"/>
        <v>55</v>
      </c>
      <c r="Q527" s="66"/>
      <c r="R527" s="32"/>
      <c r="S527" s="32"/>
      <c r="T527" s="32"/>
      <c r="U527" s="32"/>
      <c r="V527" s="32"/>
      <c r="W527" s="32"/>
      <c r="X527" s="32"/>
      <c r="Y527" s="32"/>
      <c r="Z527" s="32"/>
    </row>
    <row r="528" spans="1:26" ht="15" customHeight="1" x14ac:dyDescent="0.3">
      <c r="A528" s="45"/>
      <c r="B528" s="46" t="s">
        <v>250</v>
      </c>
      <c r="C528" s="194" t="s">
        <v>2023</v>
      </c>
      <c r="D528" s="46"/>
      <c r="E528" s="46" t="s">
        <v>987</v>
      </c>
      <c r="F528" s="61" t="s">
        <v>31</v>
      </c>
      <c r="G528" s="288">
        <v>52.6</v>
      </c>
      <c r="H528" s="289">
        <v>18</v>
      </c>
      <c r="I528" s="290">
        <v>62</v>
      </c>
      <c r="J528" s="48" t="s">
        <v>39</v>
      </c>
      <c r="K528" s="50"/>
      <c r="L528" s="53" t="str">
        <f t="shared" si="99"/>
        <v>62grams</v>
      </c>
      <c r="M528" s="54">
        <f t="shared" si="100"/>
        <v>1116</v>
      </c>
      <c r="N528" s="55" t="str">
        <f t="shared" si="101"/>
        <v>1116grams</v>
      </c>
      <c r="O528" s="56">
        <f t="shared" si="102"/>
        <v>946.80000000000007</v>
      </c>
      <c r="P528" s="12"/>
      <c r="Q528" s="12"/>
      <c r="R528" s="12"/>
      <c r="S528" s="151"/>
      <c r="T528" s="12"/>
      <c r="U528" s="12"/>
      <c r="V528" s="12"/>
      <c r="W528" s="12"/>
      <c r="X528" s="12"/>
      <c r="Y528" s="12"/>
      <c r="Z528" s="12"/>
    </row>
    <row r="529" spans="1:26" ht="15" customHeight="1" x14ac:dyDescent="0.3">
      <c r="A529" s="45"/>
      <c r="B529" s="46" t="s">
        <v>250</v>
      </c>
      <c r="C529" s="194" t="s">
        <v>2022</v>
      </c>
      <c r="D529" s="46"/>
      <c r="E529" s="46" t="s">
        <v>987</v>
      </c>
      <c r="F529" s="61" t="s">
        <v>31</v>
      </c>
      <c r="G529" s="288">
        <v>52</v>
      </c>
      <c r="H529" s="289">
        <v>11</v>
      </c>
      <c r="I529" s="290">
        <v>62</v>
      </c>
      <c r="J529" s="48" t="s">
        <v>39</v>
      </c>
      <c r="K529" s="50"/>
      <c r="L529" s="53" t="str">
        <f t="shared" si="99"/>
        <v>62grams</v>
      </c>
      <c r="M529" s="54">
        <f t="shared" si="100"/>
        <v>682</v>
      </c>
      <c r="N529" s="55" t="str">
        <f t="shared" si="101"/>
        <v>682grams</v>
      </c>
      <c r="O529" s="56">
        <f t="shared" si="102"/>
        <v>572</v>
      </c>
      <c r="P529" s="12"/>
      <c r="Q529" s="12"/>
      <c r="R529" s="12"/>
      <c r="S529" s="151"/>
      <c r="T529" s="12"/>
      <c r="U529" s="12"/>
      <c r="V529" s="12"/>
      <c r="W529" s="12"/>
      <c r="X529" s="12"/>
      <c r="Y529" s="12"/>
      <c r="Z529" s="12"/>
    </row>
    <row r="530" spans="1:26" ht="15" customHeight="1" x14ac:dyDescent="0.3">
      <c r="A530" s="45"/>
      <c r="B530" s="219" t="s">
        <v>250</v>
      </c>
      <c r="C530" s="194" t="s">
        <v>2021</v>
      </c>
      <c r="D530" s="46"/>
      <c r="E530" s="46" t="s">
        <v>987</v>
      </c>
      <c r="F530" s="61" t="s">
        <v>31</v>
      </c>
      <c r="G530" s="291">
        <v>52</v>
      </c>
      <c r="H530" s="292">
        <v>3</v>
      </c>
      <c r="I530" s="293">
        <v>62</v>
      </c>
      <c r="J530" s="414" t="s">
        <v>39</v>
      </c>
      <c r="K530" s="50"/>
      <c r="L530" s="53" t="str">
        <f t="shared" si="99"/>
        <v>62grams</v>
      </c>
      <c r="M530" s="54">
        <f t="shared" si="100"/>
        <v>186</v>
      </c>
      <c r="N530" s="55" t="str">
        <f t="shared" si="101"/>
        <v>186grams</v>
      </c>
      <c r="O530" s="56">
        <f t="shared" si="102"/>
        <v>156</v>
      </c>
      <c r="P530" s="12"/>
      <c r="Q530" s="12"/>
      <c r="R530" s="12"/>
      <c r="S530" s="151"/>
      <c r="T530" s="12"/>
      <c r="U530" s="12"/>
      <c r="V530" s="12"/>
      <c r="W530" s="12"/>
      <c r="X530" s="12"/>
      <c r="Y530" s="12"/>
      <c r="Z530" s="12"/>
    </row>
    <row r="531" spans="1:26" ht="15" customHeight="1" x14ac:dyDescent="0.3">
      <c r="A531" s="45"/>
      <c r="B531" s="46" t="s">
        <v>250</v>
      </c>
      <c r="C531" s="194" t="s">
        <v>2020</v>
      </c>
      <c r="D531" s="46"/>
      <c r="E531" s="46" t="s">
        <v>987</v>
      </c>
      <c r="F531" s="61" t="s">
        <v>31</v>
      </c>
      <c r="G531" s="288">
        <v>52.6</v>
      </c>
      <c r="H531" s="289">
        <v>9</v>
      </c>
      <c r="I531" s="290">
        <v>62</v>
      </c>
      <c r="J531" s="48" t="s">
        <v>39</v>
      </c>
      <c r="K531" s="50"/>
      <c r="L531" s="53" t="str">
        <f t="shared" si="99"/>
        <v>62grams</v>
      </c>
      <c r="M531" s="54">
        <f t="shared" si="100"/>
        <v>558</v>
      </c>
      <c r="N531" s="55" t="str">
        <f t="shared" si="101"/>
        <v>558grams</v>
      </c>
      <c r="O531" s="56">
        <f t="shared" si="102"/>
        <v>473.40000000000003</v>
      </c>
      <c r="P531" s="12"/>
      <c r="Q531" s="12"/>
      <c r="R531" s="12"/>
      <c r="S531" s="151"/>
      <c r="T531" s="12"/>
      <c r="U531" s="12"/>
      <c r="V531" s="12"/>
      <c r="W531" s="12"/>
      <c r="X531" s="12"/>
      <c r="Y531" s="12"/>
      <c r="Z531" s="12"/>
    </row>
    <row r="532" spans="1:26" ht="15" customHeight="1" x14ac:dyDescent="0.3">
      <c r="A532" s="45">
        <v>16</v>
      </c>
      <c r="B532" s="46" t="s">
        <v>1178</v>
      </c>
      <c r="C532" s="194" t="s">
        <v>2025</v>
      </c>
      <c r="D532" s="46"/>
      <c r="E532" s="46" t="s">
        <v>987</v>
      </c>
      <c r="F532" s="61" t="s">
        <v>31</v>
      </c>
      <c r="G532" s="288">
        <v>55</v>
      </c>
      <c r="H532" s="289">
        <v>1</v>
      </c>
      <c r="I532" s="290">
        <v>55</v>
      </c>
      <c r="J532" s="48" t="s">
        <v>39</v>
      </c>
      <c r="K532" s="50"/>
      <c r="L532" s="53" t="str">
        <f t="shared" si="99"/>
        <v>55grams</v>
      </c>
      <c r="M532" s="54">
        <f t="shared" si="100"/>
        <v>55</v>
      </c>
      <c r="N532" s="55" t="str">
        <f t="shared" si="101"/>
        <v>55grams</v>
      </c>
      <c r="O532" s="56">
        <f t="shared" si="102"/>
        <v>55</v>
      </c>
      <c r="P532" s="44">
        <f>O532/H532</f>
        <v>55</v>
      </c>
      <c r="Q532" s="66"/>
      <c r="R532" s="32"/>
      <c r="S532" s="32"/>
      <c r="T532" s="32"/>
      <c r="U532" s="32"/>
      <c r="V532" s="32"/>
      <c r="W532" s="32"/>
      <c r="X532" s="32"/>
      <c r="Y532" s="32"/>
      <c r="Z532" s="32"/>
    </row>
    <row r="533" spans="1:26" ht="15" customHeight="1" x14ac:dyDescent="0.3">
      <c r="A533" s="45"/>
      <c r="B533" s="219" t="s">
        <v>1179</v>
      </c>
      <c r="C533" s="194" t="s">
        <v>2021</v>
      </c>
      <c r="D533" s="46"/>
      <c r="E533" s="219" t="s">
        <v>1074</v>
      </c>
      <c r="F533" s="61" t="s">
        <v>31</v>
      </c>
      <c r="G533" s="291">
        <v>17.75</v>
      </c>
      <c r="H533" s="292">
        <v>2</v>
      </c>
      <c r="I533" s="293">
        <v>30</v>
      </c>
      <c r="J533" s="414" t="s">
        <v>39</v>
      </c>
      <c r="K533" s="50"/>
      <c r="L533" s="53" t="str">
        <f t="shared" si="99"/>
        <v>30grams</v>
      </c>
      <c r="M533" s="54">
        <f t="shared" si="100"/>
        <v>60</v>
      </c>
      <c r="N533" s="55" t="str">
        <f t="shared" si="101"/>
        <v>60grams</v>
      </c>
      <c r="O533" s="56">
        <f t="shared" si="102"/>
        <v>35.5</v>
      </c>
      <c r="P533" s="12"/>
      <c r="Q533" s="12"/>
      <c r="R533" s="12"/>
      <c r="S533" s="151"/>
      <c r="T533" s="12"/>
      <c r="U533" s="12"/>
      <c r="V533" s="12"/>
      <c r="W533" s="12"/>
      <c r="X533" s="12"/>
      <c r="Y533" s="12"/>
      <c r="Z533" s="12"/>
    </row>
    <row r="534" spans="1:26" ht="15" customHeight="1" x14ac:dyDescent="0.3">
      <c r="A534" s="45">
        <v>46</v>
      </c>
      <c r="B534" s="219" t="s">
        <v>1179</v>
      </c>
      <c r="C534" s="194" t="s">
        <v>29</v>
      </c>
      <c r="D534" s="46"/>
      <c r="E534" s="219" t="s">
        <v>854</v>
      </c>
      <c r="F534" s="61" t="s">
        <v>31</v>
      </c>
      <c r="G534" s="288">
        <v>102.5</v>
      </c>
      <c r="H534" s="289">
        <v>2</v>
      </c>
      <c r="I534" s="290">
        <v>45</v>
      </c>
      <c r="J534" s="48" t="s">
        <v>39</v>
      </c>
      <c r="K534" s="61" t="s">
        <v>2019</v>
      </c>
      <c r="L534" s="415" t="str">
        <f t="shared" si="99"/>
        <v>45grams</v>
      </c>
      <c r="M534" s="416">
        <f t="shared" si="100"/>
        <v>90</v>
      </c>
      <c r="N534" s="417" t="str">
        <f t="shared" si="101"/>
        <v>90grams</v>
      </c>
      <c r="O534" s="418">
        <f t="shared" si="102"/>
        <v>205</v>
      </c>
      <c r="P534" s="419">
        <f>O534/H534</f>
        <v>102.5</v>
      </c>
      <c r="Q534" s="66"/>
      <c r="R534" s="32"/>
      <c r="S534" s="32"/>
      <c r="T534" s="32"/>
      <c r="U534" s="32"/>
      <c r="V534" s="32"/>
      <c r="W534" s="32"/>
      <c r="X534" s="32"/>
      <c r="Y534" s="32"/>
      <c r="Z534" s="32"/>
    </row>
    <row r="535" spans="1:26" ht="15" customHeight="1" x14ac:dyDescent="0.3">
      <c r="A535" s="45"/>
      <c r="B535" s="219" t="s">
        <v>1179</v>
      </c>
      <c r="C535" s="194" t="s">
        <v>2022</v>
      </c>
      <c r="D535" s="46"/>
      <c r="E535" s="219" t="s">
        <v>854</v>
      </c>
      <c r="F535" s="61" t="s">
        <v>31</v>
      </c>
      <c r="G535" s="288">
        <v>102</v>
      </c>
      <c r="H535" s="289">
        <v>1</v>
      </c>
      <c r="I535" s="290">
        <v>45</v>
      </c>
      <c r="J535" s="48" t="s">
        <v>39</v>
      </c>
      <c r="K535" s="50"/>
      <c r="L535" s="53" t="str">
        <f t="shared" si="99"/>
        <v>45grams</v>
      </c>
      <c r="M535" s="54">
        <f t="shared" si="100"/>
        <v>45</v>
      </c>
      <c r="N535" s="55" t="str">
        <f t="shared" si="101"/>
        <v>45grams</v>
      </c>
      <c r="O535" s="56">
        <f t="shared" si="102"/>
        <v>102</v>
      </c>
      <c r="P535" s="12"/>
      <c r="Q535" s="12"/>
      <c r="R535" s="12"/>
      <c r="S535" s="151"/>
      <c r="T535" s="12"/>
      <c r="U535" s="12"/>
      <c r="V535" s="12"/>
      <c r="W535" s="12"/>
      <c r="X535" s="12"/>
      <c r="Y535" s="12"/>
      <c r="Z535" s="12"/>
    </row>
    <row r="536" spans="1:26" ht="15" customHeight="1" x14ac:dyDescent="0.3">
      <c r="A536" s="45"/>
      <c r="B536" s="219" t="s">
        <v>1179</v>
      </c>
      <c r="C536" s="194" t="s">
        <v>2021</v>
      </c>
      <c r="D536" s="46"/>
      <c r="E536" s="219" t="s">
        <v>854</v>
      </c>
      <c r="F536" s="61" t="s">
        <v>31</v>
      </c>
      <c r="G536" s="291">
        <v>102.5</v>
      </c>
      <c r="H536" s="292">
        <v>1</v>
      </c>
      <c r="I536" s="293">
        <v>45</v>
      </c>
      <c r="J536" s="414" t="s">
        <v>39</v>
      </c>
      <c r="K536" s="50"/>
      <c r="L536" s="53" t="str">
        <f t="shared" si="99"/>
        <v>45grams</v>
      </c>
      <c r="M536" s="54">
        <f t="shared" si="100"/>
        <v>45</v>
      </c>
      <c r="N536" s="55" t="str">
        <f t="shared" si="101"/>
        <v>45grams</v>
      </c>
      <c r="O536" s="56">
        <f t="shared" si="102"/>
        <v>102.5</v>
      </c>
      <c r="P536" s="12"/>
      <c r="Q536" s="12"/>
      <c r="R536" s="12"/>
      <c r="S536" s="151"/>
      <c r="T536" s="12"/>
      <c r="U536" s="12"/>
      <c r="V536" s="12"/>
      <c r="W536" s="12"/>
      <c r="X536" s="12"/>
      <c r="Y536" s="12"/>
      <c r="Z536" s="12"/>
    </row>
    <row r="537" spans="1:26" ht="15" customHeight="1" x14ac:dyDescent="0.3">
      <c r="A537" s="45">
        <v>886</v>
      </c>
      <c r="B537" s="46" t="s">
        <v>1180</v>
      </c>
      <c r="C537" s="194" t="s">
        <v>1368</v>
      </c>
      <c r="D537" s="46"/>
      <c r="E537" s="46" t="s">
        <v>1181</v>
      </c>
      <c r="F537" s="61" t="s">
        <v>31</v>
      </c>
      <c r="G537" s="288">
        <v>51</v>
      </c>
      <c r="H537" s="289">
        <v>1</v>
      </c>
      <c r="I537" s="290">
        <v>200</v>
      </c>
      <c r="J537" s="422" t="s">
        <v>39</v>
      </c>
      <c r="K537" s="50"/>
      <c r="L537" s="53" t="str">
        <f t="shared" si="99"/>
        <v>200grams</v>
      </c>
      <c r="M537" s="54">
        <f t="shared" si="100"/>
        <v>200</v>
      </c>
      <c r="N537" s="55" t="str">
        <f t="shared" si="101"/>
        <v>200grams</v>
      </c>
      <c r="O537" s="56">
        <f t="shared" si="102"/>
        <v>51</v>
      </c>
      <c r="P537" s="44"/>
      <c r="Q537" s="66"/>
      <c r="R537" s="32"/>
      <c r="S537" s="32"/>
      <c r="T537" s="32"/>
      <c r="U537" s="32"/>
      <c r="V537" s="32"/>
      <c r="W537" s="32"/>
      <c r="X537" s="32"/>
      <c r="Y537" s="32"/>
      <c r="Z537" s="32"/>
    </row>
    <row r="538" spans="1:26" ht="15" customHeight="1" x14ac:dyDescent="0.3">
      <c r="A538" s="45"/>
      <c r="B538" s="46" t="s">
        <v>1180</v>
      </c>
      <c r="C538" s="194" t="s">
        <v>2022</v>
      </c>
      <c r="D538" s="46"/>
      <c r="E538" s="46" t="s">
        <v>1181</v>
      </c>
      <c r="F538" s="61" t="s">
        <v>31</v>
      </c>
      <c r="G538" s="288">
        <v>41.9</v>
      </c>
      <c r="H538" s="289">
        <v>3</v>
      </c>
      <c r="I538" s="290">
        <v>210</v>
      </c>
      <c r="J538" s="422" t="s">
        <v>39</v>
      </c>
      <c r="K538" s="50"/>
      <c r="L538" s="53" t="str">
        <f t="shared" si="99"/>
        <v>210grams</v>
      </c>
      <c r="M538" s="54">
        <f t="shared" si="100"/>
        <v>630</v>
      </c>
      <c r="N538" s="55" t="str">
        <f t="shared" si="101"/>
        <v>630grams</v>
      </c>
      <c r="O538" s="56">
        <f t="shared" si="102"/>
        <v>125.69999999999999</v>
      </c>
      <c r="P538" s="12"/>
      <c r="Q538" s="12"/>
      <c r="R538" s="12"/>
      <c r="S538" s="151"/>
      <c r="T538" s="12"/>
      <c r="U538" s="12"/>
      <c r="V538" s="12"/>
      <c r="W538" s="12"/>
      <c r="X538" s="12"/>
      <c r="Y538" s="12"/>
      <c r="Z538" s="12"/>
    </row>
    <row r="539" spans="1:26" ht="15" customHeight="1" x14ac:dyDescent="0.3">
      <c r="A539" s="45"/>
      <c r="B539" s="219" t="s">
        <v>1180</v>
      </c>
      <c r="C539" s="194" t="s">
        <v>2021</v>
      </c>
      <c r="D539" s="46"/>
      <c r="E539" s="46" t="s">
        <v>1181</v>
      </c>
      <c r="F539" s="61" t="s">
        <v>31</v>
      </c>
      <c r="G539" s="291">
        <v>47</v>
      </c>
      <c r="H539" s="292">
        <v>4</v>
      </c>
      <c r="I539" s="293">
        <v>200</v>
      </c>
      <c r="J539" s="436" t="s">
        <v>39</v>
      </c>
      <c r="K539" s="50"/>
      <c r="L539" s="53" t="str">
        <f t="shared" si="99"/>
        <v>200grams</v>
      </c>
      <c r="M539" s="54">
        <f t="shared" si="100"/>
        <v>800</v>
      </c>
      <c r="N539" s="55" t="str">
        <f t="shared" si="101"/>
        <v>800grams</v>
      </c>
      <c r="O539" s="56">
        <f t="shared" si="102"/>
        <v>188</v>
      </c>
      <c r="P539" s="12"/>
      <c r="Q539" s="12"/>
      <c r="R539" s="12"/>
      <c r="S539" s="151"/>
      <c r="T539" s="12"/>
      <c r="U539" s="12"/>
      <c r="V539" s="12"/>
      <c r="W539" s="12"/>
      <c r="X539" s="12"/>
      <c r="Y539" s="12"/>
      <c r="Z539" s="12"/>
    </row>
    <row r="540" spans="1:26" ht="15" customHeight="1" x14ac:dyDescent="0.3">
      <c r="A540" s="45">
        <v>918</v>
      </c>
      <c r="B540" s="46" t="s">
        <v>252</v>
      </c>
      <c r="C540" s="194" t="s">
        <v>1368</v>
      </c>
      <c r="D540" s="46"/>
      <c r="E540" s="46" t="s">
        <v>1182</v>
      </c>
      <c r="F540" s="61" t="s">
        <v>31</v>
      </c>
      <c r="G540" s="288">
        <v>26.5</v>
      </c>
      <c r="H540" s="289">
        <v>1</v>
      </c>
      <c r="I540" s="290">
        <v>20</v>
      </c>
      <c r="J540" s="48" t="s">
        <v>39</v>
      </c>
      <c r="K540" s="50"/>
      <c r="L540" s="53" t="str">
        <f t="shared" si="99"/>
        <v>20grams</v>
      </c>
      <c r="M540" s="54">
        <f t="shared" si="100"/>
        <v>20</v>
      </c>
      <c r="N540" s="55" t="str">
        <f t="shared" si="101"/>
        <v>20grams</v>
      </c>
      <c r="O540" s="56">
        <f t="shared" si="102"/>
        <v>26.5</v>
      </c>
      <c r="P540" s="44"/>
      <c r="Q540" s="66"/>
      <c r="R540" s="32"/>
      <c r="S540" s="32"/>
      <c r="T540" s="32"/>
      <c r="U540" s="32"/>
      <c r="V540" s="32"/>
      <c r="W540" s="32"/>
      <c r="X540" s="32"/>
      <c r="Y540" s="32"/>
      <c r="Z540" s="32"/>
    </row>
    <row r="541" spans="1:26" ht="15" customHeight="1" x14ac:dyDescent="0.3">
      <c r="A541" s="45">
        <v>41</v>
      </c>
      <c r="B541" s="46" t="s">
        <v>254</v>
      </c>
      <c r="C541" s="194" t="s">
        <v>29</v>
      </c>
      <c r="D541" s="46"/>
      <c r="E541" s="46" t="s">
        <v>1183</v>
      </c>
      <c r="F541" s="61" t="s">
        <v>31</v>
      </c>
      <c r="G541" s="288">
        <v>113</v>
      </c>
      <c r="H541" s="289">
        <v>1</v>
      </c>
      <c r="I541" s="290">
        <v>50</v>
      </c>
      <c r="J541" s="48" t="s">
        <v>39</v>
      </c>
      <c r="K541" s="61" t="s">
        <v>2019</v>
      </c>
      <c r="L541" s="415" t="str">
        <f t="shared" si="99"/>
        <v>50grams</v>
      </c>
      <c r="M541" s="416">
        <f t="shared" si="100"/>
        <v>50</v>
      </c>
      <c r="N541" s="417" t="str">
        <f t="shared" si="101"/>
        <v>50grams</v>
      </c>
      <c r="O541" s="418">
        <f t="shared" si="102"/>
        <v>113</v>
      </c>
      <c r="P541" s="419">
        <f>O541/H541</f>
        <v>113</v>
      </c>
      <c r="Q541" s="66"/>
      <c r="R541" s="32" t="b">
        <f>P541=G541</f>
        <v>1</v>
      </c>
      <c r="S541" s="32"/>
      <c r="T541" s="32"/>
      <c r="U541" s="32"/>
      <c r="V541" s="32"/>
      <c r="W541" s="32"/>
      <c r="X541" s="32"/>
      <c r="Y541" s="32"/>
      <c r="Z541" s="32"/>
    </row>
    <row r="542" spans="1:26" ht="15" customHeight="1" x14ac:dyDescent="0.3">
      <c r="A542" s="45">
        <v>882</v>
      </c>
      <c r="B542" s="46" t="s">
        <v>254</v>
      </c>
      <c r="C542" s="194" t="s">
        <v>1368</v>
      </c>
      <c r="D542" s="46"/>
      <c r="E542" s="46" t="s">
        <v>1184</v>
      </c>
      <c r="F542" s="61" t="s">
        <v>31</v>
      </c>
      <c r="G542" s="288">
        <v>34</v>
      </c>
      <c r="H542" s="289">
        <v>2</v>
      </c>
      <c r="I542" s="290">
        <v>30</v>
      </c>
      <c r="J542" s="48" t="s">
        <v>39</v>
      </c>
      <c r="K542" s="50"/>
      <c r="L542" s="53" t="str">
        <f t="shared" si="99"/>
        <v>30grams</v>
      </c>
      <c r="M542" s="54">
        <f t="shared" si="100"/>
        <v>60</v>
      </c>
      <c r="N542" s="55" t="str">
        <f t="shared" si="101"/>
        <v>60grams</v>
      </c>
      <c r="O542" s="56">
        <f t="shared" si="102"/>
        <v>68</v>
      </c>
      <c r="P542" s="44"/>
      <c r="Q542" s="66"/>
      <c r="R542" s="32"/>
      <c r="S542" s="32"/>
      <c r="T542" s="32"/>
      <c r="U542" s="32"/>
      <c r="V542" s="32"/>
      <c r="W542" s="32"/>
      <c r="X542" s="32"/>
      <c r="Y542" s="32"/>
      <c r="Z542" s="32"/>
    </row>
    <row r="543" spans="1:26" ht="15" customHeight="1" x14ac:dyDescent="0.3">
      <c r="A543" s="45"/>
      <c r="B543" s="46" t="s">
        <v>254</v>
      </c>
      <c r="C543" s="194" t="s">
        <v>2023</v>
      </c>
      <c r="D543" s="46"/>
      <c r="E543" s="46" t="s">
        <v>867</v>
      </c>
      <c r="F543" s="61" t="s">
        <v>31</v>
      </c>
      <c r="G543" s="288">
        <v>250</v>
      </c>
      <c r="H543" s="289">
        <v>2</v>
      </c>
      <c r="I543" s="290">
        <v>500</v>
      </c>
      <c r="J543" s="48" t="s">
        <v>39</v>
      </c>
      <c r="K543" s="50"/>
      <c r="L543" s="53" t="str">
        <f t="shared" si="99"/>
        <v>500grams</v>
      </c>
      <c r="M543" s="54">
        <f t="shared" si="100"/>
        <v>1000</v>
      </c>
      <c r="N543" s="55" t="str">
        <f t="shared" si="101"/>
        <v>1000grams</v>
      </c>
      <c r="O543" s="56">
        <f t="shared" si="102"/>
        <v>500</v>
      </c>
      <c r="P543" s="44"/>
      <c r="Q543" s="12"/>
      <c r="R543" s="12"/>
      <c r="S543" s="151"/>
      <c r="T543" s="12"/>
      <c r="U543" s="12"/>
      <c r="V543" s="12"/>
      <c r="W543" s="12"/>
      <c r="X543" s="12"/>
      <c r="Y543" s="12"/>
      <c r="Z543" s="12"/>
    </row>
    <row r="544" spans="1:26" ht="15" customHeight="1" x14ac:dyDescent="0.3">
      <c r="A544" s="45"/>
      <c r="B544" s="219" t="s">
        <v>254</v>
      </c>
      <c r="C544" s="194" t="s">
        <v>2021</v>
      </c>
      <c r="D544" s="46"/>
      <c r="E544" s="219" t="s">
        <v>1184</v>
      </c>
      <c r="F544" s="61" t="s">
        <v>31</v>
      </c>
      <c r="G544" s="291">
        <v>32.75</v>
      </c>
      <c r="H544" s="292">
        <v>1</v>
      </c>
      <c r="I544" s="293">
        <v>30</v>
      </c>
      <c r="J544" s="414" t="s">
        <v>39</v>
      </c>
      <c r="K544" s="50"/>
      <c r="L544" s="53" t="str">
        <f t="shared" si="99"/>
        <v>30grams</v>
      </c>
      <c r="M544" s="54">
        <f t="shared" si="100"/>
        <v>30</v>
      </c>
      <c r="N544" s="55" t="str">
        <f t="shared" si="101"/>
        <v>30grams</v>
      </c>
      <c r="O544" s="56">
        <f t="shared" si="102"/>
        <v>32.75</v>
      </c>
      <c r="P544" s="12"/>
      <c r="Q544" s="12"/>
      <c r="R544" s="12"/>
      <c r="S544" s="151"/>
      <c r="T544" s="12"/>
      <c r="U544" s="12"/>
      <c r="V544" s="12"/>
      <c r="W544" s="12"/>
      <c r="X544" s="12"/>
      <c r="Y544" s="12"/>
      <c r="Z544" s="12"/>
    </row>
    <row r="545" spans="1:26" ht="15" customHeight="1" x14ac:dyDescent="0.3">
      <c r="A545" s="45">
        <v>911</v>
      </c>
      <c r="B545" s="46" t="s">
        <v>1185</v>
      </c>
      <c r="C545" s="194" t="s">
        <v>1368</v>
      </c>
      <c r="D545" s="46"/>
      <c r="E545" s="46"/>
      <c r="F545" s="61" t="s">
        <v>31</v>
      </c>
      <c r="G545" s="288">
        <v>90</v>
      </c>
      <c r="H545" s="289">
        <v>1</v>
      </c>
      <c r="I545" s="290">
        <v>1000</v>
      </c>
      <c r="J545" s="48" t="s">
        <v>39</v>
      </c>
      <c r="K545" s="50"/>
      <c r="L545" s="53" t="str">
        <f t="shared" si="99"/>
        <v>1000grams</v>
      </c>
      <c r="M545" s="54">
        <f t="shared" si="100"/>
        <v>1000</v>
      </c>
      <c r="N545" s="55" t="str">
        <f t="shared" si="101"/>
        <v>1000grams</v>
      </c>
      <c r="O545" s="56">
        <f t="shared" si="102"/>
        <v>90</v>
      </c>
      <c r="P545" s="44"/>
      <c r="Q545" s="66"/>
      <c r="R545" s="32"/>
      <c r="S545" s="32"/>
      <c r="T545" s="32"/>
      <c r="U545" s="32"/>
      <c r="V545" s="32"/>
      <c r="W545" s="32"/>
      <c r="X545" s="32"/>
      <c r="Y545" s="32"/>
      <c r="Z545" s="32"/>
    </row>
    <row r="546" spans="1:26" ht="15" customHeight="1" x14ac:dyDescent="0.3">
      <c r="A546" s="45">
        <v>467</v>
      </c>
      <c r="B546" s="46" t="s">
        <v>1186</v>
      </c>
      <c r="C546" s="194" t="s">
        <v>2025</v>
      </c>
      <c r="D546" s="46"/>
      <c r="E546" s="46"/>
      <c r="F546" s="61" t="s">
        <v>31</v>
      </c>
      <c r="G546" s="288">
        <v>310</v>
      </c>
      <c r="H546" s="289">
        <v>3</v>
      </c>
      <c r="I546" s="290">
        <v>1</v>
      </c>
      <c r="J546" s="48" t="s">
        <v>213</v>
      </c>
      <c r="K546" s="50"/>
      <c r="L546" s="53" t="str">
        <f t="shared" si="99"/>
        <v>1kilos</v>
      </c>
      <c r="M546" s="54">
        <f t="shared" si="100"/>
        <v>3</v>
      </c>
      <c r="N546" s="55" t="str">
        <f t="shared" si="101"/>
        <v>3kilos</v>
      </c>
      <c r="O546" s="56">
        <f t="shared" si="102"/>
        <v>930</v>
      </c>
      <c r="P546" s="44">
        <f t="shared" ref="P546:P549" si="105">O546/H546</f>
        <v>310</v>
      </c>
      <c r="Q546" s="66"/>
      <c r="R546" s="32" t="b">
        <f>P546=G546</f>
        <v>1</v>
      </c>
      <c r="S546" s="32"/>
      <c r="T546" s="32"/>
      <c r="U546" s="32"/>
      <c r="V546" s="32"/>
      <c r="W546" s="32"/>
      <c r="X546" s="32"/>
      <c r="Y546" s="32"/>
      <c r="Z546" s="32"/>
    </row>
    <row r="547" spans="1:26" ht="15" customHeight="1" x14ac:dyDescent="0.3">
      <c r="A547" s="45">
        <v>463</v>
      </c>
      <c r="B547" s="46" t="s">
        <v>1187</v>
      </c>
      <c r="C547" s="194" t="s">
        <v>2025</v>
      </c>
      <c r="D547" s="46"/>
      <c r="E547" s="46" t="s">
        <v>1068</v>
      </c>
      <c r="F547" s="61" t="s">
        <v>31</v>
      </c>
      <c r="G547" s="288">
        <v>1300</v>
      </c>
      <c r="H547" s="289">
        <v>1</v>
      </c>
      <c r="I547" s="290">
        <v>1</v>
      </c>
      <c r="J547" s="48" t="s">
        <v>213</v>
      </c>
      <c r="K547" s="50"/>
      <c r="L547" s="53" t="str">
        <f t="shared" si="99"/>
        <v>1kilos</v>
      </c>
      <c r="M547" s="54">
        <f t="shared" si="100"/>
        <v>1</v>
      </c>
      <c r="N547" s="55" t="str">
        <f t="shared" si="101"/>
        <v>1kilos</v>
      </c>
      <c r="O547" s="56">
        <f t="shared" si="102"/>
        <v>1300</v>
      </c>
      <c r="P547" s="44">
        <f t="shared" si="105"/>
        <v>1300</v>
      </c>
      <c r="Q547" s="66"/>
      <c r="R547" s="32"/>
      <c r="S547" s="32"/>
      <c r="T547" s="32"/>
      <c r="U547" s="32"/>
      <c r="V547" s="32"/>
      <c r="W547" s="32"/>
      <c r="X547" s="32"/>
      <c r="Y547" s="32"/>
      <c r="Z547" s="32"/>
    </row>
    <row r="548" spans="1:26" ht="15" customHeight="1" x14ac:dyDescent="0.3">
      <c r="A548" s="45">
        <v>280</v>
      </c>
      <c r="B548" s="46" t="s">
        <v>1188</v>
      </c>
      <c r="C548" s="194" t="s">
        <v>2025</v>
      </c>
      <c r="D548" s="46"/>
      <c r="E548" s="46" t="s">
        <v>1042</v>
      </c>
      <c r="F548" s="61" t="s">
        <v>31</v>
      </c>
      <c r="G548" s="288">
        <v>69.75</v>
      </c>
      <c r="H548" s="289">
        <v>2</v>
      </c>
      <c r="I548" s="290">
        <v>230</v>
      </c>
      <c r="J548" s="48" t="s">
        <v>519</v>
      </c>
      <c r="K548" s="50"/>
      <c r="L548" s="53" t="str">
        <f t="shared" si="99"/>
        <v>230drained weight grams</v>
      </c>
      <c r="M548" s="54">
        <f t="shared" si="100"/>
        <v>460</v>
      </c>
      <c r="N548" s="55" t="str">
        <f t="shared" si="101"/>
        <v>460drained weight grams</v>
      </c>
      <c r="O548" s="56">
        <f t="shared" si="102"/>
        <v>139.5</v>
      </c>
      <c r="P548" s="44">
        <f t="shared" si="105"/>
        <v>69.75</v>
      </c>
      <c r="Q548" s="66"/>
      <c r="R548" s="32"/>
      <c r="S548" s="32"/>
      <c r="T548" s="32"/>
      <c r="U548" s="32"/>
      <c r="V548" s="32"/>
      <c r="W548" s="32"/>
      <c r="X548" s="32"/>
      <c r="Y548" s="32"/>
      <c r="Z548" s="32"/>
    </row>
    <row r="549" spans="1:26" ht="15" customHeight="1" x14ac:dyDescent="0.3">
      <c r="A549" s="45">
        <v>468</v>
      </c>
      <c r="B549" s="46" t="s">
        <v>1189</v>
      </c>
      <c r="C549" s="194" t="s">
        <v>2025</v>
      </c>
      <c r="D549" s="46"/>
      <c r="E549" s="46"/>
      <c r="F549" s="61" t="s">
        <v>31</v>
      </c>
      <c r="G549" s="288">
        <v>190</v>
      </c>
      <c r="H549" s="289">
        <v>4</v>
      </c>
      <c r="I549" s="290">
        <v>1</v>
      </c>
      <c r="J549" s="48" t="s">
        <v>213</v>
      </c>
      <c r="K549" s="50" t="s">
        <v>2019</v>
      </c>
      <c r="L549" s="53" t="str">
        <f t="shared" si="99"/>
        <v>1kilos</v>
      </c>
      <c r="M549" s="54">
        <f t="shared" si="100"/>
        <v>4</v>
      </c>
      <c r="N549" s="55" t="str">
        <f t="shared" si="101"/>
        <v>4kilos</v>
      </c>
      <c r="O549" s="56">
        <f t="shared" si="102"/>
        <v>760</v>
      </c>
      <c r="P549" s="44">
        <f t="shared" si="105"/>
        <v>190</v>
      </c>
      <c r="Q549" s="66">
        <f>G549-P549</f>
        <v>0</v>
      </c>
      <c r="R549" s="32" t="b">
        <f>P549=G549</f>
        <v>1</v>
      </c>
      <c r="S549" s="32"/>
      <c r="T549" s="32"/>
      <c r="U549" s="32"/>
      <c r="V549" s="32"/>
      <c r="W549" s="32"/>
      <c r="X549" s="32"/>
      <c r="Y549" s="32"/>
      <c r="Z549" s="32"/>
    </row>
    <row r="550" spans="1:26" ht="15" customHeight="1" x14ac:dyDescent="0.3">
      <c r="A550" s="45"/>
      <c r="B550" s="46" t="s">
        <v>1189</v>
      </c>
      <c r="C550" s="194" t="s">
        <v>2020</v>
      </c>
      <c r="D550" s="46"/>
      <c r="E550" s="46"/>
      <c r="F550" s="61" t="s">
        <v>31</v>
      </c>
      <c r="G550" s="288">
        <v>400</v>
      </c>
      <c r="H550" s="289">
        <v>0</v>
      </c>
      <c r="I550" s="290">
        <v>1000</v>
      </c>
      <c r="J550" s="48" t="s">
        <v>39</v>
      </c>
      <c r="K550" s="50"/>
      <c r="L550" s="53" t="str">
        <f t="shared" si="99"/>
        <v>1000grams</v>
      </c>
      <c r="M550" s="54">
        <f t="shared" si="100"/>
        <v>0</v>
      </c>
      <c r="N550" s="55" t="str">
        <f t="shared" si="101"/>
        <v>0grams</v>
      </c>
      <c r="O550" s="56">
        <f t="shared" si="102"/>
        <v>0</v>
      </c>
      <c r="P550" s="12"/>
      <c r="Q550" s="12"/>
      <c r="R550" s="12"/>
      <c r="S550" s="151"/>
      <c r="T550" s="12"/>
      <c r="U550" s="12"/>
      <c r="V550" s="12"/>
      <c r="W550" s="12"/>
      <c r="X550" s="12"/>
      <c r="Y550" s="12"/>
      <c r="Z550" s="12"/>
    </row>
    <row r="551" spans="1:26" ht="15" customHeight="1" x14ac:dyDescent="0.3">
      <c r="A551" s="45">
        <v>462</v>
      </c>
      <c r="B551" s="46" t="s">
        <v>1190</v>
      </c>
      <c r="C551" s="194" t="s">
        <v>2025</v>
      </c>
      <c r="D551" s="46"/>
      <c r="E551" s="46" t="s">
        <v>1191</v>
      </c>
      <c r="F551" s="61" t="s">
        <v>31</v>
      </c>
      <c r="G551" s="288">
        <v>1300</v>
      </c>
      <c r="H551" s="289">
        <v>0</v>
      </c>
      <c r="I551" s="290">
        <v>1</v>
      </c>
      <c r="J551" s="48" t="s">
        <v>213</v>
      </c>
      <c r="K551" s="50"/>
      <c r="L551" s="53" t="str">
        <f t="shared" si="99"/>
        <v>1kilos</v>
      </c>
      <c r="M551" s="54">
        <f t="shared" si="100"/>
        <v>0</v>
      </c>
      <c r="N551" s="55" t="str">
        <f t="shared" si="101"/>
        <v>0kilos</v>
      </c>
      <c r="O551" s="56">
        <f t="shared" si="102"/>
        <v>0</v>
      </c>
      <c r="P551" s="44" t="e">
        <f>O551/H551</f>
        <v>#DIV/0!</v>
      </c>
      <c r="Q551" s="66"/>
      <c r="R551" s="32" t="e">
        <f>P551=G551</f>
        <v>#DIV/0!</v>
      </c>
      <c r="S551" s="32"/>
      <c r="T551" s="32"/>
      <c r="U551" s="32"/>
      <c r="V551" s="32"/>
      <c r="W551" s="32"/>
      <c r="X551" s="32"/>
      <c r="Y551" s="32"/>
      <c r="Z551" s="32"/>
    </row>
    <row r="552" spans="1:26" ht="15" customHeight="1" x14ac:dyDescent="0.3">
      <c r="A552" s="45"/>
      <c r="B552" s="219" t="s">
        <v>198</v>
      </c>
      <c r="C552" s="194" t="s">
        <v>2021</v>
      </c>
      <c r="D552" s="46"/>
      <c r="E552" s="219" t="s">
        <v>199</v>
      </c>
      <c r="F552" s="61" t="s">
        <v>31</v>
      </c>
      <c r="G552" s="291">
        <v>309</v>
      </c>
      <c r="H552" s="292">
        <v>7</v>
      </c>
      <c r="I552" s="293">
        <v>1</v>
      </c>
      <c r="J552" s="414" t="s">
        <v>200</v>
      </c>
      <c r="K552" s="50"/>
      <c r="L552" s="53" t="str">
        <f t="shared" si="99"/>
        <v>1gal</v>
      </c>
      <c r="M552" s="54">
        <f t="shared" si="100"/>
        <v>7</v>
      </c>
      <c r="N552" s="55" t="str">
        <f t="shared" si="101"/>
        <v>7gal</v>
      </c>
      <c r="O552" s="56">
        <f t="shared" si="102"/>
        <v>2163</v>
      </c>
      <c r="P552" s="12"/>
      <c r="Q552" s="12"/>
      <c r="R552" s="12"/>
      <c r="S552" s="151"/>
      <c r="T552" s="12"/>
      <c r="U552" s="12"/>
      <c r="V552" s="12"/>
      <c r="W552" s="12"/>
      <c r="X552" s="12"/>
      <c r="Y552" s="12"/>
      <c r="Z552" s="12"/>
    </row>
    <row r="553" spans="1:26" ht="15" customHeight="1" x14ac:dyDescent="0.3">
      <c r="A553" s="45"/>
      <c r="B553" s="46" t="s">
        <v>198</v>
      </c>
      <c r="C553" s="194" t="s">
        <v>2020</v>
      </c>
      <c r="D553" s="46"/>
      <c r="E553" s="46" t="s">
        <v>199</v>
      </c>
      <c r="F553" s="61" t="s">
        <v>31</v>
      </c>
      <c r="G553" s="288">
        <v>309</v>
      </c>
      <c r="H553" s="289">
        <v>4</v>
      </c>
      <c r="I553" s="290">
        <v>1</v>
      </c>
      <c r="J553" s="48" t="s">
        <v>200</v>
      </c>
      <c r="K553" s="50"/>
      <c r="L553" s="53" t="str">
        <f t="shared" si="99"/>
        <v>1gal</v>
      </c>
      <c r="M553" s="54">
        <f t="shared" si="100"/>
        <v>4</v>
      </c>
      <c r="N553" s="55" t="str">
        <f t="shared" si="101"/>
        <v>4gal</v>
      </c>
      <c r="O553" s="56">
        <f t="shared" si="102"/>
        <v>1236</v>
      </c>
      <c r="P553" s="12"/>
      <c r="Q553" s="12"/>
      <c r="R553" s="12"/>
      <c r="S553" s="151"/>
      <c r="T553" s="12"/>
      <c r="U553" s="12"/>
      <c r="V553" s="12"/>
      <c r="W553" s="12"/>
      <c r="X553" s="12"/>
      <c r="Y553" s="12"/>
      <c r="Z553" s="12"/>
    </row>
    <row r="554" spans="1:26" ht="15" customHeight="1" x14ac:dyDescent="0.3">
      <c r="A554" s="45">
        <v>569</v>
      </c>
      <c r="B554" s="46" t="s">
        <v>1192</v>
      </c>
      <c r="C554" s="194" t="s">
        <v>2026</v>
      </c>
      <c r="D554" s="46"/>
      <c r="E554" s="46"/>
      <c r="F554" s="61" t="s">
        <v>31</v>
      </c>
      <c r="G554" s="288">
        <v>0.64</v>
      </c>
      <c r="H554" s="289">
        <v>39</v>
      </c>
      <c r="I554" s="290">
        <v>156</v>
      </c>
      <c r="J554" s="48" t="s">
        <v>92</v>
      </c>
      <c r="K554" s="50"/>
      <c r="L554" s="53" t="str">
        <f t="shared" si="99"/>
        <v>156pieces</v>
      </c>
      <c r="M554" s="54">
        <f t="shared" si="100"/>
        <v>6084</v>
      </c>
      <c r="N554" s="55" t="str">
        <f t="shared" si="101"/>
        <v>6084pieces</v>
      </c>
      <c r="O554" s="56">
        <f t="shared" si="102"/>
        <v>24.96</v>
      </c>
      <c r="P554" s="44">
        <f t="shared" ref="P554:P555" si="106">O554/H554</f>
        <v>0.64</v>
      </c>
      <c r="Q554" s="66"/>
      <c r="R554" s="32" t="b">
        <f t="shared" ref="R554:R555" si="107">P554=G554</f>
        <v>1</v>
      </c>
      <c r="S554" s="32"/>
      <c r="T554" s="32"/>
      <c r="U554" s="32"/>
      <c r="V554" s="32"/>
      <c r="W554" s="32"/>
      <c r="X554" s="32"/>
      <c r="Y554" s="32"/>
      <c r="Z554" s="32"/>
    </row>
    <row r="555" spans="1:26" ht="15" customHeight="1" x14ac:dyDescent="0.3">
      <c r="A555" s="45">
        <v>857</v>
      </c>
      <c r="B555" s="219" t="s">
        <v>1193</v>
      </c>
      <c r="C555" s="194" t="s">
        <v>1368</v>
      </c>
      <c r="D555" s="46"/>
      <c r="E555" s="46" t="s">
        <v>1194</v>
      </c>
      <c r="F555" s="61" t="s">
        <v>31</v>
      </c>
      <c r="G555" s="288">
        <v>52</v>
      </c>
      <c r="H555" s="289">
        <v>3</v>
      </c>
      <c r="I555" s="290">
        <v>1</v>
      </c>
      <c r="J555" s="48" t="s">
        <v>304</v>
      </c>
      <c r="K555" s="50" t="s">
        <v>2019</v>
      </c>
      <c r="L555" s="53" t="str">
        <f t="shared" si="99"/>
        <v>1packs</v>
      </c>
      <c r="M555" s="54">
        <f t="shared" si="100"/>
        <v>3</v>
      </c>
      <c r="N555" s="55" t="str">
        <f t="shared" si="101"/>
        <v>3packs</v>
      </c>
      <c r="O555" s="56">
        <f t="shared" si="102"/>
        <v>156</v>
      </c>
      <c r="P555" s="44">
        <f t="shared" si="106"/>
        <v>52</v>
      </c>
      <c r="Q555" s="66">
        <f>G555-P555</f>
        <v>0</v>
      </c>
      <c r="R555" s="32" t="b">
        <f t="shared" si="107"/>
        <v>1</v>
      </c>
      <c r="S555" s="32"/>
      <c r="T555" s="32"/>
      <c r="U555" s="32"/>
      <c r="V555" s="32"/>
      <c r="W555" s="32"/>
      <c r="X555" s="32"/>
      <c r="Y555" s="32"/>
      <c r="Z555" s="32"/>
    </row>
    <row r="556" spans="1:26" ht="15" customHeight="1" x14ac:dyDescent="0.3">
      <c r="A556" s="45"/>
      <c r="B556" s="219" t="s">
        <v>1193</v>
      </c>
      <c r="C556" s="194" t="s">
        <v>2021</v>
      </c>
      <c r="D556" s="46"/>
      <c r="E556" s="219" t="s">
        <v>1195</v>
      </c>
      <c r="F556" s="61" t="s">
        <v>31</v>
      </c>
      <c r="G556" s="291">
        <v>40</v>
      </c>
      <c r="H556" s="292">
        <v>1</v>
      </c>
      <c r="I556" s="293">
        <v>1</v>
      </c>
      <c r="J556" s="414" t="s">
        <v>304</v>
      </c>
      <c r="K556" s="50"/>
      <c r="L556" s="53" t="str">
        <f t="shared" si="99"/>
        <v>1packs</v>
      </c>
      <c r="M556" s="54">
        <f t="shared" si="100"/>
        <v>1</v>
      </c>
      <c r="N556" s="55" t="str">
        <f t="shared" si="101"/>
        <v>1packs</v>
      </c>
      <c r="O556" s="56">
        <f t="shared" si="102"/>
        <v>40</v>
      </c>
      <c r="P556" s="12"/>
      <c r="Q556" s="12"/>
      <c r="R556" s="12"/>
      <c r="S556" s="151"/>
      <c r="T556" s="12"/>
      <c r="U556" s="12"/>
      <c r="V556" s="12"/>
      <c r="W556" s="12"/>
      <c r="X556" s="12"/>
      <c r="Y556" s="12"/>
      <c r="Z556" s="12"/>
    </row>
    <row r="557" spans="1:26" ht="15" customHeight="1" x14ac:dyDescent="0.3">
      <c r="A557" s="45"/>
      <c r="B557" s="219" t="s">
        <v>1193</v>
      </c>
      <c r="C557" s="194" t="s">
        <v>2021</v>
      </c>
      <c r="D557" s="46"/>
      <c r="E557" s="219" t="s">
        <v>1196</v>
      </c>
      <c r="F557" s="61" t="s">
        <v>31</v>
      </c>
      <c r="G557" s="291">
        <v>50</v>
      </c>
      <c r="H557" s="292">
        <v>2</v>
      </c>
      <c r="I557" s="293">
        <v>1</v>
      </c>
      <c r="J557" s="414" t="s">
        <v>304</v>
      </c>
      <c r="K557" s="50"/>
      <c r="L557" s="53" t="str">
        <f t="shared" si="99"/>
        <v>1packs</v>
      </c>
      <c r="M557" s="54">
        <f t="shared" si="100"/>
        <v>2</v>
      </c>
      <c r="N557" s="55" t="str">
        <f t="shared" si="101"/>
        <v>2packs</v>
      </c>
      <c r="O557" s="56">
        <f t="shared" si="102"/>
        <v>100</v>
      </c>
      <c r="P557" s="12"/>
      <c r="Q557" s="12"/>
      <c r="R557" s="12"/>
      <c r="S557" s="151"/>
      <c r="T557" s="12"/>
      <c r="U557" s="12"/>
      <c r="V557" s="12"/>
      <c r="W557" s="12"/>
      <c r="X557" s="12"/>
      <c r="Y557" s="12"/>
      <c r="Z557" s="12"/>
    </row>
    <row r="558" spans="1:26" ht="15" customHeight="1" x14ac:dyDescent="0.3">
      <c r="A558" s="45">
        <v>382</v>
      </c>
      <c r="B558" s="46" t="s">
        <v>1197</v>
      </c>
      <c r="C558" s="194" t="s">
        <v>2025</v>
      </c>
      <c r="D558" s="46"/>
      <c r="E558" s="46"/>
      <c r="F558" s="61" t="s">
        <v>31</v>
      </c>
      <c r="G558" s="288">
        <v>2.2400000000000002</v>
      </c>
      <c r="H558" s="289">
        <v>20</v>
      </c>
      <c r="I558" s="290">
        <v>1</v>
      </c>
      <c r="J558" s="48" t="s">
        <v>92</v>
      </c>
      <c r="K558" s="50"/>
      <c r="L558" s="53" t="str">
        <f t="shared" si="99"/>
        <v>1pieces</v>
      </c>
      <c r="M558" s="54">
        <f t="shared" si="100"/>
        <v>20</v>
      </c>
      <c r="N558" s="55" t="str">
        <f t="shared" si="101"/>
        <v>20pieces</v>
      </c>
      <c r="O558" s="56">
        <f t="shared" si="102"/>
        <v>44.800000000000004</v>
      </c>
      <c r="P558" s="44">
        <f t="shared" ref="P558:P561" si="108">O558/H558</f>
        <v>2.2400000000000002</v>
      </c>
      <c r="Q558" s="66"/>
      <c r="R558" s="32" t="b">
        <f t="shared" ref="R558:R559" si="109">P558=G558</f>
        <v>1</v>
      </c>
      <c r="S558" s="32"/>
      <c r="T558" s="32"/>
      <c r="U558" s="32"/>
      <c r="V558" s="32"/>
      <c r="W558" s="32"/>
      <c r="X558" s="32"/>
      <c r="Y558" s="32"/>
      <c r="Z558" s="32"/>
    </row>
    <row r="559" spans="1:26" ht="15" customHeight="1" x14ac:dyDescent="0.3">
      <c r="A559" s="45">
        <v>570</v>
      </c>
      <c r="B559" s="46" t="s">
        <v>1198</v>
      </c>
      <c r="C559" s="194" t="s">
        <v>2026</v>
      </c>
      <c r="D559" s="46"/>
      <c r="E559" s="46" t="s">
        <v>1199</v>
      </c>
      <c r="F559" s="61" t="s">
        <v>31</v>
      </c>
      <c r="G559" s="288">
        <v>35</v>
      </c>
      <c r="H559" s="289">
        <v>2</v>
      </c>
      <c r="I559" s="290">
        <v>1</v>
      </c>
      <c r="J559" s="48" t="s">
        <v>304</v>
      </c>
      <c r="K559" s="50"/>
      <c r="L559" s="53" t="str">
        <f t="shared" si="99"/>
        <v>1packs</v>
      </c>
      <c r="M559" s="54">
        <f t="shared" si="100"/>
        <v>2</v>
      </c>
      <c r="N559" s="55" t="str">
        <f t="shared" si="101"/>
        <v>2packs</v>
      </c>
      <c r="O559" s="56">
        <f t="shared" si="102"/>
        <v>70</v>
      </c>
      <c r="P559" s="44">
        <f t="shared" si="108"/>
        <v>35</v>
      </c>
      <c r="Q559" s="66"/>
      <c r="R559" s="32" t="b">
        <f t="shared" si="109"/>
        <v>1</v>
      </c>
      <c r="S559" s="32"/>
      <c r="T559" s="32"/>
      <c r="U559" s="32"/>
      <c r="V559" s="32"/>
      <c r="W559" s="32"/>
      <c r="X559" s="32"/>
      <c r="Y559" s="32"/>
      <c r="Z559" s="32"/>
    </row>
    <row r="560" spans="1:26" ht="15" customHeight="1" x14ac:dyDescent="0.3">
      <c r="A560" s="45">
        <v>571</v>
      </c>
      <c r="B560" s="46" t="s">
        <v>1198</v>
      </c>
      <c r="C560" s="194" t="s">
        <v>2026</v>
      </c>
      <c r="D560" s="46"/>
      <c r="E560" s="46"/>
      <c r="F560" s="61" t="s">
        <v>31</v>
      </c>
      <c r="G560" s="288">
        <v>0.82</v>
      </c>
      <c r="H560" s="289">
        <v>208</v>
      </c>
      <c r="I560" s="290">
        <v>1</v>
      </c>
      <c r="J560" s="48" t="s">
        <v>92</v>
      </c>
      <c r="K560" s="50"/>
      <c r="L560" s="53" t="str">
        <f t="shared" si="99"/>
        <v>1pieces</v>
      </c>
      <c r="M560" s="54">
        <f t="shared" si="100"/>
        <v>208</v>
      </c>
      <c r="N560" s="55" t="str">
        <f t="shared" si="101"/>
        <v>208pieces</v>
      </c>
      <c r="O560" s="56">
        <f t="shared" si="102"/>
        <v>170.56</v>
      </c>
      <c r="P560" s="44">
        <f t="shared" si="108"/>
        <v>0.82000000000000006</v>
      </c>
      <c r="Q560" s="66"/>
      <c r="R560" s="32"/>
      <c r="S560" s="32"/>
      <c r="T560" s="32"/>
      <c r="U560" s="32"/>
      <c r="V560" s="32"/>
      <c r="W560" s="32"/>
      <c r="X560" s="32"/>
      <c r="Y560" s="32"/>
      <c r="Z560" s="32"/>
    </row>
    <row r="561" spans="1:26" ht="15" customHeight="1" x14ac:dyDescent="0.3">
      <c r="A561" s="45">
        <v>371</v>
      </c>
      <c r="B561" s="46" t="s">
        <v>1200</v>
      </c>
      <c r="C561" s="194" t="s">
        <v>2025</v>
      </c>
      <c r="D561" s="46"/>
      <c r="E561" s="46" t="s">
        <v>1201</v>
      </c>
      <c r="F561" s="61" t="s">
        <v>31</v>
      </c>
      <c r="G561" s="288">
        <v>10</v>
      </c>
      <c r="H561" s="289">
        <v>200</v>
      </c>
      <c r="I561" s="290">
        <v>1</v>
      </c>
      <c r="J561" s="48" t="s">
        <v>92</v>
      </c>
      <c r="K561" s="50"/>
      <c r="L561" s="53" t="str">
        <f t="shared" si="99"/>
        <v>1pieces</v>
      </c>
      <c r="M561" s="54">
        <f t="shared" si="100"/>
        <v>200</v>
      </c>
      <c r="N561" s="55" t="str">
        <f t="shared" si="101"/>
        <v>200pieces</v>
      </c>
      <c r="O561" s="56">
        <f t="shared" si="102"/>
        <v>2000</v>
      </c>
      <c r="P561" s="44">
        <f t="shared" si="108"/>
        <v>10</v>
      </c>
      <c r="Q561" s="66"/>
      <c r="R561" s="32" t="b">
        <f>P561=G561</f>
        <v>1</v>
      </c>
      <c r="S561" s="32"/>
      <c r="T561" s="32"/>
      <c r="U561" s="32"/>
      <c r="V561" s="32"/>
      <c r="W561" s="32"/>
      <c r="X561" s="32"/>
      <c r="Y561" s="32"/>
      <c r="Z561" s="32"/>
    </row>
    <row r="562" spans="1:26" ht="15" customHeight="1" x14ac:dyDescent="0.3">
      <c r="A562" s="45"/>
      <c r="B562" s="219" t="s">
        <v>1202</v>
      </c>
      <c r="C562" s="194" t="s">
        <v>2021</v>
      </c>
      <c r="D562" s="46"/>
      <c r="E562" s="219" t="s">
        <v>1203</v>
      </c>
      <c r="F562" s="61" t="s">
        <v>31</v>
      </c>
      <c r="G562" s="291">
        <v>2.7</v>
      </c>
      <c r="H562" s="292">
        <v>125</v>
      </c>
      <c r="I562" s="293">
        <v>1</v>
      </c>
      <c r="J562" s="414" t="s">
        <v>92</v>
      </c>
      <c r="K562" s="50"/>
      <c r="L562" s="53" t="str">
        <f t="shared" si="99"/>
        <v>1pieces</v>
      </c>
      <c r="M562" s="54">
        <f t="shared" si="100"/>
        <v>125</v>
      </c>
      <c r="N562" s="55" t="str">
        <f t="shared" si="101"/>
        <v>125pieces</v>
      </c>
      <c r="O562" s="56">
        <f t="shared" si="102"/>
        <v>337.5</v>
      </c>
      <c r="P562" s="12"/>
      <c r="Q562" s="12"/>
      <c r="R562" s="12"/>
      <c r="S562" s="151"/>
      <c r="T562" s="12"/>
      <c r="U562" s="12"/>
      <c r="V562" s="12"/>
      <c r="W562" s="12"/>
      <c r="X562" s="12"/>
      <c r="Y562" s="12"/>
      <c r="Z562" s="12"/>
    </row>
    <row r="563" spans="1:26" ht="15" customHeight="1" x14ac:dyDescent="0.3">
      <c r="A563" s="45"/>
      <c r="B563" s="46" t="s">
        <v>1204</v>
      </c>
      <c r="C563" s="194" t="s">
        <v>2020</v>
      </c>
      <c r="D563" s="46"/>
      <c r="E563" s="46" t="s">
        <v>1074</v>
      </c>
      <c r="F563" s="61" t="s">
        <v>31</v>
      </c>
      <c r="G563" s="288">
        <v>25</v>
      </c>
      <c r="H563" s="289">
        <v>2</v>
      </c>
      <c r="I563" s="290">
        <v>10</v>
      </c>
      <c r="J563" s="48" t="s">
        <v>39</v>
      </c>
      <c r="K563" s="50"/>
      <c r="L563" s="53" t="str">
        <f t="shared" si="99"/>
        <v>10grams</v>
      </c>
      <c r="M563" s="54">
        <f t="shared" si="100"/>
        <v>20</v>
      </c>
      <c r="N563" s="55" t="str">
        <f t="shared" si="101"/>
        <v>20grams</v>
      </c>
      <c r="O563" s="56">
        <f t="shared" si="102"/>
        <v>50</v>
      </c>
      <c r="P563" s="12"/>
      <c r="Q563" s="12"/>
      <c r="R563" s="12"/>
      <c r="S563" s="151"/>
      <c r="T563" s="12"/>
      <c r="U563" s="12"/>
      <c r="V563" s="12"/>
      <c r="W563" s="12"/>
      <c r="X563" s="12"/>
      <c r="Y563" s="12"/>
      <c r="Z563" s="12"/>
    </row>
    <row r="564" spans="1:26" ht="15" customHeight="1" x14ac:dyDescent="0.3">
      <c r="A564" s="45"/>
      <c r="B564" s="46" t="s">
        <v>1205</v>
      </c>
      <c r="C564" s="194" t="s">
        <v>2023</v>
      </c>
      <c r="D564" s="46"/>
      <c r="E564" s="46" t="s">
        <v>1206</v>
      </c>
      <c r="F564" s="61" t="s">
        <v>31</v>
      </c>
      <c r="G564" s="288">
        <v>120</v>
      </c>
      <c r="H564" s="289">
        <v>1</v>
      </c>
      <c r="I564" s="290">
        <v>1000</v>
      </c>
      <c r="J564" s="48" t="s">
        <v>39</v>
      </c>
      <c r="K564" s="50"/>
      <c r="L564" s="53" t="str">
        <f t="shared" si="99"/>
        <v>1000grams</v>
      </c>
      <c r="M564" s="54">
        <f t="shared" si="100"/>
        <v>1000</v>
      </c>
      <c r="N564" s="55" t="str">
        <f t="shared" si="101"/>
        <v>1000grams</v>
      </c>
      <c r="O564" s="56">
        <f t="shared" si="102"/>
        <v>120</v>
      </c>
      <c r="P564" s="44"/>
      <c r="Q564" s="12"/>
      <c r="R564" s="12"/>
      <c r="S564" s="151"/>
      <c r="T564" s="12"/>
      <c r="U564" s="12"/>
      <c r="V564" s="12"/>
      <c r="W564" s="12"/>
      <c r="X564" s="12"/>
      <c r="Y564" s="12"/>
      <c r="Z564" s="12"/>
    </row>
    <row r="565" spans="1:26" ht="15" customHeight="1" x14ac:dyDescent="0.3">
      <c r="A565" s="45"/>
      <c r="B565" s="219" t="s">
        <v>1205</v>
      </c>
      <c r="C565" s="194" t="s">
        <v>2021</v>
      </c>
      <c r="D565" s="46"/>
      <c r="E565" s="219" t="s">
        <v>36</v>
      </c>
      <c r="F565" s="61" t="s">
        <v>31</v>
      </c>
      <c r="G565" s="291">
        <v>140</v>
      </c>
      <c r="H565" s="292">
        <v>1</v>
      </c>
      <c r="I565" s="293">
        <v>500</v>
      </c>
      <c r="J565" s="414" t="s">
        <v>39</v>
      </c>
      <c r="K565" s="50"/>
      <c r="L565" s="53" t="str">
        <f t="shared" si="99"/>
        <v>500grams</v>
      </c>
      <c r="M565" s="54">
        <f t="shared" si="100"/>
        <v>500</v>
      </c>
      <c r="N565" s="55" t="str">
        <f t="shared" si="101"/>
        <v>500grams</v>
      </c>
      <c r="O565" s="56">
        <f t="shared" si="102"/>
        <v>140</v>
      </c>
      <c r="P565" s="12"/>
      <c r="Q565" s="12"/>
      <c r="R565" s="12"/>
      <c r="S565" s="151"/>
      <c r="T565" s="12"/>
      <c r="U565" s="12"/>
      <c r="V565" s="12"/>
      <c r="W565" s="12"/>
      <c r="X565" s="12"/>
      <c r="Y565" s="12"/>
      <c r="Z565" s="12"/>
    </row>
    <row r="566" spans="1:26" ht="15" customHeight="1" x14ac:dyDescent="0.3">
      <c r="A566" s="45">
        <v>469</v>
      </c>
      <c r="B566" s="46" t="s">
        <v>591</v>
      </c>
      <c r="C566" s="194" t="s">
        <v>2025</v>
      </c>
      <c r="D566" s="46"/>
      <c r="E566" s="46"/>
      <c r="F566" s="61" t="s">
        <v>31</v>
      </c>
      <c r="G566" s="288">
        <v>190</v>
      </c>
      <c r="H566" s="289">
        <v>1</v>
      </c>
      <c r="I566" s="290">
        <v>1</v>
      </c>
      <c r="J566" s="48" t="s">
        <v>213</v>
      </c>
      <c r="K566" s="50"/>
      <c r="L566" s="53" t="str">
        <f t="shared" si="99"/>
        <v>1kilos</v>
      </c>
      <c r="M566" s="54">
        <f t="shared" si="100"/>
        <v>1</v>
      </c>
      <c r="N566" s="55" t="str">
        <f t="shared" si="101"/>
        <v>1kilos</v>
      </c>
      <c r="O566" s="56">
        <f t="shared" si="102"/>
        <v>190</v>
      </c>
      <c r="P566" s="44">
        <f t="shared" ref="P566:P572" si="110">O566/H566</f>
        <v>190</v>
      </c>
      <c r="Q566" s="66"/>
      <c r="R566" s="32" t="b">
        <f t="shared" ref="R566:R569" si="111">P566=G566</f>
        <v>1</v>
      </c>
      <c r="S566" s="32"/>
      <c r="T566" s="32"/>
      <c r="U566" s="32"/>
      <c r="V566" s="32"/>
      <c r="W566" s="32"/>
      <c r="X566" s="32"/>
      <c r="Y566" s="32"/>
      <c r="Z566" s="32"/>
    </row>
    <row r="567" spans="1:26" ht="15" customHeight="1" x14ac:dyDescent="0.3">
      <c r="A567" s="45">
        <v>384</v>
      </c>
      <c r="B567" s="219" t="s">
        <v>1207</v>
      </c>
      <c r="C567" s="194" t="s">
        <v>2025</v>
      </c>
      <c r="D567" s="46"/>
      <c r="E567" s="46"/>
      <c r="F567" s="61" t="s">
        <v>31</v>
      </c>
      <c r="G567" s="288">
        <v>7</v>
      </c>
      <c r="H567" s="289">
        <v>66</v>
      </c>
      <c r="I567" s="290">
        <v>1</v>
      </c>
      <c r="J567" s="48" t="s">
        <v>92</v>
      </c>
      <c r="K567" s="50" t="s">
        <v>2019</v>
      </c>
      <c r="L567" s="53" t="str">
        <f t="shared" si="99"/>
        <v>1pieces</v>
      </c>
      <c r="M567" s="54">
        <f t="shared" si="100"/>
        <v>66</v>
      </c>
      <c r="N567" s="55" t="str">
        <f t="shared" si="101"/>
        <v>66pieces</v>
      </c>
      <c r="O567" s="56">
        <f t="shared" si="102"/>
        <v>462</v>
      </c>
      <c r="P567" s="44">
        <f t="shared" si="110"/>
        <v>7</v>
      </c>
      <c r="Q567" s="44">
        <f>G567-P567</f>
        <v>0</v>
      </c>
      <c r="R567" s="32" t="b">
        <f t="shared" si="111"/>
        <v>1</v>
      </c>
      <c r="S567" s="32"/>
      <c r="T567" s="32"/>
      <c r="U567" s="32"/>
      <c r="V567" s="32"/>
      <c r="W567" s="32"/>
      <c r="X567" s="32"/>
      <c r="Y567" s="32"/>
      <c r="Z567" s="32"/>
    </row>
    <row r="568" spans="1:26" ht="15" customHeight="1" x14ac:dyDescent="0.3">
      <c r="A568" s="45">
        <v>572</v>
      </c>
      <c r="B568" s="46" t="s">
        <v>1208</v>
      </c>
      <c r="C568" s="194" t="s">
        <v>2026</v>
      </c>
      <c r="D568" s="46"/>
      <c r="E568" s="46" t="s">
        <v>1209</v>
      </c>
      <c r="F568" s="61" t="s">
        <v>31</v>
      </c>
      <c r="G568" s="288">
        <v>10.82</v>
      </c>
      <c r="H568" s="289">
        <v>25</v>
      </c>
      <c r="I568" s="290">
        <v>25</v>
      </c>
      <c r="J568" s="48" t="s">
        <v>92</v>
      </c>
      <c r="K568" s="50"/>
      <c r="L568" s="53" t="str">
        <f t="shared" si="99"/>
        <v>25pieces</v>
      </c>
      <c r="M568" s="54">
        <f t="shared" si="100"/>
        <v>625</v>
      </c>
      <c r="N568" s="55" t="str">
        <f t="shared" si="101"/>
        <v>625pieces</v>
      </c>
      <c r="O568" s="56">
        <f t="shared" si="102"/>
        <v>270.5</v>
      </c>
      <c r="P568" s="44">
        <f t="shared" si="110"/>
        <v>10.82</v>
      </c>
      <c r="Q568" s="66"/>
      <c r="R568" s="32" t="b">
        <f t="shared" si="111"/>
        <v>1</v>
      </c>
      <c r="S568" s="32"/>
      <c r="T568" s="32"/>
      <c r="U568" s="32"/>
      <c r="V568" s="32"/>
      <c r="W568" s="32"/>
      <c r="X568" s="32"/>
      <c r="Y568" s="32"/>
      <c r="Z568" s="32"/>
    </row>
    <row r="569" spans="1:26" ht="15" customHeight="1" x14ac:dyDescent="0.3">
      <c r="A569" s="45">
        <v>83</v>
      </c>
      <c r="B569" s="46" t="s">
        <v>293</v>
      </c>
      <c r="C569" s="194" t="s">
        <v>2024</v>
      </c>
      <c r="D569" s="46"/>
      <c r="E569" s="46" t="s">
        <v>294</v>
      </c>
      <c r="F569" s="61" t="s">
        <v>31</v>
      </c>
      <c r="G569" s="288">
        <v>7.17</v>
      </c>
      <c r="H569" s="289">
        <v>1949</v>
      </c>
      <c r="I569" s="290">
        <v>1</v>
      </c>
      <c r="J569" s="48" t="s">
        <v>92</v>
      </c>
      <c r="K569" s="50" t="s">
        <v>2019</v>
      </c>
      <c r="L569" s="53" t="str">
        <f t="shared" si="99"/>
        <v>1pieces</v>
      </c>
      <c r="M569" s="54">
        <f t="shared" si="100"/>
        <v>1949</v>
      </c>
      <c r="N569" s="55" t="str">
        <f t="shared" si="101"/>
        <v>1949pieces</v>
      </c>
      <c r="O569" s="56">
        <f t="shared" si="102"/>
        <v>13974.33</v>
      </c>
      <c r="P569" s="44">
        <f t="shared" si="110"/>
        <v>7.17</v>
      </c>
      <c r="Q569" s="44">
        <f>G569-P569</f>
        <v>0</v>
      </c>
      <c r="R569" s="32" t="b">
        <f t="shared" si="111"/>
        <v>1</v>
      </c>
      <c r="S569" s="32"/>
      <c r="T569" s="32"/>
      <c r="U569" s="32"/>
      <c r="V569" s="32"/>
      <c r="W569" s="32"/>
      <c r="X569" s="32"/>
      <c r="Y569" s="32"/>
      <c r="Z569" s="32"/>
    </row>
    <row r="570" spans="1:26" ht="15" customHeight="1" x14ac:dyDescent="0.3">
      <c r="A570" s="45">
        <v>86</v>
      </c>
      <c r="B570" s="46" t="s">
        <v>293</v>
      </c>
      <c r="C570" s="194" t="s">
        <v>2024</v>
      </c>
      <c r="D570" s="46"/>
      <c r="E570" s="46" t="s">
        <v>1210</v>
      </c>
      <c r="F570" s="61" t="s">
        <v>31</v>
      </c>
      <c r="G570" s="288">
        <v>7.5</v>
      </c>
      <c r="H570" s="289">
        <v>600</v>
      </c>
      <c r="I570" s="290">
        <v>1</v>
      </c>
      <c r="J570" s="48" t="s">
        <v>92</v>
      </c>
      <c r="K570" s="50"/>
      <c r="L570" s="53" t="str">
        <f t="shared" si="99"/>
        <v>1pieces</v>
      </c>
      <c r="M570" s="54">
        <f t="shared" si="100"/>
        <v>600</v>
      </c>
      <c r="N570" s="55" t="str">
        <f t="shared" si="101"/>
        <v>600pieces</v>
      </c>
      <c r="O570" s="56">
        <f t="shared" si="102"/>
        <v>4500</v>
      </c>
      <c r="P570" s="44">
        <f t="shared" si="110"/>
        <v>7.5</v>
      </c>
      <c r="Q570" s="66"/>
      <c r="R570" s="32"/>
      <c r="S570" s="32"/>
      <c r="T570" s="32"/>
      <c r="U570" s="32"/>
      <c r="V570" s="32"/>
      <c r="W570" s="32"/>
      <c r="X570" s="32"/>
      <c r="Y570" s="32"/>
      <c r="Z570" s="32"/>
    </row>
    <row r="571" spans="1:26" ht="15" customHeight="1" x14ac:dyDescent="0.3">
      <c r="A571" s="45">
        <v>446</v>
      </c>
      <c r="B571" s="46" t="s">
        <v>293</v>
      </c>
      <c r="C571" s="194" t="s">
        <v>2025</v>
      </c>
      <c r="D571" s="46"/>
      <c r="E571" s="46"/>
      <c r="F571" s="61" t="s">
        <v>31</v>
      </c>
      <c r="G571" s="288">
        <v>6</v>
      </c>
      <c r="H571" s="289">
        <v>530</v>
      </c>
      <c r="I571" s="290">
        <v>1</v>
      </c>
      <c r="J571" s="48" t="s">
        <v>92</v>
      </c>
      <c r="K571" s="50"/>
      <c r="L571" s="53" t="str">
        <f t="shared" si="99"/>
        <v>1pieces</v>
      </c>
      <c r="M571" s="54">
        <f t="shared" si="100"/>
        <v>530</v>
      </c>
      <c r="N571" s="55" t="str">
        <f t="shared" si="101"/>
        <v>530pieces</v>
      </c>
      <c r="O571" s="56">
        <f t="shared" si="102"/>
        <v>3180</v>
      </c>
      <c r="P571" s="44">
        <f t="shared" si="110"/>
        <v>6</v>
      </c>
      <c r="Q571" s="66"/>
      <c r="R571" s="32"/>
      <c r="S571" s="32"/>
      <c r="T571" s="32"/>
      <c r="U571" s="32"/>
      <c r="V571" s="32"/>
      <c r="W571" s="32"/>
      <c r="X571" s="32"/>
      <c r="Y571" s="32"/>
      <c r="Z571" s="32"/>
    </row>
    <row r="572" spans="1:26" ht="15" customHeight="1" x14ac:dyDescent="0.3">
      <c r="A572" s="45">
        <v>752</v>
      </c>
      <c r="B572" s="46" t="s">
        <v>293</v>
      </c>
      <c r="C572" s="194" t="s">
        <v>2026</v>
      </c>
      <c r="D572" s="46"/>
      <c r="E572" s="46" t="s">
        <v>1210</v>
      </c>
      <c r="F572" s="61" t="s">
        <v>31</v>
      </c>
      <c r="G572" s="288">
        <v>215</v>
      </c>
      <c r="H572" s="289">
        <v>1</v>
      </c>
      <c r="I572" s="290">
        <v>30</v>
      </c>
      <c r="J572" s="48" t="s">
        <v>92</v>
      </c>
      <c r="K572" s="50"/>
      <c r="L572" s="53" t="str">
        <f t="shared" si="99"/>
        <v>30pieces</v>
      </c>
      <c r="M572" s="54">
        <f t="shared" si="100"/>
        <v>30</v>
      </c>
      <c r="N572" s="55" t="str">
        <f t="shared" si="101"/>
        <v>30pieces</v>
      </c>
      <c r="O572" s="56">
        <f t="shared" si="102"/>
        <v>215</v>
      </c>
      <c r="P572" s="44">
        <f t="shared" si="110"/>
        <v>215</v>
      </c>
      <c r="Q572" s="66"/>
      <c r="R572" s="32"/>
      <c r="S572" s="32"/>
      <c r="T572" s="32"/>
      <c r="U572" s="32"/>
      <c r="V572" s="32"/>
      <c r="W572" s="32"/>
      <c r="X572" s="32"/>
      <c r="Y572" s="32"/>
      <c r="Z572" s="32"/>
    </row>
    <row r="573" spans="1:26" ht="15" customHeight="1" x14ac:dyDescent="0.3">
      <c r="A573" s="45"/>
      <c r="B573" s="46" t="s">
        <v>293</v>
      </c>
      <c r="C573" s="194" t="s">
        <v>2023</v>
      </c>
      <c r="D573" s="46"/>
      <c r="E573" s="46" t="s">
        <v>1210</v>
      </c>
      <c r="F573" s="61" t="s">
        <v>31</v>
      </c>
      <c r="G573" s="288">
        <v>222</v>
      </c>
      <c r="H573" s="289">
        <v>30</v>
      </c>
      <c r="I573" s="290">
        <v>30</v>
      </c>
      <c r="J573" s="48" t="s">
        <v>92</v>
      </c>
      <c r="K573" s="50"/>
      <c r="L573" s="53" t="str">
        <f t="shared" si="99"/>
        <v>30pieces</v>
      </c>
      <c r="M573" s="54">
        <f t="shared" si="100"/>
        <v>900</v>
      </c>
      <c r="N573" s="55" t="str">
        <f t="shared" si="101"/>
        <v>900pieces</v>
      </c>
      <c r="O573" s="56">
        <f t="shared" si="102"/>
        <v>6660</v>
      </c>
      <c r="P573" s="12"/>
      <c r="Q573" s="12"/>
      <c r="R573" s="12"/>
      <c r="S573" s="151"/>
      <c r="T573" s="12"/>
      <c r="U573" s="12"/>
      <c r="V573" s="12"/>
      <c r="W573" s="12"/>
      <c r="X573" s="12"/>
      <c r="Y573" s="12"/>
      <c r="Z573" s="12"/>
    </row>
    <row r="574" spans="1:26" ht="15" customHeight="1" x14ac:dyDescent="0.3">
      <c r="A574" s="45"/>
      <c r="B574" s="46" t="s">
        <v>293</v>
      </c>
      <c r="C574" s="194" t="s">
        <v>2022</v>
      </c>
      <c r="D574" s="46"/>
      <c r="E574" s="46" t="s">
        <v>1211</v>
      </c>
      <c r="F574" s="61" t="s">
        <v>31</v>
      </c>
      <c r="G574" s="288">
        <v>230</v>
      </c>
      <c r="H574" s="289">
        <v>12</v>
      </c>
      <c r="I574" s="290">
        <v>30</v>
      </c>
      <c r="J574" s="48" t="s">
        <v>1212</v>
      </c>
      <c r="K574" s="50"/>
      <c r="L574" s="53" t="str">
        <f t="shared" si="99"/>
        <v>30trays</v>
      </c>
      <c r="M574" s="54">
        <f t="shared" si="100"/>
        <v>360</v>
      </c>
      <c r="N574" s="55" t="str">
        <f t="shared" si="101"/>
        <v>360trays</v>
      </c>
      <c r="O574" s="56">
        <f t="shared" si="102"/>
        <v>2760</v>
      </c>
      <c r="P574" s="12"/>
      <c r="Q574" s="12"/>
      <c r="R574" s="12"/>
      <c r="S574" s="151"/>
      <c r="T574" s="12"/>
      <c r="U574" s="12"/>
      <c r="V574" s="12"/>
      <c r="W574" s="12"/>
      <c r="X574" s="12"/>
      <c r="Y574" s="12"/>
      <c r="Z574" s="12"/>
    </row>
    <row r="575" spans="1:26" ht="15" customHeight="1" x14ac:dyDescent="0.3">
      <c r="A575" s="45"/>
      <c r="B575" s="46" t="s">
        <v>293</v>
      </c>
      <c r="C575" s="194" t="s">
        <v>2021</v>
      </c>
      <c r="D575" s="46"/>
      <c r="E575" s="219" t="s">
        <v>1213</v>
      </c>
      <c r="F575" s="61" t="s">
        <v>31</v>
      </c>
      <c r="G575" s="291">
        <v>8.33</v>
      </c>
      <c r="H575" s="292">
        <v>159</v>
      </c>
      <c r="I575" s="293">
        <v>1</v>
      </c>
      <c r="J575" s="414" t="s">
        <v>92</v>
      </c>
      <c r="K575" s="50"/>
      <c r="L575" s="53" t="str">
        <f t="shared" si="99"/>
        <v>1pieces</v>
      </c>
      <c r="M575" s="54">
        <f t="shared" si="100"/>
        <v>159</v>
      </c>
      <c r="N575" s="55" t="str">
        <f t="shared" si="101"/>
        <v>159pieces</v>
      </c>
      <c r="O575" s="56">
        <f t="shared" si="102"/>
        <v>1324.47</v>
      </c>
      <c r="P575" s="12"/>
      <c r="Q575" s="12"/>
      <c r="R575" s="12"/>
      <c r="S575" s="151"/>
      <c r="T575" s="12"/>
      <c r="U575" s="12"/>
      <c r="V575" s="12"/>
      <c r="W575" s="12"/>
      <c r="X575" s="12"/>
      <c r="Y575" s="12"/>
      <c r="Z575" s="12"/>
    </row>
    <row r="576" spans="1:26" ht="15" customHeight="1" x14ac:dyDescent="0.3">
      <c r="A576" s="45">
        <v>796</v>
      </c>
      <c r="B576" s="46" t="s">
        <v>293</v>
      </c>
      <c r="C576" s="194" t="s">
        <v>1368</v>
      </c>
      <c r="D576" s="46"/>
      <c r="E576" s="46"/>
      <c r="F576" s="61" t="s">
        <v>31</v>
      </c>
      <c r="G576" s="288">
        <v>240</v>
      </c>
      <c r="H576" s="289">
        <v>14</v>
      </c>
      <c r="I576" s="290">
        <v>1</v>
      </c>
      <c r="J576" s="48" t="s">
        <v>1212</v>
      </c>
      <c r="K576" s="50"/>
      <c r="L576" s="53" t="str">
        <f t="shared" si="99"/>
        <v>1trays</v>
      </c>
      <c r="M576" s="54">
        <f t="shared" si="100"/>
        <v>14</v>
      </c>
      <c r="N576" s="55" t="str">
        <f t="shared" si="101"/>
        <v>14trays</v>
      </c>
      <c r="O576" s="56">
        <f t="shared" si="102"/>
        <v>3360</v>
      </c>
      <c r="P576" s="44">
        <f t="shared" ref="P576:P579" si="112">O576/H576</f>
        <v>240</v>
      </c>
      <c r="Q576" s="66"/>
      <c r="R576" s="32"/>
      <c r="S576" s="32"/>
      <c r="T576" s="32"/>
      <c r="U576" s="32"/>
      <c r="V576" s="32"/>
      <c r="W576" s="32"/>
      <c r="X576" s="32"/>
      <c r="Y576" s="32"/>
      <c r="Z576" s="32"/>
    </row>
    <row r="577" spans="1:26" ht="15" customHeight="1" x14ac:dyDescent="0.3">
      <c r="A577" s="45">
        <v>392</v>
      </c>
      <c r="B577" s="46" t="s">
        <v>1214</v>
      </c>
      <c r="C577" s="194" t="s">
        <v>2025</v>
      </c>
      <c r="D577" s="46"/>
      <c r="E577" s="46" t="s">
        <v>1215</v>
      </c>
      <c r="F577" s="61" t="s">
        <v>31</v>
      </c>
      <c r="G577" s="288">
        <v>34</v>
      </c>
      <c r="H577" s="289">
        <v>174</v>
      </c>
      <c r="I577" s="290">
        <v>1</v>
      </c>
      <c r="J577" s="48" t="s">
        <v>92</v>
      </c>
      <c r="K577" s="50"/>
      <c r="L577" s="53" t="str">
        <f t="shared" si="99"/>
        <v>1pieces</v>
      </c>
      <c r="M577" s="54">
        <f t="shared" si="100"/>
        <v>174</v>
      </c>
      <c r="N577" s="55" t="str">
        <f t="shared" si="101"/>
        <v>174pieces</v>
      </c>
      <c r="O577" s="56">
        <f t="shared" si="102"/>
        <v>5916</v>
      </c>
      <c r="P577" s="44">
        <f t="shared" si="112"/>
        <v>34</v>
      </c>
      <c r="Q577" s="66"/>
      <c r="R577" s="32" t="b">
        <f t="shared" ref="R577:R579" si="113">P577=G577</f>
        <v>1</v>
      </c>
      <c r="S577" s="32"/>
      <c r="T577" s="32"/>
      <c r="U577" s="32"/>
      <c r="V577" s="32"/>
      <c r="W577" s="32"/>
      <c r="X577" s="32"/>
      <c r="Y577" s="32"/>
      <c r="Z577" s="32"/>
    </row>
    <row r="578" spans="1:26" ht="15" customHeight="1" x14ac:dyDescent="0.3">
      <c r="A578" s="45">
        <v>92</v>
      </c>
      <c r="B578" s="46" t="s">
        <v>1214</v>
      </c>
      <c r="C578" s="194" t="s">
        <v>2024</v>
      </c>
      <c r="D578" s="46"/>
      <c r="E578" s="46" t="s">
        <v>1215</v>
      </c>
      <c r="F578" s="61" t="s">
        <v>31</v>
      </c>
      <c r="G578" s="288">
        <v>33.619999999999997</v>
      </c>
      <c r="H578" s="289">
        <v>72</v>
      </c>
      <c r="I578" s="290">
        <v>500</v>
      </c>
      <c r="J578" s="48" t="s">
        <v>32</v>
      </c>
      <c r="K578" s="50"/>
      <c r="L578" s="53" t="str">
        <f t="shared" si="99"/>
        <v>500ml</v>
      </c>
      <c r="M578" s="54">
        <f t="shared" si="100"/>
        <v>36000</v>
      </c>
      <c r="N578" s="55" t="str">
        <f t="shared" si="101"/>
        <v>36000ml</v>
      </c>
      <c r="O578" s="56">
        <f t="shared" si="102"/>
        <v>2420.64</v>
      </c>
      <c r="P578" s="44">
        <f t="shared" si="112"/>
        <v>33.619999999999997</v>
      </c>
      <c r="Q578" s="66"/>
      <c r="R578" s="32" t="b">
        <f t="shared" si="113"/>
        <v>1</v>
      </c>
      <c r="S578" s="32"/>
      <c r="T578" s="32"/>
      <c r="U578" s="32"/>
      <c r="V578" s="32"/>
      <c r="W578" s="32"/>
      <c r="X578" s="32"/>
      <c r="Y578" s="32"/>
      <c r="Z578" s="32"/>
    </row>
    <row r="579" spans="1:26" ht="15" customHeight="1" x14ac:dyDescent="0.3">
      <c r="A579" s="45">
        <v>519</v>
      </c>
      <c r="B579" s="46" t="s">
        <v>1214</v>
      </c>
      <c r="C579" s="194" t="s">
        <v>2026</v>
      </c>
      <c r="D579" s="46"/>
      <c r="E579" s="46" t="s">
        <v>1215</v>
      </c>
      <c r="F579" s="61" t="s">
        <v>31</v>
      </c>
      <c r="G579" s="288">
        <v>868.8</v>
      </c>
      <c r="H579" s="289">
        <v>72</v>
      </c>
      <c r="I579" s="290">
        <v>500</v>
      </c>
      <c r="J579" s="48" t="s">
        <v>32</v>
      </c>
      <c r="K579" s="50" t="s">
        <v>2019</v>
      </c>
      <c r="L579" s="53" t="str">
        <f t="shared" si="99"/>
        <v>500ml</v>
      </c>
      <c r="M579" s="54">
        <f t="shared" si="100"/>
        <v>36000</v>
      </c>
      <c r="N579" s="55" t="str">
        <f t="shared" si="101"/>
        <v>36000ml</v>
      </c>
      <c r="O579" s="56">
        <f t="shared" si="102"/>
        <v>62553.599999999999</v>
      </c>
      <c r="P579" s="44">
        <f t="shared" si="112"/>
        <v>868.8</v>
      </c>
      <c r="Q579" s="66">
        <f>G579-P579</f>
        <v>0</v>
      </c>
      <c r="R579" s="32" t="b">
        <f t="shared" si="113"/>
        <v>1</v>
      </c>
      <c r="S579" s="95"/>
      <c r="T579" s="32"/>
      <c r="U579" s="32"/>
      <c r="V579" s="32"/>
      <c r="W579" s="32"/>
      <c r="X579" s="32"/>
      <c r="Y579" s="32"/>
      <c r="Z579" s="32"/>
    </row>
    <row r="580" spans="1:26" ht="15" customHeight="1" x14ac:dyDescent="0.3">
      <c r="A580" s="45"/>
      <c r="B580" s="46" t="s">
        <v>1214</v>
      </c>
      <c r="C580" s="194" t="s">
        <v>2023</v>
      </c>
      <c r="D580" s="46"/>
      <c r="E580" s="46" t="s">
        <v>1215</v>
      </c>
      <c r="F580" s="61" t="s">
        <v>31</v>
      </c>
      <c r="G580" s="288">
        <v>33.619999999999997</v>
      </c>
      <c r="H580" s="289">
        <v>38</v>
      </c>
      <c r="I580" s="290">
        <v>500</v>
      </c>
      <c r="J580" s="48" t="s">
        <v>32</v>
      </c>
      <c r="K580" s="50"/>
      <c r="L580" s="53" t="str">
        <f t="shared" si="99"/>
        <v>500ml</v>
      </c>
      <c r="M580" s="54">
        <f t="shared" si="100"/>
        <v>19000</v>
      </c>
      <c r="N580" s="55" t="str">
        <f t="shared" si="101"/>
        <v>19000ml</v>
      </c>
      <c r="O580" s="56">
        <f t="shared" si="102"/>
        <v>1277.56</v>
      </c>
      <c r="P580" s="12"/>
      <c r="Q580" s="12"/>
      <c r="R580" s="12"/>
      <c r="S580" s="151"/>
      <c r="T580" s="12"/>
      <c r="U580" s="12"/>
      <c r="V580" s="12"/>
      <c r="W580" s="12"/>
      <c r="X580" s="12"/>
      <c r="Y580" s="12"/>
      <c r="Z580" s="12"/>
    </row>
    <row r="581" spans="1:26" ht="15" customHeight="1" x14ac:dyDescent="0.3">
      <c r="A581" s="45"/>
      <c r="B581" s="46" t="s">
        <v>1214</v>
      </c>
      <c r="C581" s="194" t="s">
        <v>2020</v>
      </c>
      <c r="D581" s="46"/>
      <c r="E581" s="46" t="s">
        <v>1216</v>
      </c>
      <c r="F581" s="61" t="s">
        <v>31</v>
      </c>
      <c r="G581" s="288">
        <v>36.03</v>
      </c>
      <c r="H581" s="289">
        <v>14</v>
      </c>
      <c r="I581" s="290">
        <v>500</v>
      </c>
      <c r="J581" s="48" t="s">
        <v>32</v>
      </c>
      <c r="K581" s="50"/>
      <c r="L581" s="53" t="str">
        <f t="shared" si="99"/>
        <v>500ml</v>
      </c>
      <c r="M581" s="54">
        <f t="shared" si="100"/>
        <v>7000</v>
      </c>
      <c r="N581" s="55" t="str">
        <f t="shared" si="101"/>
        <v>7000ml</v>
      </c>
      <c r="O581" s="56">
        <f t="shared" si="102"/>
        <v>504.42</v>
      </c>
      <c r="P581" s="12"/>
      <c r="Q581" s="12"/>
      <c r="R581" s="12"/>
      <c r="S581" s="151"/>
      <c r="T581" s="12"/>
      <c r="U581" s="12"/>
      <c r="V581" s="12"/>
      <c r="W581" s="12"/>
      <c r="X581" s="12"/>
      <c r="Y581" s="12"/>
      <c r="Z581" s="12"/>
    </row>
    <row r="582" spans="1:26" ht="15" customHeight="1" x14ac:dyDescent="0.3">
      <c r="A582" s="45">
        <v>131</v>
      </c>
      <c r="B582" s="46" t="s">
        <v>1214</v>
      </c>
      <c r="C582" s="194" t="s">
        <v>2024</v>
      </c>
      <c r="D582" s="46"/>
      <c r="E582" s="46" t="s">
        <v>1217</v>
      </c>
      <c r="F582" s="61" t="s">
        <v>31</v>
      </c>
      <c r="G582" s="288">
        <v>32.200000000000003</v>
      </c>
      <c r="H582" s="289">
        <v>11</v>
      </c>
      <c r="I582" s="290">
        <v>220</v>
      </c>
      <c r="J582" s="48" t="s">
        <v>32</v>
      </c>
      <c r="K582" s="50" t="s">
        <v>2019</v>
      </c>
      <c r="L582" s="53" t="str">
        <f t="shared" si="99"/>
        <v>220ml</v>
      </c>
      <c r="M582" s="54">
        <f t="shared" si="100"/>
        <v>2420</v>
      </c>
      <c r="N582" s="55" t="str">
        <f t="shared" si="101"/>
        <v>2420ml</v>
      </c>
      <c r="O582" s="56">
        <f t="shared" si="102"/>
        <v>354.20000000000005</v>
      </c>
      <c r="P582" s="44">
        <f t="shared" ref="P582:P589" si="114">O582/H582</f>
        <v>32.200000000000003</v>
      </c>
      <c r="Q582" s="66">
        <f>G582-P582</f>
        <v>0</v>
      </c>
      <c r="R582" s="32" t="b">
        <f>P582=G582</f>
        <v>1</v>
      </c>
      <c r="S582" s="32"/>
      <c r="T582" s="32"/>
      <c r="U582" s="32"/>
      <c r="V582" s="32"/>
      <c r="W582" s="32"/>
      <c r="X582" s="32"/>
      <c r="Y582" s="32"/>
      <c r="Z582" s="32"/>
    </row>
    <row r="583" spans="1:26" ht="15" customHeight="1" x14ac:dyDescent="0.3">
      <c r="A583" s="45">
        <v>405</v>
      </c>
      <c r="B583" s="46" t="s">
        <v>1214</v>
      </c>
      <c r="C583" s="194" t="s">
        <v>2025</v>
      </c>
      <c r="D583" s="46"/>
      <c r="E583" s="46" t="s">
        <v>1217</v>
      </c>
      <c r="F583" s="61" t="s">
        <v>31</v>
      </c>
      <c r="G583" s="288">
        <v>34</v>
      </c>
      <c r="H583" s="289">
        <v>18</v>
      </c>
      <c r="I583" s="290">
        <v>350</v>
      </c>
      <c r="J583" s="48" t="s">
        <v>32</v>
      </c>
      <c r="K583" s="50"/>
      <c r="L583" s="53" t="str">
        <f t="shared" si="99"/>
        <v>350ml</v>
      </c>
      <c r="M583" s="54">
        <f t="shared" si="100"/>
        <v>6300</v>
      </c>
      <c r="N583" s="55" t="str">
        <f t="shared" si="101"/>
        <v>6300ml</v>
      </c>
      <c r="O583" s="56">
        <f t="shared" si="102"/>
        <v>612</v>
      </c>
      <c r="P583" s="44">
        <f t="shared" si="114"/>
        <v>34</v>
      </c>
      <c r="Q583" s="66"/>
      <c r="R583" s="32"/>
      <c r="S583" s="32"/>
      <c r="T583" s="32"/>
      <c r="U583" s="32"/>
      <c r="V583" s="32"/>
      <c r="W583" s="32"/>
      <c r="X583" s="32"/>
      <c r="Y583" s="32"/>
      <c r="Z583" s="32"/>
    </row>
    <row r="584" spans="1:26" ht="15" customHeight="1" x14ac:dyDescent="0.3">
      <c r="A584" s="45">
        <v>8</v>
      </c>
      <c r="B584" s="46" t="s">
        <v>64</v>
      </c>
      <c r="C584" s="194" t="s">
        <v>29</v>
      </c>
      <c r="D584" s="46"/>
      <c r="E584" s="46" t="s">
        <v>35</v>
      </c>
      <c r="F584" s="61" t="s">
        <v>31</v>
      </c>
      <c r="G584" s="288">
        <v>34</v>
      </c>
      <c r="H584" s="289">
        <v>7</v>
      </c>
      <c r="I584" s="290">
        <v>360</v>
      </c>
      <c r="J584" s="48" t="s">
        <v>32</v>
      </c>
      <c r="K584" s="61" t="s">
        <v>2019</v>
      </c>
      <c r="L584" s="415" t="str">
        <f t="shared" si="99"/>
        <v>360ml</v>
      </c>
      <c r="M584" s="416">
        <f t="shared" si="100"/>
        <v>2520</v>
      </c>
      <c r="N584" s="417" t="str">
        <f t="shared" si="101"/>
        <v>2520ml</v>
      </c>
      <c r="O584" s="418">
        <f t="shared" si="102"/>
        <v>238</v>
      </c>
      <c r="P584" s="419">
        <f t="shared" si="114"/>
        <v>34</v>
      </c>
      <c r="Q584" s="66"/>
      <c r="R584" s="32"/>
      <c r="S584" s="32"/>
      <c r="T584" s="32"/>
      <c r="U584" s="32"/>
      <c r="V584" s="32"/>
      <c r="W584" s="32"/>
      <c r="X584" s="32"/>
      <c r="Y584" s="32"/>
      <c r="Z584" s="32"/>
    </row>
    <row r="585" spans="1:26" ht="15" customHeight="1" x14ac:dyDescent="0.3">
      <c r="A585" s="45">
        <v>9</v>
      </c>
      <c r="B585" s="46" t="s">
        <v>64</v>
      </c>
      <c r="C585" s="194" t="s">
        <v>29</v>
      </c>
      <c r="D585" s="46"/>
      <c r="E585" s="46" t="s">
        <v>1137</v>
      </c>
      <c r="F585" s="61" t="s">
        <v>31</v>
      </c>
      <c r="G585" s="288">
        <v>30.3</v>
      </c>
      <c r="H585" s="289">
        <v>3</v>
      </c>
      <c r="I585" s="290">
        <v>360</v>
      </c>
      <c r="J585" s="48" t="s">
        <v>32</v>
      </c>
      <c r="K585" s="61" t="s">
        <v>2019</v>
      </c>
      <c r="L585" s="415" t="str">
        <f t="shared" si="99"/>
        <v>360ml</v>
      </c>
      <c r="M585" s="416">
        <f t="shared" si="100"/>
        <v>1080</v>
      </c>
      <c r="N585" s="417" t="str">
        <f t="shared" si="101"/>
        <v>1080ml</v>
      </c>
      <c r="O585" s="418">
        <f t="shared" si="102"/>
        <v>90.9</v>
      </c>
      <c r="P585" s="419">
        <f t="shared" si="114"/>
        <v>30.3</v>
      </c>
      <c r="Q585" s="66"/>
      <c r="R585" s="32" t="b">
        <f>P585=G585</f>
        <v>1</v>
      </c>
      <c r="S585" s="32"/>
      <c r="T585" s="32"/>
      <c r="U585" s="32"/>
      <c r="V585" s="32"/>
      <c r="W585" s="32"/>
      <c r="X585" s="32"/>
      <c r="Y585" s="32"/>
      <c r="Z585" s="32"/>
    </row>
    <row r="586" spans="1:26" ht="15" customHeight="1" x14ac:dyDescent="0.3">
      <c r="A586" s="45">
        <v>104</v>
      </c>
      <c r="B586" s="46" t="s">
        <v>64</v>
      </c>
      <c r="C586" s="194" t="s">
        <v>2024</v>
      </c>
      <c r="D586" s="46"/>
      <c r="E586" s="46" t="s">
        <v>36</v>
      </c>
      <c r="F586" s="61" t="s">
        <v>31</v>
      </c>
      <c r="G586" s="288">
        <v>31.9</v>
      </c>
      <c r="H586" s="289">
        <v>30</v>
      </c>
      <c r="I586" s="290">
        <v>410</v>
      </c>
      <c r="J586" s="48" t="s">
        <v>32</v>
      </c>
      <c r="K586" s="50"/>
      <c r="L586" s="53" t="str">
        <f t="shared" si="99"/>
        <v>410ml</v>
      </c>
      <c r="M586" s="54">
        <f t="shared" si="100"/>
        <v>12300</v>
      </c>
      <c r="N586" s="55" t="str">
        <f t="shared" si="101"/>
        <v>12300ml</v>
      </c>
      <c r="O586" s="56">
        <f t="shared" si="102"/>
        <v>957</v>
      </c>
      <c r="P586" s="44">
        <f t="shared" si="114"/>
        <v>31.9</v>
      </c>
      <c r="Q586" s="66"/>
      <c r="R586" s="32"/>
      <c r="S586" s="32"/>
      <c r="T586" s="32"/>
      <c r="U586" s="32"/>
      <c r="V586" s="32"/>
      <c r="W586" s="32"/>
      <c r="X586" s="32"/>
      <c r="Y586" s="32"/>
      <c r="Z586" s="32"/>
    </row>
    <row r="587" spans="1:26" ht="15" customHeight="1" x14ac:dyDescent="0.3">
      <c r="A587" s="45">
        <v>340</v>
      </c>
      <c r="B587" s="46" t="s">
        <v>64</v>
      </c>
      <c r="C587" s="194" t="s">
        <v>2025</v>
      </c>
      <c r="D587" s="46"/>
      <c r="E587" s="46" t="s">
        <v>36</v>
      </c>
      <c r="F587" s="61" t="s">
        <v>31</v>
      </c>
      <c r="G587" s="288">
        <v>28.7</v>
      </c>
      <c r="H587" s="289">
        <v>0</v>
      </c>
      <c r="I587" s="290">
        <v>360</v>
      </c>
      <c r="J587" s="48" t="s">
        <v>32</v>
      </c>
      <c r="K587" s="50"/>
      <c r="L587" s="53" t="str">
        <f t="shared" si="99"/>
        <v>360ml</v>
      </c>
      <c r="M587" s="54">
        <f t="shared" si="100"/>
        <v>0</v>
      </c>
      <c r="N587" s="55" t="str">
        <f t="shared" si="101"/>
        <v>0ml</v>
      </c>
      <c r="O587" s="56">
        <f t="shared" si="102"/>
        <v>0</v>
      </c>
      <c r="P587" s="44" t="e">
        <f t="shared" si="114"/>
        <v>#DIV/0!</v>
      </c>
      <c r="Q587" s="66"/>
      <c r="R587" s="32"/>
      <c r="S587" s="32"/>
      <c r="T587" s="32"/>
      <c r="U587" s="32"/>
      <c r="V587" s="32"/>
      <c r="W587" s="32"/>
      <c r="X587" s="32"/>
      <c r="Y587" s="32"/>
      <c r="Z587" s="32"/>
    </row>
    <row r="588" spans="1:26" ht="15" customHeight="1" x14ac:dyDescent="0.3">
      <c r="A588" s="45">
        <v>683</v>
      </c>
      <c r="B588" s="46" t="s">
        <v>64</v>
      </c>
      <c r="C588" s="194" t="s">
        <v>2026</v>
      </c>
      <c r="D588" s="46"/>
      <c r="E588" s="46" t="s">
        <v>35</v>
      </c>
      <c r="F588" s="61" t="s">
        <v>31</v>
      </c>
      <c r="G588" s="288">
        <v>34</v>
      </c>
      <c r="H588" s="289">
        <v>24</v>
      </c>
      <c r="I588" s="290">
        <v>360</v>
      </c>
      <c r="J588" s="48" t="s">
        <v>32</v>
      </c>
      <c r="K588" s="50"/>
      <c r="L588" s="53" t="str">
        <f t="shared" si="99"/>
        <v>360ml</v>
      </c>
      <c r="M588" s="54">
        <f t="shared" si="100"/>
        <v>8640</v>
      </c>
      <c r="N588" s="55" t="str">
        <f t="shared" si="101"/>
        <v>8640ml</v>
      </c>
      <c r="O588" s="56">
        <f t="shared" si="102"/>
        <v>816</v>
      </c>
      <c r="P588" s="44">
        <f t="shared" si="114"/>
        <v>34</v>
      </c>
      <c r="Q588" s="66"/>
      <c r="R588" s="32" t="b">
        <f>P588=G588</f>
        <v>1</v>
      </c>
      <c r="S588" s="32"/>
      <c r="T588" s="32"/>
      <c r="U588" s="32"/>
      <c r="V588" s="32"/>
      <c r="W588" s="32"/>
      <c r="X588" s="32"/>
      <c r="Y588" s="32"/>
      <c r="Z588" s="32"/>
    </row>
    <row r="589" spans="1:26" ht="15" customHeight="1" x14ac:dyDescent="0.3">
      <c r="A589" s="45">
        <v>813</v>
      </c>
      <c r="B589" s="46" t="s">
        <v>64</v>
      </c>
      <c r="C589" s="194" t="s">
        <v>1368</v>
      </c>
      <c r="D589" s="46"/>
      <c r="E589" s="46" t="s">
        <v>36</v>
      </c>
      <c r="F589" s="61" t="s">
        <v>31</v>
      </c>
      <c r="G589" s="288">
        <v>34.75</v>
      </c>
      <c r="H589" s="289">
        <v>7</v>
      </c>
      <c r="I589" s="290">
        <v>365</v>
      </c>
      <c r="J589" s="48" t="s">
        <v>32</v>
      </c>
      <c r="K589" s="50"/>
      <c r="L589" s="53" t="str">
        <f t="shared" si="99"/>
        <v>365ml</v>
      </c>
      <c r="M589" s="54">
        <f t="shared" si="100"/>
        <v>2555</v>
      </c>
      <c r="N589" s="55" t="str">
        <f t="shared" si="101"/>
        <v>2555ml</v>
      </c>
      <c r="O589" s="56">
        <f t="shared" si="102"/>
        <v>243.25</v>
      </c>
      <c r="P589" s="44">
        <f t="shared" si="114"/>
        <v>34.75</v>
      </c>
      <c r="Q589" s="66"/>
      <c r="R589" s="32"/>
      <c r="S589" s="32"/>
      <c r="T589" s="32"/>
      <c r="U589" s="32"/>
      <c r="V589" s="32"/>
      <c r="W589" s="32"/>
      <c r="X589" s="32"/>
      <c r="Y589" s="32"/>
      <c r="Z589" s="32"/>
    </row>
    <row r="590" spans="1:26" ht="15" customHeight="1" x14ac:dyDescent="0.3">
      <c r="A590" s="45"/>
      <c r="B590" s="46" t="s">
        <v>64</v>
      </c>
      <c r="C590" s="194" t="s">
        <v>2023</v>
      </c>
      <c r="D590" s="46"/>
      <c r="E590" s="46" t="s">
        <v>36</v>
      </c>
      <c r="F590" s="61" t="s">
        <v>31</v>
      </c>
      <c r="G590" s="288">
        <v>31.9</v>
      </c>
      <c r="H590" s="289">
        <v>12</v>
      </c>
      <c r="I590" s="290">
        <v>410</v>
      </c>
      <c r="J590" s="48" t="s">
        <v>32</v>
      </c>
      <c r="K590" s="50"/>
      <c r="L590" s="53" t="str">
        <f t="shared" si="99"/>
        <v>410ml</v>
      </c>
      <c r="M590" s="54">
        <f t="shared" si="100"/>
        <v>4920</v>
      </c>
      <c r="N590" s="55" t="str">
        <f t="shared" si="101"/>
        <v>4920ml</v>
      </c>
      <c r="O590" s="56">
        <f t="shared" si="102"/>
        <v>382.79999999999995</v>
      </c>
      <c r="P590" s="12"/>
      <c r="Q590" s="12"/>
      <c r="R590" s="12"/>
      <c r="S590" s="151"/>
      <c r="T590" s="12"/>
      <c r="U590" s="12"/>
      <c r="V590" s="12"/>
      <c r="W590" s="12"/>
      <c r="X590" s="12"/>
      <c r="Y590" s="12"/>
      <c r="Z590" s="12"/>
    </row>
    <row r="591" spans="1:26" ht="15" customHeight="1" x14ac:dyDescent="0.3">
      <c r="A591" s="45"/>
      <c r="B591" s="46" t="s">
        <v>64</v>
      </c>
      <c r="C591" s="194" t="s">
        <v>2021</v>
      </c>
      <c r="D591" s="46"/>
      <c r="E591" s="219" t="s">
        <v>35</v>
      </c>
      <c r="F591" s="61" t="s">
        <v>31</v>
      </c>
      <c r="G591" s="291">
        <v>38.5</v>
      </c>
      <c r="H591" s="292">
        <v>46</v>
      </c>
      <c r="I591" s="293">
        <v>360</v>
      </c>
      <c r="J591" s="414" t="s">
        <v>32</v>
      </c>
      <c r="K591" s="50"/>
      <c r="L591" s="53" t="str">
        <f t="shared" si="99"/>
        <v>360ml</v>
      </c>
      <c r="M591" s="54">
        <f t="shared" si="100"/>
        <v>16560</v>
      </c>
      <c r="N591" s="55" t="str">
        <f t="shared" si="101"/>
        <v>16560ml</v>
      </c>
      <c r="O591" s="56">
        <f t="shared" si="102"/>
        <v>1771</v>
      </c>
      <c r="P591" s="12"/>
      <c r="Q591" s="12"/>
      <c r="R591" s="12"/>
      <c r="S591" s="151"/>
      <c r="T591" s="12"/>
      <c r="U591" s="12"/>
      <c r="V591" s="12"/>
      <c r="W591" s="12"/>
      <c r="X591" s="12"/>
      <c r="Y591" s="12"/>
      <c r="Z591" s="12"/>
    </row>
    <row r="592" spans="1:26" ht="15" customHeight="1" x14ac:dyDescent="0.3">
      <c r="A592" s="45"/>
      <c r="B592" s="46" t="s">
        <v>64</v>
      </c>
      <c r="C592" s="194" t="s">
        <v>2020</v>
      </c>
      <c r="D592" s="46"/>
      <c r="E592" s="46" t="s">
        <v>35</v>
      </c>
      <c r="F592" s="61" t="s">
        <v>31</v>
      </c>
      <c r="G592" s="288">
        <v>34</v>
      </c>
      <c r="H592" s="289">
        <v>4</v>
      </c>
      <c r="I592" s="290">
        <v>360</v>
      </c>
      <c r="J592" s="48" t="s">
        <v>32</v>
      </c>
      <c r="K592" s="50"/>
      <c r="L592" s="53" t="str">
        <f t="shared" si="99"/>
        <v>360ml</v>
      </c>
      <c r="M592" s="54">
        <f t="shared" si="100"/>
        <v>1440</v>
      </c>
      <c r="N592" s="55" t="str">
        <f t="shared" si="101"/>
        <v>1440ml</v>
      </c>
      <c r="O592" s="56">
        <f t="shared" si="102"/>
        <v>136</v>
      </c>
      <c r="P592" s="12"/>
      <c r="Q592" s="12"/>
      <c r="R592" s="12"/>
      <c r="S592" s="151"/>
      <c r="T592" s="12"/>
      <c r="U592" s="12"/>
      <c r="V592" s="12"/>
      <c r="W592" s="12"/>
      <c r="X592" s="12"/>
      <c r="Y592" s="12"/>
      <c r="Z592" s="12"/>
    </row>
    <row r="593" spans="1:26" ht="15" customHeight="1" x14ac:dyDescent="0.3">
      <c r="A593" s="45"/>
      <c r="B593" s="46" t="s">
        <v>1218</v>
      </c>
      <c r="C593" s="194" t="s">
        <v>2022</v>
      </c>
      <c r="D593" s="46"/>
      <c r="E593" s="46" t="s">
        <v>1219</v>
      </c>
      <c r="F593" s="61" t="s">
        <v>31</v>
      </c>
      <c r="G593" s="288">
        <v>78</v>
      </c>
      <c r="H593" s="289">
        <v>2</v>
      </c>
      <c r="I593" s="290">
        <v>500</v>
      </c>
      <c r="J593" s="48" t="s">
        <v>39</v>
      </c>
      <c r="K593" s="50"/>
      <c r="L593" s="53" t="str">
        <f t="shared" si="99"/>
        <v>500grams</v>
      </c>
      <c r="M593" s="54">
        <f t="shared" si="100"/>
        <v>1000</v>
      </c>
      <c r="N593" s="55" t="str">
        <f t="shared" si="101"/>
        <v>1000grams</v>
      </c>
      <c r="O593" s="56">
        <f t="shared" si="102"/>
        <v>156</v>
      </c>
      <c r="P593" s="12"/>
      <c r="Q593" s="12"/>
      <c r="R593" s="12"/>
      <c r="S593" s="151"/>
      <c r="T593" s="12"/>
      <c r="U593" s="12"/>
      <c r="V593" s="12"/>
      <c r="W593" s="12"/>
      <c r="X593" s="12"/>
      <c r="Y593" s="12"/>
      <c r="Z593" s="12"/>
    </row>
    <row r="594" spans="1:26" ht="15" customHeight="1" x14ac:dyDescent="0.3">
      <c r="A594" s="45">
        <v>186</v>
      </c>
      <c r="B594" s="46" t="s">
        <v>1220</v>
      </c>
      <c r="C594" s="194" t="s">
        <v>2024</v>
      </c>
      <c r="D594" s="46"/>
      <c r="E594" s="46" t="s">
        <v>1221</v>
      </c>
      <c r="F594" s="61" t="s">
        <v>31</v>
      </c>
      <c r="G594" s="288">
        <v>57</v>
      </c>
      <c r="H594" s="289">
        <v>1</v>
      </c>
      <c r="I594" s="290">
        <v>1000</v>
      </c>
      <c r="J594" s="48" t="s">
        <v>39</v>
      </c>
      <c r="K594" s="50"/>
      <c r="L594" s="53" t="str">
        <f t="shared" si="99"/>
        <v>1000grams</v>
      </c>
      <c r="M594" s="54">
        <f t="shared" si="100"/>
        <v>1000</v>
      </c>
      <c r="N594" s="55" t="str">
        <f t="shared" si="101"/>
        <v>1000grams</v>
      </c>
      <c r="O594" s="56">
        <f t="shared" si="102"/>
        <v>57</v>
      </c>
      <c r="P594" s="44">
        <f>O594/H594</f>
        <v>57</v>
      </c>
      <c r="Q594" s="66"/>
      <c r="R594" s="32"/>
      <c r="S594" s="32"/>
      <c r="T594" s="32"/>
      <c r="U594" s="32"/>
      <c r="V594" s="32"/>
      <c r="W594" s="32"/>
      <c r="X594" s="32"/>
      <c r="Y594" s="32"/>
      <c r="Z594" s="32"/>
    </row>
    <row r="595" spans="1:26" ht="15" customHeight="1" x14ac:dyDescent="0.3">
      <c r="A595" s="45"/>
      <c r="B595" s="46" t="s">
        <v>1220</v>
      </c>
      <c r="C595" s="194" t="s">
        <v>2023</v>
      </c>
      <c r="D595" s="46"/>
      <c r="E595" s="46" t="s">
        <v>1221</v>
      </c>
      <c r="F595" s="61" t="s">
        <v>31</v>
      </c>
      <c r="G595" s="288">
        <v>120</v>
      </c>
      <c r="H595" s="289">
        <v>1</v>
      </c>
      <c r="I595" s="290">
        <v>1000</v>
      </c>
      <c r="J595" s="48" t="s">
        <v>39</v>
      </c>
      <c r="K595" s="50"/>
      <c r="L595" s="53" t="str">
        <f t="shared" si="99"/>
        <v>1000grams</v>
      </c>
      <c r="M595" s="54">
        <f t="shared" si="100"/>
        <v>1000</v>
      </c>
      <c r="N595" s="55" t="str">
        <f t="shared" si="101"/>
        <v>1000grams</v>
      </c>
      <c r="O595" s="56">
        <f t="shared" si="102"/>
        <v>120</v>
      </c>
      <c r="P595" s="44"/>
      <c r="Q595" s="12"/>
      <c r="R595" s="12"/>
      <c r="S595" s="151"/>
      <c r="T595" s="12"/>
      <c r="U595" s="12"/>
      <c r="V595" s="12"/>
      <c r="W595" s="12"/>
      <c r="X595" s="12"/>
      <c r="Y595" s="12"/>
      <c r="Z595" s="12"/>
    </row>
    <row r="596" spans="1:26" ht="15" customHeight="1" x14ac:dyDescent="0.3">
      <c r="A596" s="45">
        <v>42</v>
      </c>
      <c r="B596" s="46" t="s">
        <v>256</v>
      </c>
      <c r="C596" s="194" t="s">
        <v>29</v>
      </c>
      <c r="D596" s="46"/>
      <c r="E596" s="46" t="s">
        <v>1069</v>
      </c>
      <c r="F596" s="61" t="s">
        <v>31</v>
      </c>
      <c r="G596" s="288">
        <v>73</v>
      </c>
      <c r="H596" s="289">
        <v>1</v>
      </c>
      <c r="I596" s="290">
        <v>3500</v>
      </c>
      <c r="J596" s="48" t="s">
        <v>32</v>
      </c>
      <c r="K596" s="61" t="s">
        <v>2019</v>
      </c>
      <c r="L596" s="415" t="str">
        <f t="shared" si="99"/>
        <v>3500ml</v>
      </c>
      <c r="M596" s="416">
        <f t="shared" si="100"/>
        <v>3500</v>
      </c>
      <c r="N596" s="417" t="str">
        <f t="shared" si="101"/>
        <v>3500ml</v>
      </c>
      <c r="O596" s="418">
        <f t="shared" si="102"/>
        <v>73</v>
      </c>
      <c r="P596" s="419">
        <f t="shared" ref="P596:P599" si="115">O596/H596</f>
        <v>73</v>
      </c>
      <c r="Q596" s="66"/>
      <c r="R596" s="32"/>
      <c r="S596" s="32"/>
      <c r="T596" s="32"/>
      <c r="U596" s="32"/>
      <c r="V596" s="32"/>
      <c r="W596" s="32"/>
      <c r="X596" s="32"/>
      <c r="Y596" s="32"/>
      <c r="Z596" s="32"/>
    </row>
    <row r="597" spans="1:26" ht="15" customHeight="1" x14ac:dyDescent="0.3">
      <c r="A597" s="45">
        <v>146</v>
      </c>
      <c r="B597" s="46" t="s">
        <v>256</v>
      </c>
      <c r="C597" s="194" t="s">
        <v>2024</v>
      </c>
      <c r="D597" s="46"/>
      <c r="E597" s="46" t="s">
        <v>1069</v>
      </c>
      <c r="F597" s="61" t="s">
        <v>31</v>
      </c>
      <c r="G597" s="288">
        <v>73</v>
      </c>
      <c r="H597" s="289">
        <v>7</v>
      </c>
      <c r="I597" s="290">
        <v>3500</v>
      </c>
      <c r="J597" s="48" t="s">
        <v>32</v>
      </c>
      <c r="K597" s="50"/>
      <c r="L597" s="53" t="str">
        <f t="shared" si="99"/>
        <v>3500ml</v>
      </c>
      <c r="M597" s="54">
        <f t="shared" si="100"/>
        <v>24500</v>
      </c>
      <c r="N597" s="55" t="str">
        <f t="shared" si="101"/>
        <v>24500ml</v>
      </c>
      <c r="O597" s="56">
        <f t="shared" si="102"/>
        <v>511</v>
      </c>
      <c r="P597" s="44">
        <f t="shared" si="115"/>
        <v>73</v>
      </c>
      <c r="Q597" s="66"/>
      <c r="R597" s="32" t="b">
        <f t="shared" ref="R597:R599" si="116">P597=G597</f>
        <v>1</v>
      </c>
      <c r="S597" s="32"/>
      <c r="T597" s="32"/>
      <c r="U597" s="32"/>
      <c r="V597" s="32"/>
      <c r="W597" s="32"/>
      <c r="X597" s="32"/>
      <c r="Y597" s="32"/>
      <c r="Z597" s="32"/>
    </row>
    <row r="598" spans="1:26" ht="15" customHeight="1" x14ac:dyDescent="0.3">
      <c r="A598" s="45">
        <v>551</v>
      </c>
      <c r="B598" s="219" t="s">
        <v>256</v>
      </c>
      <c r="C598" s="194" t="s">
        <v>2026</v>
      </c>
      <c r="D598" s="46"/>
      <c r="E598" s="46" t="s">
        <v>1069</v>
      </c>
      <c r="F598" s="61" t="s">
        <v>31</v>
      </c>
      <c r="G598" s="288">
        <v>73</v>
      </c>
      <c r="H598" s="289">
        <v>2</v>
      </c>
      <c r="I598" s="290">
        <v>3500</v>
      </c>
      <c r="J598" s="48" t="s">
        <v>32</v>
      </c>
      <c r="K598" s="50" t="s">
        <v>2019</v>
      </c>
      <c r="L598" s="53" t="str">
        <f t="shared" si="99"/>
        <v>3500ml</v>
      </c>
      <c r="M598" s="54">
        <f t="shared" si="100"/>
        <v>7000</v>
      </c>
      <c r="N598" s="55" t="str">
        <f t="shared" si="101"/>
        <v>7000ml</v>
      </c>
      <c r="O598" s="56">
        <f t="shared" si="102"/>
        <v>146</v>
      </c>
      <c r="P598" s="44">
        <f t="shared" si="115"/>
        <v>73</v>
      </c>
      <c r="Q598" s="66">
        <f>G598-P598</f>
        <v>0</v>
      </c>
      <c r="R598" s="32" t="b">
        <f t="shared" si="116"/>
        <v>1</v>
      </c>
      <c r="S598" s="32"/>
      <c r="T598" s="32"/>
      <c r="U598" s="32"/>
      <c r="V598" s="32"/>
      <c r="W598" s="32"/>
      <c r="X598" s="32"/>
      <c r="Y598" s="32"/>
      <c r="Z598" s="32"/>
    </row>
    <row r="599" spans="1:26" ht="15" customHeight="1" x14ac:dyDescent="0.3">
      <c r="A599" s="45">
        <v>869</v>
      </c>
      <c r="B599" s="219" t="s">
        <v>256</v>
      </c>
      <c r="C599" s="194" t="s">
        <v>1368</v>
      </c>
      <c r="D599" s="46"/>
      <c r="E599" s="46" t="s">
        <v>1222</v>
      </c>
      <c r="F599" s="61" t="s">
        <v>31</v>
      </c>
      <c r="G599" s="288">
        <v>24.75</v>
      </c>
      <c r="H599" s="289">
        <v>2</v>
      </c>
      <c r="I599" s="290">
        <v>350</v>
      </c>
      <c r="J599" s="48" t="s">
        <v>32</v>
      </c>
      <c r="K599" s="50"/>
      <c r="L599" s="53" t="str">
        <f t="shared" si="99"/>
        <v>350ml</v>
      </c>
      <c r="M599" s="54">
        <f t="shared" si="100"/>
        <v>700</v>
      </c>
      <c r="N599" s="55" t="str">
        <f t="shared" si="101"/>
        <v>700ml</v>
      </c>
      <c r="O599" s="56">
        <f t="shared" si="102"/>
        <v>49.5</v>
      </c>
      <c r="P599" s="44">
        <f t="shared" si="115"/>
        <v>24.75</v>
      </c>
      <c r="Q599" s="66"/>
      <c r="R599" s="32" t="b">
        <f t="shared" si="116"/>
        <v>1</v>
      </c>
      <c r="S599" s="32"/>
      <c r="T599" s="32"/>
      <c r="U599" s="32"/>
      <c r="V599" s="32"/>
      <c r="W599" s="32"/>
      <c r="X599" s="32"/>
      <c r="Y599" s="32"/>
      <c r="Z599" s="32"/>
    </row>
    <row r="600" spans="1:26" ht="15" customHeight="1" x14ac:dyDescent="0.3">
      <c r="A600" s="45"/>
      <c r="B600" s="219" t="s">
        <v>256</v>
      </c>
      <c r="C600" s="194" t="s">
        <v>2023</v>
      </c>
      <c r="D600" s="46"/>
      <c r="E600" s="46" t="s">
        <v>1069</v>
      </c>
      <c r="F600" s="61" t="s">
        <v>31</v>
      </c>
      <c r="G600" s="288">
        <v>65</v>
      </c>
      <c r="H600" s="289">
        <v>2</v>
      </c>
      <c r="I600" s="290">
        <v>3500</v>
      </c>
      <c r="J600" s="48" t="s">
        <v>32</v>
      </c>
      <c r="K600" s="50"/>
      <c r="L600" s="53" t="str">
        <f t="shared" si="99"/>
        <v>3500ml</v>
      </c>
      <c r="M600" s="54">
        <f t="shared" si="100"/>
        <v>7000</v>
      </c>
      <c r="N600" s="55" t="str">
        <f t="shared" si="101"/>
        <v>7000ml</v>
      </c>
      <c r="O600" s="56">
        <f t="shared" si="102"/>
        <v>130</v>
      </c>
      <c r="P600" s="44"/>
      <c r="Q600" s="12"/>
      <c r="R600" s="12"/>
      <c r="S600" s="151"/>
      <c r="T600" s="12"/>
      <c r="U600" s="12"/>
      <c r="V600" s="12"/>
      <c r="W600" s="12"/>
      <c r="X600" s="12"/>
      <c r="Y600" s="12"/>
      <c r="Z600" s="12"/>
    </row>
    <row r="601" spans="1:26" ht="15" customHeight="1" x14ac:dyDescent="0.3">
      <c r="A601" s="45"/>
      <c r="B601" s="219" t="s">
        <v>256</v>
      </c>
      <c r="C601" s="194" t="s">
        <v>2021</v>
      </c>
      <c r="D601" s="46"/>
      <c r="E601" s="219" t="s">
        <v>1223</v>
      </c>
      <c r="F601" s="61" t="s">
        <v>31</v>
      </c>
      <c r="G601" s="291">
        <v>32</v>
      </c>
      <c r="H601" s="292">
        <v>1</v>
      </c>
      <c r="I601" s="293">
        <v>12</v>
      </c>
      <c r="J601" s="414" t="s">
        <v>1224</v>
      </c>
      <c r="K601" s="50"/>
      <c r="L601" s="53" t="str">
        <f t="shared" si="99"/>
        <v>12ounces</v>
      </c>
      <c r="M601" s="54">
        <f t="shared" si="100"/>
        <v>12</v>
      </c>
      <c r="N601" s="55" t="str">
        <f t="shared" si="101"/>
        <v>12ounces</v>
      </c>
      <c r="O601" s="56">
        <f t="shared" si="102"/>
        <v>32</v>
      </c>
      <c r="P601" s="12"/>
      <c r="Q601" s="12"/>
      <c r="R601" s="12"/>
      <c r="S601" s="151"/>
      <c r="T601" s="12"/>
      <c r="U601" s="12"/>
      <c r="V601" s="12"/>
      <c r="W601" s="12"/>
      <c r="X601" s="12"/>
      <c r="Y601" s="12"/>
      <c r="Z601" s="12"/>
    </row>
    <row r="602" spans="1:26" ht="15" customHeight="1" x14ac:dyDescent="0.3">
      <c r="A602" s="45"/>
      <c r="B602" s="46" t="s">
        <v>606</v>
      </c>
      <c r="C602" s="194" t="s">
        <v>2023</v>
      </c>
      <c r="D602" s="46"/>
      <c r="E602" s="46" t="s">
        <v>1225</v>
      </c>
      <c r="F602" s="61" t="s">
        <v>31</v>
      </c>
      <c r="G602" s="288">
        <v>120</v>
      </c>
      <c r="H602" s="289">
        <v>1</v>
      </c>
      <c r="I602" s="290">
        <v>454</v>
      </c>
      <c r="J602" s="48" t="s">
        <v>39</v>
      </c>
      <c r="K602" s="50"/>
      <c r="L602" s="53" t="str">
        <f t="shared" si="99"/>
        <v>454grams</v>
      </c>
      <c r="M602" s="54">
        <f t="shared" si="100"/>
        <v>454</v>
      </c>
      <c r="N602" s="55" t="str">
        <f t="shared" si="101"/>
        <v>454grams</v>
      </c>
      <c r="O602" s="56">
        <f t="shared" si="102"/>
        <v>120</v>
      </c>
      <c r="P602" s="44"/>
      <c r="Q602" s="12"/>
      <c r="R602" s="12"/>
      <c r="S602" s="151"/>
      <c r="T602" s="12"/>
      <c r="U602" s="12"/>
      <c r="V602" s="12"/>
      <c r="W602" s="12"/>
      <c r="X602" s="12"/>
      <c r="Y602" s="12"/>
      <c r="Z602" s="12"/>
    </row>
    <row r="603" spans="1:26" ht="15" customHeight="1" x14ac:dyDescent="0.3">
      <c r="A603" s="45"/>
      <c r="B603" s="46" t="s">
        <v>1226</v>
      </c>
      <c r="C603" s="194" t="s">
        <v>2020</v>
      </c>
      <c r="D603" s="46"/>
      <c r="E603" s="46" t="s">
        <v>1227</v>
      </c>
      <c r="F603" s="61" t="s">
        <v>31</v>
      </c>
      <c r="G603" s="288">
        <v>32.5</v>
      </c>
      <c r="H603" s="289">
        <v>2</v>
      </c>
      <c r="I603" s="290">
        <v>20</v>
      </c>
      <c r="J603" s="48" t="s">
        <v>32</v>
      </c>
      <c r="K603" s="50"/>
      <c r="L603" s="53" t="str">
        <f t="shared" si="99"/>
        <v>20ml</v>
      </c>
      <c r="M603" s="54">
        <f t="shared" si="100"/>
        <v>40</v>
      </c>
      <c r="N603" s="55" t="str">
        <f t="shared" si="101"/>
        <v>40ml</v>
      </c>
      <c r="O603" s="56">
        <f t="shared" si="102"/>
        <v>65</v>
      </c>
      <c r="P603" s="12"/>
      <c r="Q603" s="12"/>
      <c r="R603" s="12"/>
      <c r="S603" s="151"/>
      <c r="T603" s="12"/>
      <c r="U603" s="12"/>
      <c r="V603" s="12"/>
      <c r="W603" s="12"/>
      <c r="X603" s="12"/>
      <c r="Y603" s="12"/>
      <c r="Z603" s="12"/>
    </row>
    <row r="604" spans="1:26" ht="15" customHeight="1" x14ac:dyDescent="0.3">
      <c r="A604" s="45"/>
      <c r="B604" s="46" t="s">
        <v>1228</v>
      </c>
      <c r="C604" s="194" t="s">
        <v>2023</v>
      </c>
      <c r="D604" s="46"/>
      <c r="E604" s="46" t="s">
        <v>854</v>
      </c>
      <c r="F604" s="61" t="s">
        <v>31</v>
      </c>
      <c r="G604" s="288">
        <v>35</v>
      </c>
      <c r="H604" s="289">
        <v>1</v>
      </c>
      <c r="I604" s="290">
        <v>20</v>
      </c>
      <c r="J604" s="48" t="s">
        <v>32</v>
      </c>
      <c r="K604" s="50"/>
      <c r="L604" s="53" t="str">
        <f t="shared" si="99"/>
        <v>20ml</v>
      </c>
      <c r="M604" s="54">
        <f t="shared" si="100"/>
        <v>20</v>
      </c>
      <c r="N604" s="55" t="str">
        <f t="shared" si="101"/>
        <v>20ml</v>
      </c>
      <c r="O604" s="56">
        <f t="shared" si="102"/>
        <v>35</v>
      </c>
      <c r="P604" s="44"/>
      <c r="Q604" s="12"/>
      <c r="R604" s="12"/>
      <c r="S604" s="151"/>
      <c r="T604" s="12"/>
      <c r="U604" s="12"/>
      <c r="V604" s="12"/>
      <c r="W604" s="12"/>
      <c r="X604" s="12"/>
      <c r="Y604" s="12"/>
      <c r="Z604" s="12"/>
    </row>
    <row r="605" spans="1:26" ht="15" customHeight="1" x14ac:dyDescent="0.3">
      <c r="A605" s="45"/>
      <c r="B605" s="219" t="s">
        <v>1228</v>
      </c>
      <c r="C605" s="194" t="s">
        <v>2021</v>
      </c>
      <c r="D605" s="46"/>
      <c r="E605" s="46" t="s">
        <v>854</v>
      </c>
      <c r="F605" s="61" t="s">
        <v>31</v>
      </c>
      <c r="G605" s="291">
        <v>38.5</v>
      </c>
      <c r="H605" s="292">
        <v>1</v>
      </c>
      <c r="I605" s="293">
        <v>20</v>
      </c>
      <c r="J605" s="414" t="s">
        <v>32</v>
      </c>
      <c r="K605" s="50"/>
      <c r="L605" s="53" t="str">
        <f t="shared" si="99"/>
        <v>20ml</v>
      </c>
      <c r="M605" s="54">
        <f t="shared" si="100"/>
        <v>20</v>
      </c>
      <c r="N605" s="55" t="str">
        <f t="shared" si="101"/>
        <v>20ml</v>
      </c>
      <c r="O605" s="56">
        <f t="shared" si="102"/>
        <v>38.5</v>
      </c>
      <c r="P605" s="12"/>
      <c r="Q605" s="12"/>
      <c r="R605" s="12"/>
      <c r="S605" s="151"/>
      <c r="T605" s="12"/>
      <c r="U605" s="12"/>
      <c r="V605" s="12"/>
      <c r="W605" s="12"/>
      <c r="X605" s="12"/>
      <c r="Y605" s="12"/>
      <c r="Z605" s="12"/>
    </row>
    <row r="606" spans="1:26" ht="15" customHeight="1" x14ac:dyDescent="0.3">
      <c r="A606" s="45"/>
      <c r="B606" s="219" t="s">
        <v>1228</v>
      </c>
      <c r="C606" s="194" t="s">
        <v>2021</v>
      </c>
      <c r="D606" s="46"/>
      <c r="E606" s="46" t="s">
        <v>854</v>
      </c>
      <c r="F606" s="61" t="s">
        <v>31</v>
      </c>
      <c r="G606" s="291">
        <v>289</v>
      </c>
      <c r="H606" s="292">
        <v>2</v>
      </c>
      <c r="I606" s="293">
        <v>475</v>
      </c>
      <c r="J606" s="414" t="s">
        <v>32</v>
      </c>
      <c r="K606" s="50"/>
      <c r="L606" s="53" t="str">
        <f t="shared" si="99"/>
        <v>475ml</v>
      </c>
      <c r="M606" s="54">
        <f t="shared" si="100"/>
        <v>950</v>
      </c>
      <c r="N606" s="55" t="str">
        <f t="shared" si="101"/>
        <v>950ml</v>
      </c>
      <c r="O606" s="56">
        <f t="shared" si="102"/>
        <v>578</v>
      </c>
      <c r="P606" s="12"/>
      <c r="Q606" s="12"/>
      <c r="R606" s="12"/>
      <c r="S606" s="151"/>
      <c r="T606" s="12"/>
      <c r="U606" s="12"/>
      <c r="V606" s="12"/>
      <c r="W606" s="12"/>
      <c r="X606" s="12"/>
      <c r="Y606" s="12"/>
      <c r="Z606" s="12"/>
    </row>
    <row r="607" spans="1:26" ht="15" customHeight="1" x14ac:dyDescent="0.3">
      <c r="A607" s="45">
        <v>677</v>
      </c>
      <c r="B607" s="46" t="s">
        <v>1229</v>
      </c>
      <c r="C607" s="194" t="s">
        <v>2026</v>
      </c>
      <c r="D607" s="46"/>
      <c r="E607" s="46" t="s">
        <v>854</v>
      </c>
      <c r="F607" s="61" t="s">
        <v>31</v>
      </c>
      <c r="G607" s="288">
        <v>48</v>
      </c>
      <c r="H607" s="289">
        <v>1</v>
      </c>
      <c r="I607" s="290">
        <v>20</v>
      </c>
      <c r="J607" s="48" t="s">
        <v>32</v>
      </c>
      <c r="K607" s="50"/>
      <c r="L607" s="53" t="str">
        <f t="shared" si="99"/>
        <v>20ml</v>
      </c>
      <c r="M607" s="54">
        <f t="shared" si="100"/>
        <v>20</v>
      </c>
      <c r="N607" s="55" t="str">
        <f t="shared" si="101"/>
        <v>20ml</v>
      </c>
      <c r="O607" s="56">
        <f t="shared" si="102"/>
        <v>48</v>
      </c>
      <c r="P607" s="44">
        <f>O607/H607</f>
        <v>48</v>
      </c>
      <c r="Q607" s="66"/>
      <c r="R607" s="32"/>
      <c r="S607" s="32"/>
      <c r="T607" s="32"/>
      <c r="U607" s="32"/>
      <c r="V607" s="32"/>
      <c r="W607" s="32"/>
      <c r="X607" s="32"/>
      <c r="Y607" s="32"/>
      <c r="Z607" s="32"/>
    </row>
    <row r="608" spans="1:26" ht="15" customHeight="1" x14ac:dyDescent="0.3">
      <c r="A608" s="45"/>
      <c r="B608" s="46" t="s">
        <v>1229</v>
      </c>
      <c r="C608" s="194" t="s">
        <v>2022</v>
      </c>
      <c r="D608" s="46"/>
      <c r="E608" s="46" t="s">
        <v>854</v>
      </c>
      <c r="F608" s="61" t="s">
        <v>31</v>
      </c>
      <c r="G608" s="288">
        <v>55</v>
      </c>
      <c r="H608" s="289">
        <v>1</v>
      </c>
      <c r="I608" s="290">
        <v>20</v>
      </c>
      <c r="J608" s="48" t="s">
        <v>32</v>
      </c>
      <c r="K608" s="50"/>
      <c r="L608" s="53" t="str">
        <f t="shared" si="99"/>
        <v>20ml</v>
      </c>
      <c r="M608" s="54">
        <f t="shared" si="100"/>
        <v>20</v>
      </c>
      <c r="N608" s="55" t="str">
        <f t="shared" si="101"/>
        <v>20ml</v>
      </c>
      <c r="O608" s="56">
        <f t="shared" si="102"/>
        <v>55</v>
      </c>
      <c r="P608" s="12"/>
      <c r="Q608" s="12"/>
      <c r="R608" s="12"/>
      <c r="S608" s="151"/>
      <c r="T608" s="12"/>
      <c r="U608" s="12"/>
      <c r="V608" s="12"/>
      <c r="W608" s="12"/>
      <c r="X608" s="12"/>
      <c r="Y608" s="12"/>
      <c r="Z608" s="12"/>
    </row>
    <row r="609" spans="1:26" ht="15" customHeight="1" x14ac:dyDescent="0.3">
      <c r="A609" s="45"/>
      <c r="B609" s="46" t="s">
        <v>1229</v>
      </c>
      <c r="C609" s="194" t="s">
        <v>2021</v>
      </c>
      <c r="D609" s="46"/>
      <c r="E609" s="46" t="s">
        <v>854</v>
      </c>
      <c r="F609" s="61" t="s">
        <v>31</v>
      </c>
      <c r="G609" s="291">
        <v>45.75</v>
      </c>
      <c r="H609" s="292">
        <v>6</v>
      </c>
      <c r="I609" s="293">
        <v>20</v>
      </c>
      <c r="J609" s="414" t="s">
        <v>32</v>
      </c>
      <c r="K609" s="50"/>
      <c r="L609" s="53" t="str">
        <f t="shared" si="99"/>
        <v>20ml</v>
      </c>
      <c r="M609" s="54">
        <f t="shared" si="100"/>
        <v>120</v>
      </c>
      <c r="N609" s="55" t="str">
        <f t="shared" si="101"/>
        <v>120ml</v>
      </c>
      <c r="O609" s="56">
        <f t="shared" si="102"/>
        <v>274.5</v>
      </c>
      <c r="P609" s="12"/>
      <c r="Q609" s="12"/>
      <c r="R609" s="12"/>
      <c r="S609" s="151"/>
      <c r="T609" s="12"/>
      <c r="U609" s="12"/>
      <c r="V609" s="12"/>
      <c r="W609" s="12"/>
      <c r="X609" s="12"/>
      <c r="Y609" s="12"/>
      <c r="Z609" s="12"/>
    </row>
    <row r="610" spans="1:26" ht="15" customHeight="1" x14ac:dyDescent="0.3">
      <c r="A610" s="45"/>
      <c r="B610" s="46" t="s">
        <v>1230</v>
      </c>
      <c r="C610" s="194" t="s">
        <v>2023</v>
      </c>
      <c r="D610" s="46"/>
      <c r="E610" s="46" t="s">
        <v>854</v>
      </c>
      <c r="F610" s="61" t="s">
        <v>31</v>
      </c>
      <c r="G610" s="288">
        <v>32</v>
      </c>
      <c r="H610" s="289">
        <v>1</v>
      </c>
      <c r="I610" s="290">
        <v>20</v>
      </c>
      <c r="J610" s="48" t="s">
        <v>32</v>
      </c>
      <c r="K610" s="50"/>
      <c r="L610" s="53" t="str">
        <f t="shared" si="99"/>
        <v>20ml</v>
      </c>
      <c r="M610" s="54">
        <f t="shared" si="100"/>
        <v>20</v>
      </c>
      <c r="N610" s="55" t="str">
        <f t="shared" si="101"/>
        <v>20ml</v>
      </c>
      <c r="O610" s="56">
        <f t="shared" si="102"/>
        <v>32</v>
      </c>
      <c r="P610" s="44"/>
      <c r="Q610" s="12"/>
      <c r="R610" s="12"/>
      <c r="S610" s="151"/>
      <c r="T610" s="12"/>
      <c r="U610" s="12"/>
      <c r="V610" s="12"/>
      <c r="W610" s="12"/>
      <c r="X610" s="12"/>
      <c r="Y610" s="12"/>
      <c r="Z610" s="12"/>
    </row>
    <row r="611" spans="1:26" ht="15" customHeight="1" x14ac:dyDescent="0.3">
      <c r="A611" s="45"/>
      <c r="B611" s="46" t="s">
        <v>1230</v>
      </c>
      <c r="C611" s="194" t="s">
        <v>2022</v>
      </c>
      <c r="D611" s="46"/>
      <c r="E611" s="46" t="s">
        <v>854</v>
      </c>
      <c r="F611" s="61" t="s">
        <v>31</v>
      </c>
      <c r="G611" s="288">
        <v>55</v>
      </c>
      <c r="H611" s="289">
        <v>1</v>
      </c>
      <c r="I611" s="290">
        <v>20</v>
      </c>
      <c r="J611" s="48" t="s">
        <v>32</v>
      </c>
      <c r="K611" s="50"/>
      <c r="L611" s="53" t="str">
        <f t="shared" si="99"/>
        <v>20ml</v>
      </c>
      <c r="M611" s="54">
        <f t="shared" si="100"/>
        <v>20</v>
      </c>
      <c r="N611" s="55" t="str">
        <f t="shared" si="101"/>
        <v>20ml</v>
      </c>
      <c r="O611" s="56">
        <f t="shared" si="102"/>
        <v>55</v>
      </c>
      <c r="P611" s="12"/>
      <c r="Q611" s="12"/>
      <c r="R611" s="12"/>
      <c r="S611" s="151"/>
      <c r="T611" s="12"/>
      <c r="U611" s="12"/>
      <c r="V611" s="12"/>
      <c r="W611" s="12"/>
      <c r="X611" s="12"/>
      <c r="Y611" s="12"/>
      <c r="Z611" s="12"/>
    </row>
    <row r="612" spans="1:26" ht="15" customHeight="1" x14ac:dyDescent="0.3">
      <c r="A612" s="45"/>
      <c r="B612" s="219" t="s">
        <v>1231</v>
      </c>
      <c r="C612" s="194" t="s">
        <v>2021</v>
      </c>
      <c r="D612" s="46"/>
      <c r="E612" s="46" t="s">
        <v>854</v>
      </c>
      <c r="F612" s="61" t="s">
        <v>31</v>
      </c>
      <c r="G612" s="291">
        <v>53</v>
      </c>
      <c r="H612" s="292">
        <v>2</v>
      </c>
      <c r="I612" s="293">
        <v>60</v>
      </c>
      <c r="J612" s="414" t="s">
        <v>32</v>
      </c>
      <c r="K612" s="50"/>
      <c r="L612" s="53" t="str">
        <f t="shared" si="99"/>
        <v>60ml</v>
      </c>
      <c r="M612" s="54">
        <f t="shared" si="100"/>
        <v>120</v>
      </c>
      <c r="N612" s="55" t="str">
        <f t="shared" si="101"/>
        <v>120ml</v>
      </c>
      <c r="O612" s="56">
        <f t="shared" si="102"/>
        <v>106</v>
      </c>
      <c r="P612" s="12"/>
      <c r="Q612" s="12"/>
      <c r="R612" s="12"/>
      <c r="S612" s="151"/>
      <c r="T612" s="12"/>
      <c r="U612" s="12"/>
      <c r="V612" s="12"/>
      <c r="W612" s="12"/>
      <c r="X612" s="12"/>
      <c r="Y612" s="12"/>
      <c r="Z612" s="12"/>
    </row>
    <row r="613" spans="1:26" ht="15" customHeight="1" x14ac:dyDescent="0.3">
      <c r="A613" s="45"/>
      <c r="B613" s="219" t="s">
        <v>1232</v>
      </c>
      <c r="C613" s="194" t="s">
        <v>2021</v>
      </c>
      <c r="D613" s="46"/>
      <c r="E613" s="46" t="s">
        <v>854</v>
      </c>
      <c r="F613" s="61" t="s">
        <v>31</v>
      </c>
      <c r="G613" s="291">
        <v>60</v>
      </c>
      <c r="H613" s="292">
        <v>1</v>
      </c>
      <c r="I613" s="293">
        <v>20</v>
      </c>
      <c r="J613" s="414" t="s">
        <v>32</v>
      </c>
      <c r="K613" s="50"/>
      <c r="L613" s="53" t="str">
        <f t="shared" si="99"/>
        <v>20ml</v>
      </c>
      <c r="M613" s="54">
        <f t="shared" si="100"/>
        <v>20</v>
      </c>
      <c r="N613" s="55" t="str">
        <f t="shared" si="101"/>
        <v>20ml</v>
      </c>
      <c r="O613" s="56">
        <f t="shared" si="102"/>
        <v>60</v>
      </c>
      <c r="P613" s="12"/>
      <c r="Q613" s="12"/>
      <c r="R613" s="12"/>
      <c r="S613" s="151"/>
      <c r="T613" s="12"/>
      <c r="U613" s="12"/>
      <c r="V613" s="12"/>
      <c r="W613" s="12"/>
      <c r="X613" s="12"/>
      <c r="Y613" s="12"/>
      <c r="Z613" s="12"/>
    </row>
    <row r="614" spans="1:26" ht="15" customHeight="1" x14ac:dyDescent="0.3">
      <c r="A614" s="45">
        <v>513</v>
      </c>
      <c r="B614" s="46" t="s">
        <v>1233</v>
      </c>
      <c r="C614" s="194" t="s">
        <v>2026</v>
      </c>
      <c r="D614" s="46"/>
      <c r="E614" s="46" t="s">
        <v>1234</v>
      </c>
      <c r="F614" s="61" t="s">
        <v>31</v>
      </c>
      <c r="G614" s="288">
        <v>329</v>
      </c>
      <c r="H614" s="289">
        <v>1</v>
      </c>
      <c r="I614" s="290">
        <v>500</v>
      </c>
      <c r="J614" s="48" t="s">
        <v>39</v>
      </c>
      <c r="K614" s="50"/>
      <c r="L614" s="53" t="str">
        <f t="shared" si="99"/>
        <v>500grams</v>
      </c>
      <c r="M614" s="54">
        <f t="shared" si="100"/>
        <v>500</v>
      </c>
      <c r="N614" s="55" t="str">
        <f t="shared" si="101"/>
        <v>500grams</v>
      </c>
      <c r="O614" s="56">
        <f t="shared" si="102"/>
        <v>329</v>
      </c>
      <c r="P614" s="44">
        <f>O614/H614</f>
        <v>329</v>
      </c>
      <c r="Q614" s="66"/>
      <c r="R614" s="32" t="b">
        <f>P614=G614</f>
        <v>1</v>
      </c>
      <c r="S614" s="32"/>
      <c r="T614" s="32"/>
      <c r="U614" s="32"/>
      <c r="V614" s="32"/>
      <c r="W614" s="32"/>
      <c r="X614" s="32"/>
      <c r="Y614" s="32"/>
      <c r="Z614" s="32"/>
    </row>
    <row r="615" spans="1:26" ht="15" customHeight="1" x14ac:dyDescent="0.3">
      <c r="A615" s="45"/>
      <c r="B615" s="46" t="s">
        <v>1233</v>
      </c>
      <c r="C615" s="194" t="s">
        <v>2022</v>
      </c>
      <c r="D615" s="46"/>
      <c r="E615" s="46" t="s">
        <v>854</v>
      </c>
      <c r="F615" s="61" t="s">
        <v>31</v>
      </c>
      <c r="G615" s="288">
        <v>55</v>
      </c>
      <c r="H615" s="289">
        <v>1</v>
      </c>
      <c r="I615" s="290">
        <v>20</v>
      </c>
      <c r="J615" s="48" t="s">
        <v>32</v>
      </c>
      <c r="K615" s="50"/>
      <c r="L615" s="53" t="str">
        <f t="shared" si="99"/>
        <v>20ml</v>
      </c>
      <c r="M615" s="54">
        <f t="shared" si="100"/>
        <v>20</v>
      </c>
      <c r="N615" s="55" t="str">
        <f t="shared" si="101"/>
        <v>20ml</v>
      </c>
      <c r="O615" s="56">
        <f t="shared" si="102"/>
        <v>55</v>
      </c>
      <c r="P615" s="12"/>
      <c r="Q615" s="12"/>
      <c r="R615" s="12"/>
      <c r="S615" s="151"/>
      <c r="T615" s="12"/>
      <c r="U615" s="12"/>
      <c r="V615" s="12"/>
      <c r="W615" s="12"/>
      <c r="X615" s="12"/>
      <c r="Y615" s="12"/>
      <c r="Z615" s="12"/>
    </row>
    <row r="616" spans="1:26" ht="15" customHeight="1" x14ac:dyDescent="0.3">
      <c r="A616" s="45"/>
      <c r="B616" s="46" t="s">
        <v>1233</v>
      </c>
      <c r="C616" s="194" t="s">
        <v>2021</v>
      </c>
      <c r="D616" s="46"/>
      <c r="E616" s="46" t="s">
        <v>854</v>
      </c>
      <c r="F616" s="61" t="s">
        <v>31</v>
      </c>
      <c r="G616" s="291">
        <v>45</v>
      </c>
      <c r="H616" s="292">
        <v>2</v>
      </c>
      <c r="I616" s="293">
        <v>20</v>
      </c>
      <c r="J616" s="414" t="s">
        <v>32</v>
      </c>
      <c r="K616" s="50"/>
      <c r="L616" s="53" t="str">
        <f t="shared" si="99"/>
        <v>20ml</v>
      </c>
      <c r="M616" s="54">
        <f t="shared" si="100"/>
        <v>40</v>
      </c>
      <c r="N616" s="55" t="str">
        <f t="shared" si="101"/>
        <v>40ml</v>
      </c>
      <c r="O616" s="56">
        <f t="shared" si="102"/>
        <v>90</v>
      </c>
      <c r="P616" s="12"/>
      <c r="Q616" s="12"/>
      <c r="R616" s="12"/>
      <c r="S616" s="151"/>
      <c r="T616" s="12"/>
      <c r="U616" s="12"/>
      <c r="V616" s="12"/>
      <c r="W616" s="12"/>
      <c r="X616" s="12"/>
      <c r="Y616" s="12"/>
      <c r="Z616" s="12"/>
    </row>
    <row r="617" spans="1:26" ht="15" customHeight="1" x14ac:dyDescent="0.3">
      <c r="A617" s="45">
        <v>173</v>
      </c>
      <c r="B617" s="46" t="s">
        <v>1235</v>
      </c>
      <c r="C617" s="194" t="s">
        <v>2024</v>
      </c>
      <c r="D617" s="46"/>
      <c r="E617" s="46" t="s">
        <v>1236</v>
      </c>
      <c r="F617" s="61" t="s">
        <v>31</v>
      </c>
      <c r="G617" s="288">
        <v>175</v>
      </c>
      <c r="H617" s="289">
        <v>2</v>
      </c>
      <c r="I617" s="290">
        <v>1000</v>
      </c>
      <c r="J617" s="48" t="s">
        <v>39</v>
      </c>
      <c r="K617" s="50" t="s">
        <v>2019</v>
      </c>
      <c r="L617" s="53" t="str">
        <f t="shared" si="99"/>
        <v>1000grams</v>
      </c>
      <c r="M617" s="54">
        <f t="shared" si="100"/>
        <v>2000</v>
      </c>
      <c r="N617" s="55" t="str">
        <f t="shared" si="101"/>
        <v>2000grams</v>
      </c>
      <c r="O617" s="56">
        <f t="shared" si="102"/>
        <v>350</v>
      </c>
      <c r="P617" s="44">
        <f>O617/H617</f>
        <v>175</v>
      </c>
      <c r="Q617" s="44">
        <f>G617-P617</f>
        <v>0</v>
      </c>
      <c r="R617" s="32" t="b">
        <f>P617=G617</f>
        <v>1</v>
      </c>
      <c r="S617" s="32"/>
      <c r="T617" s="32"/>
      <c r="U617" s="32"/>
      <c r="V617" s="32"/>
      <c r="W617" s="32"/>
      <c r="X617" s="32"/>
      <c r="Y617" s="32"/>
      <c r="Z617" s="32"/>
    </row>
    <row r="618" spans="1:26" ht="15" customHeight="1" x14ac:dyDescent="0.3">
      <c r="A618" s="45"/>
      <c r="B618" s="46" t="s">
        <v>1235</v>
      </c>
      <c r="C618" s="194" t="s">
        <v>2023</v>
      </c>
      <c r="D618" s="46"/>
      <c r="E618" s="46" t="s">
        <v>1236</v>
      </c>
      <c r="F618" s="61" t="s">
        <v>31</v>
      </c>
      <c r="G618" s="288">
        <v>179</v>
      </c>
      <c r="H618" s="289">
        <v>3</v>
      </c>
      <c r="I618" s="290">
        <v>1000</v>
      </c>
      <c r="J618" s="48" t="s">
        <v>39</v>
      </c>
      <c r="K618" s="50"/>
      <c r="L618" s="53" t="str">
        <f t="shared" si="99"/>
        <v>1000grams</v>
      </c>
      <c r="M618" s="54">
        <f t="shared" si="100"/>
        <v>3000</v>
      </c>
      <c r="N618" s="55" t="str">
        <f t="shared" si="101"/>
        <v>3000grams</v>
      </c>
      <c r="O618" s="56">
        <f t="shared" si="102"/>
        <v>537</v>
      </c>
      <c r="P618" s="12"/>
      <c r="Q618" s="12"/>
      <c r="R618" s="12"/>
      <c r="S618" s="151"/>
      <c r="T618" s="12"/>
      <c r="U618" s="12"/>
      <c r="V618" s="12"/>
      <c r="W618" s="12"/>
      <c r="X618" s="12"/>
      <c r="Y618" s="12"/>
      <c r="Z618" s="12"/>
    </row>
    <row r="619" spans="1:26" ht="15" customHeight="1" x14ac:dyDescent="0.3">
      <c r="A619" s="45">
        <v>716</v>
      </c>
      <c r="B619" s="46" t="s">
        <v>1237</v>
      </c>
      <c r="C619" s="194" t="s">
        <v>2026</v>
      </c>
      <c r="D619" s="46"/>
      <c r="E619" s="46" t="s">
        <v>1238</v>
      </c>
      <c r="F619" s="61" t="s">
        <v>31</v>
      </c>
      <c r="G619" s="288">
        <v>193</v>
      </c>
      <c r="H619" s="289">
        <v>2</v>
      </c>
      <c r="I619" s="290">
        <v>1000</v>
      </c>
      <c r="J619" s="420" t="s">
        <v>39</v>
      </c>
      <c r="K619" s="50"/>
      <c r="L619" s="53" t="str">
        <f t="shared" si="99"/>
        <v>1000grams</v>
      </c>
      <c r="M619" s="54">
        <f t="shared" si="100"/>
        <v>2000</v>
      </c>
      <c r="N619" s="55" t="str">
        <f t="shared" si="101"/>
        <v>2000grams</v>
      </c>
      <c r="O619" s="56">
        <f t="shared" si="102"/>
        <v>386</v>
      </c>
      <c r="P619" s="44">
        <f t="shared" ref="P619:P620" si="117">O619/H619</f>
        <v>193</v>
      </c>
      <c r="Q619" s="66"/>
      <c r="R619" s="32" t="b">
        <f t="shared" ref="R619:R620" si="118">P619=G619</f>
        <v>1</v>
      </c>
      <c r="S619" s="32"/>
      <c r="T619" s="32"/>
      <c r="U619" s="32"/>
      <c r="V619" s="32"/>
      <c r="W619" s="32"/>
      <c r="X619" s="32"/>
      <c r="Y619" s="32"/>
      <c r="Z619" s="32"/>
    </row>
    <row r="620" spans="1:26" ht="15" customHeight="1" x14ac:dyDescent="0.3">
      <c r="A620" s="45">
        <v>181</v>
      </c>
      <c r="B620" s="46" t="s">
        <v>1239</v>
      </c>
      <c r="C620" s="194" t="s">
        <v>2024</v>
      </c>
      <c r="D620" s="46"/>
      <c r="E620" s="46"/>
      <c r="F620" s="61" t="s">
        <v>31</v>
      </c>
      <c r="G620" s="288">
        <v>145</v>
      </c>
      <c r="H620" s="289">
        <v>1</v>
      </c>
      <c r="I620" s="290">
        <v>1</v>
      </c>
      <c r="J620" s="48" t="s">
        <v>213</v>
      </c>
      <c r="K620" s="50"/>
      <c r="L620" s="53" t="str">
        <f t="shared" si="99"/>
        <v>1kilos</v>
      </c>
      <c r="M620" s="54">
        <f t="shared" si="100"/>
        <v>1</v>
      </c>
      <c r="N620" s="55" t="str">
        <f t="shared" si="101"/>
        <v>1kilos</v>
      </c>
      <c r="O620" s="56">
        <f t="shared" si="102"/>
        <v>145</v>
      </c>
      <c r="P620" s="44">
        <f t="shared" si="117"/>
        <v>145</v>
      </c>
      <c r="Q620" s="66"/>
      <c r="R620" s="32" t="b">
        <f t="shared" si="118"/>
        <v>1</v>
      </c>
      <c r="S620" s="32"/>
      <c r="T620" s="32"/>
      <c r="U620" s="32"/>
      <c r="V620" s="32"/>
      <c r="W620" s="32"/>
      <c r="X620" s="32"/>
      <c r="Y620" s="32"/>
      <c r="Z620" s="32"/>
    </row>
    <row r="621" spans="1:26" ht="15" customHeight="1" x14ac:dyDescent="0.3">
      <c r="A621" s="45"/>
      <c r="B621" s="46" t="s">
        <v>1239</v>
      </c>
      <c r="C621" s="194" t="s">
        <v>2022</v>
      </c>
      <c r="D621" s="46"/>
      <c r="E621" s="46" t="s">
        <v>912</v>
      </c>
      <c r="F621" s="61" t="s">
        <v>31</v>
      </c>
      <c r="G621" s="288">
        <v>180</v>
      </c>
      <c r="H621" s="289">
        <v>1</v>
      </c>
      <c r="I621" s="290">
        <v>1000</v>
      </c>
      <c r="J621" s="48" t="s">
        <v>39</v>
      </c>
      <c r="K621" s="50"/>
      <c r="L621" s="53" t="str">
        <f t="shared" si="99"/>
        <v>1000grams</v>
      </c>
      <c r="M621" s="54">
        <f t="shared" si="100"/>
        <v>1000</v>
      </c>
      <c r="N621" s="55" t="str">
        <f t="shared" si="101"/>
        <v>1000grams</v>
      </c>
      <c r="O621" s="56">
        <f t="shared" si="102"/>
        <v>180</v>
      </c>
      <c r="P621" s="12"/>
      <c r="Q621" s="12"/>
      <c r="R621" s="12"/>
      <c r="S621" s="151"/>
      <c r="T621" s="12"/>
      <c r="U621" s="12"/>
      <c r="V621" s="12"/>
      <c r="W621" s="12"/>
      <c r="X621" s="12"/>
      <c r="Y621" s="12"/>
      <c r="Z621" s="12"/>
    </row>
    <row r="622" spans="1:26" ht="15" customHeight="1" x14ac:dyDescent="0.3">
      <c r="A622" s="45">
        <v>165</v>
      </c>
      <c r="B622" s="46" t="s">
        <v>175</v>
      </c>
      <c r="C622" s="194" t="s">
        <v>2024</v>
      </c>
      <c r="D622" s="46"/>
      <c r="E622" s="46" t="s">
        <v>1240</v>
      </c>
      <c r="F622" s="61" t="s">
        <v>31</v>
      </c>
      <c r="G622" s="288">
        <v>166.49</v>
      </c>
      <c r="H622" s="289">
        <v>3</v>
      </c>
      <c r="I622" s="290">
        <v>3033</v>
      </c>
      <c r="J622" s="48" t="s">
        <v>39</v>
      </c>
      <c r="K622" s="50"/>
      <c r="L622" s="53" t="str">
        <f t="shared" si="99"/>
        <v>3033grams</v>
      </c>
      <c r="M622" s="54">
        <f t="shared" si="100"/>
        <v>9099</v>
      </c>
      <c r="N622" s="55" t="str">
        <f t="shared" si="101"/>
        <v>9099grams</v>
      </c>
      <c r="O622" s="56">
        <f t="shared" si="102"/>
        <v>499.47</v>
      </c>
      <c r="P622" s="44">
        <f t="shared" ref="P622:P623" si="119">O622/H622</f>
        <v>166.49</v>
      </c>
      <c r="Q622" s="66"/>
      <c r="R622" s="32"/>
      <c r="S622" s="32"/>
      <c r="T622" s="32"/>
      <c r="U622" s="32"/>
      <c r="V622" s="32"/>
      <c r="W622" s="32"/>
      <c r="X622" s="32"/>
      <c r="Y622" s="32"/>
      <c r="Z622" s="32"/>
    </row>
    <row r="623" spans="1:26" ht="15" customHeight="1" x14ac:dyDescent="0.3">
      <c r="A623" s="45">
        <v>538</v>
      </c>
      <c r="B623" s="46" t="s">
        <v>175</v>
      </c>
      <c r="C623" s="194" t="s">
        <v>2026</v>
      </c>
      <c r="D623" s="46"/>
      <c r="E623" s="46" t="s">
        <v>1240</v>
      </c>
      <c r="F623" s="61" t="s">
        <v>31</v>
      </c>
      <c r="G623" s="288">
        <v>89.5</v>
      </c>
      <c r="H623" s="289">
        <v>2</v>
      </c>
      <c r="I623" s="290">
        <v>422</v>
      </c>
      <c r="J623" s="48" t="s">
        <v>519</v>
      </c>
      <c r="K623" s="50"/>
      <c r="L623" s="53" t="str">
        <f t="shared" si="99"/>
        <v>422drained weight grams</v>
      </c>
      <c r="M623" s="54">
        <f t="shared" si="100"/>
        <v>844</v>
      </c>
      <c r="N623" s="55" t="str">
        <f t="shared" si="101"/>
        <v>844drained weight grams</v>
      </c>
      <c r="O623" s="56">
        <f t="shared" si="102"/>
        <v>179</v>
      </c>
      <c r="P623" s="44">
        <f t="shared" si="119"/>
        <v>89.5</v>
      </c>
      <c r="Q623" s="66"/>
      <c r="R623" s="32" t="b">
        <f>P623=G623</f>
        <v>1</v>
      </c>
      <c r="S623" s="32"/>
      <c r="T623" s="32"/>
      <c r="U623" s="32"/>
      <c r="V623" s="32"/>
      <c r="W623" s="32"/>
      <c r="X623" s="32"/>
      <c r="Y623" s="32"/>
      <c r="Z623" s="32"/>
    </row>
    <row r="624" spans="1:26" ht="15" customHeight="1" x14ac:dyDescent="0.3">
      <c r="A624" s="45"/>
      <c r="B624" s="46" t="s">
        <v>175</v>
      </c>
      <c r="C624" s="194" t="s">
        <v>2022</v>
      </c>
      <c r="D624" s="46"/>
      <c r="E624" s="46" t="s">
        <v>1241</v>
      </c>
      <c r="F624" s="61" t="s">
        <v>31</v>
      </c>
      <c r="G624" s="288">
        <v>69</v>
      </c>
      <c r="H624" s="289">
        <v>5</v>
      </c>
      <c r="I624" s="290">
        <v>266</v>
      </c>
      <c r="J624" s="48" t="s">
        <v>39</v>
      </c>
      <c r="K624" s="50"/>
      <c r="L624" s="53" t="str">
        <f t="shared" si="99"/>
        <v>266grams</v>
      </c>
      <c r="M624" s="54">
        <f t="shared" si="100"/>
        <v>1330</v>
      </c>
      <c r="N624" s="55" t="str">
        <f t="shared" si="101"/>
        <v>1330grams</v>
      </c>
      <c r="O624" s="56">
        <f t="shared" si="102"/>
        <v>345</v>
      </c>
      <c r="P624" s="12"/>
      <c r="Q624" s="12"/>
      <c r="R624" s="12"/>
      <c r="S624" s="151"/>
      <c r="T624" s="12"/>
      <c r="U624" s="12"/>
      <c r="V624" s="12"/>
      <c r="W624" s="12"/>
      <c r="X624" s="12"/>
      <c r="Y624" s="12"/>
      <c r="Z624" s="12"/>
    </row>
    <row r="625" spans="1:26" ht="15" customHeight="1" x14ac:dyDescent="0.3">
      <c r="A625" s="45"/>
      <c r="B625" s="46" t="s">
        <v>175</v>
      </c>
      <c r="C625" s="194" t="s">
        <v>2022</v>
      </c>
      <c r="D625" s="46"/>
      <c r="E625" s="46" t="s">
        <v>1241</v>
      </c>
      <c r="F625" s="61" t="s">
        <v>31</v>
      </c>
      <c r="G625" s="288">
        <v>309</v>
      </c>
      <c r="H625" s="289">
        <v>6</v>
      </c>
      <c r="I625" s="290">
        <v>3033</v>
      </c>
      <c r="J625" s="48" t="s">
        <v>39</v>
      </c>
      <c r="K625" s="50"/>
      <c r="L625" s="53" t="str">
        <f t="shared" si="99"/>
        <v>3033grams</v>
      </c>
      <c r="M625" s="54">
        <f t="shared" si="100"/>
        <v>18198</v>
      </c>
      <c r="N625" s="55" t="str">
        <f t="shared" si="101"/>
        <v>18198grams</v>
      </c>
      <c r="O625" s="56">
        <f t="shared" si="102"/>
        <v>1854</v>
      </c>
      <c r="P625" s="12"/>
      <c r="Q625" s="12"/>
      <c r="R625" s="12"/>
      <c r="S625" s="151"/>
      <c r="T625" s="12"/>
      <c r="U625" s="12"/>
      <c r="V625" s="12"/>
      <c r="W625" s="12"/>
      <c r="X625" s="12"/>
      <c r="Y625" s="12"/>
      <c r="Z625" s="12"/>
    </row>
    <row r="626" spans="1:26" ht="15" customHeight="1" x14ac:dyDescent="0.3">
      <c r="A626" s="45">
        <v>858</v>
      </c>
      <c r="B626" s="46" t="s">
        <v>1242</v>
      </c>
      <c r="C626" s="194" t="s">
        <v>1368</v>
      </c>
      <c r="D626" s="46"/>
      <c r="E626" s="46"/>
      <c r="F626" s="61" t="s">
        <v>31</v>
      </c>
      <c r="G626" s="288">
        <v>35</v>
      </c>
      <c r="H626" s="289">
        <v>3</v>
      </c>
      <c r="I626" s="290">
        <v>1000</v>
      </c>
      <c r="J626" s="48" t="s">
        <v>39</v>
      </c>
      <c r="K626" s="50" t="s">
        <v>2019</v>
      </c>
      <c r="L626" s="53" t="str">
        <f t="shared" si="99"/>
        <v>1000grams</v>
      </c>
      <c r="M626" s="54">
        <f t="shared" si="100"/>
        <v>3000</v>
      </c>
      <c r="N626" s="55" t="str">
        <f t="shared" si="101"/>
        <v>3000grams</v>
      </c>
      <c r="O626" s="56">
        <f t="shared" si="102"/>
        <v>105</v>
      </c>
      <c r="P626" s="44">
        <f t="shared" ref="P626:P632" si="120">O626/H626</f>
        <v>35</v>
      </c>
      <c r="Q626" s="44">
        <f t="shared" ref="Q626:Q627" si="121">G626-P626</f>
        <v>0</v>
      </c>
      <c r="R626" s="32" t="b">
        <f t="shared" ref="R626:R628" si="122">P626=G626</f>
        <v>1</v>
      </c>
      <c r="S626" s="32"/>
      <c r="T626" s="32"/>
      <c r="U626" s="32"/>
      <c r="V626" s="32"/>
      <c r="W626" s="32"/>
      <c r="X626" s="32"/>
      <c r="Y626" s="32"/>
      <c r="Z626" s="32"/>
    </row>
    <row r="627" spans="1:26" ht="15" customHeight="1" x14ac:dyDescent="0.3">
      <c r="A627" s="45">
        <v>144</v>
      </c>
      <c r="B627" s="46" t="s">
        <v>1243</v>
      </c>
      <c r="C627" s="194" t="s">
        <v>2024</v>
      </c>
      <c r="D627" s="46"/>
      <c r="E627" s="46"/>
      <c r="F627" s="61" t="s">
        <v>31</v>
      </c>
      <c r="G627" s="288">
        <v>320</v>
      </c>
      <c r="H627" s="289">
        <v>7</v>
      </c>
      <c r="I627" s="290">
        <v>1</v>
      </c>
      <c r="J627" s="48" t="s">
        <v>213</v>
      </c>
      <c r="K627" s="50" t="s">
        <v>2019</v>
      </c>
      <c r="L627" s="53" t="str">
        <f t="shared" si="99"/>
        <v>1kilos</v>
      </c>
      <c r="M627" s="54">
        <f t="shared" si="100"/>
        <v>7</v>
      </c>
      <c r="N627" s="55" t="str">
        <f t="shared" si="101"/>
        <v>7kilos</v>
      </c>
      <c r="O627" s="56">
        <f t="shared" si="102"/>
        <v>2240</v>
      </c>
      <c r="P627" s="44">
        <f t="shared" si="120"/>
        <v>320</v>
      </c>
      <c r="Q627" s="66">
        <f t="shared" si="121"/>
        <v>0</v>
      </c>
      <c r="R627" s="32" t="b">
        <f t="shared" si="122"/>
        <v>1</v>
      </c>
      <c r="S627" s="32"/>
      <c r="T627" s="32"/>
      <c r="U627" s="32"/>
      <c r="V627" s="32"/>
      <c r="W627" s="32"/>
      <c r="X627" s="32"/>
      <c r="Y627" s="32"/>
      <c r="Z627" s="32"/>
    </row>
    <row r="628" spans="1:26" ht="15" customHeight="1" x14ac:dyDescent="0.3">
      <c r="A628" s="45">
        <v>470</v>
      </c>
      <c r="B628" s="46" t="s">
        <v>1243</v>
      </c>
      <c r="C628" s="194" t="s">
        <v>2025</v>
      </c>
      <c r="D628" s="46"/>
      <c r="E628" s="46"/>
      <c r="F628" s="61" t="s">
        <v>31</v>
      </c>
      <c r="G628" s="288">
        <v>320</v>
      </c>
      <c r="H628" s="289">
        <v>4</v>
      </c>
      <c r="I628" s="290">
        <v>1</v>
      </c>
      <c r="J628" s="48" t="s">
        <v>213</v>
      </c>
      <c r="K628" s="50"/>
      <c r="L628" s="53" t="str">
        <f t="shared" si="99"/>
        <v>1kilos</v>
      </c>
      <c r="M628" s="54">
        <f t="shared" si="100"/>
        <v>4</v>
      </c>
      <c r="N628" s="55" t="str">
        <f t="shared" si="101"/>
        <v>4kilos</v>
      </c>
      <c r="O628" s="56">
        <f t="shared" si="102"/>
        <v>1280</v>
      </c>
      <c r="P628" s="44">
        <f t="shared" si="120"/>
        <v>320</v>
      </c>
      <c r="Q628" s="66"/>
      <c r="R628" s="32" t="b">
        <f t="shared" si="122"/>
        <v>1</v>
      </c>
      <c r="S628" s="32"/>
      <c r="T628" s="32"/>
      <c r="U628" s="32"/>
      <c r="V628" s="32"/>
      <c r="W628" s="32"/>
      <c r="X628" s="32"/>
      <c r="Y628" s="32"/>
      <c r="Z628" s="32"/>
    </row>
    <row r="629" spans="1:26" ht="15" customHeight="1" x14ac:dyDescent="0.3">
      <c r="A629" s="45">
        <v>755</v>
      </c>
      <c r="B629" s="46" t="s">
        <v>1243</v>
      </c>
      <c r="C629" s="194" t="s">
        <v>2026</v>
      </c>
      <c r="D629" s="46"/>
      <c r="E629" s="46"/>
      <c r="F629" s="61" t="s">
        <v>31</v>
      </c>
      <c r="G629" s="288">
        <v>250</v>
      </c>
      <c r="H629" s="289">
        <v>2</v>
      </c>
      <c r="I629" s="290">
        <v>1000</v>
      </c>
      <c r="J629" s="48" t="s">
        <v>39</v>
      </c>
      <c r="K629" s="50"/>
      <c r="L629" s="53" t="str">
        <f t="shared" si="99"/>
        <v>1000grams</v>
      </c>
      <c r="M629" s="54">
        <f t="shared" si="100"/>
        <v>2000</v>
      </c>
      <c r="N629" s="55" t="str">
        <f t="shared" si="101"/>
        <v>2000grams</v>
      </c>
      <c r="O629" s="56">
        <f t="shared" si="102"/>
        <v>500</v>
      </c>
      <c r="P629" s="44">
        <f t="shared" si="120"/>
        <v>250</v>
      </c>
      <c r="Q629" s="66"/>
      <c r="R629" s="32"/>
      <c r="S629" s="32"/>
      <c r="T629" s="32"/>
      <c r="U629" s="32"/>
      <c r="V629" s="32"/>
      <c r="W629" s="32"/>
      <c r="X629" s="32"/>
      <c r="Y629" s="32"/>
      <c r="Z629" s="32"/>
    </row>
    <row r="630" spans="1:26" ht="15" customHeight="1" x14ac:dyDescent="0.3">
      <c r="A630" s="45">
        <v>166</v>
      </c>
      <c r="B630" s="46" t="s">
        <v>177</v>
      </c>
      <c r="C630" s="194" t="s">
        <v>2024</v>
      </c>
      <c r="D630" s="46"/>
      <c r="E630" s="46" t="s">
        <v>959</v>
      </c>
      <c r="F630" s="61" t="s">
        <v>31</v>
      </c>
      <c r="G630" s="288">
        <v>27.2</v>
      </c>
      <c r="H630" s="289">
        <v>3</v>
      </c>
      <c r="I630" s="290">
        <v>113</v>
      </c>
      <c r="J630" s="48" t="s">
        <v>39</v>
      </c>
      <c r="K630" s="50"/>
      <c r="L630" s="53" t="str">
        <f t="shared" si="99"/>
        <v>113grams</v>
      </c>
      <c r="M630" s="54">
        <f t="shared" si="100"/>
        <v>339</v>
      </c>
      <c r="N630" s="55" t="str">
        <f t="shared" si="101"/>
        <v>339grams</v>
      </c>
      <c r="O630" s="56">
        <f t="shared" si="102"/>
        <v>81.599999999999994</v>
      </c>
      <c r="P630" s="44">
        <f t="shared" si="120"/>
        <v>27.2</v>
      </c>
      <c r="Q630" s="66"/>
      <c r="R630" s="32"/>
      <c r="S630" s="32"/>
      <c r="T630" s="32"/>
      <c r="U630" s="32"/>
      <c r="V630" s="32"/>
      <c r="W630" s="32"/>
      <c r="X630" s="32"/>
      <c r="Y630" s="32"/>
      <c r="Z630" s="32"/>
    </row>
    <row r="631" spans="1:26" ht="15" customHeight="1" x14ac:dyDescent="0.3">
      <c r="A631" s="45">
        <v>274</v>
      </c>
      <c r="B631" s="46" t="s">
        <v>177</v>
      </c>
      <c r="C631" s="194" t="s">
        <v>2025</v>
      </c>
      <c r="D631" s="46"/>
      <c r="E631" s="46" t="s">
        <v>959</v>
      </c>
      <c r="F631" s="61" t="s">
        <v>31</v>
      </c>
      <c r="G631" s="288">
        <v>47.2</v>
      </c>
      <c r="H631" s="289">
        <v>6</v>
      </c>
      <c r="I631" s="290">
        <v>225</v>
      </c>
      <c r="J631" s="48" t="s">
        <v>519</v>
      </c>
      <c r="K631" s="50"/>
      <c r="L631" s="53" t="str">
        <f t="shared" si="99"/>
        <v>225drained weight grams</v>
      </c>
      <c r="M631" s="54">
        <f t="shared" si="100"/>
        <v>1350</v>
      </c>
      <c r="N631" s="55" t="str">
        <f t="shared" si="101"/>
        <v>1350drained weight grams</v>
      </c>
      <c r="O631" s="56">
        <f t="shared" si="102"/>
        <v>283.20000000000005</v>
      </c>
      <c r="P631" s="44">
        <f t="shared" si="120"/>
        <v>47.20000000000001</v>
      </c>
      <c r="Q631" s="66"/>
      <c r="R631" s="32"/>
      <c r="S631" s="32"/>
      <c r="T631" s="32"/>
      <c r="U631" s="32"/>
      <c r="V631" s="32"/>
      <c r="W631" s="32"/>
      <c r="X631" s="32"/>
      <c r="Y631" s="32"/>
      <c r="Z631" s="32"/>
    </row>
    <row r="632" spans="1:26" ht="15" customHeight="1" x14ac:dyDescent="0.3">
      <c r="A632" s="45">
        <v>696</v>
      </c>
      <c r="B632" s="46" t="s">
        <v>177</v>
      </c>
      <c r="C632" s="194" t="s">
        <v>2026</v>
      </c>
      <c r="D632" s="46"/>
      <c r="E632" s="46" t="s">
        <v>959</v>
      </c>
      <c r="F632" s="61" t="s">
        <v>31</v>
      </c>
      <c r="G632" s="288">
        <v>27.2</v>
      </c>
      <c r="H632" s="289">
        <v>2</v>
      </c>
      <c r="I632" s="290">
        <v>113</v>
      </c>
      <c r="J632" s="48" t="s">
        <v>519</v>
      </c>
      <c r="K632" s="50"/>
      <c r="L632" s="53" t="str">
        <f t="shared" si="99"/>
        <v>113drained weight grams</v>
      </c>
      <c r="M632" s="54">
        <f t="shared" si="100"/>
        <v>226</v>
      </c>
      <c r="N632" s="55" t="str">
        <f t="shared" si="101"/>
        <v>226drained weight grams</v>
      </c>
      <c r="O632" s="56">
        <f t="shared" si="102"/>
        <v>54.4</v>
      </c>
      <c r="P632" s="44">
        <f t="shared" si="120"/>
        <v>27.2</v>
      </c>
      <c r="Q632" s="66"/>
      <c r="R632" s="32"/>
      <c r="S632" s="32"/>
      <c r="T632" s="32"/>
      <c r="U632" s="32"/>
      <c r="V632" s="32"/>
      <c r="W632" s="32"/>
      <c r="X632" s="32"/>
      <c r="Y632" s="32"/>
      <c r="Z632" s="32"/>
    </row>
    <row r="633" spans="1:26" ht="15" customHeight="1" x14ac:dyDescent="0.3">
      <c r="A633" s="45"/>
      <c r="B633" s="46" t="s">
        <v>177</v>
      </c>
      <c r="C633" s="194" t="s">
        <v>2023</v>
      </c>
      <c r="D633" s="46"/>
      <c r="E633" s="46" t="s">
        <v>1244</v>
      </c>
      <c r="F633" s="61" t="s">
        <v>31</v>
      </c>
      <c r="G633" s="288">
        <v>48</v>
      </c>
      <c r="H633" s="289">
        <v>17</v>
      </c>
      <c r="I633" s="290">
        <v>113</v>
      </c>
      <c r="J633" s="48" t="s">
        <v>519</v>
      </c>
      <c r="K633" s="50"/>
      <c r="L633" s="53" t="str">
        <f t="shared" si="99"/>
        <v>113drained weight grams</v>
      </c>
      <c r="M633" s="54">
        <f t="shared" si="100"/>
        <v>1921</v>
      </c>
      <c r="N633" s="55" t="str">
        <f t="shared" si="101"/>
        <v>1921drained weight grams</v>
      </c>
      <c r="O633" s="56">
        <f t="shared" si="102"/>
        <v>816</v>
      </c>
      <c r="P633" s="12"/>
      <c r="Q633" s="12"/>
      <c r="R633" s="12"/>
      <c r="S633" s="151"/>
      <c r="T633" s="12"/>
      <c r="U633" s="12"/>
      <c r="V633" s="12"/>
      <c r="W633" s="12"/>
      <c r="X633" s="12"/>
      <c r="Y633" s="12"/>
      <c r="Z633" s="12"/>
    </row>
    <row r="634" spans="1:26" ht="15" customHeight="1" x14ac:dyDescent="0.3">
      <c r="A634" s="45"/>
      <c r="B634" s="46" t="s">
        <v>177</v>
      </c>
      <c r="C634" s="194" t="s">
        <v>2022</v>
      </c>
      <c r="D634" s="46"/>
      <c r="E634" s="46" t="s">
        <v>959</v>
      </c>
      <c r="F634" s="61" t="s">
        <v>31</v>
      </c>
      <c r="G634" s="288">
        <v>47.2</v>
      </c>
      <c r="H634" s="289">
        <v>2</v>
      </c>
      <c r="I634" s="290">
        <v>450</v>
      </c>
      <c r="J634" s="48" t="s">
        <v>39</v>
      </c>
      <c r="K634" s="50"/>
      <c r="L634" s="53" t="str">
        <f t="shared" si="99"/>
        <v>450grams</v>
      </c>
      <c r="M634" s="54">
        <f t="shared" si="100"/>
        <v>900</v>
      </c>
      <c r="N634" s="55" t="str">
        <f t="shared" si="101"/>
        <v>900grams</v>
      </c>
      <c r="O634" s="56">
        <f t="shared" si="102"/>
        <v>94.4</v>
      </c>
      <c r="P634" s="12"/>
      <c r="Q634" s="12"/>
      <c r="R634" s="12"/>
      <c r="S634" s="151"/>
      <c r="T634" s="12"/>
      <c r="U634" s="12"/>
      <c r="V634" s="12"/>
      <c r="W634" s="12"/>
      <c r="X634" s="12"/>
      <c r="Y634" s="12"/>
      <c r="Z634" s="12"/>
    </row>
    <row r="635" spans="1:26" ht="15" customHeight="1" x14ac:dyDescent="0.3">
      <c r="A635" s="45"/>
      <c r="B635" s="219" t="s">
        <v>177</v>
      </c>
      <c r="C635" s="194" t="s">
        <v>2021</v>
      </c>
      <c r="D635" s="46"/>
      <c r="E635" s="219" t="s">
        <v>865</v>
      </c>
      <c r="F635" s="61" t="s">
        <v>31</v>
      </c>
      <c r="G635" s="291">
        <v>28.5</v>
      </c>
      <c r="H635" s="292">
        <v>3</v>
      </c>
      <c r="I635" s="293">
        <v>225</v>
      </c>
      <c r="J635" s="414" t="s">
        <v>39</v>
      </c>
      <c r="K635" s="50"/>
      <c r="L635" s="53" t="str">
        <f t="shared" si="99"/>
        <v>225grams</v>
      </c>
      <c r="M635" s="54">
        <f t="shared" si="100"/>
        <v>675</v>
      </c>
      <c r="N635" s="55" t="str">
        <f t="shared" si="101"/>
        <v>675grams</v>
      </c>
      <c r="O635" s="56">
        <f t="shared" si="102"/>
        <v>85.5</v>
      </c>
      <c r="P635" s="12"/>
      <c r="Q635" s="12"/>
      <c r="R635" s="12"/>
      <c r="S635" s="151"/>
      <c r="T635" s="12"/>
      <c r="U635" s="12"/>
      <c r="V635" s="12"/>
      <c r="W635" s="12"/>
      <c r="X635" s="12"/>
      <c r="Y635" s="12"/>
      <c r="Z635" s="12"/>
    </row>
    <row r="636" spans="1:26" ht="15" customHeight="1" x14ac:dyDescent="0.3">
      <c r="A636" s="45"/>
      <c r="B636" s="219" t="s">
        <v>177</v>
      </c>
      <c r="C636" s="194" t="s">
        <v>2021</v>
      </c>
      <c r="D636" s="46"/>
      <c r="E636" s="219" t="s">
        <v>959</v>
      </c>
      <c r="F636" s="61" t="s">
        <v>31</v>
      </c>
      <c r="G636" s="291">
        <v>47.2</v>
      </c>
      <c r="H636" s="292">
        <v>2</v>
      </c>
      <c r="I636" s="293">
        <v>450</v>
      </c>
      <c r="J636" s="414" t="s">
        <v>39</v>
      </c>
      <c r="K636" s="50"/>
      <c r="L636" s="53" t="str">
        <f t="shared" si="99"/>
        <v>450grams</v>
      </c>
      <c r="M636" s="54">
        <f t="shared" si="100"/>
        <v>900</v>
      </c>
      <c r="N636" s="55" t="str">
        <f t="shared" si="101"/>
        <v>900grams</v>
      </c>
      <c r="O636" s="56">
        <f t="shared" si="102"/>
        <v>94.4</v>
      </c>
      <c r="P636" s="12"/>
      <c r="Q636" s="12"/>
      <c r="R636" s="12"/>
      <c r="S636" s="151"/>
      <c r="T636" s="12"/>
      <c r="U636" s="12"/>
      <c r="V636" s="12"/>
      <c r="W636" s="12"/>
      <c r="X636" s="12"/>
      <c r="Y636" s="12"/>
      <c r="Z636" s="12"/>
    </row>
    <row r="637" spans="1:26" ht="15" customHeight="1" x14ac:dyDescent="0.3">
      <c r="A637" s="45">
        <v>488</v>
      </c>
      <c r="B637" s="46" t="s">
        <v>452</v>
      </c>
      <c r="C637" s="194" t="s">
        <v>2025</v>
      </c>
      <c r="D637" s="46"/>
      <c r="E637" s="46"/>
      <c r="F637" s="61" t="s">
        <v>31</v>
      </c>
      <c r="G637" s="288">
        <v>140</v>
      </c>
      <c r="H637" s="289">
        <v>1</v>
      </c>
      <c r="I637" s="290">
        <v>1</v>
      </c>
      <c r="J637" s="48" t="s">
        <v>213</v>
      </c>
      <c r="K637" s="50"/>
      <c r="L637" s="53" t="str">
        <f t="shared" si="99"/>
        <v>1kilos</v>
      </c>
      <c r="M637" s="54">
        <f t="shared" si="100"/>
        <v>1</v>
      </c>
      <c r="N637" s="55" t="str">
        <f t="shared" si="101"/>
        <v>1kilos</v>
      </c>
      <c r="O637" s="56">
        <f t="shared" si="102"/>
        <v>140</v>
      </c>
      <c r="P637" s="44">
        <f t="shared" ref="P637:P639" si="123">O637/H637</f>
        <v>140</v>
      </c>
      <c r="Q637" s="66"/>
      <c r="R637" s="32"/>
      <c r="S637" s="32"/>
      <c r="T637" s="32"/>
      <c r="U637" s="32"/>
      <c r="V637" s="32"/>
      <c r="W637" s="32"/>
      <c r="X637" s="32"/>
      <c r="Y637" s="32"/>
      <c r="Z637" s="32"/>
    </row>
    <row r="638" spans="1:26" ht="15" customHeight="1" x14ac:dyDescent="0.3">
      <c r="A638" s="45">
        <v>770</v>
      </c>
      <c r="B638" s="46" t="s">
        <v>452</v>
      </c>
      <c r="C638" s="194" t="s">
        <v>2026</v>
      </c>
      <c r="D638" s="46"/>
      <c r="E638" s="46"/>
      <c r="F638" s="61" t="s">
        <v>31</v>
      </c>
      <c r="G638" s="288">
        <v>170</v>
      </c>
      <c r="H638" s="289">
        <v>1</v>
      </c>
      <c r="I638" s="290">
        <v>1000</v>
      </c>
      <c r="J638" s="48" t="s">
        <v>39</v>
      </c>
      <c r="K638" s="50"/>
      <c r="L638" s="53" t="str">
        <f t="shared" si="99"/>
        <v>1000grams</v>
      </c>
      <c r="M638" s="54">
        <f t="shared" si="100"/>
        <v>1000</v>
      </c>
      <c r="N638" s="55" t="str">
        <f t="shared" si="101"/>
        <v>1000grams</v>
      </c>
      <c r="O638" s="56">
        <f t="shared" si="102"/>
        <v>170</v>
      </c>
      <c r="P638" s="44">
        <f t="shared" si="123"/>
        <v>170</v>
      </c>
      <c r="Q638" s="66"/>
      <c r="R638" s="32" t="b">
        <f>P638=G638</f>
        <v>1</v>
      </c>
      <c r="S638" s="95" t="s">
        <v>2025</v>
      </c>
      <c r="T638" s="32"/>
      <c r="U638" s="32"/>
      <c r="V638" s="32"/>
      <c r="W638" s="32"/>
      <c r="X638" s="32"/>
      <c r="Y638" s="32"/>
      <c r="Z638" s="32"/>
    </row>
    <row r="639" spans="1:26" ht="15" customHeight="1" x14ac:dyDescent="0.3">
      <c r="A639" s="45">
        <v>311</v>
      </c>
      <c r="B639" s="46" t="s">
        <v>1245</v>
      </c>
      <c r="C639" s="194" t="s">
        <v>2025</v>
      </c>
      <c r="D639" s="46"/>
      <c r="E639" s="46" t="s">
        <v>854</v>
      </c>
      <c r="F639" s="61" t="s">
        <v>31</v>
      </c>
      <c r="G639" s="288">
        <v>6</v>
      </c>
      <c r="H639" s="289">
        <v>5</v>
      </c>
      <c r="I639" s="290">
        <v>1</v>
      </c>
      <c r="J639" s="48" t="s">
        <v>92</v>
      </c>
      <c r="K639" s="50"/>
      <c r="L639" s="53" t="str">
        <f t="shared" si="99"/>
        <v>1pieces</v>
      </c>
      <c r="M639" s="54">
        <f t="shared" si="100"/>
        <v>5</v>
      </c>
      <c r="N639" s="55" t="str">
        <f t="shared" si="101"/>
        <v>5pieces</v>
      </c>
      <c r="O639" s="56">
        <f t="shared" si="102"/>
        <v>30</v>
      </c>
      <c r="P639" s="44">
        <f t="shared" si="123"/>
        <v>6</v>
      </c>
      <c r="Q639" s="66"/>
      <c r="R639" s="32"/>
      <c r="S639" s="32"/>
      <c r="T639" s="32"/>
      <c r="U639" s="32"/>
      <c r="V639" s="32"/>
      <c r="W639" s="32"/>
      <c r="X639" s="32"/>
      <c r="Y639" s="32"/>
      <c r="Z639" s="32"/>
    </row>
    <row r="640" spans="1:26" ht="15" customHeight="1" x14ac:dyDescent="0.3">
      <c r="A640" s="45"/>
      <c r="B640" s="46" t="s">
        <v>257</v>
      </c>
      <c r="C640" s="194" t="s">
        <v>2022</v>
      </c>
      <c r="D640" s="46"/>
      <c r="E640" s="46" t="s">
        <v>854</v>
      </c>
      <c r="F640" s="61" t="s">
        <v>31</v>
      </c>
      <c r="G640" s="288">
        <v>780</v>
      </c>
      <c r="H640" s="289">
        <v>1</v>
      </c>
      <c r="I640" s="290">
        <v>1000</v>
      </c>
      <c r="J640" s="48" t="s">
        <v>213</v>
      </c>
      <c r="K640" s="50"/>
      <c r="L640" s="53" t="str">
        <f t="shared" si="99"/>
        <v>1000kilos</v>
      </c>
      <c r="M640" s="54">
        <f t="shared" si="100"/>
        <v>1000</v>
      </c>
      <c r="N640" s="55" t="str">
        <f t="shared" si="101"/>
        <v>1000kilos</v>
      </c>
      <c r="O640" s="56">
        <f t="shared" si="102"/>
        <v>780</v>
      </c>
      <c r="P640" s="12"/>
      <c r="Q640" s="12"/>
      <c r="R640" s="12"/>
      <c r="S640" s="151"/>
      <c r="T640" s="12"/>
      <c r="U640" s="12"/>
      <c r="V640" s="12"/>
      <c r="W640" s="12"/>
      <c r="X640" s="12"/>
      <c r="Y640" s="12"/>
      <c r="Z640" s="12"/>
    </row>
    <row r="641" spans="1:26" ht="15" customHeight="1" x14ac:dyDescent="0.3">
      <c r="A641" s="45"/>
      <c r="B641" s="219" t="s">
        <v>1246</v>
      </c>
      <c r="C641" s="194" t="s">
        <v>2021</v>
      </c>
      <c r="D641" s="46"/>
      <c r="E641" s="219" t="s">
        <v>1247</v>
      </c>
      <c r="F641" s="61" t="s">
        <v>31</v>
      </c>
      <c r="G641" s="291">
        <v>15.55</v>
      </c>
      <c r="H641" s="292">
        <v>33</v>
      </c>
      <c r="I641" s="293">
        <v>50</v>
      </c>
      <c r="J641" s="414" t="s">
        <v>39</v>
      </c>
      <c r="K641" s="50"/>
      <c r="L641" s="53" t="str">
        <f t="shared" si="99"/>
        <v>50grams</v>
      </c>
      <c r="M641" s="54">
        <f t="shared" si="100"/>
        <v>1650</v>
      </c>
      <c r="N641" s="55" t="str">
        <f t="shared" si="101"/>
        <v>1650grams</v>
      </c>
      <c r="O641" s="56">
        <f t="shared" si="102"/>
        <v>513.15</v>
      </c>
      <c r="P641" s="12"/>
      <c r="Q641" s="12"/>
      <c r="R641" s="12"/>
      <c r="S641" s="151"/>
      <c r="T641" s="12"/>
      <c r="U641" s="12"/>
      <c r="V641" s="12"/>
      <c r="W641" s="12"/>
      <c r="X641" s="12"/>
      <c r="Y641" s="12"/>
      <c r="Z641" s="12"/>
    </row>
    <row r="642" spans="1:26" ht="15" customHeight="1" x14ac:dyDescent="0.3">
      <c r="A642" s="45"/>
      <c r="B642" s="219" t="s">
        <v>617</v>
      </c>
      <c r="C642" s="194" t="s">
        <v>2021</v>
      </c>
      <c r="D642" s="46"/>
      <c r="E642" s="219" t="s">
        <v>199</v>
      </c>
      <c r="F642" s="61" t="s">
        <v>31</v>
      </c>
      <c r="G642" s="291">
        <v>372</v>
      </c>
      <c r="H642" s="292">
        <v>3</v>
      </c>
      <c r="I642" s="293">
        <v>1</v>
      </c>
      <c r="J642" s="414" t="s">
        <v>200</v>
      </c>
      <c r="K642" s="50"/>
      <c r="L642" s="53" t="str">
        <f t="shared" si="99"/>
        <v>1gal</v>
      </c>
      <c r="M642" s="54">
        <f t="shared" si="100"/>
        <v>3</v>
      </c>
      <c r="N642" s="55" t="str">
        <f t="shared" si="101"/>
        <v>3gal</v>
      </c>
      <c r="O642" s="56">
        <f t="shared" si="102"/>
        <v>1116</v>
      </c>
      <c r="P642" s="12"/>
      <c r="Q642" s="12"/>
      <c r="R642" s="12"/>
      <c r="S642" s="151"/>
      <c r="T642" s="12"/>
      <c r="U642" s="12"/>
      <c r="V642" s="12"/>
      <c r="W642" s="12"/>
      <c r="X642" s="12"/>
      <c r="Y642" s="12"/>
      <c r="Z642" s="12"/>
    </row>
    <row r="643" spans="1:26" ht="15" customHeight="1" x14ac:dyDescent="0.3">
      <c r="A643" s="45">
        <v>326</v>
      </c>
      <c r="B643" s="46" t="s">
        <v>1248</v>
      </c>
      <c r="C643" s="194" t="s">
        <v>2025</v>
      </c>
      <c r="D643" s="46"/>
      <c r="E643" s="46" t="s">
        <v>1249</v>
      </c>
      <c r="F643" s="61" t="s">
        <v>31</v>
      </c>
      <c r="G643" s="288">
        <v>135</v>
      </c>
      <c r="H643" s="289">
        <v>0</v>
      </c>
      <c r="I643" s="290">
        <v>750</v>
      </c>
      <c r="J643" s="48" t="s">
        <v>39</v>
      </c>
      <c r="K643" s="50"/>
      <c r="L643" s="53" t="str">
        <f t="shared" si="99"/>
        <v>750grams</v>
      </c>
      <c r="M643" s="54">
        <f t="shared" si="100"/>
        <v>0</v>
      </c>
      <c r="N643" s="55" t="str">
        <f t="shared" si="101"/>
        <v>0grams</v>
      </c>
      <c r="O643" s="56">
        <f t="shared" si="102"/>
        <v>0</v>
      </c>
      <c r="P643" s="44" t="e">
        <f t="shared" ref="P643:P645" si="124">O643/H643</f>
        <v>#DIV/0!</v>
      </c>
      <c r="Q643" s="66"/>
      <c r="R643" s="32" t="e">
        <f t="shared" ref="R643:R644" si="125">P643=G643</f>
        <v>#DIV/0!</v>
      </c>
      <c r="S643" s="32"/>
      <c r="T643" s="32"/>
      <c r="U643" s="32"/>
      <c r="V643" s="32"/>
      <c r="W643" s="32"/>
      <c r="X643" s="32"/>
      <c r="Y643" s="32"/>
      <c r="Z643" s="32"/>
    </row>
    <row r="644" spans="1:26" ht="15" customHeight="1" x14ac:dyDescent="0.3">
      <c r="A644" s="45">
        <v>75</v>
      </c>
      <c r="B644" s="46" t="s">
        <v>453</v>
      </c>
      <c r="C644" s="194" t="s">
        <v>29</v>
      </c>
      <c r="D644" s="46"/>
      <c r="E644" s="46" t="s">
        <v>216</v>
      </c>
      <c r="F644" s="61" t="s">
        <v>31</v>
      </c>
      <c r="G644" s="288">
        <v>45</v>
      </c>
      <c r="H644" s="289">
        <v>1</v>
      </c>
      <c r="I644" s="290">
        <v>1</v>
      </c>
      <c r="J644" s="48" t="s">
        <v>213</v>
      </c>
      <c r="K644" s="61" t="s">
        <v>2019</v>
      </c>
      <c r="L644" s="415" t="str">
        <f t="shared" si="99"/>
        <v>1kilos</v>
      </c>
      <c r="M644" s="416">
        <f t="shared" si="100"/>
        <v>1</v>
      </c>
      <c r="N644" s="417" t="str">
        <f t="shared" si="101"/>
        <v>1kilos</v>
      </c>
      <c r="O644" s="418">
        <f t="shared" si="102"/>
        <v>45</v>
      </c>
      <c r="P644" s="419">
        <f t="shared" si="124"/>
        <v>45</v>
      </c>
      <c r="Q644" s="66"/>
      <c r="R644" s="32" t="b">
        <f t="shared" si="125"/>
        <v>1</v>
      </c>
      <c r="S644" s="32"/>
      <c r="T644" s="32"/>
      <c r="U644" s="32"/>
      <c r="V644" s="32"/>
      <c r="W644" s="32"/>
      <c r="X644" s="32"/>
      <c r="Y644" s="32"/>
      <c r="Z644" s="32"/>
    </row>
    <row r="645" spans="1:26" ht="15" customHeight="1" x14ac:dyDescent="0.3">
      <c r="A645" s="45">
        <v>661</v>
      </c>
      <c r="B645" s="309" t="s">
        <v>453</v>
      </c>
      <c r="C645" s="194" t="s">
        <v>2026</v>
      </c>
      <c r="D645" s="46"/>
      <c r="E645" s="46" t="s">
        <v>216</v>
      </c>
      <c r="F645" s="61" t="s">
        <v>31</v>
      </c>
      <c r="G645" s="288">
        <v>150</v>
      </c>
      <c r="H645" s="289">
        <v>0</v>
      </c>
      <c r="I645" s="290">
        <v>1000</v>
      </c>
      <c r="J645" s="48" t="s">
        <v>39</v>
      </c>
      <c r="K645" s="50"/>
      <c r="L645" s="53" t="str">
        <f t="shared" si="99"/>
        <v>1000grams</v>
      </c>
      <c r="M645" s="54">
        <f t="shared" si="100"/>
        <v>0</v>
      </c>
      <c r="N645" s="55" t="str">
        <f t="shared" si="101"/>
        <v>0grams</v>
      </c>
      <c r="O645" s="56">
        <f t="shared" si="102"/>
        <v>0</v>
      </c>
      <c r="P645" s="44" t="e">
        <f t="shared" si="124"/>
        <v>#DIV/0!</v>
      </c>
      <c r="Q645" s="66"/>
      <c r="R645" s="32"/>
      <c r="S645" s="32"/>
      <c r="T645" s="32"/>
      <c r="U645" s="32"/>
      <c r="V645" s="32"/>
      <c r="W645" s="32"/>
      <c r="X645" s="32"/>
      <c r="Y645" s="32"/>
      <c r="Z645" s="32"/>
    </row>
    <row r="646" spans="1:26" ht="15" customHeight="1" x14ac:dyDescent="0.3">
      <c r="A646" s="45"/>
      <c r="B646" s="309" t="s">
        <v>453</v>
      </c>
      <c r="C646" s="194" t="s">
        <v>2023</v>
      </c>
      <c r="D646" s="46"/>
      <c r="E646" s="46" t="s">
        <v>216</v>
      </c>
      <c r="F646" s="61" t="s">
        <v>31</v>
      </c>
      <c r="G646" s="288">
        <v>150</v>
      </c>
      <c r="H646" s="289">
        <v>2</v>
      </c>
      <c r="I646" s="290">
        <v>1000</v>
      </c>
      <c r="J646" s="48" t="s">
        <v>39</v>
      </c>
      <c r="K646" s="50"/>
      <c r="L646" s="53" t="str">
        <f t="shared" si="99"/>
        <v>1000grams</v>
      </c>
      <c r="M646" s="54">
        <f t="shared" si="100"/>
        <v>2000</v>
      </c>
      <c r="N646" s="55" t="str">
        <f t="shared" si="101"/>
        <v>2000grams</v>
      </c>
      <c r="O646" s="56">
        <f t="shared" si="102"/>
        <v>300</v>
      </c>
      <c r="P646" s="44"/>
      <c r="Q646" s="12"/>
      <c r="R646" s="12"/>
      <c r="S646" s="151"/>
      <c r="T646" s="12"/>
      <c r="U646" s="12"/>
      <c r="V646" s="12"/>
      <c r="W646" s="12"/>
      <c r="X646" s="12"/>
      <c r="Y646" s="12"/>
      <c r="Z646" s="12"/>
    </row>
    <row r="647" spans="1:26" ht="15" customHeight="1" x14ac:dyDescent="0.3">
      <c r="A647" s="45"/>
      <c r="B647" s="309" t="s">
        <v>453</v>
      </c>
      <c r="C647" s="194" t="s">
        <v>2022</v>
      </c>
      <c r="D647" s="46"/>
      <c r="E647" s="46" t="s">
        <v>912</v>
      </c>
      <c r="F647" s="61" t="s">
        <v>31</v>
      </c>
      <c r="G647" s="288">
        <v>150</v>
      </c>
      <c r="H647" s="289">
        <v>0</v>
      </c>
      <c r="I647" s="290">
        <v>1000</v>
      </c>
      <c r="J647" s="48" t="s">
        <v>213</v>
      </c>
      <c r="K647" s="50"/>
      <c r="L647" s="53" t="str">
        <f t="shared" si="99"/>
        <v>1000kilos</v>
      </c>
      <c r="M647" s="54">
        <f t="shared" si="100"/>
        <v>0</v>
      </c>
      <c r="N647" s="55" t="str">
        <f t="shared" si="101"/>
        <v>0kilos</v>
      </c>
      <c r="O647" s="56">
        <f t="shared" si="102"/>
        <v>0</v>
      </c>
      <c r="P647" s="12"/>
      <c r="Q647" s="12"/>
      <c r="R647" s="12"/>
      <c r="S647" s="151"/>
      <c r="T647" s="12"/>
      <c r="U647" s="12"/>
      <c r="V647" s="12"/>
      <c r="W647" s="12"/>
      <c r="X647" s="12"/>
      <c r="Y647" s="12"/>
      <c r="Z647" s="12"/>
    </row>
    <row r="648" spans="1:26" ht="15" customHeight="1" x14ac:dyDescent="0.3">
      <c r="A648" s="45">
        <v>266</v>
      </c>
      <c r="B648" s="46" t="s">
        <v>618</v>
      </c>
      <c r="C648" s="194" t="s">
        <v>2025</v>
      </c>
      <c r="D648" s="46"/>
      <c r="E648" s="46" t="s">
        <v>1250</v>
      </c>
      <c r="F648" s="61" t="s">
        <v>31</v>
      </c>
      <c r="G648" s="288">
        <v>28.2</v>
      </c>
      <c r="H648" s="289">
        <v>1</v>
      </c>
      <c r="I648" s="290">
        <v>150</v>
      </c>
      <c r="J648" s="48" t="s">
        <v>39</v>
      </c>
      <c r="K648" s="50"/>
      <c r="L648" s="53" t="str">
        <f t="shared" si="99"/>
        <v>150grams</v>
      </c>
      <c r="M648" s="54">
        <f t="shared" si="100"/>
        <v>150</v>
      </c>
      <c r="N648" s="55" t="str">
        <f t="shared" si="101"/>
        <v>150grams</v>
      </c>
      <c r="O648" s="56">
        <f t="shared" si="102"/>
        <v>28.2</v>
      </c>
      <c r="P648" s="44">
        <f>O648/H648</f>
        <v>28.2</v>
      </c>
      <c r="Q648" s="66"/>
      <c r="R648" s="32" t="b">
        <f>P648=G648</f>
        <v>1</v>
      </c>
      <c r="S648" s="32"/>
      <c r="T648" s="32"/>
      <c r="U648" s="32"/>
      <c r="V648" s="32"/>
      <c r="W648" s="32"/>
      <c r="X648" s="32"/>
      <c r="Y648" s="32"/>
      <c r="Z648" s="32"/>
    </row>
    <row r="649" spans="1:26" ht="15" customHeight="1" x14ac:dyDescent="0.3">
      <c r="A649" s="45"/>
      <c r="B649" s="46" t="s">
        <v>618</v>
      </c>
      <c r="C649" s="194" t="s">
        <v>2023</v>
      </c>
      <c r="D649" s="46"/>
      <c r="E649" s="46" t="s">
        <v>165</v>
      </c>
      <c r="F649" s="61" t="s">
        <v>31</v>
      </c>
      <c r="G649" s="288">
        <v>41.6</v>
      </c>
      <c r="H649" s="289">
        <v>10</v>
      </c>
      <c r="I649" s="290">
        <v>250</v>
      </c>
      <c r="J649" s="437" t="s">
        <v>39</v>
      </c>
      <c r="K649" s="50"/>
      <c r="L649" s="53" t="str">
        <f t="shared" si="99"/>
        <v>250grams</v>
      </c>
      <c r="M649" s="54">
        <f t="shared" si="100"/>
        <v>2500</v>
      </c>
      <c r="N649" s="55" t="str">
        <f t="shared" si="101"/>
        <v>2500grams</v>
      </c>
      <c r="O649" s="56">
        <f t="shared" si="102"/>
        <v>416</v>
      </c>
      <c r="P649" s="12"/>
      <c r="Q649" s="12"/>
      <c r="R649" s="12"/>
      <c r="S649" s="151"/>
      <c r="T649" s="12"/>
      <c r="U649" s="12"/>
      <c r="V649" s="12"/>
      <c r="W649" s="12"/>
      <c r="X649" s="12"/>
      <c r="Y649" s="12"/>
      <c r="Z649" s="12"/>
    </row>
    <row r="650" spans="1:26" ht="15" customHeight="1" x14ac:dyDescent="0.3">
      <c r="A650" s="45"/>
      <c r="B650" s="46" t="s">
        <v>66</v>
      </c>
      <c r="C650" s="194" t="s">
        <v>2020</v>
      </c>
      <c r="D650" s="46"/>
      <c r="E650" s="46" t="s">
        <v>1251</v>
      </c>
      <c r="F650" s="61" t="s">
        <v>31</v>
      </c>
      <c r="G650" s="288">
        <v>57</v>
      </c>
      <c r="H650" s="289">
        <v>4</v>
      </c>
      <c r="I650" s="290">
        <v>500</v>
      </c>
      <c r="J650" s="48" t="s">
        <v>39</v>
      </c>
      <c r="K650" s="50"/>
      <c r="L650" s="53" t="str">
        <f t="shared" si="99"/>
        <v>500grams</v>
      </c>
      <c r="M650" s="54">
        <f t="shared" si="100"/>
        <v>2000</v>
      </c>
      <c r="N650" s="55" t="str">
        <f t="shared" si="101"/>
        <v>2000grams</v>
      </c>
      <c r="O650" s="56">
        <f t="shared" si="102"/>
        <v>228</v>
      </c>
      <c r="P650" s="12"/>
      <c r="Q650" s="12"/>
      <c r="R650" s="12"/>
      <c r="S650" s="151"/>
      <c r="T650" s="12"/>
      <c r="U650" s="12"/>
      <c r="V650" s="12"/>
      <c r="W650" s="12"/>
      <c r="X650" s="12"/>
      <c r="Y650" s="12"/>
      <c r="Z650" s="12"/>
    </row>
    <row r="651" spans="1:26" ht="15" customHeight="1" x14ac:dyDescent="0.3">
      <c r="A651" s="45">
        <v>10</v>
      </c>
      <c r="B651" s="46" t="s">
        <v>66</v>
      </c>
      <c r="C651" s="194" t="s">
        <v>29</v>
      </c>
      <c r="D651" s="46"/>
      <c r="E651" s="46" t="s">
        <v>1251</v>
      </c>
      <c r="F651" s="61" t="s">
        <v>31</v>
      </c>
      <c r="G651" s="288">
        <v>62.5</v>
      </c>
      <c r="H651" s="289">
        <v>1</v>
      </c>
      <c r="I651" s="290">
        <v>500</v>
      </c>
      <c r="J651" s="48" t="s">
        <v>39</v>
      </c>
      <c r="K651" s="61" t="s">
        <v>2019</v>
      </c>
      <c r="L651" s="415" t="str">
        <f t="shared" si="99"/>
        <v>500grams</v>
      </c>
      <c r="M651" s="416">
        <f t="shared" si="100"/>
        <v>500</v>
      </c>
      <c r="N651" s="417" t="str">
        <f t="shared" si="101"/>
        <v>500grams</v>
      </c>
      <c r="O651" s="418">
        <f t="shared" si="102"/>
        <v>62.5</v>
      </c>
      <c r="P651" s="419">
        <f>O651/H651</f>
        <v>62.5</v>
      </c>
      <c r="Q651" s="66"/>
      <c r="R651" s="32" t="b">
        <f>P651=G651</f>
        <v>1</v>
      </c>
      <c r="S651" s="32"/>
      <c r="T651" s="32"/>
      <c r="U651" s="32"/>
      <c r="V651" s="32"/>
      <c r="W651" s="32"/>
      <c r="X651" s="32"/>
      <c r="Y651" s="32"/>
      <c r="Z651" s="32"/>
    </row>
    <row r="652" spans="1:26" ht="15" customHeight="1" x14ac:dyDescent="0.3">
      <c r="A652" s="45"/>
      <c r="B652" s="46" t="s">
        <v>66</v>
      </c>
      <c r="C652" s="194" t="s">
        <v>2023</v>
      </c>
      <c r="D652" s="46"/>
      <c r="E652" s="46" t="s">
        <v>1252</v>
      </c>
      <c r="F652" s="61" t="s">
        <v>31</v>
      </c>
      <c r="G652" s="288">
        <v>50</v>
      </c>
      <c r="H652" s="289">
        <v>15</v>
      </c>
      <c r="I652" s="290">
        <v>500</v>
      </c>
      <c r="J652" s="48" t="s">
        <v>39</v>
      </c>
      <c r="K652" s="50"/>
      <c r="L652" s="53" t="str">
        <f t="shared" si="99"/>
        <v>500grams</v>
      </c>
      <c r="M652" s="54">
        <f t="shared" si="100"/>
        <v>7500</v>
      </c>
      <c r="N652" s="55" t="str">
        <f t="shared" si="101"/>
        <v>7500grams</v>
      </c>
      <c r="O652" s="56">
        <f t="shared" si="102"/>
        <v>750</v>
      </c>
      <c r="P652" s="12"/>
      <c r="Q652" s="12"/>
      <c r="R652" s="12"/>
      <c r="S652" s="151"/>
      <c r="T652" s="12"/>
      <c r="U652" s="12"/>
      <c r="V652" s="12"/>
      <c r="W652" s="12"/>
      <c r="X652" s="12"/>
      <c r="Y652" s="12"/>
      <c r="Z652" s="12"/>
    </row>
    <row r="653" spans="1:26" ht="15" customHeight="1" x14ac:dyDescent="0.3">
      <c r="A653" s="45"/>
      <c r="B653" s="46" t="s">
        <v>66</v>
      </c>
      <c r="C653" s="194" t="s">
        <v>2022</v>
      </c>
      <c r="D653" s="46"/>
      <c r="E653" s="46" t="s">
        <v>1252</v>
      </c>
      <c r="F653" s="61" t="s">
        <v>31</v>
      </c>
      <c r="G653" s="288">
        <v>55</v>
      </c>
      <c r="H653" s="289">
        <v>2</v>
      </c>
      <c r="I653" s="290">
        <v>500</v>
      </c>
      <c r="J653" s="48" t="s">
        <v>39</v>
      </c>
      <c r="K653" s="50"/>
      <c r="L653" s="53" t="str">
        <f t="shared" si="99"/>
        <v>500grams</v>
      </c>
      <c r="M653" s="54">
        <f t="shared" si="100"/>
        <v>1000</v>
      </c>
      <c r="N653" s="55" t="str">
        <f t="shared" si="101"/>
        <v>1000grams</v>
      </c>
      <c r="O653" s="56">
        <f t="shared" si="102"/>
        <v>110</v>
      </c>
      <c r="P653" s="12"/>
      <c r="Q653" s="12"/>
      <c r="R653" s="12"/>
      <c r="S653" s="151"/>
      <c r="T653" s="12"/>
      <c r="U653" s="12"/>
      <c r="V653" s="12"/>
      <c r="W653" s="12"/>
      <c r="X653" s="12"/>
      <c r="Y653" s="12"/>
      <c r="Z653" s="12"/>
    </row>
    <row r="654" spans="1:26" ht="15" customHeight="1" x14ac:dyDescent="0.3">
      <c r="A654" s="45"/>
      <c r="B654" s="219" t="s">
        <v>66</v>
      </c>
      <c r="C654" s="194" t="s">
        <v>2021</v>
      </c>
      <c r="D654" s="46"/>
      <c r="E654" s="219" t="s">
        <v>1253</v>
      </c>
      <c r="F654" s="61" t="s">
        <v>31</v>
      </c>
      <c r="G654" s="291">
        <v>47.5</v>
      </c>
      <c r="H654" s="292">
        <v>5</v>
      </c>
      <c r="I654" s="293">
        <v>500</v>
      </c>
      <c r="J654" s="414" t="s">
        <v>39</v>
      </c>
      <c r="K654" s="50"/>
      <c r="L654" s="53" t="str">
        <f t="shared" si="99"/>
        <v>500grams</v>
      </c>
      <c r="M654" s="54">
        <f t="shared" si="100"/>
        <v>2500</v>
      </c>
      <c r="N654" s="55" t="str">
        <f t="shared" si="101"/>
        <v>2500grams</v>
      </c>
      <c r="O654" s="56">
        <f t="shared" si="102"/>
        <v>237.5</v>
      </c>
      <c r="P654" s="12"/>
      <c r="Q654" s="12"/>
      <c r="R654" s="12"/>
      <c r="S654" s="151"/>
      <c r="T654" s="12"/>
      <c r="U654" s="12"/>
      <c r="V654" s="12"/>
      <c r="W654" s="12"/>
      <c r="X654" s="12"/>
      <c r="Y654" s="12"/>
      <c r="Z654" s="12"/>
    </row>
    <row r="655" spans="1:26" ht="15" customHeight="1" x14ac:dyDescent="0.3">
      <c r="A655" s="45"/>
      <c r="B655" s="219" t="s">
        <v>66</v>
      </c>
      <c r="C655" s="194" t="s">
        <v>2021</v>
      </c>
      <c r="D655" s="46"/>
      <c r="E655" s="219" t="s">
        <v>1254</v>
      </c>
      <c r="F655" s="61" t="s">
        <v>31</v>
      </c>
      <c r="G655" s="291">
        <v>32.5</v>
      </c>
      <c r="H655" s="292">
        <v>2</v>
      </c>
      <c r="I655" s="293">
        <v>500</v>
      </c>
      <c r="J655" s="414" t="s">
        <v>39</v>
      </c>
      <c r="K655" s="50"/>
      <c r="L655" s="53" t="str">
        <f t="shared" si="99"/>
        <v>500grams</v>
      </c>
      <c r="M655" s="54">
        <f t="shared" si="100"/>
        <v>1000</v>
      </c>
      <c r="N655" s="55" t="str">
        <f t="shared" si="101"/>
        <v>1000grams</v>
      </c>
      <c r="O655" s="56">
        <f t="shared" si="102"/>
        <v>65</v>
      </c>
      <c r="P655" s="12"/>
      <c r="Q655" s="12"/>
      <c r="R655" s="12"/>
      <c r="S655" s="151"/>
      <c r="T655" s="12"/>
      <c r="U655" s="12"/>
      <c r="V655" s="12"/>
      <c r="W655" s="12"/>
      <c r="X655" s="12"/>
      <c r="Y655" s="12"/>
      <c r="Z655" s="12"/>
    </row>
    <row r="656" spans="1:26" ht="15" customHeight="1" x14ac:dyDescent="0.3">
      <c r="A656" s="45">
        <v>163</v>
      </c>
      <c r="B656" s="46" t="s">
        <v>400</v>
      </c>
      <c r="C656" s="194" t="s">
        <v>2024</v>
      </c>
      <c r="D656" s="46"/>
      <c r="E656" s="46" t="s">
        <v>1181</v>
      </c>
      <c r="F656" s="61" t="s">
        <v>31</v>
      </c>
      <c r="G656" s="288">
        <v>41.9</v>
      </c>
      <c r="H656" s="289">
        <v>3</v>
      </c>
      <c r="I656" s="290">
        <v>210</v>
      </c>
      <c r="J656" s="422" t="s">
        <v>39</v>
      </c>
      <c r="K656" s="50" t="s">
        <v>2019</v>
      </c>
      <c r="L656" s="53" t="str">
        <f t="shared" si="99"/>
        <v>210grams</v>
      </c>
      <c r="M656" s="54">
        <f t="shared" si="100"/>
        <v>630</v>
      </c>
      <c r="N656" s="55" t="str">
        <f t="shared" si="101"/>
        <v>630grams</v>
      </c>
      <c r="O656" s="56">
        <f t="shared" si="102"/>
        <v>125.69999999999999</v>
      </c>
      <c r="P656" s="44">
        <f t="shared" ref="P656:P657" si="126">O656/H656</f>
        <v>41.9</v>
      </c>
      <c r="Q656" s="66">
        <f>G656-P656</f>
        <v>0</v>
      </c>
      <c r="R656" s="32" t="b">
        <f t="shared" ref="R656:R657" si="127">P656=G656</f>
        <v>1</v>
      </c>
      <c r="S656" s="32"/>
      <c r="T656" s="32"/>
      <c r="U656" s="32"/>
      <c r="V656" s="32"/>
      <c r="W656" s="32"/>
      <c r="X656" s="32"/>
      <c r="Y656" s="32"/>
      <c r="Z656" s="32"/>
    </row>
    <row r="657" spans="1:26" ht="15" customHeight="1" x14ac:dyDescent="0.3">
      <c r="A657" s="45">
        <v>345</v>
      </c>
      <c r="B657" s="46" t="s">
        <v>400</v>
      </c>
      <c r="C657" s="194" t="s">
        <v>2025</v>
      </c>
      <c r="D657" s="46"/>
      <c r="E657" s="46" t="s">
        <v>1181</v>
      </c>
      <c r="F657" s="61" t="s">
        <v>31</v>
      </c>
      <c r="G657" s="288">
        <v>46</v>
      </c>
      <c r="H657" s="289">
        <v>1</v>
      </c>
      <c r="I657" s="290">
        <v>500</v>
      </c>
      <c r="J657" s="422" t="s">
        <v>39</v>
      </c>
      <c r="K657" s="50"/>
      <c r="L657" s="53" t="str">
        <f t="shared" si="99"/>
        <v>500grams</v>
      </c>
      <c r="M657" s="54">
        <f t="shared" si="100"/>
        <v>500</v>
      </c>
      <c r="N657" s="55" t="str">
        <f t="shared" si="101"/>
        <v>500grams</v>
      </c>
      <c r="O657" s="56">
        <f t="shared" si="102"/>
        <v>46</v>
      </c>
      <c r="P657" s="44">
        <f t="shared" si="126"/>
        <v>46</v>
      </c>
      <c r="Q657" s="66"/>
      <c r="R657" s="32" t="b">
        <f t="shared" si="127"/>
        <v>1</v>
      </c>
      <c r="S657" s="32"/>
      <c r="T657" s="32"/>
      <c r="U657" s="32"/>
      <c r="V657" s="32"/>
      <c r="W657" s="32"/>
      <c r="X657" s="32"/>
      <c r="Y657" s="32"/>
      <c r="Z657" s="32"/>
    </row>
    <row r="658" spans="1:26" ht="15" customHeight="1" x14ac:dyDescent="0.3">
      <c r="A658" s="45"/>
      <c r="B658" s="219" t="s">
        <v>400</v>
      </c>
      <c r="C658" s="194" t="s">
        <v>2021</v>
      </c>
      <c r="D658" s="46"/>
      <c r="E658" s="46" t="s">
        <v>1181</v>
      </c>
      <c r="F658" s="61" t="s">
        <v>31</v>
      </c>
      <c r="G658" s="291">
        <v>41.3</v>
      </c>
      <c r="H658" s="292">
        <v>3</v>
      </c>
      <c r="I658" s="293">
        <v>210</v>
      </c>
      <c r="J658" s="436" t="s">
        <v>39</v>
      </c>
      <c r="K658" s="50"/>
      <c r="L658" s="53" t="str">
        <f t="shared" si="99"/>
        <v>210grams</v>
      </c>
      <c r="M658" s="54">
        <f t="shared" si="100"/>
        <v>630</v>
      </c>
      <c r="N658" s="55" t="str">
        <f t="shared" si="101"/>
        <v>630grams</v>
      </c>
      <c r="O658" s="56">
        <f t="shared" si="102"/>
        <v>123.89999999999999</v>
      </c>
      <c r="P658" s="12"/>
      <c r="Q658" s="12"/>
      <c r="R658" s="12"/>
      <c r="S658" s="151"/>
      <c r="T658" s="12"/>
      <c r="U658" s="12"/>
      <c r="V658" s="12"/>
      <c r="W658" s="12"/>
      <c r="X658" s="12"/>
      <c r="Y658" s="12"/>
      <c r="Z658" s="12"/>
    </row>
    <row r="659" spans="1:26" ht="15" customHeight="1" x14ac:dyDescent="0.3">
      <c r="A659" s="45"/>
      <c r="B659" s="46" t="s">
        <v>400</v>
      </c>
      <c r="C659" s="194" t="s">
        <v>2020</v>
      </c>
      <c r="D659" s="46"/>
      <c r="E659" s="46" t="s">
        <v>1181</v>
      </c>
      <c r="F659" s="61" t="s">
        <v>31</v>
      </c>
      <c r="G659" s="288">
        <v>41.9</v>
      </c>
      <c r="H659" s="289">
        <v>2</v>
      </c>
      <c r="I659" s="290">
        <v>210</v>
      </c>
      <c r="J659" s="422" t="s">
        <v>39</v>
      </c>
      <c r="K659" s="50"/>
      <c r="L659" s="53" t="str">
        <f t="shared" si="99"/>
        <v>210grams</v>
      </c>
      <c r="M659" s="54">
        <f t="shared" si="100"/>
        <v>420</v>
      </c>
      <c r="N659" s="55" t="str">
        <f t="shared" si="101"/>
        <v>420grams</v>
      </c>
      <c r="O659" s="56">
        <f t="shared" si="102"/>
        <v>83.8</v>
      </c>
      <c r="P659" s="12"/>
      <c r="Q659" s="12"/>
      <c r="R659" s="12"/>
      <c r="S659" s="151"/>
      <c r="T659" s="12"/>
      <c r="U659" s="12"/>
      <c r="V659" s="12"/>
      <c r="W659" s="12"/>
      <c r="X659" s="12"/>
      <c r="Y659" s="12"/>
      <c r="Z659" s="12"/>
    </row>
    <row r="660" spans="1:26" ht="15" customHeight="1" x14ac:dyDescent="0.3">
      <c r="A660" s="45">
        <v>503</v>
      </c>
      <c r="B660" s="46" t="s">
        <v>1255</v>
      </c>
      <c r="C660" s="194" t="s">
        <v>2025</v>
      </c>
      <c r="D660" s="46"/>
      <c r="E660" s="46"/>
      <c r="F660" s="61" t="s">
        <v>31</v>
      </c>
      <c r="G660" s="288">
        <v>270</v>
      </c>
      <c r="H660" s="289">
        <v>0</v>
      </c>
      <c r="I660" s="290">
        <v>1</v>
      </c>
      <c r="J660" s="48" t="s">
        <v>213</v>
      </c>
      <c r="K660" s="50"/>
      <c r="L660" s="53" t="str">
        <f t="shared" si="99"/>
        <v>1kilos</v>
      </c>
      <c r="M660" s="54">
        <f t="shared" si="100"/>
        <v>0</v>
      </c>
      <c r="N660" s="55" t="str">
        <f t="shared" si="101"/>
        <v>0kilos</v>
      </c>
      <c r="O660" s="56">
        <f t="shared" si="102"/>
        <v>0</v>
      </c>
      <c r="P660" s="44" t="e">
        <f t="shared" ref="P660:P661" si="128">O660/H660</f>
        <v>#DIV/0!</v>
      </c>
      <c r="Q660" s="66"/>
      <c r="R660" s="32"/>
      <c r="S660" s="32"/>
      <c r="T660" s="32"/>
      <c r="U660" s="32"/>
      <c r="V660" s="32"/>
      <c r="W660" s="32"/>
      <c r="X660" s="32"/>
      <c r="Y660" s="32"/>
      <c r="Z660" s="32"/>
    </row>
    <row r="661" spans="1:26" ht="15" customHeight="1" x14ac:dyDescent="0.3">
      <c r="A661" s="45">
        <v>561</v>
      </c>
      <c r="B661" s="46" t="s">
        <v>1256</v>
      </c>
      <c r="C661" s="194" t="s">
        <v>2026</v>
      </c>
      <c r="D661" s="46"/>
      <c r="E661" s="46"/>
      <c r="F661" s="61" t="s">
        <v>31</v>
      </c>
      <c r="G661" s="288">
        <v>180</v>
      </c>
      <c r="H661" s="289">
        <v>0</v>
      </c>
      <c r="I661" s="290">
        <v>1000</v>
      </c>
      <c r="J661" s="48" t="s">
        <v>39</v>
      </c>
      <c r="K661" s="50"/>
      <c r="L661" s="53" t="str">
        <f t="shared" si="99"/>
        <v>1000grams</v>
      </c>
      <c r="M661" s="54">
        <f t="shared" si="100"/>
        <v>0</v>
      </c>
      <c r="N661" s="55" t="str">
        <f t="shared" si="101"/>
        <v>0grams</v>
      </c>
      <c r="O661" s="56">
        <f t="shared" si="102"/>
        <v>0</v>
      </c>
      <c r="P661" s="44" t="e">
        <f t="shared" si="128"/>
        <v>#DIV/0!</v>
      </c>
      <c r="Q661" s="66"/>
      <c r="R661" s="32"/>
      <c r="S661" s="32"/>
      <c r="T661" s="32"/>
      <c r="U661" s="32"/>
      <c r="V661" s="32"/>
      <c r="W661" s="32"/>
      <c r="X661" s="32"/>
      <c r="Y661" s="32"/>
      <c r="Z661" s="32"/>
    </row>
    <row r="662" spans="1:26" ht="15" customHeight="1" x14ac:dyDescent="0.3">
      <c r="A662" s="45"/>
      <c r="B662" s="46" t="s">
        <v>623</v>
      </c>
      <c r="C662" s="194" t="s">
        <v>2022</v>
      </c>
      <c r="D662" s="46"/>
      <c r="E662" s="46" t="s">
        <v>865</v>
      </c>
      <c r="F662" s="61" t="s">
        <v>31</v>
      </c>
      <c r="G662" s="288">
        <v>48</v>
      </c>
      <c r="H662" s="289">
        <v>1</v>
      </c>
      <c r="I662" s="290">
        <v>540</v>
      </c>
      <c r="J662" s="48" t="s">
        <v>39</v>
      </c>
      <c r="K662" s="50"/>
      <c r="L662" s="53" t="str">
        <f t="shared" si="99"/>
        <v>540grams</v>
      </c>
      <c r="M662" s="54">
        <f t="shared" si="100"/>
        <v>540</v>
      </c>
      <c r="N662" s="55" t="str">
        <f t="shared" si="101"/>
        <v>540grams</v>
      </c>
      <c r="O662" s="56">
        <f t="shared" si="102"/>
        <v>48</v>
      </c>
      <c r="P662" s="12"/>
      <c r="Q662" s="12"/>
      <c r="R662" s="12"/>
      <c r="S662" s="151"/>
      <c r="T662" s="12"/>
      <c r="U662" s="12"/>
      <c r="V662" s="12"/>
      <c r="W662" s="12"/>
      <c r="X662" s="12"/>
      <c r="Y662" s="12"/>
      <c r="Z662" s="12"/>
    </row>
    <row r="663" spans="1:26" ht="15" customHeight="1" x14ac:dyDescent="0.3">
      <c r="A663" s="45">
        <v>381</v>
      </c>
      <c r="B663" s="46" t="s">
        <v>1257</v>
      </c>
      <c r="C663" s="194" t="s">
        <v>2025</v>
      </c>
      <c r="D663" s="46"/>
      <c r="E663" s="46"/>
      <c r="F663" s="61" t="s">
        <v>31</v>
      </c>
      <c r="G663" s="288">
        <v>1</v>
      </c>
      <c r="H663" s="289">
        <v>9</v>
      </c>
      <c r="I663" s="290">
        <v>1</v>
      </c>
      <c r="J663" s="48" t="s">
        <v>92</v>
      </c>
      <c r="K663" s="50"/>
      <c r="L663" s="53" t="str">
        <f t="shared" si="99"/>
        <v>1pieces</v>
      </c>
      <c r="M663" s="54">
        <f t="shared" si="100"/>
        <v>9</v>
      </c>
      <c r="N663" s="55" t="str">
        <f t="shared" si="101"/>
        <v>9pieces</v>
      </c>
      <c r="O663" s="56">
        <f t="shared" si="102"/>
        <v>9</v>
      </c>
      <c r="P663" s="44">
        <f>O663/H663</f>
        <v>1</v>
      </c>
      <c r="Q663" s="66"/>
      <c r="R663" s="32"/>
      <c r="S663" s="32"/>
      <c r="T663" s="32"/>
      <c r="U663" s="32"/>
      <c r="V663" s="32"/>
      <c r="W663" s="32"/>
      <c r="X663" s="32"/>
      <c r="Y663" s="32"/>
      <c r="Z663" s="32"/>
    </row>
    <row r="664" spans="1:26" ht="15" customHeight="1" x14ac:dyDescent="0.3">
      <c r="A664" s="45"/>
      <c r="B664" s="219" t="s">
        <v>1258</v>
      </c>
      <c r="C664" s="194" t="s">
        <v>2021</v>
      </c>
      <c r="D664" s="46"/>
      <c r="E664" s="219" t="s">
        <v>963</v>
      </c>
      <c r="F664" s="61" t="s">
        <v>31</v>
      </c>
      <c r="G664" s="291">
        <v>159.80000000000001</v>
      </c>
      <c r="H664" s="292">
        <v>4</v>
      </c>
      <c r="I664" s="293">
        <v>160</v>
      </c>
      <c r="J664" s="414" t="s">
        <v>519</v>
      </c>
      <c r="K664" s="50"/>
      <c r="L664" s="53" t="str">
        <f t="shared" si="99"/>
        <v>160drained weight grams</v>
      </c>
      <c r="M664" s="54">
        <f t="shared" si="100"/>
        <v>640</v>
      </c>
      <c r="N664" s="55" t="str">
        <f t="shared" si="101"/>
        <v>640drained weight grams</v>
      </c>
      <c r="O664" s="56">
        <f t="shared" si="102"/>
        <v>639.20000000000005</v>
      </c>
      <c r="P664" s="12"/>
      <c r="Q664" s="12"/>
      <c r="R664" s="12"/>
      <c r="S664" s="151"/>
      <c r="T664" s="12"/>
      <c r="U664" s="12"/>
      <c r="V664" s="12"/>
      <c r="W664" s="12"/>
      <c r="X664" s="12"/>
      <c r="Y664" s="12"/>
      <c r="Z664" s="12"/>
    </row>
    <row r="665" spans="1:26" ht="15" customHeight="1" x14ac:dyDescent="0.3">
      <c r="A665" s="45"/>
      <c r="B665" s="219" t="s">
        <v>1258</v>
      </c>
      <c r="C665" s="194" t="s">
        <v>2021</v>
      </c>
      <c r="D665" s="46"/>
      <c r="E665" s="219" t="s">
        <v>881</v>
      </c>
      <c r="F665" s="61" t="s">
        <v>31</v>
      </c>
      <c r="G665" s="291">
        <v>198</v>
      </c>
      <c r="H665" s="292">
        <v>2</v>
      </c>
      <c r="I665" s="293">
        <v>200</v>
      </c>
      <c r="J665" s="414" t="s">
        <v>39</v>
      </c>
      <c r="K665" s="50"/>
      <c r="L665" s="53" t="str">
        <f t="shared" si="99"/>
        <v>200grams</v>
      </c>
      <c r="M665" s="54">
        <f t="shared" si="100"/>
        <v>400</v>
      </c>
      <c r="N665" s="55" t="str">
        <f t="shared" si="101"/>
        <v>400grams</v>
      </c>
      <c r="O665" s="56">
        <f t="shared" si="102"/>
        <v>396</v>
      </c>
      <c r="P665" s="12"/>
      <c r="Q665" s="12"/>
      <c r="R665" s="12"/>
      <c r="S665" s="151"/>
      <c r="T665" s="12"/>
      <c r="U665" s="12"/>
      <c r="V665" s="12"/>
      <c r="W665" s="12"/>
      <c r="X665" s="12"/>
      <c r="Y665" s="12"/>
      <c r="Z665" s="12"/>
    </row>
    <row r="666" spans="1:26" ht="15" customHeight="1" x14ac:dyDescent="0.3">
      <c r="A666" s="45">
        <v>861</v>
      </c>
      <c r="B666" s="46" t="s">
        <v>1259</v>
      </c>
      <c r="C666" s="194" t="s">
        <v>1368</v>
      </c>
      <c r="D666" s="46"/>
      <c r="E666" s="46" t="s">
        <v>1184</v>
      </c>
      <c r="F666" s="61" t="s">
        <v>31</v>
      </c>
      <c r="G666" s="288">
        <v>29</v>
      </c>
      <c r="H666" s="289">
        <v>2</v>
      </c>
      <c r="I666" s="290">
        <v>400</v>
      </c>
      <c r="J666" s="48" t="s">
        <v>39</v>
      </c>
      <c r="K666" s="50" t="s">
        <v>2019</v>
      </c>
      <c r="L666" s="53" t="str">
        <f t="shared" si="99"/>
        <v>400grams</v>
      </c>
      <c r="M666" s="54">
        <f t="shared" si="100"/>
        <v>800</v>
      </c>
      <c r="N666" s="55" t="str">
        <f t="shared" si="101"/>
        <v>800grams</v>
      </c>
      <c r="O666" s="56">
        <f t="shared" si="102"/>
        <v>58</v>
      </c>
      <c r="P666" s="44">
        <f>O666/H666</f>
        <v>29</v>
      </c>
      <c r="Q666" s="66">
        <f>G666-P666</f>
        <v>0</v>
      </c>
      <c r="R666" s="32" t="b">
        <f>P666=G666</f>
        <v>1</v>
      </c>
      <c r="S666" s="32"/>
      <c r="T666" s="32"/>
      <c r="U666" s="32"/>
      <c r="V666" s="32"/>
      <c r="W666" s="32"/>
      <c r="X666" s="32"/>
      <c r="Y666" s="32"/>
      <c r="Z666" s="32"/>
    </row>
    <row r="667" spans="1:26" ht="15" customHeight="1" x14ac:dyDescent="0.3">
      <c r="A667" s="45"/>
      <c r="B667" s="46" t="s">
        <v>1259</v>
      </c>
      <c r="C667" s="194" t="s">
        <v>2023</v>
      </c>
      <c r="D667" s="46"/>
      <c r="E667" s="46" t="s">
        <v>959</v>
      </c>
      <c r="F667" s="61" t="s">
        <v>31</v>
      </c>
      <c r="G667" s="288">
        <v>23.9</v>
      </c>
      <c r="H667" s="289">
        <v>10</v>
      </c>
      <c r="I667" s="290">
        <v>113</v>
      </c>
      <c r="J667" s="437" t="s">
        <v>519</v>
      </c>
      <c r="K667" s="50"/>
      <c r="L667" s="53" t="str">
        <f t="shared" si="99"/>
        <v>113drained weight grams</v>
      </c>
      <c r="M667" s="54">
        <f t="shared" si="100"/>
        <v>1130</v>
      </c>
      <c r="N667" s="55" t="str">
        <f t="shared" si="101"/>
        <v>1130drained weight grams</v>
      </c>
      <c r="O667" s="56">
        <f t="shared" si="102"/>
        <v>239</v>
      </c>
      <c r="P667" s="12"/>
      <c r="Q667" s="12"/>
      <c r="R667" s="12"/>
      <c r="S667" s="151"/>
      <c r="T667" s="12"/>
      <c r="U667" s="12"/>
      <c r="V667" s="12"/>
      <c r="W667" s="12"/>
      <c r="X667" s="12"/>
      <c r="Y667" s="12"/>
      <c r="Z667" s="12"/>
    </row>
    <row r="668" spans="1:26" ht="15" customHeight="1" x14ac:dyDescent="0.3">
      <c r="A668" s="45"/>
      <c r="B668" s="219" t="s">
        <v>1260</v>
      </c>
      <c r="C668" s="194" t="s">
        <v>2021</v>
      </c>
      <c r="D668" s="46"/>
      <c r="E668" s="219" t="s">
        <v>1261</v>
      </c>
      <c r="F668" s="61" t="s">
        <v>31</v>
      </c>
      <c r="G668" s="291">
        <v>199.95</v>
      </c>
      <c r="H668" s="292">
        <v>1</v>
      </c>
      <c r="I668" s="293">
        <v>199</v>
      </c>
      <c r="J668" s="414" t="s">
        <v>39</v>
      </c>
      <c r="K668" s="50"/>
      <c r="L668" s="53" t="str">
        <f t="shared" si="99"/>
        <v>199grams</v>
      </c>
      <c r="M668" s="54">
        <f t="shared" si="100"/>
        <v>199</v>
      </c>
      <c r="N668" s="55" t="str">
        <f t="shared" si="101"/>
        <v>199grams</v>
      </c>
      <c r="O668" s="56">
        <f t="shared" si="102"/>
        <v>199.95</v>
      </c>
      <c r="P668" s="12"/>
      <c r="Q668" s="12"/>
      <c r="R668" s="12"/>
      <c r="S668" s="151"/>
      <c r="T668" s="12"/>
      <c r="U668" s="12"/>
      <c r="V668" s="12"/>
      <c r="W668" s="12"/>
      <c r="X668" s="12"/>
      <c r="Y668" s="12"/>
      <c r="Z668" s="12"/>
    </row>
    <row r="669" spans="1:26" ht="15" customHeight="1" x14ac:dyDescent="0.3">
      <c r="A669" s="45">
        <v>306</v>
      </c>
      <c r="B669" s="46" t="s">
        <v>1260</v>
      </c>
      <c r="C669" s="194" t="s">
        <v>2025</v>
      </c>
      <c r="D669" s="46"/>
      <c r="E669" s="46" t="s">
        <v>854</v>
      </c>
      <c r="F669" s="61" t="s">
        <v>31</v>
      </c>
      <c r="G669" s="288">
        <v>74.5</v>
      </c>
      <c r="H669" s="289">
        <v>1</v>
      </c>
      <c r="I669" s="290">
        <v>30</v>
      </c>
      <c r="J669" s="48" t="s">
        <v>39</v>
      </c>
      <c r="K669" s="50"/>
      <c r="L669" s="53" t="str">
        <f t="shared" si="99"/>
        <v>30grams</v>
      </c>
      <c r="M669" s="54">
        <f t="shared" si="100"/>
        <v>30</v>
      </c>
      <c r="N669" s="55" t="str">
        <f t="shared" si="101"/>
        <v>30grams</v>
      </c>
      <c r="O669" s="56">
        <f t="shared" si="102"/>
        <v>74.5</v>
      </c>
      <c r="P669" s="44">
        <f t="shared" ref="P669:P670" si="129">O669/H669</f>
        <v>74.5</v>
      </c>
      <c r="Q669" s="66"/>
      <c r="R669" s="32"/>
      <c r="S669" s="32"/>
      <c r="T669" s="32"/>
      <c r="U669" s="32"/>
      <c r="V669" s="32"/>
      <c r="W669" s="32"/>
      <c r="X669" s="32"/>
      <c r="Y669" s="32"/>
      <c r="Z669" s="32"/>
    </row>
    <row r="670" spans="1:26" ht="15" customHeight="1" x14ac:dyDescent="0.3">
      <c r="A670" s="45">
        <v>553</v>
      </c>
      <c r="B670" s="219" t="s">
        <v>1260</v>
      </c>
      <c r="C670" s="194" t="s">
        <v>2026</v>
      </c>
      <c r="D670" s="46"/>
      <c r="E670" s="219" t="s">
        <v>854</v>
      </c>
      <c r="F670" s="61" t="s">
        <v>31</v>
      </c>
      <c r="G670" s="288">
        <v>68</v>
      </c>
      <c r="H670" s="289">
        <v>0</v>
      </c>
      <c r="I670" s="290">
        <v>30</v>
      </c>
      <c r="J670" s="48" t="s">
        <v>39</v>
      </c>
      <c r="K670" s="50"/>
      <c r="L670" s="53" t="str">
        <f t="shared" si="99"/>
        <v>30grams</v>
      </c>
      <c r="M670" s="54">
        <f t="shared" si="100"/>
        <v>0</v>
      </c>
      <c r="N670" s="55" t="str">
        <f t="shared" si="101"/>
        <v>0grams</v>
      </c>
      <c r="O670" s="56">
        <f t="shared" si="102"/>
        <v>0</v>
      </c>
      <c r="P670" s="44" t="e">
        <f t="shared" si="129"/>
        <v>#DIV/0!</v>
      </c>
      <c r="Q670" s="66"/>
      <c r="R670" s="32"/>
      <c r="S670" s="32"/>
      <c r="T670" s="32"/>
      <c r="U670" s="32"/>
      <c r="V670" s="32"/>
      <c r="W670" s="32"/>
      <c r="X670" s="32"/>
      <c r="Y670" s="32"/>
      <c r="Z670" s="32"/>
    </row>
    <row r="671" spans="1:26" ht="15" customHeight="1" x14ac:dyDescent="0.3">
      <c r="A671" s="45"/>
      <c r="B671" s="219" t="s">
        <v>1260</v>
      </c>
      <c r="C671" s="194" t="s">
        <v>2023</v>
      </c>
      <c r="D671" s="46"/>
      <c r="E671" s="219" t="s">
        <v>854</v>
      </c>
      <c r="F671" s="61" t="s">
        <v>31</v>
      </c>
      <c r="G671" s="288">
        <v>98</v>
      </c>
      <c r="H671" s="289">
        <v>1</v>
      </c>
      <c r="I671" s="290">
        <v>30</v>
      </c>
      <c r="J671" s="48" t="s">
        <v>39</v>
      </c>
      <c r="K671" s="50"/>
      <c r="L671" s="53" t="str">
        <f t="shared" si="99"/>
        <v>30grams</v>
      </c>
      <c r="M671" s="54">
        <f t="shared" si="100"/>
        <v>30</v>
      </c>
      <c r="N671" s="55" t="str">
        <f t="shared" si="101"/>
        <v>30grams</v>
      </c>
      <c r="O671" s="56">
        <f t="shared" si="102"/>
        <v>98</v>
      </c>
      <c r="P671" s="44"/>
      <c r="Q671" s="12"/>
      <c r="R671" s="12"/>
      <c r="S671" s="151"/>
      <c r="T671" s="12"/>
      <c r="U671" s="12"/>
      <c r="V671" s="12"/>
      <c r="W671" s="12"/>
      <c r="X671" s="12"/>
      <c r="Y671" s="12"/>
      <c r="Z671" s="12"/>
    </row>
    <row r="672" spans="1:26" ht="15" customHeight="1" x14ac:dyDescent="0.3">
      <c r="A672" s="45"/>
      <c r="B672" s="219" t="s">
        <v>1260</v>
      </c>
      <c r="C672" s="194" t="s">
        <v>2021</v>
      </c>
      <c r="D672" s="46"/>
      <c r="E672" s="219" t="s">
        <v>854</v>
      </c>
      <c r="F672" s="61" t="s">
        <v>31</v>
      </c>
      <c r="G672" s="291">
        <v>74.5</v>
      </c>
      <c r="H672" s="292">
        <v>2</v>
      </c>
      <c r="I672" s="293">
        <v>30</v>
      </c>
      <c r="J672" s="414" t="s">
        <v>39</v>
      </c>
      <c r="K672" s="50"/>
      <c r="L672" s="53" t="str">
        <f t="shared" si="99"/>
        <v>30grams</v>
      </c>
      <c r="M672" s="54">
        <f t="shared" si="100"/>
        <v>60</v>
      </c>
      <c r="N672" s="55" t="str">
        <f t="shared" si="101"/>
        <v>60grams</v>
      </c>
      <c r="O672" s="56">
        <f t="shared" si="102"/>
        <v>149</v>
      </c>
      <c r="P672" s="12"/>
      <c r="Q672" s="12"/>
      <c r="R672" s="12"/>
      <c r="S672" s="151"/>
      <c r="T672" s="12"/>
      <c r="U672" s="12"/>
      <c r="V672" s="12"/>
      <c r="W672" s="12"/>
      <c r="X672" s="12"/>
      <c r="Y672" s="12"/>
      <c r="Z672" s="12"/>
    </row>
    <row r="673" spans="1:26" ht="15" customHeight="1" x14ac:dyDescent="0.3">
      <c r="A673" s="45">
        <v>11</v>
      </c>
      <c r="B673" s="46" t="s">
        <v>1262</v>
      </c>
      <c r="C673" s="194" t="s">
        <v>29</v>
      </c>
      <c r="D673" s="46"/>
      <c r="E673" s="46" t="s">
        <v>1263</v>
      </c>
      <c r="F673" s="61" t="s">
        <v>31</v>
      </c>
      <c r="G673" s="288">
        <v>9.17</v>
      </c>
      <c r="H673" s="289">
        <v>18</v>
      </c>
      <c r="I673" s="290">
        <v>25</v>
      </c>
      <c r="J673" s="48" t="s">
        <v>39</v>
      </c>
      <c r="K673" s="61" t="s">
        <v>2019</v>
      </c>
      <c r="L673" s="415" t="str">
        <f t="shared" si="99"/>
        <v>25grams</v>
      </c>
      <c r="M673" s="416">
        <f t="shared" si="100"/>
        <v>450</v>
      </c>
      <c r="N673" s="417" t="str">
        <f t="shared" si="101"/>
        <v>450grams</v>
      </c>
      <c r="O673" s="418">
        <f t="shared" si="102"/>
        <v>165.06</v>
      </c>
      <c r="P673" s="419">
        <f t="shared" ref="P673:P674" si="130">O673/H673</f>
        <v>9.17</v>
      </c>
      <c r="Q673" s="66"/>
      <c r="R673" s="32"/>
      <c r="S673" s="32"/>
      <c r="T673" s="32"/>
      <c r="U673" s="32"/>
      <c r="V673" s="32"/>
      <c r="W673" s="32"/>
      <c r="X673" s="32"/>
      <c r="Y673" s="32"/>
      <c r="Z673" s="32"/>
    </row>
    <row r="674" spans="1:26" ht="15" customHeight="1" x14ac:dyDescent="0.3">
      <c r="A674" s="45">
        <v>148</v>
      </c>
      <c r="B674" s="46" t="s">
        <v>1262</v>
      </c>
      <c r="C674" s="194" t="s">
        <v>2024</v>
      </c>
      <c r="D674" s="46"/>
      <c r="E674" s="46" t="s">
        <v>1264</v>
      </c>
      <c r="F674" s="61" t="s">
        <v>31</v>
      </c>
      <c r="G674" s="288">
        <v>12.76</v>
      </c>
      <c r="H674" s="289">
        <v>6</v>
      </c>
      <c r="I674" s="290">
        <v>25</v>
      </c>
      <c r="J674" s="48" t="s">
        <v>39</v>
      </c>
      <c r="K674" s="50"/>
      <c r="L674" s="53" t="str">
        <f t="shared" si="99"/>
        <v>25grams</v>
      </c>
      <c r="M674" s="54">
        <f t="shared" si="100"/>
        <v>150</v>
      </c>
      <c r="N674" s="55" t="str">
        <f t="shared" si="101"/>
        <v>150grams</v>
      </c>
      <c r="O674" s="56">
        <f t="shared" si="102"/>
        <v>76.56</v>
      </c>
      <c r="P674" s="44">
        <f t="shared" si="130"/>
        <v>12.76</v>
      </c>
      <c r="Q674" s="66"/>
      <c r="R674" s="32" t="b">
        <f>P674=G674</f>
        <v>1</v>
      </c>
      <c r="S674" s="32"/>
      <c r="T674" s="32"/>
      <c r="U674" s="32"/>
      <c r="V674" s="32"/>
      <c r="W674" s="32"/>
      <c r="X674" s="32"/>
      <c r="Y674" s="32"/>
      <c r="Z674" s="32"/>
    </row>
    <row r="675" spans="1:26" ht="15" customHeight="1" x14ac:dyDescent="0.3">
      <c r="A675" s="45"/>
      <c r="B675" s="46" t="s">
        <v>1262</v>
      </c>
      <c r="C675" s="194" t="s">
        <v>2020</v>
      </c>
      <c r="D675" s="46"/>
      <c r="E675" s="46" t="s">
        <v>1263</v>
      </c>
      <c r="F675" s="61" t="s">
        <v>31</v>
      </c>
      <c r="G675" s="288">
        <v>13</v>
      </c>
      <c r="H675" s="289">
        <v>2</v>
      </c>
      <c r="I675" s="290">
        <v>25</v>
      </c>
      <c r="J675" s="48" t="s">
        <v>39</v>
      </c>
      <c r="K675" s="50"/>
      <c r="L675" s="53" t="str">
        <f t="shared" si="99"/>
        <v>25grams</v>
      </c>
      <c r="M675" s="54">
        <f t="shared" si="100"/>
        <v>50</v>
      </c>
      <c r="N675" s="55" t="str">
        <f t="shared" si="101"/>
        <v>50grams</v>
      </c>
      <c r="O675" s="56">
        <f t="shared" si="102"/>
        <v>26</v>
      </c>
      <c r="P675" s="12"/>
      <c r="Q675" s="12"/>
      <c r="R675" s="12"/>
      <c r="S675" s="151"/>
      <c r="T675" s="12"/>
      <c r="U675" s="12"/>
      <c r="V675" s="12"/>
      <c r="W675" s="12"/>
      <c r="X675" s="12"/>
      <c r="Y675" s="12"/>
      <c r="Z675" s="12"/>
    </row>
    <row r="676" spans="1:26" ht="15" customHeight="1" x14ac:dyDescent="0.3">
      <c r="A676" s="45">
        <v>134</v>
      </c>
      <c r="B676" s="46" t="s">
        <v>629</v>
      </c>
      <c r="C676" s="194" t="s">
        <v>2024</v>
      </c>
      <c r="D676" s="46"/>
      <c r="E676" s="46" t="s">
        <v>1264</v>
      </c>
      <c r="F676" s="61" t="s">
        <v>31</v>
      </c>
      <c r="G676" s="288">
        <v>11.58</v>
      </c>
      <c r="H676" s="289">
        <v>10</v>
      </c>
      <c r="I676" s="290">
        <v>25</v>
      </c>
      <c r="J676" s="48" t="s">
        <v>39</v>
      </c>
      <c r="K676" s="50"/>
      <c r="L676" s="53" t="str">
        <f t="shared" si="99"/>
        <v>25grams</v>
      </c>
      <c r="M676" s="54">
        <f t="shared" si="100"/>
        <v>250</v>
      </c>
      <c r="N676" s="55" t="str">
        <f t="shared" si="101"/>
        <v>250grams</v>
      </c>
      <c r="O676" s="56">
        <f t="shared" si="102"/>
        <v>115.8</v>
      </c>
      <c r="P676" s="44">
        <f t="shared" ref="P676:P679" si="131">O676/H676</f>
        <v>11.58</v>
      </c>
      <c r="Q676" s="66"/>
      <c r="R676" s="32"/>
      <c r="S676" s="32"/>
      <c r="T676" s="32"/>
      <c r="U676" s="32"/>
      <c r="V676" s="32"/>
      <c r="W676" s="32"/>
      <c r="X676" s="32"/>
      <c r="Y676" s="32"/>
      <c r="Z676" s="32"/>
    </row>
    <row r="677" spans="1:26" ht="15" customHeight="1" x14ac:dyDescent="0.3">
      <c r="A677" s="45">
        <v>135</v>
      </c>
      <c r="B677" s="46" t="s">
        <v>629</v>
      </c>
      <c r="C677" s="194" t="s">
        <v>2024</v>
      </c>
      <c r="D677" s="46"/>
      <c r="E677" s="46" t="s">
        <v>1264</v>
      </c>
      <c r="F677" s="61" t="s">
        <v>31</v>
      </c>
      <c r="G677" s="288">
        <v>11.58</v>
      </c>
      <c r="H677" s="289">
        <v>10</v>
      </c>
      <c r="I677" s="290">
        <v>25</v>
      </c>
      <c r="J677" s="48" t="s">
        <v>39</v>
      </c>
      <c r="K677" s="50"/>
      <c r="L677" s="53" t="str">
        <f t="shared" si="99"/>
        <v>25grams</v>
      </c>
      <c r="M677" s="54">
        <f t="shared" si="100"/>
        <v>250</v>
      </c>
      <c r="N677" s="55" t="str">
        <f t="shared" si="101"/>
        <v>250grams</v>
      </c>
      <c r="O677" s="56">
        <f t="shared" si="102"/>
        <v>115.8</v>
      </c>
      <c r="P677" s="44">
        <f t="shared" si="131"/>
        <v>11.58</v>
      </c>
      <c r="Q677" s="66"/>
      <c r="R677" s="32" t="b">
        <f>P677=G677</f>
        <v>1</v>
      </c>
      <c r="S677" s="32"/>
      <c r="T677" s="32"/>
      <c r="U677" s="32"/>
      <c r="V677" s="32"/>
      <c r="W677" s="32"/>
      <c r="X677" s="32"/>
      <c r="Y677" s="32"/>
      <c r="Z677" s="32"/>
    </row>
    <row r="678" spans="1:26" ht="15" customHeight="1" x14ac:dyDescent="0.3">
      <c r="A678" s="45">
        <v>336</v>
      </c>
      <c r="B678" s="46" t="s">
        <v>629</v>
      </c>
      <c r="C678" s="194" t="s">
        <v>2025</v>
      </c>
      <c r="D678" s="46"/>
      <c r="E678" s="46" t="s">
        <v>1263</v>
      </c>
      <c r="F678" s="61" t="s">
        <v>31</v>
      </c>
      <c r="G678" s="288">
        <v>12.64</v>
      </c>
      <c r="H678" s="289">
        <v>3</v>
      </c>
      <c r="I678" s="290">
        <v>25</v>
      </c>
      <c r="J678" s="48" t="s">
        <v>39</v>
      </c>
      <c r="K678" s="50"/>
      <c r="L678" s="53" t="str">
        <f t="shared" si="99"/>
        <v>25grams</v>
      </c>
      <c r="M678" s="54">
        <f t="shared" si="100"/>
        <v>75</v>
      </c>
      <c r="N678" s="55" t="str">
        <f t="shared" si="101"/>
        <v>75grams</v>
      </c>
      <c r="O678" s="56">
        <f t="shared" si="102"/>
        <v>37.92</v>
      </c>
      <c r="P678" s="44">
        <f t="shared" si="131"/>
        <v>12.64</v>
      </c>
      <c r="Q678" s="66"/>
      <c r="R678" s="32"/>
      <c r="S678" s="32"/>
      <c r="T678" s="32"/>
      <c r="U678" s="32"/>
      <c r="V678" s="32"/>
      <c r="W678" s="32"/>
      <c r="X678" s="32"/>
      <c r="Y678" s="32"/>
      <c r="Z678" s="32"/>
    </row>
    <row r="679" spans="1:26" ht="15" customHeight="1" x14ac:dyDescent="0.3">
      <c r="A679" s="45">
        <v>509</v>
      </c>
      <c r="B679" s="46" t="s">
        <v>68</v>
      </c>
      <c r="C679" s="194" t="s">
        <v>2026</v>
      </c>
      <c r="D679" s="46"/>
      <c r="E679" s="46" t="s">
        <v>1263</v>
      </c>
      <c r="F679" s="61" t="s">
        <v>31</v>
      </c>
      <c r="G679" s="288">
        <v>14.3</v>
      </c>
      <c r="H679" s="289">
        <v>2</v>
      </c>
      <c r="I679" s="290">
        <v>25</v>
      </c>
      <c r="J679" s="48" t="s">
        <v>39</v>
      </c>
      <c r="K679" s="50"/>
      <c r="L679" s="53" t="str">
        <f t="shared" si="99"/>
        <v>25grams</v>
      </c>
      <c r="M679" s="54">
        <f t="shared" si="100"/>
        <v>50</v>
      </c>
      <c r="N679" s="55" t="str">
        <f t="shared" si="101"/>
        <v>50grams</v>
      </c>
      <c r="O679" s="56">
        <f t="shared" si="102"/>
        <v>28.6</v>
      </c>
      <c r="P679" s="44">
        <f t="shared" si="131"/>
        <v>14.3</v>
      </c>
      <c r="Q679" s="66"/>
      <c r="R679" s="32"/>
      <c r="S679" s="32"/>
      <c r="T679" s="32"/>
      <c r="U679" s="32"/>
      <c r="V679" s="32"/>
      <c r="W679" s="32"/>
      <c r="X679" s="32"/>
      <c r="Y679" s="32"/>
      <c r="Z679" s="32"/>
    </row>
    <row r="680" spans="1:26" ht="15" customHeight="1" x14ac:dyDescent="0.3">
      <c r="A680" s="45"/>
      <c r="B680" s="46" t="s">
        <v>68</v>
      </c>
      <c r="C680" s="194" t="s">
        <v>2023</v>
      </c>
      <c r="D680" s="46"/>
      <c r="E680" s="46" t="s">
        <v>1263</v>
      </c>
      <c r="F680" s="61" t="s">
        <v>31</v>
      </c>
      <c r="G680" s="288">
        <v>20</v>
      </c>
      <c r="H680" s="289">
        <v>4</v>
      </c>
      <c r="I680" s="290">
        <v>25</v>
      </c>
      <c r="J680" s="420" t="s">
        <v>39</v>
      </c>
      <c r="K680" s="50"/>
      <c r="L680" s="53" t="str">
        <f t="shared" si="99"/>
        <v>25grams</v>
      </c>
      <c r="M680" s="54">
        <f t="shared" si="100"/>
        <v>100</v>
      </c>
      <c r="N680" s="55" t="str">
        <f t="shared" si="101"/>
        <v>100grams</v>
      </c>
      <c r="O680" s="56">
        <f t="shared" si="102"/>
        <v>80</v>
      </c>
      <c r="P680" s="12"/>
      <c r="Q680" s="12"/>
      <c r="R680" s="12"/>
      <c r="S680" s="151"/>
      <c r="T680" s="12"/>
      <c r="U680" s="12"/>
      <c r="V680" s="12"/>
      <c r="W680" s="12"/>
      <c r="X680" s="12"/>
      <c r="Y680" s="12"/>
      <c r="Z680" s="12"/>
    </row>
    <row r="681" spans="1:26" ht="15" customHeight="1" x14ac:dyDescent="0.3">
      <c r="A681" s="45">
        <v>840</v>
      </c>
      <c r="B681" s="46" t="s">
        <v>68</v>
      </c>
      <c r="C681" s="194" t="s">
        <v>1368</v>
      </c>
      <c r="D681" s="46"/>
      <c r="E681" s="46" t="s">
        <v>1263</v>
      </c>
      <c r="F681" s="61" t="s">
        <v>31</v>
      </c>
      <c r="G681" s="288">
        <v>16</v>
      </c>
      <c r="H681" s="289">
        <v>4</v>
      </c>
      <c r="I681" s="290">
        <v>25</v>
      </c>
      <c r="J681" s="48" t="s">
        <v>39</v>
      </c>
      <c r="K681" s="50"/>
      <c r="L681" s="53" t="str">
        <f t="shared" si="99"/>
        <v>25grams</v>
      </c>
      <c r="M681" s="54">
        <f t="shared" si="100"/>
        <v>100</v>
      </c>
      <c r="N681" s="55" t="str">
        <f t="shared" si="101"/>
        <v>100grams</v>
      </c>
      <c r="O681" s="56">
        <f t="shared" si="102"/>
        <v>64</v>
      </c>
      <c r="P681" s="44">
        <f>O681/H681</f>
        <v>16</v>
      </c>
      <c r="Q681" s="66"/>
      <c r="R681" s="32" t="b">
        <f>P681=G681</f>
        <v>1</v>
      </c>
      <c r="S681" s="32"/>
      <c r="T681" s="32"/>
      <c r="U681" s="32"/>
      <c r="V681" s="32"/>
      <c r="W681" s="32"/>
      <c r="X681" s="32"/>
      <c r="Y681" s="32"/>
      <c r="Z681" s="32"/>
    </row>
    <row r="682" spans="1:26" ht="15" customHeight="1" x14ac:dyDescent="0.3">
      <c r="A682" s="45"/>
      <c r="B682" s="46" t="s">
        <v>68</v>
      </c>
      <c r="C682" s="194" t="s">
        <v>2020</v>
      </c>
      <c r="D682" s="46"/>
      <c r="E682" s="46" t="s">
        <v>1263</v>
      </c>
      <c r="F682" s="61" t="s">
        <v>31</v>
      </c>
      <c r="G682" s="288">
        <v>13</v>
      </c>
      <c r="H682" s="289">
        <v>17</v>
      </c>
      <c r="I682" s="290">
        <v>25</v>
      </c>
      <c r="J682" s="48" t="s">
        <v>39</v>
      </c>
      <c r="K682" s="50"/>
      <c r="L682" s="53" t="str">
        <f t="shared" si="99"/>
        <v>25grams</v>
      </c>
      <c r="M682" s="54">
        <f t="shared" si="100"/>
        <v>425</v>
      </c>
      <c r="N682" s="55" t="str">
        <f t="shared" si="101"/>
        <v>425grams</v>
      </c>
      <c r="O682" s="56">
        <f t="shared" si="102"/>
        <v>221</v>
      </c>
      <c r="P682" s="12"/>
      <c r="Q682" s="12"/>
      <c r="R682" s="12"/>
      <c r="S682" s="151"/>
      <c r="T682" s="12"/>
      <c r="U682" s="12"/>
      <c r="V682" s="12"/>
      <c r="W682" s="12"/>
      <c r="X682" s="12"/>
      <c r="Y682" s="12"/>
      <c r="Z682" s="12"/>
    </row>
    <row r="683" spans="1:26" ht="15" customHeight="1" x14ac:dyDescent="0.3">
      <c r="A683" s="45">
        <v>510</v>
      </c>
      <c r="B683" s="46" t="s">
        <v>1265</v>
      </c>
      <c r="C683" s="194" t="s">
        <v>2026</v>
      </c>
      <c r="D683" s="46"/>
      <c r="E683" s="46" t="s">
        <v>1263</v>
      </c>
      <c r="F683" s="61" t="s">
        <v>31</v>
      </c>
      <c r="G683" s="288">
        <v>14.3</v>
      </c>
      <c r="H683" s="289">
        <v>2</v>
      </c>
      <c r="I683" s="290">
        <v>25</v>
      </c>
      <c r="J683" s="48" t="s">
        <v>39</v>
      </c>
      <c r="K683" s="50" t="s">
        <v>2019</v>
      </c>
      <c r="L683" s="53" t="str">
        <f t="shared" si="99"/>
        <v>25grams</v>
      </c>
      <c r="M683" s="54">
        <f t="shared" si="100"/>
        <v>50</v>
      </c>
      <c r="N683" s="55" t="str">
        <f t="shared" si="101"/>
        <v>50grams</v>
      </c>
      <c r="O683" s="56">
        <f t="shared" si="102"/>
        <v>28.6</v>
      </c>
      <c r="P683" s="44">
        <f t="shared" ref="P683:P685" si="132">O683/H683</f>
        <v>14.3</v>
      </c>
      <c r="Q683" s="66">
        <f t="shared" ref="Q683:Q684" si="133">G683-P683</f>
        <v>0</v>
      </c>
      <c r="R683" s="32" t="b">
        <f t="shared" ref="R683:R684" si="134">P683=G683</f>
        <v>1</v>
      </c>
      <c r="S683" s="32"/>
      <c r="T683" s="32"/>
      <c r="U683" s="32"/>
      <c r="V683" s="32"/>
      <c r="W683" s="32"/>
      <c r="X683" s="32"/>
      <c r="Y683" s="32"/>
      <c r="Z683" s="32"/>
    </row>
    <row r="684" spans="1:26" ht="15" customHeight="1" x14ac:dyDescent="0.3">
      <c r="A684" s="45">
        <v>178</v>
      </c>
      <c r="B684" s="46" t="s">
        <v>71</v>
      </c>
      <c r="C684" s="194" t="s">
        <v>2024</v>
      </c>
      <c r="D684" s="46"/>
      <c r="E684" s="46" t="s">
        <v>1264</v>
      </c>
      <c r="F684" s="61" t="s">
        <v>31</v>
      </c>
      <c r="G684" s="288">
        <v>13.27</v>
      </c>
      <c r="H684" s="289">
        <v>1</v>
      </c>
      <c r="I684" s="290">
        <v>25</v>
      </c>
      <c r="J684" s="48" t="s">
        <v>39</v>
      </c>
      <c r="K684" s="50" t="s">
        <v>2019</v>
      </c>
      <c r="L684" s="53" t="str">
        <f t="shared" si="99"/>
        <v>25grams</v>
      </c>
      <c r="M684" s="54">
        <f t="shared" si="100"/>
        <v>25</v>
      </c>
      <c r="N684" s="55" t="str">
        <f t="shared" si="101"/>
        <v>25grams</v>
      </c>
      <c r="O684" s="56">
        <f t="shared" si="102"/>
        <v>13.27</v>
      </c>
      <c r="P684" s="44">
        <f t="shared" si="132"/>
        <v>13.27</v>
      </c>
      <c r="Q684" s="66">
        <f t="shared" si="133"/>
        <v>0</v>
      </c>
      <c r="R684" s="32" t="b">
        <f t="shared" si="134"/>
        <v>1</v>
      </c>
      <c r="S684" s="32"/>
      <c r="T684" s="32"/>
      <c r="U684" s="32"/>
      <c r="V684" s="32"/>
      <c r="W684" s="32"/>
      <c r="X684" s="32"/>
      <c r="Y684" s="32"/>
      <c r="Z684" s="32"/>
    </row>
    <row r="685" spans="1:26" ht="15" customHeight="1" x14ac:dyDescent="0.3">
      <c r="A685" s="45">
        <v>511</v>
      </c>
      <c r="B685" s="46" t="s">
        <v>71</v>
      </c>
      <c r="C685" s="194" t="s">
        <v>2026</v>
      </c>
      <c r="D685" s="46"/>
      <c r="E685" s="46" t="s">
        <v>1253</v>
      </c>
      <c r="F685" s="61" t="s">
        <v>31</v>
      </c>
      <c r="G685" s="288">
        <v>117.9</v>
      </c>
      <c r="H685" s="289">
        <v>3</v>
      </c>
      <c r="I685" s="290">
        <v>250</v>
      </c>
      <c r="J685" s="48" t="s">
        <v>39</v>
      </c>
      <c r="K685" s="50"/>
      <c r="L685" s="53" t="str">
        <f t="shared" si="99"/>
        <v>250grams</v>
      </c>
      <c r="M685" s="54">
        <f t="shared" si="100"/>
        <v>750</v>
      </c>
      <c r="N685" s="55" t="str">
        <f t="shared" si="101"/>
        <v>750grams</v>
      </c>
      <c r="O685" s="56">
        <f t="shared" si="102"/>
        <v>353.70000000000005</v>
      </c>
      <c r="P685" s="44">
        <f t="shared" si="132"/>
        <v>117.90000000000002</v>
      </c>
      <c r="Q685" s="66"/>
      <c r="R685" s="32"/>
      <c r="S685" s="32"/>
      <c r="T685" s="32"/>
      <c r="U685" s="32"/>
      <c r="V685" s="32"/>
      <c r="W685" s="32"/>
      <c r="X685" s="32"/>
      <c r="Y685" s="32"/>
      <c r="Z685" s="32"/>
    </row>
    <row r="686" spans="1:26" ht="15" customHeight="1" x14ac:dyDescent="0.3">
      <c r="A686" s="45"/>
      <c r="B686" s="46" t="s">
        <v>71</v>
      </c>
      <c r="C686" s="194" t="s">
        <v>2023</v>
      </c>
      <c r="D686" s="46"/>
      <c r="E686" s="46" t="s">
        <v>1253</v>
      </c>
      <c r="F686" s="61" t="s">
        <v>31</v>
      </c>
      <c r="G686" s="288">
        <v>20</v>
      </c>
      <c r="H686" s="289">
        <v>1</v>
      </c>
      <c r="I686" s="290">
        <v>25</v>
      </c>
      <c r="J686" s="48" t="s">
        <v>39</v>
      </c>
      <c r="K686" s="50"/>
      <c r="L686" s="53" t="str">
        <f t="shared" si="99"/>
        <v>25grams</v>
      </c>
      <c r="M686" s="54">
        <f t="shared" si="100"/>
        <v>25</v>
      </c>
      <c r="N686" s="55" t="str">
        <f t="shared" si="101"/>
        <v>25grams</v>
      </c>
      <c r="O686" s="56">
        <f t="shared" si="102"/>
        <v>20</v>
      </c>
      <c r="P686" s="44"/>
      <c r="Q686" s="12"/>
      <c r="R686" s="12"/>
      <c r="S686" s="151"/>
      <c r="T686" s="12"/>
      <c r="U686" s="12"/>
      <c r="V686" s="12"/>
      <c r="W686" s="12"/>
      <c r="X686" s="12"/>
      <c r="Y686" s="12"/>
      <c r="Z686" s="12"/>
    </row>
    <row r="687" spans="1:26" ht="15" customHeight="1" x14ac:dyDescent="0.3">
      <c r="A687" s="45">
        <v>334</v>
      </c>
      <c r="B687" s="46" t="s">
        <v>71</v>
      </c>
      <c r="C687" s="194" t="s">
        <v>2025</v>
      </c>
      <c r="D687" s="46"/>
      <c r="E687" s="46" t="s">
        <v>1263</v>
      </c>
      <c r="F687" s="61" t="s">
        <v>31</v>
      </c>
      <c r="G687" s="288">
        <v>12.64</v>
      </c>
      <c r="H687" s="289">
        <v>7</v>
      </c>
      <c r="I687" s="290">
        <v>25</v>
      </c>
      <c r="J687" s="48" t="s">
        <v>39</v>
      </c>
      <c r="K687" s="50"/>
      <c r="L687" s="53" t="str">
        <f t="shared" si="99"/>
        <v>25grams</v>
      </c>
      <c r="M687" s="54">
        <f t="shared" si="100"/>
        <v>175</v>
      </c>
      <c r="N687" s="55" t="str">
        <f t="shared" si="101"/>
        <v>175grams</v>
      </c>
      <c r="O687" s="56">
        <f t="shared" si="102"/>
        <v>88.48</v>
      </c>
      <c r="P687" s="44">
        <f t="shared" ref="P687:P688" si="135">O687/H687</f>
        <v>12.64</v>
      </c>
      <c r="Q687" s="66"/>
      <c r="R687" s="32" t="b">
        <f t="shared" ref="R687:R688" si="136">P687=G687</f>
        <v>1</v>
      </c>
      <c r="S687" s="32"/>
      <c r="T687" s="32"/>
      <c r="U687" s="32"/>
      <c r="V687" s="32"/>
      <c r="W687" s="32"/>
      <c r="X687" s="32"/>
      <c r="Y687" s="32"/>
      <c r="Z687" s="32"/>
    </row>
    <row r="688" spans="1:26" ht="15" customHeight="1" x14ac:dyDescent="0.3">
      <c r="A688" s="45">
        <v>335</v>
      </c>
      <c r="B688" s="46" t="s">
        <v>71</v>
      </c>
      <c r="C688" s="194" t="s">
        <v>2025</v>
      </c>
      <c r="D688" s="46"/>
      <c r="E688" s="46" t="s">
        <v>1266</v>
      </c>
      <c r="F688" s="61" t="s">
        <v>31</v>
      </c>
      <c r="G688" s="288">
        <v>12.64</v>
      </c>
      <c r="H688" s="289">
        <v>13</v>
      </c>
      <c r="I688" s="290">
        <v>25</v>
      </c>
      <c r="J688" s="48" t="s">
        <v>39</v>
      </c>
      <c r="K688" s="50" t="s">
        <v>2019</v>
      </c>
      <c r="L688" s="53" t="str">
        <f t="shared" si="99"/>
        <v>25grams</v>
      </c>
      <c r="M688" s="54">
        <f t="shared" si="100"/>
        <v>325</v>
      </c>
      <c r="N688" s="55" t="str">
        <f t="shared" si="101"/>
        <v>325grams</v>
      </c>
      <c r="O688" s="56">
        <f t="shared" si="102"/>
        <v>164.32</v>
      </c>
      <c r="P688" s="44">
        <f t="shared" si="135"/>
        <v>12.639999999999999</v>
      </c>
      <c r="Q688" s="66">
        <f>G688-P688</f>
        <v>0</v>
      </c>
      <c r="R688" s="32" t="b">
        <f t="shared" si="136"/>
        <v>1</v>
      </c>
      <c r="S688" s="32"/>
      <c r="T688" s="32"/>
      <c r="U688" s="32"/>
      <c r="V688" s="32"/>
      <c r="W688" s="32"/>
      <c r="X688" s="32"/>
      <c r="Y688" s="32"/>
      <c r="Z688" s="32"/>
    </row>
    <row r="689" spans="1:26" ht="15" customHeight="1" x14ac:dyDescent="0.3">
      <c r="A689" s="45">
        <v>902</v>
      </c>
      <c r="B689" s="46" t="s">
        <v>71</v>
      </c>
      <c r="C689" s="194" t="s">
        <v>1368</v>
      </c>
      <c r="D689" s="46"/>
      <c r="E689" s="46" t="s">
        <v>1263</v>
      </c>
      <c r="F689" s="61" t="s">
        <v>31</v>
      </c>
      <c r="G689" s="288">
        <v>16</v>
      </c>
      <c r="H689" s="289">
        <v>1</v>
      </c>
      <c r="I689" s="290">
        <v>25</v>
      </c>
      <c r="J689" s="48" t="s">
        <v>39</v>
      </c>
      <c r="K689" s="50"/>
      <c r="L689" s="53" t="str">
        <f t="shared" si="99"/>
        <v>25grams</v>
      </c>
      <c r="M689" s="54">
        <f t="shared" si="100"/>
        <v>25</v>
      </c>
      <c r="N689" s="55" t="str">
        <f t="shared" si="101"/>
        <v>25grams</v>
      </c>
      <c r="O689" s="56">
        <f t="shared" si="102"/>
        <v>16</v>
      </c>
      <c r="P689" s="44"/>
      <c r="Q689" s="66"/>
      <c r="R689" s="32"/>
      <c r="S689" s="32"/>
      <c r="T689" s="32"/>
      <c r="U689" s="32"/>
      <c r="V689" s="32"/>
      <c r="W689" s="32"/>
      <c r="X689" s="32"/>
      <c r="Y689" s="32"/>
      <c r="Z689" s="32"/>
    </row>
    <row r="690" spans="1:26" ht="15" customHeight="1" x14ac:dyDescent="0.3">
      <c r="A690" s="45"/>
      <c r="B690" s="46" t="s">
        <v>71</v>
      </c>
      <c r="C690" s="194" t="s">
        <v>2020</v>
      </c>
      <c r="D690" s="46"/>
      <c r="E690" s="46" t="s">
        <v>1263</v>
      </c>
      <c r="F690" s="61" t="s">
        <v>31</v>
      </c>
      <c r="G690" s="288">
        <v>13</v>
      </c>
      <c r="H690" s="289">
        <v>3</v>
      </c>
      <c r="I690" s="290">
        <v>25</v>
      </c>
      <c r="J690" s="48" t="s">
        <v>39</v>
      </c>
      <c r="K690" s="50"/>
      <c r="L690" s="53" t="str">
        <f t="shared" si="99"/>
        <v>25grams</v>
      </c>
      <c r="M690" s="54">
        <f t="shared" si="100"/>
        <v>75</v>
      </c>
      <c r="N690" s="55" t="str">
        <f t="shared" si="101"/>
        <v>75grams</v>
      </c>
      <c r="O690" s="56">
        <f t="shared" si="102"/>
        <v>39</v>
      </c>
      <c r="P690" s="12"/>
      <c r="Q690" s="12"/>
      <c r="R690" s="12"/>
      <c r="S690" s="151"/>
      <c r="T690" s="12"/>
      <c r="U690" s="12"/>
      <c r="V690" s="12"/>
      <c r="W690" s="12"/>
      <c r="X690" s="12"/>
      <c r="Y690" s="12"/>
      <c r="Z690" s="12"/>
    </row>
    <row r="691" spans="1:26" ht="15" customHeight="1" x14ac:dyDescent="0.3">
      <c r="A691" s="45">
        <v>121</v>
      </c>
      <c r="B691" s="46" t="s">
        <v>72</v>
      </c>
      <c r="C691" s="194" t="s">
        <v>2024</v>
      </c>
      <c r="D691" s="46"/>
      <c r="E691" s="46" t="s">
        <v>1264</v>
      </c>
      <c r="F691" s="61" t="s">
        <v>31</v>
      </c>
      <c r="G691" s="288">
        <v>11.58</v>
      </c>
      <c r="H691" s="289">
        <v>14</v>
      </c>
      <c r="I691" s="290">
        <v>25</v>
      </c>
      <c r="J691" s="48" t="s">
        <v>39</v>
      </c>
      <c r="K691" s="50"/>
      <c r="L691" s="53" t="str">
        <f t="shared" si="99"/>
        <v>25grams</v>
      </c>
      <c r="M691" s="54">
        <f t="shared" si="100"/>
        <v>350</v>
      </c>
      <c r="N691" s="55" t="str">
        <f t="shared" si="101"/>
        <v>350grams</v>
      </c>
      <c r="O691" s="56">
        <f t="shared" si="102"/>
        <v>162.12</v>
      </c>
      <c r="P691" s="44">
        <f t="shared" ref="P691:P692" si="137">O691/H691</f>
        <v>11.58</v>
      </c>
      <c r="Q691" s="66"/>
      <c r="R691" s="32" t="b">
        <f t="shared" ref="R691:R692" si="138">P691=G691</f>
        <v>1</v>
      </c>
      <c r="S691" s="32"/>
      <c r="T691" s="32"/>
      <c r="U691" s="32"/>
      <c r="V691" s="32"/>
      <c r="W691" s="32"/>
      <c r="X691" s="32"/>
      <c r="Y691" s="32"/>
      <c r="Z691" s="32"/>
    </row>
    <row r="692" spans="1:26" ht="15" customHeight="1" x14ac:dyDescent="0.3">
      <c r="A692" s="45">
        <v>1</v>
      </c>
      <c r="B692" s="46" t="s">
        <v>72</v>
      </c>
      <c r="C692" s="194" t="s">
        <v>2026</v>
      </c>
      <c r="D692" s="46"/>
      <c r="E692" s="46" t="s">
        <v>1253</v>
      </c>
      <c r="F692" s="61" t="s">
        <v>31</v>
      </c>
      <c r="G692" s="288">
        <v>115.8</v>
      </c>
      <c r="H692" s="289">
        <v>6</v>
      </c>
      <c r="I692" s="290">
        <v>250</v>
      </c>
      <c r="J692" s="48" t="s">
        <v>39</v>
      </c>
      <c r="K692" s="50"/>
      <c r="L692" s="53" t="str">
        <f t="shared" si="99"/>
        <v>250grams</v>
      </c>
      <c r="M692" s="54">
        <f t="shared" si="100"/>
        <v>1500</v>
      </c>
      <c r="N692" s="55" t="str">
        <f t="shared" si="101"/>
        <v>1500grams</v>
      </c>
      <c r="O692" s="56">
        <f t="shared" si="102"/>
        <v>694.8</v>
      </c>
      <c r="P692" s="44">
        <f t="shared" si="137"/>
        <v>115.8</v>
      </c>
      <c r="Q692" s="66"/>
      <c r="R692" s="32" t="b">
        <f t="shared" si="138"/>
        <v>1</v>
      </c>
      <c r="S692" s="32"/>
      <c r="T692" s="32"/>
      <c r="U692" s="32"/>
      <c r="V692" s="32"/>
      <c r="W692" s="32"/>
      <c r="X692" s="32"/>
      <c r="Y692" s="32"/>
      <c r="Z692" s="32"/>
    </row>
    <row r="693" spans="1:26" ht="15" customHeight="1" x14ac:dyDescent="0.3">
      <c r="A693" s="45"/>
      <c r="B693" s="46" t="s">
        <v>72</v>
      </c>
      <c r="C693" s="194" t="s">
        <v>2023</v>
      </c>
      <c r="D693" s="46"/>
      <c r="E693" s="46" t="s">
        <v>1267</v>
      </c>
      <c r="F693" s="61" t="s">
        <v>31</v>
      </c>
      <c r="G693" s="288">
        <v>20</v>
      </c>
      <c r="H693" s="289">
        <v>3</v>
      </c>
      <c r="I693" s="290">
        <v>25</v>
      </c>
      <c r="J693" s="48" t="s">
        <v>39</v>
      </c>
      <c r="K693" s="50"/>
      <c r="L693" s="53" t="str">
        <f t="shared" si="99"/>
        <v>25grams</v>
      </c>
      <c r="M693" s="54">
        <f t="shared" si="100"/>
        <v>75</v>
      </c>
      <c r="N693" s="55" t="str">
        <f t="shared" si="101"/>
        <v>75grams</v>
      </c>
      <c r="O693" s="56">
        <f t="shared" si="102"/>
        <v>60</v>
      </c>
      <c r="P693" s="12"/>
      <c r="Q693" s="12"/>
      <c r="R693" s="12"/>
      <c r="S693" s="151"/>
      <c r="T693" s="12"/>
      <c r="U693" s="12"/>
      <c r="V693" s="12"/>
      <c r="W693" s="12"/>
      <c r="X693" s="12"/>
      <c r="Y693" s="12"/>
      <c r="Z693" s="12"/>
    </row>
    <row r="694" spans="1:26" ht="15" customHeight="1" x14ac:dyDescent="0.3">
      <c r="A694" s="45"/>
      <c r="B694" s="46" t="s">
        <v>72</v>
      </c>
      <c r="C694" s="194" t="s">
        <v>2022</v>
      </c>
      <c r="D694" s="46"/>
      <c r="E694" s="46" t="s">
        <v>1267</v>
      </c>
      <c r="F694" s="61" t="s">
        <v>31</v>
      </c>
      <c r="G694" s="288">
        <v>19</v>
      </c>
      <c r="H694" s="289">
        <v>40</v>
      </c>
      <c r="I694" s="290">
        <v>25</v>
      </c>
      <c r="J694" s="48" t="s">
        <v>39</v>
      </c>
      <c r="K694" s="50"/>
      <c r="L694" s="53" t="str">
        <f t="shared" si="99"/>
        <v>25grams</v>
      </c>
      <c r="M694" s="54">
        <f t="shared" si="100"/>
        <v>1000</v>
      </c>
      <c r="N694" s="55" t="str">
        <f t="shared" si="101"/>
        <v>1000grams</v>
      </c>
      <c r="O694" s="56">
        <f t="shared" si="102"/>
        <v>760</v>
      </c>
      <c r="P694" s="12"/>
      <c r="Q694" s="12"/>
      <c r="R694" s="12"/>
      <c r="S694" s="151"/>
      <c r="T694" s="12"/>
      <c r="U694" s="12"/>
      <c r="V694" s="12"/>
      <c r="W694" s="12"/>
      <c r="X694" s="12"/>
      <c r="Y694" s="12"/>
      <c r="Z694" s="12"/>
    </row>
    <row r="695" spans="1:26" ht="15" customHeight="1" x14ac:dyDescent="0.3">
      <c r="A695" s="45"/>
      <c r="B695" s="219" t="s">
        <v>72</v>
      </c>
      <c r="C695" s="194" t="s">
        <v>2021</v>
      </c>
      <c r="D695" s="46"/>
      <c r="E695" s="219" t="s">
        <v>1267</v>
      </c>
      <c r="F695" s="61" t="s">
        <v>31</v>
      </c>
      <c r="G695" s="291">
        <v>16.5</v>
      </c>
      <c r="H695" s="292">
        <v>5</v>
      </c>
      <c r="I695" s="293">
        <v>25</v>
      </c>
      <c r="J695" s="414" t="s">
        <v>39</v>
      </c>
      <c r="K695" s="50"/>
      <c r="L695" s="53" t="str">
        <f t="shared" si="99"/>
        <v>25grams</v>
      </c>
      <c r="M695" s="54">
        <f t="shared" si="100"/>
        <v>125</v>
      </c>
      <c r="N695" s="55" t="str">
        <f t="shared" si="101"/>
        <v>125grams</v>
      </c>
      <c r="O695" s="56">
        <f t="shared" si="102"/>
        <v>82.5</v>
      </c>
      <c r="P695" s="12"/>
      <c r="Q695" s="12"/>
      <c r="R695" s="12"/>
      <c r="S695" s="151"/>
      <c r="T695" s="12"/>
      <c r="U695" s="12"/>
      <c r="V695" s="12"/>
      <c r="W695" s="12"/>
      <c r="X695" s="12"/>
      <c r="Y695" s="12"/>
      <c r="Z695" s="12"/>
    </row>
    <row r="696" spans="1:26" ht="15" customHeight="1" x14ac:dyDescent="0.3">
      <c r="A696" s="45">
        <v>823</v>
      </c>
      <c r="B696" s="46" t="s">
        <v>72</v>
      </c>
      <c r="C696" s="194" t="s">
        <v>1368</v>
      </c>
      <c r="D696" s="46"/>
      <c r="E696" s="46" t="s">
        <v>1263</v>
      </c>
      <c r="F696" s="61" t="s">
        <v>31</v>
      </c>
      <c r="G696" s="288">
        <v>16</v>
      </c>
      <c r="H696" s="289">
        <v>6</v>
      </c>
      <c r="I696" s="290">
        <v>25</v>
      </c>
      <c r="J696" s="420" t="s">
        <v>39</v>
      </c>
      <c r="K696" s="50"/>
      <c r="L696" s="53" t="str">
        <f t="shared" si="99"/>
        <v>25grams</v>
      </c>
      <c r="M696" s="54">
        <f t="shared" si="100"/>
        <v>150</v>
      </c>
      <c r="N696" s="55" t="str">
        <f t="shared" si="101"/>
        <v>150grams</v>
      </c>
      <c r="O696" s="56">
        <f t="shared" si="102"/>
        <v>96</v>
      </c>
      <c r="P696" s="44">
        <f t="shared" ref="P696:P698" si="139">O696/H696</f>
        <v>16</v>
      </c>
      <c r="Q696" s="66"/>
      <c r="R696" s="32" t="b">
        <f t="shared" ref="R696:R698" si="140">P696=G696</f>
        <v>1</v>
      </c>
      <c r="S696" s="32"/>
      <c r="T696" s="32"/>
      <c r="U696" s="32"/>
      <c r="V696" s="32"/>
      <c r="W696" s="32"/>
      <c r="X696" s="32"/>
      <c r="Y696" s="32"/>
      <c r="Z696" s="32"/>
    </row>
    <row r="697" spans="1:26" ht="15" customHeight="1" x14ac:dyDescent="0.3">
      <c r="A697" s="45">
        <v>84</v>
      </c>
      <c r="B697" s="46" t="s">
        <v>631</v>
      </c>
      <c r="C697" s="194" t="s">
        <v>2024</v>
      </c>
      <c r="D697" s="46"/>
      <c r="E697" s="46" t="s">
        <v>1264</v>
      </c>
      <c r="F697" s="61" t="s">
        <v>31</v>
      </c>
      <c r="G697" s="288">
        <v>13.43</v>
      </c>
      <c r="H697" s="289">
        <v>160</v>
      </c>
      <c r="I697" s="290">
        <v>25</v>
      </c>
      <c r="J697" s="48" t="s">
        <v>39</v>
      </c>
      <c r="K697" s="50" t="s">
        <v>2019</v>
      </c>
      <c r="L697" s="53" t="str">
        <f t="shared" si="99"/>
        <v>25grams</v>
      </c>
      <c r="M697" s="54">
        <f t="shared" si="100"/>
        <v>4000</v>
      </c>
      <c r="N697" s="55" t="str">
        <f t="shared" si="101"/>
        <v>4000grams</v>
      </c>
      <c r="O697" s="56">
        <f t="shared" si="102"/>
        <v>2148.8000000000002</v>
      </c>
      <c r="P697" s="44">
        <f t="shared" si="139"/>
        <v>13.430000000000001</v>
      </c>
      <c r="Q697" s="44">
        <f t="shared" ref="Q697:Q698" si="141">G697-P697</f>
        <v>0</v>
      </c>
      <c r="R697" s="32" t="b">
        <f t="shared" si="140"/>
        <v>1</v>
      </c>
      <c r="S697" s="32"/>
      <c r="T697" s="32"/>
      <c r="U697" s="32"/>
      <c r="V697" s="32"/>
      <c r="W697" s="32"/>
      <c r="X697" s="32"/>
      <c r="Y697" s="32"/>
      <c r="Z697" s="32"/>
    </row>
    <row r="698" spans="1:26" ht="15" customHeight="1" x14ac:dyDescent="0.3">
      <c r="A698" s="45">
        <v>512</v>
      </c>
      <c r="B698" s="46" t="s">
        <v>631</v>
      </c>
      <c r="C698" s="194" t="s">
        <v>2026</v>
      </c>
      <c r="D698" s="46"/>
      <c r="E698" s="46" t="s">
        <v>69</v>
      </c>
      <c r="F698" s="61" t="s">
        <v>31</v>
      </c>
      <c r="G698" s="288">
        <v>115.8</v>
      </c>
      <c r="H698" s="289">
        <v>8</v>
      </c>
      <c r="I698" s="290">
        <v>25</v>
      </c>
      <c r="J698" s="48" t="s">
        <v>39</v>
      </c>
      <c r="K698" s="50" t="s">
        <v>2019</v>
      </c>
      <c r="L698" s="53" t="str">
        <f t="shared" si="99"/>
        <v>25grams</v>
      </c>
      <c r="M698" s="54">
        <f t="shared" si="100"/>
        <v>200</v>
      </c>
      <c r="N698" s="55" t="str">
        <f t="shared" si="101"/>
        <v>200grams</v>
      </c>
      <c r="O698" s="56">
        <f t="shared" si="102"/>
        <v>926.4</v>
      </c>
      <c r="P698" s="44">
        <f t="shared" si="139"/>
        <v>115.8</v>
      </c>
      <c r="Q698" s="66">
        <f t="shared" si="141"/>
        <v>0</v>
      </c>
      <c r="R698" s="32" t="b">
        <f t="shared" si="140"/>
        <v>1</v>
      </c>
      <c r="S698" s="32"/>
      <c r="T698" s="32"/>
      <c r="U698" s="32"/>
      <c r="V698" s="32"/>
      <c r="W698" s="32"/>
      <c r="X698" s="32"/>
      <c r="Y698" s="32"/>
      <c r="Z698" s="32"/>
    </row>
    <row r="699" spans="1:26" ht="15" customHeight="1" x14ac:dyDescent="0.3">
      <c r="A699" s="45"/>
      <c r="B699" s="46" t="s">
        <v>631</v>
      </c>
      <c r="C699" s="194" t="s">
        <v>2020</v>
      </c>
      <c r="D699" s="46"/>
      <c r="E699" s="46" t="s">
        <v>1263</v>
      </c>
      <c r="F699" s="61" t="s">
        <v>31</v>
      </c>
      <c r="G699" s="288">
        <v>13</v>
      </c>
      <c r="H699" s="289">
        <v>7</v>
      </c>
      <c r="I699" s="290">
        <v>25</v>
      </c>
      <c r="J699" s="48" t="s">
        <v>39</v>
      </c>
      <c r="K699" s="50"/>
      <c r="L699" s="53" t="str">
        <f t="shared" si="99"/>
        <v>25grams</v>
      </c>
      <c r="M699" s="54">
        <f t="shared" si="100"/>
        <v>175</v>
      </c>
      <c r="N699" s="55" t="str">
        <f t="shared" si="101"/>
        <v>175grams</v>
      </c>
      <c r="O699" s="56">
        <f t="shared" si="102"/>
        <v>91</v>
      </c>
      <c r="P699" s="12"/>
      <c r="Q699" s="12"/>
      <c r="R699" s="12"/>
      <c r="S699" s="151"/>
      <c r="T699" s="12"/>
      <c r="U699" s="12"/>
      <c r="V699" s="12"/>
      <c r="W699" s="12"/>
      <c r="X699" s="12"/>
      <c r="Y699" s="12"/>
      <c r="Z699" s="12"/>
    </row>
    <row r="700" spans="1:26" ht="15" customHeight="1" x14ac:dyDescent="0.3">
      <c r="A700" s="45"/>
      <c r="B700" s="219" t="s">
        <v>1268</v>
      </c>
      <c r="C700" s="194" t="s">
        <v>2021</v>
      </c>
      <c r="D700" s="46"/>
      <c r="E700" s="219" t="s">
        <v>1062</v>
      </c>
      <c r="F700" s="61" t="s">
        <v>31</v>
      </c>
      <c r="G700" s="291">
        <v>75</v>
      </c>
      <c r="H700" s="292">
        <v>12</v>
      </c>
      <c r="I700" s="293">
        <v>1</v>
      </c>
      <c r="J700" s="414" t="s">
        <v>1064</v>
      </c>
      <c r="K700" s="50"/>
      <c r="L700" s="53" t="str">
        <f t="shared" si="99"/>
        <v>1jar</v>
      </c>
      <c r="M700" s="54">
        <f t="shared" si="100"/>
        <v>12</v>
      </c>
      <c r="N700" s="55" t="str">
        <f t="shared" si="101"/>
        <v>12jar</v>
      </c>
      <c r="O700" s="56">
        <f t="shared" si="102"/>
        <v>900</v>
      </c>
      <c r="P700" s="12"/>
      <c r="Q700" s="12"/>
      <c r="R700" s="12"/>
      <c r="S700" s="151"/>
      <c r="T700" s="12"/>
      <c r="U700" s="12"/>
      <c r="V700" s="12"/>
      <c r="W700" s="12"/>
      <c r="X700" s="12"/>
      <c r="Y700" s="12"/>
      <c r="Z700" s="12"/>
    </row>
    <row r="701" spans="1:26" ht="15" customHeight="1" x14ac:dyDescent="0.3">
      <c r="A701" s="45">
        <v>717</v>
      </c>
      <c r="B701" s="46" t="s">
        <v>1269</v>
      </c>
      <c r="C701" s="194" t="s">
        <v>2026</v>
      </c>
      <c r="D701" s="46"/>
      <c r="E701" s="46" t="s">
        <v>869</v>
      </c>
      <c r="F701" s="61" t="s">
        <v>31</v>
      </c>
      <c r="G701" s="288">
        <v>57</v>
      </c>
      <c r="H701" s="289">
        <v>5</v>
      </c>
      <c r="I701" s="290">
        <v>150</v>
      </c>
      <c r="J701" s="48" t="s">
        <v>39</v>
      </c>
      <c r="K701" s="50"/>
      <c r="L701" s="53" t="str">
        <f t="shared" si="99"/>
        <v>150grams</v>
      </c>
      <c r="M701" s="54">
        <f t="shared" si="100"/>
        <v>750</v>
      </c>
      <c r="N701" s="55" t="str">
        <f t="shared" si="101"/>
        <v>750grams</v>
      </c>
      <c r="O701" s="56">
        <f t="shared" si="102"/>
        <v>285</v>
      </c>
      <c r="P701" s="44">
        <f>O701/H701</f>
        <v>57</v>
      </c>
      <c r="Q701" s="66"/>
      <c r="R701" s="32" t="b">
        <f>P701=G701</f>
        <v>1</v>
      </c>
      <c r="S701" s="32"/>
      <c r="T701" s="32"/>
      <c r="U701" s="32"/>
      <c r="V701" s="32"/>
      <c r="W701" s="32"/>
      <c r="X701" s="32"/>
      <c r="Y701" s="32"/>
      <c r="Z701" s="32"/>
    </row>
    <row r="702" spans="1:26" ht="15" customHeight="1" x14ac:dyDescent="0.3">
      <c r="A702" s="45"/>
      <c r="B702" s="46" t="s">
        <v>1269</v>
      </c>
      <c r="C702" s="194" t="s">
        <v>2023</v>
      </c>
      <c r="D702" s="46"/>
      <c r="E702" s="46" t="s">
        <v>1270</v>
      </c>
      <c r="F702" s="61" t="s">
        <v>31</v>
      </c>
      <c r="G702" s="288">
        <v>61.7</v>
      </c>
      <c r="H702" s="289">
        <v>11</v>
      </c>
      <c r="I702" s="290">
        <v>250</v>
      </c>
      <c r="J702" s="48" t="s">
        <v>39</v>
      </c>
      <c r="K702" s="50"/>
      <c r="L702" s="53" t="str">
        <f t="shared" si="99"/>
        <v>250grams</v>
      </c>
      <c r="M702" s="54">
        <f t="shared" si="100"/>
        <v>2750</v>
      </c>
      <c r="N702" s="55" t="str">
        <f t="shared" si="101"/>
        <v>2750grams</v>
      </c>
      <c r="O702" s="56">
        <f t="shared" si="102"/>
        <v>678.7</v>
      </c>
      <c r="P702" s="12"/>
      <c r="Q702" s="12"/>
      <c r="R702" s="12"/>
      <c r="S702" s="151"/>
      <c r="T702" s="12"/>
      <c r="U702" s="12"/>
      <c r="V702" s="12"/>
      <c r="W702" s="12"/>
      <c r="X702" s="12"/>
      <c r="Y702" s="12"/>
      <c r="Z702" s="12"/>
    </row>
    <row r="703" spans="1:26" ht="15" customHeight="1" x14ac:dyDescent="0.3">
      <c r="A703" s="45">
        <v>387</v>
      </c>
      <c r="B703" s="219" t="s">
        <v>201</v>
      </c>
      <c r="C703" s="194" t="s">
        <v>2025</v>
      </c>
      <c r="D703" s="46"/>
      <c r="E703" s="46" t="s">
        <v>858</v>
      </c>
      <c r="F703" s="61" t="s">
        <v>31</v>
      </c>
      <c r="G703" s="288">
        <v>65</v>
      </c>
      <c r="H703" s="289">
        <v>14</v>
      </c>
      <c r="I703" s="290">
        <v>100</v>
      </c>
      <c r="J703" s="48" t="s">
        <v>92</v>
      </c>
      <c r="K703" s="50"/>
      <c r="L703" s="53" t="str">
        <f t="shared" si="99"/>
        <v>100pieces</v>
      </c>
      <c r="M703" s="54">
        <f t="shared" si="100"/>
        <v>1400</v>
      </c>
      <c r="N703" s="55" t="str">
        <f t="shared" si="101"/>
        <v>1400pieces</v>
      </c>
      <c r="O703" s="56">
        <f t="shared" si="102"/>
        <v>910</v>
      </c>
      <c r="P703" s="44">
        <f>O703/H703</f>
        <v>65</v>
      </c>
      <c r="Q703" s="66"/>
      <c r="R703" s="32"/>
      <c r="S703" s="32"/>
      <c r="T703" s="32"/>
      <c r="U703" s="32"/>
      <c r="V703" s="32"/>
      <c r="W703" s="32"/>
      <c r="X703" s="32"/>
      <c r="Y703" s="32"/>
      <c r="Z703" s="32"/>
    </row>
    <row r="704" spans="1:26" ht="15" customHeight="1" x14ac:dyDescent="0.3">
      <c r="A704" s="45"/>
      <c r="B704" s="46" t="s">
        <v>201</v>
      </c>
      <c r="C704" s="194" t="s">
        <v>2023</v>
      </c>
      <c r="D704" s="46"/>
      <c r="E704" s="46" t="s">
        <v>858</v>
      </c>
      <c r="F704" s="61" t="s">
        <v>31</v>
      </c>
      <c r="G704" s="288">
        <v>49</v>
      </c>
      <c r="H704" s="289">
        <v>3</v>
      </c>
      <c r="I704" s="290">
        <v>1</v>
      </c>
      <c r="J704" s="48" t="s">
        <v>304</v>
      </c>
      <c r="K704" s="50"/>
      <c r="L704" s="53" t="str">
        <f t="shared" si="99"/>
        <v>1packs</v>
      </c>
      <c r="M704" s="54">
        <f t="shared" si="100"/>
        <v>3</v>
      </c>
      <c r="N704" s="55" t="str">
        <f t="shared" si="101"/>
        <v>3packs</v>
      </c>
      <c r="O704" s="56">
        <f t="shared" si="102"/>
        <v>147</v>
      </c>
      <c r="P704" s="12"/>
      <c r="Q704" s="12"/>
      <c r="R704" s="12"/>
      <c r="S704" s="151"/>
      <c r="T704" s="12"/>
      <c r="U704" s="12"/>
      <c r="V704" s="12"/>
      <c r="W704" s="12"/>
      <c r="X704" s="12"/>
      <c r="Y704" s="12"/>
      <c r="Z704" s="12"/>
    </row>
    <row r="705" spans="1:26" ht="15" customHeight="1" x14ac:dyDescent="0.3">
      <c r="A705" s="45"/>
      <c r="B705" s="46" t="s">
        <v>201</v>
      </c>
      <c r="C705" s="194" t="s">
        <v>2022</v>
      </c>
      <c r="D705" s="46"/>
      <c r="E705" s="46" t="s">
        <v>1199</v>
      </c>
      <c r="F705" s="61" t="s">
        <v>31</v>
      </c>
      <c r="G705" s="288">
        <v>45</v>
      </c>
      <c r="H705" s="289">
        <v>2</v>
      </c>
      <c r="I705" s="290">
        <v>1</v>
      </c>
      <c r="J705" s="48" t="s">
        <v>304</v>
      </c>
      <c r="K705" s="50"/>
      <c r="L705" s="53" t="str">
        <f t="shared" si="99"/>
        <v>1packs</v>
      </c>
      <c r="M705" s="54">
        <f t="shared" si="100"/>
        <v>2</v>
      </c>
      <c r="N705" s="55" t="str">
        <f t="shared" si="101"/>
        <v>2packs</v>
      </c>
      <c r="O705" s="56">
        <f t="shared" si="102"/>
        <v>90</v>
      </c>
      <c r="P705" s="12"/>
      <c r="Q705" s="12"/>
      <c r="R705" s="12"/>
      <c r="S705" s="151"/>
      <c r="T705" s="12"/>
      <c r="U705" s="12"/>
      <c r="V705" s="12"/>
      <c r="W705" s="12"/>
      <c r="X705" s="12"/>
      <c r="Y705" s="12"/>
      <c r="Z705" s="12"/>
    </row>
    <row r="706" spans="1:26" ht="15" customHeight="1" x14ac:dyDescent="0.3">
      <c r="A706" s="45"/>
      <c r="B706" s="46" t="s">
        <v>201</v>
      </c>
      <c r="C706" s="194" t="s">
        <v>2020</v>
      </c>
      <c r="D706" s="46"/>
      <c r="E706" s="46" t="s">
        <v>858</v>
      </c>
      <c r="F706" s="61" t="s">
        <v>31</v>
      </c>
      <c r="G706" s="288">
        <v>45</v>
      </c>
      <c r="H706" s="289">
        <v>20</v>
      </c>
      <c r="I706" s="290">
        <v>1</v>
      </c>
      <c r="J706" s="48" t="s">
        <v>304</v>
      </c>
      <c r="K706" s="50"/>
      <c r="L706" s="53" t="str">
        <f t="shared" si="99"/>
        <v>1packs</v>
      </c>
      <c r="M706" s="54">
        <f t="shared" si="100"/>
        <v>20</v>
      </c>
      <c r="N706" s="55" t="str">
        <f t="shared" si="101"/>
        <v>20packs</v>
      </c>
      <c r="O706" s="56">
        <f t="shared" si="102"/>
        <v>900</v>
      </c>
      <c r="P706" s="12"/>
      <c r="Q706" s="12"/>
      <c r="R706" s="12"/>
      <c r="S706" s="151"/>
      <c r="T706" s="12"/>
      <c r="U706" s="12"/>
      <c r="V706" s="12"/>
      <c r="W706" s="12"/>
      <c r="X706" s="12"/>
      <c r="Y706" s="12"/>
      <c r="Z706" s="12"/>
    </row>
    <row r="707" spans="1:26" ht="15" customHeight="1" x14ac:dyDescent="0.3">
      <c r="A707" s="45">
        <v>863</v>
      </c>
      <c r="B707" s="46" t="s">
        <v>1271</v>
      </c>
      <c r="C707" s="194" t="s">
        <v>1368</v>
      </c>
      <c r="D707" s="46"/>
      <c r="E707" s="46" t="s">
        <v>1272</v>
      </c>
      <c r="F707" s="61" t="s">
        <v>31</v>
      </c>
      <c r="G707" s="288">
        <v>172</v>
      </c>
      <c r="H707" s="289">
        <v>2</v>
      </c>
      <c r="I707" s="290">
        <v>1</v>
      </c>
      <c r="J707" s="48" t="s">
        <v>92</v>
      </c>
      <c r="K707" s="50" t="s">
        <v>2019</v>
      </c>
      <c r="L707" s="53" t="str">
        <f t="shared" si="99"/>
        <v>1pieces</v>
      </c>
      <c r="M707" s="54">
        <f t="shared" si="100"/>
        <v>2</v>
      </c>
      <c r="N707" s="55" t="str">
        <f t="shared" si="101"/>
        <v>2pieces</v>
      </c>
      <c r="O707" s="56">
        <f t="shared" si="102"/>
        <v>344</v>
      </c>
      <c r="P707" s="44">
        <f t="shared" ref="P707:P708" si="142">O707/H707</f>
        <v>172</v>
      </c>
      <c r="Q707" s="66">
        <f t="shared" ref="Q707:Q708" si="143">G707-P707</f>
        <v>0</v>
      </c>
      <c r="R707" s="32" t="b">
        <f t="shared" ref="R707:R708" si="144">P707=G707</f>
        <v>1</v>
      </c>
      <c r="S707" s="32"/>
      <c r="T707" s="32"/>
      <c r="U707" s="32"/>
      <c r="V707" s="32"/>
      <c r="W707" s="32"/>
      <c r="X707" s="32"/>
      <c r="Y707" s="32"/>
      <c r="Z707" s="32"/>
    </row>
    <row r="708" spans="1:26" ht="15" customHeight="1" x14ac:dyDescent="0.3">
      <c r="A708" s="45">
        <v>830</v>
      </c>
      <c r="B708" s="46" t="s">
        <v>1273</v>
      </c>
      <c r="C708" s="194" t="s">
        <v>1368</v>
      </c>
      <c r="D708" s="46"/>
      <c r="E708" s="46"/>
      <c r="F708" s="61" t="s">
        <v>31</v>
      </c>
      <c r="G708" s="288">
        <v>200</v>
      </c>
      <c r="H708" s="289">
        <v>5</v>
      </c>
      <c r="I708" s="290">
        <v>1000</v>
      </c>
      <c r="J708" s="48" t="s">
        <v>39</v>
      </c>
      <c r="K708" s="50" t="s">
        <v>2019</v>
      </c>
      <c r="L708" s="53" t="str">
        <f t="shared" si="99"/>
        <v>1000grams</v>
      </c>
      <c r="M708" s="54">
        <f t="shared" si="100"/>
        <v>5000</v>
      </c>
      <c r="N708" s="55" t="str">
        <f t="shared" si="101"/>
        <v>5000grams</v>
      </c>
      <c r="O708" s="56">
        <f t="shared" si="102"/>
        <v>1000</v>
      </c>
      <c r="P708" s="44">
        <f t="shared" si="142"/>
        <v>200</v>
      </c>
      <c r="Q708" s="62">
        <f t="shared" si="143"/>
        <v>0</v>
      </c>
      <c r="R708" s="32" t="b">
        <f t="shared" si="144"/>
        <v>1</v>
      </c>
      <c r="S708" s="32"/>
      <c r="T708" s="32"/>
      <c r="U708" s="32"/>
      <c r="V708" s="32"/>
      <c r="W708" s="32"/>
      <c r="X708" s="32"/>
      <c r="Y708" s="32"/>
      <c r="Z708" s="32"/>
    </row>
    <row r="709" spans="1:26" ht="15" customHeight="1" x14ac:dyDescent="0.3">
      <c r="A709" s="45"/>
      <c r="B709" s="46" t="s">
        <v>1274</v>
      </c>
      <c r="C709" s="194" t="s">
        <v>2023</v>
      </c>
      <c r="D709" s="46"/>
      <c r="E709" s="46"/>
      <c r="F709" s="61" t="s">
        <v>31</v>
      </c>
      <c r="G709" s="288">
        <v>530</v>
      </c>
      <c r="H709" s="289">
        <v>1</v>
      </c>
      <c r="I709" s="290">
        <v>1000</v>
      </c>
      <c r="J709" s="48" t="s">
        <v>39</v>
      </c>
      <c r="K709" s="50"/>
      <c r="L709" s="53" t="str">
        <f t="shared" si="99"/>
        <v>1000grams</v>
      </c>
      <c r="M709" s="54">
        <f t="shared" si="100"/>
        <v>1000</v>
      </c>
      <c r="N709" s="55" t="str">
        <f t="shared" si="101"/>
        <v>1000grams</v>
      </c>
      <c r="O709" s="56">
        <f t="shared" si="102"/>
        <v>530</v>
      </c>
      <c r="P709" s="44"/>
      <c r="Q709" s="12"/>
      <c r="R709" s="12"/>
      <c r="S709" s="151"/>
      <c r="T709" s="12"/>
      <c r="U709" s="12"/>
      <c r="V709" s="12"/>
      <c r="W709" s="12"/>
      <c r="X709" s="12"/>
      <c r="Y709" s="12"/>
      <c r="Z709" s="12"/>
    </row>
    <row r="710" spans="1:26" ht="15" customHeight="1" x14ac:dyDescent="0.3">
      <c r="A710" s="45"/>
      <c r="B710" s="219" t="s">
        <v>1275</v>
      </c>
      <c r="C710" s="194" t="s">
        <v>2021</v>
      </c>
      <c r="D710" s="46"/>
      <c r="E710" s="219" t="s">
        <v>1276</v>
      </c>
      <c r="F710" s="61" t="s">
        <v>31</v>
      </c>
      <c r="G710" s="291">
        <v>116.5</v>
      </c>
      <c r="H710" s="292">
        <v>1</v>
      </c>
      <c r="I710" s="293">
        <v>400</v>
      </c>
      <c r="J710" s="414" t="s">
        <v>39</v>
      </c>
      <c r="K710" s="50"/>
      <c r="L710" s="53" t="str">
        <f t="shared" si="99"/>
        <v>400grams</v>
      </c>
      <c r="M710" s="54">
        <f t="shared" si="100"/>
        <v>400</v>
      </c>
      <c r="N710" s="55" t="str">
        <f t="shared" si="101"/>
        <v>400grams</v>
      </c>
      <c r="O710" s="56">
        <f t="shared" si="102"/>
        <v>116.5</v>
      </c>
      <c r="P710" s="12"/>
      <c r="Q710" s="12"/>
      <c r="R710" s="12"/>
      <c r="S710" s="151"/>
      <c r="T710" s="12"/>
      <c r="U710" s="12"/>
      <c r="V710" s="12"/>
      <c r="W710" s="12"/>
      <c r="X710" s="12"/>
      <c r="Y710" s="12"/>
      <c r="Z710" s="12"/>
    </row>
    <row r="711" spans="1:26" ht="15" customHeight="1" x14ac:dyDescent="0.3">
      <c r="A711" s="45">
        <v>726</v>
      </c>
      <c r="B711" s="46" t="s">
        <v>1277</v>
      </c>
      <c r="C711" s="194" t="s">
        <v>2026</v>
      </c>
      <c r="D711" s="46"/>
      <c r="E711" s="46" t="s">
        <v>1102</v>
      </c>
      <c r="F711" s="61" t="s">
        <v>31</v>
      </c>
      <c r="G711" s="288">
        <v>153</v>
      </c>
      <c r="H711" s="289">
        <v>1</v>
      </c>
      <c r="I711" s="290">
        <v>240</v>
      </c>
      <c r="J711" s="48" t="s">
        <v>39</v>
      </c>
      <c r="K711" s="50"/>
      <c r="L711" s="53" t="str">
        <f t="shared" si="99"/>
        <v>240grams</v>
      </c>
      <c r="M711" s="54">
        <f t="shared" si="100"/>
        <v>240</v>
      </c>
      <c r="N711" s="55" t="str">
        <f t="shared" si="101"/>
        <v>240grams</v>
      </c>
      <c r="O711" s="56">
        <f t="shared" si="102"/>
        <v>153</v>
      </c>
      <c r="P711" s="44">
        <f>O711/H711</f>
        <v>153</v>
      </c>
      <c r="Q711" s="66"/>
      <c r="R711" s="32"/>
      <c r="S711" s="32"/>
      <c r="T711" s="32"/>
      <c r="U711" s="32"/>
      <c r="V711" s="32"/>
      <c r="W711" s="32"/>
      <c r="X711" s="32"/>
      <c r="Y711" s="32"/>
      <c r="Z711" s="32"/>
    </row>
    <row r="712" spans="1:26" ht="15" customHeight="1" x14ac:dyDescent="0.3">
      <c r="A712" s="45"/>
      <c r="B712" s="46" t="s">
        <v>1277</v>
      </c>
      <c r="C712" s="194" t="s">
        <v>2023</v>
      </c>
      <c r="D712" s="46"/>
      <c r="E712" s="46" t="s">
        <v>1102</v>
      </c>
      <c r="F712" s="61" t="s">
        <v>31</v>
      </c>
      <c r="G712" s="288">
        <v>235</v>
      </c>
      <c r="H712" s="289">
        <v>1</v>
      </c>
      <c r="I712" s="290">
        <v>397</v>
      </c>
      <c r="J712" s="48" t="s">
        <v>39</v>
      </c>
      <c r="K712" s="50"/>
      <c r="L712" s="53" t="str">
        <f t="shared" si="99"/>
        <v>397grams</v>
      </c>
      <c r="M712" s="54">
        <f t="shared" si="100"/>
        <v>397</v>
      </c>
      <c r="N712" s="55" t="str">
        <f t="shared" si="101"/>
        <v>397grams</v>
      </c>
      <c r="O712" s="56">
        <f t="shared" si="102"/>
        <v>235</v>
      </c>
      <c r="P712" s="44"/>
      <c r="Q712" s="12"/>
      <c r="R712" s="12"/>
      <c r="S712" s="151"/>
      <c r="T712" s="12"/>
      <c r="U712" s="12"/>
      <c r="V712" s="12"/>
      <c r="W712" s="12"/>
      <c r="X712" s="12"/>
      <c r="Y712" s="12"/>
      <c r="Z712" s="12"/>
    </row>
    <row r="713" spans="1:26" ht="15" customHeight="1" x14ac:dyDescent="0.3">
      <c r="A713" s="45"/>
      <c r="B713" s="219" t="s">
        <v>1277</v>
      </c>
      <c r="C713" s="194" t="s">
        <v>2021</v>
      </c>
      <c r="D713" s="46"/>
      <c r="E713" s="46" t="s">
        <v>1102</v>
      </c>
      <c r="F713" s="61" t="s">
        <v>31</v>
      </c>
      <c r="G713" s="291">
        <v>201.5</v>
      </c>
      <c r="H713" s="292">
        <v>2</v>
      </c>
      <c r="I713" s="293">
        <v>397</v>
      </c>
      <c r="J713" s="414" t="s">
        <v>39</v>
      </c>
      <c r="K713" s="50"/>
      <c r="L713" s="53" t="str">
        <f t="shared" si="99"/>
        <v>397grams</v>
      </c>
      <c r="M713" s="54">
        <f t="shared" si="100"/>
        <v>794</v>
      </c>
      <c r="N713" s="55" t="str">
        <f t="shared" si="101"/>
        <v>794grams</v>
      </c>
      <c r="O713" s="56">
        <f t="shared" si="102"/>
        <v>403</v>
      </c>
      <c r="P713" s="12"/>
      <c r="Q713" s="12"/>
      <c r="R713" s="12"/>
      <c r="S713" s="151"/>
      <c r="T713" s="12"/>
      <c r="U713" s="12"/>
      <c r="V713" s="12"/>
      <c r="W713" s="12"/>
      <c r="X713" s="12"/>
      <c r="Y713" s="12"/>
      <c r="Z713" s="12"/>
    </row>
    <row r="714" spans="1:26" ht="15" customHeight="1" x14ac:dyDescent="0.3">
      <c r="A714" s="45"/>
      <c r="B714" s="219" t="s">
        <v>1277</v>
      </c>
      <c r="C714" s="194" t="s">
        <v>2021</v>
      </c>
      <c r="D714" s="46"/>
      <c r="E714" s="46" t="s">
        <v>1102</v>
      </c>
      <c r="F714" s="61" t="s">
        <v>31</v>
      </c>
      <c r="G714" s="291">
        <v>168</v>
      </c>
      <c r="H714" s="292">
        <v>1</v>
      </c>
      <c r="I714" s="293">
        <v>240</v>
      </c>
      <c r="J714" s="414" t="s">
        <v>39</v>
      </c>
      <c r="K714" s="50"/>
      <c r="L714" s="53" t="str">
        <f t="shared" si="99"/>
        <v>240grams</v>
      </c>
      <c r="M714" s="54">
        <f t="shared" si="100"/>
        <v>240</v>
      </c>
      <c r="N714" s="55" t="str">
        <f t="shared" si="101"/>
        <v>240grams</v>
      </c>
      <c r="O714" s="56">
        <f t="shared" si="102"/>
        <v>168</v>
      </c>
      <c r="P714" s="12"/>
      <c r="Q714" s="12"/>
      <c r="R714" s="12"/>
      <c r="S714" s="151"/>
      <c r="T714" s="12"/>
      <c r="U714" s="12"/>
      <c r="V714" s="12"/>
      <c r="W714" s="12"/>
      <c r="X714" s="12"/>
      <c r="Y714" s="12"/>
      <c r="Z714" s="12"/>
    </row>
    <row r="715" spans="1:26" ht="15" customHeight="1" x14ac:dyDescent="0.3">
      <c r="A715" s="45"/>
      <c r="B715" s="46" t="s">
        <v>1278</v>
      </c>
      <c r="C715" s="194" t="s">
        <v>2022</v>
      </c>
      <c r="D715" s="46"/>
      <c r="E715" s="46" t="s">
        <v>1279</v>
      </c>
      <c r="F715" s="61" t="s">
        <v>31</v>
      </c>
      <c r="G715" s="288">
        <v>330</v>
      </c>
      <c r="H715" s="289">
        <v>1</v>
      </c>
      <c r="I715" s="290">
        <v>750</v>
      </c>
      <c r="J715" s="48" t="s">
        <v>213</v>
      </c>
      <c r="K715" s="50"/>
      <c r="L715" s="53" t="str">
        <f t="shared" si="99"/>
        <v>750kilos</v>
      </c>
      <c r="M715" s="54">
        <f t="shared" si="100"/>
        <v>750</v>
      </c>
      <c r="N715" s="55" t="str">
        <f t="shared" si="101"/>
        <v>750kilos</v>
      </c>
      <c r="O715" s="56">
        <f t="shared" si="102"/>
        <v>330</v>
      </c>
      <c r="P715" s="12"/>
      <c r="Q715" s="12"/>
      <c r="R715" s="12"/>
      <c r="S715" s="151"/>
      <c r="T715" s="12"/>
      <c r="U715" s="12"/>
      <c r="V715" s="12"/>
      <c r="W715" s="12"/>
      <c r="X715" s="12"/>
      <c r="Y715" s="12"/>
      <c r="Z715" s="12"/>
    </row>
    <row r="716" spans="1:26" ht="15" customHeight="1" x14ac:dyDescent="0.3">
      <c r="A716" s="45">
        <v>428</v>
      </c>
      <c r="B716" s="46" t="s">
        <v>1280</v>
      </c>
      <c r="C716" s="194" t="s">
        <v>2025</v>
      </c>
      <c r="D716" s="46"/>
      <c r="E716" s="46" t="s">
        <v>1281</v>
      </c>
      <c r="F716" s="61" t="s">
        <v>31</v>
      </c>
      <c r="G716" s="288">
        <v>5.5</v>
      </c>
      <c r="H716" s="289">
        <v>7</v>
      </c>
      <c r="I716" s="290">
        <v>40</v>
      </c>
      <c r="J716" s="48" t="s">
        <v>39</v>
      </c>
      <c r="K716" s="50"/>
      <c r="L716" s="53" t="str">
        <f t="shared" si="99"/>
        <v>40grams</v>
      </c>
      <c r="M716" s="54">
        <f t="shared" si="100"/>
        <v>280</v>
      </c>
      <c r="N716" s="55" t="str">
        <f t="shared" si="101"/>
        <v>280grams</v>
      </c>
      <c r="O716" s="56">
        <f t="shared" si="102"/>
        <v>38.5</v>
      </c>
      <c r="P716" s="44">
        <f t="shared" ref="P716:P717" si="145">O716/H716</f>
        <v>5.5</v>
      </c>
      <c r="Q716" s="66"/>
      <c r="R716" s="32" t="b">
        <f>P716=G716</f>
        <v>1</v>
      </c>
      <c r="S716" s="32"/>
      <c r="T716" s="32"/>
      <c r="U716" s="32"/>
      <c r="V716" s="32"/>
      <c r="W716" s="32"/>
      <c r="X716" s="32"/>
      <c r="Y716" s="32"/>
      <c r="Z716" s="32"/>
    </row>
    <row r="717" spans="1:26" ht="15" customHeight="1" x14ac:dyDescent="0.3">
      <c r="A717" s="45">
        <v>427</v>
      </c>
      <c r="B717" s="46" t="s">
        <v>1282</v>
      </c>
      <c r="C717" s="194" t="s">
        <v>2025</v>
      </c>
      <c r="D717" s="46"/>
      <c r="E717" s="46" t="s">
        <v>1281</v>
      </c>
      <c r="F717" s="61" t="s">
        <v>31</v>
      </c>
      <c r="G717" s="288">
        <v>6</v>
      </c>
      <c r="H717" s="289">
        <v>6</v>
      </c>
      <c r="I717" s="290">
        <v>40</v>
      </c>
      <c r="J717" s="48" t="s">
        <v>39</v>
      </c>
      <c r="K717" s="50"/>
      <c r="L717" s="53" t="str">
        <f t="shared" si="99"/>
        <v>40grams</v>
      </c>
      <c r="M717" s="54">
        <f t="shared" si="100"/>
        <v>240</v>
      </c>
      <c r="N717" s="55" t="str">
        <f t="shared" si="101"/>
        <v>240grams</v>
      </c>
      <c r="O717" s="56">
        <f t="shared" si="102"/>
        <v>36</v>
      </c>
      <c r="P717" s="44">
        <f t="shared" si="145"/>
        <v>6</v>
      </c>
      <c r="Q717" s="66"/>
      <c r="R717" s="32"/>
      <c r="S717" s="32"/>
      <c r="T717" s="32"/>
      <c r="U717" s="32"/>
      <c r="V717" s="32"/>
      <c r="W717" s="32"/>
      <c r="X717" s="32"/>
      <c r="Y717" s="32"/>
      <c r="Z717" s="32"/>
    </row>
    <row r="718" spans="1:26" ht="15" customHeight="1" x14ac:dyDescent="0.3">
      <c r="A718" s="45"/>
      <c r="B718" s="46" t="s">
        <v>1283</v>
      </c>
      <c r="C718" s="194" t="s">
        <v>2022</v>
      </c>
      <c r="D718" s="46"/>
      <c r="E718" s="46" t="s">
        <v>1284</v>
      </c>
      <c r="F718" s="61" t="s">
        <v>31</v>
      </c>
      <c r="G718" s="288">
        <v>89</v>
      </c>
      <c r="H718" s="289">
        <v>1</v>
      </c>
      <c r="I718" s="290">
        <v>60</v>
      </c>
      <c r="J718" s="48" t="s">
        <v>32</v>
      </c>
      <c r="K718" s="50"/>
      <c r="L718" s="53" t="str">
        <f t="shared" si="99"/>
        <v>60ml</v>
      </c>
      <c r="M718" s="54">
        <f t="shared" si="100"/>
        <v>60</v>
      </c>
      <c r="N718" s="55" t="str">
        <f t="shared" si="101"/>
        <v>60ml</v>
      </c>
      <c r="O718" s="56">
        <f t="shared" si="102"/>
        <v>89</v>
      </c>
      <c r="P718" s="12"/>
      <c r="Q718" s="12"/>
      <c r="R718" s="12"/>
      <c r="S718" s="151"/>
      <c r="T718" s="12"/>
      <c r="U718" s="12"/>
      <c r="V718" s="12"/>
      <c r="W718" s="12"/>
      <c r="X718" s="12"/>
      <c r="Y718" s="12"/>
      <c r="Z718" s="12"/>
    </row>
    <row r="719" spans="1:26" ht="15" customHeight="1" x14ac:dyDescent="0.3">
      <c r="A719" s="45"/>
      <c r="B719" s="219" t="s">
        <v>1283</v>
      </c>
      <c r="C719" s="194" t="s">
        <v>2021</v>
      </c>
      <c r="D719" s="46"/>
      <c r="E719" s="219" t="s">
        <v>1284</v>
      </c>
      <c r="F719" s="61" t="s">
        <v>31</v>
      </c>
      <c r="G719" s="291">
        <v>140</v>
      </c>
      <c r="H719" s="292">
        <v>1</v>
      </c>
      <c r="I719" s="293">
        <v>60</v>
      </c>
      <c r="J719" s="414" t="s">
        <v>32</v>
      </c>
      <c r="K719" s="50"/>
      <c r="L719" s="53" t="str">
        <f t="shared" si="99"/>
        <v>60ml</v>
      </c>
      <c r="M719" s="54">
        <f t="shared" si="100"/>
        <v>60</v>
      </c>
      <c r="N719" s="55" t="str">
        <f t="shared" si="101"/>
        <v>60ml</v>
      </c>
      <c r="O719" s="56">
        <f t="shared" si="102"/>
        <v>140</v>
      </c>
      <c r="P719" s="12"/>
      <c r="Q719" s="12"/>
      <c r="R719" s="12"/>
      <c r="S719" s="151"/>
      <c r="T719" s="12"/>
      <c r="U719" s="12"/>
      <c r="V719" s="12"/>
      <c r="W719" s="12"/>
      <c r="X719" s="12"/>
      <c r="Y719" s="12"/>
      <c r="Z719" s="12"/>
    </row>
    <row r="720" spans="1:26" ht="15" customHeight="1" x14ac:dyDescent="0.3">
      <c r="A720" s="45"/>
      <c r="B720" s="46" t="s">
        <v>1285</v>
      </c>
      <c r="C720" s="194" t="s">
        <v>2022</v>
      </c>
      <c r="D720" s="46"/>
      <c r="E720" s="46" t="s">
        <v>1286</v>
      </c>
      <c r="F720" s="61" t="s">
        <v>31</v>
      </c>
      <c r="G720" s="288">
        <v>22</v>
      </c>
      <c r="H720" s="289">
        <v>3</v>
      </c>
      <c r="I720" s="290">
        <v>50</v>
      </c>
      <c r="J720" s="48" t="s">
        <v>39</v>
      </c>
      <c r="K720" s="50"/>
      <c r="L720" s="53" t="str">
        <f t="shared" si="99"/>
        <v>50grams</v>
      </c>
      <c r="M720" s="54">
        <f t="shared" si="100"/>
        <v>150</v>
      </c>
      <c r="N720" s="55" t="str">
        <f t="shared" si="101"/>
        <v>150grams</v>
      </c>
      <c r="O720" s="56">
        <f t="shared" si="102"/>
        <v>66</v>
      </c>
      <c r="P720" s="12"/>
      <c r="Q720" s="12"/>
      <c r="R720" s="12"/>
      <c r="S720" s="151"/>
      <c r="T720" s="12"/>
      <c r="U720" s="12"/>
      <c r="V720" s="12"/>
      <c r="W720" s="12"/>
      <c r="X720" s="12"/>
      <c r="Y720" s="12"/>
      <c r="Z720" s="12"/>
    </row>
    <row r="721" spans="1:26" ht="15" customHeight="1" x14ac:dyDescent="0.3">
      <c r="A721" s="45">
        <v>114</v>
      </c>
      <c r="B721" s="46" t="s">
        <v>73</v>
      </c>
      <c r="C721" s="194" t="s">
        <v>2024</v>
      </c>
      <c r="D721" s="46"/>
      <c r="E721" s="46" t="s">
        <v>38</v>
      </c>
      <c r="F721" s="61" t="s">
        <v>31</v>
      </c>
      <c r="G721" s="288">
        <v>45</v>
      </c>
      <c r="H721" s="289">
        <v>20</v>
      </c>
      <c r="I721" s="290">
        <v>400</v>
      </c>
      <c r="J721" s="48" t="s">
        <v>39</v>
      </c>
      <c r="K721" s="50"/>
      <c r="L721" s="53" t="str">
        <f t="shared" si="99"/>
        <v>400grams</v>
      </c>
      <c r="M721" s="54">
        <f t="shared" si="100"/>
        <v>8000</v>
      </c>
      <c r="N721" s="55" t="str">
        <f t="shared" si="101"/>
        <v>8000grams</v>
      </c>
      <c r="O721" s="56">
        <f t="shared" si="102"/>
        <v>900</v>
      </c>
      <c r="P721" s="44">
        <f t="shared" ref="P721:P726" si="146">O721/H721</f>
        <v>45</v>
      </c>
      <c r="Q721" s="66"/>
      <c r="R721" s="32"/>
      <c r="S721" s="32"/>
      <c r="T721" s="32"/>
      <c r="U721" s="32"/>
      <c r="V721" s="32"/>
      <c r="W721" s="32"/>
      <c r="X721" s="32"/>
      <c r="Y721" s="32"/>
      <c r="Z721" s="32"/>
    </row>
    <row r="722" spans="1:26" ht="15" customHeight="1" x14ac:dyDescent="0.3">
      <c r="A722" s="45">
        <v>850</v>
      </c>
      <c r="B722" s="46" t="s">
        <v>73</v>
      </c>
      <c r="C722" s="194" t="s">
        <v>1368</v>
      </c>
      <c r="D722" s="46"/>
      <c r="E722" s="46" t="s">
        <v>38</v>
      </c>
      <c r="F722" s="61" t="s">
        <v>31</v>
      </c>
      <c r="G722" s="288">
        <v>66.5</v>
      </c>
      <c r="H722" s="289">
        <v>3</v>
      </c>
      <c r="I722" s="290">
        <v>500</v>
      </c>
      <c r="J722" s="48" t="s">
        <v>39</v>
      </c>
      <c r="K722" s="50"/>
      <c r="L722" s="53" t="str">
        <f t="shared" si="99"/>
        <v>500grams</v>
      </c>
      <c r="M722" s="54">
        <f t="shared" si="100"/>
        <v>1500</v>
      </c>
      <c r="N722" s="55" t="str">
        <f t="shared" si="101"/>
        <v>1500grams</v>
      </c>
      <c r="O722" s="56">
        <f t="shared" si="102"/>
        <v>199.5</v>
      </c>
      <c r="P722" s="44">
        <f t="shared" si="146"/>
        <v>66.5</v>
      </c>
      <c r="Q722" s="66"/>
      <c r="R722" s="32" t="b">
        <f>P722=G722</f>
        <v>1</v>
      </c>
      <c r="S722" s="32"/>
      <c r="T722" s="32"/>
      <c r="U722" s="32"/>
      <c r="V722" s="32"/>
      <c r="W722" s="32"/>
      <c r="X722" s="32"/>
      <c r="Y722" s="32"/>
      <c r="Z722" s="32"/>
    </row>
    <row r="723" spans="1:26" ht="15" customHeight="1" x14ac:dyDescent="0.3">
      <c r="A723" s="45">
        <v>12</v>
      </c>
      <c r="B723" s="46" t="s">
        <v>73</v>
      </c>
      <c r="C723" s="194" t="s">
        <v>29</v>
      </c>
      <c r="D723" s="46"/>
      <c r="E723" s="46" t="s">
        <v>38</v>
      </c>
      <c r="F723" s="61" t="s">
        <v>31</v>
      </c>
      <c r="G723" s="288">
        <v>57.4</v>
      </c>
      <c r="H723" s="289">
        <v>3</v>
      </c>
      <c r="I723" s="290">
        <v>500</v>
      </c>
      <c r="J723" s="48" t="s">
        <v>39</v>
      </c>
      <c r="K723" s="61" t="s">
        <v>2019</v>
      </c>
      <c r="L723" s="415" t="str">
        <f t="shared" si="99"/>
        <v>500grams</v>
      </c>
      <c r="M723" s="416">
        <f t="shared" si="100"/>
        <v>1500</v>
      </c>
      <c r="N723" s="417" t="str">
        <f t="shared" si="101"/>
        <v>1500grams</v>
      </c>
      <c r="O723" s="418">
        <f t="shared" si="102"/>
        <v>172.2</v>
      </c>
      <c r="P723" s="419">
        <f t="shared" si="146"/>
        <v>57.4</v>
      </c>
      <c r="Q723" s="66"/>
      <c r="R723" s="32"/>
      <c r="S723" s="32"/>
      <c r="T723" s="32"/>
      <c r="U723" s="32"/>
      <c r="V723" s="32"/>
      <c r="W723" s="32"/>
      <c r="X723" s="32"/>
      <c r="Y723" s="32"/>
      <c r="Z723" s="32"/>
    </row>
    <row r="724" spans="1:26" ht="15" customHeight="1" x14ac:dyDescent="0.3">
      <c r="A724" s="45">
        <v>145</v>
      </c>
      <c r="B724" s="46" t="s">
        <v>73</v>
      </c>
      <c r="C724" s="194" t="s">
        <v>2024</v>
      </c>
      <c r="D724" s="46"/>
      <c r="E724" s="46" t="s">
        <v>38</v>
      </c>
      <c r="F724" s="61" t="s">
        <v>31</v>
      </c>
      <c r="G724" s="288">
        <v>57.4</v>
      </c>
      <c r="H724" s="289">
        <v>7</v>
      </c>
      <c r="I724" s="290">
        <v>500</v>
      </c>
      <c r="J724" s="48" t="s">
        <v>39</v>
      </c>
      <c r="K724" s="50"/>
      <c r="L724" s="53" t="str">
        <f t="shared" si="99"/>
        <v>500grams</v>
      </c>
      <c r="M724" s="54">
        <f t="shared" si="100"/>
        <v>3500</v>
      </c>
      <c r="N724" s="55" t="str">
        <f t="shared" si="101"/>
        <v>3500grams</v>
      </c>
      <c r="O724" s="56">
        <f t="shared" si="102"/>
        <v>401.8</v>
      </c>
      <c r="P724" s="44">
        <f t="shared" si="146"/>
        <v>57.4</v>
      </c>
      <c r="Q724" s="66"/>
      <c r="R724" s="32" t="b">
        <f t="shared" ref="R724:R725" si="147">P724=G724</f>
        <v>1</v>
      </c>
      <c r="S724" s="32"/>
      <c r="T724" s="32"/>
      <c r="U724" s="32"/>
      <c r="V724" s="32"/>
      <c r="W724" s="32"/>
      <c r="X724" s="32"/>
      <c r="Y724" s="32"/>
      <c r="Z724" s="32"/>
    </row>
    <row r="725" spans="1:26" ht="15" customHeight="1" x14ac:dyDescent="0.3">
      <c r="A725" s="45">
        <v>258</v>
      </c>
      <c r="B725" s="46" t="s">
        <v>73</v>
      </c>
      <c r="C725" s="194" t="s">
        <v>2025</v>
      </c>
      <c r="D725" s="46"/>
      <c r="E725" s="46" t="s">
        <v>38</v>
      </c>
      <c r="F725" s="61" t="s">
        <v>31</v>
      </c>
      <c r="G725" s="288">
        <v>59.5</v>
      </c>
      <c r="H725" s="289">
        <v>5</v>
      </c>
      <c r="I725" s="290">
        <v>500</v>
      </c>
      <c r="J725" s="48" t="s">
        <v>39</v>
      </c>
      <c r="K725" s="50"/>
      <c r="L725" s="53" t="str">
        <f t="shared" si="99"/>
        <v>500grams</v>
      </c>
      <c r="M725" s="54">
        <f t="shared" si="100"/>
        <v>2500</v>
      </c>
      <c r="N725" s="55" t="str">
        <f t="shared" si="101"/>
        <v>2500grams</v>
      </c>
      <c r="O725" s="56">
        <f t="shared" si="102"/>
        <v>297.5</v>
      </c>
      <c r="P725" s="44">
        <f t="shared" si="146"/>
        <v>59.5</v>
      </c>
      <c r="Q725" s="66"/>
      <c r="R725" s="32" t="b">
        <f t="shared" si="147"/>
        <v>1</v>
      </c>
      <c r="S725" s="32"/>
      <c r="T725" s="32"/>
      <c r="U725" s="32"/>
      <c r="V725" s="32"/>
      <c r="W725" s="32"/>
      <c r="X725" s="32"/>
      <c r="Y725" s="32"/>
      <c r="Z725" s="32"/>
    </row>
    <row r="726" spans="1:26" ht="15" customHeight="1" x14ac:dyDescent="0.3">
      <c r="A726" s="45">
        <v>684</v>
      </c>
      <c r="B726" s="46" t="s">
        <v>73</v>
      </c>
      <c r="C726" s="194" t="s">
        <v>2026</v>
      </c>
      <c r="D726" s="46"/>
      <c r="E726" s="46" t="s">
        <v>38</v>
      </c>
      <c r="F726" s="61" t="s">
        <v>31</v>
      </c>
      <c r="G726" s="288">
        <v>57.4</v>
      </c>
      <c r="H726" s="289">
        <v>8</v>
      </c>
      <c r="I726" s="290">
        <v>500</v>
      </c>
      <c r="J726" s="48" t="s">
        <v>39</v>
      </c>
      <c r="K726" s="50"/>
      <c r="L726" s="53" t="str">
        <f t="shared" si="99"/>
        <v>500grams</v>
      </c>
      <c r="M726" s="54">
        <f t="shared" si="100"/>
        <v>4000</v>
      </c>
      <c r="N726" s="55" t="str">
        <f t="shared" si="101"/>
        <v>4000grams</v>
      </c>
      <c r="O726" s="56">
        <f t="shared" si="102"/>
        <v>459.2</v>
      </c>
      <c r="P726" s="44">
        <f t="shared" si="146"/>
        <v>57.4</v>
      </c>
      <c r="Q726" s="66"/>
      <c r="R726" s="32"/>
      <c r="S726" s="32"/>
      <c r="T726" s="32"/>
      <c r="U726" s="32"/>
      <c r="V726" s="32"/>
      <c r="W726" s="32"/>
      <c r="X726" s="32"/>
      <c r="Y726" s="32"/>
      <c r="Z726" s="32"/>
    </row>
    <row r="727" spans="1:26" ht="15" customHeight="1" x14ac:dyDescent="0.3">
      <c r="A727" s="45"/>
      <c r="B727" s="46" t="s">
        <v>73</v>
      </c>
      <c r="C727" s="194" t="s">
        <v>2023</v>
      </c>
      <c r="D727" s="46"/>
      <c r="E727" s="46" t="s">
        <v>38</v>
      </c>
      <c r="F727" s="61" t="s">
        <v>31</v>
      </c>
      <c r="G727" s="288">
        <v>77</v>
      </c>
      <c r="H727" s="289">
        <v>5</v>
      </c>
      <c r="I727" s="290">
        <v>500</v>
      </c>
      <c r="J727" s="48" t="s">
        <v>39</v>
      </c>
      <c r="K727" s="50"/>
      <c r="L727" s="53" t="str">
        <f t="shared" si="99"/>
        <v>500grams</v>
      </c>
      <c r="M727" s="54">
        <f t="shared" si="100"/>
        <v>2500</v>
      </c>
      <c r="N727" s="55" t="str">
        <f t="shared" si="101"/>
        <v>2500grams</v>
      </c>
      <c r="O727" s="56">
        <f t="shared" si="102"/>
        <v>385</v>
      </c>
      <c r="P727" s="12"/>
      <c r="Q727" s="12"/>
      <c r="R727" s="12"/>
      <c r="S727" s="151"/>
      <c r="T727" s="12"/>
      <c r="U727" s="12"/>
      <c r="V727" s="12"/>
      <c r="W727" s="12"/>
      <c r="X727" s="12"/>
      <c r="Y727" s="12"/>
      <c r="Z727" s="12"/>
    </row>
    <row r="728" spans="1:26" ht="15" customHeight="1" x14ac:dyDescent="0.3">
      <c r="A728" s="45"/>
      <c r="B728" s="46" t="s">
        <v>73</v>
      </c>
      <c r="C728" s="194" t="s">
        <v>2022</v>
      </c>
      <c r="D728" s="46"/>
      <c r="E728" s="46" t="s">
        <v>38</v>
      </c>
      <c r="F728" s="61" t="s">
        <v>31</v>
      </c>
      <c r="G728" s="288">
        <v>57.4</v>
      </c>
      <c r="H728" s="289">
        <v>5</v>
      </c>
      <c r="I728" s="290">
        <v>500</v>
      </c>
      <c r="J728" s="48" t="s">
        <v>39</v>
      </c>
      <c r="K728" s="50"/>
      <c r="L728" s="53" t="str">
        <f t="shared" si="99"/>
        <v>500grams</v>
      </c>
      <c r="M728" s="54">
        <f t="shared" si="100"/>
        <v>2500</v>
      </c>
      <c r="N728" s="55" t="str">
        <f t="shared" si="101"/>
        <v>2500grams</v>
      </c>
      <c r="O728" s="56">
        <f t="shared" si="102"/>
        <v>287</v>
      </c>
      <c r="P728" s="12"/>
      <c r="Q728" s="12"/>
      <c r="R728" s="12"/>
      <c r="S728" s="151"/>
      <c r="T728" s="12"/>
      <c r="U728" s="12"/>
      <c r="V728" s="12"/>
      <c r="W728" s="12"/>
      <c r="X728" s="12"/>
      <c r="Y728" s="12"/>
      <c r="Z728" s="12"/>
    </row>
    <row r="729" spans="1:26" ht="15" customHeight="1" x14ac:dyDescent="0.3">
      <c r="A729" s="45"/>
      <c r="B729" s="219" t="s">
        <v>73</v>
      </c>
      <c r="C729" s="194" t="s">
        <v>2021</v>
      </c>
      <c r="D729" s="46"/>
      <c r="E729" s="46" t="s">
        <v>38</v>
      </c>
      <c r="F729" s="61" t="s">
        <v>31</v>
      </c>
      <c r="G729" s="291">
        <v>87</v>
      </c>
      <c r="H729" s="292">
        <v>1</v>
      </c>
      <c r="I729" s="293">
        <v>500</v>
      </c>
      <c r="J729" s="414" t="s">
        <v>39</v>
      </c>
      <c r="K729" s="50"/>
      <c r="L729" s="53" t="str">
        <f t="shared" si="99"/>
        <v>500grams</v>
      </c>
      <c r="M729" s="54">
        <f t="shared" si="100"/>
        <v>500</v>
      </c>
      <c r="N729" s="55" t="str">
        <f t="shared" si="101"/>
        <v>500grams</v>
      </c>
      <c r="O729" s="56">
        <f t="shared" si="102"/>
        <v>87</v>
      </c>
      <c r="P729" s="12"/>
      <c r="Q729" s="12"/>
      <c r="R729" s="12"/>
      <c r="S729" s="151"/>
      <c r="T729" s="12"/>
      <c r="U729" s="12"/>
      <c r="V729" s="12"/>
      <c r="W729" s="12"/>
      <c r="X729" s="12"/>
      <c r="Y729" s="12"/>
      <c r="Z729" s="12"/>
    </row>
    <row r="730" spans="1:26" ht="15" customHeight="1" x14ac:dyDescent="0.3">
      <c r="A730" s="45"/>
      <c r="B730" s="46" t="s">
        <v>73</v>
      </c>
      <c r="C730" s="194" t="s">
        <v>2020</v>
      </c>
      <c r="D730" s="46"/>
      <c r="E730" s="46" t="s">
        <v>38</v>
      </c>
      <c r="F730" s="61" t="s">
        <v>31</v>
      </c>
      <c r="G730" s="288">
        <v>57.4</v>
      </c>
      <c r="H730" s="289">
        <v>4</v>
      </c>
      <c r="I730" s="290">
        <v>500</v>
      </c>
      <c r="J730" s="48" t="s">
        <v>39</v>
      </c>
      <c r="K730" s="50"/>
      <c r="L730" s="53" t="str">
        <f t="shared" si="99"/>
        <v>500grams</v>
      </c>
      <c r="M730" s="54">
        <f t="shared" si="100"/>
        <v>2000</v>
      </c>
      <c r="N730" s="55" t="str">
        <f t="shared" si="101"/>
        <v>2000grams</v>
      </c>
      <c r="O730" s="56">
        <f t="shared" si="102"/>
        <v>229.6</v>
      </c>
      <c r="P730" s="12"/>
      <c r="Q730" s="12"/>
      <c r="R730" s="12"/>
      <c r="S730" s="151"/>
      <c r="T730" s="12"/>
      <c r="U730" s="12"/>
      <c r="V730" s="12"/>
      <c r="W730" s="12"/>
      <c r="X730" s="12"/>
      <c r="Y730" s="12"/>
      <c r="Z730" s="12"/>
    </row>
    <row r="731" spans="1:26" ht="15" customHeight="1" x14ac:dyDescent="0.3">
      <c r="A731" s="45"/>
      <c r="B731" s="46" t="s">
        <v>1287</v>
      </c>
      <c r="C731" s="194" t="s">
        <v>2020</v>
      </c>
      <c r="D731" s="46"/>
      <c r="E731" s="46" t="s">
        <v>870</v>
      </c>
      <c r="F731" s="61" t="s">
        <v>31</v>
      </c>
      <c r="G731" s="288">
        <v>195</v>
      </c>
      <c r="H731" s="289">
        <v>6</v>
      </c>
      <c r="I731" s="290">
        <v>1000</v>
      </c>
      <c r="J731" s="48" t="s">
        <v>213</v>
      </c>
      <c r="K731" s="50"/>
      <c r="L731" s="53" t="str">
        <f t="shared" si="99"/>
        <v>1000kilos</v>
      </c>
      <c r="M731" s="54">
        <f t="shared" si="100"/>
        <v>6000</v>
      </c>
      <c r="N731" s="55" t="str">
        <f t="shared" si="101"/>
        <v>6000kilos</v>
      </c>
      <c r="O731" s="56">
        <f t="shared" si="102"/>
        <v>1170</v>
      </c>
      <c r="P731" s="12"/>
      <c r="Q731" s="12"/>
      <c r="R731" s="12"/>
      <c r="S731" s="151"/>
      <c r="T731" s="12"/>
      <c r="U731" s="12"/>
      <c r="V731" s="12"/>
      <c r="W731" s="12"/>
      <c r="X731" s="12"/>
      <c r="Y731" s="12"/>
      <c r="Z731" s="12"/>
    </row>
    <row r="732" spans="1:26" ht="15" customHeight="1" x14ac:dyDescent="0.3">
      <c r="A732" s="45">
        <v>865</v>
      </c>
      <c r="B732" s="46" t="s">
        <v>1288</v>
      </c>
      <c r="C732" s="194" t="s">
        <v>1368</v>
      </c>
      <c r="D732" s="46"/>
      <c r="E732" s="46" t="s">
        <v>1289</v>
      </c>
      <c r="F732" s="61" t="s">
        <v>31</v>
      </c>
      <c r="G732" s="288">
        <v>218</v>
      </c>
      <c r="H732" s="289">
        <v>2</v>
      </c>
      <c r="I732" s="290">
        <v>1000</v>
      </c>
      <c r="J732" s="48" t="s">
        <v>39</v>
      </c>
      <c r="K732" s="50" t="s">
        <v>2019</v>
      </c>
      <c r="L732" s="53" t="str">
        <f t="shared" si="99"/>
        <v>1000grams</v>
      </c>
      <c r="M732" s="54">
        <f t="shared" si="100"/>
        <v>2000</v>
      </c>
      <c r="N732" s="55" t="str">
        <f t="shared" si="101"/>
        <v>2000grams</v>
      </c>
      <c r="O732" s="56">
        <f t="shared" si="102"/>
        <v>436</v>
      </c>
      <c r="P732" s="44">
        <f>O732/H732</f>
        <v>218</v>
      </c>
      <c r="Q732" s="66">
        <f>G732-P732</f>
        <v>0</v>
      </c>
      <c r="R732" s="32" t="b">
        <f>P732=G732</f>
        <v>1</v>
      </c>
      <c r="S732" s="32"/>
      <c r="T732" s="32"/>
      <c r="U732" s="32"/>
      <c r="V732" s="32"/>
      <c r="W732" s="32"/>
      <c r="X732" s="32"/>
      <c r="Y732" s="32"/>
      <c r="Z732" s="32"/>
    </row>
    <row r="733" spans="1:26" ht="15" customHeight="1" x14ac:dyDescent="0.3">
      <c r="A733" s="45">
        <v>896</v>
      </c>
      <c r="B733" s="46" t="s">
        <v>1288</v>
      </c>
      <c r="C733" s="194" t="s">
        <v>1368</v>
      </c>
      <c r="D733" s="46"/>
      <c r="E733" s="46" t="s">
        <v>1290</v>
      </c>
      <c r="F733" s="61" t="s">
        <v>31</v>
      </c>
      <c r="G733" s="288">
        <v>289</v>
      </c>
      <c r="H733" s="289">
        <v>1</v>
      </c>
      <c r="I733" s="290">
        <v>1000</v>
      </c>
      <c r="J733" s="48" t="s">
        <v>39</v>
      </c>
      <c r="K733" s="50"/>
      <c r="L733" s="53" t="str">
        <f t="shared" si="99"/>
        <v>1000grams</v>
      </c>
      <c r="M733" s="54">
        <f t="shared" si="100"/>
        <v>1000</v>
      </c>
      <c r="N733" s="55" t="str">
        <f t="shared" si="101"/>
        <v>1000grams</v>
      </c>
      <c r="O733" s="56">
        <f t="shared" si="102"/>
        <v>289</v>
      </c>
      <c r="P733" s="44"/>
      <c r="Q733" s="66"/>
      <c r="R733" s="32"/>
      <c r="S733" s="32"/>
      <c r="T733" s="32"/>
      <c r="U733" s="32"/>
      <c r="V733" s="32"/>
      <c r="W733" s="32"/>
      <c r="X733" s="32"/>
      <c r="Y733" s="32"/>
      <c r="Z733" s="32"/>
    </row>
    <row r="734" spans="1:26" ht="15" customHeight="1" x14ac:dyDescent="0.3">
      <c r="A734" s="45">
        <v>866</v>
      </c>
      <c r="B734" s="46" t="s">
        <v>1291</v>
      </c>
      <c r="C734" s="194" t="s">
        <v>1368</v>
      </c>
      <c r="D734" s="46"/>
      <c r="E734" s="46" t="s">
        <v>870</v>
      </c>
      <c r="F734" s="61" t="s">
        <v>31</v>
      </c>
      <c r="G734" s="288">
        <v>215</v>
      </c>
      <c r="H734" s="289">
        <v>2</v>
      </c>
      <c r="I734" s="290">
        <v>1000</v>
      </c>
      <c r="J734" s="48" t="s">
        <v>39</v>
      </c>
      <c r="K734" s="50" t="s">
        <v>2019</v>
      </c>
      <c r="L734" s="53" t="str">
        <f t="shared" si="99"/>
        <v>1000grams</v>
      </c>
      <c r="M734" s="54">
        <f t="shared" si="100"/>
        <v>2000</v>
      </c>
      <c r="N734" s="55" t="str">
        <f t="shared" si="101"/>
        <v>2000grams</v>
      </c>
      <c r="O734" s="56">
        <f t="shared" si="102"/>
        <v>430</v>
      </c>
      <c r="P734" s="44">
        <f t="shared" ref="P734:P736" si="148">O734/H734</f>
        <v>215</v>
      </c>
      <c r="Q734" s="66">
        <f t="shared" ref="Q734:Q736" si="149">G734-P734</f>
        <v>0</v>
      </c>
      <c r="R734" s="32" t="b">
        <f t="shared" ref="R734:R736" si="150">P734=G734</f>
        <v>1</v>
      </c>
      <c r="S734" s="32"/>
      <c r="T734" s="32"/>
      <c r="U734" s="32"/>
      <c r="V734" s="32"/>
      <c r="W734" s="32"/>
      <c r="X734" s="32"/>
      <c r="Y734" s="32"/>
      <c r="Z734" s="32"/>
    </row>
    <row r="735" spans="1:26" ht="15" customHeight="1" x14ac:dyDescent="0.3">
      <c r="A735" s="45">
        <v>544</v>
      </c>
      <c r="B735" s="46" t="s">
        <v>1292</v>
      </c>
      <c r="C735" s="194" t="s">
        <v>2026</v>
      </c>
      <c r="D735" s="46"/>
      <c r="E735" s="46" t="s">
        <v>870</v>
      </c>
      <c r="F735" s="61" t="s">
        <v>31</v>
      </c>
      <c r="G735" s="288">
        <v>189.5</v>
      </c>
      <c r="H735" s="289">
        <v>5</v>
      </c>
      <c r="I735" s="290">
        <v>1000</v>
      </c>
      <c r="J735" s="48" t="s">
        <v>39</v>
      </c>
      <c r="K735" s="50" t="s">
        <v>2019</v>
      </c>
      <c r="L735" s="53" t="str">
        <f t="shared" si="99"/>
        <v>1000grams</v>
      </c>
      <c r="M735" s="54">
        <f t="shared" si="100"/>
        <v>5000</v>
      </c>
      <c r="N735" s="55" t="str">
        <f t="shared" si="101"/>
        <v>5000grams</v>
      </c>
      <c r="O735" s="56">
        <f t="shared" si="102"/>
        <v>947.5</v>
      </c>
      <c r="P735" s="44">
        <f t="shared" si="148"/>
        <v>189.5</v>
      </c>
      <c r="Q735" s="44">
        <f t="shared" si="149"/>
        <v>0</v>
      </c>
      <c r="R735" s="32" t="b">
        <f t="shared" si="150"/>
        <v>1</v>
      </c>
      <c r="S735" s="32"/>
      <c r="T735" s="32"/>
      <c r="U735" s="32"/>
      <c r="V735" s="32"/>
      <c r="W735" s="32"/>
      <c r="X735" s="32"/>
      <c r="Y735" s="32"/>
      <c r="Z735" s="32"/>
    </row>
    <row r="736" spans="1:26" ht="15" customHeight="1" x14ac:dyDescent="0.3">
      <c r="A736" s="45">
        <v>867</v>
      </c>
      <c r="B736" s="46" t="s">
        <v>1292</v>
      </c>
      <c r="C736" s="194" t="s">
        <v>1368</v>
      </c>
      <c r="D736" s="46"/>
      <c r="E736" s="46" t="s">
        <v>1289</v>
      </c>
      <c r="F736" s="61" t="s">
        <v>31</v>
      </c>
      <c r="G736" s="288">
        <v>208</v>
      </c>
      <c r="H736" s="289">
        <v>2</v>
      </c>
      <c r="I736" s="290">
        <v>1000</v>
      </c>
      <c r="J736" s="48" t="s">
        <v>39</v>
      </c>
      <c r="K736" s="50" t="s">
        <v>2019</v>
      </c>
      <c r="L736" s="53" t="str">
        <f t="shared" si="99"/>
        <v>1000grams</v>
      </c>
      <c r="M736" s="54">
        <f t="shared" si="100"/>
        <v>2000</v>
      </c>
      <c r="N736" s="55" t="str">
        <f t="shared" si="101"/>
        <v>2000grams</v>
      </c>
      <c r="O736" s="56">
        <f t="shared" si="102"/>
        <v>416</v>
      </c>
      <c r="P736" s="44">
        <f t="shared" si="148"/>
        <v>208</v>
      </c>
      <c r="Q736" s="66">
        <f t="shared" si="149"/>
        <v>0</v>
      </c>
      <c r="R736" s="32" t="b">
        <f t="shared" si="150"/>
        <v>1</v>
      </c>
      <c r="S736" s="32"/>
      <c r="T736" s="32"/>
      <c r="U736" s="32"/>
      <c r="V736" s="32"/>
      <c r="W736" s="32"/>
      <c r="X736" s="32"/>
      <c r="Y736" s="32"/>
      <c r="Z736" s="32"/>
    </row>
    <row r="737" spans="1:26" ht="15" customHeight="1" x14ac:dyDescent="0.3">
      <c r="A737" s="45"/>
      <c r="B737" s="46" t="s">
        <v>1292</v>
      </c>
      <c r="C737" s="194" t="s">
        <v>2023</v>
      </c>
      <c r="D737" s="46"/>
      <c r="E737" s="46" t="s">
        <v>870</v>
      </c>
      <c r="F737" s="61" t="s">
        <v>31</v>
      </c>
      <c r="G737" s="288">
        <v>189</v>
      </c>
      <c r="H737" s="289">
        <v>9</v>
      </c>
      <c r="I737" s="290">
        <v>1000</v>
      </c>
      <c r="J737" s="48" t="s">
        <v>39</v>
      </c>
      <c r="K737" s="50"/>
      <c r="L737" s="53" t="str">
        <f t="shared" si="99"/>
        <v>1000grams</v>
      </c>
      <c r="M737" s="54">
        <f t="shared" si="100"/>
        <v>9000</v>
      </c>
      <c r="N737" s="55" t="str">
        <f t="shared" si="101"/>
        <v>9000grams</v>
      </c>
      <c r="O737" s="56">
        <f t="shared" si="102"/>
        <v>1701</v>
      </c>
      <c r="P737" s="12"/>
      <c r="Q737" s="12"/>
      <c r="R737" s="12"/>
      <c r="S737" s="151"/>
      <c r="T737" s="12"/>
      <c r="U737" s="12"/>
      <c r="V737" s="12"/>
      <c r="W737" s="12"/>
      <c r="X737" s="12"/>
      <c r="Y737" s="12"/>
      <c r="Z737" s="12"/>
    </row>
    <row r="738" spans="1:26" ht="15" customHeight="1" x14ac:dyDescent="0.3">
      <c r="A738" s="45"/>
      <c r="B738" s="46" t="s">
        <v>1292</v>
      </c>
      <c r="C738" s="194" t="s">
        <v>2022</v>
      </c>
      <c r="D738" s="46"/>
      <c r="E738" s="46" t="s">
        <v>870</v>
      </c>
      <c r="F738" s="61" t="s">
        <v>31</v>
      </c>
      <c r="G738" s="288">
        <v>205</v>
      </c>
      <c r="H738" s="289">
        <v>1</v>
      </c>
      <c r="I738" s="290">
        <v>1000</v>
      </c>
      <c r="J738" s="48" t="s">
        <v>39</v>
      </c>
      <c r="K738" s="50"/>
      <c r="L738" s="53" t="str">
        <f t="shared" si="99"/>
        <v>1000grams</v>
      </c>
      <c r="M738" s="54">
        <f t="shared" si="100"/>
        <v>1000</v>
      </c>
      <c r="N738" s="55" t="str">
        <f t="shared" si="101"/>
        <v>1000grams</v>
      </c>
      <c r="O738" s="56">
        <f t="shared" si="102"/>
        <v>205</v>
      </c>
      <c r="P738" s="12"/>
      <c r="Q738" s="12"/>
      <c r="R738" s="12"/>
      <c r="S738" s="151"/>
      <c r="T738" s="12"/>
      <c r="U738" s="12"/>
      <c r="V738" s="12"/>
      <c r="W738" s="12"/>
      <c r="X738" s="12"/>
      <c r="Y738" s="12"/>
      <c r="Z738" s="12"/>
    </row>
    <row r="739" spans="1:26" ht="15" customHeight="1" x14ac:dyDescent="0.3">
      <c r="A739" s="45"/>
      <c r="B739" s="46" t="s">
        <v>1292</v>
      </c>
      <c r="C739" s="194" t="s">
        <v>2021</v>
      </c>
      <c r="D739" s="46"/>
      <c r="E739" s="46" t="s">
        <v>870</v>
      </c>
      <c r="F739" s="61" t="s">
        <v>31</v>
      </c>
      <c r="G739" s="291">
        <v>175</v>
      </c>
      <c r="H739" s="292">
        <v>1</v>
      </c>
      <c r="I739" s="293">
        <v>1000</v>
      </c>
      <c r="J739" s="414" t="s">
        <v>39</v>
      </c>
      <c r="K739" s="50"/>
      <c r="L739" s="53" t="str">
        <f t="shared" si="99"/>
        <v>1000grams</v>
      </c>
      <c r="M739" s="54">
        <f t="shared" si="100"/>
        <v>1000</v>
      </c>
      <c r="N739" s="55" t="str">
        <f t="shared" si="101"/>
        <v>1000grams</v>
      </c>
      <c r="O739" s="56">
        <f t="shared" si="102"/>
        <v>175</v>
      </c>
      <c r="P739" s="12"/>
      <c r="Q739" s="12"/>
      <c r="R739" s="12"/>
      <c r="S739" s="151"/>
      <c r="T739" s="12"/>
      <c r="U739" s="12"/>
      <c r="V739" s="12"/>
      <c r="W739" s="12"/>
      <c r="X739" s="12"/>
      <c r="Y739" s="12"/>
      <c r="Z739" s="12"/>
    </row>
    <row r="740" spans="1:26" ht="15" customHeight="1" x14ac:dyDescent="0.3">
      <c r="A740" s="45">
        <v>155</v>
      </c>
      <c r="B740" s="46" t="s">
        <v>1293</v>
      </c>
      <c r="C740" s="194" t="s">
        <v>2024</v>
      </c>
      <c r="D740" s="46"/>
      <c r="E740" s="46" t="s">
        <v>870</v>
      </c>
      <c r="F740" s="61" t="s">
        <v>31</v>
      </c>
      <c r="G740" s="288">
        <v>195</v>
      </c>
      <c r="H740" s="289">
        <v>5</v>
      </c>
      <c r="I740" s="290">
        <v>1000</v>
      </c>
      <c r="J740" s="48" t="s">
        <v>39</v>
      </c>
      <c r="K740" s="50"/>
      <c r="L740" s="53" t="str">
        <f t="shared" si="99"/>
        <v>1000grams</v>
      </c>
      <c r="M740" s="54">
        <f t="shared" si="100"/>
        <v>5000</v>
      </c>
      <c r="N740" s="55" t="str">
        <f t="shared" si="101"/>
        <v>5000grams</v>
      </c>
      <c r="O740" s="56">
        <f t="shared" si="102"/>
        <v>975</v>
      </c>
      <c r="P740" s="44">
        <f t="shared" ref="P740:P742" si="151">O740/H740</f>
        <v>195</v>
      </c>
      <c r="Q740" s="66"/>
      <c r="R740" s="32" t="b">
        <f>P740=G740</f>
        <v>1</v>
      </c>
      <c r="S740" s="32"/>
      <c r="T740" s="32"/>
      <c r="U740" s="32"/>
      <c r="V740" s="32"/>
      <c r="W740" s="32"/>
      <c r="X740" s="32"/>
      <c r="Y740" s="32"/>
      <c r="Z740" s="32"/>
    </row>
    <row r="741" spans="1:26" ht="15" customHeight="1" x14ac:dyDescent="0.3">
      <c r="A741" s="45">
        <v>852</v>
      </c>
      <c r="B741" s="46" t="s">
        <v>1293</v>
      </c>
      <c r="C741" s="194" t="s">
        <v>1368</v>
      </c>
      <c r="D741" s="46"/>
      <c r="E741" s="46" t="s">
        <v>870</v>
      </c>
      <c r="F741" s="61" t="s">
        <v>31</v>
      </c>
      <c r="G741" s="288">
        <v>215</v>
      </c>
      <c r="H741" s="289">
        <v>3</v>
      </c>
      <c r="I741" s="290">
        <v>1000</v>
      </c>
      <c r="J741" s="48" t="s">
        <v>39</v>
      </c>
      <c r="K741" s="50"/>
      <c r="L741" s="53" t="str">
        <f t="shared" si="99"/>
        <v>1000grams</v>
      </c>
      <c r="M741" s="54">
        <f t="shared" si="100"/>
        <v>3000</v>
      </c>
      <c r="N741" s="55" t="str">
        <f t="shared" si="101"/>
        <v>3000grams</v>
      </c>
      <c r="O741" s="56">
        <f t="shared" si="102"/>
        <v>645</v>
      </c>
      <c r="P741" s="44">
        <f t="shared" si="151"/>
        <v>215</v>
      </c>
      <c r="Q741" s="66"/>
      <c r="R741" s="32"/>
      <c r="S741" s="32"/>
      <c r="T741" s="32"/>
      <c r="U741" s="32"/>
      <c r="V741" s="32"/>
      <c r="W741" s="32"/>
      <c r="X741" s="32"/>
      <c r="Y741" s="32"/>
      <c r="Z741" s="32"/>
    </row>
    <row r="742" spans="1:26" ht="15" customHeight="1" x14ac:dyDescent="0.3">
      <c r="A742" s="45">
        <v>26</v>
      </c>
      <c r="B742" s="46" t="s">
        <v>1294</v>
      </c>
      <c r="C742" s="194" t="s">
        <v>29</v>
      </c>
      <c r="D742" s="46"/>
      <c r="E742" s="46" t="s">
        <v>1157</v>
      </c>
      <c r="F742" s="61" t="s">
        <v>31</v>
      </c>
      <c r="G742" s="288">
        <v>192</v>
      </c>
      <c r="H742" s="289">
        <v>1</v>
      </c>
      <c r="I742" s="290">
        <v>1</v>
      </c>
      <c r="J742" s="48" t="s">
        <v>213</v>
      </c>
      <c r="K742" s="61" t="s">
        <v>2019</v>
      </c>
      <c r="L742" s="415" t="str">
        <f t="shared" si="99"/>
        <v>1kilos</v>
      </c>
      <c r="M742" s="416">
        <f t="shared" si="100"/>
        <v>1</v>
      </c>
      <c r="N742" s="417" t="str">
        <f t="shared" si="101"/>
        <v>1kilos</v>
      </c>
      <c r="O742" s="418">
        <f t="shared" si="102"/>
        <v>192</v>
      </c>
      <c r="P742" s="419">
        <f t="shared" si="151"/>
        <v>192</v>
      </c>
      <c r="Q742" s="66"/>
      <c r="R742" s="32"/>
      <c r="S742" s="32"/>
      <c r="T742" s="32"/>
      <c r="U742" s="32"/>
      <c r="V742" s="32"/>
      <c r="W742" s="32"/>
      <c r="X742" s="32"/>
      <c r="Y742" s="32"/>
      <c r="Z742" s="32"/>
    </row>
    <row r="743" spans="1:26" ht="15" customHeight="1" x14ac:dyDescent="0.3">
      <c r="A743" s="45"/>
      <c r="B743" s="46" t="s">
        <v>1295</v>
      </c>
      <c r="C743" s="194" t="s">
        <v>2020</v>
      </c>
      <c r="D743" s="46"/>
      <c r="E743" s="46" t="s">
        <v>871</v>
      </c>
      <c r="F743" s="61" t="s">
        <v>31</v>
      </c>
      <c r="G743" s="288">
        <v>165</v>
      </c>
      <c r="H743" s="289">
        <v>1</v>
      </c>
      <c r="I743" s="290">
        <v>500</v>
      </c>
      <c r="J743" s="48" t="s">
        <v>39</v>
      </c>
      <c r="K743" s="50"/>
      <c r="L743" s="53" t="str">
        <f t="shared" si="99"/>
        <v>500grams</v>
      </c>
      <c r="M743" s="54">
        <f t="shared" si="100"/>
        <v>500</v>
      </c>
      <c r="N743" s="55" t="str">
        <f t="shared" si="101"/>
        <v>500grams</v>
      </c>
      <c r="O743" s="56">
        <f t="shared" si="102"/>
        <v>165</v>
      </c>
      <c r="P743" s="12"/>
      <c r="Q743" s="12"/>
      <c r="R743" s="12"/>
      <c r="S743" s="151"/>
      <c r="T743" s="12"/>
      <c r="U743" s="12"/>
      <c r="V743" s="12"/>
      <c r="W743" s="12"/>
      <c r="X743" s="12"/>
      <c r="Y743" s="12"/>
      <c r="Z743" s="12"/>
    </row>
    <row r="744" spans="1:26" ht="15" customHeight="1" x14ac:dyDescent="0.3">
      <c r="A744" s="45">
        <v>767</v>
      </c>
      <c r="B744" s="46" t="s">
        <v>1296</v>
      </c>
      <c r="C744" s="194" t="s">
        <v>2026</v>
      </c>
      <c r="D744" s="46"/>
      <c r="E744" s="46" t="s">
        <v>1297</v>
      </c>
      <c r="F744" s="61" t="s">
        <v>31</v>
      </c>
      <c r="G744" s="288">
        <v>22</v>
      </c>
      <c r="H744" s="289">
        <v>2</v>
      </c>
      <c r="I744" s="290">
        <v>1</v>
      </c>
      <c r="J744" s="48" t="s">
        <v>304</v>
      </c>
      <c r="K744" s="50"/>
      <c r="L744" s="53" t="str">
        <f t="shared" si="99"/>
        <v>1packs</v>
      </c>
      <c r="M744" s="54">
        <f t="shared" si="100"/>
        <v>2</v>
      </c>
      <c r="N744" s="55" t="str">
        <f t="shared" si="101"/>
        <v>2packs</v>
      </c>
      <c r="O744" s="56">
        <f t="shared" si="102"/>
        <v>44</v>
      </c>
      <c r="P744" s="44">
        <f>O744/H744</f>
        <v>22</v>
      </c>
      <c r="Q744" s="66"/>
      <c r="R744" s="32"/>
      <c r="S744" s="32"/>
      <c r="T744" s="32"/>
      <c r="U744" s="32"/>
      <c r="V744" s="32"/>
      <c r="W744" s="32"/>
      <c r="X744" s="32"/>
      <c r="Y744" s="32"/>
      <c r="Z744" s="32"/>
    </row>
    <row r="745" spans="1:26" ht="15" customHeight="1" x14ac:dyDescent="0.3">
      <c r="A745" s="45"/>
      <c r="B745" s="46" t="s">
        <v>1296</v>
      </c>
      <c r="C745" s="194" t="s">
        <v>2023</v>
      </c>
      <c r="D745" s="46"/>
      <c r="E745" s="46" t="s">
        <v>1298</v>
      </c>
      <c r="F745" s="61" t="s">
        <v>31</v>
      </c>
      <c r="G745" s="288">
        <v>25</v>
      </c>
      <c r="H745" s="289">
        <v>7</v>
      </c>
      <c r="I745" s="290">
        <v>1</v>
      </c>
      <c r="J745" s="48" t="s">
        <v>304</v>
      </c>
      <c r="K745" s="50"/>
      <c r="L745" s="53" t="str">
        <f t="shared" si="99"/>
        <v>1packs</v>
      </c>
      <c r="M745" s="54">
        <f t="shared" si="100"/>
        <v>7</v>
      </c>
      <c r="N745" s="55" t="str">
        <f t="shared" si="101"/>
        <v>7packs</v>
      </c>
      <c r="O745" s="56">
        <f t="shared" si="102"/>
        <v>175</v>
      </c>
      <c r="P745" s="12"/>
      <c r="Q745" s="12"/>
      <c r="R745" s="12"/>
      <c r="S745" s="151"/>
      <c r="T745" s="12"/>
      <c r="U745" s="12"/>
      <c r="V745" s="12"/>
      <c r="W745" s="12"/>
      <c r="X745" s="12"/>
      <c r="Y745" s="12"/>
      <c r="Z745" s="12"/>
    </row>
    <row r="746" spans="1:26" ht="15" customHeight="1" x14ac:dyDescent="0.3">
      <c r="A746" s="45">
        <v>386</v>
      </c>
      <c r="B746" s="219" t="s">
        <v>1299</v>
      </c>
      <c r="C746" s="194" t="s">
        <v>2025</v>
      </c>
      <c r="D746" s="46"/>
      <c r="E746" s="46" t="s">
        <v>1300</v>
      </c>
      <c r="F746" s="61" t="s">
        <v>31</v>
      </c>
      <c r="G746" s="288">
        <v>25</v>
      </c>
      <c r="H746" s="289">
        <v>6</v>
      </c>
      <c r="I746" s="290">
        <v>100</v>
      </c>
      <c r="J746" s="48" t="s">
        <v>92</v>
      </c>
      <c r="K746" s="50"/>
      <c r="L746" s="53" t="str">
        <f t="shared" si="99"/>
        <v>100pieces</v>
      </c>
      <c r="M746" s="54">
        <f t="shared" si="100"/>
        <v>600</v>
      </c>
      <c r="N746" s="55" t="str">
        <f t="shared" si="101"/>
        <v>600pieces</v>
      </c>
      <c r="O746" s="56">
        <f t="shared" si="102"/>
        <v>150</v>
      </c>
      <c r="P746" s="44">
        <f>O746/H746</f>
        <v>25</v>
      </c>
      <c r="Q746" s="66"/>
      <c r="R746" s="32" t="b">
        <f>P746=G746</f>
        <v>1</v>
      </c>
      <c r="S746" s="32"/>
      <c r="T746" s="32"/>
      <c r="U746" s="32"/>
      <c r="V746" s="32"/>
      <c r="W746" s="32"/>
      <c r="X746" s="32"/>
      <c r="Y746" s="32"/>
      <c r="Z746" s="32"/>
    </row>
    <row r="747" spans="1:26" ht="15" customHeight="1" x14ac:dyDescent="0.3">
      <c r="A747" s="45"/>
      <c r="B747" s="219" t="s">
        <v>1301</v>
      </c>
      <c r="C747" s="194" t="s">
        <v>2021</v>
      </c>
      <c r="D747" s="46"/>
      <c r="E747" s="219" t="s">
        <v>719</v>
      </c>
      <c r="F747" s="61" t="s">
        <v>31</v>
      </c>
      <c r="G747" s="291">
        <v>21.5</v>
      </c>
      <c r="H747" s="292">
        <v>1</v>
      </c>
      <c r="I747" s="293">
        <v>19</v>
      </c>
      <c r="J747" s="414" t="s">
        <v>39</v>
      </c>
      <c r="K747" s="50"/>
      <c r="L747" s="53" t="str">
        <f t="shared" si="99"/>
        <v>19grams</v>
      </c>
      <c r="M747" s="54">
        <f t="shared" si="100"/>
        <v>19</v>
      </c>
      <c r="N747" s="55" t="str">
        <f t="shared" si="101"/>
        <v>19grams</v>
      </c>
      <c r="O747" s="56">
        <f t="shared" si="102"/>
        <v>21.5</v>
      </c>
      <c r="P747" s="12"/>
      <c r="Q747" s="12"/>
      <c r="R747" s="12"/>
      <c r="S747" s="151"/>
      <c r="T747" s="12"/>
      <c r="U747" s="12"/>
      <c r="V747" s="12"/>
      <c r="W747" s="12"/>
      <c r="X747" s="12"/>
      <c r="Y747" s="12"/>
      <c r="Z747" s="12"/>
    </row>
    <row r="748" spans="1:26" ht="15" customHeight="1" x14ac:dyDescent="0.3">
      <c r="A748" s="45">
        <v>422</v>
      </c>
      <c r="B748" s="46" t="s">
        <v>1302</v>
      </c>
      <c r="C748" s="194" t="s">
        <v>2025</v>
      </c>
      <c r="D748" s="46"/>
      <c r="E748" s="46" t="s">
        <v>1303</v>
      </c>
      <c r="F748" s="61" t="s">
        <v>31</v>
      </c>
      <c r="G748" s="288">
        <v>21.65</v>
      </c>
      <c r="H748" s="289">
        <v>8</v>
      </c>
      <c r="I748" s="290">
        <v>40</v>
      </c>
      <c r="J748" s="48" t="s">
        <v>39</v>
      </c>
      <c r="K748" s="50"/>
      <c r="L748" s="53" t="str">
        <f t="shared" si="99"/>
        <v>40grams</v>
      </c>
      <c r="M748" s="54">
        <f t="shared" si="100"/>
        <v>320</v>
      </c>
      <c r="N748" s="55" t="str">
        <f t="shared" si="101"/>
        <v>320grams</v>
      </c>
      <c r="O748" s="56">
        <f t="shared" si="102"/>
        <v>173.2</v>
      </c>
      <c r="P748" s="44">
        <f t="shared" ref="P748:P754" si="152">O748/H748</f>
        <v>21.65</v>
      </c>
      <c r="Q748" s="66"/>
      <c r="R748" s="32" t="b">
        <f>P748=G748</f>
        <v>1</v>
      </c>
      <c r="S748" s="32"/>
      <c r="T748" s="32"/>
      <c r="U748" s="32"/>
      <c r="V748" s="32"/>
      <c r="W748" s="32"/>
      <c r="X748" s="32"/>
      <c r="Y748" s="32"/>
      <c r="Z748" s="32"/>
    </row>
    <row r="749" spans="1:26" ht="15" customHeight="1" x14ac:dyDescent="0.3">
      <c r="A749" s="45">
        <v>424</v>
      </c>
      <c r="B749" s="46" t="s">
        <v>1302</v>
      </c>
      <c r="C749" s="194" t="s">
        <v>2025</v>
      </c>
      <c r="D749" s="46"/>
      <c r="E749" s="46" t="s">
        <v>1304</v>
      </c>
      <c r="F749" s="61" t="s">
        <v>31</v>
      </c>
      <c r="G749" s="288">
        <v>21.65</v>
      </c>
      <c r="H749" s="289">
        <v>10</v>
      </c>
      <c r="I749" s="290">
        <v>40</v>
      </c>
      <c r="J749" s="48" t="s">
        <v>39</v>
      </c>
      <c r="K749" s="50"/>
      <c r="L749" s="53" t="str">
        <f t="shared" si="99"/>
        <v>40grams</v>
      </c>
      <c r="M749" s="54">
        <f t="shared" si="100"/>
        <v>400</v>
      </c>
      <c r="N749" s="55" t="str">
        <f t="shared" si="101"/>
        <v>400grams</v>
      </c>
      <c r="O749" s="56">
        <f t="shared" si="102"/>
        <v>216.5</v>
      </c>
      <c r="P749" s="44">
        <f t="shared" si="152"/>
        <v>21.65</v>
      </c>
      <c r="Q749" s="66"/>
      <c r="R749" s="32"/>
      <c r="S749" s="32"/>
      <c r="T749" s="32"/>
      <c r="U749" s="32"/>
      <c r="V749" s="32"/>
      <c r="W749" s="32"/>
      <c r="X749" s="32"/>
      <c r="Y749" s="32"/>
      <c r="Z749" s="32"/>
    </row>
    <row r="750" spans="1:26" ht="15" customHeight="1" x14ac:dyDescent="0.3">
      <c r="A750" s="45">
        <v>423</v>
      </c>
      <c r="B750" s="46" t="s">
        <v>1302</v>
      </c>
      <c r="C750" s="194" t="s">
        <v>2025</v>
      </c>
      <c r="D750" s="46"/>
      <c r="E750" s="46" t="s">
        <v>1305</v>
      </c>
      <c r="F750" s="61" t="s">
        <v>31</v>
      </c>
      <c r="G750" s="288">
        <v>21.65</v>
      </c>
      <c r="H750" s="289">
        <v>17</v>
      </c>
      <c r="I750" s="290">
        <v>40</v>
      </c>
      <c r="J750" s="48" t="s">
        <v>39</v>
      </c>
      <c r="K750" s="50" t="s">
        <v>2019</v>
      </c>
      <c r="L750" s="53" t="str">
        <f t="shared" si="99"/>
        <v>40grams</v>
      </c>
      <c r="M750" s="54">
        <f t="shared" si="100"/>
        <v>680</v>
      </c>
      <c r="N750" s="55" t="str">
        <f t="shared" si="101"/>
        <v>680grams</v>
      </c>
      <c r="O750" s="56">
        <f t="shared" si="102"/>
        <v>368.04999999999995</v>
      </c>
      <c r="P750" s="44">
        <f t="shared" si="152"/>
        <v>21.65</v>
      </c>
      <c r="Q750" s="66">
        <f>G750-P750</f>
        <v>0</v>
      </c>
      <c r="R750" s="32" t="b">
        <f>P750=G750</f>
        <v>1</v>
      </c>
      <c r="S750" s="32"/>
      <c r="T750" s="32"/>
      <c r="U750" s="32"/>
      <c r="V750" s="32"/>
      <c r="W750" s="32"/>
      <c r="X750" s="32"/>
      <c r="Y750" s="32"/>
      <c r="Z750" s="32"/>
    </row>
    <row r="751" spans="1:26" ht="15" customHeight="1" x14ac:dyDescent="0.3">
      <c r="A751" s="45">
        <v>420</v>
      </c>
      <c r="B751" s="46" t="s">
        <v>1302</v>
      </c>
      <c r="C751" s="194" t="s">
        <v>2025</v>
      </c>
      <c r="D751" s="46"/>
      <c r="E751" s="46" t="s">
        <v>1306</v>
      </c>
      <c r="F751" s="61" t="s">
        <v>31</v>
      </c>
      <c r="G751" s="288">
        <v>25.55</v>
      </c>
      <c r="H751" s="289">
        <v>10</v>
      </c>
      <c r="I751" s="290">
        <v>40</v>
      </c>
      <c r="J751" s="48" t="s">
        <v>39</v>
      </c>
      <c r="K751" s="50"/>
      <c r="L751" s="53" t="str">
        <f t="shared" si="99"/>
        <v>40grams</v>
      </c>
      <c r="M751" s="54">
        <f t="shared" si="100"/>
        <v>400</v>
      </c>
      <c r="N751" s="55" t="str">
        <f t="shared" si="101"/>
        <v>400grams</v>
      </c>
      <c r="O751" s="56">
        <f t="shared" si="102"/>
        <v>255.5</v>
      </c>
      <c r="P751" s="44">
        <f t="shared" si="152"/>
        <v>25.55</v>
      </c>
      <c r="Q751" s="66"/>
      <c r="R751" s="32"/>
      <c r="S751" s="32"/>
      <c r="T751" s="32"/>
      <c r="U751" s="32"/>
      <c r="V751" s="32"/>
      <c r="W751" s="32"/>
      <c r="X751" s="32"/>
      <c r="Y751" s="32"/>
      <c r="Z751" s="32"/>
    </row>
    <row r="752" spans="1:26" ht="15" customHeight="1" x14ac:dyDescent="0.3">
      <c r="A752" s="45">
        <v>426</v>
      </c>
      <c r="B752" s="46" t="s">
        <v>1302</v>
      </c>
      <c r="C752" s="194" t="s">
        <v>2025</v>
      </c>
      <c r="D752" s="46"/>
      <c r="E752" s="46" t="s">
        <v>1307</v>
      </c>
      <c r="F752" s="61" t="s">
        <v>31</v>
      </c>
      <c r="G752" s="288">
        <v>21.65</v>
      </c>
      <c r="H752" s="289">
        <v>5</v>
      </c>
      <c r="I752" s="290">
        <v>40</v>
      </c>
      <c r="J752" s="48" t="s">
        <v>39</v>
      </c>
      <c r="K752" s="50"/>
      <c r="L752" s="53" t="str">
        <f t="shared" si="99"/>
        <v>40grams</v>
      </c>
      <c r="M752" s="54">
        <f t="shared" si="100"/>
        <v>200</v>
      </c>
      <c r="N752" s="55" t="str">
        <f t="shared" si="101"/>
        <v>200grams</v>
      </c>
      <c r="O752" s="56">
        <f t="shared" si="102"/>
        <v>108.25</v>
      </c>
      <c r="P752" s="44">
        <f t="shared" si="152"/>
        <v>21.65</v>
      </c>
      <c r="Q752" s="66"/>
      <c r="R752" s="32" t="b">
        <f>P752=G752</f>
        <v>1</v>
      </c>
      <c r="S752" s="32"/>
      <c r="T752" s="32"/>
      <c r="U752" s="32"/>
      <c r="V752" s="32"/>
      <c r="W752" s="32"/>
      <c r="X752" s="32"/>
      <c r="Y752" s="32"/>
      <c r="Z752" s="32"/>
    </row>
    <row r="753" spans="1:26" ht="15" customHeight="1" x14ac:dyDescent="0.3">
      <c r="A753" s="45">
        <v>421</v>
      </c>
      <c r="B753" s="46" t="s">
        <v>1302</v>
      </c>
      <c r="C753" s="194" t="s">
        <v>2025</v>
      </c>
      <c r="D753" s="46"/>
      <c r="E753" s="46" t="s">
        <v>1308</v>
      </c>
      <c r="F753" s="61" t="s">
        <v>31</v>
      </c>
      <c r="G753" s="288">
        <v>25.55</v>
      </c>
      <c r="H753" s="289">
        <v>7</v>
      </c>
      <c r="I753" s="290">
        <v>40</v>
      </c>
      <c r="J753" s="48" t="s">
        <v>39</v>
      </c>
      <c r="K753" s="50"/>
      <c r="L753" s="53" t="str">
        <f t="shared" si="99"/>
        <v>40grams</v>
      </c>
      <c r="M753" s="54">
        <f t="shared" si="100"/>
        <v>280</v>
      </c>
      <c r="N753" s="55" t="str">
        <f t="shared" si="101"/>
        <v>280grams</v>
      </c>
      <c r="O753" s="56">
        <f t="shared" si="102"/>
        <v>178.85</v>
      </c>
      <c r="P753" s="44">
        <f t="shared" si="152"/>
        <v>25.55</v>
      </c>
      <c r="Q753" s="66"/>
      <c r="R753" s="32"/>
      <c r="S753" s="32"/>
      <c r="T753" s="32"/>
      <c r="U753" s="32"/>
      <c r="V753" s="32"/>
      <c r="W753" s="32"/>
      <c r="X753" s="32"/>
      <c r="Y753" s="32"/>
      <c r="Z753" s="32"/>
    </row>
    <row r="754" spans="1:26" ht="15" customHeight="1" x14ac:dyDescent="0.3">
      <c r="A754" s="45">
        <v>425</v>
      </c>
      <c r="B754" s="46" t="s">
        <v>1302</v>
      </c>
      <c r="C754" s="194" t="s">
        <v>2025</v>
      </c>
      <c r="D754" s="46"/>
      <c r="E754" s="46" t="s">
        <v>1309</v>
      </c>
      <c r="F754" s="61" t="s">
        <v>31</v>
      </c>
      <c r="G754" s="288">
        <v>21.65</v>
      </c>
      <c r="H754" s="289">
        <v>10</v>
      </c>
      <c r="I754" s="290">
        <v>40</v>
      </c>
      <c r="J754" s="48" t="s">
        <v>39</v>
      </c>
      <c r="K754" s="50"/>
      <c r="L754" s="53" t="str">
        <f t="shared" si="99"/>
        <v>40grams</v>
      </c>
      <c r="M754" s="54">
        <f t="shared" si="100"/>
        <v>400</v>
      </c>
      <c r="N754" s="55" t="str">
        <f t="shared" si="101"/>
        <v>400grams</v>
      </c>
      <c r="O754" s="56">
        <f t="shared" si="102"/>
        <v>216.5</v>
      </c>
      <c r="P754" s="44">
        <f t="shared" si="152"/>
        <v>21.65</v>
      </c>
      <c r="Q754" s="66"/>
      <c r="R754" s="32" t="b">
        <f>P754=G754</f>
        <v>1</v>
      </c>
      <c r="S754" s="32"/>
      <c r="T754" s="32"/>
      <c r="U754" s="32"/>
      <c r="V754" s="32"/>
      <c r="W754" s="32"/>
      <c r="X754" s="32"/>
      <c r="Y754" s="32"/>
      <c r="Z754" s="32"/>
    </row>
    <row r="755" spans="1:26" ht="15" customHeight="1" x14ac:dyDescent="0.3">
      <c r="A755" s="45"/>
      <c r="B755" s="46" t="s">
        <v>1302</v>
      </c>
      <c r="C755" s="194" t="s">
        <v>2020</v>
      </c>
      <c r="D755" s="46"/>
      <c r="E755" s="46" t="s">
        <v>1310</v>
      </c>
      <c r="F755" s="61" t="s">
        <v>31</v>
      </c>
      <c r="G755" s="288">
        <v>21.22</v>
      </c>
      <c r="H755" s="289">
        <v>63</v>
      </c>
      <c r="I755" s="290">
        <v>48</v>
      </c>
      <c r="J755" s="48" t="s">
        <v>39</v>
      </c>
      <c r="K755" s="50"/>
      <c r="L755" s="53" t="str">
        <f t="shared" si="99"/>
        <v>48grams</v>
      </c>
      <c r="M755" s="54">
        <f t="shared" si="100"/>
        <v>3024</v>
      </c>
      <c r="N755" s="55" t="str">
        <f t="shared" si="101"/>
        <v>3024grams</v>
      </c>
      <c r="O755" s="56">
        <f t="shared" si="102"/>
        <v>1336.86</v>
      </c>
      <c r="P755" s="12"/>
      <c r="Q755" s="12"/>
      <c r="R755" s="12"/>
      <c r="S755" s="151"/>
      <c r="T755" s="12"/>
      <c r="U755" s="12"/>
      <c r="V755" s="12"/>
      <c r="W755" s="12"/>
      <c r="X755" s="12"/>
      <c r="Y755" s="12"/>
      <c r="Z755" s="12"/>
    </row>
    <row r="756" spans="1:26" ht="15" customHeight="1" x14ac:dyDescent="0.3">
      <c r="A756" s="45"/>
      <c r="B756" s="46" t="s">
        <v>1302</v>
      </c>
      <c r="C756" s="194" t="s">
        <v>2023</v>
      </c>
      <c r="D756" s="46"/>
      <c r="E756" s="46" t="s">
        <v>1311</v>
      </c>
      <c r="F756" s="61" t="s">
        <v>31</v>
      </c>
      <c r="G756" s="288">
        <v>32.6</v>
      </c>
      <c r="H756" s="289">
        <v>10</v>
      </c>
      <c r="I756" s="290">
        <v>60</v>
      </c>
      <c r="J756" s="48" t="s">
        <v>39</v>
      </c>
      <c r="K756" s="50"/>
      <c r="L756" s="53" t="str">
        <f t="shared" si="99"/>
        <v>60grams</v>
      </c>
      <c r="M756" s="54">
        <f t="shared" si="100"/>
        <v>600</v>
      </c>
      <c r="N756" s="55" t="str">
        <f t="shared" si="101"/>
        <v>600grams</v>
      </c>
      <c r="O756" s="56">
        <f t="shared" si="102"/>
        <v>326</v>
      </c>
      <c r="P756" s="12"/>
      <c r="Q756" s="12"/>
      <c r="R756" s="12"/>
      <c r="S756" s="151"/>
      <c r="T756" s="12"/>
      <c r="U756" s="12"/>
      <c r="V756" s="12"/>
      <c r="W756" s="12"/>
      <c r="X756" s="12"/>
      <c r="Y756" s="12"/>
      <c r="Z756" s="12"/>
    </row>
    <row r="757" spans="1:26" ht="15" customHeight="1" x14ac:dyDescent="0.3">
      <c r="A757" s="45"/>
      <c r="B757" s="46" t="s">
        <v>1302</v>
      </c>
      <c r="C757" s="194" t="s">
        <v>2023</v>
      </c>
      <c r="D757" s="46"/>
      <c r="E757" s="46" t="s">
        <v>1312</v>
      </c>
      <c r="F757" s="61" t="s">
        <v>31</v>
      </c>
      <c r="G757" s="288">
        <v>21.5</v>
      </c>
      <c r="H757" s="289">
        <v>7</v>
      </c>
      <c r="I757" s="290">
        <v>60</v>
      </c>
      <c r="J757" s="48" t="s">
        <v>39</v>
      </c>
      <c r="K757" s="50"/>
      <c r="L757" s="53" t="str">
        <f t="shared" si="99"/>
        <v>60grams</v>
      </c>
      <c r="M757" s="54">
        <f t="shared" si="100"/>
        <v>420</v>
      </c>
      <c r="N757" s="55" t="str">
        <f t="shared" si="101"/>
        <v>420grams</v>
      </c>
      <c r="O757" s="56">
        <f t="shared" si="102"/>
        <v>150.5</v>
      </c>
      <c r="P757" s="12"/>
      <c r="Q757" s="12"/>
      <c r="R757" s="12"/>
      <c r="S757" s="151"/>
      <c r="T757" s="12"/>
      <c r="U757" s="12"/>
      <c r="V757" s="12"/>
      <c r="W757" s="12"/>
      <c r="X757" s="12"/>
      <c r="Y757" s="12"/>
      <c r="Z757" s="12"/>
    </row>
    <row r="758" spans="1:26" ht="15" customHeight="1" x14ac:dyDescent="0.3">
      <c r="A758" s="45">
        <v>566</v>
      </c>
      <c r="B758" s="46" t="s">
        <v>1302</v>
      </c>
      <c r="C758" s="194" t="s">
        <v>2026</v>
      </c>
      <c r="D758" s="46"/>
      <c r="E758" s="46" t="s">
        <v>1313</v>
      </c>
      <c r="F758" s="61" t="s">
        <v>31</v>
      </c>
      <c r="G758" s="288">
        <v>21.03</v>
      </c>
      <c r="H758" s="289">
        <v>32</v>
      </c>
      <c r="I758" s="290">
        <v>40</v>
      </c>
      <c r="J758" s="48" t="s">
        <v>39</v>
      </c>
      <c r="K758" s="50"/>
      <c r="L758" s="53" t="str">
        <f t="shared" si="99"/>
        <v>40grams</v>
      </c>
      <c r="M758" s="54">
        <f t="shared" si="100"/>
        <v>1280</v>
      </c>
      <c r="N758" s="55" t="str">
        <f t="shared" si="101"/>
        <v>1280grams</v>
      </c>
      <c r="O758" s="56">
        <f t="shared" si="102"/>
        <v>672.96</v>
      </c>
      <c r="P758" s="44">
        <f>O758/H758</f>
        <v>21.03</v>
      </c>
      <c r="Q758" s="66"/>
      <c r="R758" s="32"/>
      <c r="S758" s="32"/>
      <c r="T758" s="32"/>
      <c r="U758" s="32"/>
      <c r="V758" s="32"/>
      <c r="W758" s="32"/>
      <c r="X758" s="32"/>
      <c r="Y758" s="32"/>
      <c r="Z758" s="32"/>
    </row>
    <row r="759" spans="1:26" ht="15" customHeight="1" x14ac:dyDescent="0.3">
      <c r="A759" s="45"/>
      <c r="B759" s="219" t="s">
        <v>1302</v>
      </c>
      <c r="C759" s="194" t="s">
        <v>2020</v>
      </c>
      <c r="D759" s="46"/>
      <c r="E759" s="46" t="s">
        <v>1314</v>
      </c>
      <c r="F759" s="61" t="s">
        <v>31</v>
      </c>
      <c r="G759" s="288">
        <v>21.22</v>
      </c>
      <c r="H759" s="289">
        <v>37</v>
      </c>
      <c r="I759" s="290">
        <v>40</v>
      </c>
      <c r="J759" s="48" t="s">
        <v>39</v>
      </c>
      <c r="K759" s="50"/>
      <c r="L759" s="53" t="str">
        <f t="shared" si="99"/>
        <v>40grams</v>
      </c>
      <c r="M759" s="54">
        <f t="shared" si="100"/>
        <v>1480</v>
      </c>
      <c r="N759" s="55" t="str">
        <f t="shared" si="101"/>
        <v>1480grams</v>
      </c>
      <c r="O759" s="56">
        <f t="shared" si="102"/>
        <v>785.14</v>
      </c>
      <c r="P759" s="12"/>
      <c r="Q759" s="12"/>
      <c r="R759" s="12"/>
      <c r="S759" s="151"/>
      <c r="T759" s="12"/>
      <c r="U759" s="12"/>
      <c r="V759" s="12"/>
      <c r="W759" s="12"/>
      <c r="X759" s="12"/>
      <c r="Y759" s="12"/>
      <c r="Z759" s="12"/>
    </row>
    <row r="760" spans="1:26" ht="15" customHeight="1" x14ac:dyDescent="0.3">
      <c r="A760" s="45"/>
      <c r="B760" s="46" t="s">
        <v>1302</v>
      </c>
      <c r="C760" s="194" t="s">
        <v>2020</v>
      </c>
      <c r="D760" s="46"/>
      <c r="E760" s="46" t="s">
        <v>1315</v>
      </c>
      <c r="F760" s="61" t="s">
        <v>31</v>
      </c>
      <c r="G760" s="288">
        <v>25.3</v>
      </c>
      <c r="H760" s="289">
        <v>36</v>
      </c>
      <c r="I760" s="290">
        <v>40</v>
      </c>
      <c r="J760" s="48" t="s">
        <v>39</v>
      </c>
      <c r="K760" s="50"/>
      <c r="L760" s="53" t="str">
        <f t="shared" si="99"/>
        <v>40grams</v>
      </c>
      <c r="M760" s="54">
        <f t="shared" si="100"/>
        <v>1440</v>
      </c>
      <c r="N760" s="55" t="str">
        <f t="shared" si="101"/>
        <v>1440grams</v>
      </c>
      <c r="O760" s="56">
        <f t="shared" si="102"/>
        <v>910.80000000000007</v>
      </c>
      <c r="P760" s="12"/>
      <c r="Q760" s="12"/>
      <c r="R760" s="12"/>
      <c r="S760" s="151"/>
      <c r="T760" s="12"/>
      <c r="U760" s="12"/>
      <c r="V760" s="12"/>
      <c r="W760" s="12"/>
      <c r="X760" s="12"/>
      <c r="Y760" s="12"/>
      <c r="Z760" s="12"/>
    </row>
    <row r="761" spans="1:26" ht="15" customHeight="1" x14ac:dyDescent="0.3">
      <c r="A761" s="45"/>
      <c r="B761" s="219" t="s">
        <v>1316</v>
      </c>
      <c r="C761" s="194" t="s">
        <v>2021</v>
      </c>
      <c r="D761" s="46"/>
      <c r="E761" s="219" t="s">
        <v>1317</v>
      </c>
      <c r="F761" s="61" t="s">
        <v>31</v>
      </c>
      <c r="G761" s="291">
        <v>88.1</v>
      </c>
      <c r="H761" s="292">
        <v>1</v>
      </c>
      <c r="I761" s="293">
        <v>500</v>
      </c>
      <c r="J761" s="414" t="s">
        <v>39</v>
      </c>
      <c r="K761" s="50"/>
      <c r="L761" s="53" t="str">
        <f t="shared" si="99"/>
        <v>500grams</v>
      </c>
      <c r="M761" s="54">
        <f t="shared" si="100"/>
        <v>500</v>
      </c>
      <c r="N761" s="55" t="str">
        <f t="shared" si="101"/>
        <v>500grams</v>
      </c>
      <c r="O761" s="56">
        <f t="shared" si="102"/>
        <v>88.1</v>
      </c>
      <c r="P761" s="12"/>
      <c r="Q761" s="12"/>
      <c r="R761" s="12"/>
      <c r="S761" s="151"/>
      <c r="T761" s="12"/>
      <c r="U761" s="12"/>
      <c r="V761" s="12"/>
      <c r="W761" s="12"/>
      <c r="X761" s="12"/>
      <c r="Y761" s="12"/>
      <c r="Z761" s="12"/>
    </row>
    <row r="762" spans="1:26" ht="15" customHeight="1" x14ac:dyDescent="0.3">
      <c r="A762" s="45">
        <v>137</v>
      </c>
      <c r="B762" s="46" t="s">
        <v>1318</v>
      </c>
      <c r="C762" s="194" t="s">
        <v>2024</v>
      </c>
      <c r="D762" s="46"/>
      <c r="E762" s="46" t="s">
        <v>1319</v>
      </c>
      <c r="F762" s="61" t="s">
        <v>31</v>
      </c>
      <c r="G762" s="288">
        <v>10.83</v>
      </c>
      <c r="H762" s="289">
        <v>10</v>
      </c>
      <c r="I762" s="290">
        <v>33</v>
      </c>
      <c r="J762" s="420" t="s">
        <v>39</v>
      </c>
      <c r="K762" s="50" t="s">
        <v>2019</v>
      </c>
      <c r="L762" s="53" t="str">
        <f t="shared" si="99"/>
        <v>33grams</v>
      </c>
      <c r="M762" s="54">
        <f t="shared" si="100"/>
        <v>330</v>
      </c>
      <c r="N762" s="55" t="str">
        <f t="shared" si="101"/>
        <v>330grams</v>
      </c>
      <c r="O762" s="56">
        <f t="shared" si="102"/>
        <v>108.3</v>
      </c>
      <c r="P762" s="44">
        <f t="shared" ref="P762:P764" si="153">O762/H762</f>
        <v>10.83</v>
      </c>
      <c r="Q762" s="44">
        <f>G762-P762</f>
        <v>0</v>
      </c>
      <c r="R762" s="32" t="b">
        <f>P762=G762</f>
        <v>1</v>
      </c>
      <c r="S762" s="32"/>
      <c r="T762" s="32"/>
      <c r="U762" s="32"/>
      <c r="V762" s="32"/>
      <c r="W762" s="32"/>
      <c r="X762" s="32"/>
      <c r="Y762" s="32"/>
      <c r="Z762" s="32"/>
    </row>
    <row r="763" spans="1:26" ht="15" customHeight="1" x14ac:dyDescent="0.3">
      <c r="A763" s="45">
        <v>531</v>
      </c>
      <c r="B763" s="46" t="s">
        <v>1318</v>
      </c>
      <c r="C763" s="194" t="s">
        <v>2026</v>
      </c>
      <c r="D763" s="46"/>
      <c r="E763" s="46" t="s">
        <v>1320</v>
      </c>
      <c r="F763" s="61" t="s">
        <v>31</v>
      </c>
      <c r="G763" s="288">
        <v>65</v>
      </c>
      <c r="H763" s="289">
        <v>2</v>
      </c>
      <c r="I763" s="290">
        <v>6</v>
      </c>
      <c r="J763" s="48" t="s">
        <v>92</v>
      </c>
      <c r="K763" s="50"/>
      <c r="L763" s="53" t="str">
        <f t="shared" si="99"/>
        <v>6pieces</v>
      </c>
      <c r="M763" s="54">
        <f t="shared" si="100"/>
        <v>12</v>
      </c>
      <c r="N763" s="55" t="str">
        <f t="shared" si="101"/>
        <v>12pieces</v>
      </c>
      <c r="O763" s="56">
        <f t="shared" si="102"/>
        <v>130</v>
      </c>
      <c r="P763" s="44">
        <f t="shared" si="153"/>
        <v>65</v>
      </c>
      <c r="Q763" s="66"/>
      <c r="R763" s="32"/>
      <c r="S763" s="32"/>
      <c r="T763" s="32"/>
      <c r="U763" s="32"/>
      <c r="V763" s="32"/>
      <c r="W763" s="32"/>
      <c r="X763" s="32"/>
      <c r="Y763" s="32"/>
      <c r="Z763" s="32"/>
    </row>
    <row r="764" spans="1:26" ht="15" customHeight="1" x14ac:dyDescent="0.3">
      <c r="A764" s="45">
        <v>532</v>
      </c>
      <c r="B764" s="46" t="s">
        <v>1318</v>
      </c>
      <c r="C764" s="194" t="s">
        <v>2026</v>
      </c>
      <c r="D764" s="46"/>
      <c r="E764" s="46" t="s">
        <v>1320</v>
      </c>
      <c r="F764" s="61" t="s">
        <v>31</v>
      </c>
      <c r="G764" s="288">
        <v>65</v>
      </c>
      <c r="H764" s="289">
        <v>1</v>
      </c>
      <c r="I764" s="290">
        <v>6</v>
      </c>
      <c r="J764" s="48" t="s">
        <v>92</v>
      </c>
      <c r="K764" s="50"/>
      <c r="L764" s="53" t="str">
        <f t="shared" si="99"/>
        <v>6pieces</v>
      </c>
      <c r="M764" s="54">
        <f t="shared" si="100"/>
        <v>6</v>
      </c>
      <c r="N764" s="55" t="str">
        <f t="shared" si="101"/>
        <v>6pieces</v>
      </c>
      <c r="O764" s="56">
        <f t="shared" si="102"/>
        <v>65</v>
      </c>
      <c r="P764" s="44">
        <f t="shared" si="153"/>
        <v>65</v>
      </c>
      <c r="Q764" s="66"/>
      <c r="R764" s="32"/>
      <c r="S764" s="32"/>
      <c r="T764" s="32"/>
      <c r="U764" s="32"/>
      <c r="V764" s="32"/>
      <c r="W764" s="32"/>
      <c r="X764" s="32"/>
      <c r="Y764" s="32"/>
      <c r="Z764" s="32"/>
    </row>
    <row r="765" spans="1:26" ht="15" customHeight="1" x14ac:dyDescent="0.3">
      <c r="A765" s="45"/>
      <c r="B765" s="46" t="s">
        <v>1318</v>
      </c>
      <c r="C765" s="194" t="s">
        <v>2023</v>
      </c>
      <c r="D765" s="46"/>
      <c r="E765" s="46" t="s">
        <v>1320</v>
      </c>
      <c r="F765" s="61" t="s">
        <v>31</v>
      </c>
      <c r="G765" s="288">
        <v>64.5</v>
      </c>
      <c r="H765" s="289">
        <v>1</v>
      </c>
      <c r="I765" s="290">
        <v>6</v>
      </c>
      <c r="J765" s="48" t="s">
        <v>92</v>
      </c>
      <c r="K765" s="50"/>
      <c r="L765" s="53" t="str">
        <f t="shared" si="99"/>
        <v>6pieces</v>
      </c>
      <c r="M765" s="54">
        <f t="shared" si="100"/>
        <v>6</v>
      </c>
      <c r="N765" s="55" t="str">
        <f t="shared" si="101"/>
        <v>6pieces</v>
      </c>
      <c r="O765" s="56">
        <f t="shared" si="102"/>
        <v>64.5</v>
      </c>
      <c r="P765" s="44"/>
      <c r="Q765" s="12"/>
      <c r="R765" s="12"/>
      <c r="S765" s="151"/>
      <c r="T765" s="12"/>
      <c r="U765" s="12"/>
      <c r="V765" s="12"/>
      <c r="W765" s="12"/>
      <c r="X765" s="12"/>
      <c r="Y765" s="12"/>
      <c r="Z765" s="12"/>
    </row>
    <row r="766" spans="1:26" ht="15" customHeight="1" x14ac:dyDescent="0.3">
      <c r="A766" s="45">
        <v>533</v>
      </c>
      <c r="B766" s="46" t="s">
        <v>1321</v>
      </c>
      <c r="C766" s="194" t="s">
        <v>2026</v>
      </c>
      <c r="D766" s="46"/>
      <c r="E766" s="46" t="s">
        <v>1319</v>
      </c>
      <c r="F766" s="61" t="s">
        <v>31</v>
      </c>
      <c r="G766" s="288">
        <v>10.83</v>
      </c>
      <c r="H766" s="289">
        <v>11</v>
      </c>
      <c r="I766" s="290">
        <v>33</v>
      </c>
      <c r="J766" s="48" t="s">
        <v>39</v>
      </c>
      <c r="K766" s="50"/>
      <c r="L766" s="53" t="str">
        <f t="shared" si="99"/>
        <v>33grams</v>
      </c>
      <c r="M766" s="54">
        <f t="shared" si="100"/>
        <v>363</v>
      </c>
      <c r="N766" s="55" t="str">
        <f t="shared" si="101"/>
        <v>363grams</v>
      </c>
      <c r="O766" s="56">
        <f t="shared" si="102"/>
        <v>119.13</v>
      </c>
      <c r="P766" s="44">
        <f t="shared" ref="P766:P769" si="154">O766/H766</f>
        <v>10.83</v>
      </c>
      <c r="Q766" s="66"/>
      <c r="R766" s="32" t="b">
        <f>P766=G766</f>
        <v>1</v>
      </c>
      <c r="S766" s="32"/>
      <c r="T766" s="32"/>
      <c r="U766" s="32"/>
      <c r="V766" s="32"/>
      <c r="W766" s="32"/>
      <c r="X766" s="32"/>
      <c r="Y766" s="32"/>
      <c r="Z766" s="32"/>
    </row>
    <row r="767" spans="1:26" ht="15" customHeight="1" x14ac:dyDescent="0.3">
      <c r="A767" s="45">
        <v>310</v>
      </c>
      <c r="B767" s="46" t="s">
        <v>1322</v>
      </c>
      <c r="C767" s="194" t="s">
        <v>2025</v>
      </c>
      <c r="D767" s="46"/>
      <c r="E767" s="46" t="s">
        <v>1323</v>
      </c>
      <c r="F767" s="61" t="s">
        <v>31</v>
      </c>
      <c r="G767" s="288">
        <v>71</v>
      </c>
      <c r="H767" s="289">
        <v>1</v>
      </c>
      <c r="I767" s="290">
        <v>13</v>
      </c>
      <c r="J767" s="48" t="s">
        <v>39</v>
      </c>
      <c r="K767" s="50"/>
      <c r="L767" s="53" t="str">
        <f t="shared" si="99"/>
        <v>13grams</v>
      </c>
      <c r="M767" s="54">
        <f t="shared" si="100"/>
        <v>13</v>
      </c>
      <c r="N767" s="55" t="str">
        <f t="shared" si="101"/>
        <v>13grams</v>
      </c>
      <c r="O767" s="56">
        <f t="shared" si="102"/>
        <v>71</v>
      </c>
      <c r="P767" s="44">
        <f t="shared" si="154"/>
        <v>71</v>
      </c>
      <c r="Q767" s="66"/>
      <c r="R767" s="32"/>
      <c r="S767" s="32"/>
      <c r="T767" s="32"/>
      <c r="U767" s="32"/>
      <c r="V767" s="32"/>
      <c r="W767" s="32"/>
      <c r="X767" s="32"/>
      <c r="Y767" s="32"/>
      <c r="Z767" s="32"/>
    </row>
    <row r="768" spans="1:26" ht="15" customHeight="1" x14ac:dyDescent="0.3">
      <c r="A768" s="45">
        <v>47</v>
      </c>
      <c r="B768" s="219" t="s">
        <v>1322</v>
      </c>
      <c r="C768" s="194" t="s">
        <v>29</v>
      </c>
      <c r="D768" s="46"/>
      <c r="E768" s="219" t="s">
        <v>854</v>
      </c>
      <c r="F768" s="61" t="s">
        <v>31</v>
      </c>
      <c r="G768" s="288">
        <v>59.25</v>
      </c>
      <c r="H768" s="289">
        <v>1</v>
      </c>
      <c r="I768" s="290">
        <v>13</v>
      </c>
      <c r="J768" s="48" t="s">
        <v>39</v>
      </c>
      <c r="K768" s="61" t="s">
        <v>2019</v>
      </c>
      <c r="L768" s="415" t="str">
        <f t="shared" si="99"/>
        <v>13grams</v>
      </c>
      <c r="M768" s="416">
        <f t="shared" si="100"/>
        <v>13</v>
      </c>
      <c r="N768" s="417" t="str">
        <f t="shared" si="101"/>
        <v>13grams</v>
      </c>
      <c r="O768" s="418">
        <f t="shared" si="102"/>
        <v>59.25</v>
      </c>
      <c r="P768" s="419">
        <f t="shared" si="154"/>
        <v>59.25</v>
      </c>
      <c r="Q768" s="66"/>
      <c r="R768" s="32"/>
      <c r="S768" s="32"/>
      <c r="T768" s="32"/>
      <c r="U768" s="32"/>
      <c r="V768" s="32"/>
      <c r="W768" s="32"/>
      <c r="X768" s="32"/>
      <c r="Y768" s="32"/>
      <c r="Z768" s="32"/>
    </row>
    <row r="769" spans="1:26" ht="15" customHeight="1" x14ac:dyDescent="0.3">
      <c r="A769" s="45">
        <v>736</v>
      </c>
      <c r="B769" s="219" t="s">
        <v>1322</v>
      </c>
      <c r="C769" s="194" t="s">
        <v>2026</v>
      </c>
      <c r="D769" s="46"/>
      <c r="E769" s="219" t="s">
        <v>854</v>
      </c>
      <c r="F769" s="61" t="s">
        <v>31</v>
      </c>
      <c r="G769" s="288">
        <v>59.25</v>
      </c>
      <c r="H769" s="289">
        <v>1</v>
      </c>
      <c r="I769" s="290">
        <v>13</v>
      </c>
      <c r="J769" s="48" t="s">
        <v>39</v>
      </c>
      <c r="K769" s="50"/>
      <c r="L769" s="53" t="str">
        <f t="shared" si="99"/>
        <v>13grams</v>
      </c>
      <c r="M769" s="54">
        <f t="shared" si="100"/>
        <v>13</v>
      </c>
      <c r="N769" s="55" t="str">
        <f t="shared" si="101"/>
        <v>13grams</v>
      </c>
      <c r="O769" s="56">
        <f t="shared" si="102"/>
        <v>59.25</v>
      </c>
      <c r="P769" s="44">
        <f t="shared" si="154"/>
        <v>59.25</v>
      </c>
      <c r="Q769" s="66"/>
      <c r="R769" s="32"/>
      <c r="S769" s="32"/>
      <c r="T769" s="32"/>
      <c r="U769" s="32"/>
      <c r="V769" s="32"/>
      <c r="W769" s="32"/>
      <c r="X769" s="32"/>
      <c r="Y769" s="32"/>
      <c r="Z769" s="32"/>
    </row>
    <row r="770" spans="1:26" ht="15" customHeight="1" x14ac:dyDescent="0.3">
      <c r="A770" s="45"/>
      <c r="B770" s="317" t="s">
        <v>1322</v>
      </c>
      <c r="C770" s="194" t="s">
        <v>2022</v>
      </c>
      <c r="D770" s="46"/>
      <c r="E770" s="219" t="s">
        <v>854</v>
      </c>
      <c r="F770" s="61" t="s">
        <v>31</v>
      </c>
      <c r="G770" s="288">
        <v>59.25</v>
      </c>
      <c r="H770" s="289">
        <v>2</v>
      </c>
      <c r="I770" s="290">
        <v>13</v>
      </c>
      <c r="J770" s="48" t="s">
        <v>39</v>
      </c>
      <c r="K770" s="50"/>
      <c r="L770" s="53" t="str">
        <f t="shared" si="99"/>
        <v>13grams</v>
      </c>
      <c r="M770" s="54">
        <f t="shared" si="100"/>
        <v>26</v>
      </c>
      <c r="N770" s="55" t="str">
        <f t="shared" si="101"/>
        <v>26grams</v>
      </c>
      <c r="O770" s="56">
        <f t="shared" si="102"/>
        <v>118.5</v>
      </c>
      <c r="P770" s="12"/>
      <c r="Q770" s="12"/>
      <c r="R770" s="12"/>
      <c r="S770" s="151"/>
      <c r="T770" s="12"/>
      <c r="U770" s="12"/>
      <c r="V770" s="12"/>
      <c r="W770" s="12"/>
      <c r="X770" s="12"/>
      <c r="Y770" s="12"/>
      <c r="Z770" s="12"/>
    </row>
    <row r="771" spans="1:26" ht="15" customHeight="1" x14ac:dyDescent="0.3">
      <c r="A771" s="45"/>
      <c r="B771" s="317" t="s">
        <v>1322</v>
      </c>
      <c r="C771" s="194" t="s">
        <v>2021</v>
      </c>
      <c r="D771" s="46"/>
      <c r="E771" s="219" t="s">
        <v>854</v>
      </c>
      <c r="F771" s="61" t="s">
        <v>31</v>
      </c>
      <c r="G771" s="291">
        <v>59.25</v>
      </c>
      <c r="H771" s="292">
        <v>2</v>
      </c>
      <c r="I771" s="293">
        <v>13</v>
      </c>
      <c r="J771" s="414" t="s">
        <v>39</v>
      </c>
      <c r="K771" s="50"/>
      <c r="L771" s="53" t="str">
        <f t="shared" si="99"/>
        <v>13grams</v>
      </c>
      <c r="M771" s="54">
        <f t="shared" si="100"/>
        <v>26</v>
      </c>
      <c r="N771" s="55" t="str">
        <f t="shared" si="101"/>
        <v>26grams</v>
      </c>
      <c r="O771" s="56">
        <f t="shared" si="102"/>
        <v>118.5</v>
      </c>
      <c r="P771" s="12"/>
      <c r="Q771" s="12"/>
      <c r="R771" s="12"/>
      <c r="S771" s="151"/>
      <c r="T771" s="12"/>
      <c r="U771" s="12"/>
      <c r="V771" s="12"/>
      <c r="W771" s="12"/>
      <c r="X771" s="12"/>
      <c r="Y771" s="12"/>
      <c r="Z771" s="12"/>
    </row>
    <row r="772" spans="1:26" ht="15" customHeight="1" x14ac:dyDescent="0.3">
      <c r="A772" s="45"/>
      <c r="B772" s="46" t="s">
        <v>640</v>
      </c>
      <c r="C772" s="194" t="s">
        <v>2022</v>
      </c>
      <c r="D772" s="46"/>
      <c r="E772" s="46" t="s">
        <v>1241</v>
      </c>
      <c r="F772" s="61" t="s">
        <v>31</v>
      </c>
      <c r="G772" s="288">
        <v>98</v>
      </c>
      <c r="H772" s="289">
        <v>5</v>
      </c>
      <c r="I772" s="290">
        <v>900</v>
      </c>
      <c r="J772" s="48" t="s">
        <v>39</v>
      </c>
      <c r="K772" s="50"/>
      <c r="L772" s="53" t="str">
        <f t="shared" si="99"/>
        <v>900grams</v>
      </c>
      <c r="M772" s="54">
        <f t="shared" si="100"/>
        <v>4500</v>
      </c>
      <c r="N772" s="55" t="str">
        <f t="shared" si="101"/>
        <v>4500grams</v>
      </c>
      <c r="O772" s="56">
        <f t="shared" si="102"/>
        <v>490</v>
      </c>
      <c r="P772" s="12"/>
      <c r="Q772" s="12"/>
      <c r="R772" s="12"/>
      <c r="S772" s="151"/>
      <c r="T772" s="12"/>
      <c r="U772" s="12"/>
      <c r="V772" s="12"/>
      <c r="W772" s="12"/>
      <c r="X772" s="12"/>
      <c r="Y772" s="12"/>
      <c r="Z772" s="12"/>
    </row>
    <row r="773" spans="1:26" ht="15" customHeight="1" x14ac:dyDescent="0.3">
      <c r="A773" s="45">
        <v>697</v>
      </c>
      <c r="B773" s="46" t="s">
        <v>180</v>
      </c>
      <c r="C773" s="194" t="s">
        <v>2026</v>
      </c>
      <c r="D773" s="46"/>
      <c r="E773" s="46" t="s">
        <v>642</v>
      </c>
      <c r="F773" s="61" t="s">
        <v>31</v>
      </c>
      <c r="G773" s="288">
        <v>170.6</v>
      </c>
      <c r="H773" s="289">
        <v>2</v>
      </c>
      <c r="I773" s="290">
        <v>340</v>
      </c>
      <c r="J773" s="48" t="s">
        <v>39</v>
      </c>
      <c r="K773" s="50"/>
      <c r="L773" s="53" t="str">
        <f t="shared" si="99"/>
        <v>340grams</v>
      </c>
      <c r="M773" s="54">
        <f t="shared" si="100"/>
        <v>680</v>
      </c>
      <c r="N773" s="55" t="str">
        <f t="shared" si="101"/>
        <v>680grams</v>
      </c>
      <c r="O773" s="56">
        <f t="shared" si="102"/>
        <v>341.2</v>
      </c>
      <c r="P773" s="44">
        <f>O773/H773</f>
        <v>170.6</v>
      </c>
      <c r="Q773" s="66"/>
      <c r="R773" s="32" t="b">
        <f>P773=G773</f>
        <v>1</v>
      </c>
      <c r="S773" s="32"/>
      <c r="T773" s="32"/>
      <c r="U773" s="32"/>
      <c r="V773" s="32"/>
      <c r="W773" s="32"/>
      <c r="X773" s="32"/>
      <c r="Y773" s="32"/>
      <c r="Z773" s="32"/>
    </row>
    <row r="774" spans="1:26" ht="15" customHeight="1" x14ac:dyDescent="0.3">
      <c r="A774" s="45"/>
      <c r="B774" s="46" t="s">
        <v>180</v>
      </c>
      <c r="C774" s="194" t="s">
        <v>2023</v>
      </c>
      <c r="D774" s="46"/>
      <c r="E774" s="46" t="s">
        <v>642</v>
      </c>
      <c r="F774" s="61" t="s">
        <v>31</v>
      </c>
      <c r="G774" s="291">
        <v>170.6</v>
      </c>
      <c r="H774" s="289">
        <v>2</v>
      </c>
      <c r="I774" s="293">
        <v>340</v>
      </c>
      <c r="J774" s="414" t="s">
        <v>39</v>
      </c>
      <c r="K774" s="50"/>
      <c r="L774" s="53" t="str">
        <f t="shared" ref="L774:L1028" si="155">CONCATENATE(I774,J774)</f>
        <v>340grams</v>
      </c>
      <c r="M774" s="54">
        <f t="shared" ref="M774:M1028" si="156">H774*I774</f>
        <v>680</v>
      </c>
      <c r="N774" s="55" t="str">
        <f t="shared" ref="N774:N1028" si="157">CONCATENATE(M774,K774,J774)</f>
        <v>680grams</v>
      </c>
      <c r="O774" s="56">
        <f t="shared" ref="O774:O1028" si="158">G774*H774</f>
        <v>341.2</v>
      </c>
      <c r="P774" s="44"/>
      <c r="Q774" s="12"/>
      <c r="R774" s="12"/>
      <c r="S774" s="151"/>
      <c r="T774" s="12"/>
      <c r="U774" s="12"/>
      <c r="V774" s="12"/>
      <c r="W774" s="12"/>
      <c r="X774" s="12"/>
      <c r="Y774" s="12"/>
      <c r="Z774" s="12"/>
    </row>
    <row r="775" spans="1:26" ht="15" customHeight="1" x14ac:dyDescent="0.3">
      <c r="A775" s="45"/>
      <c r="B775" s="46" t="s">
        <v>414</v>
      </c>
      <c r="C775" s="194" t="s">
        <v>2023</v>
      </c>
      <c r="D775" s="46"/>
      <c r="E775" s="46" t="s">
        <v>415</v>
      </c>
      <c r="F775" s="61" t="s">
        <v>31</v>
      </c>
      <c r="G775" s="288">
        <v>6.5</v>
      </c>
      <c r="H775" s="289">
        <v>80</v>
      </c>
      <c r="I775" s="290">
        <v>10</v>
      </c>
      <c r="J775" s="48" t="s">
        <v>92</v>
      </c>
      <c r="K775" s="50"/>
      <c r="L775" s="53" t="str">
        <f t="shared" si="155"/>
        <v>10pieces</v>
      </c>
      <c r="M775" s="54">
        <f t="shared" si="156"/>
        <v>800</v>
      </c>
      <c r="N775" s="55" t="str">
        <f t="shared" si="157"/>
        <v>800pieces</v>
      </c>
      <c r="O775" s="56">
        <f t="shared" si="158"/>
        <v>520</v>
      </c>
      <c r="P775" s="12"/>
      <c r="Q775" s="12"/>
      <c r="R775" s="12"/>
      <c r="S775" s="151"/>
      <c r="T775" s="12"/>
      <c r="U775" s="12"/>
      <c r="V775" s="12"/>
      <c r="W775" s="12"/>
      <c r="X775" s="12"/>
      <c r="Y775" s="12"/>
      <c r="Z775" s="12"/>
    </row>
    <row r="776" spans="1:26" ht="15" customHeight="1" x14ac:dyDescent="0.3">
      <c r="A776" s="45"/>
      <c r="B776" s="219" t="s">
        <v>1324</v>
      </c>
      <c r="C776" s="194" t="s">
        <v>2023</v>
      </c>
      <c r="D776" s="46"/>
      <c r="E776" s="219" t="s">
        <v>1325</v>
      </c>
      <c r="F776" s="61" t="s">
        <v>31</v>
      </c>
      <c r="G776" s="291">
        <v>285</v>
      </c>
      <c r="H776" s="292">
        <v>2</v>
      </c>
      <c r="I776" s="293">
        <v>1000</v>
      </c>
      <c r="J776" s="414" t="s">
        <v>304</v>
      </c>
      <c r="K776" s="50"/>
      <c r="L776" s="53" t="str">
        <f t="shared" si="155"/>
        <v>1000packs</v>
      </c>
      <c r="M776" s="54">
        <f t="shared" si="156"/>
        <v>2000</v>
      </c>
      <c r="N776" s="55" t="str">
        <f t="shared" si="157"/>
        <v>2000packs</v>
      </c>
      <c r="O776" s="56">
        <f t="shared" si="158"/>
        <v>570</v>
      </c>
      <c r="P776" s="44"/>
      <c r="Q776" s="12"/>
      <c r="R776" s="12"/>
      <c r="S776" s="151"/>
      <c r="T776" s="12"/>
      <c r="U776" s="12"/>
      <c r="V776" s="12"/>
      <c r="W776" s="12"/>
      <c r="X776" s="12"/>
      <c r="Y776" s="12"/>
      <c r="Z776" s="12"/>
    </row>
    <row r="777" spans="1:26" ht="15" customHeight="1" x14ac:dyDescent="0.3">
      <c r="A777" s="45">
        <v>585</v>
      </c>
      <c r="B777" s="46" t="s">
        <v>364</v>
      </c>
      <c r="C777" s="194" t="s">
        <v>2026</v>
      </c>
      <c r="D777" s="46"/>
      <c r="E777" s="46" t="s">
        <v>1326</v>
      </c>
      <c r="F777" s="61" t="s">
        <v>31</v>
      </c>
      <c r="G777" s="288">
        <v>80</v>
      </c>
      <c r="H777" s="289">
        <v>3</v>
      </c>
      <c r="I777" s="290">
        <v>5</v>
      </c>
      <c r="J777" s="48" t="s">
        <v>213</v>
      </c>
      <c r="K777" s="50"/>
      <c r="L777" s="53" t="str">
        <f t="shared" si="155"/>
        <v>5kilos</v>
      </c>
      <c r="M777" s="54">
        <f t="shared" si="156"/>
        <v>15</v>
      </c>
      <c r="N777" s="55" t="str">
        <f t="shared" si="157"/>
        <v>15kilos</v>
      </c>
      <c r="O777" s="56">
        <f t="shared" si="158"/>
        <v>240</v>
      </c>
      <c r="P777" s="44">
        <f t="shared" ref="P777:P779" si="159">O777/H777</f>
        <v>80</v>
      </c>
      <c r="Q777" s="66"/>
      <c r="R777" s="32"/>
      <c r="S777" s="32"/>
      <c r="T777" s="32"/>
      <c r="U777" s="32"/>
      <c r="V777" s="32"/>
      <c r="W777" s="32"/>
      <c r="X777" s="32"/>
      <c r="Y777" s="32"/>
      <c r="Z777" s="32"/>
    </row>
    <row r="778" spans="1:26" ht="15" customHeight="1" x14ac:dyDescent="0.3">
      <c r="A778" s="45">
        <v>480</v>
      </c>
      <c r="B778" s="46" t="s">
        <v>1327</v>
      </c>
      <c r="C778" s="194" t="s">
        <v>2025</v>
      </c>
      <c r="D778" s="46"/>
      <c r="E778" s="46"/>
      <c r="F778" s="61" t="s">
        <v>31</v>
      </c>
      <c r="G778" s="288">
        <v>55</v>
      </c>
      <c r="H778" s="289">
        <v>7</v>
      </c>
      <c r="I778" s="290">
        <v>1</v>
      </c>
      <c r="J778" s="48" t="s">
        <v>213</v>
      </c>
      <c r="K778" s="50"/>
      <c r="L778" s="53" t="str">
        <f t="shared" si="155"/>
        <v>1kilos</v>
      </c>
      <c r="M778" s="54">
        <f t="shared" si="156"/>
        <v>7</v>
      </c>
      <c r="N778" s="55" t="str">
        <f t="shared" si="157"/>
        <v>7kilos</v>
      </c>
      <c r="O778" s="56">
        <f t="shared" si="158"/>
        <v>385</v>
      </c>
      <c r="P778" s="44">
        <f t="shared" si="159"/>
        <v>55</v>
      </c>
      <c r="Q778" s="66"/>
      <c r="R778" s="32" t="b">
        <f t="shared" ref="R778:R779" si="160">P778=G778</f>
        <v>1</v>
      </c>
      <c r="S778" s="32"/>
      <c r="T778" s="32"/>
      <c r="U778" s="32"/>
      <c r="V778" s="32"/>
      <c r="W778" s="32"/>
      <c r="X778" s="32"/>
      <c r="Y778" s="32"/>
      <c r="Z778" s="32"/>
    </row>
    <row r="779" spans="1:26" ht="15" customHeight="1" x14ac:dyDescent="0.3">
      <c r="A779" s="45">
        <v>783</v>
      </c>
      <c r="B779" s="46" t="s">
        <v>1327</v>
      </c>
      <c r="C779" s="194" t="s">
        <v>1368</v>
      </c>
      <c r="D779" s="46"/>
      <c r="E779" s="46"/>
      <c r="F779" s="61" t="s">
        <v>31</v>
      </c>
      <c r="G779" s="288">
        <v>20</v>
      </c>
      <c r="H779" s="289">
        <v>29</v>
      </c>
      <c r="I779" s="290">
        <v>1000</v>
      </c>
      <c r="J779" s="48" t="s">
        <v>39</v>
      </c>
      <c r="K779" s="50" t="s">
        <v>2019</v>
      </c>
      <c r="L779" s="53" t="str">
        <f t="shared" si="155"/>
        <v>1000grams</v>
      </c>
      <c r="M779" s="54">
        <f t="shared" si="156"/>
        <v>29000</v>
      </c>
      <c r="N779" s="55" t="str">
        <f t="shared" si="157"/>
        <v>29000grams</v>
      </c>
      <c r="O779" s="56">
        <f t="shared" si="158"/>
        <v>580</v>
      </c>
      <c r="P779" s="44">
        <f t="shared" si="159"/>
        <v>20</v>
      </c>
      <c r="Q779" s="66">
        <f>G779-P779</f>
        <v>0</v>
      </c>
      <c r="R779" s="32" t="b">
        <f t="shared" si="160"/>
        <v>1</v>
      </c>
      <c r="S779" s="32"/>
      <c r="T779" s="32"/>
      <c r="U779" s="32"/>
      <c r="V779" s="32"/>
      <c r="W779" s="32"/>
      <c r="X779" s="32"/>
      <c r="Y779" s="32"/>
      <c r="Z779" s="32"/>
    </row>
    <row r="780" spans="1:26" ht="15" customHeight="1" x14ac:dyDescent="0.3">
      <c r="A780" s="45">
        <v>907</v>
      </c>
      <c r="B780" s="46" t="s">
        <v>1328</v>
      </c>
      <c r="C780" s="194" t="s">
        <v>1368</v>
      </c>
      <c r="D780" s="46"/>
      <c r="E780" s="46"/>
      <c r="F780" s="61" t="s">
        <v>31</v>
      </c>
      <c r="G780" s="288">
        <v>55</v>
      </c>
      <c r="H780" s="289">
        <v>1</v>
      </c>
      <c r="I780" s="290">
        <v>1000</v>
      </c>
      <c r="J780" s="48" t="s">
        <v>39</v>
      </c>
      <c r="K780" s="50"/>
      <c r="L780" s="53" t="str">
        <f t="shared" si="155"/>
        <v>1000grams</v>
      </c>
      <c r="M780" s="54">
        <f t="shared" si="156"/>
        <v>1000</v>
      </c>
      <c r="N780" s="55" t="str">
        <f t="shared" si="157"/>
        <v>1000grams</v>
      </c>
      <c r="O780" s="56">
        <f t="shared" si="158"/>
        <v>55</v>
      </c>
      <c r="P780" s="44"/>
      <c r="Q780" s="66"/>
      <c r="R780" s="32"/>
      <c r="S780" s="32"/>
      <c r="T780" s="32"/>
      <c r="U780" s="32"/>
      <c r="V780" s="32"/>
      <c r="W780" s="32"/>
      <c r="X780" s="32"/>
      <c r="Y780" s="32"/>
      <c r="Z780" s="32"/>
    </row>
    <row r="781" spans="1:26" ht="15" customHeight="1" x14ac:dyDescent="0.3">
      <c r="A781" s="45"/>
      <c r="B781" s="46" t="s">
        <v>1328</v>
      </c>
      <c r="C781" s="194" t="s">
        <v>2022</v>
      </c>
      <c r="D781" s="46"/>
      <c r="E781" s="46" t="s">
        <v>912</v>
      </c>
      <c r="F781" s="61" t="s">
        <v>31</v>
      </c>
      <c r="G781" s="288">
        <v>175</v>
      </c>
      <c r="H781" s="289">
        <v>1</v>
      </c>
      <c r="I781" s="290">
        <v>1000</v>
      </c>
      <c r="J781" s="48" t="s">
        <v>39</v>
      </c>
      <c r="K781" s="50"/>
      <c r="L781" s="53" t="str">
        <f t="shared" si="155"/>
        <v>1000grams</v>
      </c>
      <c r="M781" s="54">
        <f t="shared" si="156"/>
        <v>1000</v>
      </c>
      <c r="N781" s="55" t="str">
        <f t="shared" si="157"/>
        <v>1000grams</v>
      </c>
      <c r="O781" s="56">
        <f t="shared" si="158"/>
        <v>175</v>
      </c>
      <c r="P781" s="12"/>
      <c r="Q781" s="12"/>
      <c r="R781" s="12"/>
      <c r="S781" s="151"/>
      <c r="T781" s="12"/>
      <c r="U781" s="12"/>
      <c r="V781" s="12"/>
      <c r="W781" s="12"/>
      <c r="X781" s="12"/>
      <c r="Y781" s="12"/>
      <c r="Z781" s="12"/>
    </row>
    <row r="782" spans="1:26" ht="15" customHeight="1" x14ac:dyDescent="0.3">
      <c r="A782" s="424"/>
      <c r="B782" s="46" t="s">
        <v>1329</v>
      </c>
      <c r="C782" s="194" t="s">
        <v>1368</v>
      </c>
      <c r="D782" s="46"/>
      <c r="E782" s="46"/>
      <c r="F782" s="61" t="s">
        <v>31</v>
      </c>
      <c r="G782" s="288">
        <v>35</v>
      </c>
      <c r="H782" s="289">
        <v>1</v>
      </c>
      <c r="I782" s="290">
        <v>1000</v>
      </c>
      <c r="J782" s="48" t="s">
        <v>39</v>
      </c>
      <c r="K782" s="50"/>
      <c r="L782" s="53" t="str">
        <f t="shared" si="155"/>
        <v>1000grams</v>
      </c>
      <c r="M782" s="54">
        <f t="shared" si="156"/>
        <v>1000</v>
      </c>
      <c r="N782" s="55" t="str">
        <f t="shared" si="157"/>
        <v>1000grams</v>
      </c>
      <c r="O782" s="56">
        <f t="shared" si="158"/>
        <v>35</v>
      </c>
      <c r="P782" s="44"/>
      <c r="Q782" s="12"/>
      <c r="R782" s="12"/>
      <c r="S782" s="151"/>
      <c r="T782" s="12"/>
      <c r="U782" s="12"/>
      <c r="V782" s="12"/>
      <c r="W782" s="12"/>
      <c r="X782" s="12"/>
      <c r="Y782" s="12"/>
      <c r="Z782" s="12"/>
    </row>
    <row r="783" spans="1:26" ht="15" customHeight="1" x14ac:dyDescent="0.3">
      <c r="A783" s="45">
        <v>482</v>
      </c>
      <c r="B783" s="46" t="s">
        <v>1330</v>
      </c>
      <c r="C783" s="194" t="s">
        <v>2025</v>
      </c>
      <c r="D783" s="46"/>
      <c r="E783" s="46"/>
      <c r="F783" s="61" t="s">
        <v>31</v>
      </c>
      <c r="G783" s="288">
        <v>10</v>
      </c>
      <c r="H783" s="289">
        <v>1</v>
      </c>
      <c r="I783" s="290">
        <v>1</v>
      </c>
      <c r="J783" s="48" t="s">
        <v>1331</v>
      </c>
      <c r="K783" s="50"/>
      <c r="L783" s="53" t="str">
        <f t="shared" si="155"/>
        <v>1bundle</v>
      </c>
      <c r="M783" s="54">
        <f t="shared" si="156"/>
        <v>1</v>
      </c>
      <c r="N783" s="55" t="str">
        <f t="shared" si="157"/>
        <v>1bundle</v>
      </c>
      <c r="O783" s="56">
        <f t="shared" si="158"/>
        <v>10</v>
      </c>
      <c r="P783" s="44">
        <f t="shared" ref="P783:P784" si="161">O783/H783</f>
        <v>10</v>
      </c>
      <c r="Q783" s="66"/>
      <c r="R783" s="32"/>
      <c r="S783" s="32"/>
      <c r="T783" s="32"/>
      <c r="U783" s="32"/>
      <c r="V783" s="32"/>
      <c r="W783" s="32"/>
      <c r="X783" s="32"/>
      <c r="Y783" s="32"/>
      <c r="Z783" s="32"/>
    </row>
    <row r="784" spans="1:26" ht="15" customHeight="1" x14ac:dyDescent="0.3">
      <c r="A784" s="45">
        <v>662</v>
      </c>
      <c r="B784" s="46" t="s">
        <v>1330</v>
      </c>
      <c r="C784" s="194" t="s">
        <v>2026</v>
      </c>
      <c r="D784" s="46"/>
      <c r="E784" s="46" t="s">
        <v>216</v>
      </c>
      <c r="F784" s="61" t="s">
        <v>31</v>
      </c>
      <c r="G784" s="288">
        <v>75</v>
      </c>
      <c r="H784" s="289">
        <v>2</v>
      </c>
      <c r="I784" s="290">
        <v>1000</v>
      </c>
      <c r="J784" s="48" t="s">
        <v>39</v>
      </c>
      <c r="K784" s="50"/>
      <c r="L784" s="53" t="str">
        <f t="shared" si="155"/>
        <v>1000grams</v>
      </c>
      <c r="M784" s="54">
        <f t="shared" si="156"/>
        <v>2000</v>
      </c>
      <c r="N784" s="55" t="str">
        <f t="shared" si="157"/>
        <v>2000grams</v>
      </c>
      <c r="O784" s="56">
        <f t="shared" si="158"/>
        <v>150</v>
      </c>
      <c r="P784" s="44">
        <f t="shared" si="161"/>
        <v>75</v>
      </c>
      <c r="Q784" s="66"/>
      <c r="R784" s="32"/>
      <c r="S784" s="32"/>
      <c r="T784" s="32"/>
      <c r="U784" s="32"/>
      <c r="V784" s="32"/>
      <c r="W784" s="32"/>
      <c r="X784" s="32"/>
      <c r="Y784" s="32"/>
      <c r="Z784" s="32"/>
    </row>
    <row r="785" spans="1:26" ht="15" customHeight="1" x14ac:dyDescent="0.3">
      <c r="A785" s="45"/>
      <c r="B785" s="46" t="s">
        <v>1330</v>
      </c>
      <c r="C785" s="194" t="s">
        <v>2023</v>
      </c>
      <c r="D785" s="46"/>
      <c r="E785" s="46" t="s">
        <v>216</v>
      </c>
      <c r="F785" s="61" t="s">
        <v>31</v>
      </c>
      <c r="G785" s="288">
        <v>95</v>
      </c>
      <c r="H785" s="289">
        <v>2</v>
      </c>
      <c r="I785" s="290">
        <v>1</v>
      </c>
      <c r="J785" s="48" t="s">
        <v>1331</v>
      </c>
      <c r="K785" s="50"/>
      <c r="L785" s="53" t="str">
        <f t="shared" si="155"/>
        <v>1bundle</v>
      </c>
      <c r="M785" s="54">
        <f t="shared" si="156"/>
        <v>2</v>
      </c>
      <c r="N785" s="55" t="str">
        <f t="shared" si="157"/>
        <v>2bundle</v>
      </c>
      <c r="O785" s="56">
        <f t="shared" si="158"/>
        <v>190</v>
      </c>
      <c r="P785" s="44"/>
      <c r="Q785" s="12"/>
      <c r="R785" s="12"/>
      <c r="S785" s="151"/>
      <c r="T785" s="12"/>
      <c r="U785" s="12"/>
      <c r="V785" s="12"/>
      <c r="W785" s="12"/>
      <c r="X785" s="12"/>
      <c r="Y785" s="12"/>
      <c r="Z785" s="12"/>
    </row>
    <row r="786" spans="1:26" ht="15" customHeight="1" x14ac:dyDescent="0.3">
      <c r="A786" s="45">
        <v>346</v>
      </c>
      <c r="B786" s="46" t="s">
        <v>1332</v>
      </c>
      <c r="C786" s="194" t="s">
        <v>2025</v>
      </c>
      <c r="D786" s="46"/>
      <c r="E786" s="46" t="s">
        <v>1333</v>
      </c>
      <c r="F786" s="61" t="s">
        <v>31</v>
      </c>
      <c r="G786" s="288">
        <v>84.1</v>
      </c>
      <c r="H786" s="289">
        <v>2</v>
      </c>
      <c r="I786" s="290">
        <v>340</v>
      </c>
      <c r="J786" s="48" t="s">
        <v>39</v>
      </c>
      <c r="K786" s="50"/>
      <c r="L786" s="53" t="str">
        <f t="shared" si="155"/>
        <v>340grams</v>
      </c>
      <c r="M786" s="54">
        <f t="shared" si="156"/>
        <v>680</v>
      </c>
      <c r="N786" s="55" t="str">
        <f t="shared" si="157"/>
        <v>680grams</v>
      </c>
      <c r="O786" s="56">
        <f t="shared" si="158"/>
        <v>168.2</v>
      </c>
      <c r="P786" s="44">
        <f t="shared" ref="P786:P789" si="162">O786/H786</f>
        <v>84.1</v>
      </c>
      <c r="Q786" s="66"/>
      <c r="R786" s="32" t="b">
        <f t="shared" ref="R786:R789" si="163">P786=G786</f>
        <v>1</v>
      </c>
      <c r="S786" s="32"/>
      <c r="T786" s="32"/>
      <c r="U786" s="32"/>
      <c r="V786" s="32"/>
      <c r="W786" s="32"/>
      <c r="X786" s="32"/>
      <c r="Y786" s="32"/>
      <c r="Z786" s="32"/>
    </row>
    <row r="787" spans="1:26" ht="15" customHeight="1" x14ac:dyDescent="0.3">
      <c r="A787" s="45">
        <v>530</v>
      </c>
      <c r="B787" s="46" t="s">
        <v>1334</v>
      </c>
      <c r="C787" s="194" t="s">
        <v>2026</v>
      </c>
      <c r="D787" s="46"/>
      <c r="E787" s="46" t="s">
        <v>1335</v>
      </c>
      <c r="F787" s="61" t="s">
        <v>31</v>
      </c>
      <c r="G787" s="288">
        <v>340</v>
      </c>
      <c r="H787" s="289">
        <v>2</v>
      </c>
      <c r="I787" s="290">
        <v>500</v>
      </c>
      <c r="J787" s="422" t="s">
        <v>39</v>
      </c>
      <c r="K787" s="50" t="s">
        <v>2019</v>
      </c>
      <c r="L787" s="53" t="str">
        <f t="shared" si="155"/>
        <v>500grams</v>
      </c>
      <c r="M787" s="54">
        <f t="shared" si="156"/>
        <v>1000</v>
      </c>
      <c r="N787" s="55" t="str">
        <f t="shared" si="157"/>
        <v>1000grams</v>
      </c>
      <c r="O787" s="56">
        <f t="shared" si="158"/>
        <v>680</v>
      </c>
      <c r="P787" s="44">
        <f t="shared" si="162"/>
        <v>340</v>
      </c>
      <c r="Q787" s="66">
        <f>G787-P787</f>
        <v>0</v>
      </c>
      <c r="R787" s="32" t="b">
        <f t="shared" si="163"/>
        <v>1</v>
      </c>
      <c r="S787" s="32"/>
      <c r="T787" s="32"/>
      <c r="U787" s="32"/>
      <c r="V787" s="32"/>
      <c r="W787" s="32"/>
      <c r="X787" s="32"/>
      <c r="Y787" s="32"/>
      <c r="Z787" s="32"/>
    </row>
    <row r="788" spans="1:26" ht="15" customHeight="1" x14ac:dyDescent="0.3">
      <c r="A788" s="45">
        <v>125</v>
      </c>
      <c r="B788" s="46" t="s">
        <v>182</v>
      </c>
      <c r="C788" s="194" t="s">
        <v>2024</v>
      </c>
      <c r="D788" s="46"/>
      <c r="E788" s="46" t="s">
        <v>865</v>
      </c>
      <c r="F788" s="61" t="s">
        <v>31</v>
      </c>
      <c r="G788" s="288">
        <v>42.3</v>
      </c>
      <c r="H788" s="289">
        <v>12</v>
      </c>
      <c r="I788" s="290">
        <v>250</v>
      </c>
      <c r="J788" s="48" t="s">
        <v>39</v>
      </c>
      <c r="K788" s="50"/>
      <c r="L788" s="53" t="str">
        <f t="shared" si="155"/>
        <v>250grams</v>
      </c>
      <c r="M788" s="54">
        <f t="shared" si="156"/>
        <v>3000</v>
      </c>
      <c r="N788" s="55" t="str">
        <f t="shared" si="157"/>
        <v>3000grams</v>
      </c>
      <c r="O788" s="56">
        <f t="shared" si="158"/>
        <v>507.59999999999997</v>
      </c>
      <c r="P788" s="44">
        <f t="shared" si="162"/>
        <v>42.3</v>
      </c>
      <c r="Q788" s="66"/>
      <c r="R788" s="32" t="b">
        <f t="shared" si="163"/>
        <v>1</v>
      </c>
      <c r="S788" s="32"/>
      <c r="T788" s="32"/>
      <c r="U788" s="32"/>
      <c r="V788" s="32"/>
      <c r="W788" s="32"/>
      <c r="X788" s="32"/>
      <c r="Y788" s="32"/>
      <c r="Z788" s="32"/>
    </row>
    <row r="789" spans="1:26" ht="15" customHeight="1" x14ac:dyDescent="0.3">
      <c r="A789" s="45">
        <v>698</v>
      </c>
      <c r="B789" s="46" t="s">
        <v>182</v>
      </c>
      <c r="C789" s="194" t="s">
        <v>2026</v>
      </c>
      <c r="D789" s="46"/>
      <c r="E789" s="46" t="s">
        <v>1336</v>
      </c>
      <c r="F789" s="61" t="s">
        <v>31</v>
      </c>
      <c r="G789" s="288">
        <v>40.200000000000003</v>
      </c>
      <c r="H789" s="289">
        <v>5</v>
      </c>
      <c r="I789" s="290">
        <v>250</v>
      </c>
      <c r="J789" s="48" t="s">
        <v>519</v>
      </c>
      <c r="K789" s="50"/>
      <c r="L789" s="53" t="str">
        <f t="shared" si="155"/>
        <v>250drained weight grams</v>
      </c>
      <c r="M789" s="54">
        <f t="shared" si="156"/>
        <v>1250</v>
      </c>
      <c r="N789" s="55" t="str">
        <f t="shared" si="157"/>
        <v>1250drained weight grams</v>
      </c>
      <c r="O789" s="56">
        <f t="shared" si="158"/>
        <v>201</v>
      </c>
      <c r="P789" s="44">
        <f t="shared" si="162"/>
        <v>40.200000000000003</v>
      </c>
      <c r="Q789" s="66"/>
      <c r="R789" s="32" t="b">
        <f t="shared" si="163"/>
        <v>1</v>
      </c>
      <c r="S789" s="32"/>
      <c r="T789" s="32"/>
      <c r="U789" s="32"/>
      <c r="V789" s="32"/>
      <c r="W789" s="32"/>
      <c r="X789" s="32"/>
      <c r="Y789" s="32"/>
      <c r="Z789" s="32"/>
    </row>
    <row r="790" spans="1:26" ht="15" customHeight="1" x14ac:dyDescent="0.3">
      <c r="A790" s="45"/>
      <c r="B790" s="46" t="s">
        <v>182</v>
      </c>
      <c r="C790" s="194" t="s">
        <v>2023</v>
      </c>
      <c r="D790" s="46"/>
      <c r="E790" s="46" t="s">
        <v>1336</v>
      </c>
      <c r="F790" s="61" t="s">
        <v>31</v>
      </c>
      <c r="G790" s="291">
        <v>40.200000000000003</v>
      </c>
      <c r="H790" s="289">
        <v>5</v>
      </c>
      <c r="I790" s="293">
        <v>250</v>
      </c>
      <c r="J790" s="439" t="s">
        <v>519</v>
      </c>
      <c r="K790" s="50"/>
      <c r="L790" s="53" t="str">
        <f t="shared" si="155"/>
        <v>250drained weight grams</v>
      </c>
      <c r="M790" s="54">
        <f t="shared" si="156"/>
        <v>1250</v>
      </c>
      <c r="N790" s="55" t="str">
        <f t="shared" si="157"/>
        <v>1250drained weight grams</v>
      </c>
      <c r="O790" s="56">
        <f t="shared" si="158"/>
        <v>201</v>
      </c>
      <c r="P790" s="12"/>
      <c r="Q790" s="12"/>
      <c r="R790" s="12"/>
      <c r="S790" s="151"/>
      <c r="T790" s="12"/>
      <c r="U790" s="12"/>
      <c r="V790" s="12"/>
      <c r="W790" s="12"/>
      <c r="X790" s="12"/>
      <c r="Y790" s="12"/>
      <c r="Z790" s="12"/>
    </row>
    <row r="791" spans="1:26" ht="15" customHeight="1" x14ac:dyDescent="0.3">
      <c r="A791" s="45"/>
      <c r="B791" s="46" t="s">
        <v>182</v>
      </c>
      <c r="C791" s="194" t="s">
        <v>2022</v>
      </c>
      <c r="D791" s="46"/>
      <c r="E791" s="46" t="s">
        <v>1337</v>
      </c>
      <c r="F791" s="61" t="s">
        <v>31</v>
      </c>
      <c r="G791" s="288">
        <v>56.2</v>
      </c>
      <c r="H791" s="289">
        <v>26</v>
      </c>
      <c r="I791" s="290">
        <v>260</v>
      </c>
      <c r="J791" s="48" t="s">
        <v>39</v>
      </c>
      <c r="K791" s="50"/>
      <c r="L791" s="53" t="str">
        <f t="shared" si="155"/>
        <v>260grams</v>
      </c>
      <c r="M791" s="54">
        <f t="shared" si="156"/>
        <v>6760</v>
      </c>
      <c r="N791" s="55" t="str">
        <f t="shared" si="157"/>
        <v>6760grams</v>
      </c>
      <c r="O791" s="56">
        <f t="shared" si="158"/>
        <v>1461.2</v>
      </c>
      <c r="P791" s="12"/>
      <c r="Q791" s="12"/>
      <c r="R791" s="12"/>
      <c r="S791" s="151"/>
      <c r="T791" s="12"/>
      <c r="U791" s="12"/>
      <c r="V791" s="12"/>
      <c r="W791" s="12"/>
      <c r="X791" s="12"/>
      <c r="Y791" s="12"/>
      <c r="Z791" s="12"/>
    </row>
    <row r="792" spans="1:26" ht="15" customHeight="1" x14ac:dyDescent="0.3">
      <c r="A792" s="45"/>
      <c r="B792" s="46" t="s">
        <v>182</v>
      </c>
      <c r="C792" s="194" t="s">
        <v>2022</v>
      </c>
      <c r="D792" s="46"/>
      <c r="E792" s="46" t="s">
        <v>1338</v>
      </c>
      <c r="F792" s="61" t="s">
        <v>31</v>
      </c>
      <c r="G792" s="288">
        <v>50</v>
      </c>
      <c r="H792" s="289">
        <v>3</v>
      </c>
      <c r="I792" s="290">
        <v>223</v>
      </c>
      <c r="J792" s="420" t="s">
        <v>39</v>
      </c>
      <c r="K792" s="50"/>
      <c r="L792" s="53" t="str">
        <f t="shared" si="155"/>
        <v>223grams</v>
      </c>
      <c r="M792" s="54">
        <f t="shared" si="156"/>
        <v>669</v>
      </c>
      <c r="N792" s="55" t="str">
        <f t="shared" si="157"/>
        <v>669grams</v>
      </c>
      <c r="O792" s="56">
        <f t="shared" si="158"/>
        <v>150</v>
      </c>
      <c r="P792" s="12"/>
      <c r="Q792" s="12"/>
      <c r="R792" s="12"/>
      <c r="S792" s="151"/>
      <c r="T792" s="12"/>
      <c r="U792" s="12"/>
      <c r="V792" s="12"/>
      <c r="W792" s="12"/>
      <c r="X792" s="12"/>
      <c r="Y792" s="12"/>
      <c r="Z792" s="12"/>
    </row>
    <row r="793" spans="1:26" ht="15" customHeight="1" x14ac:dyDescent="0.3">
      <c r="A793" s="45"/>
      <c r="B793" s="219" t="s">
        <v>182</v>
      </c>
      <c r="C793" s="194" t="s">
        <v>2021</v>
      </c>
      <c r="D793" s="46"/>
      <c r="E793" s="219" t="s">
        <v>1336</v>
      </c>
      <c r="F793" s="61" t="s">
        <v>31</v>
      </c>
      <c r="G793" s="291">
        <v>42.5</v>
      </c>
      <c r="H793" s="303">
        <v>1</v>
      </c>
      <c r="I793" s="293">
        <v>425</v>
      </c>
      <c r="J793" s="414" t="s">
        <v>39</v>
      </c>
      <c r="K793" s="50"/>
      <c r="L793" s="53" t="str">
        <f t="shared" si="155"/>
        <v>425grams</v>
      </c>
      <c r="M793" s="54">
        <f t="shared" si="156"/>
        <v>425</v>
      </c>
      <c r="N793" s="55" t="str">
        <f t="shared" si="157"/>
        <v>425grams</v>
      </c>
      <c r="O793" s="56">
        <f t="shared" si="158"/>
        <v>42.5</v>
      </c>
      <c r="P793" s="12"/>
      <c r="Q793" s="12"/>
      <c r="R793" s="12"/>
      <c r="S793" s="151"/>
      <c r="T793" s="12"/>
      <c r="U793" s="12"/>
      <c r="V793" s="12"/>
      <c r="W793" s="12"/>
      <c r="X793" s="12"/>
      <c r="Y793" s="12"/>
      <c r="Z793" s="12"/>
    </row>
    <row r="794" spans="1:26" ht="15" customHeight="1" x14ac:dyDescent="0.3">
      <c r="A794" s="45">
        <v>803</v>
      </c>
      <c r="B794" s="46" t="s">
        <v>1339</v>
      </c>
      <c r="C794" s="194" t="s">
        <v>1368</v>
      </c>
      <c r="D794" s="46"/>
      <c r="E794" s="46" t="s">
        <v>1340</v>
      </c>
      <c r="F794" s="61" t="s">
        <v>31</v>
      </c>
      <c r="G794" s="288">
        <v>106.75</v>
      </c>
      <c r="H794" s="289">
        <v>10</v>
      </c>
      <c r="I794" s="290">
        <v>1</v>
      </c>
      <c r="J794" s="48" t="s">
        <v>200</v>
      </c>
      <c r="K794" s="50"/>
      <c r="L794" s="53" t="str">
        <f t="shared" si="155"/>
        <v>1gal</v>
      </c>
      <c r="M794" s="54">
        <f t="shared" si="156"/>
        <v>10</v>
      </c>
      <c r="N794" s="55" t="str">
        <f t="shared" si="157"/>
        <v>10gal</v>
      </c>
      <c r="O794" s="56">
        <f t="shared" si="158"/>
        <v>1067.5</v>
      </c>
      <c r="P794" s="44">
        <f>O794/H794</f>
        <v>106.75</v>
      </c>
      <c r="Q794" s="66"/>
      <c r="R794" s="32"/>
      <c r="S794" s="32"/>
      <c r="T794" s="32"/>
      <c r="U794" s="32"/>
      <c r="V794" s="32"/>
      <c r="W794" s="32"/>
      <c r="X794" s="32"/>
      <c r="Y794" s="32"/>
      <c r="Z794" s="32"/>
    </row>
    <row r="795" spans="1:26" ht="15" customHeight="1" x14ac:dyDescent="0.3">
      <c r="A795" s="45"/>
      <c r="B795" s="46" t="s">
        <v>1339</v>
      </c>
      <c r="C795" s="194" t="s">
        <v>2020</v>
      </c>
      <c r="D795" s="46"/>
      <c r="E795" s="46" t="s">
        <v>1069</v>
      </c>
      <c r="F795" s="61" t="s">
        <v>31</v>
      </c>
      <c r="G795" s="288">
        <v>76</v>
      </c>
      <c r="H795" s="289">
        <v>6</v>
      </c>
      <c r="I795" s="290">
        <v>1</v>
      </c>
      <c r="J795" s="48" t="s">
        <v>200</v>
      </c>
      <c r="K795" s="50"/>
      <c r="L795" s="53" t="str">
        <f t="shared" si="155"/>
        <v>1gal</v>
      </c>
      <c r="M795" s="54">
        <f t="shared" si="156"/>
        <v>6</v>
      </c>
      <c r="N795" s="55" t="str">
        <f t="shared" si="157"/>
        <v>6gal</v>
      </c>
      <c r="O795" s="56">
        <f t="shared" si="158"/>
        <v>456</v>
      </c>
      <c r="P795" s="12"/>
      <c r="Q795" s="12"/>
      <c r="R795" s="12"/>
      <c r="S795" s="151"/>
      <c r="T795" s="12"/>
      <c r="U795" s="12"/>
      <c r="V795" s="12"/>
      <c r="W795" s="12"/>
      <c r="X795" s="12"/>
      <c r="Y795" s="12"/>
      <c r="Z795" s="12"/>
    </row>
    <row r="796" spans="1:26" ht="15" customHeight="1" x14ac:dyDescent="0.3">
      <c r="A796" s="45"/>
      <c r="B796" s="46" t="s">
        <v>223</v>
      </c>
      <c r="C796" s="194" t="s">
        <v>2023</v>
      </c>
      <c r="D796" s="46"/>
      <c r="E796" s="46" t="s">
        <v>224</v>
      </c>
      <c r="F796" s="61" t="s">
        <v>31</v>
      </c>
      <c r="G796" s="288">
        <v>120</v>
      </c>
      <c r="H796" s="289">
        <v>3</v>
      </c>
      <c r="I796" s="290">
        <v>1000</v>
      </c>
      <c r="J796" s="48" t="s">
        <v>39</v>
      </c>
      <c r="K796" s="50"/>
      <c r="L796" s="53" t="str">
        <f t="shared" si="155"/>
        <v>1000grams</v>
      </c>
      <c r="M796" s="54">
        <f t="shared" si="156"/>
        <v>3000</v>
      </c>
      <c r="N796" s="55" t="str">
        <f t="shared" si="157"/>
        <v>3000grams</v>
      </c>
      <c r="O796" s="56">
        <f t="shared" si="158"/>
        <v>360</v>
      </c>
      <c r="P796" s="12"/>
      <c r="Q796" s="12"/>
      <c r="R796" s="12"/>
      <c r="S796" s="151"/>
      <c r="T796" s="12"/>
      <c r="U796" s="12"/>
      <c r="V796" s="12"/>
      <c r="W796" s="12"/>
      <c r="X796" s="12"/>
      <c r="Y796" s="12"/>
      <c r="Z796" s="12"/>
    </row>
    <row r="797" spans="1:26" ht="15" customHeight="1" x14ac:dyDescent="0.3">
      <c r="A797" s="45"/>
      <c r="B797" s="46" t="s">
        <v>223</v>
      </c>
      <c r="C797" s="194" t="s">
        <v>2022</v>
      </c>
      <c r="D797" s="46"/>
      <c r="E797" s="46" t="s">
        <v>1341</v>
      </c>
      <c r="F797" s="61" t="s">
        <v>31</v>
      </c>
      <c r="G797" s="288">
        <v>120</v>
      </c>
      <c r="H797" s="289">
        <v>3</v>
      </c>
      <c r="I797" s="290">
        <v>1000</v>
      </c>
      <c r="J797" s="48" t="s">
        <v>39</v>
      </c>
      <c r="K797" s="50"/>
      <c r="L797" s="53" t="str">
        <f t="shared" si="155"/>
        <v>1000grams</v>
      </c>
      <c r="M797" s="54">
        <f t="shared" si="156"/>
        <v>3000</v>
      </c>
      <c r="N797" s="55" t="str">
        <f t="shared" si="157"/>
        <v>3000grams</v>
      </c>
      <c r="O797" s="56">
        <f t="shared" si="158"/>
        <v>360</v>
      </c>
      <c r="P797" s="12"/>
      <c r="Q797" s="12"/>
      <c r="R797" s="12"/>
      <c r="S797" s="151"/>
      <c r="T797" s="12"/>
      <c r="U797" s="12"/>
      <c r="V797" s="12"/>
      <c r="W797" s="12"/>
      <c r="X797" s="12"/>
      <c r="Y797" s="12"/>
      <c r="Z797" s="12"/>
    </row>
    <row r="798" spans="1:26" ht="15" customHeight="1" x14ac:dyDescent="0.3">
      <c r="A798" s="45"/>
      <c r="B798" s="46" t="s">
        <v>223</v>
      </c>
      <c r="C798" s="194" t="s">
        <v>2020</v>
      </c>
      <c r="D798" s="46"/>
      <c r="E798" s="46" t="s">
        <v>1098</v>
      </c>
      <c r="F798" s="61" t="s">
        <v>31</v>
      </c>
      <c r="G798" s="288">
        <v>55</v>
      </c>
      <c r="H798" s="289">
        <v>2</v>
      </c>
      <c r="I798" s="290">
        <v>2000</v>
      </c>
      <c r="J798" s="48" t="s">
        <v>39</v>
      </c>
      <c r="K798" s="50"/>
      <c r="L798" s="53" t="str">
        <f t="shared" si="155"/>
        <v>2000grams</v>
      </c>
      <c r="M798" s="54">
        <f t="shared" si="156"/>
        <v>4000</v>
      </c>
      <c r="N798" s="55" t="str">
        <f t="shared" si="157"/>
        <v>4000grams</v>
      </c>
      <c r="O798" s="56">
        <f t="shared" si="158"/>
        <v>110</v>
      </c>
      <c r="P798" s="12"/>
      <c r="Q798" s="12"/>
      <c r="R798" s="12"/>
      <c r="S798" s="151"/>
      <c r="T798" s="12"/>
      <c r="U798" s="12"/>
      <c r="V798" s="12"/>
      <c r="W798" s="12"/>
      <c r="X798" s="12"/>
      <c r="Y798" s="12"/>
      <c r="Z798" s="12"/>
    </row>
    <row r="799" spans="1:26" ht="15" customHeight="1" x14ac:dyDescent="0.3">
      <c r="A799" s="45">
        <v>458</v>
      </c>
      <c r="B799" s="46" t="s">
        <v>223</v>
      </c>
      <c r="C799" s="194" t="s">
        <v>2025</v>
      </c>
      <c r="D799" s="46"/>
      <c r="E799" s="46" t="s">
        <v>1236</v>
      </c>
      <c r="F799" s="61" t="s">
        <v>31</v>
      </c>
      <c r="G799" s="288">
        <v>56.35</v>
      </c>
      <c r="H799" s="289">
        <v>9</v>
      </c>
      <c r="I799" s="290">
        <v>220</v>
      </c>
      <c r="J799" s="48" t="s">
        <v>39</v>
      </c>
      <c r="K799" s="50"/>
      <c r="L799" s="53" t="str">
        <f t="shared" si="155"/>
        <v>220grams</v>
      </c>
      <c r="M799" s="54">
        <f t="shared" si="156"/>
        <v>1980</v>
      </c>
      <c r="N799" s="55" t="str">
        <f t="shared" si="157"/>
        <v>1980grams</v>
      </c>
      <c r="O799" s="56">
        <f t="shared" si="158"/>
        <v>507.15000000000003</v>
      </c>
      <c r="P799" s="44">
        <f t="shared" ref="P799:P800" si="164">O799/H799</f>
        <v>56.35</v>
      </c>
      <c r="Q799" s="66"/>
      <c r="R799" s="32" t="b">
        <f t="shared" ref="R799:R800" si="165">P799=G799</f>
        <v>1</v>
      </c>
      <c r="S799" s="32"/>
      <c r="T799" s="32"/>
      <c r="U799" s="32"/>
      <c r="V799" s="32"/>
      <c r="W799" s="32"/>
      <c r="X799" s="32"/>
      <c r="Y799" s="32"/>
      <c r="Z799" s="32"/>
    </row>
    <row r="800" spans="1:26" ht="15" customHeight="1" x14ac:dyDescent="0.3">
      <c r="A800" s="45">
        <v>831</v>
      </c>
      <c r="B800" s="46" t="s">
        <v>1342</v>
      </c>
      <c r="C800" s="194" t="s">
        <v>1368</v>
      </c>
      <c r="D800" s="46"/>
      <c r="E800" s="46"/>
      <c r="F800" s="61" t="s">
        <v>31</v>
      </c>
      <c r="G800" s="288">
        <v>200</v>
      </c>
      <c r="H800" s="289">
        <v>5</v>
      </c>
      <c r="I800" s="290">
        <v>1000</v>
      </c>
      <c r="J800" s="48" t="s">
        <v>39</v>
      </c>
      <c r="K800" s="50" t="s">
        <v>2019</v>
      </c>
      <c r="L800" s="53" t="str">
        <f t="shared" si="155"/>
        <v>1000grams</v>
      </c>
      <c r="M800" s="54">
        <f t="shared" si="156"/>
        <v>5000</v>
      </c>
      <c r="N800" s="55" t="str">
        <f t="shared" si="157"/>
        <v>5000grams</v>
      </c>
      <c r="O800" s="56">
        <f t="shared" si="158"/>
        <v>1000</v>
      </c>
      <c r="P800" s="44">
        <f t="shared" si="164"/>
        <v>200</v>
      </c>
      <c r="Q800" s="66">
        <f>G800-P800</f>
        <v>0</v>
      </c>
      <c r="R800" s="32" t="b">
        <f t="shared" si="165"/>
        <v>1</v>
      </c>
      <c r="S800" s="32"/>
      <c r="T800" s="32"/>
      <c r="U800" s="32"/>
      <c r="V800" s="32"/>
      <c r="W800" s="32"/>
      <c r="X800" s="32"/>
      <c r="Y800" s="32"/>
      <c r="Z800" s="32"/>
    </row>
    <row r="801" spans="1:26" ht="15" customHeight="1" x14ac:dyDescent="0.3">
      <c r="A801" s="440"/>
      <c r="B801" s="46" t="s">
        <v>1343</v>
      </c>
      <c r="C801" s="194" t="s">
        <v>1368</v>
      </c>
      <c r="D801" s="46"/>
      <c r="E801" s="46"/>
      <c r="F801" s="61" t="s">
        <v>31</v>
      </c>
      <c r="G801" s="288">
        <v>70</v>
      </c>
      <c r="H801" s="289">
        <v>1</v>
      </c>
      <c r="I801" s="290">
        <v>1000</v>
      </c>
      <c r="J801" s="48" t="s">
        <v>39</v>
      </c>
      <c r="K801" s="50"/>
      <c r="L801" s="53" t="str">
        <f t="shared" si="155"/>
        <v>1000grams</v>
      </c>
      <c r="M801" s="54">
        <f t="shared" si="156"/>
        <v>1000</v>
      </c>
      <c r="N801" s="55" t="str">
        <f t="shared" si="157"/>
        <v>1000grams</v>
      </c>
      <c r="O801" s="56">
        <f t="shared" si="158"/>
        <v>70</v>
      </c>
      <c r="P801" s="44"/>
      <c r="Q801" s="12"/>
      <c r="R801" s="12"/>
      <c r="S801" s="151"/>
      <c r="T801" s="12"/>
      <c r="U801" s="12"/>
      <c r="V801" s="12"/>
      <c r="W801" s="12"/>
      <c r="X801" s="12"/>
      <c r="Y801" s="12"/>
      <c r="Z801" s="12"/>
    </row>
    <row r="802" spans="1:26" ht="15" customHeight="1" x14ac:dyDescent="0.3">
      <c r="A802" s="45"/>
      <c r="B802" s="46" t="s">
        <v>1343</v>
      </c>
      <c r="C802" s="194" t="s">
        <v>2023</v>
      </c>
      <c r="D802" s="46"/>
      <c r="E802" s="46" t="s">
        <v>216</v>
      </c>
      <c r="F802" s="61" t="s">
        <v>31</v>
      </c>
      <c r="G802" s="288">
        <v>46</v>
      </c>
      <c r="H802" s="289">
        <v>2</v>
      </c>
      <c r="I802" s="290">
        <v>1000</v>
      </c>
      <c r="J802" s="48" t="s">
        <v>39</v>
      </c>
      <c r="K802" s="50"/>
      <c r="L802" s="53" t="str">
        <f t="shared" si="155"/>
        <v>1000grams</v>
      </c>
      <c r="M802" s="54">
        <f t="shared" si="156"/>
        <v>2000</v>
      </c>
      <c r="N802" s="55" t="str">
        <f t="shared" si="157"/>
        <v>2000grams</v>
      </c>
      <c r="O802" s="56">
        <f t="shared" si="158"/>
        <v>92</v>
      </c>
      <c r="P802" s="44"/>
      <c r="Q802" s="12"/>
      <c r="R802" s="12"/>
      <c r="S802" s="151"/>
      <c r="T802" s="12"/>
      <c r="U802" s="12"/>
      <c r="V802" s="12"/>
      <c r="W802" s="12"/>
      <c r="X802" s="12"/>
      <c r="Y802" s="12"/>
      <c r="Z802" s="12"/>
    </row>
    <row r="803" spans="1:26" ht="15" customHeight="1" x14ac:dyDescent="0.3">
      <c r="A803" s="45">
        <v>505</v>
      </c>
      <c r="B803" s="219" t="s">
        <v>1344</v>
      </c>
      <c r="C803" s="194" t="s">
        <v>2025</v>
      </c>
      <c r="D803" s="46"/>
      <c r="E803" s="46"/>
      <c r="F803" s="61" t="s">
        <v>31</v>
      </c>
      <c r="G803" s="288">
        <v>95</v>
      </c>
      <c r="H803" s="289">
        <v>2</v>
      </c>
      <c r="I803" s="290">
        <v>1</v>
      </c>
      <c r="J803" s="48" t="s">
        <v>213</v>
      </c>
      <c r="K803" s="50"/>
      <c r="L803" s="53" t="str">
        <f t="shared" si="155"/>
        <v>1kilos</v>
      </c>
      <c r="M803" s="54">
        <f t="shared" si="156"/>
        <v>2</v>
      </c>
      <c r="N803" s="55" t="str">
        <f t="shared" si="157"/>
        <v>2kilos</v>
      </c>
      <c r="O803" s="56">
        <f t="shared" si="158"/>
        <v>190</v>
      </c>
      <c r="P803" s="44">
        <f t="shared" ref="P803:P806" si="166">O803/H803</f>
        <v>95</v>
      </c>
      <c r="Q803" s="66"/>
      <c r="R803" s="32"/>
      <c r="S803" s="32"/>
      <c r="T803" s="32"/>
      <c r="U803" s="32"/>
      <c r="V803" s="32"/>
      <c r="W803" s="32"/>
      <c r="X803" s="32"/>
      <c r="Y803" s="32"/>
      <c r="Z803" s="32"/>
    </row>
    <row r="804" spans="1:26" ht="15" customHeight="1" x14ac:dyDescent="0.3">
      <c r="A804" s="45">
        <v>757</v>
      </c>
      <c r="B804" s="46" t="s">
        <v>1344</v>
      </c>
      <c r="C804" s="194" t="s">
        <v>2026</v>
      </c>
      <c r="D804" s="46"/>
      <c r="E804" s="46"/>
      <c r="F804" s="61" t="s">
        <v>31</v>
      </c>
      <c r="G804" s="288">
        <v>110</v>
      </c>
      <c r="H804" s="289">
        <v>2</v>
      </c>
      <c r="I804" s="290">
        <v>1000</v>
      </c>
      <c r="J804" s="48" t="s">
        <v>39</v>
      </c>
      <c r="K804" s="50" t="s">
        <v>2019</v>
      </c>
      <c r="L804" s="53" t="str">
        <f t="shared" si="155"/>
        <v>1000grams</v>
      </c>
      <c r="M804" s="54">
        <f t="shared" si="156"/>
        <v>2000</v>
      </c>
      <c r="N804" s="55" t="str">
        <f t="shared" si="157"/>
        <v>2000grams</v>
      </c>
      <c r="O804" s="56">
        <f t="shared" si="158"/>
        <v>220</v>
      </c>
      <c r="P804" s="44">
        <f t="shared" si="166"/>
        <v>110</v>
      </c>
      <c r="Q804" s="66">
        <f t="shared" ref="Q804:Q805" si="167">G804-P804</f>
        <v>0</v>
      </c>
      <c r="R804" s="32" t="b">
        <f t="shared" ref="R804:R806" si="168">P804=G804</f>
        <v>1</v>
      </c>
      <c r="S804" s="32"/>
      <c r="T804" s="32"/>
      <c r="U804" s="32"/>
      <c r="V804" s="32"/>
      <c r="W804" s="32"/>
      <c r="X804" s="32"/>
      <c r="Y804" s="32"/>
      <c r="Z804" s="32"/>
    </row>
    <row r="805" spans="1:26" ht="15" customHeight="1" x14ac:dyDescent="0.3">
      <c r="A805" s="45">
        <v>804</v>
      </c>
      <c r="B805" s="46" t="s">
        <v>1344</v>
      </c>
      <c r="C805" s="194" t="s">
        <v>1368</v>
      </c>
      <c r="D805" s="46"/>
      <c r="E805" s="46"/>
      <c r="F805" s="61" t="s">
        <v>31</v>
      </c>
      <c r="G805" s="288">
        <v>50</v>
      </c>
      <c r="H805" s="289">
        <v>10</v>
      </c>
      <c r="I805" s="290">
        <v>1000</v>
      </c>
      <c r="J805" s="48" t="s">
        <v>39</v>
      </c>
      <c r="K805" s="50" t="s">
        <v>2019</v>
      </c>
      <c r="L805" s="53" t="str">
        <f t="shared" si="155"/>
        <v>1000grams</v>
      </c>
      <c r="M805" s="54">
        <f t="shared" si="156"/>
        <v>10000</v>
      </c>
      <c r="N805" s="55" t="str">
        <f t="shared" si="157"/>
        <v>10000grams</v>
      </c>
      <c r="O805" s="56">
        <f t="shared" si="158"/>
        <v>500</v>
      </c>
      <c r="P805" s="44">
        <f t="shared" si="166"/>
        <v>50</v>
      </c>
      <c r="Q805" s="62">
        <f t="shared" si="167"/>
        <v>0</v>
      </c>
      <c r="R805" s="32" t="b">
        <f t="shared" si="168"/>
        <v>1</v>
      </c>
      <c r="S805" s="32"/>
      <c r="T805" s="32"/>
      <c r="U805" s="32"/>
      <c r="V805" s="32"/>
      <c r="W805" s="32"/>
      <c r="X805" s="32"/>
      <c r="Y805" s="32"/>
      <c r="Z805" s="32"/>
    </row>
    <row r="806" spans="1:26" ht="15" customHeight="1" x14ac:dyDescent="0.3">
      <c r="A806" s="45">
        <v>727</v>
      </c>
      <c r="B806" s="46" t="s">
        <v>1345</v>
      </c>
      <c r="C806" s="194" t="s">
        <v>2026</v>
      </c>
      <c r="D806" s="46"/>
      <c r="E806" s="46" t="s">
        <v>1346</v>
      </c>
      <c r="F806" s="61" t="s">
        <v>31</v>
      </c>
      <c r="G806" s="288">
        <v>130</v>
      </c>
      <c r="H806" s="289">
        <v>1</v>
      </c>
      <c r="I806" s="290">
        <v>340</v>
      </c>
      <c r="J806" s="48" t="s">
        <v>39</v>
      </c>
      <c r="K806" s="50"/>
      <c r="L806" s="53" t="str">
        <f t="shared" si="155"/>
        <v>340grams</v>
      </c>
      <c r="M806" s="54">
        <f t="shared" si="156"/>
        <v>340</v>
      </c>
      <c r="N806" s="55" t="str">
        <f t="shared" si="157"/>
        <v>340grams</v>
      </c>
      <c r="O806" s="56">
        <f t="shared" si="158"/>
        <v>130</v>
      </c>
      <c r="P806" s="44">
        <f t="shared" si="166"/>
        <v>130</v>
      </c>
      <c r="Q806" s="66"/>
      <c r="R806" s="32" t="b">
        <f t="shared" si="168"/>
        <v>1</v>
      </c>
      <c r="S806" s="32"/>
      <c r="T806" s="32"/>
      <c r="U806" s="32"/>
      <c r="V806" s="32"/>
      <c r="W806" s="32"/>
      <c r="X806" s="32"/>
      <c r="Y806" s="32"/>
      <c r="Z806" s="32"/>
    </row>
    <row r="807" spans="1:26" ht="15" customHeight="1" x14ac:dyDescent="0.3">
      <c r="A807" s="45"/>
      <c r="B807" s="219" t="s">
        <v>75</v>
      </c>
      <c r="C807" s="194" t="s">
        <v>2021</v>
      </c>
      <c r="D807" s="46"/>
      <c r="E807" s="219" t="s">
        <v>1347</v>
      </c>
      <c r="F807" s="61" t="s">
        <v>31</v>
      </c>
      <c r="G807" s="291">
        <v>860</v>
      </c>
      <c r="H807" s="292">
        <v>1</v>
      </c>
      <c r="I807" s="293">
        <v>6800</v>
      </c>
      <c r="J807" s="414" t="s">
        <v>39</v>
      </c>
      <c r="K807" s="50"/>
      <c r="L807" s="53" t="str">
        <f t="shared" si="155"/>
        <v>6800grams</v>
      </c>
      <c r="M807" s="54">
        <f t="shared" si="156"/>
        <v>6800</v>
      </c>
      <c r="N807" s="55" t="str">
        <f t="shared" si="157"/>
        <v>6800grams</v>
      </c>
      <c r="O807" s="56">
        <f t="shared" si="158"/>
        <v>860</v>
      </c>
      <c r="P807" s="12"/>
      <c r="Q807" s="12"/>
      <c r="R807" s="12"/>
      <c r="S807" s="151"/>
      <c r="T807" s="12"/>
      <c r="U807" s="12"/>
      <c r="V807" s="12"/>
      <c r="W807" s="12"/>
      <c r="X807" s="12"/>
      <c r="Y807" s="12"/>
      <c r="Z807" s="12"/>
    </row>
    <row r="808" spans="1:26" ht="15" customHeight="1" x14ac:dyDescent="0.3">
      <c r="A808" s="45">
        <v>59</v>
      </c>
      <c r="B808" s="46" t="s">
        <v>1348</v>
      </c>
      <c r="C808" s="194" t="s">
        <v>29</v>
      </c>
      <c r="D808" s="46"/>
      <c r="E808" s="46" t="s">
        <v>1349</v>
      </c>
      <c r="F808" s="61" t="s">
        <v>31</v>
      </c>
      <c r="G808" s="288">
        <v>129</v>
      </c>
      <c r="H808" s="289">
        <v>2</v>
      </c>
      <c r="I808" s="290">
        <v>454</v>
      </c>
      <c r="J808" s="48" t="s">
        <v>39</v>
      </c>
      <c r="K808" s="61" t="s">
        <v>2019</v>
      </c>
      <c r="L808" s="415" t="str">
        <f t="shared" si="155"/>
        <v>454grams</v>
      </c>
      <c r="M808" s="416">
        <f t="shared" si="156"/>
        <v>908</v>
      </c>
      <c r="N808" s="417" t="str">
        <f t="shared" si="157"/>
        <v>908grams</v>
      </c>
      <c r="O808" s="418">
        <f t="shared" si="158"/>
        <v>258</v>
      </c>
      <c r="P808" s="419">
        <f t="shared" ref="P808:P809" si="169">O808/H808</f>
        <v>129</v>
      </c>
      <c r="Q808" s="66"/>
      <c r="R808" s="32" t="b">
        <f t="shared" ref="R808:R809" si="170">P808=G808</f>
        <v>1</v>
      </c>
      <c r="S808" s="32"/>
      <c r="T808" s="32"/>
      <c r="U808" s="32"/>
      <c r="V808" s="32"/>
      <c r="W808" s="32"/>
      <c r="X808" s="32"/>
      <c r="Y808" s="32"/>
      <c r="Z808" s="32"/>
    </row>
    <row r="809" spans="1:26" ht="15" customHeight="1" x14ac:dyDescent="0.3">
      <c r="A809" s="45">
        <v>874</v>
      </c>
      <c r="B809" s="46" t="s">
        <v>1348</v>
      </c>
      <c r="C809" s="194" t="s">
        <v>1368</v>
      </c>
      <c r="D809" s="46"/>
      <c r="E809" s="46" t="s">
        <v>963</v>
      </c>
      <c r="F809" s="61" t="s">
        <v>31</v>
      </c>
      <c r="G809" s="288">
        <v>143.5</v>
      </c>
      <c r="H809" s="289">
        <v>2</v>
      </c>
      <c r="I809" s="290">
        <v>500</v>
      </c>
      <c r="J809" s="48" t="s">
        <v>39</v>
      </c>
      <c r="K809" s="50"/>
      <c r="L809" s="53" t="str">
        <f t="shared" si="155"/>
        <v>500grams</v>
      </c>
      <c r="M809" s="54">
        <f t="shared" si="156"/>
        <v>1000</v>
      </c>
      <c r="N809" s="55" t="str">
        <f t="shared" si="157"/>
        <v>1000grams</v>
      </c>
      <c r="O809" s="56">
        <f t="shared" si="158"/>
        <v>287</v>
      </c>
      <c r="P809" s="44">
        <f t="shared" si="169"/>
        <v>143.5</v>
      </c>
      <c r="Q809" s="66"/>
      <c r="R809" s="32" t="b">
        <f t="shared" si="170"/>
        <v>1</v>
      </c>
      <c r="S809" s="32"/>
      <c r="T809" s="32"/>
      <c r="U809" s="32"/>
      <c r="V809" s="32"/>
      <c r="W809" s="32"/>
      <c r="X809" s="32"/>
      <c r="Y809" s="32"/>
      <c r="Z809" s="32"/>
    </row>
    <row r="810" spans="1:26" ht="15" customHeight="1" x14ac:dyDescent="0.3">
      <c r="A810" s="45"/>
      <c r="B810" s="46" t="s">
        <v>1348</v>
      </c>
      <c r="C810" s="194" t="s">
        <v>2021</v>
      </c>
      <c r="D810" s="46"/>
      <c r="E810" s="219" t="s">
        <v>1349</v>
      </c>
      <c r="F810" s="61" t="s">
        <v>31</v>
      </c>
      <c r="G810" s="291">
        <v>137</v>
      </c>
      <c r="H810" s="292">
        <v>1</v>
      </c>
      <c r="I810" s="293">
        <v>454</v>
      </c>
      <c r="J810" s="414" t="s">
        <v>39</v>
      </c>
      <c r="K810" s="50"/>
      <c r="L810" s="53" t="str">
        <f t="shared" si="155"/>
        <v>454grams</v>
      </c>
      <c r="M810" s="54">
        <f t="shared" si="156"/>
        <v>454</v>
      </c>
      <c r="N810" s="55" t="str">
        <f t="shared" si="157"/>
        <v>454grams</v>
      </c>
      <c r="O810" s="56">
        <f t="shared" si="158"/>
        <v>137</v>
      </c>
      <c r="P810" s="12"/>
      <c r="Q810" s="12"/>
      <c r="R810" s="12"/>
      <c r="S810" s="151"/>
      <c r="T810" s="12"/>
      <c r="U810" s="12"/>
      <c r="V810" s="12"/>
      <c r="W810" s="12"/>
      <c r="X810" s="12"/>
      <c r="Y810" s="12"/>
      <c r="Z810" s="12"/>
    </row>
    <row r="811" spans="1:26" ht="15" customHeight="1" x14ac:dyDescent="0.3">
      <c r="A811" s="45">
        <v>358</v>
      </c>
      <c r="B811" s="46" t="s">
        <v>1348</v>
      </c>
      <c r="C811" s="194" t="s">
        <v>2025</v>
      </c>
      <c r="D811" s="46"/>
      <c r="E811" s="46" t="s">
        <v>963</v>
      </c>
      <c r="F811" s="61" t="s">
        <v>31</v>
      </c>
      <c r="G811" s="288">
        <v>117.5</v>
      </c>
      <c r="H811" s="289">
        <v>1</v>
      </c>
      <c r="I811" s="290">
        <v>500</v>
      </c>
      <c r="J811" s="48" t="s">
        <v>39</v>
      </c>
      <c r="K811" s="50"/>
      <c r="L811" s="53" t="str">
        <f t="shared" si="155"/>
        <v>500grams</v>
      </c>
      <c r="M811" s="54">
        <f t="shared" si="156"/>
        <v>500</v>
      </c>
      <c r="N811" s="55" t="str">
        <f t="shared" si="157"/>
        <v>500grams</v>
      </c>
      <c r="O811" s="56">
        <f t="shared" si="158"/>
        <v>117.5</v>
      </c>
      <c r="P811" s="44">
        <f t="shared" ref="P811:P813" si="171">O811/H811</f>
        <v>117.5</v>
      </c>
      <c r="Q811" s="66"/>
      <c r="R811" s="32" t="b">
        <f>P811=G811</f>
        <v>1</v>
      </c>
      <c r="S811" s="32"/>
      <c r="T811" s="32"/>
      <c r="U811" s="32"/>
      <c r="V811" s="32"/>
      <c r="W811" s="32"/>
      <c r="X811" s="32"/>
      <c r="Y811" s="32"/>
      <c r="Z811" s="32"/>
    </row>
    <row r="812" spans="1:26" ht="15" customHeight="1" x14ac:dyDescent="0.3">
      <c r="A812" s="45">
        <v>294</v>
      </c>
      <c r="B812" s="46" t="s">
        <v>656</v>
      </c>
      <c r="C812" s="194" t="s">
        <v>2025</v>
      </c>
      <c r="D812" s="46"/>
      <c r="E812" s="46" t="s">
        <v>962</v>
      </c>
      <c r="F812" s="61" t="s">
        <v>31</v>
      </c>
      <c r="G812" s="288">
        <v>400</v>
      </c>
      <c r="H812" s="289">
        <v>0</v>
      </c>
      <c r="I812" s="290">
        <v>1</v>
      </c>
      <c r="J812" s="48" t="s">
        <v>213</v>
      </c>
      <c r="K812" s="50"/>
      <c r="L812" s="53" t="str">
        <f t="shared" si="155"/>
        <v>1kilos</v>
      </c>
      <c r="M812" s="54">
        <f t="shared" si="156"/>
        <v>0</v>
      </c>
      <c r="N812" s="55" t="str">
        <f t="shared" si="157"/>
        <v>0kilos</v>
      </c>
      <c r="O812" s="56">
        <f t="shared" si="158"/>
        <v>0</v>
      </c>
      <c r="P812" s="44" t="e">
        <f t="shared" si="171"/>
        <v>#DIV/0!</v>
      </c>
      <c r="Q812" s="66"/>
      <c r="R812" s="32"/>
      <c r="S812" s="32"/>
      <c r="T812" s="32"/>
      <c r="U812" s="32"/>
      <c r="V812" s="32"/>
      <c r="W812" s="32"/>
      <c r="X812" s="32"/>
      <c r="Y812" s="32"/>
      <c r="Z812" s="32"/>
    </row>
    <row r="813" spans="1:26" ht="15" customHeight="1" x14ac:dyDescent="0.3">
      <c r="A813" s="45">
        <v>728</v>
      </c>
      <c r="B813" s="46" t="s">
        <v>656</v>
      </c>
      <c r="C813" s="194" t="s">
        <v>2026</v>
      </c>
      <c r="D813" s="46"/>
      <c r="E813" s="46" t="s">
        <v>851</v>
      </c>
      <c r="F813" s="61" t="s">
        <v>31</v>
      </c>
      <c r="G813" s="288">
        <v>125</v>
      </c>
      <c r="H813" s="289">
        <v>1</v>
      </c>
      <c r="I813" s="290">
        <v>250</v>
      </c>
      <c r="J813" s="422" t="s">
        <v>39</v>
      </c>
      <c r="K813" s="50"/>
      <c r="L813" s="53" t="str">
        <f t="shared" si="155"/>
        <v>250grams</v>
      </c>
      <c r="M813" s="54">
        <f t="shared" si="156"/>
        <v>250</v>
      </c>
      <c r="N813" s="55" t="str">
        <f t="shared" si="157"/>
        <v>250grams</v>
      </c>
      <c r="O813" s="56">
        <f t="shared" si="158"/>
        <v>125</v>
      </c>
      <c r="P813" s="44">
        <f t="shared" si="171"/>
        <v>125</v>
      </c>
      <c r="Q813" s="66"/>
      <c r="R813" s="32" t="b">
        <f>P813=G813</f>
        <v>1</v>
      </c>
      <c r="S813" s="32"/>
      <c r="T813" s="32"/>
      <c r="U813" s="32"/>
      <c r="V813" s="32"/>
      <c r="W813" s="32"/>
      <c r="X813" s="32"/>
      <c r="Y813" s="32"/>
      <c r="Z813" s="32"/>
    </row>
    <row r="814" spans="1:26" ht="15" customHeight="1" x14ac:dyDescent="0.3">
      <c r="A814" s="45"/>
      <c r="B814" s="46" t="s">
        <v>656</v>
      </c>
      <c r="C814" s="194" t="s">
        <v>2023</v>
      </c>
      <c r="D814" s="46"/>
      <c r="E814" s="46" t="s">
        <v>790</v>
      </c>
      <c r="F814" s="61" t="s">
        <v>31</v>
      </c>
      <c r="G814" s="288">
        <v>98</v>
      </c>
      <c r="H814" s="289">
        <v>1</v>
      </c>
      <c r="I814" s="290">
        <v>1000</v>
      </c>
      <c r="J814" s="48" t="s">
        <v>39</v>
      </c>
      <c r="K814" s="50"/>
      <c r="L814" s="53" t="str">
        <f t="shared" si="155"/>
        <v>1000grams</v>
      </c>
      <c r="M814" s="54">
        <f t="shared" si="156"/>
        <v>1000</v>
      </c>
      <c r="N814" s="55" t="str">
        <f t="shared" si="157"/>
        <v>1000grams</v>
      </c>
      <c r="O814" s="56">
        <f t="shared" si="158"/>
        <v>98</v>
      </c>
      <c r="P814" s="44"/>
      <c r="Q814" s="12"/>
      <c r="R814" s="12"/>
      <c r="S814" s="151"/>
      <c r="T814" s="12"/>
      <c r="U814" s="12"/>
      <c r="V814" s="12"/>
      <c r="W814" s="12"/>
      <c r="X814" s="12"/>
      <c r="Y814" s="12"/>
      <c r="Z814" s="12"/>
    </row>
    <row r="815" spans="1:26" ht="15" customHeight="1" x14ac:dyDescent="0.3">
      <c r="A815" s="45">
        <v>729</v>
      </c>
      <c r="B815" s="46" t="s">
        <v>259</v>
      </c>
      <c r="C815" s="194" t="s">
        <v>2026</v>
      </c>
      <c r="D815" s="46"/>
      <c r="E815" s="46" t="s">
        <v>260</v>
      </c>
      <c r="F815" s="61" t="s">
        <v>31</v>
      </c>
      <c r="G815" s="288">
        <v>48.7</v>
      </c>
      <c r="H815" s="289">
        <v>1</v>
      </c>
      <c r="I815" s="290">
        <v>550</v>
      </c>
      <c r="J815" s="48" t="s">
        <v>39</v>
      </c>
      <c r="K815" s="50"/>
      <c r="L815" s="53" t="str">
        <f t="shared" si="155"/>
        <v>550grams</v>
      </c>
      <c r="M815" s="54">
        <f t="shared" si="156"/>
        <v>550</v>
      </c>
      <c r="N815" s="55" t="str">
        <f t="shared" si="157"/>
        <v>550grams</v>
      </c>
      <c r="O815" s="56">
        <f t="shared" si="158"/>
        <v>48.7</v>
      </c>
      <c r="P815" s="44">
        <f t="shared" ref="P815:P816" si="172">O815/H815</f>
        <v>48.7</v>
      </c>
      <c r="Q815" s="66"/>
      <c r="R815" s="32" t="b">
        <f t="shared" ref="R815:R816" si="173">P815=G815</f>
        <v>1</v>
      </c>
      <c r="S815" s="32"/>
      <c r="T815" s="32"/>
      <c r="U815" s="32"/>
      <c r="V815" s="32"/>
      <c r="W815" s="32"/>
      <c r="X815" s="32"/>
      <c r="Y815" s="32"/>
      <c r="Z815" s="32"/>
    </row>
    <row r="816" spans="1:26" ht="15" customHeight="1" x14ac:dyDescent="0.3">
      <c r="A816" s="45">
        <v>730</v>
      </c>
      <c r="B816" s="46" t="s">
        <v>259</v>
      </c>
      <c r="C816" s="194" t="s">
        <v>2026</v>
      </c>
      <c r="D816" s="46"/>
      <c r="E816" s="46" t="s">
        <v>1350</v>
      </c>
      <c r="F816" s="61" t="s">
        <v>31</v>
      </c>
      <c r="G816" s="288">
        <v>35.1</v>
      </c>
      <c r="H816" s="289">
        <v>1</v>
      </c>
      <c r="I816" s="290">
        <v>325</v>
      </c>
      <c r="J816" s="48" t="s">
        <v>39</v>
      </c>
      <c r="K816" s="50"/>
      <c r="L816" s="53" t="str">
        <f t="shared" si="155"/>
        <v>325grams</v>
      </c>
      <c r="M816" s="54">
        <f t="shared" si="156"/>
        <v>325</v>
      </c>
      <c r="N816" s="55" t="str">
        <f t="shared" si="157"/>
        <v>325grams</v>
      </c>
      <c r="O816" s="56">
        <f t="shared" si="158"/>
        <v>35.1</v>
      </c>
      <c r="P816" s="44">
        <f t="shared" si="172"/>
        <v>35.1</v>
      </c>
      <c r="Q816" s="66"/>
      <c r="R816" s="32" t="b">
        <f t="shared" si="173"/>
        <v>1</v>
      </c>
      <c r="S816" s="32"/>
      <c r="T816" s="32"/>
      <c r="U816" s="32"/>
      <c r="V816" s="32"/>
      <c r="W816" s="32"/>
      <c r="X816" s="32"/>
      <c r="Y816" s="32"/>
      <c r="Z816" s="32"/>
    </row>
    <row r="817" spans="1:26" ht="15" customHeight="1" x14ac:dyDescent="0.3">
      <c r="A817" s="45"/>
      <c r="B817" s="46" t="s">
        <v>259</v>
      </c>
      <c r="C817" s="194" t="s">
        <v>2023</v>
      </c>
      <c r="D817" s="46"/>
      <c r="E817" s="46" t="s">
        <v>260</v>
      </c>
      <c r="F817" s="61" t="s">
        <v>31</v>
      </c>
      <c r="G817" s="288">
        <v>48.7</v>
      </c>
      <c r="H817" s="289">
        <v>1</v>
      </c>
      <c r="I817" s="290">
        <v>550</v>
      </c>
      <c r="J817" s="48" t="s">
        <v>39</v>
      </c>
      <c r="K817" s="50"/>
      <c r="L817" s="53" t="str">
        <f t="shared" si="155"/>
        <v>550grams</v>
      </c>
      <c r="M817" s="54">
        <f t="shared" si="156"/>
        <v>550</v>
      </c>
      <c r="N817" s="55" t="str">
        <f t="shared" si="157"/>
        <v>550grams</v>
      </c>
      <c r="O817" s="56">
        <f t="shared" si="158"/>
        <v>48.7</v>
      </c>
      <c r="P817" s="44"/>
      <c r="Q817" s="12"/>
      <c r="R817" s="12"/>
      <c r="S817" s="151"/>
      <c r="T817" s="12"/>
      <c r="U817" s="12"/>
      <c r="V817" s="12"/>
      <c r="W817" s="12"/>
      <c r="X817" s="12"/>
      <c r="Y817" s="12"/>
      <c r="Z817" s="12"/>
    </row>
    <row r="818" spans="1:26" ht="15" customHeight="1" x14ac:dyDescent="0.3">
      <c r="A818" s="45"/>
      <c r="B818" s="46" t="s">
        <v>259</v>
      </c>
      <c r="C818" s="194" t="s">
        <v>2022</v>
      </c>
      <c r="D818" s="46"/>
      <c r="E818" s="46" t="s">
        <v>1351</v>
      </c>
      <c r="F818" s="61" t="s">
        <v>31</v>
      </c>
      <c r="G818" s="288">
        <v>77.3</v>
      </c>
      <c r="H818" s="289">
        <v>5</v>
      </c>
      <c r="I818" s="290">
        <v>1000</v>
      </c>
      <c r="J818" s="48" t="s">
        <v>213</v>
      </c>
      <c r="K818" s="50"/>
      <c r="L818" s="53" t="str">
        <f t="shared" si="155"/>
        <v>1000kilos</v>
      </c>
      <c r="M818" s="54">
        <f t="shared" si="156"/>
        <v>5000</v>
      </c>
      <c r="N818" s="55" t="str">
        <f t="shared" si="157"/>
        <v>5000kilos</v>
      </c>
      <c r="O818" s="56">
        <f t="shared" si="158"/>
        <v>386.5</v>
      </c>
      <c r="P818" s="12"/>
      <c r="Q818" s="12"/>
      <c r="R818" s="12"/>
      <c r="S818" s="151"/>
      <c r="T818" s="12"/>
      <c r="U818" s="12"/>
      <c r="V818" s="12"/>
      <c r="W818" s="12"/>
      <c r="X818" s="12"/>
      <c r="Y818" s="12"/>
      <c r="Z818" s="12"/>
    </row>
    <row r="819" spans="1:26" ht="15" customHeight="1" x14ac:dyDescent="0.3">
      <c r="A819" s="45"/>
      <c r="B819" s="46" t="s">
        <v>259</v>
      </c>
      <c r="C819" s="194" t="s">
        <v>2022</v>
      </c>
      <c r="D819" s="46"/>
      <c r="E819" s="46" t="s">
        <v>1352</v>
      </c>
      <c r="F819" s="61" t="s">
        <v>31</v>
      </c>
      <c r="G819" s="288">
        <v>251</v>
      </c>
      <c r="H819" s="289">
        <v>4</v>
      </c>
      <c r="I819" s="290">
        <v>1</v>
      </c>
      <c r="J819" s="48" t="s">
        <v>200</v>
      </c>
      <c r="K819" s="50"/>
      <c r="L819" s="53" t="str">
        <f t="shared" si="155"/>
        <v>1gal</v>
      </c>
      <c r="M819" s="54">
        <f t="shared" si="156"/>
        <v>4</v>
      </c>
      <c r="N819" s="55" t="str">
        <f t="shared" si="157"/>
        <v>4gal</v>
      </c>
      <c r="O819" s="56">
        <f t="shared" si="158"/>
        <v>1004</v>
      </c>
      <c r="P819" s="12"/>
      <c r="Q819" s="12"/>
      <c r="R819" s="12"/>
      <c r="S819" s="151"/>
      <c r="T819" s="12"/>
      <c r="U819" s="12"/>
      <c r="V819" s="12"/>
      <c r="W819" s="12"/>
      <c r="X819" s="12"/>
      <c r="Y819" s="12"/>
      <c r="Z819" s="12"/>
    </row>
    <row r="820" spans="1:26" ht="15" customHeight="1" x14ac:dyDescent="0.3">
      <c r="A820" s="45"/>
      <c r="B820" s="219" t="s">
        <v>259</v>
      </c>
      <c r="C820" s="194" t="s">
        <v>2021</v>
      </c>
      <c r="D820" s="46"/>
      <c r="E820" s="219" t="s">
        <v>260</v>
      </c>
      <c r="F820" s="61" t="s">
        <v>31</v>
      </c>
      <c r="G820" s="291">
        <v>48.7</v>
      </c>
      <c r="H820" s="292">
        <v>1</v>
      </c>
      <c r="I820" s="293">
        <v>550</v>
      </c>
      <c r="J820" s="414" t="s">
        <v>39</v>
      </c>
      <c r="K820" s="50"/>
      <c r="L820" s="53" t="str">
        <f t="shared" si="155"/>
        <v>550grams</v>
      </c>
      <c r="M820" s="54">
        <f t="shared" si="156"/>
        <v>550</v>
      </c>
      <c r="N820" s="55" t="str">
        <f t="shared" si="157"/>
        <v>550grams</v>
      </c>
      <c r="O820" s="56">
        <f t="shared" si="158"/>
        <v>48.7</v>
      </c>
      <c r="P820" s="12"/>
      <c r="Q820" s="12"/>
      <c r="R820" s="12"/>
      <c r="S820" s="151"/>
      <c r="T820" s="12"/>
      <c r="U820" s="12"/>
      <c r="V820" s="12"/>
      <c r="W820" s="12"/>
      <c r="X820" s="12"/>
      <c r="Y820" s="12"/>
      <c r="Z820" s="12"/>
    </row>
    <row r="821" spans="1:26" ht="15" customHeight="1" x14ac:dyDescent="0.3">
      <c r="A821" s="45">
        <v>839</v>
      </c>
      <c r="B821" s="46" t="s">
        <v>259</v>
      </c>
      <c r="C821" s="194" t="s">
        <v>1368</v>
      </c>
      <c r="D821" s="46"/>
      <c r="E821" s="46" t="s">
        <v>1351</v>
      </c>
      <c r="F821" s="61" t="s">
        <v>31</v>
      </c>
      <c r="G821" s="288">
        <v>36.25</v>
      </c>
      <c r="H821" s="289">
        <v>4</v>
      </c>
      <c r="I821" s="290">
        <v>325</v>
      </c>
      <c r="J821" s="48" t="s">
        <v>39</v>
      </c>
      <c r="K821" s="50"/>
      <c r="L821" s="53" t="str">
        <f t="shared" si="155"/>
        <v>325grams</v>
      </c>
      <c r="M821" s="54">
        <f t="shared" si="156"/>
        <v>1300</v>
      </c>
      <c r="N821" s="55" t="str">
        <f t="shared" si="157"/>
        <v>1300grams</v>
      </c>
      <c r="O821" s="56">
        <f t="shared" si="158"/>
        <v>145</v>
      </c>
      <c r="P821" s="44">
        <f t="shared" ref="P821:P824" si="174">O821/H821</f>
        <v>36.25</v>
      </c>
      <c r="Q821" s="66"/>
      <c r="R821" s="32"/>
      <c r="S821" s="32"/>
      <c r="T821" s="32"/>
      <c r="U821" s="32"/>
      <c r="V821" s="32"/>
      <c r="W821" s="32"/>
      <c r="X821" s="32"/>
      <c r="Y821" s="32"/>
      <c r="Z821" s="32"/>
    </row>
    <row r="822" spans="1:26" ht="15" customHeight="1" x14ac:dyDescent="0.3">
      <c r="A822" s="45">
        <v>285</v>
      </c>
      <c r="B822" s="46" t="s">
        <v>259</v>
      </c>
      <c r="C822" s="194" t="s">
        <v>2025</v>
      </c>
      <c r="D822" s="46"/>
      <c r="E822" s="46" t="s">
        <v>1351</v>
      </c>
      <c r="F822" s="61" t="s">
        <v>31</v>
      </c>
      <c r="G822" s="288">
        <v>48.7</v>
      </c>
      <c r="H822" s="289">
        <v>1</v>
      </c>
      <c r="I822" s="290">
        <v>4</v>
      </c>
      <c r="J822" s="48" t="s">
        <v>773</v>
      </c>
      <c r="K822" s="50" t="s">
        <v>2019</v>
      </c>
      <c r="L822" s="53" t="str">
        <f t="shared" si="155"/>
        <v>4liters</v>
      </c>
      <c r="M822" s="54">
        <f t="shared" si="156"/>
        <v>4</v>
      </c>
      <c r="N822" s="55" t="str">
        <f t="shared" si="157"/>
        <v>4liters</v>
      </c>
      <c r="O822" s="56">
        <f t="shared" si="158"/>
        <v>48.7</v>
      </c>
      <c r="P822" s="44">
        <f t="shared" si="174"/>
        <v>48.7</v>
      </c>
      <c r="Q822" s="66">
        <f>G822-P822</f>
        <v>0</v>
      </c>
      <c r="R822" s="32" t="b">
        <f t="shared" ref="R822:R824" si="175">P822=G822</f>
        <v>1</v>
      </c>
      <c r="S822" s="32"/>
      <c r="T822" s="32"/>
      <c r="U822" s="32"/>
      <c r="V822" s="32"/>
      <c r="W822" s="32"/>
      <c r="X822" s="32"/>
      <c r="Y822" s="32"/>
      <c r="Z822" s="32"/>
    </row>
    <row r="823" spans="1:26" ht="15" customHeight="1" x14ac:dyDescent="0.3">
      <c r="A823" s="45">
        <v>758</v>
      </c>
      <c r="B823" s="46" t="s">
        <v>1353</v>
      </c>
      <c r="C823" s="194" t="s">
        <v>2026</v>
      </c>
      <c r="D823" s="46"/>
      <c r="E823" s="46"/>
      <c r="F823" s="61" t="s">
        <v>31</v>
      </c>
      <c r="G823" s="288">
        <v>25</v>
      </c>
      <c r="H823" s="289">
        <v>4</v>
      </c>
      <c r="I823" s="290">
        <v>1</v>
      </c>
      <c r="J823" s="48" t="s">
        <v>92</v>
      </c>
      <c r="K823" s="50"/>
      <c r="L823" s="53" t="str">
        <f t="shared" si="155"/>
        <v>1pieces</v>
      </c>
      <c r="M823" s="54">
        <f t="shared" si="156"/>
        <v>4</v>
      </c>
      <c r="N823" s="55" t="str">
        <f t="shared" si="157"/>
        <v>4pieces</v>
      </c>
      <c r="O823" s="56">
        <f t="shared" si="158"/>
        <v>100</v>
      </c>
      <c r="P823" s="44">
        <f t="shared" si="174"/>
        <v>25</v>
      </c>
      <c r="Q823" s="66"/>
      <c r="R823" s="32" t="b">
        <f t="shared" si="175"/>
        <v>1</v>
      </c>
      <c r="S823" s="32"/>
      <c r="T823" s="32"/>
      <c r="U823" s="32"/>
      <c r="V823" s="32"/>
      <c r="W823" s="32"/>
      <c r="X823" s="32"/>
      <c r="Y823" s="32"/>
      <c r="Z823" s="32"/>
    </row>
    <row r="824" spans="1:26" ht="15" customHeight="1" x14ac:dyDescent="0.3">
      <c r="A824" s="45">
        <v>873</v>
      </c>
      <c r="B824" s="46" t="s">
        <v>1353</v>
      </c>
      <c r="C824" s="194" t="s">
        <v>1368</v>
      </c>
      <c r="D824" s="46"/>
      <c r="E824" s="46" t="s">
        <v>1354</v>
      </c>
      <c r="F824" s="61" t="s">
        <v>31</v>
      </c>
      <c r="G824" s="288">
        <v>25</v>
      </c>
      <c r="H824" s="289">
        <v>2</v>
      </c>
      <c r="I824" s="290">
        <v>1000</v>
      </c>
      <c r="J824" s="48" t="s">
        <v>39</v>
      </c>
      <c r="K824" s="50"/>
      <c r="L824" s="53" t="str">
        <f t="shared" si="155"/>
        <v>1000grams</v>
      </c>
      <c r="M824" s="54">
        <f t="shared" si="156"/>
        <v>2000</v>
      </c>
      <c r="N824" s="55" t="str">
        <f t="shared" si="157"/>
        <v>2000grams</v>
      </c>
      <c r="O824" s="56">
        <f t="shared" si="158"/>
        <v>50</v>
      </c>
      <c r="P824" s="44">
        <f t="shared" si="174"/>
        <v>25</v>
      </c>
      <c r="Q824" s="66"/>
      <c r="R824" s="32" t="b">
        <f t="shared" si="175"/>
        <v>1</v>
      </c>
      <c r="S824" s="32"/>
      <c r="T824" s="32"/>
      <c r="U824" s="32"/>
      <c r="V824" s="32"/>
      <c r="W824" s="32"/>
      <c r="X824" s="32"/>
      <c r="Y824" s="32"/>
      <c r="Z824" s="32"/>
    </row>
    <row r="825" spans="1:26" ht="15" customHeight="1" x14ac:dyDescent="0.3">
      <c r="A825" s="45"/>
      <c r="B825" s="46" t="s">
        <v>1353</v>
      </c>
      <c r="C825" s="194" t="s">
        <v>2023</v>
      </c>
      <c r="D825" s="46"/>
      <c r="E825" s="46"/>
      <c r="F825" s="61" t="s">
        <v>31</v>
      </c>
      <c r="G825" s="288">
        <v>28</v>
      </c>
      <c r="H825" s="289">
        <v>1</v>
      </c>
      <c r="I825" s="290">
        <v>1</v>
      </c>
      <c r="J825" s="48" t="s">
        <v>92</v>
      </c>
      <c r="K825" s="50"/>
      <c r="L825" s="53" t="str">
        <f t="shared" si="155"/>
        <v>1pieces</v>
      </c>
      <c r="M825" s="54">
        <f t="shared" si="156"/>
        <v>1</v>
      </c>
      <c r="N825" s="55" t="str">
        <f t="shared" si="157"/>
        <v>1pieces</v>
      </c>
      <c r="O825" s="56">
        <f t="shared" si="158"/>
        <v>28</v>
      </c>
      <c r="P825" s="44"/>
      <c r="Q825" s="12"/>
      <c r="R825" s="12"/>
      <c r="S825" s="151"/>
      <c r="T825" s="12"/>
      <c r="U825" s="12"/>
      <c r="V825" s="12"/>
      <c r="W825" s="12"/>
      <c r="X825" s="12"/>
      <c r="Y825" s="12"/>
      <c r="Z825" s="12"/>
    </row>
    <row r="826" spans="1:26" ht="15" customHeight="1" x14ac:dyDescent="0.3">
      <c r="A826" s="45">
        <v>798</v>
      </c>
      <c r="B826" s="46" t="s">
        <v>1355</v>
      </c>
      <c r="C826" s="194" t="s">
        <v>1368</v>
      </c>
      <c r="D826" s="46"/>
      <c r="E826" s="46" t="s">
        <v>30</v>
      </c>
      <c r="F826" s="61" t="s">
        <v>31</v>
      </c>
      <c r="G826" s="288">
        <v>180</v>
      </c>
      <c r="H826" s="289">
        <v>12</v>
      </c>
      <c r="I826" s="290">
        <v>200</v>
      </c>
      <c r="J826" s="48" t="s">
        <v>39</v>
      </c>
      <c r="K826" s="50"/>
      <c r="L826" s="53" t="str">
        <f t="shared" si="155"/>
        <v>200grams</v>
      </c>
      <c r="M826" s="54">
        <f t="shared" si="156"/>
        <v>2400</v>
      </c>
      <c r="N826" s="55" t="str">
        <f t="shared" si="157"/>
        <v>2400grams</v>
      </c>
      <c r="O826" s="56">
        <f t="shared" si="158"/>
        <v>2160</v>
      </c>
      <c r="P826" s="44">
        <f t="shared" ref="P826:P828" si="176">O826/H826</f>
        <v>180</v>
      </c>
      <c r="Q826" s="66"/>
      <c r="R826" s="32"/>
      <c r="S826" s="32"/>
      <c r="T826" s="32"/>
      <c r="U826" s="32"/>
      <c r="V826" s="32"/>
      <c r="W826" s="32"/>
      <c r="X826" s="32"/>
      <c r="Y826" s="32"/>
      <c r="Z826" s="32"/>
    </row>
    <row r="827" spans="1:26" ht="15" customHeight="1" x14ac:dyDescent="0.3">
      <c r="A827" s="45">
        <v>785</v>
      </c>
      <c r="B827" s="46" t="s">
        <v>1356</v>
      </c>
      <c r="C827" s="194" t="s">
        <v>1368</v>
      </c>
      <c r="D827" s="46"/>
      <c r="E827" s="46" t="s">
        <v>30</v>
      </c>
      <c r="F827" s="61" t="s">
        <v>31</v>
      </c>
      <c r="G827" s="288">
        <v>180</v>
      </c>
      <c r="H827" s="289">
        <v>24</v>
      </c>
      <c r="I827" s="290">
        <v>200</v>
      </c>
      <c r="J827" s="48" t="s">
        <v>39</v>
      </c>
      <c r="K827" s="50"/>
      <c r="L827" s="53" t="str">
        <f t="shared" si="155"/>
        <v>200grams</v>
      </c>
      <c r="M827" s="54">
        <f t="shared" si="156"/>
        <v>4800</v>
      </c>
      <c r="N827" s="55" t="str">
        <f t="shared" si="157"/>
        <v>4800grams</v>
      </c>
      <c r="O827" s="56">
        <f t="shared" si="158"/>
        <v>4320</v>
      </c>
      <c r="P827" s="44">
        <f t="shared" si="176"/>
        <v>180</v>
      </c>
      <c r="Q827" s="66"/>
      <c r="R827" s="32"/>
      <c r="S827" s="32"/>
      <c r="T827" s="32"/>
      <c r="U827" s="32"/>
      <c r="V827" s="32"/>
      <c r="W827" s="32"/>
      <c r="X827" s="32"/>
      <c r="Y827" s="32"/>
      <c r="Z827" s="32"/>
    </row>
    <row r="828" spans="1:26" ht="15" customHeight="1" x14ac:dyDescent="0.3">
      <c r="A828" s="45">
        <v>663</v>
      </c>
      <c r="B828" s="46" t="s">
        <v>1357</v>
      </c>
      <c r="C828" s="194" t="s">
        <v>2026</v>
      </c>
      <c r="D828" s="46"/>
      <c r="E828" s="46" t="s">
        <v>216</v>
      </c>
      <c r="F828" s="61" t="s">
        <v>31</v>
      </c>
      <c r="G828" s="288">
        <v>250</v>
      </c>
      <c r="H828" s="289">
        <v>0</v>
      </c>
      <c r="I828" s="290">
        <v>1000</v>
      </c>
      <c r="J828" s="48" t="s">
        <v>39</v>
      </c>
      <c r="K828" s="50"/>
      <c r="L828" s="53" t="str">
        <f t="shared" si="155"/>
        <v>1000grams</v>
      </c>
      <c r="M828" s="54">
        <f t="shared" si="156"/>
        <v>0</v>
      </c>
      <c r="N828" s="55" t="str">
        <f t="shared" si="157"/>
        <v>0grams</v>
      </c>
      <c r="O828" s="56">
        <f t="shared" si="158"/>
        <v>0</v>
      </c>
      <c r="P828" s="44" t="e">
        <f t="shared" si="176"/>
        <v>#DIV/0!</v>
      </c>
      <c r="Q828" s="66"/>
      <c r="R828" s="32"/>
      <c r="S828" s="32"/>
      <c r="T828" s="32"/>
      <c r="U828" s="32"/>
      <c r="V828" s="32"/>
      <c r="W828" s="32"/>
      <c r="X828" s="32"/>
      <c r="Y828" s="32"/>
      <c r="Z828" s="32"/>
    </row>
    <row r="829" spans="1:26" ht="15" customHeight="1" x14ac:dyDescent="0.3">
      <c r="A829" s="45"/>
      <c r="B829" s="46" t="s">
        <v>1357</v>
      </c>
      <c r="C829" s="194" t="s">
        <v>2023</v>
      </c>
      <c r="D829" s="46"/>
      <c r="E829" s="46" t="s">
        <v>216</v>
      </c>
      <c r="F829" s="61" t="s">
        <v>31</v>
      </c>
      <c r="G829" s="288">
        <v>195</v>
      </c>
      <c r="H829" s="289">
        <v>1</v>
      </c>
      <c r="I829" s="290">
        <v>1000</v>
      </c>
      <c r="J829" s="48" t="s">
        <v>39</v>
      </c>
      <c r="K829" s="50"/>
      <c r="L829" s="53" t="str">
        <f t="shared" si="155"/>
        <v>1000grams</v>
      </c>
      <c r="M829" s="54">
        <f t="shared" si="156"/>
        <v>1000</v>
      </c>
      <c r="N829" s="55" t="str">
        <f t="shared" si="157"/>
        <v>1000grams</v>
      </c>
      <c r="O829" s="56">
        <f t="shared" si="158"/>
        <v>195</v>
      </c>
      <c r="P829" s="44"/>
      <c r="Q829" s="12"/>
      <c r="R829" s="12"/>
      <c r="S829" s="151"/>
      <c r="T829" s="12"/>
      <c r="U829" s="12"/>
      <c r="V829" s="12"/>
      <c r="W829" s="12"/>
      <c r="X829" s="12"/>
      <c r="Y829" s="12"/>
      <c r="Z829" s="12"/>
    </row>
    <row r="830" spans="1:26" ht="15" customHeight="1" x14ac:dyDescent="0.3">
      <c r="A830" s="45">
        <v>321</v>
      </c>
      <c r="B830" s="46" t="s">
        <v>1358</v>
      </c>
      <c r="C830" s="194" t="s">
        <v>2025</v>
      </c>
      <c r="D830" s="46"/>
      <c r="E830" s="46" t="s">
        <v>1359</v>
      </c>
      <c r="F830" s="61" t="s">
        <v>31</v>
      </c>
      <c r="G830" s="288">
        <v>320</v>
      </c>
      <c r="H830" s="289">
        <v>0</v>
      </c>
      <c r="I830" s="290">
        <v>1</v>
      </c>
      <c r="J830" s="420" t="s">
        <v>773</v>
      </c>
      <c r="K830" s="50"/>
      <c r="L830" s="53" t="str">
        <f t="shared" si="155"/>
        <v>1liters</v>
      </c>
      <c r="M830" s="54">
        <f t="shared" si="156"/>
        <v>0</v>
      </c>
      <c r="N830" s="55" t="str">
        <f t="shared" si="157"/>
        <v>0liters</v>
      </c>
      <c r="O830" s="56">
        <f t="shared" si="158"/>
        <v>0</v>
      </c>
      <c r="P830" s="44" t="e">
        <f>O830/H830</f>
        <v>#DIV/0!</v>
      </c>
      <c r="Q830" s="66"/>
      <c r="R830" s="32"/>
      <c r="S830" s="32"/>
      <c r="T830" s="32"/>
      <c r="U830" s="32"/>
      <c r="V830" s="32"/>
      <c r="W830" s="32"/>
      <c r="X830" s="32"/>
      <c r="Y830" s="32"/>
      <c r="Z830" s="32"/>
    </row>
    <row r="831" spans="1:26" ht="15" customHeight="1" x14ac:dyDescent="0.3">
      <c r="A831" s="45"/>
      <c r="B831" s="219" t="s">
        <v>1360</v>
      </c>
      <c r="C831" s="194" t="s">
        <v>2021</v>
      </c>
      <c r="D831" s="46"/>
      <c r="E831" s="219" t="s">
        <v>1361</v>
      </c>
      <c r="F831" s="61" t="s">
        <v>31</v>
      </c>
      <c r="G831" s="291">
        <v>310</v>
      </c>
      <c r="H831" s="292">
        <v>1</v>
      </c>
      <c r="I831" s="293">
        <v>1800</v>
      </c>
      <c r="J831" s="414" t="s">
        <v>32</v>
      </c>
      <c r="K831" s="50"/>
      <c r="L831" s="53" t="str">
        <f t="shared" si="155"/>
        <v>1800ml</v>
      </c>
      <c r="M831" s="54">
        <f t="shared" si="156"/>
        <v>1800</v>
      </c>
      <c r="N831" s="55" t="str">
        <f t="shared" si="157"/>
        <v>1800ml</v>
      </c>
      <c r="O831" s="56">
        <f t="shared" si="158"/>
        <v>310</v>
      </c>
      <c r="P831" s="12"/>
      <c r="Q831" s="12"/>
      <c r="R831" s="12"/>
      <c r="S831" s="151"/>
      <c r="T831" s="12"/>
      <c r="U831" s="12"/>
      <c r="V831" s="12"/>
      <c r="W831" s="12"/>
      <c r="X831" s="12"/>
      <c r="Y831" s="12"/>
      <c r="Z831" s="12"/>
    </row>
    <row r="832" spans="1:26" ht="15" customHeight="1" x14ac:dyDescent="0.3">
      <c r="A832" s="45"/>
      <c r="B832" s="46" t="s">
        <v>77</v>
      </c>
      <c r="C832" s="194" t="s">
        <v>2023</v>
      </c>
      <c r="D832" s="46"/>
      <c r="E832" s="46" t="s">
        <v>1362</v>
      </c>
      <c r="F832" s="61" t="s">
        <v>31</v>
      </c>
      <c r="G832" s="288">
        <v>65</v>
      </c>
      <c r="H832" s="289">
        <v>1</v>
      </c>
      <c r="I832" s="290">
        <v>350</v>
      </c>
      <c r="J832" s="48" t="s">
        <v>32</v>
      </c>
      <c r="K832" s="50"/>
      <c r="L832" s="53" t="str">
        <f t="shared" si="155"/>
        <v>350ml</v>
      </c>
      <c r="M832" s="54">
        <f t="shared" si="156"/>
        <v>350</v>
      </c>
      <c r="N832" s="55" t="str">
        <f t="shared" si="157"/>
        <v>350ml</v>
      </c>
      <c r="O832" s="56">
        <f t="shared" si="158"/>
        <v>65</v>
      </c>
      <c r="P832" s="44"/>
      <c r="Q832" s="12"/>
      <c r="R832" s="12"/>
      <c r="S832" s="151"/>
      <c r="T832" s="12"/>
      <c r="U832" s="12"/>
      <c r="V832" s="12"/>
      <c r="W832" s="12"/>
      <c r="X832" s="12"/>
      <c r="Y832" s="12"/>
      <c r="Z832" s="12"/>
    </row>
    <row r="833" spans="1:26" ht="15" customHeight="1" x14ac:dyDescent="0.3">
      <c r="A833" s="45">
        <v>760</v>
      </c>
      <c r="B833" s="46" t="s">
        <v>1363</v>
      </c>
      <c r="C833" s="194" t="s">
        <v>2026</v>
      </c>
      <c r="D833" s="46"/>
      <c r="E833" s="46"/>
      <c r="F833" s="61" t="s">
        <v>31</v>
      </c>
      <c r="G833" s="288">
        <v>45</v>
      </c>
      <c r="H833" s="289">
        <v>1</v>
      </c>
      <c r="I833" s="290">
        <v>350</v>
      </c>
      <c r="J833" s="48" t="s">
        <v>32</v>
      </c>
      <c r="K833" s="50"/>
      <c r="L833" s="53" t="str">
        <f t="shared" si="155"/>
        <v>350ml</v>
      </c>
      <c r="M833" s="54">
        <f t="shared" si="156"/>
        <v>350</v>
      </c>
      <c r="N833" s="55" t="str">
        <f t="shared" si="157"/>
        <v>350ml</v>
      </c>
      <c r="O833" s="56">
        <f t="shared" si="158"/>
        <v>45</v>
      </c>
      <c r="P833" s="44">
        <f t="shared" ref="P833:P834" si="177">O833/H833</f>
        <v>45</v>
      </c>
      <c r="Q833" s="66"/>
      <c r="R833" s="32"/>
      <c r="S833" s="32"/>
      <c r="T833" s="32"/>
      <c r="U833" s="32"/>
      <c r="V833" s="32"/>
      <c r="W833" s="32"/>
      <c r="X833" s="32"/>
      <c r="Y833" s="32"/>
      <c r="Z833" s="32"/>
    </row>
    <row r="834" spans="1:26" ht="15" customHeight="1" x14ac:dyDescent="0.3">
      <c r="A834" s="45">
        <v>313</v>
      </c>
      <c r="B834" s="46" t="s">
        <v>1364</v>
      </c>
      <c r="C834" s="194" t="s">
        <v>2025</v>
      </c>
      <c r="D834" s="46"/>
      <c r="E834" s="46" t="s">
        <v>854</v>
      </c>
      <c r="F834" s="61" t="s">
        <v>31</v>
      </c>
      <c r="G834" s="288">
        <v>22</v>
      </c>
      <c r="H834" s="289">
        <v>2</v>
      </c>
      <c r="I834" s="290">
        <v>1</v>
      </c>
      <c r="J834" s="48" t="s">
        <v>92</v>
      </c>
      <c r="K834" s="50"/>
      <c r="L834" s="53" t="str">
        <f t="shared" si="155"/>
        <v>1pieces</v>
      </c>
      <c r="M834" s="54">
        <f t="shared" si="156"/>
        <v>2</v>
      </c>
      <c r="N834" s="55" t="str">
        <f t="shared" si="157"/>
        <v>2pieces</v>
      </c>
      <c r="O834" s="56">
        <f t="shared" si="158"/>
        <v>44</v>
      </c>
      <c r="P834" s="44">
        <f t="shared" si="177"/>
        <v>22</v>
      </c>
      <c r="Q834" s="66"/>
      <c r="R834" s="32"/>
      <c r="S834" s="32"/>
      <c r="T834" s="32"/>
      <c r="U834" s="32"/>
      <c r="V834" s="32"/>
      <c r="W834" s="32"/>
      <c r="X834" s="32"/>
      <c r="Y834" s="32"/>
      <c r="Z834" s="32"/>
    </row>
    <row r="835" spans="1:26" ht="15" customHeight="1" x14ac:dyDescent="0.3">
      <c r="A835" s="45"/>
      <c r="B835" s="219" t="s">
        <v>1365</v>
      </c>
      <c r="C835" s="194" t="s">
        <v>2021</v>
      </c>
      <c r="D835" s="46"/>
      <c r="E835" s="219" t="s">
        <v>1366</v>
      </c>
      <c r="F835" s="61" t="s">
        <v>31</v>
      </c>
      <c r="G835" s="291">
        <v>100</v>
      </c>
      <c r="H835" s="292">
        <v>1</v>
      </c>
      <c r="I835" s="293">
        <v>1000</v>
      </c>
      <c r="J835" s="414" t="s">
        <v>32</v>
      </c>
      <c r="K835" s="50"/>
      <c r="L835" s="53" t="str">
        <f t="shared" si="155"/>
        <v>1000ml</v>
      </c>
      <c r="M835" s="54">
        <f t="shared" si="156"/>
        <v>1000</v>
      </c>
      <c r="N835" s="55" t="str">
        <f t="shared" si="157"/>
        <v>1000ml</v>
      </c>
      <c r="O835" s="56">
        <f t="shared" si="158"/>
        <v>100</v>
      </c>
      <c r="P835" s="12"/>
      <c r="Q835" s="12"/>
      <c r="R835" s="12"/>
      <c r="S835" s="151"/>
      <c r="T835" s="12"/>
      <c r="U835" s="12"/>
      <c r="V835" s="12"/>
      <c r="W835" s="12"/>
      <c r="X835" s="12"/>
      <c r="Y835" s="12"/>
      <c r="Z835" s="12"/>
    </row>
    <row r="836" spans="1:26" ht="15" customHeight="1" x14ac:dyDescent="0.3">
      <c r="A836" s="45">
        <v>323</v>
      </c>
      <c r="B836" s="46" t="s">
        <v>1367</v>
      </c>
      <c r="C836" s="194" t="s">
        <v>2025</v>
      </c>
      <c r="D836" s="46"/>
      <c r="E836" s="46" t="s">
        <v>987</v>
      </c>
      <c r="F836" s="61" t="s">
        <v>31</v>
      </c>
      <c r="G836" s="288">
        <v>318</v>
      </c>
      <c r="H836" s="289">
        <v>0</v>
      </c>
      <c r="I836" s="290">
        <v>1</v>
      </c>
      <c r="J836" s="48" t="s">
        <v>773</v>
      </c>
      <c r="K836" s="50"/>
      <c r="L836" s="53" t="str">
        <f t="shared" si="155"/>
        <v>1liters</v>
      </c>
      <c r="M836" s="54">
        <f t="shared" si="156"/>
        <v>0</v>
      </c>
      <c r="N836" s="55" t="str">
        <f t="shared" si="157"/>
        <v>0liters</v>
      </c>
      <c r="O836" s="56">
        <f t="shared" si="158"/>
        <v>0</v>
      </c>
      <c r="P836" s="44" t="e">
        <f t="shared" ref="P836:P841" si="178">O836/H836</f>
        <v>#DIV/0!</v>
      </c>
      <c r="Q836" s="66"/>
      <c r="R836" s="32"/>
      <c r="S836" s="32"/>
      <c r="T836" s="32"/>
      <c r="U836" s="32"/>
      <c r="V836" s="32"/>
      <c r="W836" s="32"/>
      <c r="X836" s="32"/>
      <c r="Y836" s="32"/>
      <c r="Z836" s="32"/>
    </row>
    <row r="837" spans="1:26" ht="15" customHeight="1" x14ac:dyDescent="0.3">
      <c r="A837" s="45">
        <v>731</v>
      </c>
      <c r="B837" s="46" t="s">
        <v>660</v>
      </c>
      <c r="C837" s="194" t="s">
        <v>2026</v>
      </c>
      <c r="D837" s="46"/>
      <c r="E837" s="46" t="s">
        <v>262</v>
      </c>
      <c r="F837" s="61" t="s">
        <v>31</v>
      </c>
      <c r="G837" s="288">
        <v>301.8</v>
      </c>
      <c r="H837" s="289">
        <v>1</v>
      </c>
      <c r="I837" s="290">
        <v>1000</v>
      </c>
      <c r="J837" s="48" t="s">
        <v>32</v>
      </c>
      <c r="K837" s="50" t="s">
        <v>2019</v>
      </c>
      <c r="L837" s="53" t="str">
        <f t="shared" si="155"/>
        <v>1000ml</v>
      </c>
      <c r="M837" s="54">
        <f t="shared" si="156"/>
        <v>1000</v>
      </c>
      <c r="N837" s="55" t="str">
        <f t="shared" si="157"/>
        <v>1000ml</v>
      </c>
      <c r="O837" s="56">
        <f t="shared" si="158"/>
        <v>301.8</v>
      </c>
      <c r="P837" s="44">
        <f t="shared" si="178"/>
        <v>301.8</v>
      </c>
      <c r="Q837" s="44">
        <f>G837-P837</f>
        <v>0</v>
      </c>
      <c r="R837" s="32" t="b">
        <f>P837=G837</f>
        <v>1</v>
      </c>
      <c r="S837" s="32"/>
      <c r="T837" s="32"/>
      <c r="U837" s="32"/>
      <c r="V837" s="32"/>
      <c r="W837" s="32"/>
      <c r="X837" s="32"/>
      <c r="Y837" s="32"/>
      <c r="Z837" s="32"/>
    </row>
    <row r="838" spans="1:26" ht="15" customHeight="1" x14ac:dyDescent="0.3">
      <c r="A838" s="45">
        <v>151</v>
      </c>
      <c r="B838" s="46" t="s">
        <v>184</v>
      </c>
      <c r="C838" s="194" t="s">
        <v>2024</v>
      </c>
      <c r="D838" s="46"/>
      <c r="E838" s="46" t="s">
        <v>1368</v>
      </c>
      <c r="F838" s="61" t="s">
        <v>31</v>
      </c>
      <c r="G838" s="288">
        <v>22.9</v>
      </c>
      <c r="H838" s="289">
        <v>6</v>
      </c>
      <c r="I838" s="290">
        <v>85</v>
      </c>
      <c r="J838" s="48" t="s">
        <v>39</v>
      </c>
      <c r="K838" s="50"/>
      <c r="L838" s="53" t="str">
        <f t="shared" si="155"/>
        <v>85grams</v>
      </c>
      <c r="M838" s="54">
        <f t="shared" si="156"/>
        <v>510</v>
      </c>
      <c r="N838" s="55" t="str">
        <f t="shared" si="157"/>
        <v>510grams</v>
      </c>
      <c r="O838" s="56">
        <f t="shared" si="158"/>
        <v>137.39999999999998</v>
      </c>
      <c r="P838" s="44">
        <f t="shared" si="178"/>
        <v>22.899999999999995</v>
      </c>
      <c r="Q838" s="66"/>
      <c r="R838" s="32"/>
      <c r="S838" s="32"/>
      <c r="T838" s="32"/>
      <c r="U838" s="32"/>
      <c r="V838" s="32"/>
      <c r="W838" s="32"/>
      <c r="X838" s="32"/>
      <c r="Y838" s="32"/>
      <c r="Z838" s="32"/>
    </row>
    <row r="839" spans="1:26" ht="15" customHeight="1" x14ac:dyDescent="0.3">
      <c r="A839" s="45">
        <v>281</v>
      </c>
      <c r="B839" s="46" t="s">
        <v>184</v>
      </c>
      <c r="C839" s="194" t="s">
        <v>2025</v>
      </c>
      <c r="D839" s="46"/>
      <c r="E839" s="46" t="s">
        <v>1250</v>
      </c>
      <c r="F839" s="61" t="s">
        <v>31</v>
      </c>
      <c r="G839" s="288">
        <v>23.7</v>
      </c>
      <c r="H839" s="289">
        <v>10</v>
      </c>
      <c r="I839" s="290">
        <v>85</v>
      </c>
      <c r="J839" s="48" t="s">
        <v>39</v>
      </c>
      <c r="K839" s="50"/>
      <c r="L839" s="53" t="str">
        <f t="shared" si="155"/>
        <v>85grams</v>
      </c>
      <c r="M839" s="54">
        <f t="shared" si="156"/>
        <v>850</v>
      </c>
      <c r="N839" s="55" t="str">
        <f t="shared" si="157"/>
        <v>850grams</v>
      </c>
      <c r="O839" s="56">
        <f t="shared" si="158"/>
        <v>237</v>
      </c>
      <c r="P839" s="44">
        <f t="shared" si="178"/>
        <v>23.7</v>
      </c>
      <c r="Q839" s="66"/>
      <c r="R839" s="32"/>
      <c r="S839" s="32"/>
      <c r="T839" s="32"/>
      <c r="U839" s="32"/>
      <c r="V839" s="32"/>
      <c r="W839" s="32"/>
      <c r="X839" s="32"/>
      <c r="Y839" s="32"/>
      <c r="Z839" s="32"/>
    </row>
    <row r="840" spans="1:26" ht="15" customHeight="1" x14ac:dyDescent="0.3">
      <c r="A840" s="45">
        <v>539</v>
      </c>
      <c r="B840" s="46" t="s">
        <v>184</v>
      </c>
      <c r="C840" s="194" t="s">
        <v>2026</v>
      </c>
      <c r="D840" s="46"/>
      <c r="E840" s="46" t="s">
        <v>1369</v>
      </c>
      <c r="F840" s="61" t="s">
        <v>31</v>
      </c>
      <c r="G840" s="288">
        <v>25</v>
      </c>
      <c r="H840" s="289">
        <v>3</v>
      </c>
      <c r="I840" s="290">
        <v>85</v>
      </c>
      <c r="J840" s="48" t="s">
        <v>39</v>
      </c>
      <c r="K840" s="50"/>
      <c r="L840" s="53" t="str">
        <f t="shared" si="155"/>
        <v>85grams</v>
      </c>
      <c r="M840" s="54">
        <f t="shared" si="156"/>
        <v>255</v>
      </c>
      <c r="N840" s="55" t="str">
        <f t="shared" si="157"/>
        <v>255grams</v>
      </c>
      <c r="O840" s="56">
        <f t="shared" si="158"/>
        <v>75</v>
      </c>
      <c r="P840" s="44">
        <f t="shared" si="178"/>
        <v>25</v>
      </c>
      <c r="Q840" s="66"/>
      <c r="R840" s="32" t="b">
        <f t="shared" ref="R840:R841" si="179">P840=G840</f>
        <v>1</v>
      </c>
      <c r="S840" s="32"/>
      <c r="T840" s="32"/>
      <c r="U840" s="32"/>
      <c r="V840" s="32"/>
      <c r="W840" s="32"/>
      <c r="X840" s="32"/>
      <c r="Y840" s="32"/>
      <c r="Z840" s="32"/>
    </row>
    <row r="841" spans="1:26" ht="15" customHeight="1" x14ac:dyDescent="0.3">
      <c r="A841" s="45">
        <v>699</v>
      </c>
      <c r="B841" s="219" t="s">
        <v>184</v>
      </c>
      <c r="C841" s="194" t="s">
        <v>2026</v>
      </c>
      <c r="D841" s="46"/>
      <c r="E841" s="46" t="s">
        <v>1370</v>
      </c>
      <c r="F841" s="61" t="s">
        <v>31</v>
      </c>
      <c r="G841" s="288">
        <v>23.7</v>
      </c>
      <c r="H841" s="289">
        <v>4</v>
      </c>
      <c r="I841" s="290">
        <v>85</v>
      </c>
      <c r="J841" s="48" t="s">
        <v>39</v>
      </c>
      <c r="K841" s="50"/>
      <c r="L841" s="53" t="str">
        <f t="shared" si="155"/>
        <v>85grams</v>
      </c>
      <c r="M841" s="54">
        <f t="shared" si="156"/>
        <v>340</v>
      </c>
      <c r="N841" s="55" t="str">
        <f t="shared" si="157"/>
        <v>340grams</v>
      </c>
      <c r="O841" s="56">
        <f t="shared" si="158"/>
        <v>94.8</v>
      </c>
      <c r="P841" s="44">
        <f t="shared" si="178"/>
        <v>23.7</v>
      </c>
      <c r="Q841" s="66"/>
      <c r="R841" s="32" t="b">
        <f t="shared" si="179"/>
        <v>1</v>
      </c>
      <c r="S841" s="32"/>
      <c r="T841" s="32"/>
      <c r="U841" s="32"/>
      <c r="V841" s="32"/>
      <c r="W841" s="32"/>
      <c r="X841" s="32"/>
      <c r="Y841" s="32"/>
      <c r="Z841" s="32"/>
    </row>
    <row r="842" spans="1:26" ht="15" customHeight="1" x14ac:dyDescent="0.3">
      <c r="A842" s="45"/>
      <c r="B842" s="46" t="s">
        <v>184</v>
      </c>
      <c r="C842" s="194" t="s">
        <v>2023</v>
      </c>
      <c r="D842" s="46"/>
      <c r="E842" s="46" t="s">
        <v>1370</v>
      </c>
      <c r="F842" s="61" t="s">
        <v>31</v>
      </c>
      <c r="G842" s="288">
        <v>25</v>
      </c>
      <c r="H842" s="289">
        <v>15</v>
      </c>
      <c r="I842" s="290">
        <v>85</v>
      </c>
      <c r="J842" s="48" t="s">
        <v>39</v>
      </c>
      <c r="K842" s="50"/>
      <c r="L842" s="53" t="str">
        <f t="shared" si="155"/>
        <v>85grams</v>
      </c>
      <c r="M842" s="54">
        <f t="shared" si="156"/>
        <v>1275</v>
      </c>
      <c r="N842" s="55" t="str">
        <f t="shared" si="157"/>
        <v>1275grams</v>
      </c>
      <c r="O842" s="56">
        <f t="shared" si="158"/>
        <v>375</v>
      </c>
      <c r="P842" s="12"/>
      <c r="Q842" s="12"/>
      <c r="R842" s="12"/>
      <c r="S842" s="151"/>
      <c r="T842" s="12"/>
      <c r="U842" s="12"/>
      <c r="V842" s="12"/>
      <c r="W842" s="12"/>
      <c r="X842" s="12"/>
      <c r="Y842" s="12"/>
      <c r="Z842" s="12"/>
    </row>
    <row r="843" spans="1:26" ht="15" customHeight="1" x14ac:dyDescent="0.3">
      <c r="A843" s="45"/>
      <c r="B843" s="219" t="s">
        <v>184</v>
      </c>
      <c r="C843" s="194" t="s">
        <v>2021</v>
      </c>
      <c r="D843" s="46"/>
      <c r="E843" s="219" t="s">
        <v>1369</v>
      </c>
      <c r="F843" s="61" t="s">
        <v>31</v>
      </c>
      <c r="G843" s="291">
        <v>27.2</v>
      </c>
      <c r="H843" s="292">
        <v>19</v>
      </c>
      <c r="I843" s="293">
        <v>85</v>
      </c>
      <c r="J843" s="414" t="s">
        <v>39</v>
      </c>
      <c r="K843" s="50"/>
      <c r="L843" s="53" t="str">
        <f t="shared" si="155"/>
        <v>85grams</v>
      </c>
      <c r="M843" s="54">
        <f t="shared" si="156"/>
        <v>1615</v>
      </c>
      <c r="N843" s="55" t="str">
        <f t="shared" si="157"/>
        <v>1615grams</v>
      </c>
      <c r="O843" s="56">
        <f t="shared" si="158"/>
        <v>516.79999999999995</v>
      </c>
      <c r="P843" s="12"/>
      <c r="Q843" s="12"/>
      <c r="R843" s="12"/>
      <c r="S843" s="151"/>
      <c r="T843" s="12"/>
      <c r="U843" s="12"/>
      <c r="V843" s="12"/>
      <c r="W843" s="12"/>
      <c r="X843" s="12"/>
      <c r="Y843" s="12"/>
      <c r="Z843" s="12"/>
    </row>
    <row r="844" spans="1:26" ht="15" customHeight="1" x14ac:dyDescent="0.3">
      <c r="A844" s="45">
        <v>359</v>
      </c>
      <c r="B844" s="46" t="s">
        <v>1371</v>
      </c>
      <c r="C844" s="194" t="s">
        <v>2025</v>
      </c>
      <c r="D844" s="46"/>
      <c r="E844" s="46" t="s">
        <v>1372</v>
      </c>
      <c r="F844" s="61" t="s">
        <v>31</v>
      </c>
      <c r="G844" s="288">
        <v>50</v>
      </c>
      <c r="H844" s="289">
        <v>3</v>
      </c>
      <c r="I844" s="290">
        <v>500</v>
      </c>
      <c r="J844" s="48" t="s">
        <v>39</v>
      </c>
      <c r="K844" s="50"/>
      <c r="L844" s="53" t="str">
        <f t="shared" si="155"/>
        <v>500grams</v>
      </c>
      <c r="M844" s="54">
        <f t="shared" si="156"/>
        <v>1500</v>
      </c>
      <c r="N844" s="55" t="str">
        <f t="shared" si="157"/>
        <v>1500grams</v>
      </c>
      <c r="O844" s="56">
        <f t="shared" si="158"/>
        <v>150</v>
      </c>
      <c r="P844" s="44">
        <f t="shared" ref="P844:P846" si="180">O844/H844</f>
        <v>50</v>
      </c>
      <c r="Q844" s="66"/>
      <c r="R844" s="32"/>
      <c r="S844" s="32"/>
      <c r="T844" s="32"/>
      <c r="U844" s="32"/>
      <c r="V844" s="32"/>
      <c r="W844" s="32"/>
      <c r="X844" s="32"/>
      <c r="Y844" s="32"/>
      <c r="Z844" s="32"/>
    </row>
    <row r="845" spans="1:26" ht="15" customHeight="1" x14ac:dyDescent="0.3">
      <c r="A845" s="45">
        <v>61</v>
      </c>
      <c r="B845" s="46" t="s">
        <v>1373</v>
      </c>
      <c r="C845" s="194" t="s">
        <v>29</v>
      </c>
      <c r="D845" s="46"/>
      <c r="E845" s="46"/>
      <c r="F845" s="61" t="s">
        <v>31</v>
      </c>
      <c r="G845" s="288">
        <v>47</v>
      </c>
      <c r="H845" s="289">
        <v>2</v>
      </c>
      <c r="I845" s="290">
        <v>800</v>
      </c>
      <c r="J845" s="48" t="s">
        <v>39</v>
      </c>
      <c r="K845" s="61" t="s">
        <v>2019</v>
      </c>
      <c r="L845" s="415" t="str">
        <f t="shared" si="155"/>
        <v>800grams</v>
      </c>
      <c r="M845" s="416">
        <f t="shared" si="156"/>
        <v>1600</v>
      </c>
      <c r="N845" s="417" t="str">
        <f t="shared" si="157"/>
        <v>1600grams</v>
      </c>
      <c r="O845" s="418">
        <f t="shared" si="158"/>
        <v>94</v>
      </c>
      <c r="P845" s="419">
        <f t="shared" si="180"/>
        <v>47</v>
      </c>
      <c r="Q845" s="66"/>
      <c r="R845" s="32"/>
      <c r="S845" s="32"/>
      <c r="T845" s="32"/>
      <c r="U845" s="32"/>
      <c r="V845" s="32"/>
      <c r="W845" s="32"/>
      <c r="X845" s="32"/>
      <c r="Y845" s="32"/>
      <c r="Z845" s="32"/>
    </row>
    <row r="846" spans="1:26" ht="15" customHeight="1" x14ac:dyDescent="0.3">
      <c r="A846" s="45">
        <v>81</v>
      </c>
      <c r="B846" s="46" t="s">
        <v>1374</v>
      </c>
      <c r="C846" s="194" t="s">
        <v>29</v>
      </c>
      <c r="D846" s="46"/>
      <c r="E846" s="46"/>
      <c r="F846" s="61" t="s">
        <v>31</v>
      </c>
      <c r="G846" s="288">
        <v>4497</v>
      </c>
      <c r="H846" s="289">
        <v>1</v>
      </c>
      <c r="I846" s="290">
        <v>50</v>
      </c>
      <c r="J846" s="48" t="s">
        <v>213</v>
      </c>
      <c r="K846" s="61" t="s">
        <v>2019</v>
      </c>
      <c r="L846" s="415" t="str">
        <f t="shared" si="155"/>
        <v>50kilos</v>
      </c>
      <c r="M846" s="416">
        <f t="shared" si="156"/>
        <v>50</v>
      </c>
      <c r="N846" s="417" t="str">
        <f t="shared" si="157"/>
        <v>50kilos</v>
      </c>
      <c r="O846" s="418">
        <f t="shared" si="158"/>
        <v>4497</v>
      </c>
      <c r="P846" s="419">
        <f t="shared" si="180"/>
        <v>4497</v>
      </c>
      <c r="Q846" s="66"/>
      <c r="R846" s="32"/>
      <c r="S846" s="32"/>
      <c r="T846" s="32"/>
      <c r="U846" s="32"/>
      <c r="V846" s="32"/>
      <c r="W846" s="32"/>
      <c r="X846" s="32"/>
      <c r="Y846" s="32"/>
      <c r="Z846" s="32"/>
    </row>
    <row r="847" spans="1:26" ht="15" customHeight="1" x14ac:dyDescent="0.3">
      <c r="A847" s="45"/>
      <c r="B847" s="219" t="s">
        <v>1374</v>
      </c>
      <c r="C847" s="194" t="s">
        <v>2021</v>
      </c>
      <c r="D847" s="46"/>
      <c r="E847" s="219" t="s">
        <v>1375</v>
      </c>
      <c r="F847" s="61" t="s">
        <v>31</v>
      </c>
      <c r="G847" s="291">
        <v>4134</v>
      </c>
      <c r="H847" s="292">
        <v>3</v>
      </c>
      <c r="I847" s="293">
        <v>1</v>
      </c>
      <c r="J847" s="414" t="s">
        <v>1376</v>
      </c>
      <c r="K847" s="50"/>
      <c r="L847" s="53" t="str">
        <f t="shared" si="155"/>
        <v>1cylinder</v>
      </c>
      <c r="M847" s="54">
        <f t="shared" si="156"/>
        <v>3</v>
      </c>
      <c r="N847" s="55" t="str">
        <f t="shared" si="157"/>
        <v>3cylinder</v>
      </c>
      <c r="O847" s="56">
        <f t="shared" si="158"/>
        <v>12402</v>
      </c>
      <c r="P847" s="12"/>
      <c r="Q847" s="12"/>
      <c r="R847" s="12"/>
      <c r="S847" s="151"/>
      <c r="T847" s="12"/>
      <c r="U847" s="12"/>
      <c r="V847" s="12"/>
      <c r="W847" s="12"/>
      <c r="X847" s="12"/>
      <c r="Y847" s="12"/>
      <c r="Z847" s="12"/>
    </row>
    <row r="848" spans="1:26" ht="15" customHeight="1" x14ac:dyDescent="0.3">
      <c r="A848" s="45">
        <v>795</v>
      </c>
      <c r="B848" s="46" t="s">
        <v>1377</v>
      </c>
      <c r="C848" s="194" t="s">
        <v>1368</v>
      </c>
      <c r="D848" s="46"/>
      <c r="E848" s="46"/>
      <c r="F848" s="61" t="s">
        <v>31</v>
      </c>
      <c r="G848" s="288">
        <v>20</v>
      </c>
      <c r="H848" s="289">
        <v>15</v>
      </c>
      <c r="I848" s="290">
        <v>1000</v>
      </c>
      <c r="J848" s="48" t="s">
        <v>39</v>
      </c>
      <c r="K848" s="50" t="s">
        <v>2019</v>
      </c>
      <c r="L848" s="53" t="str">
        <f t="shared" si="155"/>
        <v>1000grams</v>
      </c>
      <c r="M848" s="54">
        <f t="shared" si="156"/>
        <v>15000</v>
      </c>
      <c r="N848" s="55" t="str">
        <f t="shared" si="157"/>
        <v>15000grams</v>
      </c>
      <c r="O848" s="56">
        <f t="shared" si="158"/>
        <v>300</v>
      </c>
      <c r="P848" s="44">
        <f t="shared" ref="P848:P851" si="181">O848/H848</f>
        <v>20</v>
      </c>
      <c r="Q848" s="44">
        <f>G848-P848</f>
        <v>0</v>
      </c>
      <c r="R848" s="32" t="b">
        <f>P848=G848</f>
        <v>1</v>
      </c>
      <c r="S848" s="32"/>
      <c r="T848" s="32"/>
      <c r="U848" s="32"/>
      <c r="V848" s="32"/>
      <c r="W848" s="32"/>
      <c r="X848" s="32"/>
      <c r="Y848" s="32"/>
      <c r="Z848" s="32"/>
    </row>
    <row r="849" spans="1:26" ht="15" customHeight="1" x14ac:dyDescent="0.3">
      <c r="A849" s="45">
        <v>445</v>
      </c>
      <c r="B849" s="46" t="s">
        <v>1378</v>
      </c>
      <c r="C849" s="194" t="s">
        <v>2025</v>
      </c>
      <c r="D849" s="46"/>
      <c r="E849" s="46" t="s">
        <v>1379</v>
      </c>
      <c r="F849" s="61" t="s">
        <v>31</v>
      </c>
      <c r="G849" s="288">
        <v>55.2</v>
      </c>
      <c r="H849" s="289">
        <v>1</v>
      </c>
      <c r="I849" s="290">
        <v>10</v>
      </c>
      <c r="J849" s="48" t="s">
        <v>92</v>
      </c>
      <c r="K849" s="50"/>
      <c r="L849" s="53" t="str">
        <f t="shared" si="155"/>
        <v>10pieces</v>
      </c>
      <c r="M849" s="54">
        <f t="shared" si="156"/>
        <v>10</v>
      </c>
      <c r="N849" s="55" t="str">
        <f t="shared" si="157"/>
        <v>10pieces</v>
      </c>
      <c r="O849" s="56">
        <f t="shared" si="158"/>
        <v>55.2</v>
      </c>
      <c r="P849" s="44">
        <f t="shared" si="181"/>
        <v>55.2</v>
      </c>
      <c r="Q849" s="66"/>
      <c r="R849" s="32"/>
      <c r="S849" s="32"/>
      <c r="T849" s="32"/>
      <c r="U849" s="32"/>
      <c r="V849" s="32"/>
      <c r="W849" s="32"/>
      <c r="X849" s="32"/>
      <c r="Y849" s="32"/>
      <c r="Z849" s="32"/>
    </row>
    <row r="850" spans="1:26" ht="15" customHeight="1" x14ac:dyDescent="0.3">
      <c r="A850" s="45">
        <v>787</v>
      </c>
      <c r="B850" s="46" t="s">
        <v>1380</v>
      </c>
      <c r="C850" s="194" t="s">
        <v>1368</v>
      </c>
      <c r="D850" s="46"/>
      <c r="E850" s="46"/>
      <c r="F850" s="61" t="s">
        <v>31</v>
      </c>
      <c r="G850" s="288">
        <v>20</v>
      </c>
      <c r="H850" s="289">
        <v>21</v>
      </c>
      <c r="I850" s="290">
        <v>1000</v>
      </c>
      <c r="J850" s="48" t="s">
        <v>39</v>
      </c>
      <c r="K850" s="50"/>
      <c r="L850" s="53" t="str">
        <f t="shared" si="155"/>
        <v>1000grams</v>
      </c>
      <c r="M850" s="54">
        <f t="shared" si="156"/>
        <v>21000</v>
      </c>
      <c r="N850" s="55" t="str">
        <f t="shared" si="157"/>
        <v>21000grams</v>
      </c>
      <c r="O850" s="56">
        <f t="shared" si="158"/>
        <v>420</v>
      </c>
      <c r="P850" s="44">
        <f t="shared" si="181"/>
        <v>20</v>
      </c>
      <c r="Q850" s="66"/>
      <c r="R850" s="32"/>
      <c r="S850" s="32"/>
      <c r="T850" s="32"/>
      <c r="U850" s="32"/>
      <c r="V850" s="32"/>
      <c r="W850" s="32"/>
      <c r="X850" s="32"/>
      <c r="Y850" s="32"/>
      <c r="Z850" s="32"/>
    </row>
    <row r="851" spans="1:26" ht="15" customHeight="1" x14ac:dyDescent="0.3">
      <c r="A851" s="45">
        <v>484</v>
      </c>
      <c r="B851" s="46" t="s">
        <v>1380</v>
      </c>
      <c r="C851" s="194" t="s">
        <v>2025</v>
      </c>
      <c r="D851" s="46"/>
      <c r="E851" s="46"/>
      <c r="F851" s="61" t="s">
        <v>31</v>
      </c>
      <c r="G851" s="288">
        <v>1</v>
      </c>
      <c r="H851" s="289">
        <v>900</v>
      </c>
      <c r="I851" s="290">
        <v>1</v>
      </c>
      <c r="J851" s="48" t="s">
        <v>92</v>
      </c>
      <c r="K851" s="50" t="s">
        <v>2019</v>
      </c>
      <c r="L851" s="53" t="str">
        <f t="shared" si="155"/>
        <v>1pieces</v>
      </c>
      <c r="M851" s="54">
        <f t="shared" si="156"/>
        <v>900</v>
      </c>
      <c r="N851" s="55" t="str">
        <f t="shared" si="157"/>
        <v>900pieces</v>
      </c>
      <c r="O851" s="56">
        <f t="shared" si="158"/>
        <v>900</v>
      </c>
      <c r="P851" s="44">
        <f t="shared" si="181"/>
        <v>1</v>
      </c>
      <c r="Q851" s="44">
        <f>G851-P851</f>
        <v>0</v>
      </c>
      <c r="R851" s="32" t="b">
        <f>P851=G851</f>
        <v>1</v>
      </c>
      <c r="S851" s="32"/>
      <c r="T851" s="32"/>
      <c r="U851" s="32"/>
      <c r="V851" s="32"/>
      <c r="W851" s="32"/>
      <c r="X851" s="32"/>
      <c r="Y851" s="32"/>
      <c r="Z851" s="32"/>
    </row>
    <row r="852" spans="1:26" ht="15" customHeight="1" x14ac:dyDescent="0.3">
      <c r="A852" s="45"/>
      <c r="B852" s="46" t="s">
        <v>1380</v>
      </c>
      <c r="C852" s="194" t="s">
        <v>2022</v>
      </c>
      <c r="D852" s="46"/>
      <c r="E852" s="46" t="s">
        <v>912</v>
      </c>
      <c r="F852" s="61" t="s">
        <v>31</v>
      </c>
      <c r="G852" s="288">
        <v>180</v>
      </c>
      <c r="H852" s="289">
        <v>1</v>
      </c>
      <c r="I852" s="290">
        <v>1000</v>
      </c>
      <c r="J852" s="48" t="s">
        <v>39</v>
      </c>
      <c r="K852" s="50"/>
      <c r="L852" s="53" t="str">
        <f t="shared" si="155"/>
        <v>1000grams</v>
      </c>
      <c r="M852" s="54">
        <f t="shared" si="156"/>
        <v>1000</v>
      </c>
      <c r="N852" s="55" t="str">
        <f t="shared" si="157"/>
        <v>1000grams</v>
      </c>
      <c r="O852" s="56">
        <f t="shared" si="158"/>
        <v>180</v>
      </c>
      <c r="P852" s="12"/>
      <c r="Q852" s="12"/>
      <c r="R852" s="12"/>
      <c r="S852" s="151"/>
      <c r="T852" s="12"/>
      <c r="U852" s="12"/>
      <c r="V852" s="12"/>
      <c r="W852" s="12"/>
      <c r="X852" s="12"/>
      <c r="Y852" s="12"/>
      <c r="Z852" s="12"/>
    </row>
    <row r="853" spans="1:26" ht="15" customHeight="1" x14ac:dyDescent="0.3">
      <c r="A853" s="45"/>
      <c r="B853" s="46" t="s">
        <v>1380</v>
      </c>
      <c r="C853" s="194" t="s">
        <v>2022</v>
      </c>
      <c r="D853" s="46"/>
      <c r="E853" s="46" t="s">
        <v>912</v>
      </c>
      <c r="F853" s="61" t="s">
        <v>31</v>
      </c>
      <c r="G853" s="288">
        <v>42</v>
      </c>
      <c r="H853" s="289">
        <v>6</v>
      </c>
      <c r="I853" s="290">
        <v>200</v>
      </c>
      <c r="J853" s="48" t="s">
        <v>39</v>
      </c>
      <c r="K853" s="50"/>
      <c r="L853" s="53" t="str">
        <f t="shared" si="155"/>
        <v>200grams</v>
      </c>
      <c r="M853" s="54">
        <f t="shared" si="156"/>
        <v>1200</v>
      </c>
      <c r="N853" s="55" t="str">
        <f t="shared" si="157"/>
        <v>1200grams</v>
      </c>
      <c r="O853" s="56">
        <f t="shared" si="158"/>
        <v>252</v>
      </c>
      <c r="P853" s="12"/>
      <c r="Q853" s="12"/>
      <c r="R853" s="12"/>
      <c r="S853" s="151"/>
      <c r="T853" s="12"/>
      <c r="U853" s="12"/>
      <c r="V853" s="12"/>
      <c r="W853" s="12"/>
      <c r="X853" s="12"/>
      <c r="Y853" s="12"/>
      <c r="Z853" s="12"/>
    </row>
    <row r="854" spans="1:26" ht="15" customHeight="1" x14ac:dyDescent="0.3">
      <c r="A854" s="45"/>
      <c r="B854" s="46" t="s">
        <v>1381</v>
      </c>
      <c r="C854" s="194" t="s">
        <v>2023</v>
      </c>
      <c r="D854" s="46"/>
      <c r="E854" s="46" t="s">
        <v>1382</v>
      </c>
      <c r="F854" s="61" t="s">
        <v>31</v>
      </c>
      <c r="G854" s="288">
        <v>45</v>
      </c>
      <c r="H854" s="289">
        <v>1</v>
      </c>
      <c r="I854" s="290">
        <v>1</v>
      </c>
      <c r="J854" s="48" t="s">
        <v>304</v>
      </c>
      <c r="K854" s="50"/>
      <c r="L854" s="53" t="str">
        <f t="shared" si="155"/>
        <v>1packs</v>
      </c>
      <c r="M854" s="54">
        <f t="shared" si="156"/>
        <v>1</v>
      </c>
      <c r="N854" s="55" t="str">
        <f t="shared" si="157"/>
        <v>1packs</v>
      </c>
      <c r="O854" s="56">
        <f t="shared" si="158"/>
        <v>45</v>
      </c>
      <c r="P854" s="44"/>
      <c r="Q854" s="12"/>
      <c r="R854" s="12"/>
      <c r="S854" s="151"/>
      <c r="T854" s="12"/>
      <c r="U854" s="12"/>
      <c r="V854" s="12"/>
      <c r="W854" s="12"/>
      <c r="X854" s="12"/>
      <c r="Y854" s="12"/>
      <c r="Z854" s="12"/>
    </row>
    <row r="855" spans="1:26" ht="15" customHeight="1" x14ac:dyDescent="0.3">
      <c r="A855" s="45"/>
      <c r="B855" s="219" t="s">
        <v>1381</v>
      </c>
      <c r="C855" s="194" t="s">
        <v>2021</v>
      </c>
      <c r="D855" s="46"/>
      <c r="E855" s="219" t="s">
        <v>1383</v>
      </c>
      <c r="F855" s="61" t="s">
        <v>31</v>
      </c>
      <c r="G855" s="291">
        <v>1.8</v>
      </c>
      <c r="H855" s="292">
        <v>50</v>
      </c>
      <c r="I855" s="293">
        <v>1</v>
      </c>
      <c r="J855" s="414" t="s">
        <v>92</v>
      </c>
      <c r="K855" s="50"/>
      <c r="L855" s="53" t="str">
        <f t="shared" si="155"/>
        <v>1pieces</v>
      </c>
      <c r="M855" s="54">
        <f t="shared" si="156"/>
        <v>50</v>
      </c>
      <c r="N855" s="55" t="str">
        <f t="shared" si="157"/>
        <v>50pieces</v>
      </c>
      <c r="O855" s="56">
        <f t="shared" si="158"/>
        <v>90</v>
      </c>
      <c r="P855" s="12"/>
      <c r="Q855" s="12"/>
      <c r="R855" s="12"/>
      <c r="S855" s="151"/>
      <c r="T855" s="12"/>
      <c r="U855" s="12"/>
      <c r="V855" s="12"/>
      <c r="W855" s="12"/>
      <c r="X855" s="12"/>
      <c r="Y855" s="12"/>
      <c r="Z855" s="12"/>
    </row>
    <row r="856" spans="1:26" ht="15" customHeight="1" x14ac:dyDescent="0.3">
      <c r="A856" s="45">
        <v>771</v>
      </c>
      <c r="B856" s="46" t="s">
        <v>1384</v>
      </c>
      <c r="C856" s="194" t="s">
        <v>2026</v>
      </c>
      <c r="D856" s="46"/>
      <c r="E856" s="46" t="s">
        <v>301</v>
      </c>
      <c r="F856" s="61" t="s">
        <v>31</v>
      </c>
      <c r="G856" s="288">
        <v>25</v>
      </c>
      <c r="H856" s="289">
        <v>2</v>
      </c>
      <c r="I856" s="290">
        <v>1</v>
      </c>
      <c r="J856" s="48" t="s">
        <v>304</v>
      </c>
      <c r="K856" s="50" t="s">
        <v>2019</v>
      </c>
      <c r="L856" s="53" t="str">
        <f t="shared" si="155"/>
        <v>1packs</v>
      </c>
      <c r="M856" s="54">
        <f t="shared" si="156"/>
        <v>2</v>
      </c>
      <c r="N856" s="55" t="str">
        <f t="shared" si="157"/>
        <v>2packs</v>
      </c>
      <c r="O856" s="56">
        <f t="shared" si="158"/>
        <v>50</v>
      </c>
      <c r="P856" s="44">
        <f t="shared" ref="P856:P857" si="182">O856/H856</f>
        <v>25</v>
      </c>
      <c r="Q856" s="66">
        <f t="shared" ref="Q856:Q857" si="183">G856-P856</f>
        <v>0</v>
      </c>
      <c r="R856" s="32" t="b">
        <f t="shared" ref="R856:R857" si="184">P856=G856</f>
        <v>1</v>
      </c>
      <c r="S856" s="32"/>
      <c r="T856" s="32"/>
      <c r="U856" s="32"/>
      <c r="V856" s="32"/>
      <c r="W856" s="32"/>
      <c r="X856" s="32"/>
      <c r="Y856" s="32"/>
      <c r="Z856" s="32"/>
    </row>
    <row r="857" spans="1:26" ht="15" customHeight="1" x14ac:dyDescent="0.3">
      <c r="A857" s="45">
        <v>862</v>
      </c>
      <c r="B857" s="46" t="s">
        <v>186</v>
      </c>
      <c r="C857" s="194" t="s">
        <v>1368</v>
      </c>
      <c r="D857" s="46"/>
      <c r="E857" s="46" t="s">
        <v>1385</v>
      </c>
      <c r="F857" s="61" t="s">
        <v>31</v>
      </c>
      <c r="G857" s="288">
        <v>185</v>
      </c>
      <c r="H857" s="289">
        <v>2</v>
      </c>
      <c r="I857" s="290">
        <v>340</v>
      </c>
      <c r="J857" s="48" t="s">
        <v>39</v>
      </c>
      <c r="K857" s="50" t="s">
        <v>2019</v>
      </c>
      <c r="L857" s="53" t="str">
        <f t="shared" si="155"/>
        <v>340grams</v>
      </c>
      <c r="M857" s="54">
        <f t="shared" si="156"/>
        <v>680</v>
      </c>
      <c r="N857" s="55" t="str">
        <f t="shared" si="157"/>
        <v>680grams</v>
      </c>
      <c r="O857" s="56">
        <f t="shared" si="158"/>
        <v>370</v>
      </c>
      <c r="P857" s="44">
        <f t="shared" si="182"/>
        <v>185</v>
      </c>
      <c r="Q857" s="66">
        <f t="shared" si="183"/>
        <v>0</v>
      </c>
      <c r="R857" s="32" t="b">
        <f t="shared" si="184"/>
        <v>1</v>
      </c>
      <c r="S857" s="32"/>
      <c r="T857" s="32"/>
      <c r="U857" s="32"/>
      <c r="V857" s="32"/>
      <c r="W857" s="32"/>
      <c r="X857" s="32"/>
      <c r="Y857" s="32"/>
      <c r="Z857" s="32"/>
    </row>
    <row r="858" spans="1:26" ht="25.5" customHeight="1" x14ac:dyDescent="0.3">
      <c r="A858" s="45"/>
      <c r="B858" s="46" t="s">
        <v>186</v>
      </c>
      <c r="C858" s="194" t="s">
        <v>2020</v>
      </c>
      <c r="D858" s="46"/>
      <c r="E858" s="46" t="s">
        <v>1386</v>
      </c>
      <c r="F858" s="61" t="s">
        <v>31</v>
      </c>
      <c r="G858" s="288">
        <v>109.9</v>
      </c>
      <c r="H858" s="289">
        <v>5</v>
      </c>
      <c r="I858" s="290">
        <v>340</v>
      </c>
      <c r="J858" s="48" t="s">
        <v>39</v>
      </c>
      <c r="K858" s="50"/>
      <c r="L858" s="53" t="str">
        <f t="shared" si="155"/>
        <v>340grams</v>
      </c>
      <c r="M858" s="54">
        <f t="shared" si="156"/>
        <v>1700</v>
      </c>
      <c r="N858" s="55" t="str">
        <f t="shared" si="157"/>
        <v>1700grams</v>
      </c>
      <c r="O858" s="56">
        <f t="shared" si="158"/>
        <v>549.5</v>
      </c>
      <c r="P858" s="12"/>
      <c r="Q858" s="12"/>
      <c r="R858" s="12"/>
      <c r="S858" s="151"/>
      <c r="T858" s="12"/>
      <c r="U858" s="12"/>
      <c r="V858" s="12"/>
      <c r="W858" s="12"/>
      <c r="X858" s="12"/>
      <c r="Y858" s="12"/>
      <c r="Z858" s="12"/>
    </row>
    <row r="859" spans="1:26" ht="13.5" customHeight="1" x14ac:dyDescent="0.3">
      <c r="A859" s="45">
        <v>269</v>
      </c>
      <c r="B859" s="46" t="s">
        <v>186</v>
      </c>
      <c r="C859" s="194" t="s">
        <v>2025</v>
      </c>
      <c r="D859" s="46"/>
      <c r="E859" s="46" t="s">
        <v>1387</v>
      </c>
      <c r="F859" s="61" t="s">
        <v>31</v>
      </c>
      <c r="G859" s="288">
        <v>218</v>
      </c>
      <c r="H859" s="289">
        <v>11</v>
      </c>
      <c r="I859" s="290">
        <v>340</v>
      </c>
      <c r="J859" s="48" t="s">
        <v>39</v>
      </c>
      <c r="K859" s="50"/>
      <c r="L859" s="53" t="str">
        <f t="shared" si="155"/>
        <v>340grams</v>
      </c>
      <c r="M859" s="54">
        <f t="shared" si="156"/>
        <v>3740</v>
      </c>
      <c r="N859" s="55" t="str">
        <f t="shared" si="157"/>
        <v>3740grams</v>
      </c>
      <c r="O859" s="56">
        <f t="shared" si="158"/>
        <v>2398</v>
      </c>
      <c r="P859" s="44">
        <f t="shared" ref="P859:P871" si="185">O859/H859</f>
        <v>218</v>
      </c>
      <c r="Q859" s="66"/>
      <c r="R859" s="32"/>
      <c r="S859" s="32"/>
      <c r="T859" s="32"/>
      <c r="U859" s="32"/>
      <c r="V859" s="32"/>
      <c r="W859" s="32"/>
      <c r="X859" s="32"/>
      <c r="Y859" s="32"/>
      <c r="Z859" s="32"/>
    </row>
    <row r="860" spans="1:26" ht="15.75" customHeight="1" x14ac:dyDescent="0.3">
      <c r="A860" s="45">
        <v>707</v>
      </c>
      <c r="B860" s="46" t="s">
        <v>186</v>
      </c>
      <c r="C860" s="194" t="s">
        <v>2026</v>
      </c>
      <c r="D860" s="46"/>
      <c r="E860" s="46" t="s">
        <v>1388</v>
      </c>
      <c r="F860" s="61" t="s">
        <v>31</v>
      </c>
      <c r="G860" s="288">
        <v>208</v>
      </c>
      <c r="H860" s="289">
        <v>2</v>
      </c>
      <c r="I860" s="290">
        <v>340</v>
      </c>
      <c r="J860" s="48" t="s">
        <v>39</v>
      </c>
      <c r="K860" s="50" t="s">
        <v>2019</v>
      </c>
      <c r="L860" s="53" t="str">
        <f t="shared" si="155"/>
        <v>340grams</v>
      </c>
      <c r="M860" s="54">
        <f t="shared" si="156"/>
        <v>680</v>
      </c>
      <c r="N860" s="55" t="str">
        <f t="shared" si="157"/>
        <v>680grams</v>
      </c>
      <c r="O860" s="56">
        <f t="shared" si="158"/>
        <v>416</v>
      </c>
      <c r="P860" s="44">
        <f t="shared" si="185"/>
        <v>208</v>
      </c>
      <c r="Q860" s="62">
        <f>G860-P860</f>
        <v>0</v>
      </c>
      <c r="R860" s="32" t="b">
        <f t="shared" ref="R860:R861" si="186">P860=G860</f>
        <v>1</v>
      </c>
      <c r="S860" s="32"/>
      <c r="T860" s="32"/>
      <c r="U860" s="32"/>
      <c r="V860" s="32"/>
      <c r="W860" s="32"/>
      <c r="X860" s="32"/>
      <c r="Y860" s="32"/>
      <c r="Z860" s="32"/>
    </row>
    <row r="861" spans="1:26" ht="15.75" customHeight="1" x14ac:dyDescent="0.3">
      <c r="A861" s="45">
        <v>267</v>
      </c>
      <c r="B861" s="46" t="s">
        <v>662</v>
      </c>
      <c r="C861" s="194" t="s">
        <v>2025</v>
      </c>
      <c r="D861" s="46"/>
      <c r="E861" s="46" t="s">
        <v>1389</v>
      </c>
      <c r="F861" s="61" t="s">
        <v>31</v>
      </c>
      <c r="G861" s="288">
        <v>144.80000000000001</v>
      </c>
      <c r="H861" s="289">
        <v>4</v>
      </c>
      <c r="I861" s="290">
        <v>340</v>
      </c>
      <c r="J861" s="48" t="s">
        <v>39</v>
      </c>
      <c r="K861" s="50"/>
      <c r="L861" s="53" t="str">
        <f t="shared" si="155"/>
        <v>340grams</v>
      </c>
      <c r="M861" s="54">
        <f t="shared" si="156"/>
        <v>1360</v>
      </c>
      <c r="N861" s="55" t="str">
        <f t="shared" si="157"/>
        <v>1360grams</v>
      </c>
      <c r="O861" s="56">
        <f t="shared" si="158"/>
        <v>579.20000000000005</v>
      </c>
      <c r="P861" s="44">
        <f t="shared" si="185"/>
        <v>144.80000000000001</v>
      </c>
      <c r="Q861" s="66"/>
      <c r="R861" s="32" t="b">
        <f t="shared" si="186"/>
        <v>1</v>
      </c>
      <c r="S861" s="32"/>
      <c r="T861" s="32"/>
      <c r="U861" s="32"/>
      <c r="V861" s="32"/>
      <c r="W861" s="32"/>
      <c r="X861" s="32"/>
      <c r="Y861" s="32"/>
      <c r="Z861" s="32"/>
    </row>
    <row r="862" spans="1:26" ht="15.75" customHeight="1" x14ac:dyDescent="0.3">
      <c r="A862" s="45">
        <v>268</v>
      </c>
      <c r="B862" s="46" t="s">
        <v>662</v>
      </c>
      <c r="C862" s="194" t="s">
        <v>2025</v>
      </c>
      <c r="D862" s="46"/>
      <c r="E862" s="46" t="s">
        <v>1390</v>
      </c>
      <c r="F862" s="61" t="s">
        <v>31</v>
      </c>
      <c r="G862" s="288">
        <v>89.8</v>
      </c>
      <c r="H862" s="289">
        <v>17</v>
      </c>
      <c r="I862" s="290">
        <v>340</v>
      </c>
      <c r="J862" s="48" t="s">
        <v>39</v>
      </c>
      <c r="K862" s="50"/>
      <c r="L862" s="53" t="str">
        <f t="shared" si="155"/>
        <v>340grams</v>
      </c>
      <c r="M862" s="54">
        <f t="shared" si="156"/>
        <v>5780</v>
      </c>
      <c r="N862" s="55" t="str">
        <f t="shared" si="157"/>
        <v>5780grams</v>
      </c>
      <c r="O862" s="56">
        <f t="shared" si="158"/>
        <v>1526.6</v>
      </c>
      <c r="P862" s="44">
        <f t="shared" si="185"/>
        <v>89.8</v>
      </c>
      <c r="Q862" s="66"/>
      <c r="R862" s="32"/>
      <c r="S862" s="32"/>
      <c r="T862" s="32"/>
      <c r="U862" s="32"/>
      <c r="V862" s="32"/>
      <c r="W862" s="32"/>
      <c r="X862" s="32"/>
      <c r="Y862" s="32"/>
      <c r="Z862" s="32"/>
    </row>
    <row r="863" spans="1:26" ht="15.75" customHeight="1" x14ac:dyDescent="0.3">
      <c r="A863" s="45">
        <v>270</v>
      </c>
      <c r="B863" s="46" t="s">
        <v>662</v>
      </c>
      <c r="C863" s="194" t="s">
        <v>2025</v>
      </c>
      <c r="D863" s="46"/>
      <c r="E863" s="46" t="s">
        <v>1391</v>
      </c>
      <c r="F863" s="61" t="s">
        <v>31</v>
      </c>
      <c r="G863" s="288">
        <v>115.1</v>
      </c>
      <c r="H863" s="289">
        <v>8</v>
      </c>
      <c r="I863" s="290">
        <v>397</v>
      </c>
      <c r="J863" s="48" t="s">
        <v>39</v>
      </c>
      <c r="K863" s="50"/>
      <c r="L863" s="53" t="str">
        <f t="shared" si="155"/>
        <v>397grams</v>
      </c>
      <c r="M863" s="54">
        <f t="shared" si="156"/>
        <v>3176</v>
      </c>
      <c r="N863" s="55" t="str">
        <f t="shared" si="157"/>
        <v>3176grams</v>
      </c>
      <c r="O863" s="56">
        <f t="shared" si="158"/>
        <v>920.8</v>
      </c>
      <c r="P863" s="44">
        <f t="shared" si="185"/>
        <v>115.1</v>
      </c>
      <c r="Q863" s="66"/>
      <c r="R863" s="32" t="b">
        <f t="shared" ref="R863:R864" si="187">P863=G863</f>
        <v>1</v>
      </c>
      <c r="S863" s="32"/>
      <c r="T863" s="32"/>
      <c r="U863" s="32"/>
      <c r="V863" s="32"/>
      <c r="W863" s="32"/>
      <c r="X863" s="32"/>
      <c r="Y863" s="32"/>
      <c r="Z863" s="32"/>
    </row>
    <row r="864" spans="1:26" ht="14.25" customHeight="1" x14ac:dyDescent="0.3">
      <c r="A864" s="45">
        <v>700</v>
      </c>
      <c r="B864" s="46" t="s">
        <v>662</v>
      </c>
      <c r="C864" s="194" t="s">
        <v>2026</v>
      </c>
      <c r="D864" s="46"/>
      <c r="E864" s="46" t="s">
        <v>1392</v>
      </c>
      <c r="F864" s="61" t="s">
        <v>31</v>
      </c>
      <c r="G864" s="288">
        <v>142.30000000000001</v>
      </c>
      <c r="H864" s="289">
        <v>6</v>
      </c>
      <c r="I864" s="290">
        <v>340</v>
      </c>
      <c r="J864" s="48" t="s">
        <v>39</v>
      </c>
      <c r="K864" s="50" t="s">
        <v>2019</v>
      </c>
      <c r="L864" s="53" t="str">
        <f t="shared" si="155"/>
        <v>340grams</v>
      </c>
      <c r="M864" s="54">
        <f t="shared" si="156"/>
        <v>2040</v>
      </c>
      <c r="N864" s="55" t="str">
        <f t="shared" si="157"/>
        <v>2040grams</v>
      </c>
      <c r="O864" s="56">
        <f t="shared" si="158"/>
        <v>853.80000000000007</v>
      </c>
      <c r="P864" s="44">
        <f t="shared" si="185"/>
        <v>142.30000000000001</v>
      </c>
      <c r="Q864" s="66">
        <f>G864-P864</f>
        <v>0</v>
      </c>
      <c r="R864" s="32" t="b">
        <f t="shared" si="187"/>
        <v>1</v>
      </c>
      <c r="S864" s="32"/>
      <c r="T864" s="32"/>
      <c r="U864" s="32"/>
      <c r="V864" s="32"/>
      <c r="W864" s="32"/>
      <c r="X864" s="32"/>
      <c r="Y864" s="32"/>
      <c r="Z864" s="32"/>
    </row>
    <row r="865" spans="1:26" ht="14.25" customHeight="1" x14ac:dyDescent="0.3">
      <c r="A865" s="45">
        <v>701</v>
      </c>
      <c r="B865" s="219" t="s">
        <v>662</v>
      </c>
      <c r="C865" s="194" t="s">
        <v>2026</v>
      </c>
      <c r="D865" s="46"/>
      <c r="E865" s="46" t="s">
        <v>1393</v>
      </c>
      <c r="F865" s="61" t="s">
        <v>31</v>
      </c>
      <c r="G865" s="288">
        <v>88.8</v>
      </c>
      <c r="H865" s="289">
        <v>2</v>
      </c>
      <c r="I865" s="290">
        <v>350</v>
      </c>
      <c r="J865" s="48" t="s">
        <v>39</v>
      </c>
      <c r="K865" s="50"/>
      <c r="L865" s="53" t="str">
        <f t="shared" si="155"/>
        <v>350grams</v>
      </c>
      <c r="M865" s="54">
        <f t="shared" si="156"/>
        <v>700</v>
      </c>
      <c r="N865" s="55" t="str">
        <f t="shared" si="157"/>
        <v>700grams</v>
      </c>
      <c r="O865" s="56">
        <f t="shared" si="158"/>
        <v>177.6</v>
      </c>
      <c r="P865" s="44">
        <f t="shared" si="185"/>
        <v>88.8</v>
      </c>
      <c r="Q865" s="66"/>
      <c r="R865" s="32"/>
      <c r="S865" s="32"/>
      <c r="T865" s="32"/>
      <c r="U865" s="32"/>
      <c r="V865" s="32"/>
      <c r="W865" s="32"/>
      <c r="X865" s="32"/>
      <c r="Y865" s="32"/>
      <c r="Z865" s="32"/>
    </row>
    <row r="866" spans="1:26" ht="14.25" customHeight="1" x14ac:dyDescent="0.3">
      <c r="A866" s="45">
        <v>143</v>
      </c>
      <c r="B866" s="46" t="s">
        <v>1394</v>
      </c>
      <c r="C866" s="194" t="s">
        <v>2024</v>
      </c>
      <c r="D866" s="46"/>
      <c r="E866" s="46" t="s">
        <v>870</v>
      </c>
      <c r="F866" s="61" t="s">
        <v>31</v>
      </c>
      <c r="G866" s="288">
        <v>85.1</v>
      </c>
      <c r="H866" s="289">
        <v>8</v>
      </c>
      <c r="I866" s="290">
        <v>350</v>
      </c>
      <c r="J866" s="48" t="s">
        <v>39</v>
      </c>
      <c r="K866" s="50" t="s">
        <v>2019</v>
      </c>
      <c r="L866" s="53" t="str">
        <f t="shared" si="155"/>
        <v>350grams</v>
      </c>
      <c r="M866" s="54">
        <f t="shared" si="156"/>
        <v>2800</v>
      </c>
      <c r="N866" s="55" t="str">
        <f t="shared" si="157"/>
        <v>2800grams</v>
      </c>
      <c r="O866" s="56">
        <f t="shared" si="158"/>
        <v>680.8</v>
      </c>
      <c r="P866" s="44">
        <f t="shared" si="185"/>
        <v>85.1</v>
      </c>
      <c r="Q866" s="66">
        <f t="shared" ref="Q866:Q867" si="188">G866-P866</f>
        <v>0</v>
      </c>
      <c r="R866" s="32" t="b">
        <f t="shared" ref="R866:R867" si="189">P866=G866</f>
        <v>1</v>
      </c>
      <c r="S866" s="32"/>
      <c r="T866" s="32"/>
      <c r="U866" s="32"/>
      <c r="V866" s="32"/>
      <c r="W866" s="32"/>
      <c r="X866" s="32"/>
      <c r="Y866" s="32"/>
      <c r="Z866" s="32"/>
    </row>
    <row r="867" spans="1:26" ht="14.25" customHeight="1" x14ac:dyDescent="0.3">
      <c r="A867" s="45">
        <v>152</v>
      </c>
      <c r="B867" s="46" t="s">
        <v>1394</v>
      </c>
      <c r="C867" s="194" t="s">
        <v>2024</v>
      </c>
      <c r="D867" s="46"/>
      <c r="E867" s="46" t="s">
        <v>1368</v>
      </c>
      <c r="F867" s="61" t="s">
        <v>31</v>
      </c>
      <c r="G867" s="288">
        <v>82.5</v>
      </c>
      <c r="H867" s="289">
        <v>6</v>
      </c>
      <c r="I867" s="290">
        <v>350</v>
      </c>
      <c r="J867" s="48" t="s">
        <v>39</v>
      </c>
      <c r="K867" s="50" t="s">
        <v>2019</v>
      </c>
      <c r="L867" s="53" t="str">
        <f t="shared" si="155"/>
        <v>350grams</v>
      </c>
      <c r="M867" s="54">
        <f t="shared" si="156"/>
        <v>2100</v>
      </c>
      <c r="N867" s="55" t="str">
        <f t="shared" si="157"/>
        <v>2100grams</v>
      </c>
      <c r="O867" s="56">
        <f t="shared" si="158"/>
        <v>495</v>
      </c>
      <c r="P867" s="44">
        <f t="shared" si="185"/>
        <v>82.5</v>
      </c>
      <c r="Q867" s="62">
        <f t="shared" si="188"/>
        <v>0</v>
      </c>
      <c r="R867" s="32" t="b">
        <f t="shared" si="189"/>
        <v>1</v>
      </c>
      <c r="S867" s="32"/>
      <c r="T867" s="32"/>
      <c r="U867" s="32"/>
      <c r="V867" s="32"/>
      <c r="W867" s="32"/>
      <c r="X867" s="32"/>
      <c r="Y867" s="32"/>
      <c r="Z867" s="32"/>
    </row>
    <row r="868" spans="1:26" ht="14.25" customHeight="1" x14ac:dyDescent="0.3">
      <c r="A868" s="45">
        <v>702</v>
      </c>
      <c r="B868" s="46" t="s">
        <v>1394</v>
      </c>
      <c r="C868" s="194" t="s">
        <v>2026</v>
      </c>
      <c r="D868" s="46"/>
      <c r="E868" s="46" t="s">
        <v>1395</v>
      </c>
      <c r="F868" s="61" t="s">
        <v>31</v>
      </c>
      <c r="G868" s="288">
        <v>85.1</v>
      </c>
      <c r="H868" s="289">
        <v>1</v>
      </c>
      <c r="I868" s="290">
        <v>350</v>
      </c>
      <c r="J868" s="48" t="s">
        <v>39</v>
      </c>
      <c r="K868" s="50"/>
      <c r="L868" s="53" t="str">
        <f t="shared" si="155"/>
        <v>350grams</v>
      </c>
      <c r="M868" s="54">
        <f t="shared" si="156"/>
        <v>350</v>
      </c>
      <c r="N868" s="55" t="str">
        <f t="shared" si="157"/>
        <v>350grams</v>
      </c>
      <c r="O868" s="56">
        <f t="shared" si="158"/>
        <v>85.1</v>
      </c>
      <c r="P868" s="44">
        <f t="shared" si="185"/>
        <v>85.1</v>
      </c>
      <c r="Q868" s="66"/>
      <c r="R868" s="32"/>
      <c r="S868" s="32"/>
      <c r="T868" s="32"/>
      <c r="U868" s="32"/>
      <c r="V868" s="32"/>
      <c r="W868" s="32"/>
      <c r="X868" s="32"/>
      <c r="Y868" s="32"/>
      <c r="Z868" s="32"/>
    </row>
    <row r="869" spans="1:26" ht="14.25" customHeight="1" x14ac:dyDescent="0.3">
      <c r="A869" s="45">
        <v>499</v>
      </c>
      <c r="B869" s="46" t="s">
        <v>664</v>
      </c>
      <c r="C869" s="194" t="s">
        <v>2025</v>
      </c>
      <c r="D869" s="46"/>
      <c r="E869" s="46"/>
      <c r="F869" s="61" t="s">
        <v>31</v>
      </c>
      <c r="G869" s="288">
        <v>140</v>
      </c>
      <c r="H869" s="289">
        <v>1</v>
      </c>
      <c r="I869" s="290">
        <v>1</v>
      </c>
      <c r="J869" s="48" t="s">
        <v>213</v>
      </c>
      <c r="K869" s="50"/>
      <c r="L869" s="53" t="str">
        <f t="shared" si="155"/>
        <v>1kilos</v>
      </c>
      <c r="M869" s="54">
        <f t="shared" si="156"/>
        <v>1</v>
      </c>
      <c r="N869" s="55" t="str">
        <f t="shared" si="157"/>
        <v>1kilos</v>
      </c>
      <c r="O869" s="56">
        <f t="shared" si="158"/>
        <v>140</v>
      </c>
      <c r="P869" s="44">
        <f t="shared" si="185"/>
        <v>140</v>
      </c>
      <c r="Q869" s="66"/>
      <c r="R869" s="32" t="b">
        <f t="shared" ref="R869:R870" si="190">P869=G869</f>
        <v>1</v>
      </c>
      <c r="S869" s="32"/>
      <c r="T869" s="32"/>
      <c r="U869" s="32"/>
      <c r="V869" s="32"/>
      <c r="W869" s="32"/>
      <c r="X869" s="32"/>
      <c r="Y869" s="32"/>
      <c r="Z869" s="32"/>
    </row>
    <row r="870" spans="1:26" ht="14.25" customHeight="1" x14ac:dyDescent="0.3">
      <c r="A870" s="45">
        <v>703</v>
      </c>
      <c r="B870" s="46" t="s">
        <v>1396</v>
      </c>
      <c r="C870" s="194" t="s">
        <v>2026</v>
      </c>
      <c r="D870" s="46"/>
      <c r="E870" s="46" t="s">
        <v>1397</v>
      </c>
      <c r="F870" s="61" t="s">
        <v>31</v>
      </c>
      <c r="G870" s="288">
        <v>106.5</v>
      </c>
      <c r="H870" s="289">
        <v>1</v>
      </c>
      <c r="I870" s="290">
        <v>230</v>
      </c>
      <c r="J870" s="48" t="s">
        <v>519</v>
      </c>
      <c r="K870" s="50"/>
      <c r="L870" s="53" t="str">
        <f t="shared" si="155"/>
        <v>230drained weight grams</v>
      </c>
      <c r="M870" s="54">
        <f t="shared" si="156"/>
        <v>230</v>
      </c>
      <c r="N870" s="55" t="str">
        <f t="shared" si="157"/>
        <v>230drained weight grams</v>
      </c>
      <c r="O870" s="56">
        <f t="shared" si="158"/>
        <v>106.5</v>
      </c>
      <c r="P870" s="44">
        <f t="shared" si="185"/>
        <v>106.5</v>
      </c>
      <c r="Q870" s="66"/>
      <c r="R870" s="32" t="b">
        <f t="shared" si="190"/>
        <v>1</v>
      </c>
      <c r="S870" s="32"/>
      <c r="T870" s="32"/>
      <c r="U870" s="32"/>
      <c r="V870" s="32"/>
      <c r="W870" s="32"/>
      <c r="X870" s="32"/>
      <c r="Y870" s="32"/>
      <c r="Z870" s="32"/>
    </row>
    <row r="871" spans="1:26" ht="14.25" customHeight="1" x14ac:dyDescent="0.3">
      <c r="A871" s="45">
        <v>20</v>
      </c>
      <c r="B871" s="46" t="s">
        <v>665</v>
      </c>
      <c r="C871" s="194" t="s">
        <v>29</v>
      </c>
      <c r="D871" s="46"/>
      <c r="E871" s="46" t="s">
        <v>865</v>
      </c>
      <c r="F871" s="61" t="s">
        <v>31</v>
      </c>
      <c r="G871" s="288">
        <v>106.5</v>
      </c>
      <c r="H871" s="289">
        <v>2</v>
      </c>
      <c r="I871" s="290">
        <v>230</v>
      </c>
      <c r="J871" s="48" t="s">
        <v>39</v>
      </c>
      <c r="K871" s="61" t="s">
        <v>2019</v>
      </c>
      <c r="L871" s="415" t="str">
        <f t="shared" si="155"/>
        <v>230grams</v>
      </c>
      <c r="M871" s="416">
        <f t="shared" si="156"/>
        <v>460</v>
      </c>
      <c r="N871" s="417" t="str">
        <f t="shared" si="157"/>
        <v>460grams</v>
      </c>
      <c r="O871" s="418">
        <f t="shared" si="158"/>
        <v>213</v>
      </c>
      <c r="P871" s="419">
        <f t="shared" si="185"/>
        <v>106.5</v>
      </c>
      <c r="Q871" s="66"/>
      <c r="R871" s="32"/>
      <c r="S871" s="32"/>
      <c r="T871" s="32"/>
      <c r="U871" s="32"/>
      <c r="V871" s="32"/>
      <c r="W871" s="32"/>
      <c r="X871" s="32"/>
      <c r="Y871" s="32"/>
      <c r="Z871" s="32"/>
    </row>
    <row r="872" spans="1:26" ht="14.25" customHeight="1" x14ac:dyDescent="0.3">
      <c r="A872" s="45">
        <v>901</v>
      </c>
      <c r="B872" s="46" t="s">
        <v>665</v>
      </c>
      <c r="C872" s="194" t="s">
        <v>1368</v>
      </c>
      <c r="D872" s="46"/>
      <c r="E872" s="46" t="s">
        <v>1398</v>
      </c>
      <c r="F872" s="61" t="s">
        <v>31</v>
      </c>
      <c r="G872" s="288">
        <v>138.5</v>
      </c>
      <c r="H872" s="289">
        <v>1</v>
      </c>
      <c r="I872" s="290">
        <v>565</v>
      </c>
      <c r="J872" s="48" t="s">
        <v>39</v>
      </c>
      <c r="K872" s="50"/>
      <c r="L872" s="53" t="str">
        <f t="shared" si="155"/>
        <v>565grams</v>
      </c>
      <c r="M872" s="54">
        <f t="shared" si="156"/>
        <v>565</v>
      </c>
      <c r="N872" s="55" t="str">
        <f t="shared" si="157"/>
        <v>565grams</v>
      </c>
      <c r="O872" s="56">
        <f t="shared" si="158"/>
        <v>138.5</v>
      </c>
      <c r="P872" s="44"/>
      <c r="Q872" s="66"/>
      <c r="R872" s="32"/>
      <c r="S872" s="32"/>
      <c r="T872" s="32"/>
      <c r="U872" s="32"/>
      <c r="V872" s="32"/>
      <c r="W872" s="32"/>
      <c r="X872" s="32"/>
      <c r="Y872" s="32"/>
      <c r="Z872" s="32"/>
    </row>
    <row r="873" spans="1:26" ht="14.25" customHeight="1" x14ac:dyDescent="0.3">
      <c r="A873" s="45"/>
      <c r="B873" s="46" t="s">
        <v>665</v>
      </c>
      <c r="C873" s="194" t="s">
        <v>2020</v>
      </c>
      <c r="D873" s="46"/>
      <c r="E873" s="46" t="s">
        <v>865</v>
      </c>
      <c r="F873" s="61" t="s">
        <v>31</v>
      </c>
      <c r="G873" s="288">
        <v>80.25</v>
      </c>
      <c r="H873" s="289">
        <v>1</v>
      </c>
      <c r="I873" s="290">
        <v>565</v>
      </c>
      <c r="J873" s="48" t="s">
        <v>39</v>
      </c>
      <c r="K873" s="50"/>
      <c r="L873" s="53" t="str">
        <f t="shared" si="155"/>
        <v>565grams</v>
      </c>
      <c r="M873" s="54">
        <f t="shared" si="156"/>
        <v>565</v>
      </c>
      <c r="N873" s="55" t="str">
        <f t="shared" si="157"/>
        <v>565grams</v>
      </c>
      <c r="O873" s="56">
        <f t="shared" si="158"/>
        <v>80.25</v>
      </c>
      <c r="P873" s="12"/>
      <c r="Q873" s="12"/>
      <c r="R873" s="12"/>
      <c r="S873" s="151"/>
      <c r="T873" s="12"/>
      <c r="U873" s="12"/>
      <c r="V873" s="12"/>
      <c r="W873" s="12"/>
      <c r="X873" s="12"/>
      <c r="Y873" s="12"/>
      <c r="Z873" s="12"/>
    </row>
    <row r="874" spans="1:26" ht="14.25" customHeight="1" x14ac:dyDescent="0.3">
      <c r="A874" s="45"/>
      <c r="B874" s="46" t="s">
        <v>1399</v>
      </c>
      <c r="C874" s="194" t="s">
        <v>2020</v>
      </c>
      <c r="D874" s="46"/>
      <c r="E874" s="46" t="s">
        <v>1227</v>
      </c>
      <c r="F874" s="61" t="s">
        <v>31</v>
      </c>
      <c r="G874" s="288">
        <v>35</v>
      </c>
      <c r="H874" s="289">
        <v>1</v>
      </c>
      <c r="I874" s="290">
        <v>375</v>
      </c>
      <c r="J874" s="48" t="s">
        <v>32</v>
      </c>
      <c r="K874" s="50"/>
      <c r="L874" s="53" t="str">
        <f t="shared" si="155"/>
        <v>375ml</v>
      </c>
      <c r="M874" s="54">
        <f t="shared" si="156"/>
        <v>375</v>
      </c>
      <c r="N874" s="55" t="str">
        <f t="shared" si="157"/>
        <v>375ml</v>
      </c>
      <c r="O874" s="56">
        <f t="shared" si="158"/>
        <v>35</v>
      </c>
      <c r="P874" s="12"/>
      <c r="Q874" s="12"/>
      <c r="R874" s="12"/>
      <c r="S874" s="151"/>
      <c r="T874" s="12"/>
      <c r="U874" s="12"/>
      <c r="V874" s="12"/>
      <c r="W874" s="12"/>
      <c r="X874" s="12"/>
      <c r="Y874" s="12"/>
      <c r="Z874" s="12"/>
    </row>
    <row r="875" spans="1:26" ht="14.25" customHeight="1" x14ac:dyDescent="0.3">
      <c r="A875" s="45"/>
      <c r="B875" s="46" t="s">
        <v>1400</v>
      </c>
      <c r="C875" s="194" t="s">
        <v>2020</v>
      </c>
      <c r="D875" s="46"/>
      <c r="E875" s="46" t="s">
        <v>1401</v>
      </c>
      <c r="F875" s="61" t="s">
        <v>31</v>
      </c>
      <c r="G875" s="288">
        <v>154</v>
      </c>
      <c r="H875" s="289">
        <v>1</v>
      </c>
      <c r="I875" s="290">
        <v>340</v>
      </c>
      <c r="J875" s="48" t="s">
        <v>39</v>
      </c>
      <c r="K875" s="50"/>
      <c r="L875" s="53" t="str">
        <f t="shared" si="155"/>
        <v>340grams</v>
      </c>
      <c r="M875" s="54">
        <f t="shared" si="156"/>
        <v>340</v>
      </c>
      <c r="N875" s="55" t="str">
        <f t="shared" si="157"/>
        <v>340grams</v>
      </c>
      <c r="O875" s="56">
        <f t="shared" si="158"/>
        <v>154</v>
      </c>
      <c r="P875" s="12"/>
      <c r="Q875" s="12"/>
      <c r="R875" s="12"/>
      <c r="S875" s="151"/>
      <c r="T875" s="12"/>
      <c r="U875" s="12"/>
      <c r="V875" s="12"/>
      <c r="W875" s="12"/>
      <c r="X875" s="12"/>
      <c r="Y875" s="12"/>
      <c r="Z875" s="12"/>
    </row>
    <row r="876" spans="1:26" ht="14.25" customHeight="1" x14ac:dyDescent="0.3">
      <c r="A876" s="45">
        <v>180</v>
      </c>
      <c r="B876" s="46" t="s">
        <v>1402</v>
      </c>
      <c r="C876" s="194" t="s">
        <v>2024</v>
      </c>
      <c r="D876" s="46"/>
      <c r="E876" s="46" t="s">
        <v>1349</v>
      </c>
      <c r="F876" s="61" t="s">
        <v>31</v>
      </c>
      <c r="G876" s="288">
        <v>296.7</v>
      </c>
      <c r="H876" s="289">
        <v>1</v>
      </c>
      <c r="I876" s="290">
        <v>1</v>
      </c>
      <c r="J876" s="48" t="s">
        <v>213</v>
      </c>
      <c r="K876" s="50"/>
      <c r="L876" s="53" t="str">
        <f t="shared" si="155"/>
        <v>1kilos</v>
      </c>
      <c r="M876" s="54">
        <f t="shared" si="156"/>
        <v>1</v>
      </c>
      <c r="N876" s="55" t="str">
        <f t="shared" si="157"/>
        <v>1kilos</v>
      </c>
      <c r="O876" s="56">
        <f t="shared" si="158"/>
        <v>296.7</v>
      </c>
      <c r="P876" s="44">
        <f t="shared" ref="P876:P878" si="191">O876/H876</f>
        <v>296.7</v>
      </c>
      <c r="Q876" s="66"/>
      <c r="R876" s="32"/>
      <c r="S876" s="32"/>
      <c r="T876" s="32"/>
      <c r="U876" s="32"/>
      <c r="V876" s="32"/>
      <c r="W876" s="32"/>
      <c r="X876" s="32"/>
      <c r="Y876" s="32"/>
      <c r="Z876" s="32"/>
    </row>
    <row r="877" spans="1:26" ht="14.25" customHeight="1" x14ac:dyDescent="0.3">
      <c r="A877" s="45">
        <v>354</v>
      </c>
      <c r="B877" s="46" t="s">
        <v>1402</v>
      </c>
      <c r="C877" s="194" t="s">
        <v>2025</v>
      </c>
      <c r="D877" s="46"/>
      <c r="E877" s="46" t="s">
        <v>1349</v>
      </c>
      <c r="F877" s="61" t="s">
        <v>31</v>
      </c>
      <c r="G877" s="288">
        <v>380</v>
      </c>
      <c r="H877" s="289">
        <v>5</v>
      </c>
      <c r="I877" s="290">
        <v>5</v>
      </c>
      <c r="J877" s="48" t="s">
        <v>213</v>
      </c>
      <c r="K877" s="50"/>
      <c r="L877" s="53" t="str">
        <f t="shared" si="155"/>
        <v>5kilos</v>
      </c>
      <c r="M877" s="54">
        <f t="shared" si="156"/>
        <v>25</v>
      </c>
      <c r="N877" s="55" t="str">
        <f t="shared" si="157"/>
        <v>25kilos</v>
      </c>
      <c r="O877" s="56">
        <f t="shared" si="158"/>
        <v>1900</v>
      </c>
      <c r="P877" s="44">
        <f t="shared" si="191"/>
        <v>380</v>
      </c>
      <c r="Q877" s="66"/>
      <c r="R877" s="32"/>
      <c r="S877" s="32"/>
      <c r="T877" s="32"/>
      <c r="U877" s="32"/>
      <c r="V877" s="32"/>
      <c r="W877" s="32"/>
      <c r="X877" s="32"/>
      <c r="Y877" s="32"/>
      <c r="Z877" s="32"/>
    </row>
    <row r="878" spans="1:26" ht="14.25" customHeight="1" x14ac:dyDescent="0.3">
      <c r="A878" s="45">
        <v>763</v>
      </c>
      <c r="B878" s="46" t="s">
        <v>1402</v>
      </c>
      <c r="C878" s="194" t="s">
        <v>2026</v>
      </c>
      <c r="D878" s="46"/>
      <c r="E878" s="46" t="s">
        <v>1349</v>
      </c>
      <c r="F878" s="61" t="s">
        <v>31</v>
      </c>
      <c r="G878" s="288">
        <v>59.34</v>
      </c>
      <c r="H878" s="289">
        <v>8</v>
      </c>
      <c r="I878" s="290">
        <v>5000</v>
      </c>
      <c r="J878" s="48" t="s">
        <v>39</v>
      </c>
      <c r="K878" s="50"/>
      <c r="L878" s="53" t="str">
        <f t="shared" si="155"/>
        <v>5000grams</v>
      </c>
      <c r="M878" s="54">
        <f t="shared" si="156"/>
        <v>40000</v>
      </c>
      <c r="N878" s="55" t="str">
        <f t="shared" si="157"/>
        <v>40000grams</v>
      </c>
      <c r="O878" s="56">
        <f t="shared" si="158"/>
        <v>474.72</v>
      </c>
      <c r="P878" s="44">
        <f t="shared" si="191"/>
        <v>59.34</v>
      </c>
      <c r="Q878" s="66"/>
      <c r="R878" s="32" t="b">
        <f>P878=G878</f>
        <v>1</v>
      </c>
      <c r="S878" s="32"/>
      <c r="T878" s="32"/>
      <c r="U878" s="32"/>
      <c r="V878" s="32"/>
      <c r="W878" s="32"/>
      <c r="X878" s="32"/>
      <c r="Y878" s="32"/>
      <c r="Z878" s="32"/>
    </row>
    <row r="879" spans="1:26" ht="14.25" customHeight="1" x14ac:dyDescent="0.3">
      <c r="A879" s="45"/>
      <c r="B879" s="46" t="s">
        <v>1402</v>
      </c>
      <c r="C879" s="194" t="s">
        <v>2022</v>
      </c>
      <c r="D879" s="46"/>
      <c r="E879" s="46" t="s">
        <v>1349</v>
      </c>
      <c r="F879" s="61" t="s">
        <v>31</v>
      </c>
      <c r="G879" s="288">
        <v>40</v>
      </c>
      <c r="H879" s="289">
        <v>5</v>
      </c>
      <c r="I879" s="290">
        <v>500</v>
      </c>
      <c r="J879" s="48" t="s">
        <v>39</v>
      </c>
      <c r="K879" s="50"/>
      <c r="L879" s="53" t="str">
        <f t="shared" si="155"/>
        <v>500grams</v>
      </c>
      <c r="M879" s="54">
        <f t="shared" si="156"/>
        <v>2500</v>
      </c>
      <c r="N879" s="55" t="str">
        <f t="shared" si="157"/>
        <v>2500grams</v>
      </c>
      <c r="O879" s="56">
        <f t="shared" si="158"/>
        <v>200</v>
      </c>
      <c r="P879" s="12"/>
      <c r="Q879" s="12"/>
      <c r="R879" s="12"/>
      <c r="S879" s="151"/>
      <c r="T879" s="12"/>
      <c r="U879" s="12"/>
      <c r="V879" s="12"/>
      <c r="W879" s="12"/>
      <c r="X879" s="12"/>
      <c r="Y879" s="12"/>
      <c r="Z879" s="12"/>
    </row>
    <row r="880" spans="1:26" ht="14.25" customHeight="1" x14ac:dyDescent="0.3">
      <c r="A880" s="45"/>
      <c r="B880" s="46" t="s">
        <v>1402</v>
      </c>
      <c r="C880" s="194" t="s">
        <v>2022</v>
      </c>
      <c r="D880" s="46"/>
      <c r="E880" s="46" t="s">
        <v>1349</v>
      </c>
      <c r="F880" s="61" t="s">
        <v>31</v>
      </c>
      <c r="G880" s="288">
        <v>80</v>
      </c>
      <c r="H880" s="289">
        <v>5</v>
      </c>
      <c r="I880" s="290">
        <v>500</v>
      </c>
      <c r="J880" s="48" t="s">
        <v>39</v>
      </c>
      <c r="K880" s="50"/>
      <c r="L880" s="53" t="str">
        <f t="shared" si="155"/>
        <v>500grams</v>
      </c>
      <c r="M880" s="54">
        <f t="shared" si="156"/>
        <v>2500</v>
      </c>
      <c r="N880" s="55" t="str">
        <f t="shared" si="157"/>
        <v>2500grams</v>
      </c>
      <c r="O880" s="56">
        <f t="shared" si="158"/>
        <v>400</v>
      </c>
      <c r="P880" s="12"/>
      <c r="Q880" s="12"/>
      <c r="R880" s="12"/>
      <c r="S880" s="151"/>
      <c r="T880" s="12"/>
      <c r="U880" s="12"/>
      <c r="V880" s="12"/>
      <c r="W880" s="12"/>
      <c r="X880" s="12"/>
      <c r="Y880" s="12"/>
      <c r="Z880" s="12"/>
    </row>
    <row r="881" spans="1:26" ht="14.25" customHeight="1" x14ac:dyDescent="0.3">
      <c r="A881" s="45"/>
      <c r="B881" s="219" t="s">
        <v>1402</v>
      </c>
      <c r="C881" s="194" t="s">
        <v>2021</v>
      </c>
      <c r="D881" s="46"/>
      <c r="E881" s="219" t="s">
        <v>1349</v>
      </c>
      <c r="F881" s="61" t="s">
        <v>31</v>
      </c>
      <c r="G881" s="291">
        <v>62</v>
      </c>
      <c r="H881" s="292">
        <v>7</v>
      </c>
      <c r="I881" s="293">
        <v>500</v>
      </c>
      <c r="J881" s="414" t="s">
        <v>39</v>
      </c>
      <c r="K881" s="50"/>
      <c r="L881" s="53" t="str">
        <f t="shared" si="155"/>
        <v>500grams</v>
      </c>
      <c r="M881" s="54">
        <f t="shared" si="156"/>
        <v>3500</v>
      </c>
      <c r="N881" s="55" t="str">
        <f t="shared" si="157"/>
        <v>3500grams</v>
      </c>
      <c r="O881" s="56">
        <f t="shared" si="158"/>
        <v>434</v>
      </c>
      <c r="P881" s="12"/>
      <c r="Q881" s="12"/>
      <c r="R881" s="12"/>
      <c r="S881" s="151"/>
      <c r="T881" s="12"/>
      <c r="U881" s="12"/>
      <c r="V881" s="12"/>
      <c r="W881" s="12"/>
      <c r="X881" s="12"/>
      <c r="Y881" s="12"/>
      <c r="Z881" s="12"/>
    </row>
    <row r="882" spans="1:26" ht="14.25" customHeight="1" x14ac:dyDescent="0.3">
      <c r="A882" s="45">
        <v>912</v>
      </c>
      <c r="B882" s="46" t="s">
        <v>1403</v>
      </c>
      <c r="C882" s="194" t="s">
        <v>1368</v>
      </c>
      <c r="D882" s="46"/>
      <c r="E882" s="46" t="s">
        <v>1404</v>
      </c>
      <c r="F882" s="61" t="s">
        <v>31</v>
      </c>
      <c r="G882" s="288">
        <v>87</v>
      </c>
      <c r="H882" s="289">
        <v>1</v>
      </c>
      <c r="I882" s="290">
        <v>1000</v>
      </c>
      <c r="J882" s="48" t="s">
        <v>39</v>
      </c>
      <c r="K882" s="50"/>
      <c r="L882" s="53" t="str">
        <f t="shared" si="155"/>
        <v>1000grams</v>
      </c>
      <c r="M882" s="54">
        <f t="shared" si="156"/>
        <v>1000</v>
      </c>
      <c r="N882" s="55" t="str">
        <f t="shared" si="157"/>
        <v>1000grams</v>
      </c>
      <c r="O882" s="56">
        <f t="shared" si="158"/>
        <v>87</v>
      </c>
      <c r="P882" s="44"/>
      <c r="Q882" s="66"/>
      <c r="R882" s="32"/>
      <c r="S882" s="32"/>
      <c r="T882" s="32"/>
      <c r="U882" s="32"/>
      <c r="V882" s="32"/>
      <c r="W882" s="32"/>
      <c r="X882" s="32"/>
      <c r="Y882" s="32"/>
      <c r="Z882" s="32"/>
    </row>
    <row r="883" spans="1:26" ht="14.25" customHeight="1" x14ac:dyDescent="0.3">
      <c r="A883" s="45"/>
      <c r="B883" s="46" t="s">
        <v>1403</v>
      </c>
      <c r="C883" s="194" t="s">
        <v>2020</v>
      </c>
      <c r="D883" s="46"/>
      <c r="E883" s="46" t="s">
        <v>1405</v>
      </c>
      <c r="F883" s="61" t="s">
        <v>31</v>
      </c>
      <c r="G883" s="288">
        <v>39.700000000000003</v>
      </c>
      <c r="H883" s="289">
        <v>2</v>
      </c>
      <c r="I883" s="290">
        <v>400</v>
      </c>
      <c r="J883" s="48" t="s">
        <v>39</v>
      </c>
      <c r="K883" s="50"/>
      <c r="L883" s="53" t="str">
        <f t="shared" si="155"/>
        <v>400grams</v>
      </c>
      <c r="M883" s="54">
        <f t="shared" si="156"/>
        <v>800</v>
      </c>
      <c r="N883" s="55" t="str">
        <f t="shared" si="157"/>
        <v>800grams</v>
      </c>
      <c r="O883" s="56">
        <f t="shared" si="158"/>
        <v>79.400000000000006</v>
      </c>
      <c r="P883" s="12"/>
      <c r="Q883" s="12"/>
      <c r="R883" s="12"/>
      <c r="S883" s="151"/>
      <c r="T883" s="12"/>
      <c r="U883" s="12"/>
      <c r="V883" s="12"/>
      <c r="W883" s="12"/>
      <c r="X883" s="12"/>
      <c r="Y883" s="12"/>
      <c r="Z883" s="12"/>
    </row>
    <row r="884" spans="1:26" ht="14.25" customHeight="1" x14ac:dyDescent="0.3">
      <c r="A884" s="45">
        <v>271</v>
      </c>
      <c r="B884" s="46" t="s">
        <v>1406</v>
      </c>
      <c r="C884" s="194" t="s">
        <v>2025</v>
      </c>
      <c r="D884" s="46"/>
      <c r="E884" s="46" t="s">
        <v>1407</v>
      </c>
      <c r="F884" s="61" t="s">
        <v>31</v>
      </c>
      <c r="G884" s="288">
        <v>73.5</v>
      </c>
      <c r="H884" s="289">
        <v>1</v>
      </c>
      <c r="I884" s="290">
        <v>425</v>
      </c>
      <c r="J884" s="48" t="s">
        <v>39</v>
      </c>
      <c r="K884" s="50"/>
      <c r="L884" s="53" t="str">
        <f t="shared" si="155"/>
        <v>425grams</v>
      </c>
      <c r="M884" s="54">
        <f t="shared" si="156"/>
        <v>425</v>
      </c>
      <c r="N884" s="55" t="str">
        <f t="shared" si="157"/>
        <v>425grams</v>
      </c>
      <c r="O884" s="56">
        <f t="shared" si="158"/>
        <v>73.5</v>
      </c>
      <c r="P884" s="44">
        <f t="shared" ref="P884:P885" si="192">O884/H884</f>
        <v>73.5</v>
      </c>
      <c r="Q884" s="66"/>
      <c r="R884" s="32"/>
      <c r="S884" s="32"/>
      <c r="T884" s="32"/>
      <c r="U884" s="32"/>
      <c r="V884" s="32"/>
      <c r="W884" s="32"/>
      <c r="X884" s="32"/>
      <c r="Y884" s="32"/>
      <c r="Z884" s="32"/>
    </row>
    <row r="885" spans="1:26" ht="14.25" customHeight="1" x14ac:dyDescent="0.3">
      <c r="A885" s="45">
        <v>827</v>
      </c>
      <c r="B885" s="46" t="s">
        <v>1406</v>
      </c>
      <c r="C885" s="194" t="s">
        <v>1368</v>
      </c>
      <c r="D885" s="46"/>
      <c r="E885" s="46" t="s">
        <v>1408</v>
      </c>
      <c r="F885" s="61" t="s">
        <v>31</v>
      </c>
      <c r="G885" s="288">
        <v>64.400000000000006</v>
      </c>
      <c r="H885" s="289">
        <v>5</v>
      </c>
      <c r="I885" s="290">
        <v>425</v>
      </c>
      <c r="J885" s="48" t="s">
        <v>39</v>
      </c>
      <c r="K885" s="50"/>
      <c r="L885" s="53" t="str">
        <f t="shared" si="155"/>
        <v>425grams</v>
      </c>
      <c r="M885" s="54">
        <f t="shared" si="156"/>
        <v>2125</v>
      </c>
      <c r="N885" s="55" t="str">
        <f t="shared" si="157"/>
        <v>2125grams</v>
      </c>
      <c r="O885" s="56">
        <f t="shared" si="158"/>
        <v>322</v>
      </c>
      <c r="P885" s="44">
        <f t="shared" si="192"/>
        <v>64.400000000000006</v>
      </c>
      <c r="Q885" s="66"/>
      <c r="R885" s="32" t="b">
        <f>P885=G885</f>
        <v>1</v>
      </c>
      <c r="S885" s="32"/>
      <c r="T885" s="32"/>
      <c r="U885" s="32"/>
      <c r="V885" s="32"/>
      <c r="W885" s="32"/>
      <c r="X885" s="32"/>
      <c r="Y885" s="32"/>
      <c r="Z885" s="32"/>
    </row>
    <row r="886" spans="1:26" ht="14.25" customHeight="1" x14ac:dyDescent="0.3">
      <c r="A886" s="45"/>
      <c r="B886" s="46" t="s">
        <v>1406</v>
      </c>
      <c r="C886" s="194" t="s">
        <v>2020</v>
      </c>
      <c r="D886" s="46"/>
      <c r="E886" s="46" t="s">
        <v>1409</v>
      </c>
      <c r="F886" s="61" t="s">
        <v>31</v>
      </c>
      <c r="G886" s="288">
        <v>73.599999999999994</v>
      </c>
      <c r="H886" s="289">
        <v>6</v>
      </c>
      <c r="I886" s="290">
        <v>425</v>
      </c>
      <c r="J886" s="48" t="s">
        <v>39</v>
      </c>
      <c r="K886" s="50"/>
      <c r="L886" s="53" t="str">
        <f t="shared" si="155"/>
        <v>425grams</v>
      </c>
      <c r="M886" s="54">
        <f t="shared" si="156"/>
        <v>2550</v>
      </c>
      <c r="N886" s="55" t="str">
        <f t="shared" si="157"/>
        <v>2550grams</v>
      </c>
      <c r="O886" s="56">
        <f t="shared" si="158"/>
        <v>441.59999999999997</v>
      </c>
      <c r="P886" s="12"/>
      <c r="Q886" s="12"/>
      <c r="R886" s="12"/>
      <c r="S886" s="151"/>
      <c r="T886" s="12"/>
      <c r="U886" s="12"/>
      <c r="V886" s="12"/>
      <c r="W886" s="12"/>
      <c r="X886" s="12"/>
      <c r="Y886" s="12"/>
      <c r="Z886" s="12"/>
    </row>
    <row r="887" spans="1:26" ht="14.25" customHeight="1" x14ac:dyDescent="0.3">
      <c r="A887" s="45">
        <v>138</v>
      </c>
      <c r="B887" s="46" t="s">
        <v>188</v>
      </c>
      <c r="C887" s="194" t="s">
        <v>2024</v>
      </c>
      <c r="D887" s="46"/>
      <c r="E887" s="46" t="s">
        <v>1410</v>
      </c>
      <c r="F887" s="61" t="s">
        <v>31</v>
      </c>
      <c r="G887" s="288">
        <v>67.400000000000006</v>
      </c>
      <c r="H887" s="289">
        <v>10</v>
      </c>
      <c r="I887" s="290">
        <v>425</v>
      </c>
      <c r="J887" s="48" t="s">
        <v>39</v>
      </c>
      <c r="K887" s="50"/>
      <c r="L887" s="53" t="str">
        <f t="shared" si="155"/>
        <v>425grams</v>
      </c>
      <c r="M887" s="54">
        <f t="shared" si="156"/>
        <v>4250</v>
      </c>
      <c r="N887" s="55" t="str">
        <f t="shared" si="157"/>
        <v>4250grams</v>
      </c>
      <c r="O887" s="56">
        <f t="shared" si="158"/>
        <v>674</v>
      </c>
      <c r="P887" s="44">
        <f t="shared" ref="P887:P888" si="193">O887/H887</f>
        <v>67.400000000000006</v>
      </c>
      <c r="Q887" s="66"/>
      <c r="R887" s="32" t="b">
        <f>P887=G887</f>
        <v>1</v>
      </c>
      <c r="S887" s="32"/>
      <c r="T887" s="32"/>
      <c r="U887" s="32"/>
      <c r="V887" s="32"/>
      <c r="W887" s="32"/>
      <c r="X887" s="32"/>
      <c r="Y887" s="32"/>
      <c r="Z887" s="32"/>
    </row>
    <row r="888" spans="1:26" ht="14.25" customHeight="1" x14ac:dyDescent="0.3">
      <c r="A888" s="45">
        <v>704</v>
      </c>
      <c r="B888" s="219" t="s">
        <v>188</v>
      </c>
      <c r="C888" s="194" t="s">
        <v>2026</v>
      </c>
      <c r="D888" s="46"/>
      <c r="E888" s="46" t="s">
        <v>189</v>
      </c>
      <c r="F888" s="61" t="s">
        <v>31</v>
      </c>
      <c r="G888" s="288">
        <v>73.599999999999994</v>
      </c>
      <c r="H888" s="289">
        <v>9</v>
      </c>
      <c r="I888" s="290">
        <v>425</v>
      </c>
      <c r="J888" s="48" t="s">
        <v>39</v>
      </c>
      <c r="K888" s="50"/>
      <c r="L888" s="53" t="str">
        <f t="shared" si="155"/>
        <v>425grams</v>
      </c>
      <c r="M888" s="54">
        <f t="shared" si="156"/>
        <v>3825</v>
      </c>
      <c r="N888" s="55" t="str">
        <f t="shared" si="157"/>
        <v>3825grams</v>
      </c>
      <c r="O888" s="56">
        <f t="shared" si="158"/>
        <v>662.4</v>
      </c>
      <c r="P888" s="44">
        <f t="shared" si="193"/>
        <v>73.599999999999994</v>
      </c>
      <c r="Q888" s="66"/>
      <c r="R888" s="32"/>
      <c r="S888" s="32"/>
      <c r="T888" s="32"/>
      <c r="U888" s="32"/>
      <c r="V888" s="32"/>
      <c r="W888" s="32"/>
      <c r="X888" s="32"/>
      <c r="Y888" s="32"/>
      <c r="Z888" s="32"/>
    </row>
    <row r="889" spans="1:26" ht="14.25" customHeight="1" x14ac:dyDescent="0.3">
      <c r="A889" s="45"/>
      <c r="B889" s="46" t="s">
        <v>188</v>
      </c>
      <c r="C889" s="194" t="s">
        <v>2023</v>
      </c>
      <c r="D889" s="46"/>
      <c r="E889" s="46" t="s">
        <v>189</v>
      </c>
      <c r="F889" s="61" t="s">
        <v>31</v>
      </c>
      <c r="G889" s="288">
        <v>73.599999999999994</v>
      </c>
      <c r="H889" s="289">
        <v>7</v>
      </c>
      <c r="I889" s="290">
        <v>425</v>
      </c>
      <c r="J889" s="48" t="s">
        <v>39</v>
      </c>
      <c r="K889" s="50"/>
      <c r="L889" s="53" t="str">
        <f t="shared" si="155"/>
        <v>425grams</v>
      </c>
      <c r="M889" s="54">
        <f t="shared" si="156"/>
        <v>2975</v>
      </c>
      <c r="N889" s="55" t="str">
        <f t="shared" si="157"/>
        <v>2975grams</v>
      </c>
      <c r="O889" s="56">
        <f t="shared" si="158"/>
        <v>515.19999999999993</v>
      </c>
      <c r="P889" s="12"/>
      <c r="Q889" s="12"/>
      <c r="R889" s="12"/>
      <c r="S889" s="151"/>
      <c r="T889" s="12"/>
      <c r="U889" s="12"/>
      <c r="V889" s="12"/>
      <c r="W889" s="12"/>
      <c r="X889" s="12"/>
      <c r="Y889" s="12"/>
      <c r="Z889" s="12"/>
    </row>
    <row r="890" spans="1:26" ht="14.25" customHeight="1" x14ac:dyDescent="0.3">
      <c r="A890" s="45"/>
      <c r="B890" s="46" t="s">
        <v>188</v>
      </c>
      <c r="C890" s="194" t="s">
        <v>2022</v>
      </c>
      <c r="D890" s="46"/>
      <c r="E890" s="46" t="s">
        <v>1408</v>
      </c>
      <c r="F890" s="61" t="s">
        <v>31</v>
      </c>
      <c r="G890" s="288">
        <v>72</v>
      </c>
      <c r="H890" s="289">
        <v>10</v>
      </c>
      <c r="I890" s="290">
        <v>425</v>
      </c>
      <c r="J890" s="48" t="s">
        <v>39</v>
      </c>
      <c r="K890" s="50"/>
      <c r="L890" s="53" t="str">
        <f t="shared" si="155"/>
        <v>425grams</v>
      </c>
      <c r="M890" s="54">
        <f t="shared" si="156"/>
        <v>4250</v>
      </c>
      <c r="N890" s="55" t="str">
        <f t="shared" si="157"/>
        <v>4250grams</v>
      </c>
      <c r="O890" s="56">
        <f t="shared" si="158"/>
        <v>720</v>
      </c>
      <c r="P890" s="12"/>
      <c r="Q890" s="12"/>
      <c r="R890" s="12"/>
      <c r="S890" s="151"/>
      <c r="T890" s="12"/>
      <c r="U890" s="12"/>
      <c r="V890" s="12"/>
      <c r="W890" s="12"/>
      <c r="X890" s="12"/>
      <c r="Y890" s="12"/>
      <c r="Z890" s="12"/>
    </row>
    <row r="891" spans="1:26" ht="14.25" customHeight="1" x14ac:dyDescent="0.3">
      <c r="A891" s="45"/>
      <c r="B891" s="46" t="s">
        <v>188</v>
      </c>
      <c r="C891" s="194" t="s">
        <v>2022</v>
      </c>
      <c r="D891" s="46"/>
      <c r="E891" s="46" t="s">
        <v>1411</v>
      </c>
      <c r="F891" s="61" t="s">
        <v>31</v>
      </c>
      <c r="G891" s="288">
        <v>73.099999999999994</v>
      </c>
      <c r="H891" s="289">
        <v>3</v>
      </c>
      <c r="I891" s="290">
        <v>425</v>
      </c>
      <c r="J891" s="48" t="s">
        <v>39</v>
      </c>
      <c r="K891" s="50"/>
      <c r="L891" s="53" t="str">
        <f t="shared" si="155"/>
        <v>425grams</v>
      </c>
      <c r="M891" s="54">
        <f t="shared" si="156"/>
        <v>1275</v>
      </c>
      <c r="N891" s="55" t="str">
        <f t="shared" si="157"/>
        <v>1275grams</v>
      </c>
      <c r="O891" s="56">
        <f t="shared" si="158"/>
        <v>219.29999999999998</v>
      </c>
      <c r="P891" s="12"/>
      <c r="Q891" s="12"/>
      <c r="R891" s="12"/>
      <c r="S891" s="151"/>
      <c r="T891" s="12"/>
      <c r="U891" s="12"/>
      <c r="V891" s="12"/>
      <c r="W891" s="12"/>
      <c r="X891" s="12"/>
      <c r="Y891" s="12"/>
      <c r="Z891" s="12"/>
    </row>
    <row r="892" spans="1:26" ht="14.25" customHeight="1" x14ac:dyDescent="0.3">
      <c r="A892" s="45">
        <v>43</v>
      </c>
      <c r="B892" s="46" t="s">
        <v>263</v>
      </c>
      <c r="C892" s="194" t="s">
        <v>29</v>
      </c>
      <c r="D892" s="46"/>
      <c r="E892" s="46" t="s">
        <v>1412</v>
      </c>
      <c r="F892" s="61" t="s">
        <v>31</v>
      </c>
      <c r="G892" s="288">
        <v>4.91</v>
      </c>
      <c r="H892" s="289">
        <v>48</v>
      </c>
      <c r="I892" s="290">
        <v>8</v>
      </c>
      <c r="J892" s="48" t="s">
        <v>39</v>
      </c>
      <c r="K892" s="61" t="s">
        <v>2019</v>
      </c>
      <c r="L892" s="415" t="str">
        <f t="shared" si="155"/>
        <v>8grams</v>
      </c>
      <c r="M892" s="416">
        <f t="shared" si="156"/>
        <v>384</v>
      </c>
      <c r="N892" s="417" t="str">
        <f t="shared" si="157"/>
        <v>384grams</v>
      </c>
      <c r="O892" s="418">
        <f t="shared" si="158"/>
        <v>235.68</v>
      </c>
      <c r="P892" s="419">
        <f t="shared" ref="P892:P901" si="194">O892/H892</f>
        <v>4.91</v>
      </c>
      <c r="Q892" s="66"/>
      <c r="R892" s="32" t="b">
        <f t="shared" ref="R892:R899" si="195">P892=G892</f>
        <v>1</v>
      </c>
      <c r="S892" s="32"/>
      <c r="T892" s="32"/>
      <c r="U892" s="32"/>
      <c r="V892" s="32"/>
      <c r="W892" s="32"/>
      <c r="X892" s="32"/>
      <c r="Y892" s="32"/>
      <c r="Z892" s="32"/>
    </row>
    <row r="893" spans="1:26" ht="14.25" customHeight="1" x14ac:dyDescent="0.3">
      <c r="A893" s="45">
        <v>296</v>
      </c>
      <c r="B893" s="219" t="s">
        <v>263</v>
      </c>
      <c r="C893" s="194" t="s">
        <v>2025</v>
      </c>
      <c r="D893" s="46"/>
      <c r="E893" s="46" t="s">
        <v>1412</v>
      </c>
      <c r="F893" s="61" t="s">
        <v>31</v>
      </c>
      <c r="G893" s="288">
        <v>63</v>
      </c>
      <c r="H893" s="289">
        <v>1</v>
      </c>
      <c r="I893" s="290">
        <v>150</v>
      </c>
      <c r="J893" s="48" t="s">
        <v>39</v>
      </c>
      <c r="K893" s="50"/>
      <c r="L893" s="53" t="str">
        <f t="shared" si="155"/>
        <v>150grams</v>
      </c>
      <c r="M893" s="54">
        <f t="shared" si="156"/>
        <v>150</v>
      </c>
      <c r="N893" s="55" t="str">
        <f t="shared" si="157"/>
        <v>150grams</v>
      </c>
      <c r="O893" s="56">
        <f t="shared" si="158"/>
        <v>63</v>
      </c>
      <c r="P893" s="419">
        <f t="shared" si="194"/>
        <v>63</v>
      </c>
      <c r="Q893" s="66"/>
      <c r="R893" s="32" t="b">
        <f t="shared" si="195"/>
        <v>1</v>
      </c>
      <c r="S893" s="32"/>
      <c r="T893" s="32"/>
      <c r="U893" s="32"/>
      <c r="V893" s="32"/>
      <c r="W893" s="32"/>
      <c r="X893" s="32"/>
      <c r="Y893" s="32"/>
      <c r="Z893" s="32"/>
    </row>
    <row r="894" spans="1:26" ht="14.25" customHeight="1" x14ac:dyDescent="0.3">
      <c r="A894" s="45">
        <v>733</v>
      </c>
      <c r="B894" s="46" t="s">
        <v>263</v>
      </c>
      <c r="C894" s="194" t="s">
        <v>2026</v>
      </c>
      <c r="D894" s="46"/>
      <c r="E894" s="46" t="s">
        <v>1412</v>
      </c>
      <c r="F894" s="61" t="s">
        <v>31</v>
      </c>
      <c r="G894" s="288">
        <v>71.7</v>
      </c>
      <c r="H894" s="289">
        <v>7</v>
      </c>
      <c r="I894" s="290">
        <v>150</v>
      </c>
      <c r="J894" s="48" t="s">
        <v>39</v>
      </c>
      <c r="K894" s="50"/>
      <c r="L894" s="53" t="str">
        <f t="shared" si="155"/>
        <v>150grams</v>
      </c>
      <c r="M894" s="54">
        <f t="shared" si="156"/>
        <v>1050</v>
      </c>
      <c r="N894" s="55" t="str">
        <f t="shared" si="157"/>
        <v>1050grams</v>
      </c>
      <c r="O894" s="56">
        <f t="shared" si="158"/>
        <v>501.90000000000003</v>
      </c>
      <c r="P894" s="419">
        <f t="shared" si="194"/>
        <v>71.7</v>
      </c>
      <c r="Q894" s="66"/>
      <c r="R894" s="32" t="b">
        <f t="shared" si="195"/>
        <v>1</v>
      </c>
      <c r="S894" s="32"/>
      <c r="T894" s="32"/>
      <c r="U894" s="32"/>
      <c r="V894" s="32"/>
      <c r="W894" s="32"/>
      <c r="X894" s="32"/>
      <c r="Y894" s="32"/>
      <c r="Z894" s="32"/>
    </row>
    <row r="895" spans="1:26" ht="14.25" customHeight="1" x14ac:dyDescent="0.3">
      <c r="A895" s="45"/>
      <c r="B895" s="46" t="s">
        <v>263</v>
      </c>
      <c r="C895" s="194" t="s">
        <v>2023</v>
      </c>
      <c r="D895" s="46"/>
      <c r="E895" s="46" t="s">
        <v>1412</v>
      </c>
      <c r="F895" s="61" t="s">
        <v>31</v>
      </c>
      <c r="G895" s="288">
        <v>4.92</v>
      </c>
      <c r="H895" s="289">
        <v>700</v>
      </c>
      <c r="I895" s="290">
        <v>8</v>
      </c>
      <c r="J895" s="48" t="s">
        <v>39</v>
      </c>
      <c r="K895" s="50"/>
      <c r="L895" s="53" t="str">
        <f t="shared" si="155"/>
        <v>8grams</v>
      </c>
      <c r="M895" s="54">
        <f t="shared" si="156"/>
        <v>5600</v>
      </c>
      <c r="N895" s="55" t="str">
        <f t="shared" si="157"/>
        <v>5600grams</v>
      </c>
      <c r="O895" s="56">
        <f t="shared" si="158"/>
        <v>3444</v>
      </c>
      <c r="P895" s="419">
        <f t="shared" si="194"/>
        <v>4.92</v>
      </c>
      <c r="Q895" s="66"/>
      <c r="R895" s="32" t="b">
        <f t="shared" si="195"/>
        <v>1</v>
      </c>
      <c r="S895" s="151"/>
      <c r="T895" s="12"/>
      <c r="U895" s="12"/>
      <c r="V895" s="12"/>
      <c r="W895" s="12"/>
      <c r="X895" s="12"/>
      <c r="Y895" s="12"/>
      <c r="Z895" s="12"/>
    </row>
    <row r="896" spans="1:26" ht="14.25" customHeight="1" x14ac:dyDescent="0.3">
      <c r="A896" s="45"/>
      <c r="B896" s="46" t="s">
        <v>263</v>
      </c>
      <c r="C896" s="194" t="s">
        <v>2022</v>
      </c>
      <c r="D896" s="46"/>
      <c r="E896" s="46" t="s">
        <v>1412</v>
      </c>
      <c r="F896" s="61" t="s">
        <v>31</v>
      </c>
      <c r="G896" s="288">
        <v>71.709999999999994</v>
      </c>
      <c r="H896" s="289">
        <v>4</v>
      </c>
      <c r="I896" s="290">
        <v>150</v>
      </c>
      <c r="J896" s="48" t="s">
        <v>39</v>
      </c>
      <c r="K896" s="50"/>
      <c r="L896" s="53" t="str">
        <f t="shared" si="155"/>
        <v>150grams</v>
      </c>
      <c r="M896" s="54">
        <f t="shared" si="156"/>
        <v>600</v>
      </c>
      <c r="N896" s="55" t="str">
        <f t="shared" si="157"/>
        <v>600grams</v>
      </c>
      <c r="O896" s="56">
        <f t="shared" si="158"/>
        <v>286.83999999999997</v>
      </c>
      <c r="P896" s="419">
        <f t="shared" si="194"/>
        <v>71.709999999999994</v>
      </c>
      <c r="Q896" s="66"/>
      <c r="R896" s="32" t="b">
        <f t="shared" si="195"/>
        <v>1</v>
      </c>
      <c r="S896" s="151"/>
      <c r="T896" s="12"/>
      <c r="U896" s="12"/>
      <c r="V896" s="12"/>
      <c r="W896" s="12"/>
      <c r="X896" s="12"/>
      <c r="Y896" s="12"/>
      <c r="Z896" s="12"/>
    </row>
    <row r="897" spans="1:26" ht="14.25" customHeight="1" x14ac:dyDescent="0.3">
      <c r="A897" s="45"/>
      <c r="B897" s="219" t="s">
        <v>263</v>
      </c>
      <c r="C897" s="194" t="s">
        <v>2021</v>
      </c>
      <c r="D897" s="46"/>
      <c r="E897" s="46" t="s">
        <v>1412</v>
      </c>
      <c r="F897" s="61" t="s">
        <v>31</v>
      </c>
      <c r="G897" s="291">
        <v>74.5</v>
      </c>
      <c r="H897" s="292">
        <v>1</v>
      </c>
      <c r="I897" s="293">
        <v>150</v>
      </c>
      <c r="J897" s="414" t="s">
        <v>39</v>
      </c>
      <c r="K897" s="50"/>
      <c r="L897" s="53" t="str">
        <f t="shared" si="155"/>
        <v>150grams</v>
      </c>
      <c r="M897" s="54">
        <f t="shared" si="156"/>
        <v>150</v>
      </c>
      <c r="N897" s="55" t="str">
        <f t="shared" si="157"/>
        <v>150grams</v>
      </c>
      <c r="O897" s="56">
        <f t="shared" si="158"/>
        <v>74.5</v>
      </c>
      <c r="P897" s="419">
        <f t="shared" si="194"/>
        <v>74.5</v>
      </c>
      <c r="Q897" s="66"/>
      <c r="R897" s="32" t="b">
        <f t="shared" si="195"/>
        <v>1</v>
      </c>
      <c r="S897" s="151"/>
      <c r="T897" s="12"/>
      <c r="U897" s="12"/>
      <c r="V897" s="12"/>
      <c r="W897" s="12"/>
      <c r="X897" s="12"/>
      <c r="Y897" s="12"/>
      <c r="Z897" s="12"/>
    </row>
    <row r="898" spans="1:26" ht="14.25" customHeight="1" x14ac:dyDescent="0.3">
      <c r="A898" s="45"/>
      <c r="B898" s="46" t="s">
        <v>263</v>
      </c>
      <c r="C898" s="194" t="s">
        <v>2020</v>
      </c>
      <c r="D898" s="46"/>
      <c r="E898" s="46" t="s">
        <v>1412</v>
      </c>
      <c r="F898" s="61" t="s">
        <v>31</v>
      </c>
      <c r="G898" s="288">
        <v>71.7</v>
      </c>
      <c r="H898" s="289">
        <v>2</v>
      </c>
      <c r="I898" s="290">
        <v>150</v>
      </c>
      <c r="J898" s="48" t="s">
        <v>39</v>
      </c>
      <c r="K898" s="50"/>
      <c r="L898" s="53" t="str">
        <f t="shared" si="155"/>
        <v>150grams</v>
      </c>
      <c r="M898" s="54">
        <f t="shared" si="156"/>
        <v>300</v>
      </c>
      <c r="N898" s="55" t="str">
        <f t="shared" si="157"/>
        <v>300grams</v>
      </c>
      <c r="O898" s="56">
        <f t="shared" si="158"/>
        <v>143.4</v>
      </c>
      <c r="P898" s="419">
        <f t="shared" si="194"/>
        <v>71.7</v>
      </c>
      <c r="Q898" s="66"/>
      <c r="R898" s="32" t="b">
        <f t="shared" si="195"/>
        <v>1</v>
      </c>
      <c r="S898" s="151"/>
      <c r="T898" s="12"/>
      <c r="U898" s="12"/>
      <c r="V898" s="12"/>
      <c r="W898" s="12"/>
      <c r="X898" s="12"/>
      <c r="Y898" s="12"/>
      <c r="Z898" s="12"/>
    </row>
    <row r="899" spans="1:26" ht="14.25" customHeight="1" x14ac:dyDescent="0.3">
      <c r="A899" s="45">
        <v>448</v>
      </c>
      <c r="B899" s="46" t="s">
        <v>1413</v>
      </c>
      <c r="C899" s="194" t="s">
        <v>2025</v>
      </c>
      <c r="D899" s="46"/>
      <c r="E899" s="46" t="s">
        <v>1372</v>
      </c>
      <c r="F899" s="61" t="s">
        <v>31</v>
      </c>
      <c r="G899" s="288">
        <v>90</v>
      </c>
      <c r="H899" s="289">
        <v>3</v>
      </c>
      <c r="I899" s="290">
        <v>1</v>
      </c>
      <c r="J899" s="48" t="s">
        <v>213</v>
      </c>
      <c r="K899" s="50"/>
      <c r="L899" s="53" t="str">
        <f t="shared" si="155"/>
        <v>1kilos</v>
      </c>
      <c r="M899" s="54">
        <f t="shared" si="156"/>
        <v>3</v>
      </c>
      <c r="N899" s="55" t="str">
        <f t="shared" si="157"/>
        <v>3kilos</v>
      </c>
      <c r="O899" s="56">
        <f t="shared" si="158"/>
        <v>270</v>
      </c>
      <c r="P899" s="44">
        <f t="shared" si="194"/>
        <v>90</v>
      </c>
      <c r="Q899" s="66"/>
      <c r="R899" s="32" t="b">
        <f t="shared" si="195"/>
        <v>1</v>
      </c>
      <c r="S899" s="32"/>
      <c r="T899" s="32"/>
      <c r="U899" s="32"/>
      <c r="V899" s="32"/>
      <c r="W899" s="32"/>
      <c r="X899" s="32"/>
      <c r="Y899" s="32"/>
      <c r="Z899" s="32"/>
    </row>
    <row r="900" spans="1:26" ht="14.25" customHeight="1" x14ac:dyDescent="0.3">
      <c r="A900" s="45">
        <v>156</v>
      </c>
      <c r="B900" s="46" t="s">
        <v>366</v>
      </c>
      <c r="C900" s="194" t="s">
        <v>2024</v>
      </c>
      <c r="D900" s="46"/>
      <c r="E900" s="46"/>
      <c r="F900" s="61" t="s">
        <v>31</v>
      </c>
      <c r="G900" s="288">
        <v>85</v>
      </c>
      <c r="H900" s="289">
        <v>4</v>
      </c>
      <c r="I900" s="290">
        <v>1</v>
      </c>
      <c r="J900" s="48" t="s">
        <v>213</v>
      </c>
      <c r="K900" s="50"/>
      <c r="L900" s="53" t="str">
        <f t="shared" si="155"/>
        <v>1kilos</v>
      </c>
      <c r="M900" s="54">
        <f t="shared" si="156"/>
        <v>4</v>
      </c>
      <c r="N900" s="55" t="str">
        <f t="shared" si="157"/>
        <v>4kilos</v>
      </c>
      <c r="O900" s="56">
        <f t="shared" si="158"/>
        <v>340</v>
      </c>
      <c r="P900" s="44">
        <f t="shared" si="194"/>
        <v>85</v>
      </c>
      <c r="Q900" s="66"/>
      <c r="R900" s="32"/>
      <c r="S900" s="32"/>
      <c r="T900" s="32"/>
      <c r="U900" s="32"/>
      <c r="V900" s="32"/>
      <c r="W900" s="32"/>
      <c r="X900" s="32"/>
      <c r="Y900" s="32"/>
      <c r="Z900" s="32"/>
    </row>
    <row r="901" spans="1:26" ht="14.25" customHeight="1" x14ac:dyDescent="0.3">
      <c r="A901" s="45">
        <v>586</v>
      </c>
      <c r="B901" s="46" t="s">
        <v>366</v>
      </c>
      <c r="C901" s="194" t="s">
        <v>2026</v>
      </c>
      <c r="D901" s="46"/>
      <c r="E901" s="46" t="s">
        <v>1335</v>
      </c>
      <c r="F901" s="61" t="s">
        <v>31</v>
      </c>
      <c r="G901" s="288">
        <v>100</v>
      </c>
      <c r="H901" s="289">
        <v>1</v>
      </c>
      <c r="I901" s="290">
        <v>1</v>
      </c>
      <c r="J901" s="422" t="s">
        <v>213</v>
      </c>
      <c r="K901" s="50" t="s">
        <v>2019</v>
      </c>
      <c r="L901" s="53" t="str">
        <f t="shared" si="155"/>
        <v>1kilos</v>
      </c>
      <c r="M901" s="54">
        <f t="shared" si="156"/>
        <v>1</v>
      </c>
      <c r="N901" s="55" t="str">
        <f t="shared" si="157"/>
        <v>1kilos</v>
      </c>
      <c r="O901" s="56">
        <f t="shared" si="158"/>
        <v>100</v>
      </c>
      <c r="P901" s="44">
        <f t="shared" si="194"/>
        <v>100</v>
      </c>
      <c r="Q901" s="44">
        <f>G901-P901</f>
        <v>0</v>
      </c>
      <c r="R901" s="32" t="b">
        <f>P901=G901</f>
        <v>1</v>
      </c>
      <c r="S901" s="32"/>
      <c r="T901" s="32"/>
      <c r="U901" s="32"/>
      <c r="V901" s="32"/>
      <c r="W901" s="32"/>
      <c r="X901" s="32"/>
      <c r="Y901" s="32"/>
      <c r="Z901" s="32"/>
    </row>
    <row r="902" spans="1:26" ht="14.25" customHeight="1" x14ac:dyDescent="0.3">
      <c r="A902" s="45"/>
      <c r="B902" s="46" t="s">
        <v>366</v>
      </c>
      <c r="C902" s="194" t="s">
        <v>2023</v>
      </c>
      <c r="D902" s="46"/>
      <c r="E902" s="46" t="s">
        <v>1335</v>
      </c>
      <c r="F902" s="61" t="s">
        <v>31</v>
      </c>
      <c r="G902" s="288">
        <v>85</v>
      </c>
      <c r="H902" s="289">
        <v>4</v>
      </c>
      <c r="I902" s="290">
        <v>1</v>
      </c>
      <c r="J902" s="422" t="s">
        <v>213</v>
      </c>
      <c r="K902" s="50"/>
      <c r="L902" s="53" t="str">
        <f t="shared" si="155"/>
        <v>1kilos</v>
      </c>
      <c r="M902" s="54">
        <f t="shared" si="156"/>
        <v>4</v>
      </c>
      <c r="N902" s="55" t="str">
        <f t="shared" si="157"/>
        <v>4kilos</v>
      </c>
      <c r="O902" s="56">
        <f t="shared" si="158"/>
        <v>340</v>
      </c>
      <c r="P902" s="12"/>
      <c r="Q902" s="12"/>
      <c r="R902" s="12"/>
      <c r="S902" s="151"/>
      <c r="T902" s="12"/>
      <c r="U902" s="12"/>
      <c r="V902" s="12"/>
      <c r="W902" s="12"/>
      <c r="X902" s="12"/>
      <c r="Y902" s="12"/>
      <c r="Z902" s="12"/>
    </row>
    <row r="903" spans="1:26" ht="14.25" customHeight="1" x14ac:dyDescent="0.3">
      <c r="A903" s="45"/>
      <c r="B903" s="46" t="s">
        <v>366</v>
      </c>
      <c r="C903" s="194" t="s">
        <v>2022</v>
      </c>
      <c r="D903" s="46"/>
      <c r="E903" s="46" t="s">
        <v>867</v>
      </c>
      <c r="F903" s="61" t="s">
        <v>31</v>
      </c>
      <c r="G903" s="288">
        <v>120</v>
      </c>
      <c r="H903" s="289">
        <v>3</v>
      </c>
      <c r="I903" s="290">
        <v>1000</v>
      </c>
      <c r="J903" s="48" t="s">
        <v>39</v>
      </c>
      <c r="K903" s="50"/>
      <c r="L903" s="53" t="str">
        <f t="shared" si="155"/>
        <v>1000grams</v>
      </c>
      <c r="M903" s="54">
        <f t="shared" si="156"/>
        <v>3000</v>
      </c>
      <c r="N903" s="55" t="str">
        <f t="shared" si="157"/>
        <v>3000grams</v>
      </c>
      <c r="O903" s="56">
        <f t="shared" si="158"/>
        <v>360</v>
      </c>
      <c r="P903" s="12"/>
      <c r="Q903" s="12"/>
      <c r="R903" s="12"/>
      <c r="S903" s="151"/>
      <c r="T903" s="12"/>
      <c r="U903" s="12"/>
      <c r="V903" s="12"/>
      <c r="W903" s="12"/>
      <c r="X903" s="12"/>
      <c r="Y903" s="12"/>
      <c r="Z903" s="12"/>
    </row>
    <row r="904" spans="1:26" ht="14.25" customHeight="1" x14ac:dyDescent="0.3">
      <c r="A904" s="45"/>
      <c r="B904" s="219" t="s">
        <v>366</v>
      </c>
      <c r="C904" s="194" t="s">
        <v>2021</v>
      </c>
      <c r="D904" s="46"/>
      <c r="E904" s="219" t="s">
        <v>1414</v>
      </c>
      <c r="F904" s="61" t="s">
        <v>31</v>
      </c>
      <c r="G904" s="291">
        <v>85</v>
      </c>
      <c r="H904" s="292">
        <v>2</v>
      </c>
      <c r="I904" s="293">
        <v>1</v>
      </c>
      <c r="J904" s="414" t="s">
        <v>213</v>
      </c>
      <c r="K904" s="50"/>
      <c r="L904" s="53" t="str">
        <f t="shared" si="155"/>
        <v>1kilos</v>
      </c>
      <c r="M904" s="54">
        <f t="shared" si="156"/>
        <v>2</v>
      </c>
      <c r="N904" s="55" t="str">
        <f t="shared" si="157"/>
        <v>2kilos</v>
      </c>
      <c r="O904" s="56">
        <f t="shared" si="158"/>
        <v>170</v>
      </c>
      <c r="P904" s="12"/>
      <c r="Q904" s="12"/>
      <c r="R904" s="12"/>
      <c r="S904" s="151"/>
      <c r="T904" s="12"/>
      <c r="U904" s="12"/>
      <c r="V904" s="12"/>
      <c r="W904" s="12"/>
      <c r="X904" s="12"/>
      <c r="Y904" s="12"/>
      <c r="Z904" s="12"/>
    </row>
    <row r="905" spans="1:26" ht="14.25" customHeight="1" x14ac:dyDescent="0.3">
      <c r="A905" s="45">
        <v>910</v>
      </c>
      <c r="B905" s="46" t="s">
        <v>1415</v>
      </c>
      <c r="C905" s="194" t="s">
        <v>1368</v>
      </c>
      <c r="D905" s="46"/>
      <c r="E905" s="46"/>
      <c r="F905" s="61" t="s">
        <v>31</v>
      </c>
      <c r="G905" s="288">
        <v>35</v>
      </c>
      <c r="H905" s="289">
        <v>1</v>
      </c>
      <c r="I905" s="290">
        <v>1000</v>
      </c>
      <c r="J905" s="48" t="s">
        <v>39</v>
      </c>
      <c r="K905" s="50"/>
      <c r="L905" s="53" t="str">
        <f t="shared" si="155"/>
        <v>1000grams</v>
      </c>
      <c r="M905" s="54">
        <f t="shared" si="156"/>
        <v>1000</v>
      </c>
      <c r="N905" s="55" t="str">
        <f t="shared" si="157"/>
        <v>1000grams</v>
      </c>
      <c r="O905" s="56">
        <f t="shared" si="158"/>
        <v>35</v>
      </c>
      <c r="P905" s="44"/>
      <c r="Q905" s="66"/>
      <c r="R905" s="32"/>
      <c r="S905" s="32"/>
      <c r="T905" s="32"/>
      <c r="U905" s="32"/>
      <c r="V905" s="32"/>
      <c r="W905" s="32"/>
      <c r="X905" s="32"/>
      <c r="Y905" s="32"/>
      <c r="Z905" s="32"/>
    </row>
    <row r="906" spans="1:26" ht="14.25" customHeight="1" x14ac:dyDescent="0.3">
      <c r="A906" s="45"/>
      <c r="B906" s="46" t="s">
        <v>1416</v>
      </c>
      <c r="C906" s="194" t="s">
        <v>2023</v>
      </c>
      <c r="D906" s="46"/>
      <c r="E906" s="46" t="s">
        <v>1417</v>
      </c>
      <c r="F906" s="61" t="s">
        <v>31</v>
      </c>
      <c r="G906" s="311">
        <v>47</v>
      </c>
      <c r="H906" s="289">
        <v>1</v>
      </c>
      <c r="I906" s="290">
        <v>1000</v>
      </c>
      <c r="J906" s="48" t="s">
        <v>39</v>
      </c>
      <c r="K906" s="50"/>
      <c r="L906" s="53" t="str">
        <f t="shared" si="155"/>
        <v>1000grams</v>
      </c>
      <c r="M906" s="54">
        <f t="shared" si="156"/>
        <v>1000</v>
      </c>
      <c r="N906" s="55" t="str">
        <f t="shared" si="157"/>
        <v>1000grams</v>
      </c>
      <c r="O906" s="56">
        <f t="shared" si="158"/>
        <v>47</v>
      </c>
      <c r="P906" s="44"/>
      <c r="Q906" s="12"/>
      <c r="R906" s="12"/>
      <c r="S906" s="151"/>
      <c r="T906" s="12"/>
      <c r="U906" s="12"/>
      <c r="V906" s="12"/>
      <c r="W906" s="12"/>
      <c r="X906" s="12"/>
      <c r="Y906" s="12"/>
      <c r="Z906" s="12"/>
    </row>
    <row r="907" spans="1:26" ht="14.25" customHeight="1" x14ac:dyDescent="0.3">
      <c r="A907" s="118"/>
      <c r="B907" s="46" t="s">
        <v>1418</v>
      </c>
      <c r="C907" s="194" t="s">
        <v>1368</v>
      </c>
      <c r="D907" s="46"/>
      <c r="E907" s="46"/>
      <c r="F907" s="61" t="s">
        <v>31</v>
      </c>
      <c r="G907" s="288">
        <v>100</v>
      </c>
      <c r="H907" s="289">
        <v>1</v>
      </c>
      <c r="I907" s="290">
        <v>1000</v>
      </c>
      <c r="J907" s="48" t="s">
        <v>39</v>
      </c>
      <c r="K907" s="50"/>
      <c r="L907" s="53" t="str">
        <f t="shared" si="155"/>
        <v>1000grams</v>
      </c>
      <c r="M907" s="54">
        <f t="shared" si="156"/>
        <v>1000</v>
      </c>
      <c r="N907" s="55" t="str">
        <f t="shared" si="157"/>
        <v>1000grams</v>
      </c>
      <c r="O907" s="56">
        <f t="shared" si="158"/>
        <v>100</v>
      </c>
      <c r="P907" s="44">
        <f t="shared" ref="P907:P911" si="196">O907/H907</f>
        <v>100</v>
      </c>
      <c r="Q907" s="12"/>
      <c r="R907" s="32" t="b">
        <f>P907=G907</f>
        <v>1</v>
      </c>
      <c r="S907" s="151"/>
      <c r="T907" s="12"/>
      <c r="U907" s="12"/>
      <c r="V907" s="12"/>
      <c r="W907" s="12"/>
      <c r="X907" s="12"/>
      <c r="Y907" s="12"/>
      <c r="Z907" s="12"/>
    </row>
    <row r="908" spans="1:26" ht="14.25" customHeight="1" x14ac:dyDescent="0.3">
      <c r="A908" s="45">
        <v>13</v>
      </c>
      <c r="B908" s="46" t="s">
        <v>79</v>
      </c>
      <c r="C908" s="194" t="s">
        <v>29</v>
      </c>
      <c r="D908" s="46"/>
      <c r="E908" s="46" t="s">
        <v>1157</v>
      </c>
      <c r="F908" s="61" t="s">
        <v>31</v>
      </c>
      <c r="G908" s="288">
        <v>317.8</v>
      </c>
      <c r="H908" s="289">
        <v>1</v>
      </c>
      <c r="I908" s="290">
        <v>1000</v>
      </c>
      <c r="J908" s="48" t="s">
        <v>39</v>
      </c>
      <c r="K908" s="61" t="s">
        <v>2019</v>
      </c>
      <c r="L908" s="415" t="str">
        <f t="shared" si="155"/>
        <v>1000grams</v>
      </c>
      <c r="M908" s="416">
        <f t="shared" si="156"/>
        <v>1000</v>
      </c>
      <c r="N908" s="417" t="str">
        <f t="shared" si="157"/>
        <v>1000grams</v>
      </c>
      <c r="O908" s="418">
        <f t="shared" si="158"/>
        <v>317.8</v>
      </c>
      <c r="P908" s="419">
        <f t="shared" si="196"/>
        <v>317.8</v>
      </c>
      <c r="Q908" s="66"/>
      <c r="R908" s="32"/>
      <c r="S908" s="32"/>
      <c r="T908" s="32"/>
      <c r="U908" s="32"/>
      <c r="V908" s="32"/>
      <c r="W908" s="32"/>
      <c r="X908" s="32"/>
      <c r="Y908" s="32"/>
      <c r="Z908" s="32"/>
    </row>
    <row r="909" spans="1:26" ht="14.25" customHeight="1" x14ac:dyDescent="0.3">
      <c r="A909" s="45">
        <v>343</v>
      </c>
      <c r="B909" s="46" t="s">
        <v>79</v>
      </c>
      <c r="C909" s="194" t="s">
        <v>2025</v>
      </c>
      <c r="D909" s="46"/>
      <c r="E909" s="46" t="s">
        <v>1157</v>
      </c>
      <c r="F909" s="61" t="s">
        <v>31</v>
      </c>
      <c r="G909" s="288">
        <v>517.45000000000005</v>
      </c>
      <c r="H909" s="289">
        <v>1</v>
      </c>
      <c r="I909" s="290">
        <v>2</v>
      </c>
      <c r="J909" s="48" t="s">
        <v>213</v>
      </c>
      <c r="K909" s="50"/>
      <c r="L909" s="53" t="str">
        <f t="shared" si="155"/>
        <v>2kilos</v>
      </c>
      <c r="M909" s="54">
        <f t="shared" si="156"/>
        <v>2</v>
      </c>
      <c r="N909" s="55" t="str">
        <f t="shared" si="157"/>
        <v>2kilos</v>
      </c>
      <c r="O909" s="56">
        <f t="shared" si="158"/>
        <v>517.45000000000005</v>
      </c>
      <c r="P909" s="44">
        <f t="shared" si="196"/>
        <v>517.45000000000005</v>
      </c>
      <c r="Q909" s="66"/>
      <c r="R909" s="32"/>
      <c r="S909" s="32"/>
      <c r="T909" s="32"/>
      <c r="U909" s="32"/>
      <c r="V909" s="32"/>
      <c r="W909" s="32"/>
      <c r="X909" s="32"/>
      <c r="Y909" s="32"/>
      <c r="Z909" s="32"/>
    </row>
    <row r="910" spans="1:26" ht="14.25" customHeight="1" x14ac:dyDescent="0.3">
      <c r="A910" s="45">
        <v>685</v>
      </c>
      <c r="B910" s="46" t="s">
        <v>79</v>
      </c>
      <c r="C910" s="194" t="s">
        <v>2026</v>
      </c>
      <c r="D910" s="46"/>
      <c r="E910" s="46" t="s">
        <v>538</v>
      </c>
      <c r="F910" s="61" t="s">
        <v>31</v>
      </c>
      <c r="G910" s="288">
        <v>317.8</v>
      </c>
      <c r="H910" s="289">
        <v>1</v>
      </c>
      <c r="I910" s="290">
        <v>1000</v>
      </c>
      <c r="J910" s="48" t="s">
        <v>39</v>
      </c>
      <c r="K910" s="50"/>
      <c r="L910" s="53" t="str">
        <f t="shared" si="155"/>
        <v>1000grams</v>
      </c>
      <c r="M910" s="54">
        <f t="shared" si="156"/>
        <v>1000</v>
      </c>
      <c r="N910" s="55" t="str">
        <f t="shared" si="157"/>
        <v>1000grams</v>
      </c>
      <c r="O910" s="56">
        <f t="shared" si="158"/>
        <v>317.8</v>
      </c>
      <c r="P910" s="44">
        <f t="shared" si="196"/>
        <v>317.8</v>
      </c>
      <c r="Q910" s="66"/>
      <c r="R910" s="32"/>
      <c r="S910" s="32"/>
      <c r="T910" s="32"/>
      <c r="U910" s="32"/>
      <c r="V910" s="32"/>
      <c r="W910" s="32"/>
      <c r="X910" s="32"/>
      <c r="Y910" s="32"/>
      <c r="Z910" s="32"/>
    </row>
    <row r="911" spans="1:26" ht="14.25" customHeight="1" x14ac:dyDescent="0.3">
      <c r="A911" s="45">
        <v>686</v>
      </c>
      <c r="B911" s="46" t="s">
        <v>79</v>
      </c>
      <c r="C911" s="194" t="s">
        <v>2026</v>
      </c>
      <c r="D911" s="46"/>
      <c r="E911" s="46" t="s">
        <v>1419</v>
      </c>
      <c r="F911" s="61" t="s">
        <v>31</v>
      </c>
      <c r="G911" s="288">
        <v>65</v>
      </c>
      <c r="H911" s="289">
        <v>2</v>
      </c>
      <c r="I911" s="290">
        <v>200</v>
      </c>
      <c r="J911" s="48" t="s">
        <v>39</v>
      </c>
      <c r="K911" s="50" t="s">
        <v>2019</v>
      </c>
      <c r="L911" s="53" t="str">
        <f t="shared" si="155"/>
        <v>200grams</v>
      </c>
      <c r="M911" s="54">
        <f t="shared" si="156"/>
        <v>400</v>
      </c>
      <c r="N911" s="55" t="str">
        <f t="shared" si="157"/>
        <v>400grams</v>
      </c>
      <c r="O911" s="56">
        <f t="shared" si="158"/>
        <v>130</v>
      </c>
      <c r="P911" s="44">
        <f t="shared" si="196"/>
        <v>65</v>
      </c>
      <c r="Q911" s="66">
        <f>G911-P911</f>
        <v>0</v>
      </c>
      <c r="R911" s="32" t="b">
        <f>P911=G911</f>
        <v>1</v>
      </c>
      <c r="S911" s="32"/>
      <c r="T911" s="32"/>
      <c r="U911" s="32"/>
      <c r="V911" s="32"/>
      <c r="W911" s="32"/>
      <c r="X911" s="32"/>
      <c r="Y911" s="32"/>
      <c r="Z911" s="32"/>
    </row>
    <row r="912" spans="1:26" ht="14.25" customHeight="1" x14ac:dyDescent="0.3">
      <c r="A912" s="424"/>
      <c r="B912" s="46" t="s">
        <v>79</v>
      </c>
      <c r="C912" s="194" t="s">
        <v>1368</v>
      </c>
      <c r="D912" s="46"/>
      <c r="E912" s="46" t="s">
        <v>792</v>
      </c>
      <c r="F912" s="61" t="s">
        <v>31</v>
      </c>
      <c r="G912" s="288">
        <v>90</v>
      </c>
      <c r="H912" s="289">
        <v>0</v>
      </c>
      <c r="I912" s="290">
        <v>1</v>
      </c>
      <c r="J912" s="48" t="s">
        <v>213</v>
      </c>
      <c r="K912" s="50"/>
      <c r="L912" s="53" t="str">
        <f t="shared" si="155"/>
        <v>1kilos</v>
      </c>
      <c r="M912" s="54">
        <f t="shared" si="156"/>
        <v>0</v>
      </c>
      <c r="N912" s="55" t="str">
        <f t="shared" si="157"/>
        <v>0kilos</v>
      </c>
      <c r="O912" s="56">
        <f t="shared" si="158"/>
        <v>0</v>
      </c>
      <c r="P912" s="44"/>
      <c r="Q912" s="12"/>
      <c r="R912" s="12"/>
      <c r="S912" s="151"/>
      <c r="T912" s="12"/>
      <c r="U912" s="12"/>
      <c r="V912" s="12"/>
      <c r="W912" s="12"/>
      <c r="X912" s="12"/>
      <c r="Y912" s="12"/>
      <c r="Z912" s="12"/>
    </row>
    <row r="913" spans="1:26" ht="14.25" customHeight="1" x14ac:dyDescent="0.3">
      <c r="A913" s="45"/>
      <c r="B913" s="46" t="s">
        <v>79</v>
      </c>
      <c r="C913" s="194" t="s">
        <v>2023</v>
      </c>
      <c r="D913" s="46"/>
      <c r="E913" s="46" t="s">
        <v>1420</v>
      </c>
      <c r="F913" s="61" t="s">
        <v>31</v>
      </c>
      <c r="G913" s="288">
        <v>47</v>
      </c>
      <c r="H913" s="289">
        <v>1</v>
      </c>
      <c r="I913" s="290">
        <v>200</v>
      </c>
      <c r="J913" s="48" t="s">
        <v>39</v>
      </c>
      <c r="K913" s="50"/>
      <c r="L913" s="53" t="str">
        <f t="shared" si="155"/>
        <v>200grams</v>
      </c>
      <c r="M913" s="54">
        <f t="shared" si="156"/>
        <v>200</v>
      </c>
      <c r="N913" s="55" t="str">
        <f t="shared" si="157"/>
        <v>200grams</v>
      </c>
      <c r="O913" s="56">
        <f t="shared" si="158"/>
        <v>47</v>
      </c>
      <c r="P913" s="44"/>
      <c r="Q913" s="12"/>
      <c r="R913" s="12"/>
      <c r="S913" s="151"/>
      <c r="T913" s="12"/>
      <c r="U913" s="12"/>
      <c r="V913" s="12"/>
      <c r="W913" s="12"/>
      <c r="X913" s="12"/>
      <c r="Y913" s="12"/>
      <c r="Z913" s="12"/>
    </row>
    <row r="914" spans="1:26" ht="14.25" customHeight="1" x14ac:dyDescent="0.3">
      <c r="A914" s="45"/>
      <c r="B914" s="46" t="s">
        <v>79</v>
      </c>
      <c r="C914" s="194" t="s">
        <v>2023</v>
      </c>
      <c r="D914" s="46"/>
      <c r="E914" s="46" t="s">
        <v>1157</v>
      </c>
      <c r="F914" s="61" t="s">
        <v>31</v>
      </c>
      <c r="G914" s="288">
        <v>299.2</v>
      </c>
      <c r="H914" s="289">
        <v>2</v>
      </c>
      <c r="I914" s="290">
        <v>1</v>
      </c>
      <c r="J914" s="48" t="s">
        <v>213</v>
      </c>
      <c r="K914" s="50"/>
      <c r="L914" s="53" t="str">
        <f t="shared" si="155"/>
        <v>1kilos</v>
      </c>
      <c r="M914" s="54">
        <f t="shared" si="156"/>
        <v>2</v>
      </c>
      <c r="N914" s="55" t="str">
        <f t="shared" si="157"/>
        <v>2kilos</v>
      </c>
      <c r="O914" s="56">
        <f t="shared" si="158"/>
        <v>598.4</v>
      </c>
      <c r="P914" s="44"/>
      <c r="Q914" s="12"/>
      <c r="R914" s="12"/>
      <c r="S914" s="151"/>
      <c r="T914" s="12"/>
      <c r="U914" s="12"/>
      <c r="V914" s="12"/>
      <c r="W914" s="12"/>
      <c r="X914" s="12"/>
      <c r="Y914" s="12"/>
      <c r="Z914" s="12"/>
    </row>
    <row r="915" spans="1:26" ht="14.25" customHeight="1" x14ac:dyDescent="0.3">
      <c r="A915" s="45"/>
      <c r="B915" s="219" t="s">
        <v>79</v>
      </c>
      <c r="C915" s="194" t="s">
        <v>2021</v>
      </c>
      <c r="D915" s="46"/>
      <c r="E915" s="219" t="s">
        <v>1421</v>
      </c>
      <c r="F915" s="61" t="s">
        <v>31</v>
      </c>
      <c r="G915" s="291">
        <v>49.09</v>
      </c>
      <c r="H915" s="292">
        <v>9</v>
      </c>
      <c r="I915" s="293">
        <v>500</v>
      </c>
      <c r="J915" s="414" t="s">
        <v>39</v>
      </c>
      <c r="K915" s="50"/>
      <c r="L915" s="53" t="str">
        <f t="shared" si="155"/>
        <v>500grams</v>
      </c>
      <c r="M915" s="54">
        <f t="shared" si="156"/>
        <v>4500</v>
      </c>
      <c r="N915" s="55" t="str">
        <f t="shared" si="157"/>
        <v>4500grams</v>
      </c>
      <c r="O915" s="56">
        <f t="shared" si="158"/>
        <v>441.81000000000006</v>
      </c>
      <c r="P915" s="12"/>
      <c r="Q915" s="12"/>
      <c r="R915" s="12"/>
      <c r="S915" s="151"/>
      <c r="T915" s="12"/>
      <c r="U915" s="12"/>
      <c r="V915" s="12"/>
      <c r="W915" s="12"/>
      <c r="X915" s="12"/>
      <c r="Y915" s="12"/>
      <c r="Z915" s="12"/>
    </row>
    <row r="916" spans="1:26" ht="14.25" customHeight="1" x14ac:dyDescent="0.3">
      <c r="A916" s="45"/>
      <c r="B916" s="219" t="s">
        <v>1422</v>
      </c>
      <c r="C916" s="194" t="s">
        <v>2021</v>
      </c>
      <c r="D916" s="46"/>
      <c r="E916" s="219" t="s">
        <v>854</v>
      </c>
      <c r="F916" s="61" t="s">
        <v>31</v>
      </c>
      <c r="G916" s="291">
        <v>57.1</v>
      </c>
      <c r="H916" s="292">
        <v>2</v>
      </c>
      <c r="I916" s="293">
        <v>7</v>
      </c>
      <c r="J916" s="414" t="s">
        <v>39</v>
      </c>
      <c r="K916" s="50"/>
      <c r="L916" s="53" t="str">
        <f t="shared" si="155"/>
        <v>7grams</v>
      </c>
      <c r="M916" s="54">
        <f t="shared" si="156"/>
        <v>14</v>
      </c>
      <c r="N916" s="55" t="str">
        <f t="shared" si="157"/>
        <v>14grams</v>
      </c>
      <c r="O916" s="56">
        <f t="shared" si="158"/>
        <v>114.2</v>
      </c>
      <c r="P916" s="12"/>
      <c r="Q916" s="12"/>
      <c r="R916" s="12"/>
      <c r="S916" s="151"/>
      <c r="T916" s="12"/>
      <c r="U916" s="12"/>
      <c r="V916" s="12"/>
      <c r="W916" s="12"/>
      <c r="X916" s="12"/>
      <c r="Y916" s="12"/>
      <c r="Z916" s="12"/>
    </row>
    <row r="917" spans="1:26" ht="14.25" customHeight="1" x14ac:dyDescent="0.3">
      <c r="A917" s="45"/>
      <c r="B917" s="219" t="s">
        <v>1423</v>
      </c>
      <c r="C917" s="194" t="s">
        <v>2023</v>
      </c>
      <c r="D917" s="46"/>
      <c r="E917" s="219" t="s">
        <v>1424</v>
      </c>
      <c r="F917" s="61" t="s">
        <v>31</v>
      </c>
      <c r="G917" s="291">
        <v>24.6</v>
      </c>
      <c r="H917" s="292">
        <v>8</v>
      </c>
      <c r="I917" s="293">
        <v>84</v>
      </c>
      <c r="J917" s="414" t="s">
        <v>39</v>
      </c>
      <c r="K917" s="50"/>
      <c r="L917" s="53" t="str">
        <f t="shared" si="155"/>
        <v>84grams</v>
      </c>
      <c r="M917" s="54">
        <f t="shared" si="156"/>
        <v>672</v>
      </c>
      <c r="N917" s="55" t="str">
        <f t="shared" si="157"/>
        <v>672grams</v>
      </c>
      <c r="O917" s="56">
        <f t="shared" si="158"/>
        <v>196.8</v>
      </c>
      <c r="P917" s="12"/>
      <c r="Q917" s="12"/>
      <c r="R917" s="12"/>
      <c r="S917" s="151"/>
      <c r="T917" s="12"/>
      <c r="U917" s="12"/>
      <c r="V917" s="12"/>
      <c r="W917" s="12"/>
      <c r="X917" s="12"/>
      <c r="Y917" s="12"/>
      <c r="Z917" s="12"/>
    </row>
    <row r="918" spans="1:26" ht="14.25" customHeight="1" x14ac:dyDescent="0.3">
      <c r="A918" s="45">
        <v>124</v>
      </c>
      <c r="B918" s="46" t="s">
        <v>673</v>
      </c>
      <c r="C918" s="194" t="s">
        <v>2024</v>
      </c>
      <c r="D918" s="46"/>
      <c r="E918" s="46" t="s">
        <v>1425</v>
      </c>
      <c r="F918" s="61" t="s">
        <v>31</v>
      </c>
      <c r="G918" s="288">
        <v>11.9</v>
      </c>
      <c r="H918" s="289">
        <v>13</v>
      </c>
      <c r="I918" s="290">
        <v>24</v>
      </c>
      <c r="J918" s="48" t="s">
        <v>39</v>
      </c>
      <c r="K918" s="50"/>
      <c r="L918" s="53" t="str">
        <f t="shared" si="155"/>
        <v>24grams</v>
      </c>
      <c r="M918" s="54">
        <f t="shared" si="156"/>
        <v>312</v>
      </c>
      <c r="N918" s="55" t="str">
        <f t="shared" si="157"/>
        <v>312grams</v>
      </c>
      <c r="O918" s="56">
        <f t="shared" si="158"/>
        <v>154.70000000000002</v>
      </c>
      <c r="P918" s="44">
        <f t="shared" ref="P918:P921" si="197">O918/H918</f>
        <v>11.900000000000002</v>
      </c>
      <c r="Q918" s="66"/>
      <c r="R918" s="32"/>
      <c r="S918" s="32"/>
      <c r="T918" s="32"/>
      <c r="U918" s="32"/>
      <c r="V918" s="32"/>
      <c r="W918" s="32"/>
      <c r="X918" s="32"/>
      <c r="Y918" s="32"/>
      <c r="Z918" s="32"/>
    </row>
    <row r="919" spans="1:26" ht="14.25" customHeight="1" x14ac:dyDescent="0.3">
      <c r="A919" s="45">
        <v>140</v>
      </c>
      <c r="B919" s="46" t="s">
        <v>1426</v>
      </c>
      <c r="C919" s="194" t="s">
        <v>2024</v>
      </c>
      <c r="D919" s="46"/>
      <c r="E919" s="46" t="s">
        <v>1427</v>
      </c>
      <c r="F919" s="61" t="s">
        <v>31</v>
      </c>
      <c r="G919" s="288">
        <v>11</v>
      </c>
      <c r="H919" s="289">
        <v>9</v>
      </c>
      <c r="I919" s="290">
        <v>27</v>
      </c>
      <c r="J919" s="422" t="s">
        <v>32</v>
      </c>
      <c r="K919" s="50"/>
      <c r="L919" s="53" t="str">
        <f t="shared" si="155"/>
        <v>27ml</v>
      </c>
      <c r="M919" s="54">
        <f t="shared" si="156"/>
        <v>243</v>
      </c>
      <c r="N919" s="55" t="str">
        <f t="shared" si="157"/>
        <v>243ml</v>
      </c>
      <c r="O919" s="56">
        <f t="shared" si="158"/>
        <v>99</v>
      </c>
      <c r="P919" s="44">
        <f t="shared" si="197"/>
        <v>11</v>
      </c>
      <c r="Q919" s="66"/>
      <c r="R919" s="32"/>
      <c r="S919" s="32"/>
      <c r="T919" s="32"/>
      <c r="U919" s="32"/>
      <c r="V919" s="32"/>
      <c r="W919" s="32"/>
      <c r="X919" s="32"/>
      <c r="Y919" s="32"/>
      <c r="Z919" s="32"/>
    </row>
    <row r="920" spans="1:26" ht="14.25" customHeight="1" x14ac:dyDescent="0.3">
      <c r="A920" s="45">
        <v>351</v>
      </c>
      <c r="B920" s="46" t="s">
        <v>1426</v>
      </c>
      <c r="C920" s="194" t="s">
        <v>2025</v>
      </c>
      <c r="D920" s="46"/>
      <c r="E920" s="46" t="s">
        <v>1428</v>
      </c>
      <c r="F920" s="61" t="s">
        <v>31</v>
      </c>
      <c r="G920" s="288">
        <v>428</v>
      </c>
      <c r="H920" s="289">
        <v>2</v>
      </c>
      <c r="I920" s="290">
        <v>3500</v>
      </c>
      <c r="J920" s="422" t="s">
        <v>32</v>
      </c>
      <c r="K920" s="50"/>
      <c r="L920" s="53" t="str">
        <f t="shared" si="155"/>
        <v>3500ml</v>
      </c>
      <c r="M920" s="54">
        <f t="shared" si="156"/>
        <v>7000</v>
      </c>
      <c r="N920" s="55" t="str">
        <f t="shared" si="157"/>
        <v>7000ml</v>
      </c>
      <c r="O920" s="56">
        <f t="shared" si="158"/>
        <v>856</v>
      </c>
      <c r="P920" s="44">
        <f t="shared" si="197"/>
        <v>428</v>
      </c>
      <c r="Q920" s="66"/>
      <c r="R920" s="32" t="b">
        <f t="shared" ref="R920:R921" si="198">G920=O920</f>
        <v>0</v>
      </c>
      <c r="S920" s="32"/>
      <c r="T920" s="32"/>
      <c r="U920" s="32"/>
      <c r="V920" s="32"/>
      <c r="W920" s="32"/>
      <c r="X920" s="32"/>
      <c r="Y920" s="32"/>
      <c r="Z920" s="32"/>
    </row>
    <row r="921" spans="1:26" ht="14.25" customHeight="1" x14ac:dyDescent="0.3">
      <c r="A921" s="45">
        <v>899</v>
      </c>
      <c r="B921" s="46" t="s">
        <v>1426</v>
      </c>
      <c r="C921" s="194" t="s">
        <v>1368</v>
      </c>
      <c r="D921" s="46"/>
      <c r="E921" s="46" t="s">
        <v>1428</v>
      </c>
      <c r="F921" s="61" t="s">
        <v>31</v>
      </c>
      <c r="G921" s="288">
        <v>435</v>
      </c>
      <c r="H921" s="289">
        <v>1</v>
      </c>
      <c r="I921" s="290">
        <v>3500</v>
      </c>
      <c r="J921" s="422" t="s">
        <v>32</v>
      </c>
      <c r="K921" s="50"/>
      <c r="L921" s="53" t="str">
        <f t="shared" si="155"/>
        <v>3500ml</v>
      </c>
      <c r="M921" s="54">
        <f t="shared" si="156"/>
        <v>3500</v>
      </c>
      <c r="N921" s="55" t="str">
        <f t="shared" si="157"/>
        <v>3500ml</v>
      </c>
      <c r="O921" s="56">
        <f t="shared" si="158"/>
        <v>435</v>
      </c>
      <c r="P921" s="44">
        <f t="shared" si="197"/>
        <v>435</v>
      </c>
      <c r="Q921" s="66"/>
      <c r="R921" s="32" t="b">
        <f t="shared" si="198"/>
        <v>1</v>
      </c>
      <c r="S921" s="32"/>
      <c r="T921" s="32"/>
      <c r="U921" s="32"/>
      <c r="V921" s="32"/>
      <c r="W921" s="32"/>
      <c r="X921" s="32"/>
      <c r="Y921" s="32"/>
      <c r="Z921" s="32"/>
    </row>
    <row r="922" spans="1:26" ht="14.25" customHeight="1" x14ac:dyDescent="0.3">
      <c r="A922" s="45"/>
      <c r="B922" s="46" t="s">
        <v>1426</v>
      </c>
      <c r="C922" s="194" t="s">
        <v>2023</v>
      </c>
      <c r="D922" s="46"/>
      <c r="E922" s="46" t="s">
        <v>1428</v>
      </c>
      <c r="F922" s="61" t="s">
        <v>31</v>
      </c>
      <c r="G922" s="288">
        <v>490.7</v>
      </c>
      <c r="H922" s="289">
        <v>3</v>
      </c>
      <c r="I922" s="290">
        <v>3500</v>
      </c>
      <c r="J922" s="48" t="s">
        <v>32</v>
      </c>
      <c r="K922" s="50"/>
      <c r="L922" s="53" t="str">
        <f t="shared" si="155"/>
        <v>3500ml</v>
      </c>
      <c r="M922" s="54">
        <f t="shared" si="156"/>
        <v>10500</v>
      </c>
      <c r="N922" s="55" t="str">
        <f t="shared" si="157"/>
        <v>10500ml</v>
      </c>
      <c r="O922" s="56">
        <f t="shared" si="158"/>
        <v>1472.1</v>
      </c>
      <c r="P922" s="12"/>
      <c r="Q922" s="12"/>
      <c r="R922" s="12"/>
      <c r="S922" s="151"/>
      <c r="T922" s="12"/>
      <c r="U922" s="12"/>
      <c r="V922" s="12"/>
      <c r="W922" s="12"/>
      <c r="X922" s="12"/>
      <c r="Y922" s="12"/>
      <c r="Z922" s="12"/>
    </row>
    <row r="923" spans="1:26" ht="14.25" customHeight="1" x14ac:dyDescent="0.3">
      <c r="A923" s="45"/>
      <c r="B923" s="46" t="s">
        <v>1426</v>
      </c>
      <c r="C923" s="194" t="s">
        <v>2022</v>
      </c>
      <c r="D923" s="46"/>
      <c r="E923" s="46" t="s">
        <v>1428</v>
      </c>
      <c r="F923" s="61" t="s">
        <v>31</v>
      </c>
      <c r="G923" s="288">
        <v>420</v>
      </c>
      <c r="H923" s="289">
        <v>4</v>
      </c>
      <c r="I923" s="290">
        <v>3500</v>
      </c>
      <c r="J923" s="48" t="s">
        <v>32</v>
      </c>
      <c r="K923" s="50"/>
      <c r="L923" s="53" t="str">
        <f t="shared" si="155"/>
        <v>3500ml</v>
      </c>
      <c r="M923" s="54">
        <f t="shared" si="156"/>
        <v>14000</v>
      </c>
      <c r="N923" s="55" t="str">
        <f t="shared" si="157"/>
        <v>14000ml</v>
      </c>
      <c r="O923" s="56">
        <f t="shared" si="158"/>
        <v>1680</v>
      </c>
      <c r="P923" s="12"/>
      <c r="Q923" s="12"/>
      <c r="R923" s="12"/>
      <c r="S923" s="151"/>
      <c r="T923" s="12"/>
      <c r="U923" s="12"/>
      <c r="V923" s="12"/>
      <c r="W923" s="12"/>
      <c r="X923" s="12"/>
      <c r="Y923" s="12"/>
      <c r="Z923" s="12"/>
    </row>
    <row r="924" spans="1:26" ht="14.25" customHeight="1" x14ac:dyDescent="0.3">
      <c r="A924" s="45"/>
      <c r="B924" s="46" t="s">
        <v>1426</v>
      </c>
      <c r="C924" s="194" t="s">
        <v>2022</v>
      </c>
      <c r="D924" s="46"/>
      <c r="E924" s="46" t="s">
        <v>1427</v>
      </c>
      <c r="F924" s="61" t="s">
        <v>31</v>
      </c>
      <c r="G924" s="288">
        <v>1217</v>
      </c>
      <c r="H924" s="289">
        <v>2</v>
      </c>
      <c r="I924" s="290">
        <v>3500</v>
      </c>
      <c r="J924" s="422" t="s">
        <v>32</v>
      </c>
      <c r="K924" s="50"/>
      <c r="L924" s="53" t="str">
        <f t="shared" si="155"/>
        <v>3500ml</v>
      </c>
      <c r="M924" s="54">
        <f t="shared" si="156"/>
        <v>7000</v>
      </c>
      <c r="N924" s="55" t="str">
        <f t="shared" si="157"/>
        <v>7000ml</v>
      </c>
      <c r="O924" s="56">
        <f t="shared" si="158"/>
        <v>2434</v>
      </c>
      <c r="P924" s="12"/>
      <c r="Q924" s="12"/>
      <c r="R924" s="12"/>
      <c r="S924" s="151"/>
      <c r="T924" s="12"/>
      <c r="U924" s="12"/>
      <c r="V924" s="12"/>
      <c r="W924" s="12"/>
      <c r="X924" s="12"/>
      <c r="Y924" s="12"/>
      <c r="Z924" s="12"/>
    </row>
    <row r="925" spans="1:26" ht="14.25" customHeight="1" x14ac:dyDescent="0.3">
      <c r="A925" s="45"/>
      <c r="B925" s="46" t="s">
        <v>1429</v>
      </c>
      <c r="C925" s="194" t="s">
        <v>2022</v>
      </c>
      <c r="D925" s="46"/>
      <c r="E925" s="46" t="s">
        <v>1430</v>
      </c>
      <c r="F925" s="61" t="s">
        <v>31</v>
      </c>
      <c r="G925" s="288">
        <v>7.33</v>
      </c>
      <c r="H925" s="289">
        <v>370</v>
      </c>
      <c r="I925" s="290"/>
      <c r="J925" s="48" t="s">
        <v>92</v>
      </c>
      <c r="K925" s="50"/>
      <c r="L925" s="53" t="str">
        <f t="shared" si="155"/>
        <v>pieces</v>
      </c>
      <c r="M925" s="54">
        <f t="shared" si="156"/>
        <v>0</v>
      </c>
      <c r="N925" s="55" t="str">
        <f t="shared" si="157"/>
        <v>0pieces</v>
      </c>
      <c r="O925" s="56">
        <f t="shared" si="158"/>
        <v>2712.1</v>
      </c>
      <c r="P925" s="12"/>
      <c r="Q925" s="12"/>
      <c r="R925" s="12"/>
      <c r="S925" s="151"/>
      <c r="T925" s="12"/>
      <c r="U925" s="12"/>
      <c r="V925" s="12"/>
      <c r="W925" s="12"/>
      <c r="X925" s="12"/>
      <c r="Y925" s="12"/>
      <c r="Z925" s="12"/>
    </row>
    <row r="926" spans="1:26" ht="14.25" customHeight="1" x14ac:dyDescent="0.3">
      <c r="A926" s="45"/>
      <c r="B926" s="46" t="s">
        <v>1429</v>
      </c>
      <c r="C926" s="194" t="s">
        <v>2022</v>
      </c>
      <c r="D926" s="46"/>
      <c r="E926" s="46" t="s">
        <v>1431</v>
      </c>
      <c r="F926" s="61" t="s">
        <v>31</v>
      </c>
      <c r="G926" s="288">
        <v>7.9</v>
      </c>
      <c r="H926" s="289">
        <v>250</v>
      </c>
      <c r="I926" s="290"/>
      <c r="J926" s="48" t="s">
        <v>92</v>
      </c>
      <c r="K926" s="50"/>
      <c r="L926" s="53" t="str">
        <f t="shared" si="155"/>
        <v>pieces</v>
      </c>
      <c r="M926" s="54">
        <f t="shared" si="156"/>
        <v>0</v>
      </c>
      <c r="N926" s="55" t="str">
        <f t="shared" si="157"/>
        <v>0pieces</v>
      </c>
      <c r="O926" s="56">
        <f t="shared" si="158"/>
        <v>1975</v>
      </c>
      <c r="P926" s="12"/>
      <c r="Q926" s="12"/>
      <c r="R926" s="12"/>
      <c r="S926" s="151"/>
      <c r="T926" s="12"/>
      <c r="U926" s="12"/>
      <c r="V926" s="12"/>
      <c r="W926" s="12"/>
      <c r="X926" s="12"/>
      <c r="Y926" s="12"/>
      <c r="Z926" s="12"/>
    </row>
    <row r="927" spans="1:26" ht="14.25" customHeight="1" x14ac:dyDescent="0.3">
      <c r="A927" s="45">
        <v>705</v>
      </c>
      <c r="B927" s="46" t="s">
        <v>1432</v>
      </c>
      <c r="C927" s="194" t="s">
        <v>2026</v>
      </c>
      <c r="D927" s="46"/>
      <c r="E927" s="46" t="s">
        <v>1368</v>
      </c>
      <c r="F927" s="61" t="s">
        <v>31</v>
      </c>
      <c r="G927" s="288">
        <v>31</v>
      </c>
      <c r="H927" s="289">
        <v>4</v>
      </c>
      <c r="I927" s="290">
        <v>210</v>
      </c>
      <c r="J927" s="48" t="s">
        <v>39</v>
      </c>
      <c r="K927" s="50"/>
      <c r="L927" s="53" t="str">
        <f t="shared" si="155"/>
        <v>210grams</v>
      </c>
      <c r="M927" s="54">
        <f t="shared" si="156"/>
        <v>840</v>
      </c>
      <c r="N927" s="55" t="str">
        <f t="shared" si="157"/>
        <v>840grams</v>
      </c>
      <c r="O927" s="56">
        <f t="shared" si="158"/>
        <v>124</v>
      </c>
      <c r="P927" s="44">
        <f>O927/H927</f>
        <v>31</v>
      </c>
      <c r="Q927" s="66"/>
      <c r="R927" s="32" t="b">
        <f>P927=G927</f>
        <v>1</v>
      </c>
      <c r="S927" s="32"/>
      <c r="T927" s="32"/>
      <c r="U927" s="32"/>
      <c r="V927" s="32"/>
      <c r="W927" s="32"/>
      <c r="X927" s="32"/>
      <c r="Y927" s="32"/>
      <c r="Z927" s="32"/>
    </row>
    <row r="928" spans="1:26" ht="14.25" customHeight="1" x14ac:dyDescent="0.3">
      <c r="A928" s="45"/>
      <c r="B928" s="46" t="s">
        <v>1432</v>
      </c>
      <c r="C928" s="194" t="s">
        <v>2020</v>
      </c>
      <c r="D928" s="46"/>
      <c r="E928" s="46" t="s">
        <v>910</v>
      </c>
      <c r="F928" s="61" t="s">
        <v>31</v>
      </c>
      <c r="G928" s="288">
        <v>31.9</v>
      </c>
      <c r="H928" s="289">
        <v>8</v>
      </c>
      <c r="I928" s="290">
        <v>250</v>
      </c>
      <c r="J928" s="48" t="s">
        <v>39</v>
      </c>
      <c r="K928" s="50"/>
      <c r="L928" s="53" t="str">
        <f t="shared" si="155"/>
        <v>250grams</v>
      </c>
      <c r="M928" s="54">
        <f t="shared" si="156"/>
        <v>2000</v>
      </c>
      <c r="N928" s="55" t="str">
        <f t="shared" si="157"/>
        <v>2000grams</v>
      </c>
      <c r="O928" s="56">
        <f t="shared" si="158"/>
        <v>255.2</v>
      </c>
      <c r="P928" s="12"/>
      <c r="Q928" s="12"/>
      <c r="R928" s="12"/>
      <c r="S928" s="151"/>
      <c r="T928" s="12"/>
      <c r="U928" s="12"/>
      <c r="V928" s="12"/>
      <c r="W928" s="12"/>
      <c r="X928" s="12"/>
      <c r="Y928" s="12"/>
      <c r="Z928" s="12"/>
    </row>
    <row r="929" spans="1:26" ht="14.25" customHeight="1" x14ac:dyDescent="0.3">
      <c r="A929" s="45">
        <v>265</v>
      </c>
      <c r="B929" s="46" t="s">
        <v>1432</v>
      </c>
      <c r="C929" s="194" t="s">
        <v>2025</v>
      </c>
      <c r="D929" s="46"/>
      <c r="E929" s="46" t="s">
        <v>910</v>
      </c>
      <c r="F929" s="61" t="s">
        <v>31</v>
      </c>
      <c r="G929" s="288">
        <v>31.9</v>
      </c>
      <c r="H929" s="289">
        <v>8</v>
      </c>
      <c r="I929" s="290">
        <v>250</v>
      </c>
      <c r="J929" s="48" t="s">
        <v>39</v>
      </c>
      <c r="K929" s="50"/>
      <c r="L929" s="53" t="str">
        <f t="shared" si="155"/>
        <v>250grams</v>
      </c>
      <c r="M929" s="54">
        <f t="shared" si="156"/>
        <v>2000</v>
      </c>
      <c r="N929" s="55" t="str">
        <f t="shared" si="157"/>
        <v>2000grams</v>
      </c>
      <c r="O929" s="56">
        <f t="shared" si="158"/>
        <v>255.2</v>
      </c>
      <c r="P929" s="44">
        <f t="shared" ref="P929:P930" si="199">O929/H929</f>
        <v>31.9</v>
      </c>
      <c r="Q929" s="66"/>
      <c r="R929" s="32"/>
      <c r="S929" s="32"/>
      <c r="T929" s="32"/>
      <c r="U929" s="32"/>
      <c r="V929" s="32"/>
      <c r="W929" s="32"/>
      <c r="X929" s="32"/>
      <c r="Y929" s="32"/>
      <c r="Z929" s="32"/>
    </row>
    <row r="930" spans="1:26" ht="14.25" customHeight="1" x14ac:dyDescent="0.3">
      <c r="A930" s="45">
        <v>802</v>
      </c>
      <c r="B930" s="46" t="s">
        <v>1432</v>
      </c>
      <c r="C930" s="194" t="s">
        <v>1368</v>
      </c>
      <c r="D930" s="46"/>
      <c r="E930" s="46" t="s">
        <v>910</v>
      </c>
      <c r="F930" s="61" t="s">
        <v>31</v>
      </c>
      <c r="G930" s="288">
        <v>35.75</v>
      </c>
      <c r="H930" s="289">
        <v>10</v>
      </c>
      <c r="I930" s="290">
        <v>250</v>
      </c>
      <c r="J930" s="48" t="s">
        <v>39</v>
      </c>
      <c r="K930" s="50"/>
      <c r="L930" s="53" t="str">
        <f t="shared" si="155"/>
        <v>250grams</v>
      </c>
      <c r="M930" s="54">
        <f t="shared" si="156"/>
        <v>2500</v>
      </c>
      <c r="N930" s="55" t="str">
        <f t="shared" si="157"/>
        <v>2500grams</v>
      </c>
      <c r="O930" s="56">
        <f t="shared" si="158"/>
        <v>357.5</v>
      </c>
      <c r="P930" s="44">
        <f t="shared" si="199"/>
        <v>35.75</v>
      </c>
      <c r="Q930" s="66"/>
      <c r="R930" s="32" t="b">
        <f>P930=G930</f>
        <v>1</v>
      </c>
      <c r="S930" s="32"/>
      <c r="T930" s="32"/>
      <c r="U930" s="32"/>
      <c r="V930" s="32"/>
      <c r="W930" s="32"/>
      <c r="X930" s="32"/>
      <c r="Y930" s="32"/>
      <c r="Z930" s="32"/>
    </row>
    <row r="931" spans="1:26" ht="14.25" customHeight="1" x14ac:dyDescent="0.3">
      <c r="A931" s="45"/>
      <c r="B931" s="46" t="s">
        <v>1433</v>
      </c>
      <c r="C931" s="194" t="s">
        <v>2022</v>
      </c>
      <c r="D931" s="46"/>
      <c r="E931" s="219" t="s">
        <v>854</v>
      </c>
      <c r="F931" s="61" t="s">
        <v>31</v>
      </c>
      <c r="G931" s="288">
        <v>89</v>
      </c>
      <c r="H931" s="289">
        <v>1</v>
      </c>
      <c r="I931" s="290">
        <v>60</v>
      </c>
      <c r="J931" s="48" t="s">
        <v>39</v>
      </c>
      <c r="K931" s="50"/>
      <c r="L931" s="53" t="str">
        <f t="shared" si="155"/>
        <v>60grams</v>
      </c>
      <c r="M931" s="54">
        <f t="shared" si="156"/>
        <v>60</v>
      </c>
      <c r="N931" s="55" t="str">
        <f t="shared" si="157"/>
        <v>60grams</v>
      </c>
      <c r="O931" s="56">
        <f t="shared" si="158"/>
        <v>89</v>
      </c>
      <c r="P931" s="12"/>
      <c r="Q931" s="12"/>
      <c r="R931" s="12"/>
      <c r="S931" s="151"/>
      <c r="T931" s="12"/>
      <c r="U931" s="12"/>
      <c r="V931" s="12"/>
      <c r="W931" s="12"/>
      <c r="X931" s="12"/>
      <c r="Y931" s="12"/>
      <c r="Z931" s="12"/>
    </row>
    <row r="932" spans="1:26" ht="14.25" customHeight="1" x14ac:dyDescent="0.3">
      <c r="A932" s="45">
        <v>562</v>
      </c>
      <c r="B932" s="46" t="s">
        <v>1434</v>
      </c>
      <c r="C932" s="194" t="s">
        <v>2026</v>
      </c>
      <c r="D932" s="46"/>
      <c r="E932" s="46"/>
      <c r="F932" s="61" t="s">
        <v>31</v>
      </c>
      <c r="G932" s="288">
        <v>80</v>
      </c>
      <c r="H932" s="289">
        <v>5</v>
      </c>
      <c r="I932" s="290">
        <v>1000</v>
      </c>
      <c r="J932" s="48" t="s">
        <v>39</v>
      </c>
      <c r="K932" s="50"/>
      <c r="L932" s="53" t="str">
        <f t="shared" si="155"/>
        <v>1000grams</v>
      </c>
      <c r="M932" s="54">
        <f t="shared" si="156"/>
        <v>5000</v>
      </c>
      <c r="N932" s="55" t="str">
        <f t="shared" si="157"/>
        <v>5000grams</v>
      </c>
      <c r="O932" s="56">
        <f t="shared" si="158"/>
        <v>400</v>
      </c>
      <c r="P932" s="44">
        <f>O932/H932</f>
        <v>80</v>
      </c>
      <c r="Q932" s="66"/>
      <c r="R932" s="32"/>
      <c r="S932" s="32"/>
      <c r="T932" s="32"/>
      <c r="U932" s="32"/>
      <c r="V932" s="32"/>
      <c r="W932" s="32"/>
      <c r="X932" s="32"/>
      <c r="Y932" s="32"/>
      <c r="Z932" s="32"/>
    </row>
    <row r="933" spans="1:26" ht="14.25" customHeight="1" x14ac:dyDescent="0.3">
      <c r="A933" s="45"/>
      <c r="B933" s="46" t="s">
        <v>1435</v>
      </c>
      <c r="C933" s="194" t="s">
        <v>2023</v>
      </c>
      <c r="D933" s="46"/>
      <c r="E933" s="219" t="s">
        <v>1436</v>
      </c>
      <c r="F933" s="61" t="s">
        <v>31</v>
      </c>
      <c r="G933" s="291">
        <v>2.99</v>
      </c>
      <c r="H933" s="292">
        <v>10</v>
      </c>
      <c r="I933" s="293">
        <v>1</v>
      </c>
      <c r="J933" s="414" t="s">
        <v>92</v>
      </c>
      <c r="K933" s="50"/>
      <c r="L933" s="53" t="str">
        <f t="shared" si="155"/>
        <v>1pieces</v>
      </c>
      <c r="M933" s="54">
        <f t="shared" si="156"/>
        <v>10</v>
      </c>
      <c r="N933" s="55" t="str">
        <f t="shared" si="157"/>
        <v>10pieces</v>
      </c>
      <c r="O933" s="56">
        <f t="shared" si="158"/>
        <v>29.900000000000002</v>
      </c>
      <c r="P933" s="12"/>
      <c r="Q933" s="12"/>
      <c r="R933" s="12"/>
      <c r="S933" s="151"/>
      <c r="T933" s="12"/>
      <c r="U933" s="12"/>
      <c r="V933" s="12"/>
      <c r="W933" s="12"/>
      <c r="X933" s="12"/>
      <c r="Y933" s="12"/>
      <c r="Z933" s="12"/>
    </row>
    <row r="934" spans="1:26" ht="14.25" customHeight="1" x14ac:dyDescent="0.3">
      <c r="A934" s="45"/>
      <c r="B934" s="46" t="s">
        <v>1435</v>
      </c>
      <c r="C934" s="194" t="s">
        <v>2023</v>
      </c>
      <c r="D934" s="46"/>
      <c r="E934" s="219" t="s">
        <v>1436</v>
      </c>
      <c r="F934" s="61" t="s">
        <v>31</v>
      </c>
      <c r="G934" s="291">
        <v>12</v>
      </c>
      <c r="H934" s="292">
        <v>120</v>
      </c>
      <c r="I934" s="293">
        <v>1</v>
      </c>
      <c r="J934" s="414" t="s">
        <v>92</v>
      </c>
      <c r="K934" s="50"/>
      <c r="L934" s="53" t="str">
        <f t="shared" si="155"/>
        <v>1pieces</v>
      </c>
      <c r="M934" s="54">
        <f t="shared" si="156"/>
        <v>120</v>
      </c>
      <c r="N934" s="55" t="str">
        <f t="shared" si="157"/>
        <v>120pieces</v>
      </c>
      <c r="O934" s="56">
        <f t="shared" si="158"/>
        <v>1440</v>
      </c>
      <c r="P934" s="12"/>
      <c r="Q934" s="12"/>
      <c r="R934" s="12"/>
      <c r="S934" s="151"/>
      <c r="T934" s="12"/>
      <c r="U934" s="12"/>
      <c r="V934" s="12"/>
      <c r="W934" s="12"/>
      <c r="X934" s="12"/>
      <c r="Y934" s="12"/>
      <c r="Z934" s="12"/>
    </row>
    <row r="935" spans="1:26" ht="15.75" customHeight="1" x14ac:dyDescent="0.3">
      <c r="A935" s="45"/>
      <c r="B935" s="46" t="s">
        <v>1435</v>
      </c>
      <c r="C935" s="194" t="s">
        <v>2021</v>
      </c>
      <c r="D935" s="46"/>
      <c r="E935" s="219" t="s">
        <v>1437</v>
      </c>
      <c r="F935" s="61" t="s">
        <v>31</v>
      </c>
      <c r="G935" s="291">
        <v>6.16</v>
      </c>
      <c r="H935" s="292">
        <v>20</v>
      </c>
      <c r="I935" s="293">
        <v>1</v>
      </c>
      <c r="J935" s="414" t="s">
        <v>92</v>
      </c>
      <c r="K935" s="50"/>
      <c r="L935" s="53" t="str">
        <f t="shared" si="155"/>
        <v>1pieces</v>
      </c>
      <c r="M935" s="54">
        <f t="shared" si="156"/>
        <v>20</v>
      </c>
      <c r="N935" s="55" t="str">
        <f t="shared" si="157"/>
        <v>20pieces</v>
      </c>
      <c r="O935" s="56">
        <f t="shared" si="158"/>
        <v>123.2</v>
      </c>
      <c r="P935" s="12"/>
      <c r="Q935" s="12"/>
      <c r="R935" s="12"/>
      <c r="S935" s="151"/>
      <c r="T935" s="12"/>
      <c r="U935" s="12"/>
      <c r="V935" s="12"/>
      <c r="W935" s="12"/>
      <c r="X935" s="12"/>
      <c r="Y935" s="12"/>
      <c r="Z935" s="12"/>
    </row>
    <row r="936" spans="1:26" ht="15.75" customHeight="1" x14ac:dyDescent="0.3">
      <c r="A936" s="45">
        <v>67</v>
      </c>
      <c r="B936" s="46" t="s">
        <v>1435</v>
      </c>
      <c r="C936" s="194" t="s">
        <v>29</v>
      </c>
      <c r="D936" s="46"/>
      <c r="E936" s="46" t="s">
        <v>1438</v>
      </c>
      <c r="F936" s="61" t="s">
        <v>31</v>
      </c>
      <c r="G936" s="288">
        <v>36.5</v>
      </c>
      <c r="H936" s="289">
        <v>4</v>
      </c>
      <c r="I936" s="290">
        <v>1</v>
      </c>
      <c r="J936" s="48" t="s">
        <v>304</v>
      </c>
      <c r="K936" s="61" t="s">
        <v>2019</v>
      </c>
      <c r="L936" s="415" t="str">
        <f t="shared" si="155"/>
        <v>1packs</v>
      </c>
      <c r="M936" s="416">
        <f t="shared" si="156"/>
        <v>4</v>
      </c>
      <c r="N936" s="417" t="str">
        <f t="shared" si="157"/>
        <v>4packs</v>
      </c>
      <c r="O936" s="418">
        <f t="shared" si="158"/>
        <v>146</v>
      </c>
      <c r="P936" s="419">
        <f>O936/H936</f>
        <v>36.5</v>
      </c>
      <c r="Q936" s="66">
        <f>G936-P936</f>
        <v>0</v>
      </c>
      <c r="R936" s="32" t="b">
        <f>P936=G936</f>
        <v>1</v>
      </c>
      <c r="S936" s="32"/>
      <c r="T936" s="32"/>
      <c r="U936" s="32"/>
      <c r="V936" s="32"/>
      <c r="W936" s="32"/>
      <c r="X936" s="32"/>
      <c r="Y936" s="32"/>
      <c r="Z936" s="32"/>
    </row>
    <row r="937" spans="1:26" ht="15.75" customHeight="1" x14ac:dyDescent="0.3">
      <c r="A937" s="45"/>
      <c r="B937" s="46" t="s">
        <v>1435</v>
      </c>
      <c r="C937" s="194" t="s">
        <v>2023</v>
      </c>
      <c r="D937" s="46"/>
      <c r="E937" s="46" t="s">
        <v>1439</v>
      </c>
      <c r="F937" s="61" t="s">
        <v>31</v>
      </c>
      <c r="G937" s="288">
        <v>3.65</v>
      </c>
      <c r="H937" s="289">
        <v>15</v>
      </c>
      <c r="I937" s="290">
        <v>10</v>
      </c>
      <c r="J937" s="48" t="s">
        <v>92</v>
      </c>
      <c r="K937" s="50"/>
      <c r="L937" s="53" t="str">
        <f t="shared" si="155"/>
        <v>10pieces</v>
      </c>
      <c r="M937" s="54">
        <f t="shared" si="156"/>
        <v>150</v>
      </c>
      <c r="N937" s="55" t="str">
        <f t="shared" si="157"/>
        <v>150pieces</v>
      </c>
      <c r="O937" s="56">
        <f t="shared" si="158"/>
        <v>54.75</v>
      </c>
      <c r="P937" s="12"/>
      <c r="Q937" s="12"/>
      <c r="R937" s="12"/>
      <c r="S937" s="151"/>
      <c r="T937" s="12"/>
      <c r="U937" s="12"/>
      <c r="V937" s="12"/>
      <c r="W937" s="12"/>
      <c r="X937" s="12"/>
      <c r="Y937" s="12"/>
      <c r="Z937" s="12"/>
    </row>
    <row r="938" spans="1:26" ht="15.75" customHeight="1" x14ac:dyDescent="0.3">
      <c r="A938" s="45"/>
      <c r="B938" s="46" t="s">
        <v>1435</v>
      </c>
      <c r="C938" s="194" t="s">
        <v>2021</v>
      </c>
      <c r="D938" s="46"/>
      <c r="E938" s="219" t="s">
        <v>1440</v>
      </c>
      <c r="F938" s="61" t="s">
        <v>31</v>
      </c>
      <c r="G938" s="291">
        <v>3.46</v>
      </c>
      <c r="H938" s="292">
        <v>100</v>
      </c>
      <c r="I938" s="293">
        <v>1</v>
      </c>
      <c r="J938" s="414" t="s">
        <v>92</v>
      </c>
      <c r="K938" s="50"/>
      <c r="L938" s="53" t="str">
        <f t="shared" si="155"/>
        <v>1pieces</v>
      </c>
      <c r="M938" s="54">
        <f t="shared" si="156"/>
        <v>100</v>
      </c>
      <c r="N938" s="55" t="str">
        <f t="shared" si="157"/>
        <v>100pieces</v>
      </c>
      <c r="O938" s="56">
        <f t="shared" si="158"/>
        <v>346</v>
      </c>
      <c r="P938" s="12"/>
      <c r="Q938" s="12"/>
      <c r="R938" s="12"/>
      <c r="S938" s="151"/>
      <c r="T938" s="12"/>
      <c r="U938" s="12"/>
      <c r="V938" s="12"/>
      <c r="W938" s="12"/>
      <c r="X938" s="12"/>
      <c r="Y938" s="12"/>
      <c r="Z938" s="12"/>
    </row>
    <row r="939" spans="1:26" ht="15.75" customHeight="1" x14ac:dyDescent="0.3">
      <c r="A939" s="45"/>
      <c r="B939" s="46" t="s">
        <v>1435</v>
      </c>
      <c r="C939" s="194" t="s">
        <v>2023</v>
      </c>
      <c r="D939" s="46"/>
      <c r="E939" s="46" t="s">
        <v>1441</v>
      </c>
      <c r="F939" s="61" t="s">
        <v>31</v>
      </c>
      <c r="G939" s="288">
        <v>2.6</v>
      </c>
      <c r="H939" s="289">
        <v>13</v>
      </c>
      <c r="I939" s="290">
        <v>10</v>
      </c>
      <c r="J939" s="48" t="s">
        <v>92</v>
      </c>
      <c r="K939" s="50"/>
      <c r="L939" s="53" t="str">
        <f t="shared" si="155"/>
        <v>10pieces</v>
      </c>
      <c r="M939" s="54">
        <f t="shared" si="156"/>
        <v>130</v>
      </c>
      <c r="N939" s="55" t="str">
        <f t="shared" si="157"/>
        <v>130pieces</v>
      </c>
      <c r="O939" s="56">
        <f t="shared" si="158"/>
        <v>33.800000000000004</v>
      </c>
      <c r="P939" s="12"/>
      <c r="Q939" s="12"/>
      <c r="R939" s="12"/>
      <c r="S939" s="151"/>
      <c r="T939" s="12"/>
      <c r="U939" s="12"/>
      <c r="V939" s="12"/>
      <c r="W939" s="12"/>
      <c r="X939" s="12"/>
      <c r="Y939" s="12"/>
      <c r="Z939" s="12"/>
    </row>
    <row r="940" spans="1:26" ht="15.75" customHeight="1" x14ac:dyDescent="0.3">
      <c r="A940" s="45"/>
      <c r="B940" s="46" t="s">
        <v>1435</v>
      </c>
      <c r="C940" s="194" t="s">
        <v>2021</v>
      </c>
      <c r="D940" s="46"/>
      <c r="E940" s="219" t="s">
        <v>1442</v>
      </c>
      <c r="F940" s="61" t="s">
        <v>31</v>
      </c>
      <c r="G940" s="291">
        <v>9.1999999999999993</v>
      </c>
      <c r="H940" s="292">
        <v>77</v>
      </c>
      <c r="I940" s="293">
        <v>1</v>
      </c>
      <c r="J940" s="414" t="s">
        <v>92</v>
      </c>
      <c r="K940" s="50"/>
      <c r="L940" s="53" t="str">
        <f t="shared" si="155"/>
        <v>1pieces</v>
      </c>
      <c r="M940" s="54">
        <f t="shared" si="156"/>
        <v>77</v>
      </c>
      <c r="N940" s="55" t="str">
        <f t="shared" si="157"/>
        <v>77pieces</v>
      </c>
      <c r="O940" s="56">
        <f t="shared" si="158"/>
        <v>708.4</v>
      </c>
      <c r="P940" s="12"/>
      <c r="Q940" s="12"/>
      <c r="R940" s="12"/>
      <c r="S940" s="151"/>
      <c r="T940" s="12"/>
      <c r="U940" s="12"/>
      <c r="V940" s="12"/>
      <c r="W940" s="12"/>
      <c r="X940" s="12"/>
      <c r="Y940" s="12"/>
      <c r="Z940" s="12"/>
    </row>
    <row r="941" spans="1:26" ht="15.75" customHeight="1" x14ac:dyDescent="0.3">
      <c r="A941" s="45"/>
      <c r="B941" s="46" t="s">
        <v>1435</v>
      </c>
      <c r="C941" s="194" t="s">
        <v>2021</v>
      </c>
      <c r="D941" s="46"/>
      <c r="E941" s="219" t="s">
        <v>1443</v>
      </c>
      <c r="F941" s="61" t="s">
        <v>31</v>
      </c>
      <c r="G941" s="291">
        <v>10</v>
      </c>
      <c r="H941" s="292">
        <v>48</v>
      </c>
      <c r="I941" s="293">
        <v>1</v>
      </c>
      <c r="J941" s="414" t="s">
        <v>92</v>
      </c>
      <c r="K941" s="50"/>
      <c r="L941" s="53" t="str">
        <f t="shared" si="155"/>
        <v>1pieces</v>
      </c>
      <c r="M941" s="54">
        <f t="shared" si="156"/>
        <v>48</v>
      </c>
      <c r="N941" s="55" t="str">
        <f t="shared" si="157"/>
        <v>48pieces</v>
      </c>
      <c r="O941" s="56">
        <f t="shared" si="158"/>
        <v>480</v>
      </c>
      <c r="P941" s="12"/>
      <c r="Q941" s="12"/>
      <c r="R941" s="12"/>
      <c r="S941" s="151"/>
      <c r="T941" s="12"/>
      <c r="U941" s="12"/>
      <c r="V941" s="12"/>
      <c r="W941" s="12"/>
      <c r="X941" s="12"/>
      <c r="Y941" s="12"/>
      <c r="Z941" s="12"/>
    </row>
    <row r="942" spans="1:26" ht="15.75" customHeight="1" x14ac:dyDescent="0.3">
      <c r="A942" s="45"/>
      <c r="B942" s="46" t="s">
        <v>1435</v>
      </c>
      <c r="C942" s="194" t="s">
        <v>2021</v>
      </c>
      <c r="D942" s="46"/>
      <c r="E942" s="219" t="s">
        <v>1444</v>
      </c>
      <c r="F942" s="61" t="s">
        <v>31</v>
      </c>
      <c r="G942" s="291">
        <v>10.199999999999999</v>
      </c>
      <c r="H942" s="292">
        <v>130</v>
      </c>
      <c r="I942" s="293">
        <v>1</v>
      </c>
      <c r="J942" s="414" t="s">
        <v>92</v>
      </c>
      <c r="K942" s="50"/>
      <c r="L942" s="53" t="str">
        <f t="shared" si="155"/>
        <v>1pieces</v>
      </c>
      <c r="M942" s="54">
        <f t="shared" si="156"/>
        <v>130</v>
      </c>
      <c r="N942" s="55" t="str">
        <f t="shared" si="157"/>
        <v>130pieces</v>
      </c>
      <c r="O942" s="56">
        <f t="shared" si="158"/>
        <v>1326</v>
      </c>
      <c r="P942" s="12"/>
      <c r="Q942" s="12"/>
      <c r="R942" s="12"/>
      <c r="S942" s="151"/>
      <c r="T942" s="12"/>
      <c r="U942" s="12"/>
      <c r="V942" s="12"/>
      <c r="W942" s="12"/>
      <c r="X942" s="12"/>
      <c r="Y942" s="12"/>
      <c r="Z942" s="12"/>
    </row>
    <row r="943" spans="1:26" ht="15.75" customHeight="1" x14ac:dyDescent="0.3">
      <c r="A943" s="45">
        <v>374</v>
      </c>
      <c r="B943" s="46" t="s">
        <v>1435</v>
      </c>
      <c r="C943" s="194" t="s">
        <v>2025</v>
      </c>
      <c r="D943" s="46"/>
      <c r="E943" s="46" t="s">
        <v>1445</v>
      </c>
      <c r="F943" s="61" t="s">
        <v>31</v>
      </c>
      <c r="G943" s="288">
        <v>7</v>
      </c>
      <c r="H943" s="289">
        <v>10</v>
      </c>
      <c r="I943" s="290">
        <v>1</v>
      </c>
      <c r="J943" s="48" t="s">
        <v>92</v>
      </c>
      <c r="K943" s="50"/>
      <c r="L943" s="53" t="str">
        <f t="shared" si="155"/>
        <v>1pieces</v>
      </c>
      <c r="M943" s="54">
        <f t="shared" si="156"/>
        <v>10</v>
      </c>
      <c r="N943" s="55" t="str">
        <f t="shared" si="157"/>
        <v>10pieces</v>
      </c>
      <c r="O943" s="56">
        <f t="shared" si="158"/>
        <v>70</v>
      </c>
      <c r="P943" s="44">
        <f t="shared" ref="P943:P944" si="200">O943/H943</f>
        <v>7</v>
      </c>
      <c r="Q943" s="66"/>
      <c r="R943" s="32" t="b">
        <f>P943=G943</f>
        <v>1</v>
      </c>
      <c r="S943" s="32"/>
      <c r="T943" s="32"/>
      <c r="U943" s="32"/>
      <c r="V943" s="32"/>
      <c r="W943" s="32"/>
      <c r="X943" s="32"/>
      <c r="Y943" s="32"/>
      <c r="Z943" s="32"/>
    </row>
    <row r="944" spans="1:26" ht="15.75" customHeight="1" x14ac:dyDescent="0.3">
      <c r="A944" s="45">
        <v>375</v>
      </c>
      <c r="B944" s="46" t="s">
        <v>1446</v>
      </c>
      <c r="C944" s="194" t="s">
        <v>2025</v>
      </c>
      <c r="D944" s="46"/>
      <c r="E944" s="46" t="s">
        <v>1447</v>
      </c>
      <c r="F944" s="61" t="s">
        <v>31</v>
      </c>
      <c r="G944" s="288">
        <v>10</v>
      </c>
      <c r="H944" s="289">
        <v>5</v>
      </c>
      <c r="I944" s="290">
        <v>1</v>
      </c>
      <c r="J944" s="48" t="s">
        <v>92</v>
      </c>
      <c r="K944" s="50"/>
      <c r="L944" s="53" t="str">
        <f t="shared" si="155"/>
        <v>1pieces</v>
      </c>
      <c r="M944" s="54">
        <f t="shared" si="156"/>
        <v>5</v>
      </c>
      <c r="N944" s="55" t="str">
        <f t="shared" si="157"/>
        <v>5pieces</v>
      </c>
      <c r="O944" s="56">
        <f t="shared" si="158"/>
        <v>50</v>
      </c>
      <c r="P944" s="44">
        <f t="shared" si="200"/>
        <v>10</v>
      </c>
      <c r="Q944" s="66"/>
      <c r="R944" s="32"/>
      <c r="S944" s="32"/>
      <c r="T944" s="32"/>
      <c r="U944" s="32"/>
      <c r="V944" s="32"/>
      <c r="W944" s="32"/>
      <c r="X944" s="32"/>
      <c r="Y944" s="32"/>
      <c r="Z944" s="32"/>
    </row>
    <row r="945" spans="1:26" ht="15.75" customHeight="1" x14ac:dyDescent="0.3">
      <c r="A945" s="45"/>
      <c r="B945" s="46" t="s">
        <v>1446</v>
      </c>
      <c r="C945" s="194" t="s">
        <v>2022</v>
      </c>
      <c r="D945" s="46"/>
      <c r="E945" s="46" t="s">
        <v>1448</v>
      </c>
      <c r="F945" s="61" t="s">
        <v>31</v>
      </c>
      <c r="G945" s="288">
        <v>3.65</v>
      </c>
      <c r="H945" s="289">
        <v>50</v>
      </c>
      <c r="I945" s="290">
        <v>1</v>
      </c>
      <c r="J945" s="48" t="s">
        <v>92</v>
      </c>
      <c r="K945" s="50"/>
      <c r="L945" s="53" t="str">
        <f t="shared" si="155"/>
        <v>1pieces</v>
      </c>
      <c r="M945" s="54">
        <f t="shared" si="156"/>
        <v>50</v>
      </c>
      <c r="N945" s="55" t="str">
        <f t="shared" si="157"/>
        <v>50pieces</v>
      </c>
      <c r="O945" s="56">
        <f t="shared" si="158"/>
        <v>182.5</v>
      </c>
      <c r="P945" s="12"/>
      <c r="Q945" s="12"/>
      <c r="R945" s="12"/>
      <c r="S945" s="151"/>
      <c r="T945" s="12"/>
      <c r="U945" s="12"/>
      <c r="V945" s="12"/>
      <c r="W945" s="12"/>
      <c r="X945" s="12"/>
      <c r="Y945" s="12"/>
      <c r="Z945" s="12"/>
    </row>
    <row r="946" spans="1:26" ht="15.75" customHeight="1" x14ac:dyDescent="0.3">
      <c r="A946" s="45"/>
      <c r="B946" s="46" t="s">
        <v>1446</v>
      </c>
      <c r="C946" s="194" t="s">
        <v>2022</v>
      </c>
      <c r="D946" s="46"/>
      <c r="E946" s="46" t="s">
        <v>1449</v>
      </c>
      <c r="F946" s="61" t="s">
        <v>31</v>
      </c>
      <c r="G946" s="288">
        <v>4.45</v>
      </c>
      <c r="H946" s="289">
        <v>90</v>
      </c>
      <c r="I946" s="290">
        <v>1</v>
      </c>
      <c r="J946" s="48" t="s">
        <v>92</v>
      </c>
      <c r="K946" s="50"/>
      <c r="L946" s="53" t="str">
        <f t="shared" si="155"/>
        <v>1pieces</v>
      </c>
      <c r="M946" s="54">
        <f t="shared" si="156"/>
        <v>90</v>
      </c>
      <c r="N946" s="55" t="str">
        <f t="shared" si="157"/>
        <v>90pieces</v>
      </c>
      <c r="O946" s="56">
        <f t="shared" si="158"/>
        <v>400.5</v>
      </c>
      <c r="P946" s="12"/>
      <c r="Q946" s="12"/>
      <c r="R946" s="12"/>
      <c r="S946" s="151"/>
      <c r="T946" s="12"/>
      <c r="U946" s="12"/>
      <c r="V946" s="12"/>
      <c r="W946" s="12"/>
      <c r="X946" s="12"/>
      <c r="Y946" s="12"/>
      <c r="Z946" s="12"/>
    </row>
    <row r="947" spans="1:26" ht="15.75" customHeight="1" x14ac:dyDescent="0.3">
      <c r="A947" s="45"/>
      <c r="B947" s="46" t="s">
        <v>1446</v>
      </c>
      <c r="C947" s="194" t="s">
        <v>2022</v>
      </c>
      <c r="D947" s="46"/>
      <c r="E947" s="46" t="s">
        <v>1449</v>
      </c>
      <c r="F947" s="61" t="s">
        <v>31</v>
      </c>
      <c r="G947" s="288">
        <v>4.95</v>
      </c>
      <c r="H947" s="289">
        <v>180</v>
      </c>
      <c r="I947" s="290">
        <v>1</v>
      </c>
      <c r="J947" s="48" t="s">
        <v>92</v>
      </c>
      <c r="K947" s="50"/>
      <c r="L947" s="53" t="str">
        <f t="shared" si="155"/>
        <v>1pieces</v>
      </c>
      <c r="M947" s="54">
        <f t="shared" si="156"/>
        <v>180</v>
      </c>
      <c r="N947" s="55" t="str">
        <f t="shared" si="157"/>
        <v>180pieces</v>
      </c>
      <c r="O947" s="56">
        <f t="shared" si="158"/>
        <v>891</v>
      </c>
      <c r="P947" s="12"/>
      <c r="Q947" s="12"/>
      <c r="R947" s="12"/>
      <c r="S947" s="151"/>
      <c r="T947" s="12"/>
      <c r="U947" s="12"/>
      <c r="V947" s="12"/>
      <c r="W947" s="12"/>
      <c r="X947" s="12"/>
      <c r="Y947" s="12"/>
      <c r="Z947" s="12"/>
    </row>
    <row r="948" spans="1:26" ht="15.75" customHeight="1" x14ac:dyDescent="0.3">
      <c r="A948" s="45"/>
      <c r="B948" s="46" t="s">
        <v>1446</v>
      </c>
      <c r="C948" s="194" t="s">
        <v>2022</v>
      </c>
      <c r="D948" s="46"/>
      <c r="E948" s="46" t="s">
        <v>1450</v>
      </c>
      <c r="F948" s="61" t="s">
        <v>31</v>
      </c>
      <c r="G948" s="288">
        <v>2.5</v>
      </c>
      <c r="H948" s="289">
        <v>561</v>
      </c>
      <c r="I948" s="290">
        <v>1</v>
      </c>
      <c r="J948" s="48" t="s">
        <v>92</v>
      </c>
      <c r="K948" s="50"/>
      <c r="L948" s="53" t="str">
        <f t="shared" si="155"/>
        <v>1pieces</v>
      </c>
      <c r="M948" s="54">
        <f t="shared" si="156"/>
        <v>561</v>
      </c>
      <c r="N948" s="55" t="str">
        <f t="shared" si="157"/>
        <v>561pieces</v>
      </c>
      <c r="O948" s="56">
        <f t="shared" si="158"/>
        <v>1402.5</v>
      </c>
      <c r="P948" s="12"/>
      <c r="Q948" s="12"/>
      <c r="R948" s="12"/>
      <c r="S948" s="151"/>
      <c r="T948" s="12"/>
      <c r="U948" s="12"/>
      <c r="V948" s="12"/>
      <c r="W948" s="12"/>
      <c r="X948" s="12"/>
      <c r="Y948" s="12"/>
      <c r="Z948" s="12"/>
    </row>
    <row r="949" spans="1:26" ht="15.75" customHeight="1" x14ac:dyDescent="0.3">
      <c r="A949" s="45"/>
      <c r="B949" s="46" t="s">
        <v>1446</v>
      </c>
      <c r="C949" s="194" t="s">
        <v>2022</v>
      </c>
      <c r="D949" s="46"/>
      <c r="E949" s="46" t="s">
        <v>1451</v>
      </c>
      <c r="F949" s="61" t="s">
        <v>31</v>
      </c>
      <c r="G949" s="288">
        <v>2.96</v>
      </c>
      <c r="H949" s="289">
        <v>567</v>
      </c>
      <c r="I949" s="290">
        <v>1</v>
      </c>
      <c r="J949" s="48" t="s">
        <v>92</v>
      </c>
      <c r="K949" s="50"/>
      <c r="L949" s="53" t="str">
        <f t="shared" si="155"/>
        <v>1pieces</v>
      </c>
      <c r="M949" s="54">
        <f t="shared" si="156"/>
        <v>567</v>
      </c>
      <c r="N949" s="55" t="str">
        <f t="shared" si="157"/>
        <v>567pieces</v>
      </c>
      <c r="O949" s="56">
        <f t="shared" si="158"/>
        <v>1678.32</v>
      </c>
      <c r="P949" s="12"/>
      <c r="Q949" s="12"/>
      <c r="R949" s="12"/>
      <c r="S949" s="151"/>
      <c r="T949" s="12"/>
      <c r="U949" s="12"/>
      <c r="V949" s="12"/>
      <c r="W949" s="12"/>
      <c r="X949" s="12"/>
      <c r="Y949" s="12"/>
      <c r="Z949" s="12"/>
    </row>
    <row r="950" spans="1:26" ht="15.75" customHeight="1" x14ac:dyDescent="0.3">
      <c r="A950" s="45">
        <v>824</v>
      </c>
      <c r="B950" s="46" t="s">
        <v>1452</v>
      </c>
      <c r="C950" s="194" t="s">
        <v>1368</v>
      </c>
      <c r="D950" s="46"/>
      <c r="E950" s="46"/>
      <c r="F950" s="61" t="s">
        <v>31</v>
      </c>
      <c r="G950" s="288">
        <v>36</v>
      </c>
      <c r="H950" s="289">
        <v>6</v>
      </c>
      <c r="I950" s="290">
        <v>1</v>
      </c>
      <c r="J950" s="48" t="s">
        <v>213</v>
      </c>
      <c r="K950" s="50"/>
      <c r="L950" s="53" t="str">
        <f t="shared" si="155"/>
        <v>1kilos</v>
      </c>
      <c r="M950" s="54">
        <f t="shared" si="156"/>
        <v>6</v>
      </c>
      <c r="N950" s="55" t="str">
        <f t="shared" si="157"/>
        <v>6kilos</v>
      </c>
      <c r="O950" s="56">
        <f t="shared" si="158"/>
        <v>216</v>
      </c>
      <c r="P950" s="44">
        <f>O950/H950</f>
        <v>36</v>
      </c>
      <c r="Q950" s="66"/>
      <c r="R950" s="32"/>
      <c r="S950" s="32"/>
      <c r="T950" s="32"/>
      <c r="U950" s="32"/>
      <c r="V950" s="32"/>
      <c r="W950" s="32"/>
      <c r="X950" s="32"/>
      <c r="Y950" s="32"/>
      <c r="Z950" s="32"/>
    </row>
    <row r="951" spans="1:26" ht="15.75" customHeight="1" x14ac:dyDescent="0.3">
      <c r="A951" s="45"/>
      <c r="B951" s="219" t="s">
        <v>1453</v>
      </c>
      <c r="C951" s="194" t="s">
        <v>2021</v>
      </c>
      <c r="D951" s="46"/>
      <c r="E951" s="219" t="s">
        <v>1454</v>
      </c>
      <c r="F951" s="61" t="s">
        <v>31</v>
      </c>
      <c r="G951" s="291">
        <v>38</v>
      </c>
      <c r="H951" s="292">
        <v>98</v>
      </c>
      <c r="I951" s="293">
        <v>250</v>
      </c>
      <c r="J951" s="414" t="s">
        <v>32</v>
      </c>
      <c r="K951" s="50"/>
      <c r="L951" s="53" t="str">
        <f t="shared" si="155"/>
        <v>250ml</v>
      </c>
      <c r="M951" s="54">
        <f t="shared" si="156"/>
        <v>24500</v>
      </c>
      <c r="N951" s="55" t="str">
        <f t="shared" si="157"/>
        <v>24500ml</v>
      </c>
      <c r="O951" s="56">
        <f t="shared" si="158"/>
        <v>3724</v>
      </c>
      <c r="P951" s="12"/>
      <c r="Q951" s="12"/>
      <c r="R951" s="12"/>
      <c r="S951" s="151"/>
      <c r="T951" s="12"/>
      <c r="U951" s="12"/>
      <c r="V951" s="12"/>
      <c r="W951" s="12"/>
      <c r="X951" s="12"/>
      <c r="Y951" s="12"/>
      <c r="Z951" s="12"/>
    </row>
    <row r="952" spans="1:26" ht="15.75" customHeight="1" x14ac:dyDescent="0.3">
      <c r="A952" s="45"/>
      <c r="B952" s="219" t="s">
        <v>1453</v>
      </c>
      <c r="C952" s="194" t="s">
        <v>2022</v>
      </c>
      <c r="D952" s="46"/>
      <c r="E952" s="46" t="s">
        <v>1455</v>
      </c>
      <c r="F952" s="61" t="s">
        <v>31</v>
      </c>
      <c r="G952" s="288">
        <v>99</v>
      </c>
      <c r="H952" s="289">
        <v>1</v>
      </c>
      <c r="I952" s="290">
        <v>1</v>
      </c>
      <c r="J952" s="48" t="s">
        <v>773</v>
      </c>
      <c r="K952" s="50"/>
      <c r="L952" s="53" t="str">
        <f t="shared" si="155"/>
        <v>1liters</v>
      </c>
      <c r="M952" s="54">
        <f t="shared" si="156"/>
        <v>1</v>
      </c>
      <c r="N952" s="55" t="str">
        <f t="shared" si="157"/>
        <v>1liters</v>
      </c>
      <c r="O952" s="56">
        <f t="shared" si="158"/>
        <v>99</v>
      </c>
      <c r="P952" s="12"/>
      <c r="Q952" s="12"/>
      <c r="R952" s="12"/>
      <c r="S952" s="151"/>
      <c r="T952" s="12"/>
      <c r="U952" s="12"/>
      <c r="V952" s="12"/>
      <c r="W952" s="12"/>
      <c r="X952" s="12"/>
      <c r="Y952" s="12"/>
      <c r="Z952" s="12"/>
    </row>
    <row r="953" spans="1:26" ht="15.75" customHeight="1" x14ac:dyDescent="0.3">
      <c r="A953" s="45"/>
      <c r="B953" s="46" t="s">
        <v>1456</v>
      </c>
      <c r="C953" s="194" t="s">
        <v>2020</v>
      </c>
      <c r="D953" s="46"/>
      <c r="E953" s="46" t="s">
        <v>125</v>
      </c>
      <c r="F953" s="61" t="s">
        <v>31</v>
      </c>
      <c r="G953" s="288">
        <v>12.9</v>
      </c>
      <c r="H953" s="289">
        <v>34</v>
      </c>
      <c r="I953" s="290">
        <v>33</v>
      </c>
      <c r="J953" s="48" t="s">
        <v>39</v>
      </c>
      <c r="K953" s="50"/>
      <c r="L953" s="53" t="str">
        <f t="shared" si="155"/>
        <v>33grams</v>
      </c>
      <c r="M953" s="54">
        <f t="shared" si="156"/>
        <v>1122</v>
      </c>
      <c r="N953" s="55" t="str">
        <f t="shared" si="157"/>
        <v>1122grams</v>
      </c>
      <c r="O953" s="56">
        <f t="shared" si="158"/>
        <v>438.6</v>
      </c>
      <c r="P953" s="12"/>
      <c r="Q953" s="12"/>
      <c r="R953" s="12"/>
      <c r="S953" s="151"/>
      <c r="T953" s="12"/>
      <c r="U953" s="12"/>
      <c r="V953" s="12"/>
      <c r="W953" s="12"/>
      <c r="X953" s="12"/>
      <c r="Y953" s="12"/>
      <c r="Z953" s="12"/>
    </row>
    <row r="954" spans="1:26" ht="15.75" customHeight="1" x14ac:dyDescent="0.3">
      <c r="A954" s="45"/>
      <c r="B954" s="219" t="s">
        <v>1456</v>
      </c>
      <c r="C954" s="194" t="s">
        <v>2021</v>
      </c>
      <c r="D954" s="46"/>
      <c r="E954" s="219" t="s">
        <v>1457</v>
      </c>
      <c r="F954" s="61" t="s">
        <v>31</v>
      </c>
      <c r="G954" s="291">
        <v>11.1</v>
      </c>
      <c r="H954" s="292">
        <v>1</v>
      </c>
      <c r="I954" s="293">
        <v>1</v>
      </c>
      <c r="J954" s="414" t="s">
        <v>39</v>
      </c>
      <c r="K954" s="50"/>
      <c r="L954" s="53" t="str">
        <f t="shared" si="155"/>
        <v>1grams</v>
      </c>
      <c r="M954" s="54">
        <f t="shared" si="156"/>
        <v>1</v>
      </c>
      <c r="N954" s="55" t="str">
        <f t="shared" si="157"/>
        <v>1grams</v>
      </c>
      <c r="O954" s="56">
        <f t="shared" si="158"/>
        <v>11.1</v>
      </c>
      <c r="P954" s="12"/>
      <c r="Q954" s="12"/>
      <c r="R954" s="12"/>
      <c r="S954" s="151"/>
      <c r="T954" s="12"/>
      <c r="U954" s="12"/>
      <c r="V954" s="12"/>
      <c r="W954" s="12"/>
      <c r="X954" s="12"/>
      <c r="Y954" s="12"/>
      <c r="Z954" s="12"/>
    </row>
    <row r="955" spans="1:26" ht="15.75" customHeight="1" x14ac:dyDescent="0.3">
      <c r="A955" s="45"/>
      <c r="B955" s="219" t="s">
        <v>1456</v>
      </c>
      <c r="C955" s="194" t="s">
        <v>2020</v>
      </c>
      <c r="D955" s="46"/>
      <c r="E955" s="219" t="s">
        <v>1457</v>
      </c>
      <c r="F955" s="61" t="s">
        <v>31</v>
      </c>
      <c r="G955" s="288">
        <v>11.1</v>
      </c>
      <c r="H955" s="289">
        <v>33</v>
      </c>
      <c r="I955" s="290">
        <v>33</v>
      </c>
      <c r="J955" s="48" t="s">
        <v>39</v>
      </c>
      <c r="K955" s="50"/>
      <c r="L955" s="53" t="str">
        <f t="shared" si="155"/>
        <v>33grams</v>
      </c>
      <c r="M955" s="54">
        <f t="shared" si="156"/>
        <v>1089</v>
      </c>
      <c r="N955" s="55" t="str">
        <f t="shared" si="157"/>
        <v>1089grams</v>
      </c>
      <c r="O955" s="56">
        <f t="shared" si="158"/>
        <v>366.3</v>
      </c>
      <c r="P955" s="12"/>
      <c r="Q955" s="12"/>
      <c r="R955" s="12"/>
      <c r="S955" s="151"/>
      <c r="T955" s="12"/>
      <c r="U955" s="12"/>
      <c r="V955" s="12"/>
      <c r="W955" s="12"/>
      <c r="X955" s="12"/>
      <c r="Y955" s="12"/>
      <c r="Z955" s="12"/>
    </row>
    <row r="956" spans="1:26" ht="15.75" customHeight="1" x14ac:dyDescent="0.3">
      <c r="A956" s="45"/>
      <c r="B956" s="46" t="s">
        <v>1456</v>
      </c>
      <c r="C956" s="194" t="s">
        <v>2023</v>
      </c>
      <c r="D956" s="46"/>
      <c r="E956" s="219" t="s">
        <v>1457</v>
      </c>
      <c r="F956" s="61" t="s">
        <v>31</v>
      </c>
      <c r="G956" s="288">
        <v>11.1</v>
      </c>
      <c r="H956" s="289">
        <v>296</v>
      </c>
      <c r="I956" s="290">
        <v>33</v>
      </c>
      <c r="J956" s="48" t="s">
        <v>39</v>
      </c>
      <c r="K956" s="50"/>
      <c r="L956" s="53" t="str">
        <f t="shared" si="155"/>
        <v>33grams</v>
      </c>
      <c r="M956" s="54">
        <f t="shared" si="156"/>
        <v>9768</v>
      </c>
      <c r="N956" s="55" t="str">
        <f t="shared" si="157"/>
        <v>9768grams</v>
      </c>
      <c r="O956" s="56">
        <f t="shared" si="158"/>
        <v>3285.6</v>
      </c>
      <c r="P956" s="12"/>
      <c r="Q956" s="12"/>
      <c r="R956" s="12"/>
      <c r="S956" s="151"/>
      <c r="T956" s="12"/>
      <c r="U956" s="12"/>
      <c r="V956" s="12"/>
      <c r="W956" s="12"/>
      <c r="X956" s="12"/>
      <c r="Y956" s="12"/>
      <c r="Z956" s="12"/>
    </row>
    <row r="957" spans="1:26" ht="15.75" customHeight="1" x14ac:dyDescent="0.3">
      <c r="A957" s="45"/>
      <c r="B957" s="46" t="s">
        <v>1458</v>
      </c>
      <c r="C957" s="194" t="s">
        <v>2022</v>
      </c>
      <c r="D957" s="46"/>
      <c r="E957" s="219" t="s">
        <v>1457</v>
      </c>
      <c r="F957" s="61" t="s">
        <v>31</v>
      </c>
      <c r="G957" s="288">
        <v>11.1</v>
      </c>
      <c r="H957" s="289">
        <v>2</v>
      </c>
      <c r="I957" s="290">
        <v>33</v>
      </c>
      <c r="J957" s="48" t="s">
        <v>39</v>
      </c>
      <c r="K957" s="50"/>
      <c r="L957" s="53" t="str">
        <f t="shared" si="155"/>
        <v>33grams</v>
      </c>
      <c r="M957" s="54">
        <f t="shared" si="156"/>
        <v>66</v>
      </c>
      <c r="N957" s="55" t="str">
        <f t="shared" si="157"/>
        <v>66grams</v>
      </c>
      <c r="O957" s="56">
        <f t="shared" si="158"/>
        <v>22.2</v>
      </c>
      <c r="P957" s="12"/>
      <c r="Q957" s="12"/>
      <c r="R957" s="12"/>
      <c r="S957" s="151"/>
      <c r="T957" s="12"/>
      <c r="U957" s="12"/>
      <c r="V957" s="12"/>
      <c r="W957" s="12"/>
      <c r="X957" s="12"/>
      <c r="Y957" s="12"/>
      <c r="Z957" s="12"/>
    </row>
    <row r="958" spans="1:26" ht="15.75" customHeight="1" x14ac:dyDescent="0.3">
      <c r="A958" s="45"/>
      <c r="B958" s="219" t="s">
        <v>1459</v>
      </c>
      <c r="C958" s="194" t="s">
        <v>2021</v>
      </c>
      <c r="D958" s="46"/>
      <c r="E958" s="219" t="s">
        <v>1457</v>
      </c>
      <c r="F958" s="61" t="s">
        <v>31</v>
      </c>
      <c r="G958" s="291">
        <v>27.5</v>
      </c>
      <c r="H958" s="292">
        <v>9</v>
      </c>
      <c r="I958" s="293">
        <v>200</v>
      </c>
      <c r="J958" s="414" t="s">
        <v>32</v>
      </c>
      <c r="K958" s="50"/>
      <c r="L958" s="53" t="str">
        <f t="shared" si="155"/>
        <v>200ml</v>
      </c>
      <c r="M958" s="54">
        <f t="shared" si="156"/>
        <v>1800</v>
      </c>
      <c r="N958" s="55" t="str">
        <f t="shared" si="157"/>
        <v>1800ml</v>
      </c>
      <c r="O958" s="56">
        <f t="shared" si="158"/>
        <v>247.5</v>
      </c>
      <c r="P958" s="12"/>
      <c r="Q958" s="12"/>
      <c r="R958" s="12"/>
      <c r="S958" s="151"/>
      <c r="T958" s="12"/>
      <c r="U958" s="12"/>
      <c r="V958" s="12"/>
      <c r="W958" s="12"/>
      <c r="X958" s="12"/>
      <c r="Y958" s="12"/>
      <c r="Z958" s="12"/>
    </row>
    <row r="959" spans="1:26" ht="15.75" customHeight="1" x14ac:dyDescent="0.3">
      <c r="A959" s="45">
        <v>80</v>
      </c>
      <c r="B959" s="46" t="s">
        <v>103</v>
      </c>
      <c r="C959" s="194" t="s">
        <v>29</v>
      </c>
      <c r="D959" s="46"/>
      <c r="E959" s="46" t="s">
        <v>1460</v>
      </c>
      <c r="F959" s="61" t="s">
        <v>31</v>
      </c>
      <c r="G959" s="288">
        <v>10.16</v>
      </c>
      <c r="H959" s="289">
        <v>154</v>
      </c>
      <c r="I959" s="290">
        <v>500</v>
      </c>
      <c r="J959" s="61" t="s">
        <v>32</v>
      </c>
      <c r="K959" s="61" t="s">
        <v>2019</v>
      </c>
      <c r="L959" s="415" t="str">
        <f t="shared" si="155"/>
        <v>500ml</v>
      </c>
      <c r="M959" s="416">
        <f t="shared" si="156"/>
        <v>77000</v>
      </c>
      <c r="N959" s="417" t="str">
        <f t="shared" si="157"/>
        <v>77000ml</v>
      </c>
      <c r="O959" s="418">
        <f t="shared" si="158"/>
        <v>1564.64</v>
      </c>
      <c r="P959" s="419">
        <f t="shared" ref="P959:P966" si="201">O959/H959</f>
        <v>10.16</v>
      </c>
      <c r="Q959" s="66"/>
      <c r="R959" s="32"/>
      <c r="S959" s="32"/>
      <c r="T959" s="32"/>
      <c r="U959" s="32"/>
      <c r="V959" s="32"/>
      <c r="W959" s="32"/>
      <c r="X959" s="32"/>
      <c r="Y959" s="32"/>
      <c r="Z959" s="32"/>
    </row>
    <row r="960" spans="1:26" ht="15.75" customHeight="1" x14ac:dyDescent="0.3">
      <c r="A960" s="45">
        <v>93</v>
      </c>
      <c r="B960" s="46" t="s">
        <v>103</v>
      </c>
      <c r="C960" s="194" t="s">
        <v>2024</v>
      </c>
      <c r="D960" s="46"/>
      <c r="E960" s="46" t="s">
        <v>1460</v>
      </c>
      <c r="F960" s="61" t="s">
        <v>31</v>
      </c>
      <c r="G960" s="288">
        <v>7.72</v>
      </c>
      <c r="H960" s="289">
        <v>65</v>
      </c>
      <c r="I960" s="290">
        <v>350</v>
      </c>
      <c r="J960" s="61" t="s">
        <v>32</v>
      </c>
      <c r="K960" s="50"/>
      <c r="L960" s="53" t="str">
        <f t="shared" si="155"/>
        <v>350ml</v>
      </c>
      <c r="M960" s="54">
        <f t="shared" si="156"/>
        <v>22750</v>
      </c>
      <c r="N960" s="55" t="str">
        <f t="shared" si="157"/>
        <v>22750ml</v>
      </c>
      <c r="O960" s="56">
        <f t="shared" si="158"/>
        <v>501.8</v>
      </c>
      <c r="P960" s="44">
        <f t="shared" si="201"/>
        <v>7.72</v>
      </c>
      <c r="Q960" s="66"/>
      <c r="R960" s="32"/>
      <c r="S960" s="32"/>
      <c r="T960" s="32"/>
      <c r="U960" s="32"/>
      <c r="V960" s="32"/>
      <c r="W960" s="32"/>
      <c r="X960" s="32"/>
      <c r="Y960" s="32"/>
      <c r="Z960" s="32"/>
    </row>
    <row r="961" spans="1:26" ht="15.75" customHeight="1" x14ac:dyDescent="0.3">
      <c r="A961" s="45">
        <v>99</v>
      </c>
      <c r="B961" s="46" t="s">
        <v>103</v>
      </c>
      <c r="C961" s="194" t="s">
        <v>2024</v>
      </c>
      <c r="D961" s="46"/>
      <c r="E961" s="46" t="s">
        <v>1461</v>
      </c>
      <c r="F961" s="61" t="s">
        <v>31</v>
      </c>
      <c r="G961" s="288">
        <v>39</v>
      </c>
      <c r="H961" s="289">
        <v>49</v>
      </c>
      <c r="I961" s="290">
        <v>330</v>
      </c>
      <c r="J961" s="61" t="s">
        <v>32</v>
      </c>
      <c r="K961" s="50"/>
      <c r="L961" s="53" t="str">
        <f t="shared" si="155"/>
        <v>330ml</v>
      </c>
      <c r="M961" s="54">
        <f t="shared" si="156"/>
        <v>16170</v>
      </c>
      <c r="N961" s="55" t="str">
        <f t="shared" si="157"/>
        <v>16170ml</v>
      </c>
      <c r="O961" s="56">
        <f t="shared" si="158"/>
        <v>1911</v>
      </c>
      <c r="P961" s="44">
        <f t="shared" si="201"/>
        <v>39</v>
      </c>
      <c r="Q961" s="66"/>
      <c r="R961" s="32" t="b">
        <f>P961=G961</f>
        <v>1</v>
      </c>
      <c r="S961" s="32"/>
      <c r="T961" s="32"/>
      <c r="U961" s="32"/>
      <c r="V961" s="32"/>
      <c r="W961" s="32"/>
      <c r="X961" s="32"/>
      <c r="Y961" s="32"/>
      <c r="Z961" s="32"/>
    </row>
    <row r="962" spans="1:26" ht="15.75" customHeight="1" x14ac:dyDescent="0.3">
      <c r="A962" s="45">
        <v>109</v>
      </c>
      <c r="B962" s="46" t="s">
        <v>103</v>
      </c>
      <c r="C962" s="194" t="s">
        <v>2024</v>
      </c>
      <c r="D962" s="46"/>
      <c r="E962" s="46" t="s">
        <v>1460</v>
      </c>
      <c r="F962" s="61" t="s">
        <v>31</v>
      </c>
      <c r="G962" s="288">
        <v>10.16</v>
      </c>
      <c r="H962" s="289">
        <v>24</v>
      </c>
      <c r="I962" s="290">
        <v>500</v>
      </c>
      <c r="J962" s="61" t="s">
        <v>32</v>
      </c>
      <c r="K962" s="50"/>
      <c r="L962" s="53" t="str">
        <f t="shared" si="155"/>
        <v>500ml</v>
      </c>
      <c r="M962" s="54">
        <f t="shared" si="156"/>
        <v>12000</v>
      </c>
      <c r="N962" s="55" t="str">
        <f t="shared" si="157"/>
        <v>12000ml</v>
      </c>
      <c r="O962" s="56">
        <f t="shared" si="158"/>
        <v>243.84</v>
      </c>
      <c r="P962" s="44">
        <f t="shared" si="201"/>
        <v>10.16</v>
      </c>
      <c r="Q962" s="66"/>
      <c r="R962" s="32"/>
      <c r="S962" s="32"/>
      <c r="T962" s="32"/>
      <c r="U962" s="32"/>
      <c r="V962" s="32"/>
      <c r="W962" s="32"/>
      <c r="X962" s="32"/>
      <c r="Y962" s="32"/>
      <c r="Z962" s="32"/>
    </row>
    <row r="963" spans="1:26" ht="15.75" customHeight="1" x14ac:dyDescent="0.3">
      <c r="A963" s="45">
        <v>130</v>
      </c>
      <c r="B963" s="46" t="s">
        <v>103</v>
      </c>
      <c r="C963" s="194" t="s">
        <v>2024</v>
      </c>
      <c r="D963" s="46"/>
      <c r="E963" s="46" t="s">
        <v>1462</v>
      </c>
      <c r="F963" s="61" t="s">
        <v>31</v>
      </c>
      <c r="G963" s="288">
        <v>90</v>
      </c>
      <c r="H963" s="289">
        <v>11</v>
      </c>
      <c r="I963" s="290">
        <v>250</v>
      </c>
      <c r="J963" s="61" t="s">
        <v>32</v>
      </c>
      <c r="K963" s="50"/>
      <c r="L963" s="53" t="str">
        <f t="shared" si="155"/>
        <v>250ml</v>
      </c>
      <c r="M963" s="54">
        <f t="shared" si="156"/>
        <v>2750</v>
      </c>
      <c r="N963" s="55" t="str">
        <f t="shared" si="157"/>
        <v>2750ml</v>
      </c>
      <c r="O963" s="56">
        <f t="shared" si="158"/>
        <v>990</v>
      </c>
      <c r="P963" s="44">
        <f t="shared" si="201"/>
        <v>90</v>
      </c>
      <c r="Q963" s="66"/>
      <c r="R963" s="32"/>
      <c r="S963" s="32"/>
      <c r="T963" s="32"/>
      <c r="U963" s="32"/>
      <c r="V963" s="32"/>
      <c r="W963" s="32"/>
      <c r="X963" s="32"/>
      <c r="Y963" s="32"/>
      <c r="Z963" s="32"/>
    </row>
    <row r="964" spans="1:26" ht="15.75" customHeight="1" x14ac:dyDescent="0.3">
      <c r="A964" s="45">
        <v>150</v>
      </c>
      <c r="B964" s="46" t="s">
        <v>103</v>
      </c>
      <c r="C964" s="194" t="s">
        <v>2024</v>
      </c>
      <c r="D964" s="46"/>
      <c r="E964" s="46" t="s">
        <v>1462</v>
      </c>
      <c r="F964" s="61" t="s">
        <v>31</v>
      </c>
      <c r="G964" s="288">
        <v>114</v>
      </c>
      <c r="H964" s="289">
        <v>6</v>
      </c>
      <c r="I964" s="290">
        <v>500</v>
      </c>
      <c r="J964" s="61" t="s">
        <v>32</v>
      </c>
      <c r="K964" s="50"/>
      <c r="L964" s="53" t="str">
        <f t="shared" si="155"/>
        <v>500ml</v>
      </c>
      <c r="M964" s="54">
        <f t="shared" si="156"/>
        <v>3000</v>
      </c>
      <c r="N964" s="55" t="str">
        <f t="shared" si="157"/>
        <v>3000ml</v>
      </c>
      <c r="O964" s="56">
        <f t="shared" si="158"/>
        <v>684</v>
      </c>
      <c r="P964" s="44">
        <f t="shared" si="201"/>
        <v>114</v>
      </c>
      <c r="Q964" s="66"/>
      <c r="R964" s="32" t="b">
        <f t="shared" ref="R964:R966" si="202">P964=G964</f>
        <v>1</v>
      </c>
      <c r="S964" s="32"/>
      <c r="T964" s="32"/>
      <c r="U964" s="32"/>
      <c r="V964" s="32"/>
      <c r="W964" s="32"/>
      <c r="X964" s="32"/>
      <c r="Y964" s="32"/>
      <c r="Z964" s="32"/>
    </row>
    <row r="965" spans="1:26" ht="15.75" customHeight="1" x14ac:dyDescent="0.3">
      <c r="A965" s="45">
        <v>395</v>
      </c>
      <c r="B965" s="46" t="s">
        <v>103</v>
      </c>
      <c r="C965" s="194" t="s">
        <v>2025</v>
      </c>
      <c r="D965" s="46"/>
      <c r="E965" s="46" t="s">
        <v>1462</v>
      </c>
      <c r="F965" s="61" t="s">
        <v>31</v>
      </c>
      <c r="G965" s="288">
        <v>85</v>
      </c>
      <c r="H965" s="289">
        <v>27</v>
      </c>
      <c r="I965" s="290">
        <v>250</v>
      </c>
      <c r="J965" s="61" t="s">
        <v>32</v>
      </c>
      <c r="K965" s="50"/>
      <c r="L965" s="53" t="str">
        <f t="shared" si="155"/>
        <v>250ml</v>
      </c>
      <c r="M965" s="54">
        <f t="shared" si="156"/>
        <v>6750</v>
      </c>
      <c r="N965" s="55" t="str">
        <f t="shared" si="157"/>
        <v>6750ml</v>
      </c>
      <c r="O965" s="56">
        <f t="shared" si="158"/>
        <v>2295</v>
      </c>
      <c r="P965" s="44">
        <f t="shared" si="201"/>
        <v>85</v>
      </c>
      <c r="Q965" s="66"/>
      <c r="R965" s="32" t="b">
        <f t="shared" si="202"/>
        <v>1</v>
      </c>
      <c r="S965" s="32"/>
      <c r="T965" s="32"/>
      <c r="U965" s="32"/>
      <c r="V965" s="32"/>
      <c r="W965" s="32"/>
      <c r="X965" s="32"/>
      <c r="Y965" s="32"/>
      <c r="Z965" s="32"/>
    </row>
    <row r="966" spans="1:26" ht="15.75" customHeight="1" x14ac:dyDescent="0.3">
      <c r="A966" s="45">
        <v>520</v>
      </c>
      <c r="B966" s="46" t="s">
        <v>103</v>
      </c>
      <c r="C966" s="194" t="s">
        <v>2026</v>
      </c>
      <c r="D966" s="46"/>
      <c r="E966" s="46" t="s">
        <v>1460</v>
      </c>
      <c r="F966" s="61" t="s">
        <v>31</v>
      </c>
      <c r="G966" s="288">
        <v>7.72</v>
      </c>
      <c r="H966" s="289">
        <v>75</v>
      </c>
      <c r="I966" s="290">
        <v>350</v>
      </c>
      <c r="J966" s="61" t="s">
        <v>32</v>
      </c>
      <c r="K966" s="50"/>
      <c r="L966" s="53" t="str">
        <f t="shared" si="155"/>
        <v>350ml</v>
      </c>
      <c r="M966" s="54">
        <f t="shared" si="156"/>
        <v>26250</v>
      </c>
      <c r="N966" s="55" t="str">
        <f t="shared" si="157"/>
        <v>26250ml</v>
      </c>
      <c r="O966" s="56">
        <f t="shared" si="158"/>
        <v>579</v>
      </c>
      <c r="P966" s="44">
        <f t="shared" si="201"/>
        <v>7.72</v>
      </c>
      <c r="Q966" s="66"/>
      <c r="R966" s="32" t="b">
        <f t="shared" si="202"/>
        <v>1</v>
      </c>
      <c r="S966" s="32"/>
      <c r="T966" s="32"/>
      <c r="U966" s="32"/>
      <c r="V966" s="32"/>
      <c r="W966" s="32"/>
      <c r="X966" s="32"/>
      <c r="Y966" s="32"/>
      <c r="Z966" s="32"/>
    </row>
    <row r="967" spans="1:26" ht="15.75" customHeight="1" x14ac:dyDescent="0.3">
      <c r="A967" s="45"/>
      <c r="B967" s="46" t="s">
        <v>103</v>
      </c>
      <c r="C967" s="194" t="s">
        <v>2022</v>
      </c>
      <c r="D967" s="46"/>
      <c r="E967" s="46" t="s">
        <v>1463</v>
      </c>
      <c r="F967" s="61" t="s">
        <v>31</v>
      </c>
      <c r="G967" s="288">
        <v>9.08</v>
      </c>
      <c r="H967" s="289">
        <v>243</v>
      </c>
      <c r="I967" s="290">
        <v>350</v>
      </c>
      <c r="J967" s="61" t="s">
        <v>32</v>
      </c>
      <c r="K967" s="50"/>
      <c r="L967" s="53" t="str">
        <f t="shared" si="155"/>
        <v>350ml</v>
      </c>
      <c r="M967" s="54">
        <f t="shared" si="156"/>
        <v>85050</v>
      </c>
      <c r="N967" s="55" t="str">
        <f t="shared" si="157"/>
        <v>85050ml</v>
      </c>
      <c r="O967" s="56">
        <f t="shared" si="158"/>
        <v>2206.44</v>
      </c>
      <c r="P967" s="12"/>
      <c r="Q967" s="12"/>
      <c r="R967" s="12"/>
      <c r="S967" s="151"/>
      <c r="T967" s="12"/>
      <c r="U967" s="12"/>
      <c r="V967" s="12"/>
      <c r="W967" s="12"/>
      <c r="X967" s="12"/>
      <c r="Y967" s="12"/>
      <c r="Z967" s="12"/>
    </row>
    <row r="968" spans="1:26" ht="15.75" customHeight="1" x14ac:dyDescent="0.3">
      <c r="A968" s="45"/>
      <c r="B968" s="46" t="s">
        <v>103</v>
      </c>
      <c r="C968" s="194" t="s">
        <v>2022</v>
      </c>
      <c r="D968" s="46"/>
      <c r="E968" s="46" t="s">
        <v>1463</v>
      </c>
      <c r="F968" s="61" t="s">
        <v>31</v>
      </c>
      <c r="G968" s="288">
        <v>7.85</v>
      </c>
      <c r="H968" s="289">
        <v>420</v>
      </c>
      <c r="I968" s="290">
        <v>500</v>
      </c>
      <c r="J968" s="61" t="s">
        <v>32</v>
      </c>
      <c r="K968" s="50"/>
      <c r="L968" s="53" t="str">
        <f t="shared" si="155"/>
        <v>500ml</v>
      </c>
      <c r="M968" s="54">
        <f t="shared" si="156"/>
        <v>210000</v>
      </c>
      <c r="N968" s="55" t="str">
        <f t="shared" si="157"/>
        <v>210000ml</v>
      </c>
      <c r="O968" s="56">
        <f t="shared" si="158"/>
        <v>3297</v>
      </c>
      <c r="P968" s="12"/>
      <c r="Q968" s="12"/>
      <c r="R968" s="12"/>
      <c r="S968" s="151"/>
      <c r="T968" s="12"/>
      <c r="U968" s="12"/>
      <c r="V968" s="12"/>
      <c r="W968" s="12"/>
      <c r="X968" s="12"/>
      <c r="Y968" s="12"/>
      <c r="Z968" s="12"/>
    </row>
    <row r="969" spans="1:26" ht="15.75" customHeight="1" x14ac:dyDescent="0.3">
      <c r="A969" s="45"/>
      <c r="B969" s="219" t="s">
        <v>103</v>
      </c>
      <c r="C969" s="194" t="s">
        <v>2021</v>
      </c>
      <c r="D969" s="46"/>
      <c r="E969" s="219" t="s">
        <v>1464</v>
      </c>
      <c r="F969" s="61" t="s">
        <v>31</v>
      </c>
      <c r="G969" s="291">
        <v>10.42</v>
      </c>
      <c r="H969" s="292">
        <v>99</v>
      </c>
      <c r="I969" s="293">
        <v>500</v>
      </c>
      <c r="J969" s="209" t="s">
        <v>32</v>
      </c>
      <c r="K969" s="50"/>
      <c r="L969" s="53" t="str">
        <f t="shared" si="155"/>
        <v>500ml</v>
      </c>
      <c r="M969" s="54">
        <f t="shared" si="156"/>
        <v>49500</v>
      </c>
      <c r="N969" s="55" t="str">
        <f t="shared" si="157"/>
        <v>49500ml</v>
      </c>
      <c r="O969" s="56">
        <f t="shared" si="158"/>
        <v>1031.58</v>
      </c>
      <c r="P969" s="12"/>
      <c r="Q969" s="12"/>
      <c r="R969" s="12"/>
      <c r="S969" s="151"/>
      <c r="T969" s="12"/>
      <c r="U969" s="12"/>
      <c r="V969" s="12"/>
      <c r="W969" s="12"/>
      <c r="X969" s="12"/>
      <c r="Y969" s="12"/>
      <c r="Z969" s="12"/>
    </row>
    <row r="970" spans="1:26" ht="15.75" customHeight="1" x14ac:dyDescent="0.3">
      <c r="A970" s="45"/>
      <c r="B970" s="46" t="s">
        <v>1465</v>
      </c>
      <c r="C970" s="194" t="s">
        <v>2020</v>
      </c>
      <c r="D970" s="46"/>
      <c r="E970" s="46" t="s">
        <v>1463</v>
      </c>
      <c r="F970" s="61" t="s">
        <v>31</v>
      </c>
      <c r="G970" s="288">
        <v>9.9</v>
      </c>
      <c r="H970" s="289">
        <v>411</v>
      </c>
      <c r="I970" s="290">
        <v>500</v>
      </c>
      <c r="J970" s="61" t="s">
        <v>32</v>
      </c>
      <c r="K970" s="50"/>
      <c r="L970" s="53" t="str">
        <f t="shared" si="155"/>
        <v>500ml</v>
      </c>
      <c r="M970" s="54">
        <f t="shared" si="156"/>
        <v>205500</v>
      </c>
      <c r="N970" s="55" t="str">
        <f t="shared" si="157"/>
        <v>205500ml</v>
      </c>
      <c r="O970" s="56">
        <f t="shared" si="158"/>
        <v>4068.9</v>
      </c>
      <c r="P970" s="12"/>
      <c r="Q970" s="12"/>
      <c r="R970" s="12"/>
      <c r="S970" s="151"/>
      <c r="T970" s="12"/>
      <c r="U970" s="12"/>
      <c r="V970" s="12"/>
      <c r="W970" s="12"/>
      <c r="X970" s="12"/>
      <c r="Y970" s="12"/>
      <c r="Z970" s="12"/>
    </row>
    <row r="971" spans="1:26" ht="15.75" customHeight="1" x14ac:dyDescent="0.3">
      <c r="A971" s="45">
        <v>775</v>
      </c>
      <c r="B971" s="46" t="s">
        <v>1465</v>
      </c>
      <c r="C971" s="194" t="s">
        <v>1368</v>
      </c>
      <c r="D971" s="46"/>
      <c r="E971" s="46" t="s">
        <v>1463</v>
      </c>
      <c r="F971" s="61" t="s">
        <v>31</v>
      </c>
      <c r="G971" s="288">
        <v>9.9</v>
      </c>
      <c r="H971" s="289">
        <v>455</v>
      </c>
      <c r="I971" s="290">
        <v>500</v>
      </c>
      <c r="J971" s="61" t="s">
        <v>32</v>
      </c>
      <c r="K971" s="50"/>
      <c r="L971" s="53" t="str">
        <f t="shared" si="155"/>
        <v>500ml</v>
      </c>
      <c r="M971" s="54">
        <f t="shared" si="156"/>
        <v>227500</v>
      </c>
      <c r="N971" s="55" t="str">
        <f t="shared" si="157"/>
        <v>227500ml</v>
      </c>
      <c r="O971" s="56">
        <f t="shared" si="158"/>
        <v>4504.5</v>
      </c>
      <c r="P971" s="44">
        <f t="shared" ref="P971:P976" si="203">O971/H971</f>
        <v>9.9</v>
      </c>
      <c r="Q971" s="66"/>
      <c r="R971" s="32"/>
      <c r="S971" s="32"/>
      <c r="T971" s="32"/>
      <c r="U971" s="32"/>
      <c r="V971" s="32"/>
      <c r="W971" s="32"/>
      <c r="X971" s="32"/>
      <c r="Y971" s="32"/>
      <c r="Z971" s="32"/>
    </row>
    <row r="972" spans="1:26" ht="15.75" customHeight="1" x14ac:dyDescent="0.3">
      <c r="A972" s="45">
        <v>393</v>
      </c>
      <c r="B972" s="46" t="s">
        <v>103</v>
      </c>
      <c r="C972" s="194" t="s">
        <v>2025</v>
      </c>
      <c r="D972" s="46"/>
      <c r="E972" s="46" t="s">
        <v>1460</v>
      </c>
      <c r="F972" s="61" t="s">
        <v>31</v>
      </c>
      <c r="G972" s="288">
        <v>7.72</v>
      </c>
      <c r="H972" s="289">
        <v>85</v>
      </c>
      <c r="I972" s="290">
        <v>350</v>
      </c>
      <c r="J972" s="61" t="s">
        <v>32</v>
      </c>
      <c r="K972" s="50"/>
      <c r="L972" s="53" t="str">
        <f t="shared" si="155"/>
        <v>350ml</v>
      </c>
      <c r="M972" s="54">
        <f t="shared" si="156"/>
        <v>29750</v>
      </c>
      <c r="N972" s="55" t="str">
        <f t="shared" si="157"/>
        <v>29750ml</v>
      </c>
      <c r="O972" s="56">
        <f t="shared" si="158"/>
        <v>656.19999999999993</v>
      </c>
      <c r="P972" s="44">
        <f t="shared" si="203"/>
        <v>7.7199999999999989</v>
      </c>
      <c r="Q972" s="66"/>
      <c r="R972" s="32" t="b">
        <f t="shared" ref="R972:R973" si="204">P972=G972</f>
        <v>1</v>
      </c>
      <c r="S972" s="32"/>
      <c r="T972" s="32"/>
      <c r="U972" s="32"/>
      <c r="V972" s="32"/>
      <c r="W972" s="32"/>
      <c r="X972" s="32"/>
      <c r="Y972" s="32"/>
      <c r="Z972" s="32"/>
    </row>
    <row r="973" spans="1:26" ht="15.75" customHeight="1" x14ac:dyDescent="0.3">
      <c r="A973" s="45">
        <v>394</v>
      </c>
      <c r="B973" s="309" t="s">
        <v>103</v>
      </c>
      <c r="C973" s="194" t="s">
        <v>2025</v>
      </c>
      <c r="D973" s="46"/>
      <c r="E973" s="46" t="s">
        <v>1461</v>
      </c>
      <c r="F973" s="61" t="s">
        <v>31</v>
      </c>
      <c r="G973" s="288">
        <v>75</v>
      </c>
      <c r="H973" s="289">
        <v>2</v>
      </c>
      <c r="I973" s="290">
        <v>1</v>
      </c>
      <c r="J973" s="61" t="s">
        <v>773</v>
      </c>
      <c r="K973" s="50" t="s">
        <v>2019</v>
      </c>
      <c r="L973" s="53" t="str">
        <f t="shared" si="155"/>
        <v>1liters</v>
      </c>
      <c r="M973" s="54">
        <f t="shared" si="156"/>
        <v>2</v>
      </c>
      <c r="N973" s="55" t="str">
        <f t="shared" si="157"/>
        <v>2liters</v>
      </c>
      <c r="O973" s="56">
        <f t="shared" si="158"/>
        <v>150</v>
      </c>
      <c r="P973" s="44">
        <f t="shared" si="203"/>
        <v>75</v>
      </c>
      <c r="Q973" s="66">
        <f>G973-P973</f>
        <v>0</v>
      </c>
      <c r="R973" s="32" t="b">
        <f t="shared" si="204"/>
        <v>1</v>
      </c>
      <c r="S973" s="32"/>
      <c r="T973" s="32"/>
      <c r="U973" s="32"/>
      <c r="V973" s="32"/>
      <c r="W973" s="32"/>
      <c r="X973" s="32"/>
      <c r="Y973" s="32"/>
      <c r="Z973" s="32"/>
    </row>
    <row r="974" spans="1:26" ht="15.75" customHeight="1" x14ac:dyDescent="0.3">
      <c r="A974" s="45">
        <v>34</v>
      </c>
      <c r="B974" s="320" t="s">
        <v>327</v>
      </c>
      <c r="C974" s="194" t="s">
        <v>2025</v>
      </c>
      <c r="D974" s="46"/>
      <c r="E974" s="46" t="s">
        <v>1056</v>
      </c>
      <c r="F974" s="61" t="s">
        <v>31</v>
      </c>
      <c r="G974" s="288">
        <v>23.6</v>
      </c>
      <c r="H974" s="289">
        <v>8</v>
      </c>
      <c r="I974" s="290">
        <v>100</v>
      </c>
      <c r="J974" s="48" t="s">
        <v>39</v>
      </c>
      <c r="K974" s="50"/>
      <c r="L974" s="53" t="str">
        <f t="shared" si="155"/>
        <v>100grams</v>
      </c>
      <c r="M974" s="54">
        <f t="shared" si="156"/>
        <v>800</v>
      </c>
      <c r="N974" s="55" t="str">
        <f t="shared" si="157"/>
        <v>800grams</v>
      </c>
      <c r="O974" s="56">
        <f t="shared" si="158"/>
        <v>188.8</v>
      </c>
      <c r="P974" s="44">
        <f t="shared" si="203"/>
        <v>23.6</v>
      </c>
      <c r="Q974" s="66"/>
      <c r="R974" s="32"/>
      <c r="S974" s="32"/>
      <c r="T974" s="32"/>
      <c r="U974" s="32"/>
      <c r="V974" s="32"/>
      <c r="W974" s="32"/>
      <c r="X974" s="32"/>
      <c r="Y974" s="32"/>
      <c r="Z974" s="32"/>
    </row>
    <row r="975" spans="1:26" ht="15.75" customHeight="1" x14ac:dyDescent="0.3">
      <c r="A975" s="45">
        <v>567</v>
      </c>
      <c r="B975" s="320" t="s">
        <v>327</v>
      </c>
      <c r="C975" s="194" t="s">
        <v>2026</v>
      </c>
      <c r="D975" s="46"/>
      <c r="E975" s="46" t="s">
        <v>1056</v>
      </c>
      <c r="F975" s="61" t="s">
        <v>31</v>
      </c>
      <c r="G975" s="288">
        <v>236.7</v>
      </c>
      <c r="H975" s="289">
        <v>1</v>
      </c>
      <c r="I975" s="290">
        <v>1</v>
      </c>
      <c r="J975" s="48" t="s">
        <v>1466</v>
      </c>
      <c r="K975" s="50"/>
      <c r="L975" s="53" t="str">
        <f t="shared" si="155"/>
        <v>1kl</v>
      </c>
      <c r="M975" s="54">
        <f t="shared" si="156"/>
        <v>1</v>
      </c>
      <c r="N975" s="55" t="str">
        <f t="shared" si="157"/>
        <v>1kl</v>
      </c>
      <c r="O975" s="56">
        <f t="shared" si="158"/>
        <v>236.7</v>
      </c>
      <c r="P975" s="44">
        <f t="shared" si="203"/>
        <v>236.7</v>
      </c>
      <c r="Q975" s="66"/>
      <c r="R975" s="32"/>
      <c r="S975" s="32"/>
      <c r="T975" s="32"/>
      <c r="U975" s="32"/>
      <c r="V975" s="32"/>
      <c r="W975" s="32"/>
      <c r="X975" s="32"/>
      <c r="Y975" s="32"/>
      <c r="Z975" s="32"/>
    </row>
    <row r="976" spans="1:26" ht="15.75" customHeight="1" x14ac:dyDescent="0.3">
      <c r="A976" s="45">
        <v>843</v>
      </c>
      <c r="B976" s="310" t="s">
        <v>327</v>
      </c>
      <c r="C976" s="194" t="s">
        <v>1368</v>
      </c>
      <c r="D976" s="46"/>
      <c r="E976" s="46" t="s">
        <v>1467</v>
      </c>
      <c r="F976" s="61" t="s">
        <v>31</v>
      </c>
      <c r="G976" s="288">
        <v>20</v>
      </c>
      <c r="H976" s="289">
        <v>4</v>
      </c>
      <c r="I976" s="290">
        <v>100</v>
      </c>
      <c r="J976" s="48" t="s">
        <v>39</v>
      </c>
      <c r="K976" s="50" t="s">
        <v>2019</v>
      </c>
      <c r="L976" s="53" t="str">
        <f t="shared" si="155"/>
        <v>100grams</v>
      </c>
      <c r="M976" s="54">
        <f t="shared" si="156"/>
        <v>400</v>
      </c>
      <c r="N976" s="55" t="str">
        <f t="shared" si="157"/>
        <v>400grams</v>
      </c>
      <c r="O976" s="56">
        <f t="shared" si="158"/>
        <v>80</v>
      </c>
      <c r="P976" s="44">
        <f t="shared" si="203"/>
        <v>20</v>
      </c>
      <c r="Q976" s="66">
        <f>G976-P976</f>
        <v>0</v>
      </c>
      <c r="R976" s="32" t="b">
        <f>P976=G976</f>
        <v>1</v>
      </c>
      <c r="S976" s="32"/>
      <c r="T976" s="32"/>
      <c r="U976" s="32"/>
      <c r="V976" s="32"/>
      <c r="W976" s="32"/>
      <c r="X976" s="32"/>
      <c r="Y976" s="32"/>
      <c r="Z976" s="32"/>
    </row>
    <row r="977" spans="1:26" ht="15.75" customHeight="1" x14ac:dyDescent="0.3">
      <c r="A977" s="45"/>
      <c r="B977" s="46" t="s">
        <v>327</v>
      </c>
      <c r="C977" s="194" t="s">
        <v>2023</v>
      </c>
      <c r="D977" s="46"/>
      <c r="E977" s="46" t="s">
        <v>1468</v>
      </c>
      <c r="F977" s="61" t="s">
        <v>31</v>
      </c>
      <c r="G977" s="311">
        <v>125</v>
      </c>
      <c r="H977" s="289">
        <v>2</v>
      </c>
      <c r="I977" s="290">
        <v>1</v>
      </c>
      <c r="J977" s="48" t="s">
        <v>213</v>
      </c>
      <c r="K977" s="50"/>
      <c r="L977" s="53" t="str">
        <f t="shared" si="155"/>
        <v>1kilos</v>
      </c>
      <c r="M977" s="54">
        <f t="shared" si="156"/>
        <v>2</v>
      </c>
      <c r="N977" s="55" t="str">
        <f t="shared" si="157"/>
        <v>2kilos</v>
      </c>
      <c r="O977" s="56">
        <f t="shared" si="158"/>
        <v>250</v>
      </c>
      <c r="P977" s="44"/>
      <c r="Q977" s="12"/>
      <c r="R977" s="12"/>
      <c r="S977" s="151"/>
      <c r="T977" s="12"/>
      <c r="U977" s="12"/>
      <c r="V977" s="12"/>
      <c r="W977" s="12"/>
      <c r="X977" s="12"/>
      <c r="Y977" s="12"/>
      <c r="Z977" s="12"/>
    </row>
    <row r="978" spans="1:26" ht="15.75" customHeight="1" x14ac:dyDescent="0.3">
      <c r="A978" s="45"/>
      <c r="B978" s="46" t="s">
        <v>327</v>
      </c>
      <c r="C978" s="194" t="s">
        <v>2022</v>
      </c>
      <c r="D978" s="46"/>
      <c r="E978" s="46" t="s">
        <v>867</v>
      </c>
      <c r="F978" s="61" t="s">
        <v>31</v>
      </c>
      <c r="G978" s="288">
        <v>120</v>
      </c>
      <c r="H978" s="289">
        <v>1</v>
      </c>
      <c r="I978" s="290">
        <v>1</v>
      </c>
      <c r="J978" s="48" t="s">
        <v>213</v>
      </c>
      <c r="K978" s="50"/>
      <c r="L978" s="53" t="str">
        <f t="shared" si="155"/>
        <v>1kilos</v>
      </c>
      <c r="M978" s="54">
        <f t="shared" si="156"/>
        <v>1</v>
      </c>
      <c r="N978" s="55" t="str">
        <f t="shared" si="157"/>
        <v>1kilos</v>
      </c>
      <c r="O978" s="56">
        <f t="shared" si="158"/>
        <v>120</v>
      </c>
      <c r="P978" s="12"/>
      <c r="Q978" s="12"/>
      <c r="R978" s="12"/>
      <c r="S978" s="151"/>
      <c r="T978" s="12"/>
      <c r="U978" s="12"/>
      <c r="V978" s="12"/>
      <c r="W978" s="12"/>
      <c r="X978" s="12"/>
      <c r="Y978" s="12"/>
      <c r="Z978" s="12"/>
    </row>
    <row r="979" spans="1:26" ht="15.75" customHeight="1" x14ac:dyDescent="0.3">
      <c r="A979" s="45">
        <v>461</v>
      </c>
      <c r="B979" s="46" t="s">
        <v>1469</v>
      </c>
      <c r="C979" s="194" t="s">
        <v>2025</v>
      </c>
      <c r="D979" s="46"/>
      <c r="E979" s="46" t="s">
        <v>1470</v>
      </c>
      <c r="F979" s="61" t="s">
        <v>31</v>
      </c>
      <c r="G979" s="288">
        <v>50</v>
      </c>
      <c r="H979" s="289">
        <v>3</v>
      </c>
      <c r="I979" s="290">
        <v>400</v>
      </c>
      <c r="J979" s="48" t="s">
        <v>39</v>
      </c>
      <c r="K979" s="50" t="s">
        <v>2019</v>
      </c>
      <c r="L979" s="53" t="str">
        <f t="shared" si="155"/>
        <v>400grams</v>
      </c>
      <c r="M979" s="54">
        <f t="shared" si="156"/>
        <v>1200</v>
      </c>
      <c r="N979" s="55" t="str">
        <f t="shared" si="157"/>
        <v>1200grams</v>
      </c>
      <c r="O979" s="56">
        <f t="shared" si="158"/>
        <v>150</v>
      </c>
      <c r="P979" s="44">
        <f t="shared" ref="P979:P983" si="205">O979/H979</f>
        <v>50</v>
      </c>
      <c r="Q979" s="62">
        <f>G979-P979</f>
        <v>0</v>
      </c>
      <c r="R979" s="32" t="b">
        <f>P979=G979</f>
        <v>1</v>
      </c>
      <c r="S979" s="32"/>
      <c r="T979" s="32"/>
      <c r="U979" s="32"/>
      <c r="V979" s="32"/>
      <c r="W979" s="32"/>
      <c r="X979" s="32"/>
      <c r="Y979" s="32"/>
      <c r="Z979" s="32"/>
    </row>
    <row r="980" spans="1:26" ht="15.75" customHeight="1" x14ac:dyDescent="0.3">
      <c r="A980" s="45">
        <v>76</v>
      </c>
      <c r="B980" s="46" t="s">
        <v>454</v>
      </c>
      <c r="C980" s="194" t="s">
        <v>29</v>
      </c>
      <c r="D980" s="46"/>
      <c r="E980" s="46"/>
      <c r="F980" s="61" t="s">
        <v>31</v>
      </c>
      <c r="G980" s="288">
        <v>85</v>
      </c>
      <c r="H980" s="289">
        <v>2</v>
      </c>
      <c r="I980" s="290">
        <v>1</v>
      </c>
      <c r="J980" s="48" t="s">
        <v>213</v>
      </c>
      <c r="K980" s="61" t="s">
        <v>2019</v>
      </c>
      <c r="L980" s="415" t="str">
        <f t="shared" si="155"/>
        <v>1kilos</v>
      </c>
      <c r="M980" s="416">
        <f t="shared" si="156"/>
        <v>2</v>
      </c>
      <c r="N980" s="417" t="str">
        <f t="shared" si="157"/>
        <v>2kilos</v>
      </c>
      <c r="O980" s="418">
        <f t="shared" si="158"/>
        <v>170</v>
      </c>
      <c r="P980" s="419">
        <f t="shared" si="205"/>
        <v>85</v>
      </c>
      <c r="Q980" s="66"/>
      <c r="R980" s="32"/>
      <c r="S980" s="32"/>
      <c r="T980" s="32"/>
      <c r="U980" s="32"/>
      <c r="V980" s="32"/>
      <c r="W980" s="32"/>
      <c r="X980" s="32"/>
      <c r="Y980" s="32"/>
      <c r="Z980" s="32"/>
    </row>
    <row r="981" spans="1:26" ht="15.75" customHeight="1" x14ac:dyDescent="0.3">
      <c r="A981" s="45">
        <v>476</v>
      </c>
      <c r="B981" s="46" t="s">
        <v>454</v>
      </c>
      <c r="C981" s="194" t="s">
        <v>2025</v>
      </c>
      <c r="D981" s="46"/>
      <c r="E981" s="46" t="s">
        <v>1191</v>
      </c>
      <c r="F981" s="61" t="s">
        <v>31</v>
      </c>
      <c r="G981" s="288">
        <v>88</v>
      </c>
      <c r="H981" s="289">
        <v>6</v>
      </c>
      <c r="I981" s="290">
        <v>1</v>
      </c>
      <c r="J981" s="48" t="s">
        <v>213</v>
      </c>
      <c r="K981" s="50"/>
      <c r="L981" s="53" t="str">
        <f t="shared" si="155"/>
        <v>1kilos</v>
      </c>
      <c r="M981" s="54">
        <f t="shared" si="156"/>
        <v>6</v>
      </c>
      <c r="N981" s="55" t="str">
        <f t="shared" si="157"/>
        <v>6kilos</v>
      </c>
      <c r="O981" s="56">
        <f t="shared" si="158"/>
        <v>528</v>
      </c>
      <c r="P981" s="44">
        <f t="shared" si="205"/>
        <v>88</v>
      </c>
      <c r="Q981" s="66"/>
      <c r="R981" s="32"/>
      <c r="S981" s="32"/>
      <c r="T981" s="32"/>
      <c r="U981" s="32"/>
      <c r="V981" s="32"/>
      <c r="W981" s="32"/>
      <c r="X981" s="32"/>
      <c r="Y981" s="32"/>
      <c r="Z981" s="32"/>
    </row>
    <row r="982" spans="1:26" ht="15.75" customHeight="1" x14ac:dyDescent="0.3">
      <c r="A982" s="45">
        <v>664</v>
      </c>
      <c r="B982" s="46" t="s">
        <v>454</v>
      </c>
      <c r="C982" s="194" t="s">
        <v>2026</v>
      </c>
      <c r="D982" s="46"/>
      <c r="E982" s="46"/>
      <c r="F982" s="61" t="s">
        <v>31</v>
      </c>
      <c r="G982" s="288">
        <v>90</v>
      </c>
      <c r="H982" s="289">
        <v>1</v>
      </c>
      <c r="I982" s="290">
        <v>1</v>
      </c>
      <c r="J982" s="48" t="s">
        <v>213</v>
      </c>
      <c r="K982" s="50"/>
      <c r="L982" s="53" t="str">
        <f t="shared" si="155"/>
        <v>1kilos</v>
      </c>
      <c r="M982" s="54">
        <f t="shared" si="156"/>
        <v>1</v>
      </c>
      <c r="N982" s="55" t="str">
        <f t="shared" si="157"/>
        <v>1kilos</v>
      </c>
      <c r="O982" s="56">
        <f t="shared" si="158"/>
        <v>90</v>
      </c>
      <c r="P982" s="44">
        <f t="shared" si="205"/>
        <v>90</v>
      </c>
      <c r="Q982" s="66"/>
      <c r="R982" s="32"/>
      <c r="S982" s="32"/>
      <c r="T982" s="32"/>
      <c r="U982" s="32"/>
      <c r="V982" s="32"/>
      <c r="W982" s="32"/>
      <c r="X982" s="32"/>
      <c r="Y982" s="32"/>
      <c r="Z982" s="32"/>
    </row>
    <row r="983" spans="1:26" ht="15.75" customHeight="1" x14ac:dyDescent="0.3">
      <c r="A983" s="45">
        <v>818</v>
      </c>
      <c r="B983" s="46" t="s">
        <v>454</v>
      </c>
      <c r="C983" s="194" t="s">
        <v>1368</v>
      </c>
      <c r="D983" s="46"/>
      <c r="E983" s="46"/>
      <c r="F983" s="61" t="s">
        <v>31</v>
      </c>
      <c r="G983" s="288">
        <v>100</v>
      </c>
      <c r="H983" s="289">
        <v>7</v>
      </c>
      <c r="I983" s="290">
        <v>1</v>
      </c>
      <c r="J983" s="48" t="s">
        <v>213</v>
      </c>
      <c r="K983" s="50"/>
      <c r="L983" s="53" t="str">
        <f t="shared" si="155"/>
        <v>1kilos</v>
      </c>
      <c r="M983" s="54">
        <f t="shared" si="156"/>
        <v>7</v>
      </c>
      <c r="N983" s="55" t="str">
        <f t="shared" si="157"/>
        <v>7kilos</v>
      </c>
      <c r="O983" s="56">
        <f t="shared" si="158"/>
        <v>700</v>
      </c>
      <c r="P983" s="44">
        <f t="shared" si="205"/>
        <v>100</v>
      </c>
      <c r="Q983" s="66"/>
      <c r="R983" s="32"/>
      <c r="S983" s="32"/>
      <c r="T983" s="32"/>
      <c r="U983" s="32"/>
      <c r="V983" s="32"/>
      <c r="W983" s="32"/>
      <c r="X983" s="32"/>
      <c r="Y983" s="32"/>
      <c r="Z983" s="32"/>
    </row>
    <row r="984" spans="1:26" ht="15.75" customHeight="1" x14ac:dyDescent="0.3">
      <c r="A984" s="45"/>
      <c r="B984" s="46" t="s">
        <v>454</v>
      </c>
      <c r="C984" s="194" t="s">
        <v>2023</v>
      </c>
      <c r="D984" s="46"/>
      <c r="E984" s="46"/>
      <c r="F984" s="61" t="s">
        <v>31</v>
      </c>
      <c r="G984" s="288">
        <v>95</v>
      </c>
      <c r="H984" s="289">
        <v>1</v>
      </c>
      <c r="I984" s="290">
        <v>1</v>
      </c>
      <c r="J984" s="48" t="s">
        <v>213</v>
      </c>
      <c r="K984" s="50"/>
      <c r="L984" s="53" t="str">
        <f t="shared" si="155"/>
        <v>1kilos</v>
      </c>
      <c r="M984" s="54">
        <f t="shared" si="156"/>
        <v>1</v>
      </c>
      <c r="N984" s="55" t="str">
        <f t="shared" si="157"/>
        <v>1kilos</v>
      </c>
      <c r="O984" s="56">
        <f t="shared" si="158"/>
        <v>95</v>
      </c>
      <c r="P984" s="44"/>
      <c r="Q984" s="12"/>
      <c r="R984" s="12"/>
      <c r="S984" s="151"/>
      <c r="T984" s="12"/>
      <c r="U984" s="12"/>
      <c r="V984" s="12"/>
      <c r="W984" s="12"/>
      <c r="X984" s="12"/>
      <c r="Y984" s="12"/>
      <c r="Z984" s="12"/>
    </row>
    <row r="985" spans="1:26" ht="15.75" customHeight="1" x14ac:dyDescent="0.3">
      <c r="A985" s="45"/>
      <c r="B985" s="46" t="s">
        <v>454</v>
      </c>
      <c r="C985" s="194" t="s">
        <v>2021</v>
      </c>
      <c r="D985" s="46"/>
      <c r="E985" s="219"/>
      <c r="F985" s="61" t="s">
        <v>31</v>
      </c>
      <c r="G985" s="291">
        <v>130</v>
      </c>
      <c r="H985" s="292">
        <v>1</v>
      </c>
      <c r="I985" s="290">
        <v>1</v>
      </c>
      <c r="J985" s="48" t="s">
        <v>213</v>
      </c>
      <c r="K985" s="50"/>
      <c r="L985" s="53" t="str">
        <f t="shared" si="155"/>
        <v>1kilos</v>
      </c>
      <c r="M985" s="54">
        <f t="shared" si="156"/>
        <v>1</v>
      </c>
      <c r="N985" s="55" t="str">
        <f t="shared" si="157"/>
        <v>1kilos</v>
      </c>
      <c r="O985" s="56">
        <f t="shared" si="158"/>
        <v>130</v>
      </c>
      <c r="P985" s="12"/>
      <c r="Q985" s="12"/>
      <c r="R985" s="12"/>
      <c r="S985" s="151"/>
      <c r="T985" s="12"/>
      <c r="U985" s="12"/>
      <c r="V985" s="12"/>
      <c r="W985" s="12"/>
      <c r="X985" s="12"/>
      <c r="Y985" s="12"/>
      <c r="Z985" s="12"/>
    </row>
    <row r="986" spans="1:26" ht="15.75" customHeight="1" x14ac:dyDescent="0.3">
      <c r="A986" s="45"/>
      <c r="B986" s="46" t="s">
        <v>454</v>
      </c>
      <c r="C986" s="194" t="s">
        <v>2020</v>
      </c>
      <c r="D986" s="46"/>
      <c r="E986" s="46" t="s">
        <v>1471</v>
      </c>
      <c r="F986" s="61" t="s">
        <v>31</v>
      </c>
      <c r="G986" s="288">
        <v>100</v>
      </c>
      <c r="H986" s="289">
        <v>7</v>
      </c>
      <c r="I986" s="290">
        <v>1</v>
      </c>
      <c r="J986" s="48" t="s">
        <v>213</v>
      </c>
      <c r="K986" s="50"/>
      <c r="L986" s="53" t="str">
        <f t="shared" si="155"/>
        <v>1kilos</v>
      </c>
      <c r="M986" s="54">
        <f t="shared" si="156"/>
        <v>7</v>
      </c>
      <c r="N986" s="55" t="str">
        <f t="shared" si="157"/>
        <v>7kilos</v>
      </c>
      <c r="O986" s="56">
        <f t="shared" si="158"/>
        <v>700</v>
      </c>
      <c r="P986" s="12"/>
      <c r="Q986" s="12"/>
      <c r="R986" s="12"/>
      <c r="S986" s="151"/>
      <c r="T986" s="12"/>
      <c r="U986" s="12"/>
      <c r="V986" s="12"/>
      <c r="W986" s="12"/>
      <c r="X986" s="12"/>
      <c r="Y986" s="12"/>
      <c r="Z986" s="12"/>
    </row>
    <row r="987" spans="1:26" ht="15.75" customHeight="1" x14ac:dyDescent="0.3">
      <c r="A987" s="45">
        <v>709</v>
      </c>
      <c r="B987" s="46" t="s">
        <v>203</v>
      </c>
      <c r="C987" s="194" t="s">
        <v>2026</v>
      </c>
      <c r="D987" s="46"/>
      <c r="E987" s="46" t="s">
        <v>1472</v>
      </c>
      <c r="F987" s="61" t="s">
        <v>31</v>
      </c>
      <c r="G987" s="288">
        <v>77.45</v>
      </c>
      <c r="H987" s="289">
        <v>6</v>
      </c>
      <c r="I987" s="290">
        <v>1</v>
      </c>
      <c r="J987" s="420" t="s">
        <v>92</v>
      </c>
      <c r="K987" s="50" t="s">
        <v>2019</v>
      </c>
      <c r="L987" s="53" t="str">
        <f t="shared" si="155"/>
        <v>1pieces</v>
      </c>
      <c r="M987" s="54">
        <f t="shared" si="156"/>
        <v>6</v>
      </c>
      <c r="N987" s="55" t="str">
        <f t="shared" si="157"/>
        <v>6pieces</v>
      </c>
      <c r="O987" s="56">
        <f t="shared" si="158"/>
        <v>464.70000000000005</v>
      </c>
      <c r="P987" s="44">
        <f>O987/H987</f>
        <v>77.45</v>
      </c>
      <c r="Q987" s="66">
        <f>G987-P987</f>
        <v>0</v>
      </c>
      <c r="R987" s="32" t="b">
        <f>P987=G987</f>
        <v>1</v>
      </c>
      <c r="S987" s="32"/>
      <c r="T987" s="32"/>
      <c r="U987" s="32"/>
      <c r="V987" s="32"/>
      <c r="W987" s="32"/>
      <c r="X987" s="32"/>
      <c r="Y987" s="32"/>
      <c r="Z987" s="32"/>
    </row>
    <row r="988" spans="1:26" ht="15.75" customHeight="1" x14ac:dyDescent="0.3">
      <c r="A988" s="45"/>
      <c r="B988" s="46" t="s">
        <v>203</v>
      </c>
      <c r="C988" s="194" t="s">
        <v>2023</v>
      </c>
      <c r="D988" s="46"/>
      <c r="E988" s="46" t="s">
        <v>1472</v>
      </c>
      <c r="F988" s="61" t="s">
        <v>31</v>
      </c>
      <c r="G988" s="288">
        <v>110</v>
      </c>
      <c r="H988" s="289">
        <v>6</v>
      </c>
      <c r="I988" s="290">
        <v>1</v>
      </c>
      <c r="J988" s="48" t="s">
        <v>92</v>
      </c>
      <c r="K988" s="50"/>
      <c r="L988" s="53" t="str">
        <f t="shared" si="155"/>
        <v>1pieces</v>
      </c>
      <c r="M988" s="54">
        <f t="shared" si="156"/>
        <v>6</v>
      </c>
      <c r="N988" s="55" t="str">
        <f t="shared" si="157"/>
        <v>6pieces</v>
      </c>
      <c r="O988" s="56">
        <f t="shared" si="158"/>
        <v>660</v>
      </c>
      <c r="P988" s="12"/>
      <c r="Q988" s="12"/>
      <c r="R988" s="12"/>
      <c r="S988" s="151"/>
      <c r="T988" s="12"/>
      <c r="U988" s="12"/>
      <c r="V988" s="12"/>
      <c r="W988" s="12"/>
      <c r="X988" s="12"/>
      <c r="Y988" s="12"/>
      <c r="Z988" s="12"/>
    </row>
    <row r="989" spans="1:26" ht="15.75" customHeight="1" x14ac:dyDescent="0.3">
      <c r="A989" s="45">
        <v>389</v>
      </c>
      <c r="B989" s="46" t="s">
        <v>203</v>
      </c>
      <c r="C989" s="194" t="s">
        <v>2025</v>
      </c>
      <c r="D989" s="46"/>
      <c r="E989" s="46"/>
      <c r="F989" s="61" t="s">
        <v>31</v>
      </c>
      <c r="G989" s="288">
        <v>120</v>
      </c>
      <c r="H989" s="289">
        <v>1</v>
      </c>
      <c r="I989" s="290">
        <v>1</v>
      </c>
      <c r="J989" s="48" t="s">
        <v>92</v>
      </c>
      <c r="K989" s="50"/>
      <c r="L989" s="53" t="str">
        <f t="shared" si="155"/>
        <v>1pieces</v>
      </c>
      <c r="M989" s="54">
        <f t="shared" si="156"/>
        <v>1</v>
      </c>
      <c r="N989" s="55" t="str">
        <f t="shared" si="157"/>
        <v>1pieces</v>
      </c>
      <c r="O989" s="56">
        <f t="shared" si="158"/>
        <v>120</v>
      </c>
      <c r="P989" s="44">
        <f t="shared" ref="P989:P994" si="206">O989/H989</f>
        <v>120</v>
      </c>
      <c r="Q989" s="66"/>
      <c r="R989" s="32" t="b">
        <f t="shared" ref="R989:R990" si="207">P989=G989</f>
        <v>1</v>
      </c>
      <c r="S989" s="32"/>
      <c r="T989" s="32"/>
      <c r="U989" s="32"/>
      <c r="V989" s="32"/>
      <c r="W989" s="32"/>
      <c r="X989" s="32"/>
      <c r="Y989" s="32"/>
      <c r="Z989" s="32"/>
    </row>
    <row r="990" spans="1:26" ht="15.75" customHeight="1" x14ac:dyDescent="0.3">
      <c r="A990" s="45">
        <v>21</v>
      </c>
      <c r="B990" s="46" t="s">
        <v>694</v>
      </c>
      <c r="C990" s="194" t="s">
        <v>29</v>
      </c>
      <c r="D990" s="46"/>
      <c r="E990" s="46" t="s">
        <v>865</v>
      </c>
      <c r="F990" s="61" t="s">
        <v>31</v>
      </c>
      <c r="G990" s="288">
        <v>38.5</v>
      </c>
      <c r="H990" s="289">
        <v>3</v>
      </c>
      <c r="I990" s="290">
        <v>156</v>
      </c>
      <c r="J990" s="48" t="s">
        <v>39</v>
      </c>
      <c r="K990" s="61" t="s">
        <v>2019</v>
      </c>
      <c r="L990" s="415" t="str">
        <f t="shared" si="155"/>
        <v>156grams</v>
      </c>
      <c r="M990" s="416">
        <f t="shared" si="156"/>
        <v>468</v>
      </c>
      <c r="N990" s="417" t="str">
        <f t="shared" si="157"/>
        <v>468grams</v>
      </c>
      <c r="O990" s="418">
        <f t="shared" si="158"/>
        <v>115.5</v>
      </c>
      <c r="P990" s="419">
        <f t="shared" si="206"/>
        <v>38.5</v>
      </c>
      <c r="Q990" s="62">
        <f>G990-P990</f>
        <v>0</v>
      </c>
      <c r="R990" s="32" t="b">
        <f t="shared" si="207"/>
        <v>1</v>
      </c>
      <c r="S990" s="32"/>
      <c r="T990" s="32"/>
      <c r="U990" s="32"/>
      <c r="V990" s="32"/>
      <c r="W990" s="32"/>
      <c r="X990" s="32"/>
      <c r="Y990" s="32"/>
      <c r="Z990" s="32"/>
    </row>
    <row r="991" spans="1:26" ht="15.75" customHeight="1" x14ac:dyDescent="0.3">
      <c r="A991" s="45">
        <v>126</v>
      </c>
      <c r="B991" s="46" t="s">
        <v>694</v>
      </c>
      <c r="C991" s="194" t="s">
        <v>2024</v>
      </c>
      <c r="D991" s="46"/>
      <c r="E991" s="46" t="s">
        <v>865</v>
      </c>
      <c r="F991" s="61" t="s">
        <v>31</v>
      </c>
      <c r="G991" s="288">
        <v>47.9</v>
      </c>
      <c r="H991" s="289">
        <v>12</v>
      </c>
      <c r="I991" s="290">
        <v>156</v>
      </c>
      <c r="J991" s="48" t="s">
        <v>39</v>
      </c>
      <c r="K991" s="50"/>
      <c r="L991" s="53" t="str">
        <f t="shared" si="155"/>
        <v>156grams</v>
      </c>
      <c r="M991" s="54">
        <f t="shared" si="156"/>
        <v>1872</v>
      </c>
      <c r="N991" s="55" t="str">
        <f t="shared" si="157"/>
        <v>1872grams</v>
      </c>
      <c r="O991" s="56">
        <f t="shared" si="158"/>
        <v>574.79999999999995</v>
      </c>
      <c r="P991" s="44">
        <f t="shared" si="206"/>
        <v>47.9</v>
      </c>
      <c r="Q991" s="66"/>
      <c r="R991" s="32"/>
      <c r="S991" s="32"/>
      <c r="T991" s="32"/>
      <c r="U991" s="32"/>
      <c r="V991" s="32"/>
      <c r="W991" s="32"/>
      <c r="X991" s="32"/>
      <c r="Y991" s="32"/>
      <c r="Z991" s="32"/>
    </row>
    <row r="992" spans="1:26" ht="15.75" customHeight="1" x14ac:dyDescent="0.3">
      <c r="A992" s="45">
        <v>279</v>
      </c>
      <c r="B992" s="46" t="s">
        <v>694</v>
      </c>
      <c r="C992" s="194" t="s">
        <v>2025</v>
      </c>
      <c r="D992" s="46"/>
      <c r="E992" s="46" t="s">
        <v>865</v>
      </c>
      <c r="F992" s="61" t="s">
        <v>31</v>
      </c>
      <c r="G992" s="288">
        <v>61</v>
      </c>
      <c r="H992" s="289">
        <v>1</v>
      </c>
      <c r="I992" s="290">
        <v>230</v>
      </c>
      <c r="J992" s="48" t="s">
        <v>519</v>
      </c>
      <c r="K992" s="50"/>
      <c r="L992" s="53" t="str">
        <f t="shared" si="155"/>
        <v>230drained weight grams</v>
      </c>
      <c r="M992" s="54">
        <f t="shared" si="156"/>
        <v>230</v>
      </c>
      <c r="N992" s="55" t="str">
        <f t="shared" si="157"/>
        <v>230drained weight grams</v>
      </c>
      <c r="O992" s="56">
        <f t="shared" si="158"/>
        <v>61</v>
      </c>
      <c r="P992" s="44">
        <f t="shared" si="206"/>
        <v>61</v>
      </c>
      <c r="Q992" s="66"/>
      <c r="R992" s="32" t="b">
        <f t="shared" ref="R992:R994" si="208">P992=G992</f>
        <v>1</v>
      </c>
      <c r="S992" s="32"/>
      <c r="T992" s="32"/>
      <c r="U992" s="32"/>
      <c r="V992" s="32"/>
      <c r="W992" s="32"/>
      <c r="X992" s="32"/>
      <c r="Y992" s="32"/>
      <c r="Z992" s="32"/>
    </row>
    <row r="993" spans="1:26" ht="15.75" customHeight="1" x14ac:dyDescent="0.3">
      <c r="A993" s="45">
        <v>278</v>
      </c>
      <c r="B993" s="46" t="s">
        <v>695</v>
      </c>
      <c r="C993" s="194" t="s">
        <v>2025</v>
      </c>
      <c r="D993" s="46"/>
      <c r="E993" s="46" t="s">
        <v>865</v>
      </c>
      <c r="F993" s="61" t="s">
        <v>31</v>
      </c>
      <c r="G993" s="288">
        <v>63.8</v>
      </c>
      <c r="H993" s="289">
        <v>10</v>
      </c>
      <c r="I993" s="290">
        <v>200</v>
      </c>
      <c r="J993" s="48" t="s">
        <v>519</v>
      </c>
      <c r="K993" s="50"/>
      <c r="L993" s="53" t="str">
        <f t="shared" si="155"/>
        <v>200drained weight grams</v>
      </c>
      <c r="M993" s="54">
        <f t="shared" si="156"/>
        <v>2000</v>
      </c>
      <c r="N993" s="55" t="str">
        <f t="shared" si="157"/>
        <v>2000drained weight grams</v>
      </c>
      <c r="O993" s="56">
        <f t="shared" si="158"/>
        <v>638</v>
      </c>
      <c r="P993" s="44">
        <f t="shared" si="206"/>
        <v>63.8</v>
      </c>
      <c r="Q993" s="66"/>
      <c r="R993" s="32" t="b">
        <f t="shared" si="208"/>
        <v>1</v>
      </c>
      <c r="S993" s="95"/>
      <c r="T993" s="32"/>
      <c r="U993" s="32"/>
      <c r="V993" s="32"/>
      <c r="W993" s="32"/>
      <c r="X993" s="32"/>
      <c r="Y993" s="32"/>
      <c r="Z993" s="32"/>
    </row>
    <row r="994" spans="1:26" ht="15.75" customHeight="1" x14ac:dyDescent="0.3">
      <c r="A994" s="45">
        <v>319</v>
      </c>
      <c r="B994" s="46" t="s">
        <v>1473</v>
      </c>
      <c r="C994" s="194" t="s">
        <v>2025</v>
      </c>
      <c r="D994" s="46"/>
      <c r="E994" s="46" t="s">
        <v>854</v>
      </c>
      <c r="F994" s="61" t="s">
        <v>31</v>
      </c>
      <c r="G994" s="288">
        <v>95.5</v>
      </c>
      <c r="H994" s="289">
        <v>1</v>
      </c>
      <c r="I994" s="290">
        <v>200</v>
      </c>
      <c r="J994" s="48" t="s">
        <v>39</v>
      </c>
      <c r="K994" s="50"/>
      <c r="L994" s="53" t="str">
        <f t="shared" si="155"/>
        <v>200grams</v>
      </c>
      <c r="M994" s="54">
        <f t="shared" si="156"/>
        <v>200</v>
      </c>
      <c r="N994" s="55" t="str">
        <f t="shared" si="157"/>
        <v>200grams</v>
      </c>
      <c r="O994" s="56">
        <f t="shared" si="158"/>
        <v>95.5</v>
      </c>
      <c r="P994" s="44">
        <f t="shared" si="206"/>
        <v>95.5</v>
      </c>
      <c r="Q994" s="66"/>
      <c r="R994" s="32" t="b">
        <f t="shared" si="208"/>
        <v>1</v>
      </c>
      <c r="S994" s="32"/>
      <c r="T994" s="32"/>
      <c r="U994" s="32"/>
      <c r="V994" s="32"/>
      <c r="W994" s="32"/>
      <c r="X994" s="32"/>
      <c r="Y994" s="32"/>
      <c r="Z994" s="32"/>
    </row>
    <row r="995" spans="1:26" ht="15.75" customHeight="1" x14ac:dyDescent="0.3">
      <c r="A995" s="45"/>
      <c r="B995" s="46" t="s">
        <v>1473</v>
      </c>
      <c r="C995" s="194" t="s">
        <v>2020</v>
      </c>
      <c r="D995" s="46"/>
      <c r="E995" s="46" t="s">
        <v>854</v>
      </c>
      <c r="F995" s="61" t="s">
        <v>31</v>
      </c>
      <c r="G995" s="288">
        <v>79</v>
      </c>
      <c r="H995" s="289">
        <v>1</v>
      </c>
      <c r="I995" s="290">
        <v>200</v>
      </c>
      <c r="J995" s="48" t="s">
        <v>39</v>
      </c>
      <c r="K995" s="50"/>
      <c r="L995" s="53" t="str">
        <f t="shared" si="155"/>
        <v>200grams</v>
      </c>
      <c r="M995" s="54">
        <f t="shared" si="156"/>
        <v>200</v>
      </c>
      <c r="N995" s="55" t="str">
        <f t="shared" si="157"/>
        <v>200grams</v>
      </c>
      <c r="O995" s="56">
        <f t="shared" si="158"/>
        <v>79</v>
      </c>
      <c r="P995" s="12"/>
      <c r="Q995" s="12"/>
      <c r="R995" s="12"/>
      <c r="S995" s="151"/>
      <c r="T995" s="12"/>
      <c r="U995" s="12"/>
      <c r="V995" s="12"/>
      <c r="W995" s="12"/>
      <c r="X995" s="12"/>
      <c r="Y995" s="12"/>
      <c r="Z995" s="12"/>
    </row>
    <row r="996" spans="1:26" ht="15.75" customHeight="1" x14ac:dyDescent="0.3">
      <c r="A996" s="45"/>
      <c r="B996" s="46" t="s">
        <v>1474</v>
      </c>
      <c r="C996" s="194" t="s">
        <v>2022</v>
      </c>
      <c r="D996" s="46"/>
      <c r="E996" s="307" t="s">
        <v>1475</v>
      </c>
      <c r="F996" s="61" t="s">
        <v>31</v>
      </c>
      <c r="G996" s="288">
        <v>180</v>
      </c>
      <c r="H996" s="289">
        <v>1</v>
      </c>
      <c r="I996" s="290">
        <v>896</v>
      </c>
      <c r="J996" s="48" t="s">
        <v>39</v>
      </c>
      <c r="K996" s="50"/>
      <c r="L996" s="53" t="str">
        <f t="shared" si="155"/>
        <v>896grams</v>
      </c>
      <c r="M996" s="54">
        <f t="shared" si="156"/>
        <v>896</v>
      </c>
      <c r="N996" s="55" t="str">
        <f t="shared" si="157"/>
        <v>896grams</v>
      </c>
      <c r="O996" s="56">
        <f t="shared" si="158"/>
        <v>180</v>
      </c>
      <c r="P996" s="12"/>
      <c r="Q996" s="12"/>
      <c r="R996" s="12"/>
      <c r="S996" s="151"/>
      <c r="T996" s="12"/>
      <c r="U996" s="12"/>
      <c r="V996" s="12"/>
      <c r="W996" s="12"/>
      <c r="X996" s="12"/>
      <c r="Y996" s="12"/>
      <c r="Z996" s="12"/>
    </row>
    <row r="997" spans="1:26" ht="15.75" customHeight="1" x14ac:dyDescent="0.3">
      <c r="A997" s="45">
        <v>822</v>
      </c>
      <c r="B997" s="46" t="s">
        <v>1476</v>
      </c>
      <c r="C997" s="194" t="s">
        <v>1368</v>
      </c>
      <c r="D997" s="46"/>
      <c r="E997" s="46" t="s">
        <v>1272</v>
      </c>
      <c r="F997" s="61" t="s">
        <v>31</v>
      </c>
      <c r="G997" s="288">
        <v>49.75</v>
      </c>
      <c r="H997" s="289">
        <v>6</v>
      </c>
      <c r="I997" s="290">
        <v>1</v>
      </c>
      <c r="J997" s="48" t="s">
        <v>92</v>
      </c>
      <c r="K997" s="50"/>
      <c r="L997" s="53" t="str">
        <f t="shared" si="155"/>
        <v>1pieces</v>
      </c>
      <c r="M997" s="54">
        <f t="shared" si="156"/>
        <v>6</v>
      </c>
      <c r="N997" s="55" t="str">
        <f t="shared" si="157"/>
        <v>6pieces</v>
      </c>
      <c r="O997" s="56">
        <f t="shared" si="158"/>
        <v>298.5</v>
      </c>
      <c r="P997" s="44">
        <f t="shared" ref="P997:P998" si="209">O997/H997</f>
        <v>49.75</v>
      </c>
      <c r="Q997" s="66"/>
      <c r="R997" s="32" t="b">
        <f t="shared" ref="R997:R998" si="210">P997=G997</f>
        <v>1</v>
      </c>
      <c r="S997" s="32"/>
      <c r="T997" s="32"/>
      <c r="U997" s="32"/>
      <c r="V997" s="32"/>
      <c r="W997" s="32"/>
      <c r="X997" s="32"/>
      <c r="Y997" s="32"/>
      <c r="Z997" s="32"/>
    </row>
    <row r="998" spans="1:26" ht="15.75" customHeight="1" x14ac:dyDescent="0.3">
      <c r="A998" s="45">
        <v>772</v>
      </c>
      <c r="B998" s="46" t="s">
        <v>1477</v>
      </c>
      <c r="C998" s="194" t="s">
        <v>2026</v>
      </c>
      <c r="D998" s="46"/>
      <c r="E998" s="46"/>
      <c r="F998" s="61" t="s">
        <v>31</v>
      </c>
      <c r="G998" s="288">
        <v>60</v>
      </c>
      <c r="H998" s="289">
        <v>1</v>
      </c>
      <c r="I998" s="290">
        <v>1</v>
      </c>
      <c r="J998" s="48" t="s">
        <v>213</v>
      </c>
      <c r="K998" s="50"/>
      <c r="L998" s="53" t="str">
        <f t="shared" si="155"/>
        <v>1kilos</v>
      </c>
      <c r="M998" s="54">
        <f t="shared" si="156"/>
        <v>1</v>
      </c>
      <c r="N998" s="55" t="str">
        <f t="shared" si="157"/>
        <v>1kilos</v>
      </c>
      <c r="O998" s="56">
        <f t="shared" si="158"/>
        <v>60</v>
      </c>
      <c r="P998" s="44">
        <f t="shared" si="209"/>
        <v>60</v>
      </c>
      <c r="Q998" s="66"/>
      <c r="R998" s="32" t="b">
        <f t="shared" si="210"/>
        <v>1</v>
      </c>
      <c r="S998" s="32"/>
      <c r="T998" s="32"/>
      <c r="U998" s="32"/>
      <c r="V998" s="32"/>
      <c r="W998" s="32"/>
      <c r="X998" s="32"/>
      <c r="Y998" s="32"/>
      <c r="Z998" s="32"/>
    </row>
    <row r="999" spans="1:26" ht="15.75" customHeight="1" x14ac:dyDescent="0.3">
      <c r="A999" s="45"/>
      <c r="B999" s="219" t="s">
        <v>1478</v>
      </c>
      <c r="C999" s="194" t="s">
        <v>2023</v>
      </c>
      <c r="D999" s="46"/>
      <c r="E999" s="219" t="s">
        <v>854</v>
      </c>
      <c r="F999" s="61" t="s">
        <v>31</v>
      </c>
      <c r="G999" s="288">
        <v>105</v>
      </c>
      <c r="H999" s="289">
        <v>1</v>
      </c>
      <c r="I999" s="290">
        <v>37</v>
      </c>
      <c r="J999" s="48" t="s">
        <v>39</v>
      </c>
      <c r="K999" s="50"/>
      <c r="L999" s="53" t="str">
        <f t="shared" si="155"/>
        <v>37grams</v>
      </c>
      <c r="M999" s="54">
        <f t="shared" si="156"/>
        <v>37</v>
      </c>
      <c r="N999" s="55" t="str">
        <f t="shared" si="157"/>
        <v>37grams</v>
      </c>
      <c r="O999" s="56">
        <f t="shared" si="158"/>
        <v>105</v>
      </c>
      <c r="P999" s="44"/>
      <c r="Q999" s="12"/>
      <c r="R999" s="12"/>
      <c r="S999" s="151"/>
      <c r="T999" s="12"/>
      <c r="U999" s="12"/>
      <c r="V999" s="12"/>
      <c r="W999" s="12"/>
      <c r="X999" s="12"/>
      <c r="Y999" s="12"/>
      <c r="Z999" s="12"/>
    </row>
    <row r="1000" spans="1:26" ht="15.75" customHeight="1" x14ac:dyDescent="0.3">
      <c r="A1000" s="45"/>
      <c r="B1000" s="219" t="s">
        <v>1478</v>
      </c>
      <c r="C1000" s="194" t="s">
        <v>2021</v>
      </c>
      <c r="D1000" s="46"/>
      <c r="E1000" s="219" t="s">
        <v>854</v>
      </c>
      <c r="F1000" s="61" t="s">
        <v>31</v>
      </c>
      <c r="G1000" s="291">
        <v>125.25</v>
      </c>
      <c r="H1000" s="292">
        <v>2</v>
      </c>
      <c r="I1000" s="293">
        <v>37</v>
      </c>
      <c r="J1000" s="414" t="s">
        <v>39</v>
      </c>
      <c r="K1000" s="50"/>
      <c r="L1000" s="53" t="str">
        <f t="shared" si="155"/>
        <v>37grams</v>
      </c>
      <c r="M1000" s="54">
        <f t="shared" si="156"/>
        <v>74</v>
      </c>
      <c r="N1000" s="55" t="str">
        <f t="shared" si="157"/>
        <v>74grams</v>
      </c>
      <c r="O1000" s="56">
        <f t="shared" si="158"/>
        <v>250.5</v>
      </c>
      <c r="P1000" s="12"/>
      <c r="Q1000" s="12"/>
      <c r="R1000" s="12"/>
      <c r="S1000" s="151"/>
      <c r="T1000" s="12"/>
      <c r="U1000" s="12"/>
      <c r="V1000" s="12"/>
      <c r="W1000" s="12"/>
      <c r="X1000" s="12"/>
      <c r="Y1000" s="12"/>
      <c r="Z1000" s="12"/>
    </row>
    <row r="1001" spans="1:26" ht="15.75" customHeight="1" x14ac:dyDescent="0.3">
      <c r="A1001" s="45">
        <v>485</v>
      </c>
      <c r="B1001" s="46" t="s">
        <v>1479</v>
      </c>
      <c r="C1001" s="194" t="s">
        <v>2025</v>
      </c>
      <c r="D1001" s="46"/>
      <c r="E1001" s="46"/>
      <c r="F1001" s="61" t="s">
        <v>31</v>
      </c>
      <c r="G1001" s="288">
        <v>55</v>
      </c>
      <c r="H1001" s="289">
        <v>1</v>
      </c>
      <c r="I1001" s="290">
        <v>1</v>
      </c>
      <c r="J1001" s="48" t="s">
        <v>213</v>
      </c>
      <c r="K1001" s="50"/>
      <c r="L1001" s="53" t="str">
        <f t="shared" si="155"/>
        <v>1kilos</v>
      </c>
      <c r="M1001" s="54">
        <f t="shared" si="156"/>
        <v>1</v>
      </c>
      <c r="N1001" s="55" t="str">
        <f t="shared" si="157"/>
        <v>1kilos</v>
      </c>
      <c r="O1001" s="56">
        <f t="shared" si="158"/>
        <v>55</v>
      </c>
      <c r="P1001" s="44">
        <f t="shared" ref="P1001:P1003" si="211">O1001/H1001</f>
        <v>55</v>
      </c>
      <c r="Q1001" s="66"/>
      <c r="R1001" s="32"/>
      <c r="S1001" s="32"/>
      <c r="T1001" s="32"/>
      <c r="U1001" s="32"/>
      <c r="V1001" s="32"/>
      <c r="W1001" s="32"/>
      <c r="X1001" s="32"/>
      <c r="Y1001" s="32"/>
      <c r="Z1001" s="32"/>
    </row>
    <row r="1002" spans="1:26" ht="15.75" customHeight="1" x14ac:dyDescent="0.3">
      <c r="A1002" s="45">
        <v>665</v>
      </c>
      <c r="B1002" s="46" t="s">
        <v>1479</v>
      </c>
      <c r="C1002" s="194" t="s">
        <v>2026</v>
      </c>
      <c r="D1002" s="46"/>
      <c r="E1002" s="46"/>
      <c r="F1002" s="61" t="s">
        <v>31</v>
      </c>
      <c r="G1002" s="288">
        <v>120</v>
      </c>
      <c r="H1002" s="289">
        <v>0</v>
      </c>
      <c r="I1002" s="290">
        <v>1</v>
      </c>
      <c r="J1002" s="48" t="s">
        <v>213</v>
      </c>
      <c r="K1002" s="50"/>
      <c r="L1002" s="53" t="str">
        <f t="shared" si="155"/>
        <v>1kilos</v>
      </c>
      <c r="M1002" s="54">
        <f t="shared" si="156"/>
        <v>0</v>
      </c>
      <c r="N1002" s="55" t="str">
        <f t="shared" si="157"/>
        <v>0kilos</v>
      </c>
      <c r="O1002" s="56">
        <f t="shared" si="158"/>
        <v>0</v>
      </c>
      <c r="P1002" s="44" t="e">
        <f t="shared" si="211"/>
        <v>#DIV/0!</v>
      </c>
      <c r="Q1002" s="66"/>
      <c r="R1002" s="32"/>
      <c r="S1002" s="32"/>
      <c r="T1002" s="32"/>
      <c r="U1002" s="32"/>
      <c r="V1002" s="32"/>
      <c r="W1002" s="32"/>
      <c r="X1002" s="32"/>
      <c r="Y1002" s="32"/>
      <c r="Z1002" s="32"/>
    </row>
    <row r="1003" spans="1:26" ht="15.75" customHeight="1" x14ac:dyDescent="0.3">
      <c r="A1003" s="45">
        <v>872</v>
      </c>
      <c r="B1003" s="46" t="s">
        <v>1479</v>
      </c>
      <c r="C1003" s="194" t="s">
        <v>1368</v>
      </c>
      <c r="D1003" s="46"/>
      <c r="E1003" s="46"/>
      <c r="F1003" s="61" t="s">
        <v>31</v>
      </c>
      <c r="G1003" s="288">
        <v>50</v>
      </c>
      <c r="H1003" s="289">
        <v>2</v>
      </c>
      <c r="I1003" s="290">
        <v>1</v>
      </c>
      <c r="J1003" s="48" t="s">
        <v>213</v>
      </c>
      <c r="K1003" s="50"/>
      <c r="L1003" s="53" t="str">
        <f t="shared" si="155"/>
        <v>1kilos</v>
      </c>
      <c r="M1003" s="54">
        <f t="shared" si="156"/>
        <v>2</v>
      </c>
      <c r="N1003" s="55" t="str">
        <f t="shared" si="157"/>
        <v>2kilos</v>
      </c>
      <c r="O1003" s="56">
        <f t="shared" si="158"/>
        <v>100</v>
      </c>
      <c r="P1003" s="44">
        <f t="shared" si="211"/>
        <v>50</v>
      </c>
      <c r="Q1003" s="66"/>
      <c r="R1003" s="32" t="b">
        <f>P1003=G1003</f>
        <v>1</v>
      </c>
      <c r="S1003" s="32"/>
      <c r="T1003" s="32"/>
      <c r="U1003" s="32"/>
      <c r="V1003" s="32"/>
      <c r="W1003" s="32"/>
      <c r="X1003" s="32"/>
      <c r="Y1003" s="32"/>
      <c r="Z1003" s="32"/>
    </row>
    <row r="1004" spans="1:26" ht="15.75" customHeight="1" x14ac:dyDescent="0.3">
      <c r="A1004" s="45"/>
      <c r="B1004" s="46" t="s">
        <v>1479</v>
      </c>
      <c r="C1004" s="194" t="s">
        <v>2023</v>
      </c>
      <c r="D1004" s="46"/>
      <c r="E1004" s="219"/>
      <c r="F1004" s="61" t="s">
        <v>31</v>
      </c>
      <c r="G1004" s="291">
        <v>105</v>
      </c>
      <c r="H1004" s="292">
        <v>1</v>
      </c>
      <c r="I1004" s="290">
        <v>1</v>
      </c>
      <c r="J1004" s="48" t="s">
        <v>213</v>
      </c>
      <c r="K1004" s="50"/>
      <c r="L1004" s="53" t="str">
        <f t="shared" si="155"/>
        <v>1kilos</v>
      </c>
      <c r="M1004" s="54">
        <f t="shared" si="156"/>
        <v>1</v>
      </c>
      <c r="N1004" s="55" t="str">
        <f t="shared" si="157"/>
        <v>1kilos</v>
      </c>
      <c r="O1004" s="56">
        <f t="shared" si="158"/>
        <v>105</v>
      </c>
      <c r="P1004" s="44"/>
      <c r="Q1004" s="12"/>
      <c r="R1004" s="12"/>
      <c r="S1004" s="151"/>
      <c r="T1004" s="12"/>
      <c r="U1004" s="12"/>
      <c r="V1004" s="12"/>
      <c r="W1004" s="12"/>
      <c r="X1004" s="12"/>
      <c r="Y1004" s="12"/>
      <c r="Z1004" s="12"/>
    </row>
    <row r="1005" spans="1:26" ht="15.75" customHeight="1" x14ac:dyDescent="0.3">
      <c r="A1005" s="45"/>
      <c r="B1005" s="46" t="s">
        <v>1479</v>
      </c>
      <c r="C1005" s="194" t="s">
        <v>2020</v>
      </c>
      <c r="D1005" s="46"/>
      <c r="E1005" s="46" t="s">
        <v>1480</v>
      </c>
      <c r="F1005" s="61" t="s">
        <v>31</v>
      </c>
      <c r="G1005" s="288">
        <v>60</v>
      </c>
      <c r="H1005" s="289">
        <v>1</v>
      </c>
      <c r="I1005" s="290">
        <v>1</v>
      </c>
      <c r="J1005" s="48" t="s">
        <v>213</v>
      </c>
      <c r="K1005" s="50"/>
      <c r="L1005" s="53" t="str">
        <f t="shared" si="155"/>
        <v>1kilos</v>
      </c>
      <c r="M1005" s="54">
        <f t="shared" si="156"/>
        <v>1</v>
      </c>
      <c r="N1005" s="55" t="str">
        <f t="shared" si="157"/>
        <v>1kilos</v>
      </c>
      <c r="O1005" s="56">
        <f t="shared" si="158"/>
        <v>60</v>
      </c>
      <c r="P1005" s="12"/>
      <c r="Q1005" s="12"/>
      <c r="R1005" s="12"/>
      <c r="S1005" s="151"/>
      <c r="T1005" s="12"/>
      <c r="U1005" s="12"/>
      <c r="V1005" s="12"/>
      <c r="W1005" s="12"/>
      <c r="X1005" s="12"/>
      <c r="Y1005" s="12"/>
      <c r="Z1005" s="12"/>
    </row>
    <row r="1006" spans="1:26" ht="15.75" customHeight="1" x14ac:dyDescent="0.3">
      <c r="A1006" s="45">
        <v>324</v>
      </c>
      <c r="B1006" s="46" t="s">
        <v>1481</v>
      </c>
      <c r="C1006" s="194" t="s">
        <v>2025</v>
      </c>
      <c r="D1006" s="46"/>
      <c r="E1006" s="46" t="s">
        <v>963</v>
      </c>
      <c r="F1006" s="61" t="s">
        <v>31</v>
      </c>
      <c r="G1006" s="288">
        <v>294</v>
      </c>
      <c r="H1006" s="289">
        <v>1</v>
      </c>
      <c r="I1006" s="290">
        <v>500</v>
      </c>
      <c r="J1006" s="48" t="s">
        <v>39</v>
      </c>
      <c r="K1006" s="50"/>
      <c r="L1006" s="53" t="str">
        <f t="shared" si="155"/>
        <v>500grams</v>
      </c>
      <c r="M1006" s="54">
        <f t="shared" si="156"/>
        <v>500</v>
      </c>
      <c r="N1006" s="55" t="str">
        <f t="shared" si="157"/>
        <v>500grams</v>
      </c>
      <c r="O1006" s="56">
        <f t="shared" si="158"/>
        <v>294</v>
      </c>
      <c r="P1006" s="44">
        <f t="shared" ref="P1006:P1007" si="212">O1006/H1006</f>
        <v>294</v>
      </c>
      <c r="Q1006" s="66"/>
      <c r="R1006" s="32"/>
      <c r="S1006" s="32"/>
      <c r="T1006" s="32"/>
      <c r="U1006" s="32"/>
      <c r="V1006" s="32"/>
      <c r="W1006" s="32"/>
      <c r="X1006" s="32"/>
      <c r="Y1006" s="32"/>
      <c r="Z1006" s="32"/>
    </row>
    <row r="1007" spans="1:26" ht="15.75" customHeight="1" x14ac:dyDescent="0.3">
      <c r="A1007" s="45">
        <v>739</v>
      </c>
      <c r="B1007" s="46" t="s">
        <v>1481</v>
      </c>
      <c r="C1007" s="194" t="s">
        <v>2026</v>
      </c>
      <c r="D1007" s="46"/>
      <c r="E1007" s="46" t="s">
        <v>963</v>
      </c>
      <c r="F1007" s="61" t="s">
        <v>31</v>
      </c>
      <c r="G1007" s="288">
        <v>534.75</v>
      </c>
      <c r="H1007" s="289">
        <v>1</v>
      </c>
      <c r="I1007" s="290">
        <v>500</v>
      </c>
      <c r="J1007" s="420" t="s">
        <v>32</v>
      </c>
      <c r="K1007" s="50"/>
      <c r="L1007" s="53" t="str">
        <f t="shared" si="155"/>
        <v>500ml</v>
      </c>
      <c r="M1007" s="54">
        <f t="shared" si="156"/>
        <v>500</v>
      </c>
      <c r="N1007" s="55" t="str">
        <f t="shared" si="157"/>
        <v>500ml</v>
      </c>
      <c r="O1007" s="56">
        <f t="shared" si="158"/>
        <v>534.75</v>
      </c>
      <c r="P1007" s="44">
        <f t="shared" si="212"/>
        <v>534.75</v>
      </c>
      <c r="Q1007" s="66"/>
      <c r="R1007" s="32" t="b">
        <f>P1007=G1007</f>
        <v>1</v>
      </c>
      <c r="S1007" s="32"/>
      <c r="T1007" s="32"/>
      <c r="U1007" s="32"/>
      <c r="V1007" s="32"/>
      <c r="W1007" s="32"/>
      <c r="X1007" s="32"/>
      <c r="Y1007" s="32"/>
      <c r="Z1007" s="32"/>
    </row>
    <row r="1008" spans="1:26" ht="15.75" customHeight="1" x14ac:dyDescent="0.3">
      <c r="A1008" s="45"/>
      <c r="B1008" s="219" t="s">
        <v>1481</v>
      </c>
      <c r="C1008" s="194" t="s">
        <v>2021</v>
      </c>
      <c r="D1008" s="46"/>
      <c r="E1008" s="219" t="s">
        <v>880</v>
      </c>
      <c r="F1008" s="61" t="s">
        <v>31</v>
      </c>
      <c r="G1008" s="291">
        <v>244.5</v>
      </c>
      <c r="H1008" s="292">
        <v>1</v>
      </c>
      <c r="I1008" s="293">
        <v>250</v>
      </c>
      <c r="J1008" s="414" t="s">
        <v>32</v>
      </c>
      <c r="K1008" s="50"/>
      <c r="L1008" s="53" t="str">
        <f t="shared" si="155"/>
        <v>250ml</v>
      </c>
      <c r="M1008" s="54">
        <f t="shared" si="156"/>
        <v>250</v>
      </c>
      <c r="N1008" s="55" t="str">
        <f t="shared" si="157"/>
        <v>250ml</v>
      </c>
      <c r="O1008" s="56">
        <f t="shared" si="158"/>
        <v>244.5</v>
      </c>
      <c r="P1008" s="12"/>
      <c r="Q1008" s="12"/>
      <c r="R1008" s="12"/>
      <c r="S1008" s="151"/>
      <c r="T1008" s="12"/>
      <c r="U1008" s="12"/>
      <c r="V1008" s="12"/>
      <c r="W1008" s="12"/>
      <c r="X1008" s="12"/>
      <c r="Y1008" s="12"/>
      <c r="Z1008" s="12"/>
    </row>
    <row r="1009" spans="1:26" ht="15.75" customHeight="1" x14ac:dyDescent="0.3">
      <c r="A1009" s="45">
        <v>49</v>
      </c>
      <c r="B1009" s="46" t="s">
        <v>703</v>
      </c>
      <c r="C1009" s="194" t="s">
        <v>29</v>
      </c>
      <c r="D1009" s="46"/>
      <c r="E1009" s="46" t="s">
        <v>963</v>
      </c>
      <c r="F1009" s="61" t="s">
        <v>31</v>
      </c>
      <c r="G1009" s="288">
        <v>279.7</v>
      </c>
      <c r="H1009" s="289">
        <v>1</v>
      </c>
      <c r="I1009" s="290">
        <v>250</v>
      </c>
      <c r="J1009" s="48" t="s">
        <v>32</v>
      </c>
      <c r="K1009" s="61" t="s">
        <v>2019</v>
      </c>
      <c r="L1009" s="415" t="str">
        <f t="shared" si="155"/>
        <v>250ml</v>
      </c>
      <c r="M1009" s="416">
        <f t="shared" si="156"/>
        <v>250</v>
      </c>
      <c r="N1009" s="417" t="str">
        <f t="shared" si="157"/>
        <v>250ml</v>
      </c>
      <c r="O1009" s="418">
        <f t="shared" si="158"/>
        <v>279.7</v>
      </c>
      <c r="P1009" s="419">
        <f>O1009/H1009</f>
        <v>279.7</v>
      </c>
      <c r="Q1009" s="66"/>
      <c r="R1009" s="32" t="b">
        <f>P1009=G1009</f>
        <v>1</v>
      </c>
      <c r="S1009" s="32"/>
      <c r="T1009" s="32"/>
      <c r="U1009" s="32"/>
      <c r="V1009" s="32"/>
      <c r="W1009" s="32"/>
      <c r="X1009" s="32"/>
      <c r="Y1009" s="32"/>
      <c r="Z1009" s="32"/>
    </row>
    <row r="1010" spans="1:26" ht="15.75" customHeight="1" x14ac:dyDescent="0.3">
      <c r="A1010" s="45"/>
      <c r="B1010" s="46" t="s">
        <v>703</v>
      </c>
      <c r="C1010" s="194" t="s">
        <v>2023</v>
      </c>
      <c r="D1010" s="46"/>
      <c r="E1010" s="46" t="s">
        <v>963</v>
      </c>
      <c r="F1010" s="61" t="s">
        <v>31</v>
      </c>
      <c r="G1010" s="288">
        <v>263.5</v>
      </c>
      <c r="H1010" s="289">
        <v>1</v>
      </c>
      <c r="I1010" s="290">
        <v>250</v>
      </c>
      <c r="J1010" s="48" t="s">
        <v>32</v>
      </c>
      <c r="K1010" s="50"/>
      <c r="L1010" s="53" t="str">
        <f t="shared" si="155"/>
        <v>250ml</v>
      </c>
      <c r="M1010" s="54">
        <f t="shared" si="156"/>
        <v>250</v>
      </c>
      <c r="N1010" s="55" t="str">
        <f t="shared" si="157"/>
        <v>250ml</v>
      </c>
      <c r="O1010" s="56">
        <f t="shared" si="158"/>
        <v>263.5</v>
      </c>
      <c r="P1010" s="44"/>
      <c r="Q1010" s="12"/>
      <c r="R1010" s="12"/>
      <c r="S1010" s="151"/>
      <c r="T1010" s="12"/>
      <c r="U1010" s="12"/>
      <c r="V1010" s="12"/>
      <c r="W1010" s="12"/>
      <c r="X1010" s="12"/>
      <c r="Y1010" s="12"/>
      <c r="Z1010" s="12"/>
    </row>
    <row r="1011" spans="1:26" ht="15.75" customHeight="1" x14ac:dyDescent="0.3">
      <c r="A1011" s="45"/>
      <c r="B1011" s="46" t="s">
        <v>703</v>
      </c>
      <c r="C1011" s="194" t="s">
        <v>2022</v>
      </c>
      <c r="D1011" s="46"/>
      <c r="E1011" s="46" t="s">
        <v>963</v>
      </c>
      <c r="F1011" s="61" t="s">
        <v>31</v>
      </c>
      <c r="G1011" s="288">
        <v>290</v>
      </c>
      <c r="H1011" s="289">
        <v>4</v>
      </c>
      <c r="I1011" s="290">
        <v>250</v>
      </c>
      <c r="J1011" s="48" t="s">
        <v>39</v>
      </c>
      <c r="K1011" s="50"/>
      <c r="L1011" s="53" t="str">
        <f t="shared" si="155"/>
        <v>250grams</v>
      </c>
      <c r="M1011" s="54">
        <f t="shared" si="156"/>
        <v>1000</v>
      </c>
      <c r="N1011" s="55" t="str">
        <f t="shared" si="157"/>
        <v>1000grams</v>
      </c>
      <c r="O1011" s="56">
        <f t="shared" si="158"/>
        <v>1160</v>
      </c>
      <c r="P1011" s="12"/>
      <c r="Q1011" s="12"/>
      <c r="R1011" s="12"/>
      <c r="S1011" s="151"/>
      <c r="T1011" s="12"/>
      <c r="U1011" s="12"/>
      <c r="V1011" s="12"/>
      <c r="W1011" s="12"/>
      <c r="X1011" s="12"/>
      <c r="Y1011" s="12"/>
      <c r="Z1011" s="12"/>
    </row>
    <row r="1012" spans="1:26" ht="15.75" customHeight="1" x14ac:dyDescent="0.3">
      <c r="A1012" s="45"/>
      <c r="B1012" s="219" t="s">
        <v>703</v>
      </c>
      <c r="C1012" s="194" t="s">
        <v>2021</v>
      </c>
      <c r="D1012" s="46"/>
      <c r="E1012" s="219" t="s">
        <v>963</v>
      </c>
      <c r="F1012" s="61" t="s">
        <v>31</v>
      </c>
      <c r="G1012" s="291">
        <v>279.10000000000002</v>
      </c>
      <c r="H1012" s="292">
        <v>1</v>
      </c>
      <c r="I1012" s="293">
        <v>250</v>
      </c>
      <c r="J1012" s="414" t="s">
        <v>32</v>
      </c>
      <c r="K1012" s="50"/>
      <c r="L1012" s="53" t="str">
        <f t="shared" si="155"/>
        <v>250ml</v>
      </c>
      <c r="M1012" s="54">
        <f t="shared" si="156"/>
        <v>250</v>
      </c>
      <c r="N1012" s="55" t="str">
        <f t="shared" si="157"/>
        <v>250ml</v>
      </c>
      <c r="O1012" s="56">
        <f t="shared" si="158"/>
        <v>279.10000000000002</v>
      </c>
      <c r="P1012" s="12"/>
      <c r="Q1012" s="12"/>
      <c r="R1012" s="12"/>
      <c r="S1012" s="151"/>
      <c r="T1012" s="12"/>
      <c r="U1012" s="12"/>
      <c r="V1012" s="12"/>
      <c r="W1012" s="12"/>
      <c r="X1012" s="12"/>
      <c r="Y1012" s="12"/>
      <c r="Z1012" s="12"/>
    </row>
    <row r="1013" spans="1:26" ht="15.75" customHeight="1" x14ac:dyDescent="0.3">
      <c r="A1013" s="45">
        <v>498</v>
      </c>
      <c r="B1013" s="46" t="s">
        <v>1482</v>
      </c>
      <c r="C1013" s="194" t="s">
        <v>2025</v>
      </c>
      <c r="D1013" s="46"/>
      <c r="E1013" s="46"/>
      <c r="F1013" s="61" t="s">
        <v>31</v>
      </c>
      <c r="G1013" s="288">
        <v>100</v>
      </c>
      <c r="H1013" s="289">
        <v>0</v>
      </c>
      <c r="I1013" s="290">
        <v>1</v>
      </c>
      <c r="J1013" s="420" t="s">
        <v>213</v>
      </c>
      <c r="K1013" s="50" t="s">
        <v>2019</v>
      </c>
      <c r="L1013" s="53" t="str">
        <f t="shared" si="155"/>
        <v>1kilos</v>
      </c>
      <c r="M1013" s="54">
        <f t="shared" si="156"/>
        <v>0</v>
      </c>
      <c r="N1013" s="55" t="str">
        <f t="shared" si="157"/>
        <v>0kilos</v>
      </c>
      <c r="O1013" s="56">
        <f t="shared" si="158"/>
        <v>0</v>
      </c>
      <c r="P1013" s="44" t="e">
        <f t="shared" ref="P1013:P1014" si="213">O1013/H1013</f>
        <v>#DIV/0!</v>
      </c>
      <c r="Q1013" s="66" t="e">
        <f>G1013-P1013</f>
        <v>#DIV/0!</v>
      </c>
      <c r="R1013" s="32" t="e">
        <f t="shared" ref="R1013:R1014" si="214">P1013=G1013</f>
        <v>#DIV/0!</v>
      </c>
      <c r="S1013" s="32"/>
      <c r="T1013" s="32"/>
      <c r="U1013" s="32"/>
      <c r="V1013" s="32"/>
      <c r="W1013" s="32"/>
      <c r="X1013" s="32"/>
      <c r="Y1013" s="32"/>
      <c r="Z1013" s="32"/>
    </row>
    <row r="1014" spans="1:26" ht="15.75" customHeight="1" x14ac:dyDescent="0.3">
      <c r="A1014" s="45">
        <v>666</v>
      </c>
      <c r="B1014" s="46" t="s">
        <v>1482</v>
      </c>
      <c r="C1014" s="194" t="s">
        <v>2026</v>
      </c>
      <c r="D1014" s="46"/>
      <c r="E1014" s="46"/>
      <c r="F1014" s="61" t="s">
        <v>31</v>
      </c>
      <c r="G1014" s="288">
        <v>110</v>
      </c>
      <c r="H1014" s="289">
        <v>0</v>
      </c>
      <c r="I1014" s="290">
        <v>1</v>
      </c>
      <c r="J1014" s="48" t="s">
        <v>213</v>
      </c>
      <c r="K1014" s="50"/>
      <c r="L1014" s="53" t="str">
        <f t="shared" si="155"/>
        <v>1kilos</v>
      </c>
      <c r="M1014" s="54">
        <f t="shared" si="156"/>
        <v>0</v>
      </c>
      <c r="N1014" s="55" t="str">
        <f t="shared" si="157"/>
        <v>0kilos</v>
      </c>
      <c r="O1014" s="56">
        <f t="shared" si="158"/>
        <v>0</v>
      </c>
      <c r="P1014" s="44" t="e">
        <f t="shared" si="213"/>
        <v>#DIV/0!</v>
      </c>
      <c r="Q1014" s="66"/>
      <c r="R1014" s="32" t="e">
        <f t="shared" si="214"/>
        <v>#DIV/0!</v>
      </c>
      <c r="S1014" s="32"/>
      <c r="T1014" s="32"/>
      <c r="U1014" s="32"/>
      <c r="V1014" s="32"/>
      <c r="W1014" s="32"/>
      <c r="X1014" s="32"/>
      <c r="Y1014" s="32"/>
      <c r="Z1014" s="32"/>
    </row>
    <row r="1015" spans="1:26" ht="15.75" customHeight="1" x14ac:dyDescent="0.3">
      <c r="A1015" s="45"/>
      <c r="B1015" s="219" t="s">
        <v>1483</v>
      </c>
      <c r="C1015" s="194" t="s">
        <v>2021</v>
      </c>
      <c r="D1015" s="46"/>
      <c r="E1015" s="219" t="s">
        <v>1074</v>
      </c>
      <c r="F1015" s="61" t="s">
        <v>31</v>
      </c>
      <c r="G1015" s="291">
        <v>14.35</v>
      </c>
      <c r="H1015" s="292">
        <v>1</v>
      </c>
      <c r="I1015" s="293">
        <v>30</v>
      </c>
      <c r="J1015" s="414" t="s">
        <v>39</v>
      </c>
      <c r="K1015" s="50"/>
      <c r="L1015" s="53" t="str">
        <f t="shared" si="155"/>
        <v>30grams</v>
      </c>
      <c r="M1015" s="54">
        <f t="shared" si="156"/>
        <v>30</v>
      </c>
      <c r="N1015" s="55" t="str">
        <f t="shared" si="157"/>
        <v>30grams</v>
      </c>
      <c r="O1015" s="56">
        <f t="shared" si="158"/>
        <v>14.35</v>
      </c>
      <c r="P1015" s="12"/>
      <c r="Q1015" s="12"/>
      <c r="R1015" s="12"/>
      <c r="S1015" s="151"/>
      <c r="T1015" s="12"/>
      <c r="U1015" s="12"/>
      <c r="V1015" s="12"/>
      <c r="W1015" s="12"/>
      <c r="X1015" s="12"/>
      <c r="Y1015" s="12"/>
      <c r="Z1015" s="12"/>
    </row>
    <row r="1016" spans="1:26" ht="15.75" customHeight="1" x14ac:dyDescent="0.3">
      <c r="A1016" s="45">
        <v>486</v>
      </c>
      <c r="B1016" s="46" t="s">
        <v>1484</v>
      </c>
      <c r="C1016" s="194" t="s">
        <v>2025</v>
      </c>
      <c r="D1016" s="46"/>
      <c r="E1016" s="46"/>
      <c r="F1016" s="61" t="s">
        <v>31</v>
      </c>
      <c r="G1016" s="288">
        <v>95</v>
      </c>
      <c r="H1016" s="289">
        <v>1</v>
      </c>
      <c r="I1016" s="290">
        <v>1</v>
      </c>
      <c r="J1016" s="48" t="s">
        <v>213</v>
      </c>
      <c r="K1016" s="50"/>
      <c r="L1016" s="53" t="str">
        <f t="shared" si="155"/>
        <v>1kilos</v>
      </c>
      <c r="M1016" s="54">
        <f t="shared" si="156"/>
        <v>1</v>
      </c>
      <c r="N1016" s="55" t="str">
        <f t="shared" si="157"/>
        <v>1kilos</v>
      </c>
      <c r="O1016" s="56">
        <f t="shared" si="158"/>
        <v>95</v>
      </c>
      <c r="P1016" s="44">
        <f t="shared" ref="P1016:P1017" si="215">O1016/H1016</f>
        <v>95</v>
      </c>
      <c r="Q1016" s="66"/>
      <c r="R1016" s="32"/>
      <c r="S1016" s="32"/>
      <c r="T1016" s="32"/>
      <c r="U1016" s="32"/>
      <c r="V1016" s="32"/>
      <c r="W1016" s="32"/>
      <c r="X1016" s="32"/>
      <c r="Y1016" s="32"/>
      <c r="Z1016" s="32"/>
    </row>
    <row r="1017" spans="1:26" ht="15.75" customHeight="1" x14ac:dyDescent="0.3">
      <c r="A1017" s="45">
        <v>667</v>
      </c>
      <c r="B1017" s="46" t="s">
        <v>1484</v>
      </c>
      <c r="C1017" s="194" t="s">
        <v>2026</v>
      </c>
      <c r="D1017" s="46"/>
      <c r="E1017" s="46"/>
      <c r="F1017" s="61" t="s">
        <v>31</v>
      </c>
      <c r="G1017" s="288">
        <v>280</v>
      </c>
      <c r="H1017" s="289">
        <v>1</v>
      </c>
      <c r="I1017" s="290">
        <v>1</v>
      </c>
      <c r="J1017" s="48" t="s">
        <v>213</v>
      </c>
      <c r="K1017" s="50"/>
      <c r="L1017" s="53" t="str">
        <f t="shared" si="155"/>
        <v>1kilos</v>
      </c>
      <c r="M1017" s="54">
        <f t="shared" si="156"/>
        <v>1</v>
      </c>
      <c r="N1017" s="55" t="str">
        <f t="shared" si="157"/>
        <v>1kilos</v>
      </c>
      <c r="O1017" s="56">
        <f t="shared" si="158"/>
        <v>280</v>
      </c>
      <c r="P1017" s="44">
        <f t="shared" si="215"/>
        <v>280</v>
      </c>
      <c r="Q1017" s="66"/>
      <c r="R1017" s="32"/>
      <c r="S1017" s="32"/>
      <c r="T1017" s="32"/>
      <c r="U1017" s="32"/>
      <c r="V1017" s="32"/>
      <c r="W1017" s="32"/>
      <c r="X1017" s="32"/>
      <c r="Y1017" s="32"/>
      <c r="Z1017" s="32"/>
    </row>
    <row r="1018" spans="1:26" ht="15.75" customHeight="1" x14ac:dyDescent="0.3">
      <c r="A1018" s="45"/>
      <c r="B1018" s="167" t="s">
        <v>705</v>
      </c>
      <c r="C1018" s="194" t="s">
        <v>2022</v>
      </c>
      <c r="D1018" s="46"/>
      <c r="E1018" s="46" t="s">
        <v>912</v>
      </c>
      <c r="F1018" s="61" t="s">
        <v>31</v>
      </c>
      <c r="G1018" s="288">
        <v>110</v>
      </c>
      <c r="H1018" s="289">
        <v>1</v>
      </c>
      <c r="I1018" s="290">
        <v>1</v>
      </c>
      <c r="J1018" s="48" t="s">
        <v>213</v>
      </c>
      <c r="K1018" s="50"/>
      <c r="L1018" s="53" t="str">
        <f t="shared" si="155"/>
        <v>1kilos</v>
      </c>
      <c r="M1018" s="54">
        <f t="shared" si="156"/>
        <v>1</v>
      </c>
      <c r="N1018" s="55" t="str">
        <f t="shared" si="157"/>
        <v>1kilos</v>
      </c>
      <c r="O1018" s="56">
        <f t="shared" si="158"/>
        <v>110</v>
      </c>
      <c r="P1018" s="12"/>
      <c r="Q1018" s="12"/>
      <c r="R1018" s="12"/>
      <c r="S1018" s="151"/>
      <c r="T1018" s="12"/>
      <c r="U1018" s="12"/>
      <c r="V1018" s="12"/>
      <c r="W1018" s="12"/>
      <c r="X1018" s="12"/>
      <c r="Y1018" s="12"/>
      <c r="Z1018" s="12"/>
    </row>
    <row r="1019" spans="1:26" ht="15.75" customHeight="1" x14ac:dyDescent="0.3">
      <c r="A1019" s="45">
        <v>487</v>
      </c>
      <c r="B1019" s="167" t="s">
        <v>705</v>
      </c>
      <c r="C1019" s="194" t="s">
        <v>2025</v>
      </c>
      <c r="D1019" s="46"/>
      <c r="E1019" s="46"/>
      <c r="F1019" s="61" t="s">
        <v>31</v>
      </c>
      <c r="G1019" s="288">
        <v>85</v>
      </c>
      <c r="H1019" s="289">
        <v>2</v>
      </c>
      <c r="I1019" s="290">
        <v>1</v>
      </c>
      <c r="J1019" s="48" t="s">
        <v>213</v>
      </c>
      <c r="K1019" s="50" t="s">
        <v>2019</v>
      </c>
      <c r="L1019" s="53" t="str">
        <f t="shared" si="155"/>
        <v>1kilos</v>
      </c>
      <c r="M1019" s="54">
        <f t="shared" si="156"/>
        <v>2</v>
      </c>
      <c r="N1019" s="55" t="str">
        <f t="shared" si="157"/>
        <v>2kilos</v>
      </c>
      <c r="O1019" s="56">
        <f t="shared" si="158"/>
        <v>170</v>
      </c>
      <c r="P1019" s="44">
        <f>O1019/H1019</f>
        <v>85</v>
      </c>
      <c r="Q1019" s="44">
        <f>G1019-P1019</f>
        <v>0</v>
      </c>
      <c r="R1019" s="32" t="b">
        <f>P1019=G1019</f>
        <v>1</v>
      </c>
      <c r="S1019" s="32"/>
      <c r="T1019" s="32"/>
      <c r="U1019" s="32"/>
      <c r="V1019" s="32"/>
      <c r="W1019" s="32"/>
      <c r="X1019" s="32"/>
      <c r="Y1019" s="32"/>
      <c r="Z1019" s="32"/>
    </row>
    <row r="1020" spans="1:26" ht="15.75" customHeight="1" x14ac:dyDescent="0.3">
      <c r="A1020" s="45"/>
      <c r="B1020" s="46" t="s">
        <v>705</v>
      </c>
      <c r="C1020" s="194" t="s">
        <v>2023</v>
      </c>
      <c r="D1020" s="46"/>
      <c r="E1020" s="46"/>
      <c r="F1020" s="61" t="s">
        <v>31</v>
      </c>
      <c r="G1020" s="288">
        <v>140</v>
      </c>
      <c r="H1020" s="289">
        <v>2</v>
      </c>
      <c r="I1020" s="290">
        <v>1</v>
      </c>
      <c r="J1020" s="48" t="s">
        <v>213</v>
      </c>
      <c r="K1020" s="50"/>
      <c r="L1020" s="53" t="str">
        <f t="shared" si="155"/>
        <v>1kilos</v>
      </c>
      <c r="M1020" s="54">
        <f t="shared" si="156"/>
        <v>2</v>
      </c>
      <c r="N1020" s="55" t="str">
        <f t="shared" si="157"/>
        <v>2kilos</v>
      </c>
      <c r="O1020" s="56">
        <f t="shared" si="158"/>
        <v>280</v>
      </c>
      <c r="P1020" s="44"/>
      <c r="Q1020" s="12"/>
      <c r="R1020" s="12"/>
      <c r="S1020" s="151"/>
      <c r="T1020" s="12"/>
      <c r="U1020" s="12"/>
      <c r="V1020" s="12"/>
      <c r="W1020" s="12"/>
      <c r="X1020" s="12"/>
      <c r="Y1020" s="12"/>
      <c r="Z1020" s="12"/>
    </row>
    <row r="1021" spans="1:26" ht="15.75" customHeight="1" x14ac:dyDescent="0.3">
      <c r="A1021" s="45"/>
      <c r="B1021" s="219" t="s">
        <v>1485</v>
      </c>
      <c r="C1021" s="194" t="s">
        <v>2021</v>
      </c>
      <c r="D1021" s="46"/>
      <c r="E1021" s="219" t="s">
        <v>1486</v>
      </c>
      <c r="F1021" s="61" t="s">
        <v>31</v>
      </c>
      <c r="G1021" s="291">
        <v>135</v>
      </c>
      <c r="H1021" s="292">
        <v>1</v>
      </c>
      <c r="I1021" s="293">
        <v>320</v>
      </c>
      <c r="J1021" s="414" t="s">
        <v>39</v>
      </c>
      <c r="K1021" s="50"/>
      <c r="L1021" s="53" t="str">
        <f t="shared" si="155"/>
        <v>320grams</v>
      </c>
      <c r="M1021" s="54">
        <f t="shared" si="156"/>
        <v>320</v>
      </c>
      <c r="N1021" s="55" t="str">
        <f t="shared" si="157"/>
        <v>320grams</v>
      </c>
      <c r="O1021" s="56">
        <f t="shared" si="158"/>
        <v>135</v>
      </c>
      <c r="P1021" s="12"/>
      <c r="Q1021" s="12"/>
      <c r="R1021" s="12"/>
      <c r="S1021" s="151"/>
      <c r="T1021" s="12"/>
      <c r="U1021" s="12"/>
      <c r="V1021" s="12"/>
      <c r="W1021" s="12"/>
      <c r="X1021" s="12"/>
      <c r="Y1021" s="12"/>
      <c r="Z1021" s="12"/>
    </row>
    <row r="1022" spans="1:26" ht="15.75" customHeight="1" x14ac:dyDescent="0.3">
      <c r="A1022" s="45">
        <v>502</v>
      </c>
      <c r="B1022" s="46" t="s">
        <v>1487</v>
      </c>
      <c r="C1022" s="194" t="s">
        <v>2025</v>
      </c>
      <c r="D1022" s="46"/>
      <c r="E1022" s="46"/>
      <c r="F1022" s="61" t="s">
        <v>31</v>
      </c>
      <c r="G1022" s="288">
        <v>45</v>
      </c>
      <c r="H1022" s="289">
        <v>8</v>
      </c>
      <c r="I1022" s="290">
        <v>1</v>
      </c>
      <c r="J1022" s="48" t="s">
        <v>92</v>
      </c>
      <c r="K1022" s="50" t="s">
        <v>2019</v>
      </c>
      <c r="L1022" s="53" t="str">
        <f t="shared" si="155"/>
        <v>1pieces</v>
      </c>
      <c r="M1022" s="54">
        <f t="shared" si="156"/>
        <v>8</v>
      </c>
      <c r="N1022" s="55" t="str">
        <f t="shared" si="157"/>
        <v>8pieces</v>
      </c>
      <c r="O1022" s="56">
        <f t="shared" si="158"/>
        <v>360</v>
      </c>
      <c r="P1022" s="44">
        <f>O1022/H1022</f>
        <v>45</v>
      </c>
      <c r="Q1022" s="44">
        <f>G1022-P1022</f>
        <v>0</v>
      </c>
      <c r="R1022" s="32" t="b">
        <f>P1022=G1022</f>
        <v>1</v>
      </c>
      <c r="S1022" s="32"/>
      <c r="T1022" s="32"/>
      <c r="U1022" s="32"/>
      <c r="V1022" s="32"/>
      <c r="W1022" s="32"/>
      <c r="X1022" s="32"/>
      <c r="Y1022" s="32"/>
      <c r="Z1022" s="32"/>
    </row>
    <row r="1023" spans="1:26" ht="15.75" customHeight="1" x14ac:dyDescent="0.3">
      <c r="A1023" s="45"/>
      <c r="B1023" s="219" t="s">
        <v>1488</v>
      </c>
      <c r="C1023" s="194" t="s">
        <v>2021</v>
      </c>
      <c r="D1023" s="46"/>
      <c r="E1023" s="219" t="s">
        <v>1074</v>
      </c>
      <c r="F1023" s="61" t="s">
        <v>31</v>
      </c>
      <c r="G1023" s="291">
        <v>21.1</v>
      </c>
      <c r="H1023" s="292">
        <v>3</v>
      </c>
      <c r="I1023" s="293">
        <v>10</v>
      </c>
      <c r="J1023" s="414" t="s">
        <v>39</v>
      </c>
      <c r="K1023" s="50"/>
      <c r="L1023" s="53" t="str">
        <f t="shared" si="155"/>
        <v>10grams</v>
      </c>
      <c r="M1023" s="54">
        <f t="shared" si="156"/>
        <v>30</v>
      </c>
      <c r="N1023" s="55" t="str">
        <f t="shared" si="157"/>
        <v>30grams</v>
      </c>
      <c r="O1023" s="56">
        <f t="shared" si="158"/>
        <v>63.300000000000004</v>
      </c>
      <c r="P1023" s="12"/>
      <c r="Q1023" s="12"/>
      <c r="R1023" s="12"/>
      <c r="S1023" s="151"/>
      <c r="T1023" s="12"/>
      <c r="U1023" s="12"/>
      <c r="V1023" s="12"/>
      <c r="W1023" s="12"/>
      <c r="X1023" s="12"/>
      <c r="Y1023" s="12"/>
      <c r="Z1023" s="12"/>
    </row>
    <row r="1024" spans="1:26" ht="15.75" customHeight="1" x14ac:dyDescent="0.3">
      <c r="A1024" s="45">
        <v>167</v>
      </c>
      <c r="B1024" s="46" t="s">
        <v>1489</v>
      </c>
      <c r="C1024" s="194" t="s">
        <v>2024</v>
      </c>
      <c r="D1024" s="46"/>
      <c r="E1024" s="46" t="s">
        <v>363</v>
      </c>
      <c r="F1024" s="61" t="s">
        <v>31</v>
      </c>
      <c r="G1024" s="288">
        <v>160</v>
      </c>
      <c r="H1024" s="289">
        <v>2</v>
      </c>
      <c r="I1024" s="321">
        <v>2.2999999999999998</v>
      </c>
      <c r="J1024" s="48" t="s">
        <v>213</v>
      </c>
      <c r="K1024" s="50"/>
      <c r="L1024" s="53" t="str">
        <f t="shared" si="155"/>
        <v>2.3kilos</v>
      </c>
      <c r="M1024" s="54">
        <f t="shared" si="156"/>
        <v>4.5999999999999996</v>
      </c>
      <c r="N1024" s="55" t="str">
        <f t="shared" si="157"/>
        <v>4.6kilos</v>
      </c>
      <c r="O1024" s="56">
        <f t="shared" si="158"/>
        <v>320</v>
      </c>
      <c r="P1024" s="44">
        <f>O1024/H1024</f>
        <v>160</v>
      </c>
      <c r="Q1024" s="66"/>
      <c r="R1024" s="32" t="b">
        <f>P1024=G1024</f>
        <v>1</v>
      </c>
      <c r="S1024" s="32"/>
      <c r="T1024" s="32"/>
      <c r="U1024" s="32"/>
      <c r="V1024" s="32"/>
      <c r="W1024" s="32"/>
      <c r="X1024" s="32"/>
      <c r="Y1024" s="32"/>
      <c r="Z1024" s="32"/>
    </row>
    <row r="1025" spans="1:26" ht="15.75" customHeight="1" x14ac:dyDescent="0.3">
      <c r="A1025" s="45"/>
      <c r="B1025" s="46" t="s">
        <v>1489</v>
      </c>
      <c r="C1025" s="194" t="s">
        <v>2022</v>
      </c>
      <c r="D1025" s="46"/>
      <c r="E1025" s="46" t="s">
        <v>907</v>
      </c>
      <c r="F1025" s="61" t="s">
        <v>31</v>
      </c>
      <c r="G1025" s="288">
        <v>240</v>
      </c>
      <c r="H1025" s="289">
        <v>17</v>
      </c>
      <c r="I1025" s="290">
        <v>1</v>
      </c>
      <c r="J1025" s="48" t="s">
        <v>213</v>
      </c>
      <c r="K1025" s="50"/>
      <c r="L1025" s="53" t="str">
        <f t="shared" si="155"/>
        <v>1kilos</v>
      </c>
      <c r="M1025" s="54">
        <f t="shared" si="156"/>
        <v>17</v>
      </c>
      <c r="N1025" s="55" t="str">
        <f t="shared" si="157"/>
        <v>17kilos</v>
      </c>
      <c r="O1025" s="56">
        <f t="shared" si="158"/>
        <v>4080</v>
      </c>
      <c r="P1025" s="12"/>
      <c r="Q1025" s="12"/>
      <c r="R1025" s="12"/>
      <c r="S1025" s="151"/>
      <c r="T1025" s="12"/>
      <c r="U1025" s="12"/>
      <c r="V1025" s="12"/>
      <c r="W1025" s="12"/>
      <c r="X1025" s="12"/>
      <c r="Y1025" s="12"/>
      <c r="Z1025" s="12"/>
    </row>
    <row r="1026" spans="1:26" ht="15.75" customHeight="1" x14ac:dyDescent="0.3">
      <c r="A1026" s="45">
        <v>147</v>
      </c>
      <c r="B1026" s="46" t="s">
        <v>279</v>
      </c>
      <c r="C1026" s="194" t="s">
        <v>2024</v>
      </c>
      <c r="D1026" s="46"/>
      <c r="E1026" s="46" t="s">
        <v>1069</v>
      </c>
      <c r="F1026" s="61" t="s">
        <v>31</v>
      </c>
      <c r="G1026" s="288">
        <v>199</v>
      </c>
      <c r="H1026" s="289">
        <v>7</v>
      </c>
      <c r="I1026" s="290">
        <v>3500</v>
      </c>
      <c r="J1026" s="48" t="s">
        <v>32</v>
      </c>
      <c r="K1026" s="50"/>
      <c r="L1026" s="53" t="str">
        <f t="shared" si="155"/>
        <v>3500ml</v>
      </c>
      <c r="M1026" s="54">
        <f t="shared" si="156"/>
        <v>24500</v>
      </c>
      <c r="N1026" s="55" t="str">
        <f t="shared" si="157"/>
        <v>24500ml</v>
      </c>
      <c r="O1026" s="56">
        <f t="shared" si="158"/>
        <v>1393</v>
      </c>
      <c r="P1026" s="44">
        <f t="shared" ref="P1026:P1028" si="216">O1026/H1026</f>
        <v>199</v>
      </c>
      <c r="Q1026" s="66"/>
      <c r="R1026" s="32"/>
      <c r="S1026" s="32"/>
      <c r="T1026" s="32"/>
      <c r="U1026" s="32"/>
      <c r="V1026" s="32"/>
      <c r="W1026" s="32"/>
      <c r="X1026" s="32"/>
      <c r="Y1026" s="32"/>
      <c r="Z1026" s="32"/>
    </row>
    <row r="1027" spans="1:26" ht="15.75" customHeight="1" x14ac:dyDescent="0.3">
      <c r="A1027" s="45">
        <v>740</v>
      </c>
      <c r="B1027" s="46" t="s">
        <v>279</v>
      </c>
      <c r="C1027" s="194" t="s">
        <v>2026</v>
      </c>
      <c r="D1027" s="46"/>
      <c r="E1027" s="46" t="s">
        <v>897</v>
      </c>
      <c r="F1027" s="61" t="s">
        <v>31</v>
      </c>
      <c r="G1027" s="288">
        <v>103.6</v>
      </c>
      <c r="H1027" s="289">
        <v>1</v>
      </c>
      <c r="I1027" s="290">
        <v>405</v>
      </c>
      <c r="J1027" s="48" t="s">
        <v>39</v>
      </c>
      <c r="K1027" s="50"/>
      <c r="L1027" s="53" t="str">
        <f t="shared" si="155"/>
        <v>405grams</v>
      </c>
      <c r="M1027" s="54">
        <f t="shared" si="156"/>
        <v>405</v>
      </c>
      <c r="N1027" s="55" t="str">
        <f t="shared" si="157"/>
        <v>405grams</v>
      </c>
      <c r="O1027" s="56">
        <f t="shared" si="158"/>
        <v>103.6</v>
      </c>
      <c r="P1027" s="44">
        <f t="shared" si="216"/>
        <v>103.6</v>
      </c>
      <c r="Q1027" s="66"/>
      <c r="R1027" s="32"/>
      <c r="S1027" s="32"/>
      <c r="T1027" s="32"/>
      <c r="U1027" s="32"/>
      <c r="V1027" s="32"/>
      <c r="W1027" s="32"/>
      <c r="X1027" s="32"/>
      <c r="Y1027" s="32"/>
      <c r="Z1027" s="32"/>
    </row>
    <row r="1028" spans="1:26" ht="15.75" customHeight="1" x14ac:dyDescent="0.3">
      <c r="A1028" s="45">
        <v>741</v>
      </c>
      <c r="B1028" s="46" t="s">
        <v>279</v>
      </c>
      <c r="C1028" s="194" t="s">
        <v>2026</v>
      </c>
      <c r="D1028" s="46"/>
      <c r="E1028" s="46" t="s">
        <v>897</v>
      </c>
      <c r="F1028" s="61" t="s">
        <v>31</v>
      </c>
      <c r="G1028" s="288">
        <v>186</v>
      </c>
      <c r="H1028" s="289">
        <v>1</v>
      </c>
      <c r="I1028" s="290">
        <v>765</v>
      </c>
      <c r="J1028" s="48" t="s">
        <v>39</v>
      </c>
      <c r="K1028" s="50"/>
      <c r="L1028" s="53" t="str">
        <f t="shared" si="155"/>
        <v>765grams</v>
      </c>
      <c r="M1028" s="54">
        <f t="shared" si="156"/>
        <v>765</v>
      </c>
      <c r="N1028" s="55" t="str">
        <f t="shared" si="157"/>
        <v>765grams</v>
      </c>
      <c r="O1028" s="56">
        <f t="shared" si="158"/>
        <v>186</v>
      </c>
      <c r="P1028" s="44">
        <f t="shared" si="216"/>
        <v>186</v>
      </c>
      <c r="Q1028" s="66"/>
      <c r="R1028" s="32" t="b">
        <f>P1028=G1028</f>
        <v>1</v>
      </c>
      <c r="S1028" s="32"/>
      <c r="T1028" s="32"/>
      <c r="U1028" s="32"/>
      <c r="V1028" s="32"/>
      <c r="W1028" s="32"/>
      <c r="X1028" s="32"/>
      <c r="Y1028" s="32"/>
      <c r="Z1028" s="32"/>
    </row>
    <row r="1029" spans="1:26" ht="15.75" customHeight="1" x14ac:dyDescent="0.3">
      <c r="A1029" s="45"/>
      <c r="B1029" s="46" t="s">
        <v>279</v>
      </c>
      <c r="C1029" s="194" t="s">
        <v>2023</v>
      </c>
      <c r="D1029" s="46"/>
      <c r="E1029" s="46" t="s">
        <v>1069</v>
      </c>
      <c r="F1029" s="61" t="s">
        <v>31</v>
      </c>
      <c r="G1029" s="288">
        <v>200</v>
      </c>
      <c r="H1029" s="289">
        <v>2</v>
      </c>
      <c r="I1029" s="290">
        <v>3500</v>
      </c>
      <c r="J1029" s="48" t="s">
        <v>200</v>
      </c>
      <c r="K1029" s="50"/>
      <c r="L1029" s="53" t="str">
        <f t="shared" ref="L1029:L1283" si="217">CONCATENATE(I1029,J1029)</f>
        <v>3500gal</v>
      </c>
      <c r="M1029" s="54">
        <f t="shared" ref="M1029:M1283" si="218">H1029*I1029</f>
        <v>7000</v>
      </c>
      <c r="N1029" s="55" t="str">
        <f t="shared" ref="N1029:N1283" si="219">CONCATENATE(M1029,K1029,J1029)</f>
        <v>7000gal</v>
      </c>
      <c r="O1029" s="56">
        <f t="shared" ref="O1029:O1283" si="220">G1029*H1029</f>
        <v>400</v>
      </c>
      <c r="P1029" s="44"/>
      <c r="Q1029" s="12"/>
      <c r="R1029" s="12"/>
      <c r="S1029" s="151"/>
      <c r="T1029" s="12"/>
      <c r="U1029" s="12"/>
      <c r="V1029" s="12"/>
      <c r="W1029" s="12"/>
      <c r="X1029" s="12"/>
      <c r="Y1029" s="12"/>
      <c r="Z1029" s="12"/>
    </row>
    <row r="1030" spans="1:26" ht="15.75" customHeight="1" x14ac:dyDescent="0.3">
      <c r="A1030" s="45"/>
      <c r="B1030" s="46" t="s">
        <v>279</v>
      </c>
      <c r="C1030" s="194" t="s">
        <v>2022</v>
      </c>
      <c r="D1030" s="46"/>
      <c r="E1030" s="46" t="s">
        <v>1490</v>
      </c>
      <c r="F1030" s="61" t="s">
        <v>31</v>
      </c>
      <c r="G1030" s="288">
        <v>165</v>
      </c>
      <c r="H1030" s="289">
        <v>5</v>
      </c>
      <c r="I1030" s="290">
        <v>2270</v>
      </c>
      <c r="J1030" s="48" t="s">
        <v>39</v>
      </c>
      <c r="K1030" s="50"/>
      <c r="L1030" s="53" t="str">
        <f t="shared" si="217"/>
        <v>2270grams</v>
      </c>
      <c r="M1030" s="54">
        <f t="shared" si="218"/>
        <v>11350</v>
      </c>
      <c r="N1030" s="55" t="str">
        <f t="shared" si="219"/>
        <v>11350grams</v>
      </c>
      <c r="O1030" s="56">
        <f t="shared" si="220"/>
        <v>825</v>
      </c>
      <c r="P1030" s="12"/>
      <c r="Q1030" s="12"/>
      <c r="R1030" s="12"/>
      <c r="S1030" s="151"/>
      <c r="T1030" s="12"/>
      <c r="U1030" s="12"/>
      <c r="V1030" s="12"/>
      <c r="W1030" s="12"/>
      <c r="X1030" s="12"/>
      <c r="Y1030" s="12"/>
      <c r="Z1030" s="12"/>
    </row>
    <row r="1031" spans="1:26" ht="15.75" customHeight="1" x14ac:dyDescent="0.3">
      <c r="A1031" s="45"/>
      <c r="B1031" s="219" t="s">
        <v>279</v>
      </c>
      <c r="C1031" s="194" t="s">
        <v>2021</v>
      </c>
      <c r="D1031" s="46"/>
      <c r="E1031" s="219" t="s">
        <v>897</v>
      </c>
      <c r="F1031" s="61" t="s">
        <v>31</v>
      </c>
      <c r="G1031" s="291">
        <v>721.7</v>
      </c>
      <c r="H1031" s="292">
        <v>1</v>
      </c>
      <c r="I1031" s="322">
        <v>4.2</v>
      </c>
      <c r="J1031" s="414" t="s">
        <v>213</v>
      </c>
      <c r="K1031" s="50"/>
      <c r="L1031" s="53" t="str">
        <f t="shared" si="217"/>
        <v>4.2kilos</v>
      </c>
      <c r="M1031" s="54">
        <f t="shared" si="218"/>
        <v>4.2</v>
      </c>
      <c r="N1031" s="55" t="str">
        <f t="shared" si="219"/>
        <v>4.2kilos</v>
      </c>
      <c r="O1031" s="56">
        <f t="shared" si="220"/>
        <v>721.7</v>
      </c>
      <c r="P1031" s="12"/>
      <c r="Q1031" s="12"/>
      <c r="R1031" s="12"/>
      <c r="S1031" s="151"/>
      <c r="T1031" s="12"/>
      <c r="U1031" s="12"/>
      <c r="V1031" s="12"/>
      <c r="W1031" s="12"/>
      <c r="X1031" s="12"/>
      <c r="Y1031" s="12"/>
      <c r="Z1031" s="12"/>
    </row>
    <row r="1032" spans="1:26" ht="15.75" customHeight="1" x14ac:dyDescent="0.3">
      <c r="A1032" s="45">
        <v>169</v>
      </c>
      <c r="B1032" s="46" t="s">
        <v>1491</v>
      </c>
      <c r="C1032" s="194" t="s">
        <v>2024</v>
      </c>
      <c r="D1032" s="46"/>
      <c r="E1032" s="46"/>
      <c r="F1032" s="61" t="s">
        <v>31</v>
      </c>
      <c r="G1032" s="288">
        <v>250</v>
      </c>
      <c r="H1032" s="289">
        <v>2</v>
      </c>
      <c r="I1032" s="290">
        <v>1</v>
      </c>
      <c r="J1032" s="48" t="s">
        <v>213</v>
      </c>
      <c r="K1032" s="50"/>
      <c r="L1032" s="53" t="str">
        <f t="shared" si="217"/>
        <v>1kilos</v>
      </c>
      <c r="M1032" s="54">
        <f t="shared" si="218"/>
        <v>2</v>
      </c>
      <c r="N1032" s="55" t="str">
        <f t="shared" si="219"/>
        <v>2kilos</v>
      </c>
      <c r="O1032" s="56">
        <f t="shared" si="220"/>
        <v>500</v>
      </c>
      <c r="P1032" s="44">
        <f t="shared" ref="P1032:P1033" si="221">O1032/H1032</f>
        <v>250</v>
      </c>
      <c r="Q1032" s="66"/>
      <c r="R1032" s="32" t="b">
        <f>P1032=G1032</f>
        <v>1</v>
      </c>
      <c r="S1032" s="32"/>
      <c r="T1032" s="32"/>
      <c r="U1032" s="32"/>
      <c r="V1032" s="32"/>
      <c r="W1032" s="32"/>
      <c r="X1032" s="32"/>
      <c r="Y1032" s="32"/>
      <c r="Z1032" s="32"/>
    </row>
    <row r="1033" spans="1:26" ht="15.75" customHeight="1" x14ac:dyDescent="0.3">
      <c r="A1033" s="45">
        <v>563</v>
      </c>
      <c r="B1033" s="46" t="s">
        <v>1491</v>
      </c>
      <c r="C1033" s="194" t="s">
        <v>2026</v>
      </c>
      <c r="D1033" s="46"/>
      <c r="E1033" s="46"/>
      <c r="F1033" s="61" t="s">
        <v>31</v>
      </c>
      <c r="G1033" s="288">
        <v>48</v>
      </c>
      <c r="H1033" s="289">
        <v>9</v>
      </c>
      <c r="I1033" s="290">
        <v>1000</v>
      </c>
      <c r="J1033" s="48" t="s">
        <v>39</v>
      </c>
      <c r="K1033" s="50"/>
      <c r="L1033" s="53" t="str">
        <f t="shared" si="217"/>
        <v>1000grams</v>
      </c>
      <c r="M1033" s="54">
        <f t="shared" si="218"/>
        <v>9000</v>
      </c>
      <c r="N1033" s="55" t="str">
        <f t="shared" si="219"/>
        <v>9000grams</v>
      </c>
      <c r="O1033" s="56">
        <f t="shared" si="220"/>
        <v>432</v>
      </c>
      <c r="P1033" s="44">
        <f t="shared" si="221"/>
        <v>48</v>
      </c>
      <c r="Q1033" s="66"/>
      <c r="R1033" s="32"/>
      <c r="S1033" s="32"/>
      <c r="T1033" s="32"/>
      <c r="U1033" s="32"/>
      <c r="V1033" s="32"/>
      <c r="W1033" s="32"/>
      <c r="X1033" s="32"/>
      <c r="Y1033" s="32"/>
      <c r="Z1033" s="32"/>
    </row>
    <row r="1034" spans="1:26" ht="15.75" customHeight="1" x14ac:dyDescent="0.3">
      <c r="A1034" s="45"/>
      <c r="B1034" s="46" t="s">
        <v>1492</v>
      </c>
      <c r="C1034" s="194" t="s">
        <v>2023</v>
      </c>
      <c r="D1034" s="46"/>
      <c r="E1034" s="46"/>
      <c r="F1034" s="61" t="s">
        <v>31</v>
      </c>
      <c r="G1034" s="288">
        <v>80</v>
      </c>
      <c r="H1034" s="289">
        <v>1</v>
      </c>
      <c r="I1034" s="290">
        <v>1000</v>
      </c>
      <c r="J1034" s="48" t="s">
        <v>39</v>
      </c>
      <c r="K1034" s="50"/>
      <c r="L1034" s="53" t="str">
        <f t="shared" si="217"/>
        <v>1000grams</v>
      </c>
      <c r="M1034" s="54">
        <f t="shared" si="218"/>
        <v>1000</v>
      </c>
      <c r="N1034" s="55" t="str">
        <f t="shared" si="219"/>
        <v>1000grams</v>
      </c>
      <c r="O1034" s="56">
        <f t="shared" si="220"/>
        <v>80</v>
      </c>
      <c r="P1034" s="44"/>
      <c r="Q1034" s="12"/>
      <c r="R1034" s="12"/>
      <c r="S1034" s="151"/>
      <c r="T1034" s="12"/>
      <c r="U1034" s="12"/>
      <c r="V1034" s="12"/>
      <c r="W1034" s="12"/>
      <c r="X1034" s="12"/>
      <c r="Y1034" s="12"/>
      <c r="Z1034" s="12"/>
    </row>
    <row r="1035" spans="1:26" ht="15.75" customHeight="1" x14ac:dyDescent="0.3">
      <c r="A1035" s="45">
        <v>62</v>
      </c>
      <c r="B1035" s="46" t="s">
        <v>708</v>
      </c>
      <c r="C1035" s="194" t="s">
        <v>29</v>
      </c>
      <c r="D1035" s="46"/>
      <c r="E1035" s="46" t="s">
        <v>919</v>
      </c>
      <c r="F1035" s="61" t="s">
        <v>31</v>
      </c>
      <c r="G1035" s="288">
        <v>42.5</v>
      </c>
      <c r="H1035" s="289">
        <v>4</v>
      </c>
      <c r="I1035" s="290">
        <v>500</v>
      </c>
      <c r="J1035" s="48" t="s">
        <v>39</v>
      </c>
      <c r="K1035" s="61" t="s">
        <v>2019</v>
      </c>
      <c r="L1035" s="415" t="str">
        <f t="shared" si="217"/>
        <v>500grams</v>
      </c>
      <c r="M1035" s="416">
        <f t="shared" si="218"/>
        <v>2000</v>
      </c>
      <c r="N1035" s="417" t="str">
        <f t="shared" si="219"/>
        <v>2000grams</v>
      </c>
      <c r="O1035" s="418">
        <f t="shared" si="220"/>
        <v>170</v>
      </c>
      <c r="P1035" s="419">
        <f t="shared" ref="P1035:P1038" si="222">O1035/H1035</f>
        <v>42.5</v>
      </c>
      <c r="Q1035" s="66"/>
      <c r="R1035" s="32" t="b">
        <f>P1035=G1035</f>
        <v>1</v>
      </c>
      <c r="S1035" s="32"/>
      <c r="T1035" s="32"/>
      <c r="U1035" s="32"/>
      <c r="V1035" s="32"/>
      <c r="W1035" s="32"/>
      <c r="X1035" s="32"/>
      <c r="Y1035" s="32"/>
      <c r="Z1035" s="32"/>
    </row>
    <row r="1036" spans="1:26" ht="15.75" customHeight="1" x14ac:dyDescent="0.3">
      <c r="A1036" s="45">
        <v>122</v>
      </c>
      <c r="B1036" s="46" t="s">
        <v>708</v>
      </c>
      <c r="C1036" s="194" t="s">
        <v>2024</v>
      </c>
      <c r="D1036" s="46"/>
      <c r="E1036" s="46" t="s">
        <v>919</v>
      </c>
      <c r="F1036" s="61" t="s">
        <v>31</v>
      </c>
      <c r="G1036" s="288">
        <v>42.2</v>
      </c>
      <c r="H1036" s="289">
        <v>14</v>
      </c>
      <c r="I1036" s="290">
        <v>500</v>
      </c>
      <c r="J1036" s="48" t="s">
        <v>39</v>
      </c>
      <c r="K1036" s="50"/>
      <c r="L1036" s="53" t="str">
        <f t="shared" si="217"/>
        <v>500grams</v>
      </c>
      <c r="M1036" s="54">
        <f t="shared" si="218"/>
        <v>7000</v>
      </c>
      <c r="N1036" s="55" t="str">
        <f t="shared" si="219"/>
        <v>7000grams</v>
      </c>
      <c r="O1036" s="56">
        <f t="shared" si="220"/>
        <v>590.80000000000007</v>
      </c>
      <c r="P1036" s="44">
        <f t="shared" si="222"/>
        <v>42.2</v>
      </c>
      <c r="Q1036" s="66"/>
      <c r="R1036" s="32"/>
      <c r="S1036" s="32"/>
      <c r="T1036" s="32"/>
      <c r="U1036" s="32"/>
      <c r="V1036" s="32"/>
      <c r="W1036" s="32"/>
      <c r="X1036" s="32"/>
      <c r="Y1036" s="32"/>
      <c r="Z1036" s="32"/>
    </row>
    <row r="1037" spans="1:26" ht="15.75" customHeight="1" x14ac:dyDescent="0.3">
      <c r="A1037" s="45">
        <v>357</v>
      </c>
      <c r="B1037" s="46" t="s">
        <v>708</v>
      </c>
      <c r="C1037" s="194" t="s">
        <v>2025</v>
      </c>
      <c r="D1037" s="46"/>
      <c r="E1037" s="46" t="s">
        <v>919</v>
      </c>
      <c r="F1037" s="61" t="s">
        <v>31</v>
      </c>
      <c r="G1037" s="288">
        <v>42.2</v>
      </c>
      <c r="H1037" s="289">
        <v>12</v>
      </c>
      <c r="I1037" s="290">
        <v>454</v>
      </c>
      <c r="J1037" s="48" t="s">
        <v>39</v>
      </c>
      <c r="K1037" s="50"/>
      <c r="L1037" s="53" t="str">
        <f t="shared" si="217"/>
        <v>454grams</v>
      </c>
      <c r="M1037" s="54">
        <f t="shared" si="218"/>
        <v>5448</v>
      </c>
      <c r="N1037" s="55" t="str">
        <f t="shared" si="219"/>
        <v>5448grams</v>
      </c>
      <c r="O1037" s="56">
        <f t="shared" si="220"/>
        <v>506.40000000000003</v>
      </c>
      <c r="P1037" s="44">
        <f t="shared" si="222"/>
        <v>42.2</v>
      </c>
      <c r="Q1037" s="66"/>
      <c r="R1037" s="32" t="b">
        <f t="shared" ref="R1037:R1038" si="223">P1037=G1037</f>
        <v>1</v>
      </c>
      <c r="S1037" s="32"/>
      <c r="T1037" s="32"/>
      <c r="U1037" s="32"/>
      <c r="V1037" s="32"/>
      <c r="W1037" s="32"/>
      <c r="X1037" s="32"/>
      <c r="Y1037" s="32"/>
      <c r="Z1037" s="32"/>
    </row>
    <row r="1038" spans="1:26" ht="15.75" customHeight="1" x14ac:dyDescent="0.3">
      <c r="A1038" s="45">
        <v>764</v>
      </c>
      <c r="B1038" s="46" t="s">
        <v>708</v>
      </c>
      <c r="C1038" s="194" t="s">
        <v>2026</v>
      </c>
      <c r="D1038" s="46"/>
      <c r="E1038" s="46" t="s">
        <v>919</v>
      </c>
      <c r="F1038" s="61" t="s">
        <v>31</v>
      </c>
      <c r="G1038" s="288">
        <v>42.2</v>
      </c>
      <c r="H1038" s="289">
        <v>4</v>
      </c>
      <c r="I1038" s="290">
        <v>500</v>
      </c>
      <c r="J1038" s="48" t="s">
        <v>39</v>
      </c>
      <c r="K1038" s="50" t="s">
        <v>2019</v>
      </c>
      <c r="L1038" s="53" t="str">
        <f t="shared" si="217"/>
        <v>500grams</v>
      </c>
      <c r="M1038" s="54">
        <f t="shared" si="218"/>
        <v>2000</v>
      </c>
      <c r="N1038" s="55" t="str">
        <f t="shared" si="219"/>
        <v>2000grams</v>
      </c>
      <c r="O1038" s="56">
        <f t="shared" si="220"/>
        <v>168.8</v>
      </c>
      <c r="P1038" s="44">
        <f t="shared" si="222"/>
        <v>42.2</v>
      </c>
      <c r="Q1038" s="66">
        <f>G1038-P1038</f>
        <v>0</v>
      </c>
      <c r="R1038" s="32" t="b">
        <f t="shared" si="223"/>
        <v>1</v>
      </c>
      <c r="S1038" s="32"/>
      <c r="T1038" s="32"/>
      <c r="U1038" s="32"/>
      <c r="V1038" s="32"/>
      <c r="W1038" s="32"/>
      <c r="X1038" s="32"/>
      <c r="Y1038" s="32"/>
      <c r="Z1038" s="32"/>
    </row>
    <row r="1039" spans="1:26" ht="15.75" customHeight="1" x14ac:dyDescent="0.3">
      <c r="A1039" s="45"/>
      <c r="B1039" s="46" t="s">
        <v>708</v>
      </c>
      <c r="C1039" s="194" t="s">
        <v>2023</v>
      </c>
      <c r="D1039" s="46"/>
      <c r="E1039" s="46" t="s">
        <v>919</v>
      </c>
      <c r="F1039" s="61" t="s">
        <v>31</v>
      </c>
      <c r="G1039" s="288">
        <v>42.2</v>
      </c>
      <c r="H1039" s="289">
        <v>7</v>
      </c>
      <c r="I1039" s="290">
        <v>500</v>
      </c>
      <c r="J1039" s="48" t="s">
        <v>39</v>
      </c>
      <c r="K1039" s="50"/>
      <c r="L1039" s="53" t="str">
        <f t="shared" si="217"/>
        <v>500grams</v>
      </c>
      <c r="M1039" s="54">
        <f t="shared" si="218"/>
        <v>3500</v>
      </c>
      <c r="N1039" s="55" t="str">
        <f t="shared" si="219"/>
        <v>3500grams</v>
      </c>
      <c r="O1039" s="56">
        <f t="shared" si="220"/>
        <v>295.40000000000003</v>
      </c>
      <c r="P1039" s="12"/>
      <c r="Q1039" s="12"/>
      <c r="R1039" s="12"/>
      <c r="S1039" s="151"/>
      <c r="T1039" s="12"/>
      <c r="U1039" s="12"/>
      <c r="V1039" s="12"/>
      <c r="W1039" s="12"/>
      <c r="X1039" s="12"/>
      <c r="Y1039" s="12"/>
      <c r="Z1039" s="12"/>
    </row>
    <row r="1040" spans="1:26" ht="15.75" customHeight="1" x14ac:dyDescent="0.3">
      <c r="A1040" s="45"/>
      <c r="B1040" s="46" t="s">
        <v>708</v>
      </c>
      <c r="C1040" s="194" t="s">
        <v>2022</v>
      </c>
      <c r="D1040" s="46"/>
      <c r="E1040" s="46" t="s">
        <v>919</v>
      </c>
      <c r="F1040" s="61" t="s">
        <v>31</v>
      </c>
      <c r="G1040" s="288">
        <v>45</v>
      </c>
      <c r="H1040" s="289">
        <v>1</v>
      </c>
      <c r="I1040" s="290">
        <v>500</v>
      </c>
      <c r="J1040" s="48" t="s">
        <v>39</v>
      </c>
      <c r="K1040" s="50"/>
      <c r="L1040" s="53" t="str">
        <f t="shared" si="217"/>
        <v>500grams</v>
      </c>
      <c r="M1040" s="54">
        <f t="shared" si="218"/>
        <v>500</v>
      </c>
      <c r="N1040" s="55" t="str">
        <f t="shared" si="219"/>
        <v>500grams</v>
      </c>
      <c r="O1040" s="56">
        <f t="shared" si="220"/>
        <v>45</v>
      </c>
      <c r="P1040" s="12"/>
      <c r="Q1040" s="12"/>
      <c r="R1040" s="12"/>
      <c r="S1040" s="151"/>
      <c r="T1040" s="12"/>
      <c r="U1040" s="12"/>
      <c r="V1040" s="12"/>
      <c r="W1040" s="12"/>
      <c r="X1040" s="12"/>
      <c r="Y1040" s="12"/>
      <c r="Z1040" s="12"/>
    </row>
    <row r="1041" spans="1:26" ht="15.75" customHeight="1" x14ac:dyDescent="0.3">
      <c r="A1041" s="45"/>
      <c r="B1041" s="219" t="s">
        <v>708</v>
      </c>
      <c r="C1041" s="194" t="s">
        <v>2021</v>
      </c>
      <c r="D1041" s="46"/>
      <c r="E1041" s="219" t="s">
        <v>919</v>
      </c>
      <c r="F1041" s="61" t="s">
        <v>31</v>
      </c>
      <c r="G1041" s="291">
        <v>43.5</v>
      </c>
      <c r="H1041" s="292">
        <v>19</v>
      </c>
      <c r="I1041" s="293">
        <v>500</v>
      </c>
      <c r="J1041" s="414" t="s">
        <v>39</v>
      </c>
      <c r="K1041" s="50"/>
      <c r="L1041" s="53" t="str">
        <f t="shared" si="217"/>
        <v>500grams</v>
      </c>
      <c r="M1041" s="54">
        <f t="shared" si="218"/>
        <v>9500</v>
      </c>
      <c r="N1041" s="55" t="str">
        <f t="shared" si="219"/>
        <v>9500grams</v>
      </c>
      <c r="O1041" s="56">
        <f t="shared" si="220"/>
        <v>826.5</v>
      </c>
      <c r="P1041" s="12"/>
      <c r="Q1041" s="12"/>
      <c r="R1041" s="12"/>
      <c r="S1041" s="151"/>
      <c r="T1041" s="12"/>
      <c r="U1041" s="12"/>
      <c r="V1041" s="12"/>
      <c r="W1041" s="12"/>
      <c r="X1041" s="12"/>
      <c r="Y1041" s="12"/>
      <c r="Z1041" s="12"/>
    </row>
    <row r="1042" spans="1:26" ht="15.75" customHeight="1" x14ac:dyDescent="0.3">
      <c r="A1042" s="45"/>
      <c r="B1042" s="46" t="s">
        <v>708</v>
      </c>
      <c r="C1042" s="194" t="s">
        <v>2020</v>
      </c>
      <c r="D1042" s="46"/>
      <c r="E1042" s="46" t="s">
        <v>919</v>
      </c>
      <c r="F1042" s="61" t="s">
        <v>31</v>
      </c>
      <c r="G1042" s="288">
        <v>42.2</v>
      </c>
      <c r="H1042" s="289">
        <v>5</v>
      </c>
      <c r="I1042" s="290">
        <v>500</v>
      </c>
      <c r="J1042" s="48" t="s">
        <v>39</v>
      </c>
      <c r="K1042" s="50"/>
      <c r="L1042" s="53" t="str">
        <f t="shared" si="217"/>
        <v>500grams</v>
      </c>
      <c r="M1042" s="54">
        <f t="shared" si="218"/>
        <v>2500</v>
      </c>
      <c r="N1042" s="55" t="str">
        <f t="shared" si="219"/>
        <v>2500grams</v>
      </c>
      <c r="O1042" s="56">
        <f t="shared" si="220"/>
        <v>211</v>
      </c>
      <c r="P1042" s="12"/>
      <c r="Q1042" s="12"/>
      <c r="R1042" s="12"/>
      <c r="S1042" s="151"/>
      <c r="T1042" s="12"/>
      <c r="U1042" s="12"/>
      <c r="V1042" s="12"/>
      <c r="W1042" s="12"/>
      <c r="X1042" s="12"/>
      <c r="Y1042" s="12"/>
      <c r="Z1042" s="12"/>
    </row>
    <row r="1043" spans="1:26" ht="15.75" customHeight="1" x14ac:dyDescent="0.3">
      <c r="A1043" s="45"/>
      <c r="B1043" s="46" t="s">
        <v>1493</v>
      </c>
      <c r="C1043" s="194" t="s">
        <v>2022</v>
      </c>
      <c r="D1043" s="46"/>
      <c r="E1043" s="46" t="s">
        <v>854</v>
      </c>
      <c r="F1043" s="61" t="s">
        <v>31</v>
      </c>
      <c r="G1043" s="288">
        <v>42</v>
      </c>
      <c r="H1043" s="289">
        <v>3</v>
      </c>
      <c r="I1043" s="290">
        <v>30</v>
      </c>
      <c r="J1043" s="48" t="s">
        <v>32</v>
      </c>
      <c r="K1043" s="50"/>
      <c r="L1043" s="53" t="str">
        <f t="shared" si="217"/>
        <v>30ml</v>
      </c>
      <c r="M1043" s="54">
        <f t="shared" si="218"/>
        <v>90</v>
      </c>
      <c r="N1043" s="55" t="str">
        <f t="shared" si="219"/>
        <v>90ml</v>
      </c>
      <c r="O1043" s="56">
        <f t="shared" si="220"/>
        <v>126</v>
      </c>
      <c r="P1043" s="12"/>
      <c r="Q1043" s="12"/>
      <c r="R1043" s="12"/>
      <c r="S1043" s="151"/>
      <c r="T1043" s="12"/>
      <c r="U1043" s="12"/>
      <c r="V1043" s="12"/>
      <c r="W1043" s="12"/>
      <c r="X1043" s="12"/>
      <c r="Y1043" s="12"/>
      <c r="Z1043" s="12"/>
    </row>
    <row r="1044" spans="1:26" ht="15.75" customHeight="1" x14ac:dyDescent="0.3">
      <c r="A1044" s="45">
        <v>915</v>
      </c>
      <c r="B1044" s="46" t="s">
        <v>1494</v>
      </c>
      <c r="C1044" s="194" t="s">
        <v>1368</v>
      </c>
      <c r="D1044" s="46"/>
      <c r="E1044" s="46" t="s">
        <v>1495</v>
      </c>
      <c r="F1044" s="61" t="s">
        <v>31</v>
      </c>
      <c r="G1044" s="288">
        <v>26.5</v>
      </c>
      <c r="H1044" s="289">
        <v>1</v>
      </c>
      <c r="I1044" s="290">
        <v>1</v>
      </c>
      <c r="J1044" s="48" t="s">
        <v>304</v>
      </c>
      <c r="K1044" s="50"/>
      <c r="L1044" s="53" t="str">
        <f t="shared" si="217"/>
        <v>1packs</v>
      </c>
      <c r="M1044" s="54">
        <f t="shared" si="218"/>
        <v>1</v>
      </c>
      <c r="N1044" s="55" t="str">
        <f t="shared" si="219"/>
        <v>1packs</v>
      </c>
      <c r="O1044" s="56">
        <f t="shared" si="220"/>
        <v>26.5</v>
      </c>
      <c r="P1044" s="44"/>
      <c r="Q1044" s="66"/>
      <c r="R1044" s="32"/>
      <c r="S1044" s="32"/>
      <c r="T1044" s="32"/>
      <c r="U1044" s="32"/>
      <c r="V1044" s="32"/>
      <c r="W1044" s="32"/>
      <c r="X1044" s="32"/>
      <c r="Y1044" s="32"/>
      <c r="Z1044" s="32"/>
    </row>
    <row r="1045" spans="1:26" ht="15.75" customHeight="1" x14ac:dyDescent="0.3">
      <c r="A1045" s="45"/>
      <c r="B1045" s="46" t="s">
        <v>1494</v>
      </c>
      <c r="C1045" s="194" t="s">
        <v>2023</v>
      </c>
      <c r="D1045" s="46"/>
      <c r="E1045" s="46" t="s">
        <v>1496</v>
      </c>
      <c r="F1045" s="61" t="s">
        <v>31</v>
      </c>
      <c r="G1045" s="288">
        <v>17.079999999999998</v>
      </c>
      <c r="H1045" s="289">
        <v>3</v>
      </c>
      <c r="I1045" s="290">
        <v>22</v>
      </c>
      <c r="J1045" s="48" t="s">
        <v>304</v>
      </c>
      <c r="K1045" s="50"/>
      <c r="L1045" s="53" t="str">
        <f t="shared" si="217"/>
        <v>22packs</v>
      </c>
      <c r="M1045" s="54">
        <f t="shared" si="218"/>
        <v>66</v>
      </c>
      <c r="N1045" s="55" t="str">
        <f t="shared" si="219"/>
        <v>66packs</v>
      </c>
      <c r="O1045" s="56">
        <f t="shared" si="220"/>
        <v>51.239999999999995</v>
      </c>
      <c r="P1045" s="12"/>
      <c r="Q1045" s="12"/>
      <c r="R1045" s="12"/>
      <c r="S1045" s="151"/>
      <c r="T1045" s="12"/>
      <c r="U1045" s="12"/>
      <c r="V1045" s="12"/>
      <c r="W1045" s="12"/>
      <c r="X1045" s="12"/>
      <c r="Y1045" s="12"/>
      <c r="Z1045" s="12"/>
    </row>
    <row r="1046" spans="1:26" ht="15.75" customHeight="1" x14ac:dyDescent="0.3">
      <c r="A1046" s="45"/>
      <c r="B1046" s="219" t="s">
        <v>1494</v>
      </c>
      <c r="C1046" s="194" t="s">
        <v>2020</v>
      </c>
      <c r="D1046" s="219"/>
      <c r="E1046" s="46" t="s">
        <v>1495</v>
      </c>
      <c r="F1046" s="61" t="s">
        <v>31</v>
      </c>
      <c r="G1046" s="288">
        <v>2.69</v>
      </c>
      <c r="H1046" s="289">
        <v>50</v>
      </c>
      <c r="I1046" s="290">
        <v>1</v>
      </c>
      <c r="J1046" s="48" t="s">
        <v>92</v>
      </c>
      <c r="K1046" s="50"/>
      <c r="L1046" s="53" t="str">
        <f t="shared" si="217"/>
        <v>1pieces</v>
      </c>
      <c r="M1046" s="54">
        <f t="shared" si="218"/>
        <v>50</v>
      </c>
      <c r="N1046" s="55" t="str">
        <f t="shared" si="219"/>
        <v>50pieces</v>
      </c>
      <c r="O1046" s="56">
        <f t="shared" si="220"/>
        <v>134.5</v>
      </c>
      <c r="P1046" s="12"/>
      <c r="Q1046" s="12"/>
      <c r="R1046" s="12"/>
      <c r="S1046" s="151"/>
      <c r="T1046" s="12"/>
      <c r="U1046" s="12"/>
      <c r="V1046" s="12"/>
      <c r="W1046" s="12"/>
      <c r="X1046" s="12"/>
      <c r="Y1046" s="12"/>
      <c r="Z1046" s="12"/>
    </row>
    <row r="1047" spans="1:26" ht="15.75" customHeight="1" x14ac:dyDescent="0.3">
      <c r="A1047" s="45"/>
      <c r="B1047" s="46" t="s">
        <v>1497</v>
      </c>
      <c r="C1047" s="194" t="s">
        <v>2020</v>
      </c>
      <c r="D1047" s="46"/>
      <c r="E1047" s="46" t="s">
        <v>1004</v>
      </c>
      <c r="F1047" s="61" t="s">
        <v>31</v>
      </c>
      <c r="G1047" s="288">
        <v>2</v>
      </c>
      <c r="H1047" s="289">
        <v>164</v>
      </c>
      <c r="I1047" s="290">
        <v>1</v>
      </c>
      <c r="J1047" s="48" t="s">
        <v>92</v>
      </c>
      <c r="K1047" s="50"/>
      <c r="L1047" s="53" t="str">
        <f t="shared" si="217"/>
        <v>1pieces</v>
      </c>
      <c r="M1047" s="54">
        <f t="shared" si="218"/>
        <v>164</v>
      </c>
      <c r="N1047" s="55" t="str">
        <f t="shared" si="219"/>
        <v>164pieces</v>
      </c>
      <c r="O1047" s="56">
        <f t="shared" si="220"/>
        <v>328</v>
      </c>
      <c r="P1047" s="12"/>
      <c r="Q1047" s="12"/>
      <c r="R1047" s="12"/>
      <c r="S1047" s="151"/>
      <c r="T1047" s="12"/>
      <c r="U1047" s="12"/>
      <c r="V1047" s="12"/>
      <c r="W1047" s="12"/>
      <c r="X1047" s="12"/>
      <c r="Y1047" s="12"/>
      <c r="Z1047" s="12"/>
    </row>
    <row r="1048" spans="1:26" ht="15.75" customHeight="1" x14ac:dyDescent="0.3">
      <c r="A1048" s="45">
        <v>564</v>
      </c>
      <c r="B1048" s="46" t="s">
        <v>1498</v>
      </c>
      <c r="C1048" s="194" t="s">
        <v>2026</v>
      </c>
      <c r="D1048" s="46"/>
      <c r="E1048" s="46"/>
      <c r="F1048" s="61" t="s">
        <v>31</v>
      </c>
      <c r="G1048" s="288">
        <v>70</v>
      </c>
      <c r="H1048" s="289">
        <v>2</v>
      </c>
      <c r="I1048" s="290">
        <v>1000</v>
      </c>
      <c r="J1048" s="48" t="s">
        <v>39</v>
      </c>
      <c r="K1048" s="50"/>
      <c r="L1048" s="53" t="str">
        <f t="shared" si="217"/>
        <v>1000grams</v>
      </c>
      <c r="M1048" s="54">
        <f t="shared" si="218"/>
        <v>2000</v>
      </c>
      <c r="N1048" s="55" t="str">
        <f t="shared" si="219"/>
        <v>2000grams</v>
      </c>
      <c r="O1048" s="56">
        <f t="shared" si="220"/>
        <v>140</v>
      </c>
      <c r="P1048" s="44">
        <f>O1048/H1048</f>
        <v>70</v>
      </c>
      <c r="Q1048" s="66"/>
      <c r="R1048" s="32"/>
      <c r="S1048" s="32"/>
      <c r="T1048" s="32"/>
      <c r="U1048" s="32"/>
      <c r="V1048" s="32"/>
      <c r="W1048" s="32"/>
      <c r="X1048" s="32"/>
      <c r="Y1048" s="32"/>
      <c r="Z1048" s="32"/>
    </row>
    <row r="1049" spans="1:26" ht="15.75" customHeight="1" x14ac:dyDescent="0.3">
      <c r="A1049" s="45"/>
      <c r="B1049" s="46" t="s">
        <v>1499</v>
      </c>
      <c r="C1049" s="194" t="s">
        <v>2023</v>
      </c>
      <c r="D1049" s="46"/>
      <c r="E1049" s="46" t="s">
        <v>1500</v>
      </c>
      <c r="F1049" s="61" t="s">
        <v>31</v>
      </c>
      <c r="G1049" s="288">
        <v>250</v>
      </c>
      <c r="H1049" s="289">
        <v>3</v>
      </c>
      <c r="I1049" s="290">
        <v>50</v>
      </c>
      <c r="J1049" s="48" t="s">
        <v>92</v>
      </c>
      <c r="K1049" s="50"/>
      <c r="L1049" s="53" t="str">
        <f t="shared" si="217"/>
        <v>50pieces</v>
      </c>
      <c r="M1049" s="54">
        <f t="shared" si="218"/>
        <v>150</v>
      </c>
      <c r="N1049" s="55" t="str">
        <f t="shared" si="219"/>
        <v>150pieces</v>
      </c>
      <c r="O1049" s="56">
        <f t="shared" si="220"/>
        <v>750</v>
      </c>
      <c r="P1049" s="12"/>
      <c r="Q1049" s="12"/>
      <c r="R1049" s="12"/>
      <c r="S1049" s="151"/>
      <c r="T1049" s="12"/>
      <c r="U1049" s="12"/>
      <c r="V1049" s="12"/>
      <c r="W1049" s="12"/>
      <c r="X1049" s="12"/>
      <c r="Y1049" s="12"/>
      <c r="Z1049" s="12"/>
    </row>
    <row r="1050" spans="1:26" ht="15.75" customHeight="1" x14ac:dyDescent="0.3">
      <c r="A1050" s="45"/>
      <c r="B1050" s="46" t="s">
        <v>1499</v>
      </c>
      <c r="C1050" s="194" t="s">
        <v>2020</v>
      </c>
      <c r="D1050" s="46"/>
      <c r="E1050" s="46"/>
      <c r="F1050" s="61" t="s">
        <v>31</v>
      </c>
      <c r="G1050" s="288">
        <v>5</v>
      </c>
      <c r="H1050" s="289">
        <v>140</v>
      </c>
      <c r="I1050" s="290">
        <v>1</v>
      </c>
      <c r="J1050" s="48" t="s">
        <v>92</v>
      </c>
      <c r="K1050" s="50"/>
      <c r="L1050" s="53" t="str">
        <f t="shared" si="217"/>
        <v>1pieces</v>
      </c>
      <c r="M1050" s="54">
        <f t="shared" si="218"/>
        <v>140</v>
      </c>
      <c r="N1050" s="55" t="str">
        <f t="shared" si="219"/>
        <v>140pieces</v>
      </c>
      <c r="O1050" s="56">
        <f t="shared" si="220"/>
        <v>700</v>
      </c>
      <c r="P1050" s="12"/>
      <c r="Q1050" s="12"/>
      <c r="R1050" s="12"/>
      <c r="S1050" s="151"/>
      <c r="T1050" s="12"/>
      <c r="U1050" s="12"/>
      <c r="V1050" s="12"/>
      <c r="W1050" s="12"/>
      <c r="X1050" s="12"/>
      <c r="Y1050" s="12"/>
      <c r="Z1050" s="12"/>
    </row>
    <row r="1051" spans="1:26" ht="15.75" customHeight="1" x14ac:dyDescent="0.3">
      <c r="A1051" s="45"/>
      <c r="B1051" s="46" t="s">
        <v>1499</v>
      </c>
      <c r="C1051" s="194" t="s">
        <v>2021</v>
      </c>
      <c r="D1051" s="46"/>
      <c r="E1051" s="219" t="s">
        <v>1501</v>
      </c>
      <c r="F1051" s="61" t="s">
        <v>31</v>
      </c>
      <c r="G1051" s="291">
        <v>4.3</v>
      </c>
      <c r="H1051" s="292">
        <v>109</v>
      </c>
      <c r="I1051" s="293">
        <v>1</v>
      </c>
      <c r="J1051" s="414" t="s">
        <v>92</v>
      </c>
      <c r="K1051" s="50"/>
      <c r="L1051" s="53" t="str">
        <f t="shared" si="217"/>
        <v>1pieces</v>
      </c>
      <c r="M1051" s="54">
        <f t="shared" si="218"/>
        <v>109</v>
      </c>
      <c r="N1051" s="55" t="str">
        <f t="shared" si="219"/>
        <v>109pieces</v>
      </c>
      <c r="O1051" s="56">
        <f t="shared" si="220"/>
        <v>468.7</v>
      </c>
      <c r="P1051" s="12"/>
      <c r="Q1051" s="12"/>
      <c r="R1051" s="12"/>
      <c r="S1051" s="151"/>
      <c r="T1051" s="12"/>
      <c r="U1051" s="12"/>
      <c r="V1051" s="12"/>
      <c r="W1051" s="12"/>
      <c r="X1051" s="12"/>
      <c r="Y1051" s="12"/>
      <c r="Z1051" s="12"/>
    </row>
    <row r="1052" spans="1:26" ht="15.75" customHeight="1" x14ac:dyDescent="0.3">
      <c r="A1052" s="45"/>
      <c r="B1052" s="219" t="s">
        <v>1502</v>
      </c>
      <c r="C1052" s="194" t="s">
        <v>2021</v>
      </c>
      <c r="D1052" s="46"/>
      <c r="E1052" s="219" t="s">
        <v>1501</v>
      </c>
      <c r="F1052" s="61" t="s">
        <v>31</v>
      </c>
      <c r="G1052" s="291">
        <v>5.8</v>
      </c>
      <c r="H1052" s="292">
        <v>44</v>
      </c>
      <c r="I1052" s="293">
        <v>1</v>
      </c>
      <c r="J1052" s="414" t="s">
        <v>92</v>
      </c>
      <c r="K1052" s="50"/>
      <c r="L1052" s="53" t="str">
        <f t="shared" si="217"/>
        <v>1pieces</v>
      </c>
      <c r="M1052" s="54">
        <f t="shared" si="218"/>
        <v>44</v>
      </c>
      <c r="N1052" s="55" t="str">
        <f t="shared" si="219"/>
        <v>44pieces</v>
      </c>
      <c r="O1052" s="56">
        <f t="shared" si="220"/>
        <v>255.2</v>
      </c>
      <c r="P1052" s="12"/>
      <c r="Q1052" s="12"/>
      <c r="R1052" s="12"/>
      <c r="S1052" s="151"/>
      <c r="T1052" s="12"/>
      <c r="U1052" s="12"/>
      <c r="V1052" s="12"/>
      <c r="W1052" s="12"/>
      <c r="X1052" s="12"/>
      <c r="Y1052" s="12"/>
      <c r="Z1052" s="12"/>
    </row>
    <row r="1053" spans="1:26" ht="15.75" customHeight="1" x14ac:dyDescent="0.3">
      <c r="A1053" s="45">
        <v>573</v>
      </c>
      <c r="B1053" s="46" t="s">
        <v>1503</v>
      </c>
      <c r="C1053" s="194" t="s">
        <v>2026</v>
      </c>
      <c r="D1053" s="46"/>
      <c r="E1053" s="46"/>
      <c r="F1053" s="61" t="s">
        <v>31</v>
      </c>
      <c r="G1053" s="288">
        <v>8.8000000000000007</v>
      </c>
      <c r="H1053" s="289">
        <v>39</v>
      </c>
      <c r="I1053" s="290">
        <v>1</v>
      </c>
      <c r="J1053" s="48" t="s">
        <v>92</v>
      </c>
      <c r="K1053" s="50" t="s">
        <v>2019</v>
      </c>
      <c r="L1053" s="53" t="str">
        <f t="shared" si="217"/>
        <v>1pieces</v>
      </c>
      <c r="M1053" s="54">
        <f t="shared" si="218"/>
        <v>39</v>
      </c>
      <c r="N1053" s="55" t="str">
        <f t="shared" si="219"/>
        <v>39pieces</v>
      </c>
      <c r="O1053" s="56">
        <f t="shared" si="220"/>
        <v>343.20000000000005</v>
      </c>
      <c r="P1053" s="44">
        <f>O1053/H1053</f>
        <v>8.8000000000000007</v>
      </c>
      <c r="Q1053" s="44">
        <f>G1053-P1053</f>
        <v>0</v>
      </c>
      <c r="R1053" s="32" t="b">
        <f>P1053=G1053</f>
        <v>1</v>
      </c>
      <c r="S1053" s="32"/>
      <c r="T1053" s="32"/>
      <c r="U1053" s="32"/>
      <c r="V1053" s="32"/>
      <c r="W1053" s="32"/>
      <c r="X1053" s="32"/>
      <c r="Y1053" s="32"/>
      <c r="Z1053" s="32"/>
    </row>
    <row r="1054" spans="1:26" ht="15.75" customHeight="1" x14ac:dyDescent="0.3">
      <c r="A1054" s="45"/>
      <c r="B1054" s="46" t="s">
        <v>1504</v>
      </c>
      <c r="C1054" s="194" t="s">
        <v>2020</v>
      </c>
      <c r="D1054" s="46"/>
      <c r="E1054" s="46" t="s">
        <v>1505</v>
      </c>
      <c r="F1054" s="61" t="s">
        <v>31</v>
      </c>
      <c r="G1054" s="288">
        <v>125</v>
      </c>
      <c r="H1054" s="289">
        <v>2</v>
      </c>
      <c r="I1054" s="290">
        <v>1</v>
      </c>
      <c r="J1054" s="48" t="s">
        <v>304</v>
      </c>
      <c r="K1054" s="50"/>
      <c r="L1054" s="53" t="str">
        <f t="shared" si="217"/>
        <v>1packs</v>
      </c>
      <c r="M1054" s="54">
        <f t="shared" si="218"/>
        <v>2</v>
      </c>
      <c r="N1054" s="55" t="str">
        <f t="shared" si="219"/>
        <v>2packs</v>
      </c>
      <c r="O1054" s="56">
        <f t="shared" si="220"/>
        <v>250</v>
      </c>
      <c r="P1054" s="12"/>
      <c r="Q1054" s="12"/>
      <c r="R1054" s="12"/>
      <c r="S1054" s="151"/>
      <c r="T1054" s="12"/>
      <c r="U1054" s="12"/>
      <c r="V1054" s="12"/>
      <c r="W1054" s="12"/>
      <c r="X1054" s="12"/>
      <c r="Y1054" s="12"/>
      <c r="Z1054" s="12"/>
    </row>
    <row r="1055" spans="1:26" ht="15.75" customHeight="1" x14ac:dyDescent="0.3">
      <c r="A1055" s="45">
        <v>68</v>
      </c>
      <c r="B1055" s="46" t="s">
        <v>1506</v>
      </c>
      <c r="C1055" s="194" t="s">
        <v>29</v>
      </c>
      <c r="D1055" s="46"/>
      <c r="E1055" s="46" t="s">
        <v>858</v>
      </c>
      <c r="F1055" s="61" t="s">
        <v>31</v>
      </c>
      <c r="G1055" s="288">
        <v>1.72</v>
      </c>
      <c r="H1055" s="289">
        <v>75</v>
      </c>
      <c r="I1055" s="290">
        <v>1</v>
      </c>
      <c r="J1055" s="48" t="s">
        <v>92</v>
      </c>
      <c r="K1055" s="61" t="s">
        <v>2019</v>
      </c>
      <c r="L1055" s="415" t="str">
        <f t="shared" si="217"/>
        <v>1pieces</v>
      </c>
      <c r="M1055" s="416">
        <f t="shared" si="218"/>
        <v>75</v>
      </c>
      <c r="N1055" s="417" t="str">
        <f t="shared" si="219"/>
        <v>75pieces</v>
      </c>
      <c r="O1055" s="418">
        <f t="shared" si="220"/>
        <v>129</v>
      </c>
      <c r="P1055" s="419">
        <f>O1055/H1055</f>
        <v>1.72</v>
      </c>
      <c r="Q1055" s="66"/>
      <c r="R1055" s="32" t="b">
        <f>P1055=G1055</f>
        <v>1</v>
      </c>
      <c r="S1055" s="32"/>
      <c r="T1055" s="32"/>
      <c r="U1055" s="32"/>
      <c r="V1055" s="32"/>
      <c r="W1055" s="32"/>
      <c r="X1055" s="32"/>
      <c r="Y1055" s="32"/>
      <c r="Z1055" s="32"/>
    </row>
    <row r="1056" spans="1:26" ht="15.75" customHeight="1" x14ac:dyDescent="0.3">
      <c r="A1056" s="45"/>
      <c r="B1056" s="46" t="s">
        <v>1506</v>
      </c>
      <c r="C1056" s="194" t="s">
        <v>2023</v>
      </c>
      <c r="D1056" s="46"/>
      <c r="E1056" s="46" t="s">
        <v>1507</v>
      </c>
      <c r="F1056" s="61" t="s">
        <v>31</v>
      </c>
      <c r="G1056" s="288">
        <v>100</v>
      </c>
      <c r="H1056" s="289">
        <v>9</v>
      </c>
      <c r="I1056" s="290">
        <v>50</v>
      </c>
      <c r="J1056" s="48" t="s">
        <v>92</v>
      </c>
      <c r="K1056" s="50"/>
      <c r="L1056" s="53" t="str">
        <f t="shared" si="217"/>
        <v>50pieces</v>
      </c>
      <c r="M1056" s="54">
        <f t="shared" si="218"/>
        <v>450</v>
      </c>
      <c r="N1056" s="55" t="str">
        <f t="shared" si="219"/>
        <v>450pieces</v>
      </c>
      <c r="O1056" s="56">
        <f t="shared" si="220"/>
        <v>900</v>
      </c>
      <c r="P1056" s="12"/>
      <c r="Q1056" s="12"/>
      <c r="R1056" s="12"/>
      <c r="S1056" s="151"/>
      <c r="T1056" s="12"/>
      <c r="U1056" s="12"/>
      <c r="V1056" s="12"/>
      <c r="W1056" s="12"/>
      <c r="X1056" s="12"/>
      <c r="Y1056" s="12"/>
      <c r="Z1056" s="12"/>
    </row>
    <row r="1057" spans="1:26" ht="15.75" customHeight="1" x14ac:dyDescent="0.3">
      <c r="A1057" s="45">
        <v>70</v>
      </c>
      <c r="B1057" s="46" t="s">
        <v>1508</v>
      </c>
      <c r="C1057" s="194" t="s">
        <v>29</v>
      </c>
      <c r="D1057" s="46"/>
      <c r="E1057" s="46" t="s">
        <v>858</v>
      </c>
      <c r="F1057" s="61" t="s">
        <v>31</v>
      </c>
      <c r="G1057" s="288">
        <v>0.95</v>
      </c>
      <c r="H1057" s="289">
        <v>25</v>
      </c>
      <c r="I1057" s="290">
        <v>1</v>
      </c>
      <c r="J1057" s="48" t="s">
        <v>92</v>
      </c>
      <c r="K1057" s="61" t="s">
        <v>2019</v>
      </c>
      <c r="L1057" s="415" t="str">
        <f t="shared" si="217"/>
        <v>1pieces</v>
      </c>
      <c r="M1057" s="416">
        <f t="shared" si="218"/>
        <v>25</v>
      </c>
      <c r="N1057" s="417" t="str">
        <f t="shared" si="219"/>
        <v>25pieces</v>
      </c>
      <c r="O1057" s="418">
        <f t="shared" si="220"/>
        <v>23.75</v>
      </c>
      <c r="P1057" s="419">
        <f t="shared" ref="P1057:P1059" si="224">O1057/H1057</f>
        <v>0.95</v>
      </c>
      <c r="Q1057" s="66"/>
      <c r="R1057" s="32"/>
      <c r="S1057" s="32"/>
      <c r="T1057" s="32"/>
      <c r="U1057" s="32"/>
      <c r="V1057" s="32"/>
      <c r="W1057" s="32"/>
      <c r="X1057" s="32"/>
      <c r="Y1057" s="32"/>
      <c r="Z1057" s="32"/>
    </row>
    <row r="1058" spans="1:26" ht="15.75" customHeight="1" x14ac:dyDescent="0.3">
      <c r="A1058" s="45">
        <v>69</v>
      </c>
      <c r="B1058" s="219" t="s">
        <v>1509</v>
      </c>
      <c r="C1058" s="194" t="s">
        <v>29</v>
      </c>
      <c r="D1058" s="46"/>
      <c r="E1058" s="46" t="s">
        <v>858</v>
      </c>
      <c r="F1058" s="61" t="s">
        <v>31</v>
      </c>
      <c r="G1058" s="288">
        <v>1.1399999999999999</v>
      </c>
      <c r="H1058" s="289">
        <v>275</v>
      </c>
      <c r="I1058" s="290">
        <v>1</v>
      </c>
      <c r="J1058" s="48" t="s">
        <v>92</v>
      </c>
      <c r="K1058" s="61" t="s">
        <v>2019</v>
      </c>
      <c r="L1058" s="415" t="str">
        <f t="shared" si="217"/>
        <v>1pieces</v>
      </c>
      <c r="M1058" s="416">
        <f t="shared" si="218"/>
        <v>275</v>
      </c>
      <c r="N1058" s="417" t="str">
        <f t="shared" si="219"/>
        <v>275pieces</v>
      </c>
      <c r="O1058" s="418">
        <f t="shared" si="220"/>
        <v>313.5</v>
      </c>
      <c r="P1058" s="419">
        <f t="shared" si="224"/>
        <v>1.1399999999999999</v>
      </c>
      <c r="Q1058" s="66"/>
      <c r="R1058" s="32" t="b">
        <f t="shared" ref="R1058:R1059" si="225">P1058=G1058</f>
        <v>1</v>
      </c>
      <c r="S1058" s="32"/>
      <c r="T1058" s="32"/>
      <c r="U1058" s="32"/>
      <c r="V1058" s="32"/>
      <c r="W1058" s="32"/>
      <c r="X1058" s="32"/>
      <c r="Y1058" s="32"/>
      <c r="Z1058" s="32"/>
    </row>
    <row r="1059" spans="1:26" ht="15.75" customHeight="1" x14ac:dyDescent="0.3">
      <c r="A1059" s="45">
        <v>574</v>
      </c>
      <c r="B1059" s="46" t="s">
        <v>1509</v>
      </c>
      <c r="C1059" s="194" t="s">
        <v>2026</v>
      </c>
      <c r="D1059" s="46"/>
      <c r="E1059" s="46" t="s">
        <v>1507</v>
      </c>
      <c r="F1059" s="61" t="s">
        <v>31</v>
      </c>
      <c r="G1059" s="288">
        <v>1</v>
      </c>
      <c r="H1059" s="289">
        <v>709</v>
      </c>
      <c r="I1059" s="290">
        <v>50</v>
      </c>
      <c r="J1059" s="48" t="s">
        <v>92</v>
      </c>
      <c r="K1059" s="50"/>
      <c r="L1059" s="53" t="str">
        <f t="shared" si="217"/>
        <v>50pieces</v>
      </c>
      <c r="M1059" s="54">
        <f t="shared" si="218"/>
        <v>35450</v>
      </c>
      <c r="N1059" s="55" t="str">
        <f t="shared" si="219"/>
        <v>35450pieces</v>
      </c>
      <c r="O1059" s="56">
        <f t="shared" si="220"/>
        <v>709</v>
      </c>
      <c r="P1059" s="44">
        <f t="shared" si="224"/>
        <v>1</v>
      </c>
      <c r="Q1059" s="66"/>
      <c r="R1059" s="32" t="b">
        <f t="shared" si="225"/>
        <v>1</v>
      </c>
      <c r="S1059" s="32"/>
      <c r="T1059" s="32"/>
      <c r="U1059" s="32"/>
      <c r="V1059" s="32"/>
      <c r="W1059" s="32"/>
      <c r="X1059" s="32"/>
      <c r="Y1059" s="32"/>
      <c r="Z1059" s="32"/>
    </row>
    <row r="1060" spans="1:26" ht="15.75" customHeight="1" x14ac:dyDescent="0.3">
      <c r="A1060" s="45"/>
      <c r="B1060" s="46" t="s">
        <v>1509</v>
      </c>
      <c r="C1060" s="194" t="s">
        <v>2021</v>
      </c>
      <c r="D1060" s="46"/>
      <c r="E1060" s="219"/>
      <c r="F1060" s="61" t="s">
        <v>31</v>
      </c>
      <c r="G1060" s="291">
        <v>0.76</v>
      </c>
      <c r="H1060" s="292">
        <v>239</v>
      </c>
      <c r="I1060" s="293">
        <v>1</v>
      </c>
      <c r="J1060" s="414" t="s">
        <v>92</v>
      </c>
      <c r="K1060" s="50"/>
      <c r="L1060" s="53" t="str">
        <f t="shared" si="217"/>
        <v>1pieces</v>
      </c>
      <c r="M1060" s="54">
        <f t="shared" si="218"/>
        <v>239</v>
      </c>
      <c r="N1060" s="55" t="str">
        <f t="shared" si="219"/>
        <v>239pieces</v>
      </c>
      <c r="O1060" s="56">
        <f t="shared" si="220"/>
        <v>181.64000000000001</v>
      </c>
      <c r="P1060" s="12"/>
      <c r="Q1060" s="12"/>
      <c r="R1060" s="12"/>
      <c r="S1060" s="151"/>
      <c r="T1060" s="12"/>
      <c r="U1060" s="12"/>
      <c r="V1060" s="12"/>
      <c r="W1060" s="12"/>
      <c r="X1060" s="12"/>
      <c r="Y1060" s="12"/>
      <c r="Z1060" s="12"/>
    </row>
    <row r="1061" spans="1:26" ht="15.75" customHeight="1" x14ac:dyDescent="0.3">
      <c r="A1061" s="45"/>
      <c r="B1061" s="46" t="s">
        <v>1509</v>
      </c>
      <c r="C1061" s="194" t="s">
        <v>2020</v>
      </c>
      <c r="D1061" s="219"/>
      <c r="E1061" s="46"/>
      <c r="F1061" s="61" t="s">
        <v>31</v>
      </c>
      <c r="G1061" s="288">
        <v>1.25</v>
      </c>
      <c r="H1061" s="289">
        <v>1870</v>
      </c>
      <c r="I1061" s="290">
        <v>1</v>
      </c>
      <c r="J1061" s="48" t="s">
        <v>92</v>
      </c>
      <c r="K1061" s="50"/>
      <c r="L1061" s="53" t="str">
        <f t="shared" si="217"/>
        <v>1pieces</v>
      </c>
      <c r="M1061" s="54">
        <f t="shared" si="218"/>
        <v>1870</v>
      </c>
      <c r="N1061" s="55" t="str">
        <f t="shared" si="219"/>
        <v>1870pieces</v>
      </c>
      <c r="O1061" s="56">
        <f t="shared" si="220"/>
        <v>2337.5</v>
      </c>
      <c r="P1061" s="12"/>
      <c r="Q1061" s="12"/>
      <c r="R1061" s="12"/>
      <c r="S1061" s="151"/>
      <c r="T1061" s="12"/>
      <c r="U1061" s="12"/>
      <c r="V1061" s="12"/>
      <c r="W1061" s="12"/>
      <c r="X1061" s="12"/>
      <c r="Y1061" s="12"/>
      <c r="Z1061" s="12"/>
    </row>
    <row r="1062" spans="1:26" ht="15.75" customHeight="1" x14ac:dyDescent="0.3">
      <c r="A1062" s="45"/>
      <c r="B1062" s="46" t="s">
        <v>1509</v>
      </c>
      <c r="C1062" s="194" t="s">
        <v>2022</v>
      </c>
      <c r="D1062" s="46"/>
      <c r="E1062" s="46" t="s">
        <v>991</v>
      </c>
      <c r="F1062" s="61" t="s">
        <v>31</v>
      </c>
      <c r="G1062" s="288">
        <v>70</v>
      </c>
      <c r="H1062" s="289">
        <v>11</v>
      </c>
      <c r="I1062" s="290">
        <v>100</v>
      </c>
      <c r="J1062" s="48" t="s">
        <v>92</v>
      </c>
      <c r="K1062" s="50"/>
      <c r="L1062" s="53" t="str">
        <f t="shared" si="217"/>
        <v>100pieces</v>
      </c>
      <c r="M1062" s="54">
        <f t="shared" si="218"/>
        <v>1100</v>
      </c>
      <c r="N1062" s="55" t="str">
        <f t="shared" si="219"/>
        <v>1100pieces</v>
      </c>
      <c r="O1062" s="56">
        <f t="shared" si="220"/>
        <v>770</v>
      </c>
      <c r="P1062" s="12"/>
      <c r="Q1062" s="12"/>
      <c r="R1062" s="12"/>
      <c r="S1062" s="151"/>
      <c r="T1062" s="12"/>
      <c r="U1062" s="12"/>
      <c r="V1062" s="12"/>
      <c r="W1062" s="12"/>
      <c r="X1062" s="12"/>
      <c r="Y1062" s="12"/>
      <c r="Z1062" s="12"/>
    </row>
    <row r="1063" spans="1:26" ht="15.75" customHeight="1" x14ac:dyDescent="0.3">
      <c r="A1063" s="45">
        <v>575</v>
      </c>
      <c r="B1063" s="46" t="s">
        <v>1510</v>
      </c>
      <c r="C1063" s="194" t="s">
        <v>2026</v>
      </c>
      <c r="D1063" s="46"/>
      <c r="E1063" s="46" t="s">
        <v>1507</v>
      </c>
      <c r="F1063" s="61" t="s">
        <v>31</v>
      </c>
      <c r="G1063" s="288">
        <v>3</v>
      </c>
      <c r="H1063" s="289">
        <v>200</v>
      </c>
      <c r="I1063" s="290">
        <v>1</v>
      </c>
      <c r="J1063" s="48" t="s">
        <v>92</v>
      </c>
      <c r="K1063" s="50"/>
      <c r="L1063" s="53" t="str">
        <f t="shared" si="217"/>
        <v>1pieces</v>
      </c>
      <c r="M1063" s="54">
        <f t="shared" si="218"/>
        <v>200</v>
      </c>
      <c r="N1063" s="55" t="str">
        <f t="shared" si="219"/>
        <v>200pieces</v>
      </c>
      <c r="O1063" s="56">
        <f t="shared" si="220"/>
        <v>600</v>
      </c>
      <c r="P1063" s="44">
        <f>O1063/H1063</f>
        <v>3</v>
      </c>
      <c r="Q1063" s="66"/>
      <c r="R1063" s="32" t="b">
        <f>P1063=G1063</f>
        <v>1</v>
      </c>
      <c r="S1063" s="32"/>
      <c r="T1063" s="32"/>
      <c r="U1063" s="32"/>
      <c r="V1063" s="32"/>
      <c r="W1063" s="32"/>
      <c r="X1063" s="32"/>
      <c r="Y1063" s="32"/>
      <c r="Z1063" s="32"/>
    </row>
    <row r="1064" spans="1:26" ht="15.75" customHeight="1" x14ac:dyDescent="0.3">
      <c r="A1064" s="45"/>
      <c r="B1064" s="46" t="s">
        <v>1510</v>
      </c>
      <c r="C1064" s="194" t="s">
        <v>2023</v>
      </c>
      <c r="D1064" s="46"/>
      <c r="E1064" s="46" t="s">
        <v>1507</v>
      </c>
      <c r="F1064" s="61" t="s">
        <v>31</v>
      </c>
      <c r="G1064" s="288">
        <v>200</v>
      </c>
      <c r="H1064" s="289">
        <v>2</v>
      </c>
      <c r="I1064" s="290">
        <v>50</v>
      </c>
      <c r="J1064" s="48" t="s">
        <v>92</v>
      </c>
      <c r="K1064" s="50"/>
      <c r="L1064" s="53" t="str">
        <f t="shared" si="217"/>
        <v>50pieces</v>
      </c>
      <c r="M1064" s="54">
        <f t="shared" si="218"/>
        <v>100</v>
      </c>
      <c r="N1064" s="55" t="str">
        <f t="shared" si="219"/>
        <v>100pieces</v>
      </c>
      <c r="O1064" s="56">
        <f t="shared" si="220"/>
        <v>400</v>
      </c>
      <c r="P1064" s="44"/>
      <c r="Q1064" s="12"/>
      <c r="R1064" s="12"/>
      <c r="S1064" s="151"/>
      <c r="T1064" s="12"/>
      <c r="U1064" s="12"/>
      <c r="V1064" s="12"/>
      <c r="W1064" s="12"/>
      <c r="X1064" s="12"/>
      <c r="Y1064" s="12"/>
      <c r="Z1064" s="12"/>
    </row>
    <row r="1065" spans="1:26" ht="15.75" customHeight="1" x14ac:dyDescent="0.3">
      <c r="A1065" s="45"/>
      <c r="B1065" s="219" t="s">
        <v>1511</v>
      </c>
      <c r="C1065" s="194" t="s">
        <v>2021</v>
      </c>
      <c r="D1065" s="46"/>
      <c r="E1065" s="219"/>
      <c r="F1065" s="61" t="s">
        <v>31</v>
      </c>
      <c r="G1065" s="291">
        <v>3.74</v>
      </c>
      <c r="H1065" s="292">
        <v>126</v>
      </c>
      <c r="I1065" s="293">
        <v>1</v>
      </c>
      <c r="J1065" s="414" t="s">
        <v>304</v>
      </c>
      <c r="K1065" s="50"/>
      <c r="L1065" s="53" t="str">
        <f t="shared" si="217"/>
        <v>1packs</v>
      </c>
      <c r="M1065" s="54">
        <f t="shared" si="218"/>
        <v>126</v>
      </c>
      <c r="N1065" s="55" t="str">
        <f t="shared" si="219"/>
        <v>126packs</v>
      </c>
      <c r="O1065" s="56">
        <f t="shared" si="220"/>
        <v>471.24</v>
      </c>
      <c r="P1065" s="12"/>
      <c r="Q1065" s="12"/>
      <c r="R1065" s="12"/>
      <c r="S1065" s="151"/>
      <c r="T1065" s="12"/>
      <c r="U1065" s="12"/>
      <c r="V1065" s="12"/>
      <c r="W1065" s="12"/>
      <c r="X1065" s="12"/>
      <c r="Y1065" s="12"/>
      <c r="Z1065" s="12"/>
    </row>
    <row r="1066" spans="1:26" ht="15.75" customHeight="1" x14ac:dyDescent="0.3">
      <c r="A1066" s="45">
        <v>380</v>
      </c>
      <c r="B1066" s="46" t="s">
        <v>1512</v>
      </c>
      <c r="C1066" s="194" t="s">
        <v>2025</v>
      </c>
      <c r="D1066" s="46"/>
      <c r="E1066" s="46"/>
      <c r="F1066" s="61" t="s">
        <v>31</v>
      </c>
      <c r="G1066" s="288">
        <v>1.89</v>
      </c>
      <c r="H1066" s="289">
        <v>53</v>
      </c>
      <c r="I1066" s="290">
        <v>1</v>
      </c>
      <c r="J1066" s="48" t="s">
        <v>92</v>
      </c>
      <c r="K1066" s="50"/>
      <c r="L1066" s="53" t="str">
        <f t="shared" si="217"/>
        <v>1pieces</v>
      </c>
      <c r="M1066" s="54">
        <f t="shared" si="218"/>
        <v>53</v>
      </c>
      <c r="N1066" s="55" t="str">
        <f t="shared" si="219"/>
        <v>53pieces</v>
      </c>
      <c r="O1066" s="56">
        <f t="shared" si="220"/>
        <v>100.17</v>
      </c>
      <c r="P1066" s="44">
        <f>O1066/H1066</f>
        <v>1.8900000000000001</v>
      </c>
      <c r="Q1066" s="66"/>
      <c r="R1066" s="32"/>
      <c r="S1066" s="32"/>
      <c r="T1066" s="32"/>
      <c r="U1066" s="32"/>
      <c r="V1066" s="32"/>
      <c r="W1066" s="32"/>
      <c r="X1066" s="32"/>
      <c r="Y1066" s="32"/>
      <c r="Z1066" s="32"/>
    </row>
    <row r="1067" spans="1:26" ht="15.75" customHeight="1" x14ac:dyDescent="0.3">
      <c r="A1067" s="45"/>
      <c r="B1067" s="46" t="s">
        <v>1513</v>
      </c>
      <c r="C1067" s="194" t="s">
        <v>2022</v>
      </c>
      <c r="D1067" s="46"/>
      <c r="E1067" s="46" t="s">
        <v>991</v>
      </c>
      <c r="F1067" s="61" t="s">
        <v>31</v>
      </c>
      <c r="G1067" s="288">
        <v>37.5</v>
      </c>
      <c r="H1067" s="289">
        <v>4</v>
      </c>
      <c r="I1067" s="290">
        <v>1</v>
      </c>
      <c r="J1067" s="48" t="s">
        <v>304</v>
      </c>
      <c r="K1067" s="50"/>
      <c r="L1067" s="53" t="str">
        <f t="shared" si="217"/>
        <v>1packs</v>
      </c>
      <c r="M1067" s="54">
        <f t="shared" si="218"/>
        <v>4</v>
      </c>
      <c r="N1067" s="55" t="str">
        <f t="shared" si="219"/>
        <v>4packs</v>
      </c>
      <c r="O1067" s="56">
        <f t="shared" si="220"/>
        <v>150</v>
      </c>
      <c r="P1067" s="12"/>
      <c r="Q1067" s="12"/>
      <c r="R1067" s="12"/>
      <c r="S1067" s="151"/>
      <c r="T1067" s="12"/>
      <c r="U1067" s="12"/>
      <c r="V1067" s="12"/>
      <c r="W1067" s="12"/>
      <c r="X1067" s="12"/>
      <c r="Y1067" s="12"/>
      <c r="Z1067" s="12"/>
    </row>
    <row r="1068" spans="1:26" ht="15.75" customHeight="1" x14ac:dyDescent="0.3">
      <c r="A1068" s="45">
        <v>576</v>
      </c>
      <c r="B1068" s="46" t="s">
        <v>1514</v>
      </c>
      <c r="C1068" s="194" t="s">
        <v>2026</v>
      </c>
      <c r="D1068" s="46"/>
      <c r="E1068" s="46" t="s">
        <v>1515</v>
      </c>
      <c r="F1068" s="61" t="s">
        <v>31</v>
      </c>
      <c r="G1068" s="288">
        <v>0.5</v>
      </c>
      <c r="H1068" s="289">
        <v>200</v>
      </c>
      <c r="I1068" s="290">
        <v>40</v>
      </c>
      <c r="J1068" s="48" t="s">
        <v>92</v>
      </c>
      <c r="K1068" s="50"/>
      <c r="L1068" s="53" t="str">
        <f t="shared" si="217"/>
        <v>40pieces</v>
      </c>
      <c r="M1068" s="54">
        <f t="shared" si="218"/>
        <v>8000</v>
      </c>
      <c r="N1068" s="55" t="str">
        <f t="shared" si="219"/>
        <v>8000pieces</v>
      </c>
      <c r="O1068" s="56">
        <f t="shared" si="220"/>
        <v>100</v>
      </c>
      <c r="P1068" s="44">
        <f t="shared" ref="P1068:P1070" si="226">O1068/H1068</f>
        <v>0.5</v>
      </c>
      <c r="Q1068" s="66"/>
      <c r="R1068" s="32"/>
      <c r="S1068" s="32"/>
      <c r="T1068" s="32"/>
      <c r="U1068" s="32"/>
      <c r="V1068" s="32"/>
      <c r="W1068" s="32"/>
      <c r="X1068" s="32"/>
      <c r="Y1068" s="32"/>
      <c r="Z1068" s="32"/>
    </row>
    <row r="1069" spans="1:26" ht="15.75" customHeight="1" x14ac:dyDescent="0.3">
      <c r="A1069" s="45">
        <v>373</v>
      </c>
      <c r="B1069" s="46" t="s">
        <v>1516</v>
      </c>
      <c r="C1069" s="194" t="s">
        <v>2025</v>
      </c>
      <c r="D1069" s="46"/>
      <c r="E1069" s="46"/>
      <c r="F1069" s="61" t="s">
        <v>31</v>
      </c>
      <c r="G1069" s="288">
        <v>1.1599999999999999</v>
      </c>
      <c r="H1069" s="289">
        <v>250</v>
      </c>
      <c r="I1069" s="290">
        <v>1</v>
      </c>
      <c r="J1069" s="48" t="s">
        <v>92</v>
      </c>
      <c r="K1069" s="50" t="s">
        <v>2019</v>
      </c>
      <c r="L1069" s="53" t="str">
        <f t="shared" si="217"/>
        <v>1pieces</v>
      </c>
      <c r="M1069" s="54">
        <f t="shared" si="218"/>
        <v>250</v>
      </c>
      <c r="N1069" s="55" t="str">
        <f t="shared" si="219"/>
        <v>250pieces</v>
      </c>
      <c r="O1069" s="56">
        <f t="shared" si="220"/>
        <v>290</v>
      </c>
      <c r="P1069" s="44">
        <f t="shared" si="226"/>
        <v>1.1599999999999999</v>
      </c>
      <c r="Q1069" s="66">
        <f t="shared" ref="Q1069:Q1070" si="227">G1069-P1069</f>
        <v>0</v>
      </c>
      <c r="R1069" s="32" t="b">
        <f t="shared" ref="R1069:R1070" si="228">P1069=G1069</f>
        <v>1</v>
      </c>
      <c r="S1069" s="32"/>
      <c r="T1069" s="32"/>
      <c r="U1069" s="32"/>
      <c r="V1069" s="32"/>
      <c r="W1069" s="32"/>
      <c r="X1069" s="32"/>
      <c r="Y1069" s="32"/>
      <c r="Z1069" s="32"/>
    </row>
    <row r="1070" spans="1:26" ht="15.75" customHeight="1" x14ac:dyDescent="0.3">
      <c r="A1070" s="45">
        <v>769</v>
      </c>
      <c r="B1070" s="46" t="s">
        <v>1517</v>
      </c>
      <c r="C1070" s="194" t="s">
        <v>2026</v>
      </c>
      <c r="D1070" s="46"/>
      <c r="E1070" s="46" t="s">
        <v>858</v>
      </c>
      <c r="F1070" s="61" t="s">
        <v>31</v>
      </c>
      <c r="G1070" s="288">
        <v>40.799999999999997</v>
      </c>
      <c r="H1070" s="289">
        <v>4</v>
      </c>
      <c r="I1070" s="290">
        <v>1</v>
      </c>
      <c r="J1070" s="48" t="s">
        <v>304</v>
      </c>
      <c r="K1070" s="50" t="s">
        <v>2019</v>
      </c>
      <c r="L1070" s="53" t="str">
        <f t="shared" si="217"/>
        <v>1packs</v>
      </c>
      <c r="M1070" s="54">
        <f t="shared" si="218"/>
        <v>4</v>
      </c>
      <c r="N1070" s="55" t="str">
        <f t="shared" si="219"/>
        <v>4packs</v>
      </c>
      <c r="O1070" s="56">
        <f t="shared" si="220"/>
        <v>163.19999999999999</v>
      </c>
      <c r="P1070" s="44">
        <f t="shared" si="226"/>
        <v>40.799999999999997</v>
      </c>
      <c r="Q1070" s="66">
        <f t="shared" si="227"/>
        <v>0</v>
      </c>
      <c r="R1070" s="32" t="b">
        <f t="shared" si="228"/>
        <v>1</v>
      </c>
      <c r="S1070" s="32"/>
      <c r="T1070" s="32"/>
      <c r="U1070" s="32"/>
      <c r="V1070" s="32"/>
      <c r="W1070" s="32"/>
      <c r="X1070" s="32"/>
      <c r="Y1070" s="32"/>
      <c r="Z1070" s="32"/>
    </row>
    <row r="1071" spans="1:26" ht="15.75" customHeight="1" x14ac:dyDescent="0.3">
      <c r="A1071" s="45"/>
      <c r="B1071" s="219" t="s">
        <v>1518</v>
      </c>
      <c r="C1071" s="194" t="s">
        <v>2021</v>
      </c>
      <c r="D1071" s="46"/>
      <c r="E1071" s="219"/>
      <c r="F1071" s="61" t="s">
        <v>31</v>
      </c>
      <c r="G1071" s="291">
        <v>45</v>
      </c>
      <c r="H1071" s="292">
        <v>1</v>
      </c>
      <c r="I1071" s="293">
        <v>50</v>
      </c>
      <c r="J1071" s="414" t="s">
        <v>39</v>
      </c>
      <c r="K1071" s="50"/>
      <c r="L1071" s="53" t="str">
        <f t="shared" si="217"/>
        <v>50grams</v>
      </c>
      <c r="M1071" s="54">
        <f t="shared" si="218"/>
        <v>50</v>
      </c>
      <c r="N1071" s="55" t="str">
        <f t="shared" si="219"/>
        <v>50grams</v>
      </c>
      <c r="O1071" s="56">
        <f t="shared" si="220"/>
        <v>45</v>
      </c>
      <c r="P1071" s="12"/>
      <c r="Q1071" s="12"/>
      <c r="R1071" s="12"/>
      <c r="S1071" s="151"/>
      <c r="T1071" s="12"/>
      <c r="U1071" s="12"/>
      <c r="V1071" s="12"/>
      <c r="W1071" s="12"/>
      <c r="X1071" s="12"/>
      <c r="Y1071" s="12"/>
      <c r="Z1071" s="12"/>
    </row>
    <row r="1072" spans="1:26" ht="15.75" customHeight="1" x14ac:dyDescent="0.3">
      <c r="A1072" s="45">
        <v>350</v>
      </c>
      <c r="B1072" s="46" t="s">
        <v>1519</v>
      </c>
      <c r="C1072" s="194" t="s">
        <v>2025</v>
      </c>
      <c r="D1072" s="46"/>
      <c r="E1072" s="46" t="s">
        <v>1520</v>
      </c>
      <c r="F1072" s="61" t="s">
        <v>31</v>
      </c>
      <c r="G1072" s="288">
        <v>265</v>
      </c>
      <c r="H1072" s="289">
        <v>0</v>
      </c>
      <c r="I1072" s="290">
        <v>227</v>
      </c>
      <c r="J1072" s="48" t="s">
        <v>39</v>
      </c>
      <c r="K1072" s="50"/>
      <c r="L1072" s="53" t="str">
        <f t="shared" si="217"/>
        <v>227grams</v>
      </c>
      <c r="M1072" s="54">
        <f t="shared" si="218"/>
        <v>0</v>
      </c>
      <c r="N1072" s="55" t="str">
        <f t="shared" si="219"/>
        <v>0grams</v>
      </c>
      <c r="O1072" s="56">
        <f t="shared" si="220"/>
        <v>0</v>
      </c>
      <c r="P1072" s="44" t="e">
        <f>O1072/H1072</f>
        <v>#DIV/0!</v>
      </c>
      <c r="Q1072" s="66"/>
      <c r="R1072" s="32"/>
      <c r="S1072" s="32"/>
      <c r="T1072" s="32"/>
      <c r="U1072" s="32"/>
      <c r="V1072" s="32"/>
      <c r="W1072" s="32"/>
      <c r="X1072" s="32"/>
      <c r="Y1072" s="32"/>
      <c r="Z1072" s="32"/>
    </row>
    <row r="1073" spans="1:26" ht="15.75" customHeight="1" x14ac:dyDescent="0.3">
      <c r="A1073" s="45"/>
      <c r="B1073" s="46" t="s">
        <v>1521</v>
      </c>
      <c r="C1073" s="194" t="s">
        <v>2020</v>
      </c>
      <c r="D1073" s="46"/>
      <c r="E1073" s="46" t="s">
        <v>1004</v>
      </c>
      <c r="F1073" s="61" t="s">
        <v>31</v>
      </c>
      <c r="G1073" s="288">
        <v>5</v>
      </c>
      <c r="H1073" s="289">
        <v>25</v>
      </c>
      <c r="I1073" s="290">
        <v>1</v>
      </c>
      <c r="J1073" s="48" t="s">
        <v>92</v>
      </c>
      <c r="K1073" s="50"/>
      <c r="L1073" s="53" t="str">
        <f t="shared" si="217"/>
        <v>1pieces</v>
      </c>
      <c r="M1073" s="54">
        <f t="shared" si="218"/>
        <v>25</v>
      </c>
      <c r="N1073" s="55" t="str">
        <f t="shared" si="219"/>
        <v>25pieces</v>
      </c>
      <c r="O1073" s="56">
        <f t="shared" si="220"/>
        <v>125</v>
      </c>
      <c r="P1073" s="12"/>
      <c r="Q1073" s="12"/>
      <c r="R1073" s="12"/>
      <c r="S1073" s="151"/>
      <c r="T1073" s="12"/>
      <c r="U1073" s="12"/>
      <c r="V1073" s="12"/>
      <c r="W1073" s="12"/>
      <c r="X1073" s="12"/>
      <c r="Y1073" s="12"/>
      <c r="Z1073" s="12"/>
    </row>
    <row r="1074" spans="1:26" ht="15.75" customHeight="1" x14ac:dyDescent="0.3">
      <c r="A1074" s="45">
        <v>884</v>
      </c>
      <c r="B1074" s="46" t="s">
        <v>1522</v>
      </c>
      <c r="C1074" s="194" t="s">
        <v>1368</v>
      </c>
      <c r="D1074" s="46"/>
      <c r="E1074" s="46"/>
      <c r="F1074" s="61" t="s">
        <v>31</v>
      </c>
      <c r="G1074" s="288">
        <v>50</v>
      </c>
      <c r="H1074" s="289">
        <v>2</v>
      </c>
      <c r="I1074" s="290">
        <v>1</v>
      </c>
      <c r="J1074" s="48" t="s">
        <v>213</v>
      </c>
      <c r="K1074" s="50"/>
      <c r="L1074" s="53" t="str">
        <f t="shared" si="217"/>
        <v>1kilos</v>
      </c>
      <c r="M1074" s="54">
        <f t="shared" si="218"/>
        <v>2</v>
      </c>
      <c r="N1074" s="55" t="str">
        <f t="shared" si="219"/>
        <v>2kilos</v>
      </c>
      <c r="O1074" s="56">
        <f t="shared" si="220"/>
        <v>100</v>
      </c>
      <c r="P1074" s="44"/>
      <c r="Q1074" s="66"/>
      <c r="R1074" s="32"/>
      <c r="S1074" s="32"/>
      <c r="T1074" s="32"/>
      <c r="U1074" s="32"/>
      <c r="V1074" s="32"/>
      <c r="W1074" s="32"/>
      <c r="X1074" s="32"/>
      <c r="Y1074" s="32"/>
      <c r="Z1074" s="32"/>
    </row>
    <row r="1075" spans="1:26" ht="15.75" customHeight="1" x14ac:dyDescent="0.3">
      <c r="A1075" s="45">
        <v>919</v>
      </c>
      <c r="B1075" s="46" t="s">
        <v>1523</v>
      </c>
      <c r="C1075" s="194" t="s">
        <v>1368</v>
      </c>
      <c r="D1075" s="46"/>
      <c r="E1075" s="46" t="s">
        <v>865</v>
      </c>
      <c r="F1075" s="61" t="s">
        <v>31</v>
      </c>
      <c r="G1075" s="288">
        <v>113</v>
      </c>
      <c r="H1075" s="289">
        <v>1</v>
      </c>
      <c r="I1075" s="290">
        <v>825</v>
      </c>
      <c r="J1075" s="48" t="s">
        <v>39</v>
      </c>
      <c r="K1075" s="50"/>
      <c r="L1075" s="53" t="str">
        <f t="shared" si="217"/>
        <v>825grams</v>
      </c>
      <c r="M1075" s="54">
        <f t="shared" si="218"/>
        <v>825</v>
      </c>
      <c r="N1075" s="55" t="str">
        <f t="shared" si="219"/>
        <v>825grams</v>
      </c>
      <c r="O1075" s="56">
        <f t="shared" si="220"/>
        <v>113</v>
      </c>
      <c r="P1075" s="44"/>
      <c r="Q1075" s="66"/>
      <c r="R1075" s="32"/>
      <c r="S1075" s="32"/>
      <c r="T1075" s="32"/>
      <c r="U1075" s="32"/>
      <c r="V1075" s="32"/>
      <c r="W1075" s="32"/>
      <c r="X1075" s="32"/>
      <c r="Y1075" s="32"/>
      <c r="Z1075" s="32"/>
    </row>
    <row r="1076" spans="1:26" ht="15.75" customHeight="1" x14ac:dyDescent="0.3">
      <c r="A1076" s="45"/>
      <c r="B1076" s="46" t="s">
        <v>1523</v>
      </c>
      <c r="C1076" s="194" t="s">
        <v>2022</v>
      </c>
      <c r="D1076" s="46"/>
      <c r="E1076" s="46" t="s">
        <v>1241</v>
      </c>
      <c r="F1076" s="61" t="s">
        <v>31</v>
      </c>
      <c r="G1076" s="288">
        <v>139</v>
      </c>
      <c r="H1076" s="289">
        <v>1</v>
      </c>
      <c r="I1076" s="290">
        <v>825</v>
      </c>
      <c r="J1076" s="48" t="s">
        <v>39</v>
      </c>
      <c r="K1076" s="50"/>
      <c r="L1076" s="53" t="str">
        <f t="shared" si="217"/>
        <v>825grams</v>
      </c>
      <c r="M1076" s="54">
        <f t="shared" si="218"/>
        <v>825</v>
      </c>
      <c r="N1076" s="55" t="str">
        <f t="shared" si="219"/>
        <v>825grams</v>
      </c>
      <c r="O1076" s="56">
        <f t="shared" si="220"/>
        <v>139</v>
      </c>
      <c r="P1076" s="12"/>
      <c r="Q1076" s="12"/>
      <c r="R1076" s="12"/>
      <c r="S1076" s="151"/>
      <c r="T1076" s="12"/>
      <c r="U1076" s="12"/>
      <c r="V1076" s="12"/>
      <c r="W1076" s="12"/>
      <c r="X1076" s="12"/>
      <c r="Y1076" s="12"/>
      <c r="Z1076" s="12"/>
    </row>
    <row r="1077" spans="1:26" ht="15.75" customHeight="1" x14ac:dyDescent="0.3">
      <c r="A1077" s="45">
        <v>344</v>
      </c>
      <c r="B1077" s="46" t="s">
        <v>710</v>
      </c>
      <c r="C1077" s="194" t="s">
        <v>2025</v>
      </c>
      <c r="D1077" s="46"/>
      <c r="E1077" s="46" t="s">
        <v>1524</v>
      </c>
      <c r="F1077" s="61" t="s">
        <v>31</v>
      </c>
      <c r="G1077" s="288">
        <v>180</v>
      </c>
      <c r="H1077" s="289">
        <v>2</v>
      </c>
      <c r="I1077" s="290">
        <v>2</v>
      </c>
      <c r="J1077" s="48" t="s">
        <v>213</v>
      </c>
      <c r="K1077" s="50"/>
      <c r="L1077" s="53" t="str">
        <f t="shared" si="217"/>
        <v>2kilos</v>
      </c>
      <c r="M1077" s="54">
        <f t="shared" si="218"/>
        <v>4</v>
      </c>
      <c r="N1077" s="55" t="str">
        <f t="shared" si="219"/>
        <v>4kilos</v>
      </c>
      <c r="O1077" s="56">
        <f t="shared" si="220"/>
        <v>360</v>
      </c>
      <c r="P1077" s="44">
        <f>O1077/H1077</f>
        <v>180</v>
      </c>
      <c r="Q1077" s="66"/>
      <c r="R1077" s="32"/>
      <c r="S1077" s="32"/>
      <c r="T1077" s="32"/>
      <c r="U1077" s="32"/>
      <c r="V1077" s="32"/>
      <c r="W1077" s="32"/>
      <c r="X1077" s="32"/>
      <c r="Y1077" s="32"/>
      <c r="Z1077" s="32"/>
    </row>
    <row r="1078" spans="1:26" ht="15.75" customHeight="1" x14ac:dyDescent="0.3">
      <c r="A1078" s="45"/>
      <c r="B1078" s="219" t="s">
        <v>710</v>
      </c>
      <c r="C1078" s="194" t="s">
        <v>2021</v>
      </c>
      <c r="D1078" s="46"/>
      <c r="E1078" s="219" t="s">
        <v>1525</v>
      </c>
      <c r="F1078" s="61" t="s">
        <v>31</v>
      </c>
      <c r="G1078" s="291">
        <v>221.3</v>
      </c>
      <c r="H1078" s="292">
        <v>1</v>
      </c>
      <c r="I1078" s="293">
        <v>504</v>
      </c>
      <c r="J1078" s="414" t="s">
        <v>39</v>
      </c>
      <c r="K1078" s="50"/>
      <c r="L1078" s="53" t="str">
        <f t="shared" si="217"/>
        <v>504grams</v>
      </c>
      <c r="M1078" s="54">
        <f t="shared" si="218"/>
        <v>504</v>
      </c>
      <c r="N1078" s="55" t="str">
        <f t="shared" si="219"/>
        <v>504grams</v>
      </c>
      <c r="O1078" s="56">
        <f t="shared" si="220"/>
        <v>221.3</v>
      </c>
      <c r="P1078" s="12"/>
      <c r="Q1078" s="12"/>
      <c r="R1078" s="12"/>
      <c r="S1078" s="151"/>
      <c r="T1078" s="12"/>
      <c r="U1078" s="12"/>
      <c r="V1078" s="12"/>
      <c r="W1078" s="12"/>
      <c r="X1078" s="12"/>
      <c r="Y1078" s="12"/>
      <c r="Z1078" s="12"/>
    </row>
    <row r="1079" spans="1:26" ht="15.75" customHeight="1" x14ac:dyDescent="0.3">
      <c r="A1079" s="45">
        <v>172</v>
      </c>
      <c r="B1079" s="46" t="s">
        <v>710</v>
      </c>
      <c r="C1079" s="194" t="s">
        <v>2024</v>
      </c>
      <c r="D1079" s="46"/>
      <c r="E1079" s="46" t="s">
        <v>1524</v>
      </c>
      <c r="F1079" s="61" t="s">
        <v>31</v>
      </c>
      <c r="G1079" s="288">
        <v>230</v>
      </c>
      <c r="H1079" s="289">
        <v>2</v>
      </c>
      <c r="I1079" s="290">
        <v>1800</v>
      </c>
      <c r="J1079" s="48" t="s">
        <v>39</v>
      </c>
      <c r="K1079" s="50"/>
      <c r="L1079" s="53" t="str">
        <f t="shared" si="217"/>
        <v>1800grams</v>
      </c>
      <c r="M1079" s="54">
        <f t="shared" si="218"/>
        <v>3600</v>
      </c>
      <c r="N1079" s="55" t="str">
        <f t="shared" si="219"/>
        <v>3600grams</v>
      </c>
      <c r="O1079" s="56">
        <f t="shared" si="220"/>
        <v>460</v>
      </c>
      <c r="P1079" s="44">
        <f>O1079/H1079</f>
        <v>230</v>
      </c>
      <c r="Q1079" s="66"/>
      <c r="R1079" s="32"/>
      <c r="S1079" s="32"/>
      <c r="T1079" s="32"/>
      <c r="U1079" s="32"/>
      <c r="V1079" s="32"/>
      <c r="W1079" s="32"/>
      <c r="X1079" s="32"/>
      <c r="Y1079" s="32"/>
      <c r="Z1079" s="32"/>
    </row>
    <row r="1080" spans="1:26" ht="15.75" customHeight="1" x14ac:dyDescent="0.3">
      <c r="A1080" s="45"/>
      <c r="B1080" s="219" t="s">
        <v>1526</v>
      </c>
      <c r="C1080" s="194" t="s">
        <v>2023</v>
      </c>
      <c r="D1080" s="46"/>
      <c r="E1080" s="219"/>
      <c r="F1080" s="61" t="s">
        <v>31</v>
      </c>
      <c r="G1080" s="291">
        <v>6</v>
      </c>
      <c r="H1080" s="292">
        <v>130</v>
      </c>
      <c r="I1080" s="293">
        <v>10</v>
      </c>
      <c r="J1080" s="414" t="s">
        <v>304</v>
      </c>
      <c r="K1080" s="50"/>
      <c r="L1080" s="53" t="str">
        <f t="shared" si="217"/>
        <v>10packs</v>
      </c>
      <c r="M1080" s="54">
        <f t="shared" si="218"/>
        <v>1300</v>
      </c>
      <c r="N1080" s="55" t="str">
        <f t="shared" si="219"/>
        <v>1300packs</v>
      </c>
      <c r="O1080" s="56">
        <f t="shared" si="220"/>
        <v>780</v>
      </c>
      <c r="P1080" s="12"/>
      <c r="Q1080" s="12"/>
      <c r="R1080" s="12"/>
      <c r="S1080" s="151"/>
      <c r="T1080" s="12"/>
      <c r="U1080" s="12"/>
      <c r="V1080" s="12"/>
      <c r="W1080" s="12"/>
      <c r="X1080" s="12"/>
      <c r="Y1080" s="12"/>
      <c r="Z1080" s="12"/>
    </row>
    <row r="1081" spans="1:26" ht="15.75" customHeight="1" x14ac:dyDescent="0.3">
      <c r="A1081" s="45"/>
      <c r="B1081" s="46" t="s">
        <v>1526</v>
      </c>
      <c r="C1081" s="194" t="s">
        <v>2022</v>
      </c>
      <c r="D1081" s="46"/>
      <c r="E1081" s="46" t="s">
        <v>1527</v>
      </c>
      <c r="F1081" s="61" t="s">
        <v>31</v>
      </c>
      <c r="G1081" s="288">
        <v>38</v>
      </c>
      <c r="H1081" s="289">
        <v>4</v>
      </c>
      <c r="I1081" s="290">
        <v>100</v>
      </c>
      <c r="J1081" s="48" t="s">
        <v>39</v>
      </c>
      <c r="K1081" s="50"/>
      <c r="L1081" s="53" t="str">
        <f t="shared" si="217"/>
        <v>100grams</v>
      </c>
      <c r="M1081" s="54">
        <f t="shared" si="218"/>
        <v>400</v>
      </c>
      <c r="N1081" s="55" t="str">
        <f t="shared" si="219"/>
        <v>400grams</v>
      </c>
      <c r="O1081" s="56">
        <f t="shared" si="220"/>
        <v>152</v>
      </c>
      <c r="P1081" s="12"/>
      <c r="Q1081" s="12"/>
      <c r="R1081" s="12"/>
      <c r="S1081" s="151"/>
      <c r="T1081" s="12"/>
      <c r="U1081" s="12"/>
      <c r="V1081" s="12"/>
      <c r="W1081" s="12"/>
      <c r="X1081" s="12"/>
      <c r="Y1081" s="12"/>
      <c r="Z1081" s="12"/>
    </row>
    <row r="1082" spans="1:26" ht="15.75" customHeight="1" x14ac:dyDescent="0.3">
      <c r="A1082" s="45">
        <v>613</v>
      </c>
      <c r="B1082" s="46" t="s">
        <v>1528</v>
      </c>
      <c r="C1082" s="194" t="s">
        <v>2026</v>
      </c>
      <c r="D1082" s="46"/>
      <c r="E1082" s="46" t="s">
        <v>1066</v>
      </c>
      <c r="F1082" s="61" t="s">
        <v>31</v>
      </c>
      <c r="G1082" s="288">
        <v>35.18</v>
      </c>
      <c r="H1082" s="289">
        <v>24</v>
      </c>
      <c r="I1082" s="290">
        <v>80</v>
      </c>
      <c r="J1082" s="48" t="s">
        <v>39</v>
      </c>
      <c r="K1082" s="50"/>
      <c r="L1082" s="53" t="str">
        <f t="shared" si="217"/>
        <v>80grams</v>
      </c>
      <c r="M1082" s="54">
        <f t="shared" si="218"/>
        <v>1920</v>
      </c>
      <c r="N1082" s="55" t="str">
        <f t="shared" si="219"/>
        <v>1920grams</v>
      </c>
      <c r="O1082" s="56">
        <f t="shared" si="220"/>
        <v>844.31999999999994</v>
      </c>
      <c r="P1082" s="44">
        <f>O1082/H1082</f>
        <v>35.18</v>
      </c>
      <c r="Q1082" s="66"/>
      <c r="R1082" s="32"/>
      <c r="S1082" s="32"/>
      <c r="T1082" s="32"/>
      <c r="U1082" s="32"/>
      <c r="V1082" s="32"/>
      <c r="W1082" s="32"/>
      <c r="X1082" s="32"/>
      <c r="Y1082" s="32"/>
      <c r="Z1082" s="32"/>
    </row>
    <row r="1083" spans="1:26" ht="15.75" customHeight="1" x14ac:dyDescent="0.3">
      <c r="A1083" s="45">
        <v>921</v>
      </c>
      <c r="B1083" s="46" t="s">
        <v>1528</v>
      </c>
      <c r="C1083" s="194" t="s">
        <v>1368</v>
      </c>
      <c r="D1083" s="46"/>
      <c r="E1083" s="46" t="s">
        <v>1529</v>
      </c>
      <c r="F1083" s="61" t="s">
        <v>31</v>
      </c>
      <c r="G1083" s="288">
        <v>234.75</v>
      </c>
      <c r="H1083" s="289">
        <v>1</v>
      </c>
      <c r="I1083" s="290">
        <v>120</v>
      </c>
      <c r="J1083" s="48" t="s">
        <v>39</v>
      </c>
      <c r="K1083" s="50"/>
      <c r="L1083" s="53" t="str">
        <f t="shared" si="217"/>
        <v>120grams</v>
      </c>
      <c r="M1083" s="54">
        <f t="shared" si="218"/>
        <v>120</v>
      </c>
      <c r="N1083" s="55" t="str">
        <f t="shared" si="219"/>
        <v>120grams</v>
      </c>
      <c r="O1083" s="56">
        <f t="shared" si="220"/>
        <v>234.75</v>
      </c>
      <c r="P1083" s="44"/>
      <c r="Q1083" s="66"/>
      <c r="R1083" s="32"/>
      <c r="S1083" s="32"/>
      <c r="T1083" s="32"/>
      <c r="U1083" s="32"/>
      <c r="V1083" s="32"/>
      <c r="W1083" s="32"/>
      <c r="X1083" s="32"/>
      <c r="Y1083" s="32"/>
      <c r="Z1083" s="32"/>
    </row>
    <row r="1084" spans="1:26" ht="15.75" customHeight="1" x14ac:dyDescent="0.3">
      <c r="A1084" s="45"/>
      <c r="B1084" s="219" t="s">
        <v>1530</v>
      </c>
      <c r="C1084" s="194" t="s">
        <v>2021</v>
      </c>
      <c r="D1084" s="46"/>
      <c r="E1084" s="219" t="s">
        <v>1062</v>
      </c>
      <c r="F1084" s="61" t="s">
        <v>31</v>
      </c>
      <c r="G1084" s="291">
        <v>125</v>
      </c>
      <c r="H1084" s="292">
        <v>17</v>
      </c>
      <c r="I1084" s="293">
        <v>1</v>
      </c>
      <c r="J1084" s="414" t="s">
        <v>1064</v>
      </c>
      <c r="K1084" s="50"/>
      <c r="L1084" s="53" t="str">
        <f t="shared" si="217"/>
        <v>1jar</v>
      </c>
      <c r="M1084" s="54">
        <f t="shared" si="218"/>
        <v>17</v>
      </c>
      <c r="N1084" s="55" t="str">
        <f t="shared" si="219"/>
        <v>17jar</v>
      </c>
      <c r="O1084" s="56">
        <f t="shared" si="220"/>
        <v>2125</v>
      </c>
      <c r="P1084" s="12"/>
      <c r="Q1084" s="12"/>
      <c r="R1084" s="12"/>
      <c r="S1084" s="151"/>
      <c r="T1084" s="12"/>
      <c r="U1084" s="12"/>
      <c r="V1084" s="12"/>
      <c r="W1084" s="12"/>
      <c r="X1084" s="12"/>
      <c r="Y1084" s="12"/>
      <c r="Z1084" s="12"/>
    </row>
    <row r="1085" spans="1:26" ht="15.75" customHeight="1" x14ac:dyDescent="0.3">
      <c r="A1085" s="45"/>
      <c r="B1085" s="219" t="s">
        <v>1531</v>
      </c>
      <c r="C1085" s="194" t="s">
        <v>2021</v>
      </c>
      <c r="D1085" s="46"/>
      <c r="E1085" s="219" t="s">
        <v>1062</v>
      </c>
      <c r="F1085" s="61" t="s">
        <v>31</v>
      </c>
      <c r="G1085" s="291">
        <v>35</v>
      </c>
      <c r="H1085" s="292">
        <v>1</v>
      </c>
      <c r="I1085" s="293">
        <v>1</v>
      </c>
      <c r="J1085" s="414" t="s">
        <v>1064</v>
      </c>
      <c r="K1085" s="50"/>
      <c r="L1085" s="53" t="str">
        <f t="shared" si="217"/>
        <v>1jar</v>
      </c>
      <c r="M1085" s="54">
        <f t="shared" si="218"/>
        <v>1</v>
      </c>
      <c r="N1085" s="55" t="str">
        <f t="shared" si="219"/>
        <v>1jar</v>
      </c>
      <c r="O1085" s="56">
        <f t="shared" si="220"/>
        <v>35</v>
      </c>
      <c r="P1085" s="12"/>
      <c r="Q1085" s="12"/>
      <c r="R1085" s="12"/>
      <c r="S1085" s="151"/>
      <c r="T1085" s="12"/>
      <c r="U1085" s="12"/>
      <c r="V1085" s="12"/>
      <c r="W1085" s="12"/>
      <c r="X1085" s="12"/>
      <c r="Y1085" s="12"/>
      <c r="Z1085" s="12"/>
    </row>
    <row r="1086" spans="1:26" ht="15.75" customHeight="1" x14ac:dyDescent="0.3">
      <c r="A1086" s="45">
        <v>489</v>
      </c>
      <c r="B1086" s="46" t="s">
        <v>1532</v>
      </c>
      <c r="C1086" s="194" t="s">
        <v>2025</v>
      </c>
      <c r="D1086" s="46"/>
      <c r="E1086" s="46"/>
      <c r="F1086" s="61" t="s">
        <v>31</v>
      </c>
      <c r="G1086" s="288">
        <v>75</v>
      </c>
      <c r="H1086" s="289">
        <v>1</v>
      </c>
      <c r="I1086" s="290">
        <v>1</v>
      </c>
      <c r="J1086" s="48" t="s">
        <v>213</v>
      </c>
      <c r="K1086" s="50"/>
      <c r="L1086" s="53" t="str">
        <f t="shared" si="217"/>
        <v>1kilos</v>
      </c>
      <c r="M1086" s="54">
        <f t="shared" si="218"/>
        <v>1</v>
      </c>
      <c r="N1086" s="55" t="str">
        <f t="shared" si="219"/>
        <v>1kilos</v>
      </c>
      <c r="O1086" s="56">
        <f t="shared" si="220"/>
        <v>75</v>
      </c>
      <c r="P1086" s="44">
        <f t="shared" ref="P1086:P1087" si="229">O1086/H1086</f>
        <v>75</v>
      </c>
      <c r="Q1086" s="66"/>
      <c r="R1086" s="32"/>
      <c r="S1086" s="32"/>
      <c r="T1086" s="32"/>
      <c r="U1086" s="32"/>
      <c r="V1086" s="32"/>
      <c r="W1086" s="32"/>
      <c r="X1086" s="32"/>
      <c r="Y1086" s="32"/>
      <c r="Z1086" s="32"/>
    </row>
    <row r="1087" spans="1:26" ht="15.75" customHeight="1" x14ac:dyDescent="0.3">
      <c r="A1087" s="45">
        <v>668</v>
      </c>
      <c r="B1087" s="46" t="s">
        <v>1532</v>
      </c>
      <c r="C1087" s="194" t="s">
        <v>2026</v>
      </c>
      <c r="D1087" s="46"/>
      <c r="E1087" s="46"/>
      <c r="F1087" s="61" t="s">
        <v>31</v>
      </c>
      <c r="G1087" s="288">
        <v>100</v>
      </c>
      <c r="H1087" s="289">
        <v>1</v>
      </c>
      <c r="I1087" s="290">
        <v>1</v>
      </c>
      <c r="J1087" s="48" t="s">
        <v>213</v>
      </c>
      <c r="K1087" s="50" t="s">
        <v>2019</v>
      </c>
      <c r="L1087" s="53" t="str">
        <f t="shared" si="217"/>
        <v>1kilos</v>
      </c>
      <c r="M1087" s="54">
        <f t="shared" si="218"/>
        <v>1</v>
      </c>
      <c r="N1087" s="55" t="str">
        <f t="shared" si="219"/>
        <v>1kilos</v>
      </c>
      <c r="O1087" s="56">
        <f t="shared" si="220"/>
        <v>100</v>
      </c>
      <c r="P1087" s="44">
        <f t="shared" si="229"/>
        <v>100</v>
      </c>
      <c r="Q1087" s="44">
        <f>G1087-P1087</f>
        <v>0</v>
      </c>
      <c r="R1087" s="32" t="b">
        <f>P1087=G1087</f>
        <v>1</v>
      </c>
      <c r="S1087" s="32"/>
      <c r="T1087" s="32"/>
      <c r="U1087" s="32"/>
      <c r="V1087" s="32"/>
      <c r="W1087" s="32"/>
      <c r="X1087" s="32"/>
      <c r="Y1087" s="32"/>
      <c r="Z1087" s="32"/>
    </row>
    <row r="1088" spans="1:26" ht="15.75" customHeight="1" x14ac:dyDescent="0.3">
      <c r="A1088" s="45"/>
      <c r="B1088" s="46" t="s">
        <v>1532</v>
      </c>
      <c r="C1088" s="194" t="s">
        <v>2023</v>
      </c>
      <c r="D1088" s="46"/>
      <c r="E1088" s="46"/>
      <c r="F1088" s="61" t="s">
        <v>31</v>
      </c>
      <c r="G1088" s="288">
        <v>50</v>
      </c>
      <c r="H1088" s="289">
        <v>1</v>
      </c>
      <c r="I1088" s="290">
        <v>1</v>
      </c>
      <c r="J1088" s="48" t="s">
        <v>213</v>
      </c>
      <c r="K1088" s="50"/>
      <c r="L1088" s="53" t="str">
        <f t="shared" si="217"/>
        <v>1kilos</v>
      </c>
      <c r="M1088" s="54">
        <f t="shared" si="218"/>
        <v>1</v>
      </c>
      <c r="N1088" s="55" t="str">
        <f t="shared" si="219"/>
        <v>1kilos</v>
      </c>
      <c r="O1088" s="56">
        <f t="shared" si="220"/>
        <v>50</v>
      </c>
      <c r="P1088" s="44"/>
      <c r="Q1088" s="12"/>
      <c r="R1088" s="12"/>
      <c r="S1088" s="151"/>
      <c r="T1088" s="12"/>
      <c r="U1088" s="12"/>
      <c r="V1088" s="12"/>
      <c r="W1088" s="12"/>
      <c r="X1088" s="12"/>
      <c r="Y1088" s="12"/>
      <c r="Z1088" s="12"/>
    </row>
    <row r="1089" spans="1:26" ht="15.75" customHeight="1" x14ac:dyDescent="0.3">
      <c r="A1089" s="45">
        <v>490</v>
      </c>
      <c r="B1089" s="46" t="s">
        <v>1533</v>
      </c>
      <c r="C1089" s="194" t="s">
        <v>2025</v>
      </c>
      <c r="D1089" s="46"/>
      <c r="E1089" s="46"/>
      <c r="F1089" s="61" t="s">
        <v>31</v>
      </c>
      <c r="G1089" s="288">
        <v>50</v>
      </c>
      <c r="H1089" s="289">
        <v>2</v>
      </c>
      <c r="I1089" s="290">
        <v>1</v>
      </c>
      <c r="J1089" s="48" t="s">
        <v>213</v>
      </c>
      <c r="K1089" s="50" t="s">
        <v>2019</v>
      </c>
      <c r="L1089" s="53" t="str">
        <f t="shared" si="217"/>
        <v>1kilos</v>
      </c>
      <c r="M1089" s="54">
        <f t="shared" si="218"/>
        <v>2</v>
      </c>
      <c r="N1089" s="55" t="str">
        <f t="shared" si="219"/>
        <v>2kilos</v>
      </c>
      <c r="O1089" s="56">
        <f t="shared" si="220"/>
        <v>100</v>
      </c>
      <c r="P1089" s="44">
        <f>O1089/H1089</f>
        <v>50</v>
      </c>
      <c r="Q1089" s="62">
        <f>G1089-P1089</f>
        <v>0</v>
      </c>
      <c r="R1089" s="32" t="b">
        <f>P1089=G1089</f>
        <v>1</v>
      </c>
      <c r="S1089" s="32"/>
      <c r="T1089" s="32"/>
      <c r="U1089" s="32"/>
      <c r="V1089" s="32"/>
      <c r="W1089" s="32"/>
      <c r="X1089" s="32"/>
      <c r="Y1089" s="32"/>
      <c r="Z1089" s="32"/>
    </row>
    <row r="1090" spans="1:26" ht="15.75" customHeight="1" x14ac:dyDescent="0.3">
      <c r="A1090" s="45"/>
      <c r="B1090" s="46" t="s">
        <v>1533</v>
      </c>
      <c r="C1090" s="194" t="s">
        <v>2023</v>
      </c>
      <c r="D1090" s="46"/>
      <c r="E1090" s="46"/>
      <c r="F1090" s="61" t="s">
        <v>31</v>
      </c>
      <c r="G1090" s="288">
        <v>80</v>
      </c>
      <c r="H1090" s="289">
        <v>1</v>
      </c>
      <c r="I1090" s="290">
        <v>1</v>
      </c>
      <c r="J1090" s="48" t="s">
        <v>213</v>
      </c>
      <c r="K1090" s="50"/>
      <c r="L1090" s="53" t="str">
        <f t="shared" si="217"/>
        <v>1kilos</v>
      </c>
      <c r="M1090" s="54">
        <f t="shared" si="218"/>
        <v>1</v>
      </c>
      <c r="N1090" s="55" t="str">
        <f t="shared" si="219"/>
        <v>1kilos</v>
      </c>
      <c r="O1090" s="56">
        <f t="shared" si="220"/>
        <v>80</v>
      </c>
      <c r="P1090" s="44"/>
      <c r="Q1090" s="12"/>
      <c r="R1090" s="12"/>
      <c r="S1090" s="151"/>
      <c r="T1090" s="12"/>
      <c r="U1090" s="12"/>
      <c r="V1090" s="12"/>
      <c r="W1090" s="12"/>
      <c r="X1090" s="12"/>
      <c r="Y1090" s="12"/>
      <c r="Z1090" s="12"/>
    </row>
    <row r="1091" spans="1:26" ht="15.75" customHeight="1" x14ac:dyDescent="0.3">
      <c r="A1091" s="45"/>
      <c r="B1091" s="46" t="s">
        <v>1534</v>
      </c>
      <c r="C1091" s="194" t="s">
        <v>2023</v>
      </c>
      <c r="D1091" s="46"/>
      <c r="E1091" s="46" t="s">
        <v>1349</v>
      </c>
      <c r="F1091" s="61" t="s">
        <v>31</v>
      </c>
      <c r="G1091" s="288">
        <v>75</v>
      </c>
      <c r="H1091" s="289">
        <v>2</v>
      </c>
      <c r="I1091" s="290">
        <v>1</v>
      </c>
      <c r="J1091" s="48" t="s">
        <v>213</v>
      </c>
      <c r="K1091" s="50"/>
      <c r="L1091" s="53" t="str">
        <f t="shared" si="217"/>
        <v>1kilos</v>
      </c>
      <c r="M1091" s="54">
        <f t="shared" si="218"/>
        <v>2</v>
      </c>
      <c r="N1091" s="55" t="str">
        <f t="shared" si="219"/>
        <v>2kilos</v>
      </c>
      <c r="O1091" s="56">
        <f t="shared" si="220"/>
        <v>150</v>
      </c>
      <c r="P1091" s="44"/>
      <c r="Q1091" s="12"/>
      <c r="R1091" s="12"/>
      <c r="S1091" s="151"/>
      <c r="T1091" s="12"/>
      <c r="U1091" s="12"/>
      <c r="V1091" s="12"/>
      <c r="W1091" s="12"/>
      <c r="X1091" s="12"/>
      <c r="Y1091" s="12"/>
      <c r="Z1091" s="12"/>
    </row>
    <row r="1092" spans="1:26" ht="15.75" customHeight="1" x14ac:dyDescent="0.3">
      <c r="A1092" s="45"/>
      <c r="B1092" s="46" t="s">
        <v>1534</v>
      </c>
      <c r="C1092" s="194" t="s">
        <v>2022</v>
      </c>
      <c r="D1092" s="46"/>
      <c r="E1092" s="46" t="s">
        <v>1349</v>
      </c>
      <c r="F1092" s="61" t="s">
        <v>31</v>
      </c>
      <c r="G1092" s="288">
        <v>80</v>
      </c>
      <c r="H1092" s="289">
        <v>1</v>
      </c>
      <c r="I1092" s="290">
        <v>1</v>
      </c>
      <c r="J1092" s="48" t="s">
        <v>213</v>
      </c>
      <c r="K1092" s="50"/>
      <c r="L1092" s="53" t="str">
        <f t="shared" si="217"/>
        <v>1kilos</v>
      </c>
      <c r="M1092" s="54">
        <f t="shared" si="218"/>
        <v>1</v>
      </c>
      <c r="N1092" s="55" t="str">
        <f t="shared" si="219"/>
        <v>1kilos</v>
      </c>
      <c r="O1092" s="56">
        <f t="shared" si="220"/>
        <v>80</v>
      </c>
      <c r="P1092" s="12"/>
      <c r="Q1092" s="12"/>
      <c r="R1092" s="12"/>
      <c r="S1092" s="151"/>
      <c r="T1092" s="12"/>
      <c r="U1092" s="12"/>
      <c r="V1092" s="12"/>
      <c r="W1092" s="12"/>
      <c r="X1092" s="12"/>
      <c r="Y1092" s="12"/>
      <c r="Z1092" s="12"/>
    </row>
    <row r="1093" spans="1:26" ht="15.75" customHeight="1" x14ac:dyDescent="0.3">
      <c r="A1093" s="45"/>
      <c r="B1093" s="219" t="s">
        <v>1534</v>
      </c>
      <c r="C1093" s="194" t="s">
        <v>2021</v>
      </c>
      <c r="D1093" s="46"/>
      <c r="E1093" s="219" t="s">
        <v>1219</v>
      </c>
      <c r="F1093" s="61" t="s">
        <v>31</v>
      </c>
      <c r="G1093" s="291">
        <v>46</v>
      </c>
      <c r="H1093" s="292">
        <v>2</v>
      </c>
      <c r="I1093" s="290">
        <v>1</v>
      </c>
      <c r="J1093" s="48" t="s">
        <v>213</v>
      </c>
      <c r="K1093" s="50"/>
      <c r="L1093" s="53" t="str">
        <f t="shared" si="217"/>
        <v>1kilos</v>
      </c>
      <c r="M1093" s="54">
        <f t="shared" si="218"/>
        <v>2</v>
      </c>
      <c r="N1093" s="55" t="str">
        <f t="shared" si="219"/>
        <v>2kilos</v>
      </c>
      <c r="O1093" s="56">
        <f t="shared" si="220"/>
        <v>92</v>
      </c>
      <c r="P1093" s="12"/>
      <c r="Q1093" s="12"/>
      <c r="R1093" s="12"/>
      <c r="S1093" s="151"/>
      <c r="T1093" s="12"/>
      <c r="U1093" s="12"/>
      <c r="V1093" s="12"/>
      <c r="W1093" s="12"/>
      <c r="X1093" s="12"/>
      <c r="Y1093" s="12"/>
      <c r="Z1093" s="12"/>
    </row>
    <row r="1094" spans="1:26" ht="15.75" customHeight="1" x14ac:dyDescent="0.3">
      <c r="A1094" s="45">
        <v>842</v>
      </c>
      <c r="B1094" s="46" t="s">
        <v>1535</v>
      </c>
      <c r="C1094" s="194" t="s">
        <v>1368</v>
      </c>
      <c r="D1094" s="46"/>
      <c r="E1094" s="46"/>
      <c r="F1094" s="61" t="s">
        <v>31</v>
      </c>
      <c r="G1094" s="288">
        <v>60</v>
      </c>
      <c r="H1094" s="289">
        <v>4</v>
      </c>
      <c r="I1094" s="290">
        <v>1</v>
      </c>
      <c r="J1094" s="48" t="s">
        <v>213</v>
      </c>
      <c r="K1094" s="50" t="s">
        <v>2019</v>
      </c>
      <c r="L1094" s="53" t="str">
        <f t="shared" si="217"/>
        <v>1kilos</v>
      </c>
      <c r="M1094" s="54">
        <f t="shared" si="218"/>
        <v>4</v>
      </c>
      <c r="N1094" s="55" t="str">
        <f t="shared" si="219"/>
        <v>4kilos</v>
      </c>
      <c r="O1094" s="56">
        <f t="shared" si="220"/>
        <v>240</v>
      </c>
      <c r="P1094" s="44">
        <f t="shared" ref="P1094:P1095" si="230">O1094/H1094</f>
        <v>60</v>
      </c>
      <c r="Q1094" s="66">
        <f>G1094-P1094</f>
        <v>0</v>
      </c>
      <c r="R1094" s="32" t="b">
        <f t="shared" ref="R1094:R1095" si="231">P1094=G1094</f>
        <v>1</v>
      </c>
      <c r="S1094" s="32"/>
      <c r="T1094" s="32"/>
      <c r="U1094" s="32"/>
      <c r="V1094" s="32"/>
      <c r="W1094" s="32"/>
      <c r="X1094" s="32"/>
      <c r="Y1094" s="32"/>
      <c r="Z1094" s="32"/>
    </row>
    <row r="1095" spans="1:26" ht="15.75" customHeight="1" x14ac:dyDescent="0.3">
      <c r="A1095" s="45">
        <v>742</v>
      </c>
      <c r="B1095" s="46" t="s">
        <v>1536</v>
      </c>
      <c r="C1095" s="194" t="s">
        <v>2026</v>
      </c>
      <c r="D1095" s="46"/>
      <c r="E1095" s="46" t="s">
        <v>959</v>
      </c>
      <c r="F1095" s="61" t="s">
        <v>31</v>
      </c>
      <c r="G1095" s="288">
        <v>45</v>
      </c>
      <c r="H1095" s="289">
        <v>1</v>
      </c>
      <c r="I1095" s="290">
        <v>100</v>
      </c>
      <c r="J1095" s="48" t="s">
        <v>39</v>
      </c>
      <c r="K1095" s="50"/>
      <c r="L1095" s="53" t="str">
        <f t="shared" si="217"/>
        <v>100grams</v>
      </c>
      <c r="M1095" s="54">
        <f t="shared" si="218"/>
        <v>100</v>
      </c>
      <c r="N1095" s="55" t="str">
        <f t="shared" si="219"/>
        <v>100grams</v>
      </c>
      <c r="O1095" s="56">
        <f t="shared" si="220"/>
        <v>45</v>
      </c>
      <c r="P1095" s="44">
        <f t="shared" si="230"/>
        <v>45</v>
      </c>
      <c r="Q1095" s="66"/>
      <c r="R1095" s="32" t="b">
        <f t="shared" si="231"/>
        <v>1</v>
      </c>
      <c r="S1095" s="32"/>
      <c r="T1095" s="32"/>
      <c r="U1095" s="32"/>
      <c r="V1095" s="32"/>
      <c r="W1095" s="32"/>
      <c r="X1095" s="32"/>
      <c r="Y1095" s="32"/>
      <c r="Z1095" s="32"/>
    </row>
    <row r="1096" spans="1:26" ht="15.75" customHeight="1" x14ac:dyDescent="0.3">
      <c r="A1096" s="45">
        <v>920</v>
      </c>
      <c r="B1096" s="46" t="s">
        <v>1537</v>
      </c>
      <c r="C1096" s="194" t="s">
        <v>1368</v>
      </c>
      <c r="D1096" s="46"/>
      <c r="E1096" s="46" t="s">
        <v>959</v>
      </c>
      <c r="F1096" s="61" t="s">
        <v>31</v>
      </c>
      <c r="G1096" s="288">
        <v>57.7</v>
      </c>
      <c r="H1096" s="289">
        <v>1</v>
      </c>
      <c r="I1096" s="290">
        <v>135</v>
      </c>
      <c r="J1096" s="48" t="s">
        <v>39</v>
      </c>
      <c r="K1096" s="50"/>
      <c r="L1096" s="53" t="str">
        <f t="shared" si="217"/>
        <v>135grams</v>
      </c>
      <c r="M1096" s="54">
        <f t="shared" si="218"/>
        <v>135</v>
      </c>
      <c r="N1096" s="55" t="str">
        <f t="shared" si="219"/>
        <v>135grams</v>
      </c>
      <c r="O1096" s="56">
        <f t="shared" si="220"/>
        <v>57.7</v>
      </c>
      <c r="P1096" s="44"/>
      <c r="Q1096" s="66"/>
      <c r="R1096" s="32"/>
      <c r="S1096" s="32"/>
      <c r="T1096" s="32"/>
      <c r="U1096" s="32"/>
      <c r="V1096" s="32"/>
      <c r="W1096" s="32"/>
      <c r="X1096" s="32"/>
      <c r="Y1096" s="32"/>
      <c r="Z1096" s="32"/>
    </row>
    <row r="1097" spans="1:26" ht="15.75" customHeight="1" x14ac:dyDescent="0.3">
      <c r="A1097" s="45"/>
      <c r="B1097" s="219" t="s">
        <v>1538</v>
      </c>
      <c r="C1097" s="194" t="s">
        <v>2021</v>
      </c>
      <c r="D1097" s="46"/>
      <c r="E1097" s="219" t="s">
        <v>1062</v>
      </c>
      <c r="F1097" s="61" t="s">
        <v>31</v>
      </c>
      <c r="G1097" s="291">
        <v>125</v>
      </c>
      <c r="H1097" s="292">
        <v>6</v>
      </c>
      <c r="I1097" s="293">
        <v>1</v>
      </c>
      <c r="J1097" s="414" t="s">
        <v>1064</v>
      </c>
      <c r="K1097" s="50"/>
      <c r="L1097" s="53" t="str">
        <f t="shared" si="217"/>
        <v>1jar</v>
      </c>
      <c r="M1097" s="54">
        <f t="shared" si="218"/>
        <v>6</v>
      </c>
      <c r="N1097" s="55" t="str">
        <f t="shared" si="219"/>
        <v>6jar</v>
      </c>
      <c r="O1097" s="56">
        <f t="shared" si="220"/>
        <v>750</v>
      </c>
      <c r="P1097" s="12"/>
      <c r="Q1097" s="12"/>
      <c r="R1097" s="12"/>
      <c r="S1097" s="151"/>
      <c r="T1097" s="12"/>
      <c r="U1097" s="12"/>
      <c r="V1097" s="12"/>
      <c r="W1097" s="12"/>
      <c r="X1097" s="12"/>
      <c r="Y1097" s="12"/>
      <c r="Z1097" s="12"/>
    </row>
    <row r="1098" spans="1:26" ht="15.75" customHeight="1" x14ac:dyDescent="0.3">
      <c r="A1098" s="45"/>
      <c r="B1098" s="219" t="s">
        <v>1539</v>
      </c>
      <c r="C1098" s="194" t="s">
        <v>2021</v>
      </c>
      <c r="D1098" s="46"/>
      <c r="E1098" s="219" t="s">
        <v>1486</v>
      </c>
      <c r="F1098" s="61" t="s">
        <v>31</v>
      </c>
      <c r="G1098" s="291">
        <v>135</v>
      </c>
      <c r="H1098" s="292">
        <v>1</v>
      </c>
      <c r="I1098" s="293">
        <v>320</v>
      </c>
      <c r="J1098" s="414" t="s">
        <v>39</v>
      </c>
      <c r="K1098" s="50"/>
      <c r="L1098" s="53" t="str">
        <f t="shared" si="217"/>
        <v>320grams</v>
      </c>
      <c r="M1098" s="54">
        <f t="shared" si="218"/>
        <v>320</v>
      </c>
      <c r="N1098" s="55" t="str">
        <f t="shared" si="219"/>
        <v>320grams</v>
      </c>
      <c r="O1098" s="56">
        <f t="shared" si="220"/>
        <v>135</v>
      </c>
      <c r="P1098" s="12"/>
      <c r="Q1098" s="12"/>
      <c r="R1098" s="12"/>
      <c r="S1098" s="151"/>
      <c r="T1098" s="12"/>
      <c r="U1098" s="12"/>
      <c r="V1098" s="12"/>
      <c r="W1098" s="12"/>
      <c r="X1098" s="12"/>
      <c r="Y1098" s="12"/>
      <c r="Z1098" s="12"/>
    </row>
    <row r="1099" spans="1:26" ht="15.75" customHeight="1" x14ac:dyDescent="0.3">
      <c r="A1099" s="45"/>
      <c r="B1099" s="219" t="s">
        <v>1540</v>
      </c>
      <c r="C1099" s="194" t="s">
        <v>2021</v>
      </c>
      <c r="D1099" s="46"/>
      <c r="E1099" s="219" t="s">
        <v>1241</v>
      </c>
      <c r="F1099" s="61" t="s">
        <v>31</v>
      </c>
      <c r="G1099" s="291">
        <v>38.5</v>
      </c>
      <c r="H1099" s="323">
        <v>2</v>
      </c>
      <c r="I1099" s="293">
        <v>137</v>
      </c>
      <c r="J1099" s="414" t="s">
        <v>519</v>
      </c>
      <c r="K1099" s="50"/>
      <c r="L1099" s="441" t="str">
        <f t="shared" si="217"/>
        <v>137drained weight grams</v>
      </c>
      <c r="M1099" s="442">
        <f t="shared" si="218"/>
        <v>274</v>
      </c>
      <c r="N1099" s="443" t="str">
        <f t="shared" si="219"/>
        <v>274drained weight grams</v>
      </c>
      <c r="O1099" s="444">
        <f t="shared" si="220"/>
        <v>77</v>
      </c>
      <c r="P1099" s="12"/>
      <c r="Q1099" s="12"/>
      <c r="R1099" s="12"/>
      <c r="S1099" s="151"/>
      <c r="T1099" s="12"/>
      <c r="U1099" s="12"/>
      <c r="V1099" s="12"/>
      <c r="W1099" s="12"/>
      <c r="X1099" s="12"/>
      <c r="Y1099" s="12"/>
      <c r="Z1099" s="12"/>
    </row>
    <row r="1100" spans="1:26" ht="15.75" customHeight="1" x14ac:dyDescent="0.3">
      <c r="A1100" s="45">
        <v>22</v>
      </c>
      <c r="B1100" s="46" t="s">
        <v>723</v>
      </c>
      <c r="C1100" s="194" t="s">
        <v>29</v>
      </c>
      <c r="D1100" s="46"/>
      <c r="E1100" s="46" t="s">
        <v>1241</v>
      </c>
      <c r="F1100" s="61" t="s">
        <v>31</v>
      </c>
      <c r="G1100" s="288">
        <v>16.2</v>
      </c>
      <c r="H1100" s="289">
        <v>5</v>
      </c>
      <c r="I1100" s="290">
        <v>112</v>
      </c>
      <c r="J1100" s="48" t="s">
        <v>39</v>
      </c>
      <c r="K1100" s="61" t="s">
        <v>2019</v>
      </c>
      <c r="L1100" s="415" t="str">
        <f t="shared" si="217"/>
        <v>112grams</v>
      </c>
      <c r="M1100" s="416">
        <f t="shared" si="218"/>
        <v>560</v>
      </c>
      <c r="N1100" s="417" t="str">
        <f t="shared" si="219"/>
        <v>560grams</v>
      </c>
      <c r="O1100" s="418">
        <f t="shared" si="220"/>
        <v>81</v>
      </c>
      <c r="P1100" s="419">
        <f>O1100/H1100</f>
        <v>16.2</v>
      </c>
      <c r="Q1100" s="66"/>
      <c r="R1100" s="32"/>
      <c r="S1100" s="32"/>
      <c r="T1100" s="32"/>
      <c r="U1100" s="32"/>
      <c r="V1100" s="32"/>
      <c r="W1100" s="32"/>
      <c r="X1100" s="32"/>
      <c r="Y1100" s="32"/>
      <c r="Z1100" s="32"/>
    </row>
    <row r="1101" spans="1:26" ht="15.75" customHeight="1" x14ac:dyDescent="0.3">
      <c r="A1101" s="45"/>
      <c r="B1101" s="46" t="s">
        <v>723</v>
      </c>
      <c r="C1101" s="194" t="s">
        <v>2023</v>
      </c>
      <c r="D1101" s="46"/>
      <c r="E1101" s="46" t="s">
        <v>1241</v>
      </c>
      <c r="F1101" s="61" t="s">
        <v>31</v>
      </c>
      <c r="G1101" s="288">
        <v>29.2</v>
      </c>
      <c r="H1101" s="289">
        <v>12</v>
      </c>
      <c r="I1101" s="290">
        <v>112</v>
      </c>
      <c r="J1101" s="445" t="s">
        <v>519</v>
      </c>
      <c r="K1101" s="50"/>
      <c r="L1101" s="441" t="str">
        <f t="shared" si="217"/>
        <v>112drained weight grams</v>
      </c>
      <c r="M1101" s="442">
        <f t="shared" si="218"/>
        <v>1344</v>
      </c>
      <c r="N1101" s="443" t="str">
        <f t="shared" si="219"/>
        <v>1344drained weight grams</v>
      </c>
      <c r="O1101" s="444">
        <f t="shared" si="220"/>
        <v>350.4</v>
      </c>
      <c r="P1101" s="12"/>
      <c r="Q1101" s="12"/>
      <c r="R1101" s="12"/>
      <c r="S1101" s="151"/>
      <c r="T1101" s="12"/>
      <c r="U1101" s="12"/>
      <c r="V1101" s="12"/>
      <c r="W1101" s="12"/>
      <c r="X1101" s="12"/>
      <c r="Y1101" s="12"/>
      <c r="Z1101" s="12"/>
    </row>
    <row r="1102" spans="1:26" ht="15.75" customHeight="1" x14ac:dyDescent="0.3">
      <c r="A1102" s="45"/>
      <c r="B1102" s="46" t="s">
        <v>723</v>
      </c>
      <c r="C1102" s="194" t="s">
        <v>2022</v>
      </c>
      <c r="D1102" s="46"/>
      <c r="E1102" s="46" t="s">
        <v>1241</v>
      </c>
      <c r="F1102" s="61" t="s">
        <v>31</v>
      </c>
      <c r="G1102" s="288">
        <v>78</v>
      </c>
      <c r="H1102" s="289">
        <v>4</v>
      </c>
      <c r="I1102" s="290">
        <v>257</v>
      </c>
      <c r="J1102" s="48" t="s">
        <v>39</v>
      </c>
      <c r="K1102" s="50"/>
      <c r="L1102" s="53" t="str">
        <f t="shared" si="217"/>
        <v>257grams</v>
      </c>
      <c r="M1102" s="54">
        <f t="shared" si="218"/>
        <v>1028</v>
      </c>
      <c r="N1102" s="55" t="str">
        <f t="shared" si="219"/>
        <v>1028grams</v>
      </c>
      <c r="O1102" s="56">
        <f t="shared" si="220"/>
        <v>312</v>
      </c>
      <c r="P1102" s="12"/>
      <c r="Q1102" s="12"/>
      <c r="R1102" s="12"/>
      <c r="S1102" s="151"/>
      <c r="T1102" s="12"/>
      <c r="U1102" s="12"/>
      <c r="V1102" s="12"/>
      <c r="W1102" s="12"/>
      <c r="X1102" s="12"/>
      <c r="Y1102" s="12"/>
      <c r="Z1102" s="12"/>
    </row>
    <row r="1103" spans="1:26" ht="15.75" customHeight="1" x14ac:dyDescent="0.3">
      <c r="A1103" s="45"/>
      <c r="B1103" s="219" t="s">
        <v>723</v>
      </c>
      <c r="C1103" s="194" t="s">
        <v>2021</v>
      </c>
      <c r="D1103" s="46"/>
      <c r="E1103" s="219" t="s">
        <v>1241</v>
      </c>
      <c r="F1103" s="61" t="s">
        <v>31</v>
      </c>
      <c r="G1103" s="291">
        <v>40.5</v>
      </c>
      <c r="H1103" s="323">
        <v>1</v>
      </c>
      <c r="I1103" s="293">
        <v>137</v>
      </c>
      <c r="J1103" s="445" t="s">
        <v>519</v>
      </c>
      <c r="K1103" s="50"/>
      <c r="L1103" s="441" t="str">
        <f t="shared" si="217"/>
        <v>137drained weight grams</v>
      </c>
      <c r="M1103" s="442">
        <f t="shared" si="218"/>
        <v>137</v>
      </c>
      <c r="N1103" s="443" t="str">
        <f t="shared" si="219"/>
        <v>137drained weight grams</v>
      </c>
      <c r="O1103" s="444">
        <f t="shared" si="220"/>
        <v>40.5</v>
      </c>
      <c r="P1103" s="12"/>
      <c r="Q1103" s="12"/>
      <c r="R1103" s="12"/>
      <c r="S1103" s="151"/>
      <c r="T1103" s="12"/>
      <c r="U1103" s="12"/>
      <c r="V1103" s="12"/>
      <c r="W1103" s="12"/>
      <c r="X1103" s="12"/>
      <c r="Y1103" s="12"/>
      <c r="Z1103" s="12"/>
    </row>
    <row r="1104" spans="1:26" ht="15.75" customHeight="1" x14ac:dyDescent="0.3">
      <c r="A1104" s="45">
        <v>347</v>
      </c>
      <c r="B1104" s="46" t="s">
        <v>1541</v>
      </c>
      <c r="C1104" s="194" t="s">
        <v>2025</v>
      </c>
      <c r="D1104" s="46"/>
      <c r="E1104" s="46" t="s">
        <v>1372</v>
      </c>
      <c r="F1104" s="61" t="s">
        <v>31</v>
      </c>
      <c r="G1104" s="288">
        <v>160</v>
      </c>
      <c r="H1104" s="289">
        <v>1</v>
      </c>
      <c r="I1104" s="290">
        <v>1</v>
      </c>
      <c r="J1104" s="48" t="s">
        <v>773</v>
      </c>
      <c r="K1104" s="50"/>
      <c r="L1104" s="53" t="str">
        <f t="shared" si="217"/>
        <v>1liters</v>
      </c>
      <c r="M1104" s="54">
        <f t="shared" si="218"/>
        <v>1</v>
      </c>
      <c r="N1104" s="55" t="str">
        <f t="shared" si="219"/>
        <v>1liters</v>
      </c>
      <c r="O1104" s="56">
        <f t="shared" si="220"/>
        <v>160</v>
      </c>
      <c r="P1104" s="44">
        <f t="shared" ref="P1104:P1107" si="232">O1104/H1104</f>
        <v>160</v>
      </c>
      <c r="Q1104" s="66"/>
      <c r="R1104" s="32"/>
      <c r="S1104" s="32"/>
      <c r="T1104" s="32"/>
      <c r="U1104" s="32"/>
      <c r="V1104" s="32"/>
      <c r="W1104" s="32"/>
      <c r="X1104" s="32"/>
      <c r="Y1104" s="32"/>
      <c r="Z1104" s="32"/>
    </row>
    <row r="1105" spans="1:26" ht="15.75" customHeight="1" x14ac:dyDescent="0.3">
      <c r="A1105" s="45">
        <v>157</v>
      </c>
      <c r="B1105" s="46" t="s">
        <v>296</v>
      </c>
      <c r="C1105" s="194" t="s">
        <v>2024</v>
      </c>
      <c r="D1105" s="46"/>
      <c r="E1105" s="46"/>
      <c r="F1105" s="61" t="s">
        <v>31</v>
      </c>
      <c r="G1105" s="288">
        <v>700</v>
      </c>
      <c r="H1105" s="289">
        <v>3</v>
      </c>
      <c r="I1105" s="290">
        <v>1</v>
      </c>
      <c r="J1105" s="48" t="s">
        <v>213</v>
      </c>
      <c r="K1105" s="50"/>
      <c r="L1105" s="53" t="str">
        <f t="shared" si="217"/>
        <v>1kilos</v>
      </c>
      <c r="M1105" s="54">
        <f t="shared" si="218"/>
        <v>3</v>
      </c>
      <c r="N1105" s="55" t="str">
        <f t="shared" si="219"/>
        <v>3kilos</v>
      </c>
      <c r="O1105" s="56">
        <f t="shared" si="220"/>
        <v>2100</v>
      </c>
      <c r="P1105" s="44">
        <f t="shared" si="232"/>
        <v>700</v>
      </c>
      <c r="Q1105" s="66"/>
      <c r="R1105" s="32" t="b">
        <f t="shared" ref="R1105:R1107" si="233">P1105=G1105</f>
        <v>1</v>
      </c>
      <c r="S1105" s="32"/>
      <c r="T1105" s="32"/>
      <c r="U1105" s="32"/>
      <c r="V1105" s="32"/>
      <c r="W1105" s="32"/>
      <c r="X1105" s="32"/>
      <c r="Y1105" s="32"/>
      <c r="Z1105" s="32"/>
    </row>
    <row r="1106" spans="1:26" ht="15.75" customHeight="1" x14ac:dyDescent="0.3">
      <c r="A1106" s="45">
        <v>471</v>
      </c>
      <c r="B1106" s="46" t="s">
        <v>296</v>
      </c>
      <c r="C1106" s="194" t="s">
        <v>2025</v>
      </c>
      <c r="D1106" s="46"/>
      <c r="E1106" s="46"/>
      <c r="F1106" s="61" t="s">
        <v>31</v>
      </c>
      <c r="G1106" s="288">
        <v>600</v>
      </c>
      <c r="H1106" s="289">
        <v>2</v>
      </c>
      <c r="I1106" s="290">
        <v>1</v>
      </c>
      <c r="J1106" s="48" t="s">
        <v>213</v>
      </c>
      <c r="K1106" s="50"/>
      <c r="L1106" s="53" t="str">
        <f t="shared" si="217"/>
        <v>1kilos</v>
      </c>
      <c r="M1106" s="54">
        <f t="shared" si="218"/>
        <v>2</v>
      </c>
      <c r="N1106" s="55" t="str">
        <f t="shared" si="219"/>
        <v>2kilos</v>
      </c>
      <c r="O1106" s="56">
        <f t="shared" si="220"/>
        <v>1200</v>
      </c>
      <c r="P1106" s="44">
        <f t="shared" si="232"/>
        <v>600</v>
      </c>
      <c r="Q1106" s="66"/>
      <c r="R1106" s="32" t="b">
        <f t="shared" si="233"/>
        <v>1</v>
      </c>
      <c r="S1106" s="32"/>
      <c r="T1106" s="32"/>
      <c r="U1106" s="32"/>
      <c r="V1106" s="32"/>
      <c r="W1106" s="32"/>
      <c r="X1106" s="32"/>
      <c r="Y1106" s="32"/>
      <c r="Z1106" s="32"/>
    </row>
    <row r="1107" spans="1:26" ht="15.75" customHeight="1" x14ac:dyDescent="0.3">
      <c r="A1107" s="45">
        <v>756</v>
      </c>
      <c r="B1107" s="46" t="s">
        <v>296</v>
      </c>
      <c r="C1107" s="194" t="s">
        <v>2026</v>
      </c>
      <c r="D1107" s="46"/>
      <c r="E1107" s="46"/>
      <c r="F1107" s="61" t="s">
        <v>31</v>
      </c>
      <c r="G1107" s="288">
        <v>700</v>
      </c>
      <c r="H1107" s="289">
        <v>1</v>
      </c>
      <c r="I1107" s="290">
        <v>1</v>
      </c>
      <c r="J1107" s="48" t="s">
        <v>213</v>
      </c>
      <c r="K1107" s="50"/>
      <c r="L1107" s="53" t="str">
        <f t="shared" si="217"/>
        <v>1kilos</v>
      </c>
      <c r="M1107" s="54">
        <f t="shared" si="218"/>
        <v>1</v>
      </c>
      <c r="N1107" s="55" t="str">
        <f t="shared" si="219"/>
        <v>1kilos</v>
      </c>
      <c r="O1107" s="56">
        <f t="shared" si="220"/>
        <v>700</v>
      </c>
      <c r="P1107" s="44">
        <f t="shared" si="232"/>
        <v>700</v>
      </c>
      <c r="Q1107" s="66"/>
      <c r="R1107" s="32" t="b">
        <f t="shared" si="233"/>
        <v>1</v>
      </c>
      <c r="S1107" s="32"/>
      <c r="T1107" s="32"/>
      <c r="U1107" s="32"/>
      <c r="V1107" s="32"/>
      <c r="W1107" s="32"/>
      <c r="X1107" s="32"/>
      <c r="Y1107" s="32"/>
      <c r="Z1107" s="32"/>
    </row>
    <row r="1108" spans="1:26" ht="15.75" customHeight="1" x14ac:dyDescent="0.3">
      <c r="A1108" s="45"/>
      <c r="B1108" s="46" t="s">
        <v>1542</v>
      </c>
      <c r="C1108" s="194" t="s">
        <v>2022</v>
      </c>
      <c r="D1108" s="46"/>
      <c r="E1108" s="46" t="s">
        <v>1543</v>
      </c>
      <c r="F1108" s="61" t="s">
        <v>31</v>
      </c>
      <c r="G1108" s="288">
        <v>148</v>
      </c>
      <c r="H1108" s="289">
        <v>2</v>
      </c>
      <c r="I1108" s="290">
        <v>400</v>
      </c>
      <c r="J1108" s="48" t="s">
        <v>39</v>
      </c>
      <c r="K1108" s="50"/>
      <c r="L1108" s="53" t="str">
        <f t="shared" si="217"/>
        <v>400grams</v>
      </c>
      <c r="M1108" s="54">
        <f t="shared" si="218"/>
        <v>800</v>
      </c>
      <c r="N1108" s="55" t="str">
        <f t="shared" si="219"/>
        <v>800grams</v>
      </c>
      <c r="O1108" s="56">
        <f t="shared" si="220"/>
        <v>296</v>
      </c>
      <c r="P1108" s="12"/>
      <c r="Q1108" s="12"/>
      <c r="R1108" s="12"/>
      <c r="S1108" s="151"/>
      <c r="T1108" s="12"/>
      <c r="U1108" s="12"/>
      <c r="V1108" s="12"/>
      <c r="W1108" s="12"/>
      <c r="X1108" s="12"/>
      <c r="Y1108" s="12"/>
      <c r="Z1108" s="12"/>
    </row>
    <row r="1109" spans="1:26" ht="15.75" customHeight="1" x14ac:dyDescent="0.3">
      <c r="A1109" s="45">
        <v>904</v>
      </c>
      <c r="B1109" s="46" t="s">
        <v>1544</v>
      </c>
      <c r="C1109" s="194" t="s">
        <v>1368</v>
      </c>
      <c r="D1109" s="46"/>
      <c r="E1109" s="46"/>
      <c r="F1109" s="61" t="s">
        <v>31</v>
      </c>
      <c r="G1109" s="288">
        <v>180</v>
      </c>
      <c r="H1109" s="289">
        <v>1</v>
      </c>
      <c r="I1109" s="290">
        <v>1</v>
      </c>
      <c r="J1109" s="48" t="s">
        <v>213</v>
      </c>
      <c r="K1109" s="50"/>
      <c r="L1109" s="53" t="str">
        <f t="shared" si="217"/>
        <v>1kilos</v>
      </c>
      <c r="M1109" s="54">
        <f t="shared" si="218"/>
        <v>1</v>
      </c>
      <c r="N1109" s="55" t="str">
        <f t="shared" si="219"/>
        <v>1kilos</v>
      </c>
      <c r="O1109" s="56">
        <f t="shared" si="220"/>
        <v>180</v>
      </c>
      <c r="P1109" s="44"/>
      <c r="Q1109" s="66"/>
      <c r="R1109" s="32"/>
      <c r="S1109" s="32"/>
      <c r="T1109" s="32"/>
      <c r="U1109" s="32"/>
      <c r="V1109" s="32"/>
      <c r="W1109" s="32"/>
      <c r="X1109" s="32"/>
      <c r="Y1109" s="32"/>
      <c r="Z1109" s="32"/>
    </row>
    <row r="1110" spans="1:26" ht="15.75" customHeight="1" x14ac:dyDescent="0.3">
      <c r="A1110" s="45">
        <v>78</v>
      </c>
      <c r="B1110" s="219" t="s">
        <v>1545</v>
      </c>
      <c r="C1110" s="194" t="s">
        <v>29</v>
      </c>
      <c r="D1110" s="46"/>
      <c r="E1110" s="46"/>
      <c r="F1110" s="61" t="s">
        <v>31</v>
      </c>
      <c r="G1110" s="288">
        <v>100</v>
      </c>
      <c r="H1110" s="289">
        <v>1</v>
      </c>
      <c r="I1110" s="290">
        <v>1</v>
      </c>
      <c r="J1110" s="48" t="s">
        <v>213</v>
      </c>
      <c r="K1110" s="61" t="s">
        <v>2019</v>
      </c>
      <c r="L1110" s="415" t="str">
        <f t="shared" si="217"/>
        <v>1kilos</v>
      </c>
      <c r="M1110" s="416">
        <f t="shared" si="218"/>
        <v>1</v>
      </c>
      <c r="N1110" s="417" t="str">
        <f t="shared" si="219"/>
        <v>1kilos</v>
      </c>
      <c r="O1110" s="418">
        <f t="shared" si="220"/>
        <v>100</v>
      </c>
      <c r="P1110" s="419">
        <f t="shared" ref="P1110:P1111" si="234">O1110/H1110</f>
        <v>100</v>
      </c>
      <c r="Q1110" s="66"/>
      <c r="R1110" s="32" t="b">
        <f>P1110=G1110</f>
        <v>1</v>
      </c>
      <c r="S1110" s="32"/>
      <c r="T1110" s="32"/>
      <c r="U1110" s="32"/>
      <c r="V1110" s="32"/>
      <c r="W1110" s="32"/>
      <c r="X1110" s="32"/>
      <c r="Y1110" s="32"/>
      <c r="Z1110" s="32"/>
    </row>
    <row r="1111" spans="1:26" ht="15.75" customHeight="1" x14ac:dyDescent="0.3">
      <c r="A1111" s="45">
        <v>670</v>
      </c>
      <c r="B1111" s="46" t="s">
        <v>1545</v>
      </c>
      <c r="C1111" s="194" t="s">
        <v>2026</v>
      </c>
      <c r="D1111" s="46"/>
      <c r="E1111" s="46" t="s">
        <v>216</v>
      </c>
      <c r="F1111" s="61" t="s">
        <v>31</v>
      </c>
      <c r="G1111" s="288">
        <v>80</v>
      </c>
      <c r="H1111" s="289">
        <v>1</v>
      </c>
      <c r="I1111" s="290">
        <v>1</v>
      </c>
      <c r="J1111" s="48" t="s">
        <v>213</v>
      </c>
      <c r="K1111" s="50"/>
      <c r="L1111" s="53" t="str">
        <f t="shared" si="217"/>
        <v>1kilos</v>
      </c>
      <c r="M1111" s="54">
        <f t="shared" si="218"/>
        <v>1</v>
      </c>
      <c r="N1111" s="55" t="str">
        <f t="shared" si="219"/>
        <v>1kilos</v>
      </c>
      <c r="O1111" s="56">
        <f t="shared" si="220"/>
        <v>80</v>
      </c>
      <c r="P1111" s="44">
        <f t="shared" si="234"/>
        <v>80</v>
      </c>
      <c r="Q1111" s="66"/>
      <c r="R1111" s="32"/>
      <c r="S1111" s="32"/>
      <c r="T1111" s="32"/>
      <c r="U1111" s="32"/>
      <c r="V1111" s="32"/>
      <c r="W1111" s="32"/>
      <c r="X1111" s="32"/>
      <c r="Y1111" s="32"/>
      <c r="Z1111" s="32"/>
    </row>
    <row r="1112" spans="1:26" ht="15.75" customHeight="1" x14ac:dyDescent="0.3">
      <c r="A1112" s="45"/>
      <c r="B1112" s="46" t="s">
        <v>1546</v>
      </c>
      <c r="C1112" s="194" t="s">
        <v>2022</v>
      </c>
      <c r="D1112" s="46"/>
      <c r="E1112" s="219" t="s">
        <v>854</v>
      </c>
      <c r="F1112" s="61" t="s">
        <v>31</v>
      </c>
      <c r="G1112" s="288">
        <v>72</v>
      </c>
      <c r="H1112" s="289">
        <v>1</v>
      </c>
      <c r="I1112" s="290">
        <v>14</v>
      </c>
      <c r="J1112" s="48" t="s">
        <v>39</v>
      </c>
      <c r="K1112" s="50"/>
      <c r="L1112" s="53" t="str">
        <f t="shared" si="217"/>
        <v>14grams</v>
      </c>
      <c r="M1112" s="54">
        <f t="shared" si="218"/>
        <v>14</v>
      </c>
      <c r="N1112" s="55" t="str">
        <f t="shared" si="219"/>
        <v>14grams</v>
      </c>
      <c r="O1112" s="56">
        <f t="shared" si="220"/>
        <v>72</v>
      </c>
      <c r="P1112" s="12"/>
      <c r="Q1112" s="12"/>
      <c r="R1112" s="12"/>
      <c r="S1112" s="151"/>
      <c r="T1112" s="12"/>
      <c r="U1112" s="12"/>
      <c r="V1112" s="12"/>
      <c r="W1112" s="12"/>
      <c r="X1112" s="12"/>
      <c r="Y1112" s="12"/>
      <c r="Z1112" s="12"/>
    </row>
    <row r="1113" spans="1:26" ht="15.75" customHeight="1" x14ac:dyDescent="0.3">
      <c r="A1113" s="45"/>
      <c r="B1113" s="46" t="s">
        <v>1547</v>
      </c>
      <c r="C1113" s="194" t="s">
        <v>2022</v>
      </c>
      <c r="D1113" s="46"/>
      <c r="E1113" s="46" t="s">
        <v>1548</v>
      </c>
      <c r="F1113" s="61" t="s">
        <v>31</v>
      </c>
      <c r="G1113" s="288">
        <v>264</v>
      </c>
      <c r="H1113" s="289">
        <v>1</v>
      </c>
      <c r="I1113" s="290">
        <v>100</v>
      </c>
      <c r="J1113" s="48" t="s">
        <v>92</v>
      </c>
      <c r="K1113" s="50"/>
      <c r="L1113" s="53" t="str">
        <f t="shared" si="217"/>
        <v>100pieces</v>
      </c>
      <c r="M1113" s="54">
        <f t="shared" si="218"/>
        <v>100</v>
      </c>
      <c r="N1113" s="55" t="str">
        <f t="shared" si="219"/>
        <v>100pieces</v>
      </c>
      <c r="O1113" s="56">
        <f t="shared" si="220"/>
        <v>264</v>
      </c>
      <c r="P1113" s="12"/>
      <c r="Q1113" s="12"/>
      <c r="R1113" s="12"/>
      <c r="S1113" s="32" t="e">
        <f t="array" aca="1" ref="S1113:S1132" ca="1">_xludf.UNIQUE(J1121:J3024)</f>
        <v>#NAME?</v>
      </c>
      <c r="T1113" s="12"/>
      <c r="U1113" s="12"/>
      <c r="V1113" s="12"/>
      <c r="W1113" s="12"/>
      <c r="X1113" s="12"/>
      <c r="Y1113" s="12"/>
      <c r="Z1113" s="12"/>
    </row>
    <row r="1114" spans="1:26" ht="15.75" customHeight="1" x14ac:dyDescent="0.3">
      <c r="A1114" s="45"/>
      <c r="B1114" s="46" t="s">
        <v>1547</v>
      </c>
      <c r="C1114" s="194" t="s">
        <v>2023</v>
      </c>
      <c r="D1114" s="46"/>
      <c r="E1114" s="46" t="s">
        <v>1549</v>
      </c>
      <c r="F1114" s="61" t="s">
        <v>31</v>
      </c>
      <c r="G1114" s="288">
        <v>100</v>
      </c>
      <c r="H1114" s="289">
        <v>8</v>
      </c>
      <c r="I1114" s="290">
        <v>50</v>
      </c>
      <c r="J1114" s="48" t="s">
        <v>92</v>
      </c>
      <c r="K1114" s="50"/>
      <c r="L1114" s="53" t="str">
        <f t="shared" si="217"/>
        <v>50pieces</v>
      </c>
      <c r="M1114" s="54">
        <f t="shared" si="218"/>
        <v>400</v>
      </c>
      <c r="N1114" s="55" t="str">
        <f t="shared" si="219"/>
        <v>400pieces</v>
      </c>
      <c r="O1114" s="56">
        <f t="shared" si="220"/>
        <v>800</v>
      </c>
      <c r="P1114" s="12"/>
      <c r="Q1114" s="12"/>
      <c r="R1114" s="12"/>
      <c r="S1114" s="151" t="e">
        <f ca="1"/>
        <v>#NAME?</v>
      </c>
      <c r="T1114" s="12"/>
      <c r="U1114" s="12"/>
      <c r="V1114" s="12"/>
      <c r="W1114" s="12"/>
      <c r="X1114" s="12"/>
      <c r="Y1114" s="12"/>
      <c r="Z1114" s="12"/>
    </row>
    <row r="1115" spans="1:26" ht="15.75" customHeight="1" x14ac:dyDescent="0.3">
      <c r="A1115" s="45">
        <v>385</v>
      </c>
      <c r="B1115" s="219" t="s">
        <v>1550</v>
      </c>
      <c r="C1115" s="194" t="s">
        <v>2025</v>
      </c>
      <c r="D1115" s="46"/>
      <c r="E1115" s="46" t="s">
        <v>1551</v>
      </c>
      <c r="F1115" s="61" t="s">
        <v>31</v>
      </c>
      <c r="G1115" s="288">
        <v>12</v>
      </c>
      <c r="H1115" s="289">
        <v>2</v>
      </c>
      <c r="I1115" s="290">
        <v>100</v>
      </c>
      <c r="J1115" s="48" t="s">
        <v>92</v>
      </c>
      <c r="K1115" s="50"/>
      <c r="L1115" s="53" t="str">
        <f t="shared" si="217"/>
        <v>100pieces</v>
      </c>
      <c r="M1115" s="54">
        <f t="shared" si="218"/>
        <v>200</v>
      </c>
      <c r="N1115" s="55" t="str">
        <f t="shared" si="219"/>
        <v>200pieces</v>
      </c>
      <c r="O1115" s="56">
        <f t="shared" si="220"/>
        <v>24</v>
      </c>
      <c r="P1115" s="44">
        <f>O1115/H1115</f>
        <v>12</v>
      </c>
      <c r="Q1115" s="66"/>
      <c r="R1115" s="32" t="b">
        <f>P1115=G1115</f>
        <v>1</v>
      </c>
      <c r="S1115" s="32" t="e">
        <f ca="1"/>
        <v>#NAME?</v>
      </c>
      <c r="T1115" s="32"/>
      <c r="U1115" s="32"/>
      <c r="V1115" s="32"/>
      <c r="W1115" s="32"/>
      <c r="X1115" s="32"/>
      <c r="Y1115" s="32"/>
      <c r="Z1115" s="32"/>
    </row>
    <row r="1116" spans="1:26" ht="15.75" customHeight="1" x14ac:dyDescent="0.3">
      <c r="A1116" s="45"/>
      <c r="B1116" s="46" t="s">
        <v>1550</v>
      </c>
      <c r="C1116" s="194" t="s">
        <v>2023</v>
      </c>
      <c r="D1116" s="46"/>
      <c r="E1116" s="46" t="s">
        <v>1551</v>
      </c>
      <c r="F1116" s="61" t="s">
        <v>31</v>
      </c>
      <c r="G1116" s="288">
        <v>92.7</v>
      </c>
      <c r="H1116" s="289">
        <v>2</v>
      </c>
      <c r="I1116" s="290">
        <v>1</v>
      </c>
      <c r="J1116" s="48" t="s">
        <v>304</v>
      </c>
      <c r="K1116" s="50"/>
      <c r="L1116" s="53" t="str">
        <f t="shared" si="217"/>
        <v>1packs</v>
      </c>
      <c r="M1116" s="54">
        <f t="shared" si="218"/>
        <v>2</v>
      </c>
      <c r="N1116" s="55" t="str">
        <f t="shared" si="219"/>
        <v>2packs</v>
      </c>
      <c r="O1116" s="56">
        <f t="shared" si="220"/>
        <v>185.4</v>
      </c>
      <c r="P1116" s="44"/>
      <c r="Q1116" s="12"/>
      <c r="R1116" s="12"/>
      <c r="S1116" s="151" t="e">
        <f ca="1"/>
        <v>#NAME?</v>
      </c>
      <c r="T1116" s="12"/>
      <c r="U1116" s="12"/>
      <c r="V1116" s="12"/>
      <c r="W1116" s="12"/>
      <c r="X1116" s="12"/>
      <c r="Y1116" s="12"/>
      <c r="Z1116" s="12"/>
    </row>
    <row r="1117" spans="1:26" ht="15.75" customHeight="1" x14ac:dyDescent="0.3">
      <c r="A1117" s="45"/>
      <c r="B1117" s="46" t="s">
        <v>1550</v>
      </c>
      <c r="C1117" s="194" t="s">
        <v>2020</v>
      </c>
      <c r="D1117" s="46"/>
      <c r="E1117" s="46" t="s">
        <v>1552</v>
      </c>
      <c r="F1117" s="61" t="s">
        <v>31</v>
      </c>
      <c r="G1117" s="288">
        <v>9.02</v>
      </c>
      <c r="H1117" s="289">
        <v>32</v>
      </c>
      <c r="I1117" s="290">
        <v>1</v>
      </c>
      <c r="J1117" s="48" t="s">
        <v>304</v>
      </c>
      <c r="K1117" s="50"/>
      <c r="L1117" s="53" t="str">
        <f t="shared" si="217"/>
        <v>1packs</v>
      </c>
      <c r="M1117" s="54">
        <f t="shared" si="218"/>
        <v>32</v>
      </c>
      <c r="N1117" s="55" t="str">
        <f t="shared" si="219"/>
        <v>32packs</v>
      </c>
      <c r="O1117" s="56">
        <f t="shared" si="220"/>
        <v>288.64</v>
      </c>
      <c r="P1117" s="12"/>
      <c r="Q1117" s="12"/>
      <c r="R1117" s="12"/>
      <c r="S1117" s="151" t="e">
        <f ca="1"/>
        <v>#NAME?</v>
      </c>
      <c r="T1117" s="12"/>
      <c r="U1117" s="12"/>
      <c r="V1117" s="12"/>
      <c r="W1117" s="12"/>
      <c r="X1117" s="12"/>
      <c r="Y1117" s="12"/>
      <c r="Z1117" s="12"/>
    </row>
    <row r="1118" spans="1:26" ht="15.75" customHeight="1" x14ac:dyDescent="0.3">
      <c r="A1118" s="45"/>
      <c r="B1118" s="219" t="s">
        <v>1553</v>
      </c>
      <c r="C1118" s="194" t="s">
        <v>2021</v>
      </c>
      <c r="D1118" s="46"/>
      <c r="E1118" s="219" t="s">
        <v>1554</v>
      </c>
      <c r="F1118" s="61" t="s">
        <v>31</v>
      </c>
      <c r="G1118" s="291">
        <v>30</v>
      </c>
      <c r="H1118" s="292">
        <v>50</v>
      </c>
      <c r="I1118" s="293">
        <v>1</v>
      </c>
      <c r="J1118" s="414" t="s">
        <v>92</v>
      </c>
      <c r="K1118" s="50"/>
      <c r="L1118" s="53" t="str">
        <f t="shared" si="217"/>
        <v>1pieces</v>
      </c>
      <c r="M1118" s="54">
        <f t="shared" si="218"/>
        <v>50</v>
      </c>
      <c r="N1118" s="55" t="str">
        <f t="shared" si="219"/>
        <v>50pieces</v>
      </c>
      <c r="O1118" s="56">
        <f t="shared" si="220"/>
        <v>1500</v>
      </c>
      <c r="P1118" s="12"/>
      <c r="Q1118" s="12"/>
      <c r="R1118" s="12"/>
      <c r="S1118" s="151" t="e">
        <f ca="1"/>
        <v>#NAME?</v>
      </c>
      <c r="T1118" s="12"/>
      <c r="U1118" s="12"/>
      <c r="V1118" s="12"/>
      <c r="W1118" s="12"/>
      <c r="X1118" s="12"/>
      <c r="Y1118" s="12"/>
      <c r="Z1118" s="12"/>
    </row>
    <row r="1119" spans="1:26" ht="15.75" customHeight="1" x14ac:dyDescent="0.3">
      <c r="A1119" s="45">
        <v>454</v>
      </c>
      <c r="B1119" s="46" t="s">
        <v>1555</v>
      </c>
      <c r="C1119" s="194" t="s">
        <v>2025</v>
      </c>
      <c r="D1119" s="46"/>
      <c r="E1119" s="46"/>
      <c r="F1119" s="61" t="s">
        <v>31</v>
      </c>
      <c r="G1119" s="288">
        <v>220</v>
      </c>
      <c r="H1119" s="289">
        <v>14</v>
      </c>
      <c r="I1119" s="290">
        <v>1</v>
      </c>
      <c r="J1119" s="48" t="s">
        <v>213</v>
      </c>
      <c r="K1119" s="50"/>
      <c r="L1119" s="53" t="str">
        <f t="shared" si="217"/>
        <v>1kilos</v>
      </c>
      <c r="M1119" s="54">
        <f t="shared" si="218"/>
        <v>14</v>
      </c>
      <c r="N1119" s="55" t="str">
        <f t="shared" si="219"/>
        <v>14kilos</v>
      </c>
      <c r="O1119" s="56">
        <f t="shared" si="220"/>
        <v>3080</v>
      </c>
      <c r="P1119" s="44">
        <f t="shared" ref="P1119:P1122" si="235">O1119/H1119</f>
        <v>220</v>
      </c>
      <c r="Q1119" s="66"/>
      <c r="R1119" s="32" t="b">
        <f t="shared" ref="R1119:R1121" si="236">P1119=G1119</f>
        <v>1</v>
      </c>
      <c r="S1119" s="32" t="e">
        <f ca="1"/>
        <v>#NAME?</v>
      </c>
      <c r="T1119" s="32"/>
      <c r="U1119" s="32"/>
      <c r="V1119" s="32"/>
      <c r="W1119" s="32"/>
      <c r="X1119" s="32"/>
      <c r="Y1119" s="32"/>
      <c r="Z1119" s="32"/>
    </row>
    <row r="1120" spans="1:26" ht="15.75" customHeight="1" x14ac:dyDescent="0.3">
      <c r="A1120" s="45">
        <v>452</v>
      </c>
      <c r="B1120" s="46" t="s">
        <v>1556</v>
      </c>
      <c r="C1120" s="194" t="s">
        <v>2025</v>
      </c>
      <c r="D1120" s="46"/>
      <c r="E1120" s="46"/>
      <c r="F1120" s="61" t="s">
        <v>31</v>
      </c>
      <c r="G1120" s="288">
        <v>275</v>
      </c>
      <c r="H1120" s="289">
        <v>87</v>
      </c>
      <c r="I1120" s="290">
        <v>1</v>
      </c>
      <c r="J1120" s="48" t="s">
        <v>213</v>
      </c>
      <c r="K1120" s="50"/>
      <c r="L1120" s="53" t="str">
        <f t="shared" si="217"/>
        <v>1kilos</v>
      </c>
      <c r="M1120" s="54">
        <f t="shared" si="218"/>
        <v>87</v>
      </c>
      <c r="N1120" s="55" t="str">
        <f t="shared" si="219"/>
        <v>87kilos</v>
      </c>
      <c r="O1120" s="56">
        <f t="shared" si="220"/>
        <v>23925</v>
      </c>
      <c r="P1120" s="44">
        <f t="shared" si="235"/>
        <v>275</v>
      </c>
      <c r="Q1120" s="66"/>
      <c r="R1120" s="32" t="b">
        <f t="shared" si="236"/>
        <v>1</v>
      </c>
      <c r="S1120" s="32" t="e">
        <f ca="1"/>
        <v>#NAME?</v>
      </c>
      <c r="T1120" s="32"/>
      <c r="U1120" s="32"/>
      <c r="V1120" s="32"/>
      <c r="W1120" s="32"/>
      <c r="X1120" s="32"/>
      <c r="Y1120" s="32"/>
      <c r="Z1120" s="32"/>
    </row>
    <row r="1121" spans="1:26" ht="15.75" customHeight="1" x14ac:dyDescent="0.3">
      <c r="A1121" s="45">
        <v>453</v>
      </c>
      <c r="B1121" s="46" t="s">
        <v>1557</v>
      </c>
      <c r="C1121" s="194" t="s">
        <v>2025</v>
      </c>
      <c r="D1121" s="46"/>
      <c r="E1121" s="46"/>
      <c r="F1121" s="61" t="s">
        <v>31</v>
      </c>
      <c r="G1121" s="288">
        <v>289</v>
      </c>
      <c r="H1121" s="289">
        <v>11</v>
      </c>
      <c r="I1121" s="290">
        <v>1</v>
      </c>
      <c r="J1121" s="48" t="s">
        <v>213</v>
      </c>
      <c r="K1121" s="50"/>
      <c r="L1121" s="53" t="str">
        <f t="shared" si="217"/>
        <v>1kilos</v>
      </c>
      <c r="M1121" s="54">
        <f t="shared" si="218"/>
        <v>11</v>
      </c>
      <c r="N1121" s="55" t="str">
        <f t="shared" si="219"/>
        <v>11kilos</v>
      </c>
      <c r="O1121" s="56">
        <f t="shared" si="220"/>
        <v>3179</v>
      </c>
      <c r="P1121" s="44">
        <f t="shared" si="235"/>
        <v>289</v>
      </c>
      <c r="Q1121" s="66"/>
      <c r="R1121" s="32" t="b">
        <f t="shared" si="236"/>
        <v>1</v>
      </c>
      <c r="S1121" s="32" t="e">
        <f ca="1"/>
        <v>#NAME?</v>
      </c>
      <c r="T1121" s="32"/>
      <c r="U1121" s="32"/>
      <c r="V1121" s="32"/>
      <c r="W1121" s="32"/>
      <c r="X1121" s="32"/>
      <c r="Y1121" s="32"/>
      <c r="Z1121" s="32"/>
    </row>
    <row r="1122" spans="1:26" ht="15.75" customHeight="1" x14ac:dyDescent="0.3">
      <c r="A1122" s="45">
        <v>455</v>
      </c>
      <c r="B1122" s="46" t="s">
        <v>1558</v>
      </c>
      <c r="C1122" s="194" t="s">
        <v>2025</v>
      </c>
      <c r="D1122" s="46"/>
      <c r="E1122" s="46"/>
      <c r="F1122" s="61" t="s">
        <v>31</v>
      </c>
      <c r="G1122" s="288">
        <v>190</v>
      </c>
      <c r="H1122" s="289">
        <v>5</v>
      </c>
      <c r="I1122" s="290">
        <v>1</v>
      </c>
      <c r="J1122" s="48" t="s">
        <v>213</v>
      </c>
      <c r="K1122" s="50"/>
      <c r="L1122" s="53" t="str">
        <f t="shared" si="217"/>
        <v>1kilos</v>
      </c>
      <c r="M1122" s="54">
        <f t="shared" si="218"/>
        <v>5</v>
      </c>
      <c r="N1122" s="55" t="str">
        <f t="shared" si="219"/>
        <v>5kilos</v>
      </c>
      <c r="O1122" s="56">
        <f t="shared" si="220"/>
        <v>950</v>
      </c>
      <c r="P1122" s="44">
        <f t="shared" si="235"/>
        <v>190</v>
      </c>
      <c r="Q1122" s="66"/>
      <c r="R1122" s="32"/>
      <c r="S1122" s="32" t="e">
        <f ca="1"/>
        <v>#NAME?</v>
      </c>
      <c r="T1122" s="32"/>
      <c r="U1122" s="32"/>
      <c r="V1122" s="32"/>
      <c r="W1122" s="32"/>
      <c r="X1122" s="32"/>
      <c r="Y1122" s="32"/>
      <c r="Z1122" s="32"/>
    </row>
    <row r="1123" spans="1:26" ht="15.75" customHeight="1" x14ac:dyDescent="0.3">
      <c r="A1123" s="45"/>
      <c r="B1123" s="219" t="s">
        <v>1559</v>
      </c>
      <c r="C1123" s="194" t="s">
        <v>2022</v>
      </c>
      <c r="D1123" s="46"/>
      <c r="E1123" s="46"/>
      <c r="F1123" s="61" t="s">
        <v>31</v>
      </c>
      <c r="G1123" s="288">
        <v>320</v>
      </c>
      <c r="H1123" s="289">
        <v>5</v>
      </c>
      <c r="I1123" s="290">
        <v>1000</v>
      </c>
      <c r="J1123" s="48" t="s">
        <v>39</v>
      </c>
      <c r="K1123" s="50"/>
      <c r="L1123" s="53" t="str">
        <f t="shared" si="217"/>
        <v>1000grams</v>
      </c>
      <c r="M1123" s="54">
        <f t="shared" si="218"/>
        <v>5000</v>
      </c>
      <c r="N1123" s="55" t="str">
        <f t="shared" si="219"/>
        <v>5000grams</v>
      </c>
      <c r="O1123" s="56">
        <f t="shared" si="220"/>
        <v>1600</v>
      </c>
      <c r="P1123" s="12"/>
      <c r="Q1123" s="12"/>
      <c r="R1123" s="12"/>
      <c r="S1123" s="151" t="e">
        <f ca="1"/>
        <v>#NAME?</v>
      </c>
      <c r="T1123" s="12"/>
      <c r="U1123" s="12"/>
      <c r="V1123" s="12"/>
      <c r="W1123" s="12"/>
      <c r="X1123" s="12"/>
      <c r="Y1123" s="12"/>
      <c r="Z1123" s="12"/>
    </row>
    <row r="1124" spans="1:26" ht="15.75" customHeight="1" x14ac:dyDescent="0.3">
      <c r="A1124" s="45">
        <v>832</v>
      </c>
      <c r="B1124" s="219" t="s">
        <v>1559</v>
      </c>
      <c r="C1124" s="194" t="s">
        <v>1368</v>
      </c>
      <c r="D1124" s="46"/>
      <c r="E1124" s="46"/>
      <c r="F1124" s="61" t="s">
        <v>31</v>
      </c>
      <c r="G1124" s="288">
        <v>340</v>
      </c>
      <c r="H1124" s="289">
        <v>5</v>
      </c>
      <c r="I1124" s="290">
        <v>1000</v>
      </c>
      <c r="J1124" s="48" t="s">
        <v>39</v>
      </c>
      <c r="K1124" s="50"/>
      <c r="L1124" s="53" t="str">
        <f t="shared" si="217"/>
        <v>1000grams</v>
      </c>
      <c r="M1124" s="54">
        <f t="shared" si="218"/>
        <v>5000</v>
      </c>
      <c r="N1124" s="55" t="str">
        <f t="shared" si="219"/>
        <v>5000grams</v>
      </c>
      <c r="O1124" s="56">
        <f t="shared" si="220"/>
        <v>1700</v>
      </c>
      <c r="P1124" s="44">
        <f>O1124/H1124</f>
        <v>340</v>
      </c>
      <c r="Q1124" s="66"/>
      <c r="R1124" s="32" t="b">
        <f>P1124=G1124</f>
        <v>1</v>
      </c>
      <c r="S1124" s="32" t="e">
        <f ca="1"/>
        <v>#NAME?</v>
      </c>
      <c r="T1124" s="32"/>
      <c r="U1124" s="32"/>
      <c r="V1124" s="32"/>
      <c r="W1124" s="32"/>
      <c r="X1124" s="32"/>
      <c r="Y1124" s="32"/>
      <c r="Z1124" s="32"/>
    </row>
    <row r="1125" spans="1:26" ht="15.75" customHeight="1" x14ac:dyDescent="0.3">
      <c r="A1125" s="45"/>
      <c r="B1125" s="325" t="s">
        <v>1559</v>
      </c>
      <c r="C1125" s="194" t="s">
        <v>2021</v>
      </c>
      <c r="D1125" s="46"/>
      <c r="E1125" s="219"/>
      <c r="F1125" s="61" t="s">
        <v>31</v>
      </c>
      <c r="G1125" s="291">
        <v>300</v>
      </c>
      <c r="H1125" s="292">
        <v>4</v>
      </c>
      <c r="I1125" s="293">
        <v>1</v>
      </c>
      <c r="J1125" s="414" t="s">
        <v>213</v>
      </c>
      <c r="K1125" s="50"/>
      <c r="L1125" s="53" t="str">
        <f t="shared" si="217"/>
        <v>1kilos</v>
      </c>
      <c r="M1125" s="54">
        <f t="shared" si="218"/>
        <v>4</v>
      </c>
      <c r="N1125" s="55" t="str">
        <f t="shared" si="219"/>
        <v>4kilos</v>
      </c>
      <c r="O1125" s="56">
        <f t="shared" si="220"/>
        <v>1200</v>
      </c>
      <c r="P1125" s="12"/>
      <c r="Q1125" s="12"/>
      <c r="R1125" s="12"/>
      <c r="S1125" s="151" t="e">
        <f ca="1"/>
        <v>#NAME?</v>
      </c>
      <c r="T1125" s="12"/>
      <c r="U1125" s="12"/>
      <c r="V1125" s="12"/>
      <c r="W1125" s="12"/>
      <c r="X1125" s="12"/>
      <c r="Y1125" s="12"/>
      <c r="Z1125" s="12"/>
    </row>
    <row r="1126" spans="1:26" ht="15.75" customHeight="1" x14ac:dyDescent="0.3">
      <c r="A1126" s="45">
        <v>112</v>
      </c>
      <c r="B1126" s="46" t="s">
        <v>1560</v>
      </c>
      <c r="C1126" s="194" t="s">
        <v>2024</v>
      </c>
      <c r="D1126" s="46"/>
      <c r="E1126" s="46"/>
      <c r="F1126" s="61" t="s">
        <v>31</v>
      </c>
      <c r="G1126" s="288">
        <v>175</v>
      </c>
      <c r="H1126" s="289">
        <v>20</v>
      </c>
      <c r="I1126" s="290">
        <v>1</v>
      </c>
      <c r="J1126" s="48" t="s">
        <v>213</v>
      </c>
      <c r="K1126" s="50"/>
      <c r="L1126" s="53" t="str">
        <f t="shared" si="217"/>
        <v>1kilos</v>
      </c>
      <c r="M1126" s="54">
        <f t="shared" si="218"/>
        <v>20</v>
      </c>
      <c r="N1126" s="55" t="str">
        <f t="shared" si="219"/>
        <v>20kilos</v>
      </c>
      <c r="O1126" s="56">
        <f t="shared" si="220"/>
        <v>3500</v>
      </c>
      <c r="P1126" s="44">
        <f t="shared" ref="P1126:P1129" si="237">O1126/H1126</f>
        <v>175</v>
      </c>
      <c r="Q1126" s="66"/>
      <c r="R1126" s="32"/>
      <c r="S1126" s="32" t="e">
        <f ca="1"/>
        <v>#NAME?</v>
      </c>
      <c r="T1126" s="32"/>
      <c r="U1126" s="32"/>
      <c r="V1126" s="32"/>
      <c r="W1126" s="32"/>
      <c r="X1126" s="32"/>
      <c r="Y1126" s="32"/>
      <c r="Z1126" s="32"/>
    </row>
    <row r="1127" spans="1:26" ht="15.75" customHeight="1" x14ac:dyDescent="0.3">
      <c r="A1127" s="45">
        <v>71</v>
      </c>
      <c r="B1127" s="46" t="s">
        <v>1561</v>
      </c>
      <c r="C1127" s="194" t="s">
        <v>29</v>
      </c>
      <c r="D1127" s="46"/>
      <c r="E1127" s="46"/>
      <c r="F1127" s="61" t="s">
        <v>31</v>
      </c>
      <c r="G1127" s="288">
        <v>225</v>
      </c>
      <c r="H1127" s="289">
        <v>31</v>
      </c>
      <c r="I1127" s="290">
        <v>1</v>
      </c>
      <c r="J1127" s="48" t="s">
        <v>213</v>
      </c>
      <c r="K1127" s="61" t="s">
        <v>2019</v>
      </c>
      <c r="L1127" s="415" t="str">
        <f t="shared" si="217"/>
        <v>1kilos</v>
      </c>
      <c r="M1127" s="416">
        <f t="shared" si="218"/>
        <v>31</v>
      </c>
      <c r="N1127" s="417" t="str">
        <f t="shared" si="219"/>
        <v>31kilos</v>
      </c>
      <c r="O1127" s="418">
        <f t="shared" si="220"/>
        <v>6975</v>
      </c>
      <c r="P1127" s="419">
        <f t="shared" si="237"/>
        <v>225</v>
      </c>
      <c r="Q1127" s="66"/>
      <c r="R1127" s="32"/>
      <c r="S1127" s="32" t="e">
        <f ca="1"/>
        <v>#NAME?</v>
      </c>
      <c r="T1127" s="32"/>
      <c r="U1127" s="32"/>
      <c r="V1127" s="32"/>
      <c r="W1127" s="32"/>
      <c r="X1127" s="32"/>
      <c r="Y1127" s="32"/>
      <c r="Z1127" s="32"/>
    </row>
    <row r="1128" spans="1:26" ht="15.75" customHeight="1" x14ac:dyDescent="0.3">
      <c r="A1128" s="45">
        <v>89</v>
      </c>
      <c r="B1128" s="46" t="s">
        <v>1561</v>
      </c>
      <c r="C1128" s="194" t="s">
        <v>2024</v>
      </c>
      <c r="D1128" s="46"/>
      <c r="E1128" s="46"/>
      <c r="F1128" s="61" t="s">
        <v>31</v>
      </c>
      <c r="G1128" s="288">
        <v>215</v>
      </c>
      <c r="H1128" s="289">
        <v>76</v>
      </c>
      <c r="I1128" s="290">
        <v>1</v>
      </c>
      <c r="J1128" s="48" t="s">
        <v>213</v>
      </c>
      <c r="K1128" s="50"/>
      <c r="L1128" s="53" t="str">
        <f t="shared" si="217"/>
        <v>1kilos</v>
      </c>
      <c r="M1128" s="54">
        <f t="shared" si="218"/>
        <v>76</v>
      </c>
      <c r="N1128" s="55" t="str">
        <f t="shared" si="219"/>
        <v>76kilos</v>
      </c>
      <c r="O1128" s="56">
        <f t="shared" si="220"/>
        <v>16340</v>
      </c>
      <c r="P1128" s="44">
        <f t="shared" si="237"/>
        <v>215</v>
      </c>
      <c r="Q1128" s="66"/>
      <c r="R1128" s="32"/>
      <c r="S1128" s="32" t="e">
        <f ca="1"/>
        <v>#NAME?</v>
      </c>
      <c r="T1128" s="32"/>
      <c r="U1128" s="32"/>
      <c r="V1128" s="32"/>
      <c r="W1128" s="32"/>
      <c r="X1128" s="32"/>
      <c r="Y1128" s="32"/>
      <c r="Z1128" s="32"/>
    </row>
    <row r="1129" spans="1:26" ht="15.75" customHeight="1" x14ac:dyDescent="0.3">
      <c r="A1129" s="45">
        <v>583</v>
      </c>
      <c r="B1129" s="46" t="s">
        <v>1561</v>
      </c>
      <c r="C1129" s="194" t="s">
        <v>2026</v>
      </c>
      <c r="D1129" s="46"/>
      <c r="E1129" s="46"/>
      <c r="F1129" s="61" t="s">
        <v>31</v>
      </c>
      <c r="G1129" s="288">
        <v>221</v>
      </c>
      <c r="H1129" s="289">
        <v>60</v>
      </c>
      <c r="I1129" s="290">
        <v>1</v>
      </c>
      <c r="J1129" s="48" t="s">
        <v>213</v>
      </c>
      <c r="K1129" s="50" t="s">
        <v>2019</v>
      </c>
      <c r="L1129" s="53" t="str">
        <f t="shared" si="217"/>
        <v>1kilos</v>
      </c>
      <c r="M1129" s="54">
        <f t="shared" si="218"/>
        <v>60</v>
      </c>
      <c r="N1129" s="55" t="str">
        <f t="shared" si="219"/>
        <v>60kilos</v>
      </c>
      <c r="O1129" s="56">
        <f t="shared" si="220"/>
        <v>13260</v>
      </c>
      <c r="P1129" s="44">
        <f t="shared" si="237"/>
        <v>221</v>
      </c>
      <c r="Q1129" s="66">
        <f>G1129-P1129</f>
        <v>0</v>
      </c>
      <c r="R1129" s="32" t="b">
        <f>P1129=G1129</f>
        <v>1</v>
      </c>
      <c r="S1129" s="32" t="e">
        <f ca="1"/>
        <v>#NAME?</v>
      </c>
      <c r="T1129" s="32"/>
      <c r="U1129" s="32"/>
      <c r="V1129" s="32"/>
      <c r="W1129" s="32"/>
      <c r="X1129" s="32"/>
      <c r="Y1129" s="32"/>
      <c r="Z1129" s="32"/>
    </row>
    <row r="1130" spans="1:26" ht="15.75" customHeight="1" x14ac:dyDescent="0.3">
      <c r="A1130" s="45"/>
      <c r="B1130" s="46" t="s">
        <v>1561</v>
      </c>
      <c r="C1130" s="194" t="s">
        <v>2023</v>
      </c>
      <c r="D1130" s="46"/>
      <c r="E1130" s="46"/>
      <c r="F1130" s="61" t="s">
        <v>31</v>
      </c>
      <c r="G1130" s="288">
        <v>218</v>
      </c>
      <c r="H1130" s="289">
        <v>49</v>
      </c>
      <c r="I1130" s="290">
        <v>1</v>
      </c>
      <c r="J1130" s="48" t="s">
        <v>213</v>
      </c>
      <c r="K1130" s="50"/>
      <c r="L1130" s="53" t="str">
        <f t="shared" si="217"/>
        <v>1kilos</v>
      </c>
      <c r="M1130" s="54">
        <f t="shared" si="218"/>
        <v>49</v>
      </c>
      <c r="N1130" s="55" t="str">
        <f t="shared" si="219"/>
        <v>49kilos</v>
      </c>
      <c r="O1130" s="56">
        <f t="shared" si="220"/>
        <v>10682</v>
      </c>
      <c r="P1130" s="12"/>
      <c r="Q1130" s="12"/>
      <c r="R1130" s="12"/>
      <c r="S1130" s="151" t="e">
        <f ca="1"/>
        <v>#NAME?</v>
      </c>
      <c r="T1130" s="12"/>
      <c r="U1130" s="12"/>
      <c r="V1130" s="12"/>
      <c r="W1130" s="12"/>
      <c r="X1130" s="12"/>
      <c r="Y1130" s="12"/>
      <c r="Z1130" s="12"/>
    </row>
    <row r="1131" spans="1:26" ht="15.75" customHeight="1" x14ac:dyDescent="0.3">
      <c r="A1131" s="45"/>
      <c r="B1131" s="46" t="s">
        <v>1561</v>
      </c>
      <c r="C1131" s="194" t="s">
        <v>2022</v>
      </c>
      <c r="D1131" s="46"/>
      <c r="E1131" s="46"/>
      <c r="F1131" s="61" t="s">
        <v>31</v>
      </c>
      <c r="G1131" s="288">
        <v>320</v>
      </c>
      <c r="H1131" s="289">
        <v>47</v>
      </c>
      <c r="I1131" s="290">
        <v>1000</v>
      </c>
      <c r="J1131" s="48" t="s">
        <v>39</v>
      </c>
      <c r="K1131" s="50"/>
      <c r="L1131" s="53" t="str">
        <f t="shared" si="217"/>
        <v>1000grams</v>
      </c>
      <c r="M1131" s="54">
        <f t="shared" si="218"/>
        <v>47000</v>
      </c>
      <c r="N1131" s="55" t="str">
        <f t="shared" si="219"/>
        <v>47000grams</v>
      </c>
      <c r="O1131" s="56">
        <f t="shared" si="220"/>
        <v>15040</v>
      </c>
      <c r="P1131" s="12"/>
      <c r="Q1131" s="12"/>
      <c r="R1131" s="12"/>
      <c r="S1131" s="151" t="e">
        <f ca="1"/>
        <v>#NAME?</v>
      </c>
      <c r="T1131" s="12"/>
      <c r="U1131" s="12"/>
      <c r="V1131" s="12"/>
      <c r="W1131" s="12"/>
      <c r="X1131" s="12"/>
      <c r="Y1131" s="12"/>
      <c r="Z1131" s="12"/>
    </row>
    <row r="1132" spans="1:26" ht="15.75" customHeight="1" x14ac:dyDescent="0.3">
      <c r="A1132" s="45">
        <v>791</v>
      </c>
      <c r="B1132" s="46" t="s">
        <v>1562</v>
      </c>
      <c r="C1132" s="194" t="s">
        <v>1368</v>
      </c>
      <c r="D1132" s="46"/>
      <c r="E1132" s="46"/>
      <c r="F1132" s="61" t="s">
        <v>31</v>
      </c>
      <c r="G1132" s="288">
        <v>340</v>
      </c>
      <c r="H1132" s="289">
        <v>17</v>
      </c>
      <c r="I1132" s="290">
        <v>1000</v>
      </c>
      <c r="J1132" s="48" t="s">
        <v>39</v>
      </c>
      <c r="K1132" s="50"/>
      <c r="L1132" s="53" t="str">
        <f t="shared" si="217"/>
        <v>1000grams</v>
      </c>
      <c r="M1132" s="54">
        <f t="shared" si="218"/>
        <v>17000</v>
      </c>
      <c r="N1132" s="55" t="str">
        <f t="shared" si="219"/>
        <v>17000grams</v>
      </c>
      <c r="O1132" s="56">
        <f t="shared" si="220"/>
        <v>5780</v>
      </c>
      <c r="P1132" s="44">
        <f>O1132/H1132</f>
        <v>340</v>
      </c>
      <c r="Q1132" s="66"/>
      <c r="R1132" s="32"/>
      <c r="S1132" s="32" t="e">
        <f ca="1"/>
        <v>#NAME?</v>
      </c>
      <c r="T1132" s="32"/>
      <c r="U1132" s="32"/>
      <c r="V1132" s="32"/>
      <c r="W1132" s="32"/>
      <c r="X1132" s="32"/>
      <c r="Y1132" s="32"/>
      <c r="Z1132" s="32"/>
    </row>
    <row r="1133" spans="1:26" ht="15.75" customHeight="1" x14ac:dyDescent="0.3">
      <c r="A1133" s="45"/>
      <c r="B1133" s="46" t="s">
        <v>1562</v>
      </c>
      <c r="C1133" s="194" t="s">
        <v>2020</v>
      </c>
      <c r="D1133" s="46"/>
      <c r="E1133" s="46" t="s">
        <v>1098</v>
      </c>
      <c r="F1133" s="61" t="s">
        <v>31</v>
      </c>
      <c r="G1133" s="288">
        <v>235</v>
      </c>
      <c r="H1133" s="289">
        <v>15</v>
      </c>
      <c r="I1133" s="290">
        <v>1000</v>
      </c>
      <c r="J1133" s="48" t="s">
        <v>213</v>
      </c>
      <c r="K1133" s="50"/>
      <c r="L1133" s="53" t="str">
        <f t="shared" si="217"/>
        <v>1000kilos</v>
      </c>
      <c r="M1133" s="54">
        <f t="shared" si="218"/>
        <v>15000</v>
      </c>
      <c r="N1133" s="55" t="str">
        <f t="shared" si="219"/>
        <v>15000kilos</v>
      </c>
      <c r="O1133" s="56">
        <f t="shared" si="220"/>
        <v>3525</v>
      </c>
      <c r="P1133" s="12"/>
      <c r="Q1133" s="12"/>
      <c r="R1133" s="12"/>
      <c r="S1133" s="151"/>
      <c r="T1133" s="12"/>
      <c r="U1133" s="12"/>
      <c r="V1133" s="12"/>
      <c r="W1133" s="12"/>
      <c r="X1133" s="12"/>
      <c r="Y1133" s="12"/>
      <c r="Z1133" s="12"/>
    </row>
    <row r="1134" spans="1:26" ht="15.75" customHeight="1" x14ac:dyDescent="0.3">
      <c r="A1134" s="45">
        <v>72</v>
      </c>
      <c r="B1134" s="46" t="s">
        <v>1563</v>
      </c>
      <c r="C1134" s="194" t="s">
        <v>29</v>
      </c>
      <c r="D1134" s="46"/>
      <c r="E1134" s="46"/>
      <c r="F1134" s="61" t="s">
        <v>31</v>
      </c>
      <c r="G1134" s="288">
        <v>270</v>
      </c>
      <c r="H1134" s="289">
        <v>17</v>
      </c>
      <c r="I1134" s="290">
        <v>1</v>
      </c>
      <c r="J1134" s="48" t="s">
        <v>213</v>
      </c>
      <c r="K1134" s="61" t="s">
        <v>2019</v>
      </c>
      <c r="L1134" s="415" t="str">
        <f t="shared" si="217"/>
        <v>1kilos</v>
      </c>
      <c r="M1134" s="416">
        <f t="shared" si="218"/>
        <v>17</v>
      </c>
      <c r="N1134" s="417" t="str">
        <f t="shared" si="219"/>
        <v>17kilos</v>
      </c>
      <c r="O1134" s="418">
        <f t="shared" si="220"/>
        <v>4590</v>
      </c>
      <c r="P1134" s="419">
        <f t="shared" ref="P1134:P1137" si="238">O1134/H1134</f>
        <v>270</v>
      </c>
      <c r="Q1134" s="93">
        <f>G1134-P1134</f>
        <v>0</v>
      </c>
      <c r="R1134" s="32" t="b">
        <f>P1134=G1134</f>
        <v>1</v>
      </c>
      <c r="S1134" s="95"/>
      <c r="T1134" s="95"/>
      <c r="U1134" s="95"/>
      <c r="V1134" s="95"/>
      <c r="W1134" s="95"/>
      <c r="X1134" s="95"/>
      <c r="Y1134" s="95"/>
      <c r="Z1134" s="95"/>
    </row>
    <row r="1135" spans="1:26" ht="15.75" customHeight="1" x14ac:dyDescent="0.3">
      <c r="A1135" s="45">
        <v>108</v>
      </c>
      <c r="B1135" s="46" t="s">
        <v>1563</v>
      </c>
      <c r="C1135" s="194" t="s">
        <v>2024</v>
      </c>
      <c r="D1135" s="46"/>
      <c r="E1135" s="46"/>
      <c r="F1135" s="61" t="s">
        <v>31</v>
      </c>
      <c r="G1135" s="288">
        <v>270</v>
      </c>
      <c r="H1135" s="289">
        <v>25</v>
      </c>
      <c r="I1135" s="290">
        <v>1</v>
      </c>
      <c r="J1135" s="48" t="s">
        <v>213</v>
      </c>
      <c r="K1135" s="50"/>
      <c r="L1135" s="53" t="str">
        <f t="shared" si="217"/>
        <v>1kilos</v>
      </c>
      <c r="M1135" s="54">
        <f t="shared" si="218"/>
        <v>25</v>
      </c>
      <c r="N1135" s="55" t="str">
        <f t="shared" si="219"/>
        <v>25kilos</v>
      </c>
      <c r="O1135" s="56">
        <f t="shared" si="220"/>
        <v>6750</v>
      </c>
      <c r="P1135" s="44">
        <f t="shared" si="238"/>
        <v>270</v>
      </c>
      <c r="Q1135" s="66"/>
      <c r="R1135" s="32"/>
      <c r="S1135" s="32"/>
      <c r="T1135" s="32"/>
      <c r="U1135" s="32"/>
      <c r="V1135" s="32"/>
      <c r="W1135" s="32"/>
      <c r="X1135" s="32"/>
      <c r="Y1135" s="32"/>
      <c r="Z1135" s="32"/>
    </row>
    <row r="1136" spans="1:26" ht="15.75" customHeight="1" x14ac:dyDescent="0.3">
      <c r="A1136" s="45">
        <v>584</v>
      </c>
      <c r="B1136" s="46" t="s">
        <v>1563</v>
      </c>
      <c r="C1136" s="194" t="s">
        <v>2026</v>
      </c>
      <c r="D1136" s="46"/>
      <c r="E1136" s="46"/>
      <c r="F1136" s="61" t="s">
        <v>31</v>
      </c>
      <c r="G1136" s="288">
        <v>277</v>
      </c>
      <c r="H1136" s="289">
        <v>46</v>
      </c>
      <c r="I1136" s="290">
        <v>1</v>
      </c>
      <c r="J1136" s="48" t="s">
        <v>213</v>
      </c>
      <c r="K1136" s="50"/>
      <c r="L1136" s="53" t="str">
        <f t="shared" si="217"/>
        <v>1kilos</v>
      </c>
      <c r="M1136" s="54">
        <f t="shared" si="218"/>
        <v>46</v>
      </c>
      <c r="N1136" s="55" t="str">
        <f t="shared" si="219"/>
        <v>46kilos</v>
      </c>
      <c r="O1136" s="56">
        <f t="shared" si="220"/>
        <v>12742</v>
      </c>
      <c r="P1136" s="44">
        <f t="shared" si="238"/>
        <v>277</v>
      </c>
      <c r="Q1136" s="66"/>
      <c r="R1136" s="32"/>
      <c r="S1136" s="32"/>
      <c r="T1136" s="32"/>
      <c r="U1136" s="32"/>
      <c r="V1136" s="32"/>
      <c r="W1136" s="32"/>
      <c r="X1136" s="32"/>
      <c r="Y1136" s="32"/>
      <c r="Z1136" s="32"/>
    </row>
    <row r="1137" spans="1:26" ht="15.75" customHeight="1" x14ac:dyDescent="0.3">
      <c r="A1137" s="45">
        <v>833</v>
      </c>
      <c r="B1137" s="46" t="s">
        <v>1563</v>
      </c>
      <c r="C1137" s="194" t="s">
        <v>1368</v>
      </c>
      <c r="D1137" s="46"/>
      <c r="E1137" s="46"/>
      <c r="F1137" s="61" t="s">
        <v>31</v>
      </c>
      <c r="G1137" s="288">
        <v>300</v>
      </c>
      <c r="H1137" s="289">
        <v>5</v>
      </c>
      <c r="I1137" s="290">
        <v>1000</v>
      </c>
      <c r="J1137" s="48" t="s">
        <v>39</v>
      </c>
      <c r="K1137" s="50"/>
      <c r="L1137" s="53" t="str">
        <f t="shared" si="217"/>
        <v>1000grams</v>
      </c>
      <c r="M1137" s="54">
        <f t="shared" si="218"/>
        <v>5000</v>
      </c>
      <c r="N1137" s="55" t="str">
        <f t="shared" si="219"/>
        <v>5000grams</v>
      </c>
      <c r="O1137" s="56">
        <f t="shared" si="220"/>
        <v>1500</v>
      </c>
      <c r="P1137" s="44">
        <f t="shared" si="238"/>
        <v>300</v>
      </c>
      <c r="Q1137" s="66"/>
      <c r="R1137" s="32" t="b">
        <f>P1137=G1137</f>
        <v>1</v>
      </c>
      <c r="S1137" s="32"/>
      <c r="T1137" s="32"/>
      <c r="U1137" s="32"/>
      <c r="V1137" s="32"/>
      <c r="W1137" s="32"/>
      <c r="X1137" s="32"/>
      <c r="Y1137" s="32"/>
      <c r="Z1137" s="32"/>
    </row>
    <row r="1138" spans="1:26" ht="15.75" customHeight="1" x14ac:dyDescent="0.3">
      <c r="A1138" s="45"/>
      <c r="B1138" s="46" t="s">
        <v>1563</v>
      </c>
      <c r="C1138" s="194" t="s">
        <v>2022</v>
      </c>
      <c r="D1138" s="46"/>
      <c r="E1138" s="46"/>
      <c r="F1138" s="61" t="s">
        <v>31</v>
      </c>
      <c r="G1138" s="288">
        <v>440</v>
      </c>
      <c r="H1138" s="289">
        <v>11</v>
      </c>
      <c r="I1138" s="290">
        <v>1000</v>
      </c>
      <c r="J1138" s="48" t="s">
        <v>39</v>
      </c>
      <c r="K1138" s="50"/>
      <c r="L1138" s="53" t="str">
        <f t="shared" si="217"/>
        <v>1000grams</v>
      </c>
      <c r="M1138" s="54">
        <f t="shared" si="218"/>
        <v>11000</v>
      </c>
      <c r="N1138" s="55" t="str">
        <f t="shared" si="219"/>
        <v>11000grams</v>
      </c>
      <c r="O1138" s="56">
        <f t="shared" si="220"/>
        <v>4840</v>
      </c>
      <c r="P1138" s="12"/>
      <c r="Q1138" s="12"/>
      <c r="R1138" s="12"/>
      <c r="S1138" s="151"/>
      <c r="T1138" s="12"/>
      <c r="U1138" s="12"/>
      <c r="V1138" s="12"/>
      <c r="W1138" s="12"/>
      <c r="X1138" s="12"/>
      <c r="Y1138" s="12"/>
      <c r="Z1138" s="12"/>
    </row>
    <row r="1139" spans="1:26" ht="15.75" customHeight="1" x14ac:dyDescent="0.3">
      <c r="A1139" s="45"/>
      <c r="B1139" s="46" t="s">
        <v>1563</v>
      </c>
      <c r="C1139" s="194" t="s">
        <v>2020</v>
      </c>
      <c r="D1139" s="46"/>
      <c r="E1139" s="46" t="s">
        <v>1098</v>
      </c>
      <c r="F1139" s="61" t="s">
        <v>31</v>
      </c>
      <c r="G1139" s="288">
        <v>289</v>
      </c>
      <c r="H1139" s="289">
        <v>25</v>
      </c>
      <c r="I1139" s="290">
        <v>1000</v>
      </c>
      <c r="J1139" s="48" t="s">
        <v>213</v>
      </c>
      <c r="K1139" s="50"/>
      <c r="L1139" s="53" t="str">
        <f t="shared" si="217"/>
        <v>1000kilos</v>
      </c>
      <c r="M1139" s="54">
        <f t="shared" si="218"/>
        <v>25000</v>
      </c>
      <c r="N1139" s="55" t="str">
        <f t="shared" si="219"/>
        <v>25000kilos</v>
      </c>
      <c r="O1139" s="56">
        <f t="shared" si="220"/>
        <v>7225</v>
      </c>
      <c r="P1139" s="12"/>
      <c r="Q1139" s="12"/>
      <c r="R1139" s="12"/>
      <c r="S1139" s="151"/>
      <c r="T1139" s="12"/>
      <c r="U1139" s="12"/>
      <c r="V1139" s="12"/>
      <c r="W1139" s="12"/>
      <c r="X1139" s="12"/>
      <c r="Y1139" s="12"/>
      <c r="Z1139" s="12"/>
    </row>
    <row r="1140" spans="1:26" ht="15.75" customHeight="1" x14ac:dyDescent="0.3">
      <c r="A1140" s="45">
        <v>45</v>
      </c>
      <c r="B1140" s="46" t="s">
        <v>1564</v>
      </c>
      <c r="C1140" s="194" t="s">
        <v>1368</v>
      </c>
      <c r="D1140" s="46"/>
      <c r="E1140" s="46"/>
      <c r="F1140" s="61" t="s">
        <v>31</v>
      </c>
      <c r="G1140" s="288">
        <v>190</v>
      </c>
      <c r="H1140" s="289">
        <v>9</v>
      </c>
      <c r="I1140" s="290">
        <v>1000</v>
      </c>
      <c r="J1140" s="48" t="s">
        <v>39</v>
      </c>
      <c r="K1140" s="50"/>
      <c r="L1140" s="53" t="str">
        <f t="shared" si="217"/>
        <v>1000grams</v>
      </c>
      <c r="M1140" s="54">
        <f t="shared" si="218"/>
        <v>9000</v>
      </c>
      <c r="N1140" s="55" t="str">
        <f t="shared" si="219"/>
        <v>9000grams</v>
      </c>
      <c r="O1140" s="56">
        <f t="shared" si="220"/>
        <v>1710</v>
      </c>
      <c r="P1140" s="44">
        <f>O1140/H1140</f>
        <v>190</v>
      </c>
      <c r="Q1140" s="66"/>
      <c r="R1140" s="32"/>
      <c r="S1140" s="32"/>
      <c r="T1140" s="32"/>
      <c r="U1140" s="32"/>
      <c r="V1140" s="32"/>
      <c r="W1140" s="32"/>
      <c r="X1140" s="32"/>
      <c r="Y1140" s="32"/>
      <c r="Z1140" s="32"/>
    </row>
    <row r="1141" spans="1:26" ht="15.75" customHeight="1" x14ac:dyDescent="0.3">
      <c r="A1141" s="45"/>
      <c r="B1141" s="46" t="s">
        <v>1564</v>
      </c>
      <c r="C1141" s="194" t="s">
        <v>2022</v>
      </c>
      <c r="D1141" s="46"/>
      <c r="E1141" s="46"/>
      <c r="F1141" s="61" t="s">
        <v>31</v>
      </c>
      <c r="G1141" s="288">
        <v>240</v>
      </c>
      <c r="H1141" s="289">
        <v>1</v>
      </c>
      <c r="I1141" s="290">
        <v>1000</v>
      </c>
      <c r="J1141" s="48" t="s">
        <v>39</v>
      </c>
      <c r="K1141" s="50"/>
      <c r="L1141" s="53" t="str">
        <f t="shared" si="217"/>
        <v>1000grams</v>
      </c>
      <c r="M1141" s="54">
        <f t="shared" si="218"/>
        <v>1000</v>
      </c>
      <c r="N1141" s="55" t="str">
        <f t="shared" si="219"/>
        <v>1000grams</v>
      </c>
      <c r="O1141" s="56">
        <f t="shared" si="220"/>
        <v>240</v>
      </c>
      <c r="P1141" s="12"/>
      <c r="Q1141" s="12"/>
      <c r="R1141" s="12"/>
      <c r="S1141" s="151"/>
      <c r="T1141" s="12"/>
      <c r="U1141" s="12"/>
      <c r="V1141" s="12"/>
      <c r="W1141" s="12"/>
      <c r="X1141" s="12"/>
      <c r="Y1141" s="12"/>
      <c r="Z1141" s="12"/>
    </row>
    <row r="1142" spans="1:26" ht="15.75" customHeight="1" x14ac:dyDescent="0.3">
      <c r="A1142" s="45">
        <v>805</v>
      </c>
      <c r="B1142" s="46" t="s">
        <v>1565</v>
      </c>
      <c r="C1142" s="194" t="s">
        <v>1368</v>
      </c>
      <c r="D1142" s="46"/>
      <c r="E1142" s="46"/>
      <c r="F1142" s="61" t="s">
        <v>31</v>
      </c>
      <c r="G1142" s="288">
        <v>280</v>
      </c>
      <c r="H1142" s="289">
        <v>10</v>
      </c>
      <c r="I1142" s="290">
        <v>1000</v>
      </c>
      <c r="J1142" s="48" t="s">
        <v>39</v>
      </c>
      <c r="K1142" s="50"/>
      <c r="L1142" s="53" t="str">
        <f t="shared" si="217"/>
        <v>1000grams</v>
      </c>
      <c r="M1142" s="54">
        <f t="shared" si="218"/>
        <v>10000</v>
      </c>
      <c r="N1142" s="55" t="str">
        <f t="shared" si="219"/>
        <v>10000grams</v>
      </c>
      <c r="O1142" s="56">
        <f t="shared" si="220"/>
        <v>2800</v>
      </c>
      <c r="P1142" s="44">
        <f>O1142/H1142</f>
        <v>280</v>
      </c>
      <c r="Q1142" s="66"/>
      <c r="R1142" s="32" t="b">
        <f>P1142=G1142</f>
        <v>1</v>
      </c>
      <c r="S1142" s="32"/>
      <c r="T1142" s="32"/>
      <c r="U1142" s="32"/>
      <c r="V1142" s="32"/>
      <c r="W1142" s="32"/>
      <c r="X1142" s="32"/>
      <c r="Y1142" s="32"/>
      <c r="Z1142" s="32"/>
    </row>
    <row r="1143" spans="1:26" ht="15.75" customHeight="1" x14ac:dyDescent="0.3">
      <c r="A1143" s="45"/>
      <c r="B1143" s="46" t="s">
        <v>1566</v>
      </c>
      <c r="C1143" s="194" t="s">
        <v>2022</v>
      </c>
      <c r="D1143" s="46"/>
      <c r="E1143" s="46"/>
      <c r="F1143" s="61" t="s">
        <v>31</v>
      </c>
      <c r="G1143" s="288">
        <v>320</v>
      </c>
      <c r="H1143" s="289">
        <v>10</v>
      </c>
      <c r="I1143" s="290">
        <v>1000</v>
      </c>
      <c r="J1143" s="48" t="s">
        <v>213</v>
      </c>
      <c r="K1143" s="50"/>
      <c r="L1143" s="53" t="str">
        <f t="shared" si="217"/>
        <v>1000kilos</v>
      </c>
      <c r="M1143" s="54">
        <f t="shared" si="218"/>
        <v>10000</v>
      </c>
      <c r="N1143" s="55" t="str">
        <f t="shared" si="219"/>
        <v>10000kilos</v>
      </c>
      <c r="O1143" s="56">
        <f t="shared" si="220"/>
        <v>3200</v>
      </c>
      <c r="P1143" s="12"/>
      <c r="Q1143" s="12"/>
      <c r="R1143" s="12"/>
      <c r="S1143" s="151"/>
      <c r="T1143" s="12"/>
      <c r="U1143" s="12"/>
      <c r="V1143" s="12"/>
      <c r="W1143" s="12"/>
      <c r="X1143" s="12"/>
      <c r="Y1143" s="12"/>
      <c r="Z1143" s="12"/>
    </row>
    <row r="1144" spans="1:26" ht="15.75" customHeight="1" x14ac:dyDescent="0.3">
      <c r="A1144" s="45"/>
      <c r="B1144" s="219" t="s">
        <v>1566</v>
      </c>
      <c r="C1144" s="194" t="s">
        <v>2021</v>
      </c>
      <c r="D1144" s="46"/>
      <c r="E1144" s="318"/>
      <c r="F1144" s="61" t="s">
        <v>31</v>
      </c>
      <c r="G1144" s="291">
        <v>290</v>
      </c>
      <c r="H1144" s="292">
        <v>5</v>
      </c>
      <c r="I1144" s="293">
        <v>1</v>
      </c>
      <c r="J1144" s="414" t="s">
        <v>213</v>
      </c>
      <c r="K1144" s="50"/>
      <c r="L1144" s="53" t="str">
        <f t="shared" si="217"/>
        <v>1kilos</v>
      </c>
      <c r="M1144" s="54">
        <f t="shared" si="218"/>
        <v>5</v>
      </c>
      <c r="N1144" s="55" t="str">
        <f t="shared" si="219"/>
        <v>5kilos</v>
      </c>
      <c r="O1144" s="56">
        <f t="shared" si="220"/>
        <v>1450</v>
      </c>
      <c r="P1144" s="12"/>
      <c r="Q1144" s="12"/>
      <c r="R1144" s="12"/>
      <c r="S1144" s="151"/>
      <c r="T1144" s="12"/>
      <c r="U1144" s="12"/>
      <c r="V1144" s="12"/>
      <c r="W1144" s="12"/>
      <c r="X1144" s="12"/>
      <c r="Y1144" s="12"/>
      <c r="Z1144" s="12"/>
    </row>
    <row r="1145" spans="1:26" ht="15.75" customHeight="1" x14ac:dyDescent="0.3">
      <c r="A1145" s="45">
        <v>806</v>
      </c>
      <c r="B1145" s="46" t="s">
        <v>1567</v>
      </c>
      <c r="C1145" s="194" t="s">
        <v>1368</v>
      </c>
      <c r="D1145" s="46"/>
      <c r="E1145" s="46"/>
      <c r="F1145" s="61" t="s">
        <v>31</v>
      </c>
      <c r="G1145" s="288">
        <v>340</v>
      </c>
      <c r="H1145" s="289">
        <v>10</v>
      </c>
      <c r="I1145" s="290">
        <v>1000</v>
      </c>
      <c r="J1145" s="48" t="s">
        <v>39</v>
      </c>
      <c r="K1145" s="50"/>
      <c r="L1145" s="53" t="str">
        <f t="shared" si="217"/>
        <v>1000grams</v>
      </c>
      <c r="M1145" s="54">
        <f t="shared" si="218"/>
        <v>10000</v>
      </c>
      <c r="N1145" s="55" t="str">
        <f t="shared" si="219"/>
        <v>10000grams</v>
      </c>
      <c r="O1145" s="56">
        <f t="shared" si="220"/>
        <v>3400</v>
      </c>
      <c r="P1145" s="44">
        <f t="shared" ref="P1145:P1146" si="239">O1145/H1145</f>
        <v>340</v>
      </c>
      <c r="Q1145" s="66"/>
      <c r="R1145" s="32" t="b">
        <f>P1145=G1145</f>
        <v>1</v>
      </c>
      <c r="S1145" s="32"/>
      <c r="T1145" s="32"/>
      <c r="U1145" s="32"/>
      <c r="V1145" s="32"/>
      <c r="W1145" s="32"/>
      <c r="X1145" s="32"/>
      <c r="Y1145" s="32"/>
      <c r="Z1145" s="32"/>
    </row>
    <row r="1146" spans="1:26" ht="15.75" customHeight="1" x14ac:dyDescent="0.3">
      <c r="A1146" s="45">
        <v>187</v>
      </c>
      <c r="B1146" s="46" t="s">
        <v>1568</v>
      </c>
      <c r="C1146" s="194" t="s">
        <v>2024</v>
      </c>
      <c r="D1146" s="46"/>
      <c r="E1146" s="46"/>
      <c r="F1146" s="61" t="s">
        <v>31</v>
      </c>
      <c r="G1146" s="288">
        <v>140</v>
      </c>
      <c r="H1146" s="289">
        <v>1</v>
      </c>
      <c r="I1146" s="290">
        <v>1000</v>
      </c>
      <c r="J1146" s="48" t="s">
        <v>39</v>
      </c>
      <c r="K1146" s="50"/>
      <c r="L1146" s="53" t="str">
        <f t="shared" si="217"/>
        <v>1000grams</v>
      </c>
      <c r="M1146" s="54">
        <f t="shared" si="218"/>
        <v>1000</v>
      </c>
      <c r="N1146" s="55" t="str">
        <f t="shared" si="219"/>
        <v>1000grams</v>
      </c>
      <c r="O1146" s="56">
        <f t="shared" si="220"/>
        <v>140</v>
      </c>
      <c r="P1146" s="44">
        <f t="shared" si="239"/>
        <v>140</v>
      </c>
      <c r="Q1146" s="66"/>
      <c r="R1146" s="32"/>
      <c r="S1146" s="32"/>
      <c r="T1146" s="32"/>
      <c r="U1146" s="32"/>
      <c r="V1146" s="32"/>
      <c r="W1146" s="32"/>
      <c r="X1146" s="32"/>
      <c r="Y1146" s="32"/>
      <c r="Z1146" s="32"/>
    </row>
    <row r="1147" spans="1:26" ht="15.75" customHeight="1" x14ac:dyDescent="0.3">
      <c r="A1147" s="45"/>
      <c r="B1147" s="219" t="s">
        <v>1568</v>
      </c>
      <c r="C1147" s="194" t="s">
        <v>2021</v>
      </c>
      <c r="D1147" s="46"/>
      <c r="E1147" s="219" t="s">
        <v>1569</v>
      </c>
      <c r="F1147" s="61" t="s">
        <v>31</v>
      </c>
      <c r="G1147" s="291">
        <v>240</v>
      </c>
      <c r="H1147" s="292">
        <v>7</v>
      </c>
      <c r="I1147" s="293">
        <v>1000</v>
      </c>
      <c r="J1147" s="414" t="s">
        <v>39</v>
      </c>
      <c r="K1147" s="50"/>
      <c r="L1147" s="53" t="str">
        <f t="shared" si="217"/>
        <v>1000grams</v>
      </c>
      <c r="M1147" s="54">
        <f t="shared" si="218"/>
        <v>7000</v>
      </c>
      <c r="N1147" s="55" t="str">
        <f t="shared" si="219"/>
        <v>7000grams</v>
      </c>
      <c r="O1147" s="56">
        <f t="shared" si="220"/>
        <v>1680</v>
      </c>
      <c r="P1147" s="12"/>
      <c r="Q1147" s="12"/>
      <c r="R1147" s="12"/>
      <c r="S1147" s="151"/>
      <c r="T1147" s="12"/>
      <c r="U1147" s="12"/>
      <c r="V1147" s="12"/>
      <c r="W1147" s="12"/>
      <c r="X1147" s="12"/>
      <c r="Y1147" s="12"/>
      <c r="Z1147" s="12"/>
    </row>
    <row r="1148" spans="1:26" ht="15.75" customHeight="1" x14ac:dyDescent="0.3">
      <c r="A1148" s="45">
        <v>718</v>
      </c>
      <c r="B1148" s="219" t="s">
        <v>731</v>
      </c>
      <c r="C1148" s="194" t="s">
        <v>2026</v>
      </c>
      <c r="D1148" s="46"/>
      <c r="E1148" s="46" t="s">
        <v>218</v>
      </c>
      <c r="F1148" s="61" t="s">
        <v>31</v>
      </c>
      <c r="G1148" s="288">
        <v>78</v>
      </c>
      <c r="H1148" s="289">
        <v>3</v>
      </c>
      <c r="I1148" s="290">
        <v>250</v>
      </c>
      <c r="J1148" s="48" t="s">
        <v>39</v>
      </c>
      <c r="K1148" s="50"/>
      <c r="L1148" s="53" t="str">
        <f t="shared" si="217"/>
        <v>250grams</v>
      </c>
      <c r="M1148" s="54">
        <f t="shared" si="218"/>
        <v>750</v>
      </c>
      <c r="N1148" s="55" t="str">
        <f t="shared" si="219"/>
        <v>750grams</v>
      </c>
      <c r="O1148" s="56">
        <f t="shared" si="220"/>
        <v>234</v>
      </c>
      <c r="P1148" s="44">
        <f>O1148/H1148</f>
        <v>78</v>
      </c>
      <c r="Q1148" s="66"/>
      <c r="R1148" s="32" t="b">
        <f>P1148=G1148</f>
        <v>1</v>
      </c>
      <c r="S1148" s="32"/>
      <c r="T1148" s="32"/>
      <c r="U1148" s="32"/>
      <c r="V1148" s="32"/>
      <c r="W1148" s="32"/>
      <c r="X1148" s="32"/>
      <c r="Y1148" s="32"/>
      <c r="Z1148" s="32"/>
    </row>
    <row r="1149" spans="1:26" ht="15.75" customHeight="1" x14ac:dyDescent="0.3">
      <c r="A1149" s="45"/>
      <c r="B1149" s="46" t="s">
        <v>731</v>
      </c>
      <c r="C1149" s="194" t="s">
        <v>2020</v>
      </c>
      <c r="D1149" s="46"/>
      <c r="E1149" s="46" t="s">
        <v>1098</v>
      </c>
      <c r="F1149" s="61" t="s">
        <v>31</v>
      </c>
      <c r="G1149" s="288">
        <v>165</v>
      </c>
      <c r="H1149" s="289">
        <v>3</v>
      </c>
      <c r="I1149" s="290">
        <v>1000</v>
      </c>
      <c r="J1149" s="420" t="s">
        <v>213</v>
      </c>
      <c r="K1149" s="50"/>
      <c r="L1149" s="53" t="str">
        <f t="shared" si="217"/>
        <v>1000kilos</v>
      </c>
      <c r="M1149" s="54">
        <f t="shared" si="218"/>
        <v>3000</v>
      </c>
      <c r="N1149" s="55" t="str">
        <f t="shared" si="219"/>
        <v>3000kilos</v>
      </c>
      <c r="O1149" s="56">
        <f t="shared" si="220"/>
        <v>495</v>
      </c>
      <c r="P1149" s="12"/>
      <c r="Q1149" s="12"/>
      <c r="R1149" s="12"/>
      <c r="S1149" s="151"/>
      <c r="T1149" s="12"/>
      <c r="U1149" s="12"/>
      <c r="V1149" s="12"/>
      <c r="W1149" s="12"/>
      <c r="X1149" s="12"/>
      <c r="Y1149" s="12"/>
      <c r="Z1149" s="12"/>
    </row>
    <row r="1150" spans="1:26" ht="15.75" customHeight="1" x14ac:dyDescent="0.3">
      <c r="A1150" s="45">
        <v>79</v>
      </c>
      <c r="B1150" s="46" t="s">
        <v>456</v>
      </c>
      <c r="C1150" s="194" t="s">
        <v>29</v>
      </c>
      <c r="D1150" s="46"/>
      <c r="E1150" s="46"/>
      <c r="F1150" s="61" t="s">
        <v>31</v>
      </c>
      <c r="G1150" s="288">
        <v>120</v>
      </c>
      <c r="H1150" s="289">
        <v>2</v>
      </c>
      <c r="I1150" s="290">
        <v>1</v>
      </c>
      <c r="J1150" s="48" t="s">
        <v>213</v>
      </c>
      <c r="K1150" s="61" t="s">
        <v>2019</v>
      </c>
      <c r="L1150" s="415" t="str">
        <f t="shared" si="217"/>
        <v>1kilos</v>
      </c>
      <c r="M1150" s="416">
        <f t="shared" si="218"/>
        <v>2</v>
      </c>
      <c r="N1150" s="417" t="str">
        <f t="shared" si="219"/>
        <v>2kilos</v>
      </c>
      <c r="O1150" s="418">
        <f t="shared" si="220"/>
        <v>240</v>
      </c>
      <c r="P1150" s="419">
        <f t="shared" ref="P1150:P1151" si="240">O1150/H1150</f>
        <v>120</v>
      </c>
      <c r="Q1150" s="66">
        <f>G1150-P1150</f>
        <v>0</v>
      </c>
      <c r="R1150" s="32" t="b">
        <f>P1150=G1150</f>
        <v>1</v>
      </c>
      <c r="S1150" s="32"/>
      <c r="T1150" s="32"/>
      <c r="U1150" s="32"/>
      <c r="V1150" s="32"/>
      <c r="W1150" s="32"/>
      <c r="X1150" s="32"/>
      <c r="Y1150" s="32"/>
      <c r="Z1150" s="32"/>
    </row>
    <row r="1151" spans="1:26" ht="15.75" customHeight="1" x14ac:dyDescent="0.3">
      <c r="A1151" s="45">
        <v>671</v>
      </c>
      <c r="B1151" s="46" t="s">
        <v>456</v>
      </c>
      <c r="C1151" s="194" t="s">
        <v>2026</v>
      </c>
      <c r="D1151" s="46"/>
      <c r="E1151" s="46" t="s">
        <v>216</v>
      </c>
      <c r="F1151" s="61" t="s">
        <v>31</v>
      </c>
      <c r="G1151" s="288">
        <v>160</v>
      </c>
      <c r="H1151" s="289">
        <v>4</v>
      </c>
      <c r="I1151" s="290">
        <v>1</v>
      </c>
      <c r="J1151" s="48" t="s">
        <v>213</v>
      </c>
      <c r="K1151" s="50"/>
      <c r="L1151" s="53" t="str">
        <f t="shared" si="217"/>
        <v>1kilos</v>
      </c>
      <c r="M1151" s="54">
        <f t="shared" si="218"/>
        <v>4</v>
      </c>
      <c r="N1151" s="55" t="str">
        <f t="shared" si="219"/>
        <v>4kilos</v>
      </c>
      <c r="O1151" s="56">
        <f t="shared" si="220"/>
        <v>640</v>
      </c>
      <c r="P1151" s="44">
        <f t="shared" si="240"/>
        <v>160</v>
      </c>
      <c r="Q1151" s="66"/>
      <c r="R1151" s="32"/>
      <c r="S1151" s="32"/>
      <c r="T1151" s="32"/>
      <c r="U1151" s="32"/>
      <c r="V1151" s="32"/>
      <c r="W1151" s="32"/>
      <c r="X1151" s="32"/>
      <c r="Y1151" s="32"/>
      <c r="Z1151" s="32"/>
    </row>
    <row r="1152" spans="1:26" ht="15.75" customHeight="1" x14ac:dyDescent="0.3">
      <c r="A1152" s="45"/>
      <c r="B1152" s="46" t="s">
        <v>456</v>
      </c>
      <c r="C1152" s="194" t="s">
        <v>2023</v>
      </c>
      <c r="D1152" s="46"/>
      <c r="E1152" s="46" t="s">
        <v>216</v>
      </c>
      <c r="F1152" s="61" t="s">
        <v>31</v>
      </c>
      <c r="G1152" s="288">
        <v>140</v>
      </c>
      <c r="H1152" s="289">
        <v>3</v>
      </c>
      <c r="I1152" s="290">
        <v>1</v>
      </c>
      <c r="J1152" s="48" t="s">
        <v>213</v>
      </c>
      <c r="K1152" s="50"/>
      <c r="L1152" s="53" t="str">
        <f t="shared" si="217"/>
        <v>1kilos</v>
      </c>
      <c r="M1152" s="54">
        <f t="shared" si="218"/>
        <v>3</v>
      </c>
      <c r="N1152" s="55" t="str">
        <f t="shared" si="219"/>
        <v>3kilos</v>
      </c>
      <c r="O1152" s="56">
        <f t="shared" si="220"/>
        <v>420</v>
      </c>
      <c r="P1152" s="12"/>
      <c r="Q1152" s="12"/>
      <c r="R1152" s="12"/>
      <c r="S1152" s="151"/>
      <c r="T1152" s="12"/>
      <c r="U1152" s="12"/>
      <c r="V1152" s="12"/>
      <c r="W1152" s="12"/>
      <c r="X1152" s="12"/>
      <c r="Y1152" s="12"/>
      <c r="Z1152" s="12"/>
    </row>
    <row r="1153" spans="1:26" ht="15.75" customHeight="1" x14ac:dyDescent="0.3">
      <c r="A1153" s="45"/>
      <c r="B1153" s="219" t="s">
        <v>456</v>
      </c>
      <c r="C1153" s="194" t="s">
        <v>2021</v>
      </c>
      <c r="D1153" s="46"/>
      <c r="E1153" s="219" t="s">
        <v>216</v>
      </c>
      <c r="F1153" s="61" t="s">
        <v>31</v>
      </c>
      <c r="G1153" s="291">
        <v>180</v>
      </c>
      <c r="H1153" s="292">
        <v>2</v>
      </c>
      <c r="I1153" s="290">
        <v>1</v>
      </c>
      <c r="J1153" s="48" t="s">
        <v>213</v>
      </c>
      <c r="K1153" s="50"/>
      <c r="L1153" s="53" t="str">
        <f t="shared" si="217"/>
        <v>1kilos</v>
      </c>
      <c r="M1153" s="54">
        <f t="shared" si="218"/>
        <v>2</v>
      </c>
      <c r="N1153" s="55" t="str">
        <f t="shared" si="219"/>
        <v>2kilos</v>
      </c>
      <c r="O1153" s="56">
        <f t="shared" si="220"/>
        <v>360</v>
      </c>
      <c r="P1153" s="12"/>
      <c r="Q1153" s="12"/>
      <c r="R1153" s="12"/>
      <c r="S1153" s="151"/>
      <c r="T1153" s="12"/>
      <c r="U1153" s="12"/>
      <c r="V1153" s="12"/>
      <c r="W1153" s="12"/>
      <c r="X1153" s="12"/>
      <c r="Y1153" s="12"/>
      <c r="Z1153" s="12"/>
    </row>
    <row r="1154" spans="1:26" ht="15.75" customHeight="1" x14ac:dyDescent="0.3">
      <c r="A1154" s="45"/>
      <c r="B1154" s="46" t="s">
        <v>456</v>
      </c>
      <c r="C1154" s="194" t="s">
        <v>2022</v>
      </c>
      <c r="D1154" s="46"/>
      <c r="E1154" s="46" t="s">
        <v>912</v>
      </c>
      <c r="F1154" s="61" t="s">
        <v>31</v>
      </c>
      <c r="G1154" s="288">
        <v>160</v>
      </c>
      <c r="H1154" s="289">
        <v>1</v>
      </c>
      <c r="I1154" s="290">
        <v>1</v>
      </c>
      <c r="J1154" s="48" t="s">
        <v>213</v>
      </c>
      <c r="K1154" s="50"/>
      <c r="L1154" s="53" t="str">
        <f t="shared" si="217"/>
        <v>1kilos</v>
      </c>
      <c r="M1154" s="54">
        <f t="shared" si="218"/>
        <v>1</v>
      </c>
      <c r="N1154" s="55" t="str">
        <f t="shared" si="219"/>
        <v>1kilos</v>
      </c>
      <c r="O1154" s="56">
        <f t="shared" si="220"/>
        <v>160</v>
      </c>
      <c r="P1154" s="12"/>
      <c r="Q1154" s="12"/>
      <c r="R1154" s="12"/>
      <c r="S1154" s="151"/>
      <c r="T1154" s="12"/>
      <c r="U1154" s="12"/>
      <c r="V1154" s="12"/>
      <c r="W1154" s="12"/>
      <c r="X1154" s="12"/>
      <c r="Y1154" s="12"/>
      <c r="Z1154" s="12"/>
    </row>
    <row r="1155" spans="1:26" ht="15.75" customHeight="1" x14ac:dyDescent="0.3">
      <c r="A1155" s="45">
        <v>794</v>
      </c>
      <c r="B1155" s="46" t="s">
        <v>1570</v>
      </c>
      <c r="C1155" s="194" t="s">
        <v>1368</v>
      </c>
      <c r="D1155" s="46"/>
      <c r="E1155" s="46" t="s">
        <v>1571</v>
      </c>
      <c r="F1155" s="61" t="s">
        <v>31</v>
      </c>
      <c r="G1155" s="288">
        <v>168.75</v>
      </c>
      <c r="H1155" s="289">
        <v>15</v>
      </c>
      <c r="I1155" s="290">
        <v>200</v>
      </c>
      <c r="J1155" s="48" t="s">
        <v>39</v>
      </c>
      <c r="K1155" s="50"/>
      <c r="L1155" s="53" t="str">
        <f t="shared" si="217"/>
        <v>200grams</v>
      </c>
      <c r="M1155" s="54">
        <f t="shared" si="218"/>
        <v>3000</v>
      </c>
      <c r="N1155" s="55" t="str">
        <f t="shared" si="219"/>
        <v>3000grams</v>
      </c>
      <c r="O1155" s="56">
        <f t="shared" si="220"/>
        <v>2531.25</v>
      </c>
      <c r="P1155" s="44">
        <f t="shared" ref="P1155:P1159" si="241">O1155/H1155</f>
        <v>168.75</v>
      </c>
      <c r="Q1155" s="66"/>
      <c r="R1155" s="32"/>
      <c r="S1155" s="32"/>
      <c r="T1155" s="32"/>
      <c r="U1155" s="32"/>
      <c r="V1155" s="32"/>
      <c r="W1155" s="32"/>
      <c r="X1155" s="32"/>
      <c r="Y1155" s="32"/>
      <c r="Z1155" s="32"/>
    </row>
    <row r="1156" spans="1:26" ht="15.75" customHeight="1" x14ac:dyDescent="0.3">
      <c r="A1156" s="45">
        <v>811</v>
      </c>
      <c r="B1156" s="46" t="s">
        <v>1570</v>
      </c>
      <c r="C1156" s="194" t="s">
        <v>1368</v>
      </c>
      <c r="D1156" s="46"/>
      <c r="E1156" s="46" t="s">
        <v>1572</v>
      </c>
      <c r="F1156" s="61" t="s">
        <v>31</v>
      </c>
      <c r="G1156" s="288">
        <v>162.32</v>
      </c>
      <c r="H1156" s="289">
        <v>8</v>
      </c>
      <c r="I1156" s="290">
        <v>200</v>
      </c>
      <c r="J1156" s="48" t="s">
        <v>39</v>
      </c>
      <c r="K1156" s="50"/>
      <c r="L1156" s="53" t="str">
        <f t="shared" si="217"/>
        <v>200grams</v>
      </c>
      <c r="M1156" s="54">
        <f t="shared" si="218"/>
        <v>1600</v>
      </c>
      <c r="N1156" s="55" t="str">
        <f t="shared" si="219"/>
        <v>1600grams</v>
      </c>
      <c r="O1156" s="56">
        <f t="shared" si="220"/>
        <v>1298.56</v>
      </c>
      <c r="P1156" s="44">
        <f t="shared" si="241"/>
        <v>162.32</v>
      </c>
      <c r="Q1156" s="66"/>
      <c r="R1156" s="32" t="b">
        <f>P1156=G1156</f>
        <v>1</v>
      </c>
      <c r="S1156" s="32"/>
      <c r="T1156" s="32"/>
      <c r="U1156" s="32"/>
      <c r="V1156" s="32"/>
      <c r="W1156" s="32"/>
      <c r="X1156" s="32"/>
      <c r="Y1156" s="32"/>
      <c r="Z1156" s="32"/>
    </row>
    <row r="1157" spans="1:26" ht="15.75" customHeight="1" x14ac:dyDescent="0.3">
      <c r="A1157" s="45">
        <v>820</v>
      </c>
      <c r="B1157" s="46" t="s">
        <v>1570</v>
      </c>
      <c r="C1157" s="194" t="s">
        <v>1368</v>
      </c>
      <c r="D1157" s="46"/>
      <c r="E1157" s="46" t="s">
        <v>1573</v>
      </c>
      <c r="F1157" s="61" t="s">
        <v>31</v>
      </c>
      <c r="G1157" s="288">
        <v>162.32</v>
      </c>
      <c r="H1157" s="289">
        <v>7</v>
      </c>
      <c r="I1157" s="290">
        <v>200</v>
      </c>
      <c r="J1157" s="48" t="s">
        <v>39</v>
      </c>
      <c r="K1157" s="50"/>
      <c r="L1157" s="53" t="str">
        <f t="shared" si="217"/>
        <v>200grams</v>
      </c>
      <c r="M1157" s="54">
        <f t="shared" si="218"/>
        <v>1400</v>
      </c>
      <c r="N1157" s="55" t="str">
        <f t="shared" si="219"/>
        <v>1400grams</v>
      </c>
      <c r="O1157" s="56">
        <f t="shared" si="220"/>
        <v>1136.24</v>
      </c>
      <c r="P1157" s="44">
        <f t="shared" si="241"/>
        <v>162.32</v>
      </c>
      <c r="Q1157" s="66"/>
      <c r="R1157" s="32"/>
      <c r="S1157" s="32"/>
      <c r="T1157" s="32"/>
      <c r="U1157" s="32"/>
      <c r="V1157" s="32"/>
      <c r="W1157" s="32"/>
      <c r="X1157" s="32"/>
      <c r="Y1157" s="32"/>
      <c r="Z1157" s="32"/>
    </row>
    <row r="1158" spans="1:26" ht="15.75" customHeight="1" x14ac:dyDescent="0.3">
      <c r="A1158" s="45">
        <v>800</v>
      </c>
      <c r="B1158" s="46" t="s">
        <v>1570</v>
      </c>
      <c r="C1158" s="194" t="s">
        <v>1368</v>
      </c>
      <c r="D1158" s="46"/>
      <c r="E1158" s="46" t="s">
        <v>1574</v>
      </c>
      <c r="F1158" s="61" t="s">
        <v>31</v>
      </c>
      <c r="G1158" s="288">
        <v>162.32</v>
      </c>
      <c r="H1158" s="289">
        <v>11</v>
      </c>
      <c r="I1158" s="290">
        <v>200</v>
      </c>
      <c r="J1158" s="48" t="s">
        <v>39</v>
      </c>
      <c r="K1158" s="50"/>
      <c r="L1158" s="53" t="str">
        <f t="shared" si="217"/>
        <v>200grams</v>
      </c>
      <c r="M1158" s="54">
        <f t="shared" si="218"/>
        <v>2200</v>
      </c>
      <c r="N1158" s="55" t="str">
        <f t="shared" si="219"/>
        <v>2200grams</v>
      </c>
      <c r="O1158" s="56">
        <f t="shared" si="220"/>
        <v>1785.52</v>
      </c>
      <c r="P1158" s="44">
        <f t="shared" si="241"/>
        <v>162.32</v>
      </c>
      <c r="Q1158" s="66"/>
      <c r="R1158" s="32"/>
      <c r="S1158" s="32"/>
      <c r="T1158" s="32"/>
      <c r="U1158" s="32"/>
      <c r="V1158" s="32"/>
      <c r="W1158" s="32"/>
      <c r="X1158" s="32"/>
      <c r="Y1158" s="32"/>
      <c r="Z1158" s="32"/>
    </row>
    <row r="1159" spans="1:26" ht="15.75" customHeight="1" x14ac:dyDescent="0.3">
      <c r="A1159" s="45">
        <v>98</v>
      </c>
      <c r="B1159" s="46" t="s">
        <v>1570</v>
      </c>
      <c r="C1159" s="194" t="s">
        <v>1368</v>
      </c>
      <c r="D1159" s="46"/>
      <c r="E1159" s="46" t="s">
        <v>1575</v>
      </c>
      <c r="F1159" s="61" t="s">
        <v>31</v>
      </c>
      <c r="G1159" s="288">
        <v>167.95</v>
      </c>
      <c r="H1159" s="289">
        <v>12</v>
      </c>
      <c r="I1159" s="290">
        <v>200</v>
      </c>
      <c r="J1159" s="48" t="s">
        <v>39</v>
      </c>
      <c r="K1159" s="50"/>
      <c r="L1159" s="53" t="str">
        <f t="shared" si="217"/>
        <v>200grams</v>
      </c>
      <c r="M1159" s="54">
        <f t="shared" si="218"/>
        <v>2400</v>
      </c>
      <c r="N1159" s="55" t="str">
        <f t="shared" si="219"/>
        <v>2400grams</v>
      </c>
      <c r="O1159" s="56">
        <f t="shared" si="220"/>
        <v>2015.3999999999999</v>
      </c>
      <c r="P1159" s="44">
        <f t="shared" si="241"/>
        <v>167.95</v>
      </c>
      <c r="Q1159" s="66"/>
      <c r="R1159" s="32"/>
      <c r="S1159" s="32"/>
      <c r="T1159" s="32"/>
      <c r="U1159" s="32"/>
      <c r="V1159" s="32"/>
      <c r="W1159" s="32"/>
      <c r="X1159" s="32"/>
      <c r="Y1159" s="32"/>
      <c r="Z1159" s="32"/>
    </row>
    <row r="1160" spans="1:26" ht="15.75" customHeight="1" x14ac:dyDescent="0.3">
      <c r="A1160" s="45"/>
      <c r="B1160" s="219" t="s">
        <v>1576</v>
      </c>
      <c r="C1160" s="194" t="s">
        <v>2022</v>
      </c>
      <c r="D1160" s="46"/>
      <c r="E1160" s="46" t="s">
        <v>1577</v>
      </c>
      <c r="F1160" s="61" t="s">
        <v>31</v>
      </c>
      <c r="G1160" s="288">
        <v>20</v>
      </c>
      <c r="H1160" s="289">
        <v>2</v>
      </c>
      <c r="I1160" s="290">
        <v>19</v>
      </c>
      <c r="J1160" s="48" t="s">
        <v>39</v>
      </c>
      <c r="K1160" s="50"/>
      <c r="L1160" s="53" t="str">
        <f t="shared" si="217"/>
        <v>19grams</v>
      </c>
      <c r="M1160" s="54">
        <f t="shared" si="218"/>
        <v>38</v>
      </c>
      <c r="N1160" s="55" t="str">
        <f t="shared" si="219"/>
        <v>38grams</v>
      </c>
      <c r="O1160" s="56">
        <f t="shared" si="220"/>
        <v>40</v>
      </c>
      <c r="P1160" s="12"/>
      <c r="Q1160" s="12"/>
      <c r="R1160" s="12"/>
      <c r="S1160" s="151"/>
      <c r="T1160" s="12"/>
      <c r="U1160" s="12"/>
      <c r="V1160" s="12"/>
      <c r="W1160" s="12"/>
      <c r="X1160" s="12"/>
      <c r="Y1160" s="12"/>
      <c r="Z1160" s="12"/>
    </row>
    <row r="1161" spans="1:26" ht="15.75" customHeight="1" x14ac:dyDescent="0.3">
      <c r="A1161" s="45"/>
      <c r="B1161" s="219" t="s">
        <v>1576</v>
      </c>
      <c r="C1161" s="194" t="s">
        <v>2021</v>
      </c>
      <c r="D1161" s="46"/>
      <c r="E1161" s="46" t="s">
        <v>1577</v>
      </c>
      <c r="F1161" s="61" t="s">
        <v>31</v>
      </c>
      <c r="G1161" s="291">
        <v>19</v>
      </c>
      <c r="H1161" s="292">
        <v>2</v>
      </c>
      <c r="I1161" s="293">
        <v>19</v>
      </c>
      <c r="J1161" s="414" t="s">
        <v>39</v>
      </c>
      <c r="K1161" s="50"/>
      <c r="L1161" s="53" t="str">
        <f t="shared" si="217"/>
        <v>19grams</v>
      </c>
      <c r="M1161" s="54">
        <f t="shared" si="218"/>
        <v>38</v>
      </c>
      <c r="N1161" s="55" t="str">
        <f t="shared" si="219"/>
        <v>38grams</v>
      </c>
      <c r="O1161" s="56">
        <f t="shared" si="220"/>
        <v>38</v>
      </c>
      <c r="P1161" s="12"/>
      <c r="Q1161" s="12"/>
      <c r="R1161" s="12"/>
      <c r="S1161" s="151"/>
      <c r="T1161" s="12"/>
      <c r="U1161" s="12"/>
      <c r="V1161" s="12"/>
      <c r="W1161" s="12"/>
      <c r="X1161" s="12"/>
      <c r="Y1161" s="12"/>
      <c r="Z1161" s="12"/>
    </row>
    <row r="1162" spans="1:26" ht="15.75" customHeight="1" x14ac:dyDescent="0.3">
      <c r="A1162" s="45"/>
      <c r="B1162" s="219" t="s">
        <v>1578</v>
      </c>
      <c r="C1162" s="194" t="s">
        <v>2021</v>
      </c>
      <c r="D1162" s="46"/>
      <c r="E1162" s="46" t="s">
        <v>1577</v>
      </c>
      <c r="F1162" s="61" t="s">
        <v>31</v>
      </c>
      <c r="G1162" s="291">
        <v>20.5</v>
      </c>
      <c r="H1162" s="292">
        <v>1</v>
      </c>
      <c r="I1162" s="293">
        <v>19</v>
      </c>
      <c r="J1162" s="414" t="s">
        <v>39</v>
      </c>
      <c r="K1162" s="50"/>
      <c r="L1162" s="53" t="str">
        <f t="shared" si="217"/>
        <v>19grams</v>
      </c>
      <c r="M1162" s="54">
        <f t="shared" si="218"/>
        <v>19</v>
      </c>
      <c r="N1162" s="55" t="str">
        <f t="shared" si="219"/>
        <v>19grams</v>
      </c>
      <c r="O1162" s="56">
        <f t="shared" si="220"/>
        <v>20.5</v>
      </c>
      <c r="P1162" s="12"/>
      <c r="Q1162" s="12"/>
      <c r="R1162" s="12"/>
      <c r="S1162" s="151"/>
      <c r="T1162" s="12"/>
      <c r="U1162" s="12"/>
      <c r="V1162" s="12"/>
      <c r="W1162" s="12"/>
      <c r="X1162" s="12"/>
      <c r="Y1162" s="12"/>
      <c r="Z1162" s="12"/>
    </row>
    <row r="1163" spans="1:26" ht="15.75" customHeight="1" x14ac:dyDescent="0.3">
      <c r="A1163" s="45"/>
      <c r="B1163" s="46" t="s">
        <v>1579</v>
      </c>
      <c r="C1163" s="194" t="s">
        <v>2022</v>
      </c>
      <c r="D1163" s="46"/>
      <c r="E1163" s="46" t="s">
        <v>1577</v>
      </c>
      <c r="F1163" s="61" t="s">
        <v>31</v>
      </c>
      <c r="G1163" s="288">
        <v>20.3</v>
      </c>
      <c r="H1163" s="289">
        <v>56</v>
      </c>
      <c r="I1163" s="290">
        <v>19</v>
      </c>
      <c r="J1163" s="48" t="s">
        <v>39</v>
      </c>
      <c r="K1163" s="50"/>
      <c r="L1163" s="53" t="str">
        <f t="shared" si="217"/>
        <v>19grams</v>
      </c>
      <c r="M1163" s="54">
        <f t="shared" si="218"/>
        <v>1064</v>
      </c>
      <c r="N1163" s="55" t="str">
        <f t="shared" si="219"/>
        <v>1064grams</v>
      </c>
      <c r="O1163" s="56">
        <f t="shared" si="220"/>
        <v>1136.8</v>
      </c>
      <c r="P1163" s="12"/>
      <c r="Q1163" s="12"/>
      <c r="R1163" s="12"/>
      <c r="S1163" s="151"/>
      <c r="T1163" s="12"/>
      <c r="U1163" s="12"/>
      <c r="V1163" s="12"/>
      <c r="W1163" s="12"/>
      <c r="X1163" s="12"/>
      <c r="Y1163" s="12"/>
      <c r="Z1163" s="12"/>
    </row>
    <row r="1164" spans="1:26" ht="15.75" customHeight="1" x14ac:dyDescent="0.3">
      <c r="A1164" s="45"/>
      <c r="B1164" s="46" t="s">
        <v>1580</v>
      </c>
      <c r="C1164" s="194" t="s">
        <v>2022</v>
      </c>
      <c r="D1164" s="46"/>
      <c r="E1164" s="46" t="s">
        <v>1577</v>
      </c>
      <c r="F1164" s="61" t="s">
        <v>31</v>
      </c>
      <c r="G1164" s="288">
        <v>19</v>
      </c>
      <c r="H1164" s="289">
        <v>32</v>
      </c>
      <c r="I1164" s="290">
        <v>19</v>
      </c>
      <c r="J1164" s="48" t="s">
        <v>39</v>
      </c>
      <c r="K1164" s="50"/>
      <c r="L1164" s="53" t="str">
        <f t="shared" si="217"/>
        <v>19grams</v>
      </c>
      <c r="M1164" s="54">
        <f t="shared" si="218"/>
        <v>608</v>
      </c>
      <c r="N1164" s="55" t="str">
        <f t="shared" si="219"/>
        <v>608grams</v>
      </c>
      <c r="O1164" s="56">
        <f t="shared" si="220"/>
        <v>608</v>
      </c>
      <c r="P1164" s="12"/>
      <c r="Q1164" s="12"/>
      <c r="R1164" s="12"/>
      <c r="S1164" s="151"/>
      <c r="T1164" s="12"/>
      <c r="U1164" s="12"/>
      <c r="V1164" s="12"/>
      <c r="W1164" s="12"/>
      <c r="X1164" s="12"/>
      <c r="Y1164" s="12"/>
      <c r="Z1164" s="12"/>
    </row>
    <row r="1165" spans="1:26" ht="15.75" customHeight="1" x14ac:dyDescent="0.3">
      <c r="A1165" s="45"/>
      <c r="B1165" s="219" t="s">
        <v>1581</v>
      </c>
      <c r="C1165" s="194" t="s">
        <v>2021</v>
      </c>
      <c r="D1165" s="219"/>
      <c r="E1165" s="46" t="s">
        <v>1577</v>
      </c>
      <c r="F1165" s="61" t="s">
        <v>31</v>
      </c>
      <c r="G1165" s="291">
        <v>20.5</v>
      </c>
      <c r="H1165" s="292">
        <v>4</v>
      </c>
      <c r="I1165" s="293">
        <v>19</v>
      </c>
      <c r="J1165" s="414" t="s">
        <v>39</v>
      </c>
      <c r="K1165" s="50"/>
      <c r="L1165" s="53" t="str">
        <f t="shared" si="217"/>
        <v>19grams</v>
      </c>
      <c r="M1165" s="54">
        <f t="shared" si="218"/>
        <v>76</v>
      </c>
      <c r="N1165" s="55" t="str">
        <f t="shared" si="219"/>
        <v>76grams</v>
      </c>
      <c r="O1165" s="56">
        <f t="shared" si="220"/>
        <v>82</v>
      </c>
      <c r="P1165" s="12"/>
      <c r="Q1165" s="12"/>
      <c r="R1165" s="12"/>
      <c r="S1165" s="151"/>
      <c r="T1165" s="12"/>
      <c r="U1165" s="12"/>
      <c r="V1165" s="12"/>
      <c r="W1165" s="12"/>
      <c r="X1165" s="12"/>
      <c r="Y1165" s="12"/>
      <c r="Z1165" s="12"/>
    </row>
    <row r="1166" spans="1:26" ht="15.75" customHeight="1" x14ac:dyDescent="0.3">
      <c r="A1166" s="45"/>
      <c r="B1166" s="46" t="s">
        <v>738</v>
      </c>
      <c r="C1166" s="194" t="s">
        <v>2023</v>
      </c>
      <c r="D1166" s="46"/>
      <c r="E1166" s="46"/>
      <c r="F1166" s="61" t="s">
        <v>31</v>
      </c>
      <c r="G1166" s="288">
        <v>280</v>
      </c>
      <c r="H1166" s="289">
        <v>3</v>
      </c>
      <c r="I1166" s="290">
        <v>1</v>
      </c>
      <c r="J1166" s="48" t="s">
        <v>213</v>
      </c>
      <c r="K1166" s="50"/>
      <c r="L1166" s="53" t="str">
        <f t="shared" si="217"/>
        <v>1kilos</v>
      </c>
      <c r="M1166" s="54">
        <f t="shared" si="218"/>
        <v>3</v>
      </c>
      <c r="N1166" s="55" t="str">
        <f t="shared" si="219"/>
        <v>3kilos</v>
      </c>
      <c r="O1166" s="56">
        <f t="shared" si="220"/>
        <v>840</v>
      </c>
      <c r="P1166" s="12"/>
      <c r="Q1166" s="12"/>
      <c r="R1166" s="12"/>
      <c r="S1166" s="151"/>
      <c r="T1166" s="12"/>
      <c r="U1166" s="12"/>
      <c r="V1166" s="12"/>
      <c r="W1166" s="12"/>
      <c r="X1166" s="12"/>
      <c r="Y1166" s="12"/>
      <c r="Z1166" s="12"/>
    </row>
    <row r="1167" spans="1:26" ht="15.75" customHeight="1" x14ac:dyDescent="0.3">
      <c r="A1167" s="45">
        <v>27</v>
      </c>
      <c r="B1167" s="46" t="s">
        <v>743</v>
      </c>
      <c r="C1167" s="194" t="s">
        <v>2025</v>
      </c>
      <c r="D1167" s="46"/>
      <c r="E1167" s="46" t="s">
        <v>1582</v>
      </c>
      <c r="F1167" s="61" t="s">
        <v>31</v>
      </c>
      <c r="G1167" s="288">
        <v>51.1</v>
      </c>
      <c r="H1167" s="289">
        <v>1</v>
      </c>
      <c r="I1167" s="290">
        <v>100</v>
      </c>
      <c r="J1167" s="48" t="s">
        <v>39</v>
      </c>
      <c r="K1167" s="50"/>
      <c r="L1167" s="53" t="str">
        <f t="shared" si="217"/>
        <v>100grams</v>
      </c>
      <c r="M1167" s="54">
        <f t="shared" si="218"/>
        <v>100</v>
      </c>
      <c r="N1167" s="55" t="str">
        <f t="shared" si="219"/>
        <v>100grams</v>
      </c>
      <c r="O1167" s="56">
        <f t="shared" si="220"/>
        <v>51.1</v>
      </c>
      <c r="P1167" s="44">
        <f t="shared" ref="P1167:P1168" si="242">O1167/H1167</f>
        <v>51.1</v>
      </c>
      <c r="Q1167" s="66"/>
      <c r="R1167" s="32" t="b">
        <f t="shared" ref="R1167:R1168" si="243">P1167=G1167</f>
        <v>1</v>
      </c>
      <c r="S1167" s="32"/>
      <c r="T1167" s="32"/>
      <c r="U1167" s="32"/>
      <c r="V1167" s="32"/>
      <c r="W1167" s="32"/>
      <c r="X1167" s="32"/>
      <c r="Y1167" s="32"/>
      <c r="Z1167" s="32"/>
    </row>
    <row r="1168" spans="1:26" ht="15.75" customHeight="1" x14ac:dyDescent="0.3">
      <c r="A1168" s="45">
        <v>743</v>
      </c>
      <c r="B1168" s="46" t="s">
        <v>743</v>
      </c>
      <c r="C1168" s="194" t="s">
        <v>2026</v>
      </c>
      <c r="D1168" s="46"/>
      <c r="E1168" s="46" t="s">
        <v>1582</v>
      </c>
      <c r="F1168" s="61" t="s">
        <v>31</v>
      </c>
      <c r="G1168" s="288">
        <v>51.1</v>
      </c>
      <c r="H1168" s="289">
        <v>2</v>
      </c>
      <c r="I1168" s="290">
        <v>100</v>
      </c>
      <c r="J1168" s="48" t="s">
        <v>39</v>
      </c>
      <c r="K1168" s="50"/>
      <c r="L1168" s="53" t="str">
        <f t="shared" si="217"/>
        <v>100grams</v>
      </c>
      <c r="M1168" s="54">
        <f t="shared" si="218"/>
        <v>200</v>
      </c>
      <c r="N1168" s="55" t="str">
        <f t="shared" si="219"/>
        <v>200grams</v>
      </c>
      <c r="O1168" s="56">
        <f t="shared" si="220"/>
        <v>102.2</v>
      </c>
      <c r="P1168" s="44">
        <f t="shared" si="242"/>
        <v>51.1</v>
      </c>
      <c r="Q1168" s="66"/>
      <c r="R1168" s="32" t="b">
        <f t="shared" si="243"/>
        <v>1</v>
      </c>
      <c r="S1168" s="32"/>
      <c r="T1168" s="32"/>
      <c r="U1168" s="32"/>
      <c r="V1168" s="32"/>
      <c r="W1168" s="32"/>
      <c r="X1168" s="32"/>
      <c r="Y1168" s="32"/>
      <c r="Z1168" s="32"/>
    </row>
    <row r="1169" spans="1:26" ht="15.75" customHeight="1" x14ac:dyDescent="0.3">
      <c r="A1169" s="45"/>
      <c r="B1169" s="46" t="s">
        <v>743</v>
      </c>
      <c r="C1169" s="194" t="s">
        <v>2023</v>
      </c>
      <c r="D1169" s="46"/>
      <c r="E1169" s="46" t="s">
        <v>959</v>
      </c>
      <c r="F1169" s="61" t="s">
        <v>31</v>
      </c>
      <c r="G1169" s="288">
        <v>49</v>
      </c>
      <c r="H1169" s="289">
        <v>2</v>
      </c>
      <c r="I1169" s="290">
        <v>100</v>
      </c>
      <c r="J1169" s="48" t="s">
        <v>39</v>
      </c>
      <c r="K1169" s="50"/>
      <c r="L1169" s="53" t="str">
        <f t="shared" si="217"/>
        <v>100grams</v>
      </c>
      <c r="M1169" s="54">
        <f t="shared" si="218"/>
        <v>200</v>
      </c>
      <c r="N1169" s="55" t="str">
        <f t="shared" si="219"/>
        <v>200grams</v>
      </c>
      <c r="O1169" s="56">
        <f t="shared" si="220"/>
        <v>98</v>
      </c>
      <c r="P1169" s="44"/>
      <c r="Q1169" s="12"/>
      <c r="R1169" s="12"/>
      <c r="S1169" s="151"/>
      <c r="T1169" s="12"/>
      <c r="U1169" s="12"/>
      <c r="V1169" s="12"/>
      <c r="W1169" s="12"/>
      <c r="X1169" s="12"/>
      <c r="Y1169" s="12"/>
      <c r="Z1169" s="12"/>
    </row>
    <row r="1170" spans="1:26" ht="15.75" customHeight="1" x14ac:dyDescent="0.3">
      <c r="A1170" s="45"/>
      <c r="B1170" s="46" t="s">
        <v>743</v>
      </c>
      <c r="C1170" s="194" t="s">
        <v>2022</v>
      </c>
      <c r="D1170" s="46"/>
      <c r="E1170" s="46" t="s">
        <v>1286</v>
      </c>
      <c r="F1170" s="61" t="s">
        <v>31</v>
      </c>
      <c r="G1170" s="288">
        <v>48</v>
      </c>
      <c r="H1170" s="289">
        <v>7</v>
      </c>
      <c r="I1170" s="290">
        <v>100</v>
      </c>
      <c r="J1170" s="48" t="s">
        <v>39</v>
      </c>
      <c r="K1170" s="50"/>
      <c r="L1170" s="53" t="str">
        <f t="shared" si="217"/>
        <v>100grams</v>
      </c>
      <c r="M1170" s="54">
        <f t="shared" si="218"/>
        <v>700</v>
      </c>
      <c r="N1170" s="55" t="str">
        <f t="shared" si="219"/>
        <v>700grams</v>
      </c>
      <c r="O1170" s="56">
        <f t="shared" si="220"/>
        <v>336</v>
      </c>
      <c r="P1170" s="12"/>
      <c r="Q1170" s="12"/>
      <c r="R1170" s="12"/>
      <c r="S1170" s="151"/>
      <c r="T1170" s="12"/>
      <c r="U1170" s="12"/>
      <c r="V1170" s="12"/>
      <c r="W1170" s="12"/>
      <c r="X1170" s="12"/>
      <c r="Y1170" s="12"/>
      <c r="Z1170" s="12"/>
    </row>
    <row r="1171" spans="1:26" ht="15.75" customHeight="1" x14ac:dyDescent="0.3">
      <c r="A1171" s="45"/>
      <c r="B1171" s="219" t="s">
        <v>743</v>
      </c>
      <c r="C1171" s="194" t="s">
        <v>2021</v>
      </c>
      <c r="D1171" s="46"/>
      <c r="E1171" s="46" t="s">
        <v>959</v>
      </c>
      <c r="F1171" s="61" t="s">
        <v>31</v>
      </c>
      <c r="G1171" s="291">
        <v>48.8</v>
      </c>
      <c r="H1171" s="292">
        <v>9</v>
      </c>
      <c r="I1171" s="293">
        <v>100</v>
      </c>
      <c r="J1171" s="414" t="s">
        <v>39</v>
      </c>
      <c r="K1171" s="50"/>
      <c r="L1171" s="53" t="str">
        <f t="shared" si="217"/>
        <v>100grams</v>
      </c>
      <c r="M1171" s="54">
        <f t="shared" si="218"/>
        <v>900</v>
      </c>
      <c r="N1171" s="55" t="str">
        <f t="shared" si="219"/>
        <v>900grams</v>
      </c>
      <c r="O1171" s="56">
        <f t="shared" si="220"/>
        <v>439.2</v>
      </c>
      <c r="P1171" s="12"/>
      <c r="Q1171" s="12"/>
      <c r="R1171" s="12"/>
      <c r="S1171" s="151"/>
      <c r="T1171" s="12"/>
      <c r="U1171" s="12"/>
      <c r="V1171" s="12"/>
      <c r="W1171" s="12"/>
      <c r="X1171" s="12"/>
      <c r="Y1171" s="12"/>
      <c r="Z1171" s="12"/>
    </row>
    <row r="1172" spans="1:26" ht="15.75" customHeight="1" x14ac:dyDescent="0.3">
      <c r="A1172" s="45"/>
      <c r="B1172" s="46" t="s">
        <v>745</v>
      </c>
      <c r="C1172" s="194" t="s">
        <v>2023</v>
      </c>
      <c r="D1172" s="46"/>
      <c r="E1172" s="46"/>
      <c r="F1172" s="61" t="s">
        <v>31</v>
      </c>
      <c r="G1172" s="288">
        <v>125</v>
      </c>
      <c r="H1172" s="289">
        <v>1</v>
      </c>
      <c r="I1172" s="290">
        <v>1</v>
      </c>
      <c r="J1172" s="48" t="s">
        <v>213</v>
      </c>
      <c r="K1172" s="50"/>
      <c r="L1172" s="53" t="str">
        <f t="shared" si="217"/>
        <v>1kilos</v>
      </c>
      <c r="M1172" s="54">
        <f t="shared" si="218"/>
        <v>1</v>
      </c>
      <c r="N1172" s="55" t="str">
        <f t="shared" si="219"/>
        <v>1kilos</v>
      </c>
      <c r="O1172" s="56">
        <f t="shared" si="220"/>
        <v>125</v>
      </c>
      <c r="P1172" s="44"/>
      <c r="Q1172" s="12"/>
      <c r="R1172" s="12"/>
      <c r="S1172" s="151"/>
      <c r="T1172" s="12"/>
      <c r="U1172" s="12"/>
      <c r="V1172" s="12"/>
      <c r="W1172" s="12"/>
      <c r="X1172" s="12"/>
      <c r="Y1172" s="12"/>
      <c r="Z1172" s="12"/>
    </row>
    <row r="1173" spans="1:26" ht="15.75" customHeight="1" x14ac:dyDescent="0.3">
      <c r="A1173" s="45">
        <v>142</v>
      </c>
      <c r="B1173" s="46" t="s">
        <v>1583</v>
      </c>
      <c r="C1173" s="194" t="s">
        <v>2024</v>
      </c>
      <c r="D1173" s="46"/>
      <c r="E1173" s="46" t="s">
        <v>1584</v>
      </c>
      <c r="F1173" s="61" t="s">
        <v>31</v>
      </c>
      <c r="G1173" s="288">
        <v>25.8</v>
      </c>
      <c r="H1173" s="289">
        <v>8</v>
      </c>
      <c r="I1173" s="290">
        <v>1</v>
      </c>
      <c r="J1173" s="48" t="s">
        <v>92</v>
      </c>
      <c r="K1173" s="50"/>
      <c r="L1173" s="53" t="str">
        <f t="shared" si="217"/>
        <v>1pieces</v>
      </c>
      <c r="M1173" s="54">
        <f t="shared" si="218"/>
        <v>8</v>
      </c>
      <c r="N1173" s="55" t="str">
        <f t="shared" si="219"/>
        <v>8pieces</v>
      </c>
      <c r="O1173" s="56">
        <f t="shared" si="220"/>
        <v>206.4</v>
      </c>
      <c r="P1173" s="44">
        <f>O1173/H1173</f>
        <v>25.8</v>
      </c>
      <c r="Q1173" s="66"/>
      <c r="R1173" s="32" t="b">
        <f>P1173=G1173</f>
        <v>1</v>
      </c>
      <c r="S1173" s="32"/>
      <c r="T1173" s="32"/>
      <c r="U1173" s="32"/>
      <c r="V1173" s="32"/>
      <c r="W1173" s="32"/>
      <c r="X1173" s="32"/>
      <c r="Y1173" s="32"/>
      <c r="Z1173" s="32"/>
    </row>
    <row r="1174" spans="1:26" ht="15.75" customHeight="1" x14ac:dyDescent="0.3">
      <c r="A1174" s="45"/>
      <c r="B1174" s="46" t="s">
        <v>315</v>
      </c>
      <c r="C1174" s="194" t="s">
        <v>2022</v>
      </c>
      <c r="D1174" s="46"/>
      <c r="E1174" s="46"/>
      <c r="F1174" s="61" t="s">
        <v>31</v>
      </c>
      <c r="G1174" s="288">
        <v>56.4</v>
      </c>
      <c r="H1174" s="289">
        <v>1</v>
      </c>
      <c r="I1174" s="290">
        <v>430</v>
      </c>
      <c r="J1174" s="48" t="s">
        <v>32</v>
      </c>
      <c r="K1174" s="50"/>
      <c r="L1174" s="53" t="str">
        <f t="shared" si="217"/>
        <v>430ml</v>
      </c>
      <c r="M1174" s="54">
        <f t="shared" si="218"/>
        <v>430</v>
      </c>
      <c r="N1174" s="55" t="str">
        <f t="shared" si="219"/>
        <v>430ml</v>
      </c>
      <c r="O1174" s="56">
        <f t="shared" si="220"/>
        <v>56.4</v>
      </c>
      <c r="P1174" s="12"/>
      <c r="Q1174" s="12"/>
      <c r="R1174" s="12"/>
      <c r="S1174" s="151"/>
      <c r="T1174" s="12"/>
      <c r="U1174" s="12"/>
      <c r="V1174" s="12"/>
      <c r="W1174" s="12"/>
      <c r="X1174" s="12"/>
      <c r="Y1174" s="12"/>
      <c r="Z1174" s="12"/>
    </row>
    <row r="1175" spans="1:26" ht="15.75" customHeight="1" x14ac:dyDescent="0.3">
      <c r="A1175" s="45"/>
      <c r="B1175" s="219" t="s">
        <v>315</v>
      </c>
      <c r="C1175" s="194" t="s">
        <v>2021</v>
      </c>
      <c r="D1175" s="46"/>
      <c r="E1175" s="219"/>
      <c r="F1175" s="61" t="s">
        <v>31</v>
      </c>
      <c r="G1175" s="291">
        <v>55.55</v>
      </c>
      <c r="H1175" s="292">
        <v>2</v>
      </c>
      <c r="I1175" s="293">
        <v>490</v>
      </c>
      <c r="J1175" s="414" t="s">
        <v>32</v>
      </c>
      <c r="K1175" s="50"/>
      <c r="L1175" s="53" t="str">
        <f t="shared" si="217"/>
        <v>490ml</v>
      </c>
      <c r="M1175" s="54">
        <f t="shared" si="218"/>
        <v>980</v>
      </c>
      <c r="N1175" s="55" t="str">
        <f t="shared" si="219"/>
        <v>980ml</v>
      </c>
      <c r="O1175" s="56">
        <f t="shared" si="220"/>
        <v>111.1</v>
      </c>
      <c r="P1175" s="12"/>
      <c r="Q1175" s="12"/>
      <c r="R1175" s="12"/>
      <c r="S1175" s="151"/>
      <c r="T1175" s="12"/>
      <c r="U1175" s="12"/>
      <c r="V1175" s="12"/>
      <c r="W1175" s="12"/>
      <c r="X1175" s="12"/>
      <c r="Y1175" s="12"/>
      <c r="Z1175" s="12"/>
    </row>
    <row r="1176" spans="1:26" ht="15.75" customHeight="1" x14ac:dyDescent="0.3">
      <c r="A1176" s="45"/>
      <c r="B1176" s="219" t="s">
        <v>748</v>
      </c>
      <c r="C1176" s="194" t="s">
        <v>2021</v>
      </c>
      <c r="D1176" s="46"/>
      <c r="E1176" s="219" t="s">
        <v>881</v>
      </c>
      <c r="F1176" s="61" t="s">
        <v>31</v>
      </c>
      <c r="G1176" s="291">
        <v>139</v>
      </c>
      <c r="H1176" s="292">
        <v>1</v>
      </c>
      <c r="I1176" s="293">
        <v>185</v>
      </c>
      <c r="J1176" s="414" t="s">
        <v>39</v>
      </c>
      <c r="K1176" s="50"/>
      <c r="L1176" s="53" t="str">
        <f t="shared" si="217"/>
        <v>185grams</v>
      </c>
      <c r="M1176" s="54">
        <f t="shared" si="218"/>
        <v>185</v>
      </c>
      <c r="N1176" s="55" t="str">
        <f t="shared" si="219"/>
        <v>185grams</v>
      </c>
      <c r="O1176" s="56">
        <f t="shared" si="220"/>
        <v>139</v>
      </c>
      <c r="P1176" s="12"/>
      <c r="Q1176" s="12"/>
      <c r="R1176" s="12"/>
      <c r="S1176" s="151"/>
      <c r="T1176" s="12"/>
      <c r="U1176" s="12"/>
      <c r="V1176" s="12"/>
      <c r="W1176" s="12"/>
      <c r="X1176" s="12"/>
      <c r="Y1176" s="12"/>
      <c r="Z1176" s="12"/>
    </row>
    <row r="1177" spans="1:26" ht="15.75" customHeight="1" x14ac:dyDescent="0.3">
      <c r="A1177" s="45">
        <v>450</v>
      </c>
      <c r="B1177" s="219" t="s">
        <v>1585</v>
      </c>
      <c r="C1177" s="194" t="s">
        <v>2025</v>
      </c>
      <c r="D1177" s="46"/>
      <c r="E1177" s="46" t="s">
        <v>1586</v>
      </c>
      <c r="F1177" s="61" t="s">
        <v>31</v>
      </c>
      <c r="G1177" s="288">
        <v>1700</v>
      </c>
      <c r="H1177" s="289">
        <v>1</v>
      </c>
      <c r="I1177" s="290">
        <v>5</v>
      </c>
      <c r="J1177" s="48" t="s">
        <v>213</v>
      </c>
      <c r="K1177" s="50"/>
      <c r="L1177" s="53" t="str">
        <f t="shared" si="217"/>
        <v>5kilos</v>
      </c>
      <c r="M1177" s="54">
        <f t="shared" si="218"/>
        <v>5</v>
      </c>
      <c r="N1177" s="55" t="str">
        <f t="shared" si="219"/>
        <v>5kilos</v>
      </c>
      <c r="O1177" s="56">
        <f t="shared" si="220"/>
        <v>1700</v>
      </c>
      <c r="P1177" s="44">
        <f t="shared" ref="P1177:P1178" si="244">O1177/H1177</f>
        <v>1700</v>
      </c>
      <c r="Q1177" s="66"/>
      <c r="R1177" s="32"/>
      <c r="S1177" s="32"/>
      <c r="T1177" s="32"/>
      <c r="U1177" s="32"/>
      <c r="V1177" s="32"/>
      <c r="W1177" s="32"/>
      <c r="X1177" s="32"/>
      <c r="Y1177" s="32"/>
      <c r="Z1177" s="32"/>
    </row>
    <row r="1178" spans="1:26" ht="15.75" customHeight="1" x14ac:dyDescent="0.3">
      <c r="A1178" s="45">
        <v>325</v>
      </c>
      <c r="B1178" s="46" t="s">
        <v>1587</v>
      </c>
      <c r="C1178" s="194" t="s">
        <v>2025</v>
      </c>
      <c r="D1178" s="46"/>
      <c r="E1178" s="46" t="s">
        <v>1588</v>
      </c>
      <c r="F1178" s="61" t="s">
        <v>31</v>
      </c>
      <c r="G1178" s="288">
        <v>343</v>
      </c>
      <c r="H1178" s="289">
        <v>1</v>
      </c>
      <c r="I1178" s="290">
        <v>750</v>
      </c>
      <c r="J1178" s="48" t="s">
        <v>32</v>
      </c>
      <c r="K1178" s="50"/>
      <c r="L1178" s="53" t="str">
        <f t="shared" si="217"/>
        <v>750ml</v>
      </c>
      <c r="M1178" s="54">
        <f t="shared" si="218"/>
        <v>750</v>
      </c>
      <c r="N1178" s="55" t="str">
        <f t="shared" si="219"/>
        <v>750ml</v>
      </c>
      <c r="O1178" s="56">
        <f t="shared" si="220"/>
        <v>343</v>
      </c>
      <c r="P1178" s="44">
        <f t="shared" si="244"/>
        <v>343</v>
      </c>
      <c r="Q1178" s="66"/>
      <c r="R1178" s="32" t="b">
        <f>P1178=G1178</f>
        <v>1</v>
      </c>
      <c r="S1178" s="32"/>
      <c r="T1178" s="32"/>
      <c r="U1178" s="32"/>
      <c r="V1178" s="32"/>
      <c r="W1178" s="32"/>
      <c r="X1178" s="32"/>
      <c r="Y1178" s="32"/>
      <c r="Z1178" s="32"/>
    </row>
    <row r="1179" spans="1:26" ht="15.75" customHeight="1" x14ac:dyDescent="0.3">
      <c r="A1179" s="45"/>
      <c r="B1179" s="219" t="s">
        <v>1587</v>
      </c>
      <c r="C1179" s="194" t="s">
        <v>2021</v>
      </c>
      <c r="D1179" s="46"/>
      <c r="E1179" s="219" t="s">
        <v>1588</v>
      </c>
      <c r="F1179" s="61" t="s">
        <v>31</v>
      </c>
      <c r="G1179" s="291">
        <v>301.5</v>
      </c>
      <c r="H1179" s="292">
        <v>1</v>
      </c>
      <c r="I1179" s="293">
        <v>1</v>
      </c>
      <c r="J1179" s="414" t="s">
        <v>773</v>
      </c>
      <c r="K1179" s="50"/>
      <c r="L1179" s="53" t="str">
        <f t="shared" si="217"/>
        <v>1liters</v>
      </c>
      <c r="M1179" s="54">
        <f t="shared" si="218"/>
        <v>1</v>
      </c>
      <c r="N1179" s="55" t="str">
        <f t="shared" si="219"/>
        <v>1liters</v>
      </c>
      <c r="O1179" s="56">
        <f t="shared" si="220"/>
        <v>301.5</v>
      </c>
      <c r="P1179" s="12"/>
      <c r="Q1179" s="12"/>
      <c r="R1179" s="12"/>
      <c r="S1179" s="151"/>
      <c r="T1179" s="12"/>
      <c r="U1179" s="12"/>
      <c r="V1179" s="12"/>
      <c r="W1179" s="12"/>
      <c r="X1179" s="12"/>
      <c r="Y1179" s="12"/>
      <c r="Z1179" s="12"/>
    </row>
    <row r="1180" spans="1:26" ht="15.75" customHeight="1" x14ac:dyDescent="0.3">
      <c r="A1180" s="45">
        <v>73</v>
      </c>
      <c r="B1180" s="46" t="s">
        <v>750</v>
      </c>
      <c r="C1180" s="194" t="s">
        <v>29</v>
      </c>
      <c r="D1180" s="46"/>
      <c r="E1180" s="46" t="s">
        <v>1589</v>
      </c>
      <c r="F1180" s="61" t="s">
        <v>31</v>
      </c>
      <c r="G1180" s="288">
        <v>48</v>
      </c>
      <c r="H1180" s="289">
        <v>150</v>
      </c>
      <c r="I1180" s="290">
        <v>1</v>
      </c>
      <c r="J1180" s="48" t="s">
        <v>213</v>
      </c>
      <c r="K1180" s="61" t="s">
        <v>2019</v>
      </c>
      <c r="L1180" s="415" t="str">
        <f t="shared" si="217"/>
        <v>1kilos</v>
      </c>
      <c r="M1180" s="416">
        <f t="shared" si="218"/>
        <v>150</v>
      </c>
      <c r="N1180" s="417" t="str">
        <f t="shared" si="219"/>
        <v>150kilos</v>
      </c>
      <c r="O1180" s="418">
        <f t="shared" si="220"/>
        <v>7200</v>
      </c>
      <c r="P1180" s="419">
        <f t="shared" ref="P1180:P1183" si="245">O1180/H1180</f>
        <v>48</v>
      </c>
      <c r="Q1180" s="66"/>
      <c r="R1180" s="32" t="b">
        <f t="shared" ref="R1180:R1183" si="246">P1180=G1180</f>
        <v>1</v>
      </c>
      <c r="S1180" s="32"/>
      <c r="T1180" s="32"/>
      <c r="U1180" s="32"/>
      <c r="V1180" s="32"/>
      <c r="W1180" s="32"/>
      <c r="X1180" s="32"/>
      <c r="Y1180" s="32"/>
      <c r="Z1180" s="32"/>
    </row>
    <row r="1181" spans="1:26" ht="15.75" customHeight="1" x14ac:dyDescent="0.3">
      <c r="A1181" s="45">
        <v>118</v>
      </c>
      <c r="B1181" s="46" t="s">
        <v>750</v>
      </c>
      <c r="C1181" s="194" t="s">
        <v>2024</v>
      </c>
      <c r="D1181" s="46"/>
      <c r="E1181" s="46" t="s">
        <v>1590</v>
      </c>
      <c r="F1181" s="61" t="s">
        <v>31</v>
      </c>
      <c r="G1181" s="288">
        <v>1050</v>
      </c>
      <c r="H1181" s="289">
        <v>16</v>
      </c>
      <c r="I1181" s="290">
        <v>1</v>
      </c>
      <c r="J1181" s="48" t="s">
        <v>1591</v>
      </c>
      <c r="K1181" s="50"/>
      <c r="L1181" s="53" t="str">
        <f t="shared" si="217"/>
        <v>1sacks</v>
      </c>
      <c r="M1181" s="54">
        <f t="shared" si="218"/>
        <v>16</v>
      </c>
      <c r="N1181" s="55" t="str">
        <f t="shared" si="219"/>
        <v>16sacks</v>
      </c>
      <c r="O1181" s="56">
        <f t="shared" si="220"/>
        <v>16800</v>
      </c>
      <c r="P1181" s="44">
        <f t="shared" si="245"/>
        <v>1050</v>
      </c>
      <c r="Q1181" s="66"/>
      <c r="R1181" s="32" t="b">
        <f t="shared" si="246"/>
        <v>1</v>
      </c>
      <c r="S1181" s="32"/>
      <c r="T1181" s="32"/>
      <c r="U1181" s="32"/>
      <c r="V1181" s="32"/>
      <c r="W1181" s="32"/>
      <c r="X1181" s="32"/>
      <c r="Y1181" s="32"/>
      <c r="Z1181" s="32"/>
    </row>
    <row r="1182" spans="1:26" ht="15.75" customHeight="1" x14ac:dyDescent="0.3">
      <c r="A1182" s="45">
        <v>449</v>
      </c>
      <c r="B1182" s="46" t="s">
        <v>750</v>
      </c>
      <c r="C1182" s="194" t="s">
        <v>2025</v>
      </c>
      <c r="D1182" s="46"/>
      <c r="E1182" s="46" t="s">
        <v>1592</v>
      </c>
      <c r="F1182" s="61" t="s">
        <v>31</v>
      </c>
      <c r="G1182" s="288">
        <v>1200</v>
      </c>
      <c r="H1182" s="289">
        <v>6</v>
      </c>
      <c r="I1182" s="290">
        <v>25</v>
      </c>
      <c r="J1182" s="48" t="s">
        <v>213</v>
      </c>
      <c r="K1182" s="50"/>
      <c r="L1182" s="53" t="str">
        <f t="shared" si="217"/>
        <v>25kilos</v>
      </c>
      <c r="M1182" s="54">
        <f t="shared" si="218"/>
        <v>150</v>
      </c>
      <c r="N1182" s="55" t="str">
        <f t="shared" si="219"/>
        <v>150kilos</v>
      </c>
      <c r="O1182" s="56">
        <f t="shared" si="220"/>
        <v>7200</v>
      </c>
      <c r="P1182" s="44">
        <f t="shared" si="245"/>
        <v>1200</v>
      </c>
      <c r="Q1182" s="66"/>
      <c r="R1182" s="32" t="b">
        <f t="shared" si="246"/>
        <v>1</v>
      </c>
      <c r="S1182" s="32"/>
      <c r="T1182" s="32"/>
      <c r="U1182" s="32"/>
      <c r="V1182" s="32"/>
      <c r="W1182" s="32"/>
      <c r="X1182" s="32"/>
      <c r="Y1182" s="32"/>
      <c r="Z1182" s="32"/>
    </row>
    <row r="1183" spans="1:26" ht="15.75" customHeight="1" x14ac:dyDescent="0.3">
      <c r="A1183" s="45">
        <v>587</v>
      </c>
      <c r="B1183" s="46" t="s">
        <v>750</v>
      </c>
      <c r="C1183" s="194" t="s">
        <v>2026</v>
      </c>
      <c r="D1183" s="46"/>
      <c r="E1183" s="46" t="s">
        <v>1593</v>
      </c>
      <c r="F1183" s="61" t="s">
        <v>31</v>
      </c>
      <c r="G1183" s="288">
        <v>43.6</v>
      </c>
      <c r="H1183" s="289">
        <v>88</v>
      </c>
      <c r="I1183" s="290">
        <v>25</v>
      </c>
      <c r="J1183" s="48" t="s">
        <v>213</v>
      </c>
      <c r="K1183" s="50"/>
      <c r="L1183" s="53" t="str">
        <f t="shared" si="217"/>
        <v>25kilos</v>
      </c>
      <c r="M1183" s="54">
        <f t="shared" si="218"/>
        <v>2200</v>
      </c>
      <c r="N1183" s="55" t="str">
        <f t="shared" si="219"/>
        <v>2200kilos</v>
      </c>
      <c r="O1183" s="56">
        <f t="shared" si="220"/>
        <v>3836.8</v>
      </c>
      <c r="P1183" s="44">
        <f t="shared" si="245"/>
        <v>43.6</v>
      </c>
      <c r="Q1183" s="66"/>
      <c r="R1183" s="32" t="b">
        <f t="shared" si="246"/>
        <v>1</v>
      </c>
      <c r="S1183" s="32"/>
      <c r="T1183" s="32"/>
      <c r="U1183" s="32"/>
      <c r="V1183" s="32"/>
      <c r="W1183" s="32"/>
      <c r="X1183" s="32"/>
      <c r="Y1183" s="32"/>
      <c r="Z1183" s="32"/>
    </row>
    <row r="1184" spans="1:26" ht="15.75" customHeight="1" x14ac:dyDescent="0.3">
      <c r="A1184" s="45"/>
      <c r="B1184" s="46" t="s">
        <v>750</v>
      </c>
      <c r="C1184" s="194" t="s">
        <v>2022</v>
      </c>
      <c r="D1184" s="46"/>
      <c r="E1184" s="46" t="s">
        <v>867</v>
      </c>
      <c r="F1184" s="61" t="s">
        <v>31</v>
      </c>
      <c r="G1184" s="288">
        <v>48</v>
      </c>
      <c r="H1184" s="289">
        <v>150</v>
      </c>
      <c r="I1184" s="290">
        <v>1</v>
      </c>
      <c r="J1184" s="48" t="s">
        <v>213</v>
      </c>
      <c r="K1184" s="50"/>
      <c r="L1184" s="53" t="str">
        <f t="shared" si="217"/>
        <v>1kilos</v>
      </c>
      <c r="M1184" s="54">
        <f t="shared" si="218"/>
        <v>150</v>
      </c>
      <c r="N1184" s="55" t="str">
        <f t="shared" si="219"/>
        <v>150kilos</v>
      </c>
      <c r="O1184" s="56">
        <f t="shared" si="220"/>
        <v>7200</v>
      </c>
      <c r="P1184" s="12"/>
      <c r="Q1184" s="12"/>
      <c r="R1184" s="12"/>
      <c r="S1184" s="151"/>
      <c r="T1184" s="12"/>
      <c r="U1184" s="12"/>
      <c r="V1184" s="12"/>
      <c r="W1184" s="12"/>
      <c r="X1184" s="12"/>
      <c r="Y1184" s="12"/>
      <c r="Z1184" s="12"/>
    </row>
    <row r="1185" spans="1:26" ht="15.75" customHeight="1" x14ac:dyDescent="0.3">
      <c r="A1185" s="45"/>
      <c r="B1185" s="219" t="s">
        <v>750</v>
      </c>
      <c r="C1185" s="194" t="s">
        <v>2021</v>
      </c>
      <c r="D1185" s="46"/>
      <c r="E1185" s="219" t="s">
        <v>1594</v>
      </c>
      <c r="F1185" s="61" t="s">
        <v>31</v>
      </c>
      <c r="G1185" s="291">
        <v>2600</v>
      </c>
      <c r="H1185" s="292">
        <v>10</v>
      </c>
      <c r="I1185" s="293">
        <v>50</v>
      </c>
      <c r="J1185" s="414" t="s">
        <v>213</v>
      </c>
      <c r="K1185" s="50"/>
      <c r="L1185" s="53" t="str">
        <f t="shared" si="217"/>
        <v>50kilos</v>
      </c>
      <c r="M1185" s="54">
        <f t="shared" si="218"/>
        <v>500</v>
      </c>
      <c r="N1185" s="55" t="str">
        <f t="shared" si="219"/>
        <v>500kilos</v>
      </c>
      <c r="O1185" s="56">
        <f t="shared" si="220"/>
        <v>26000</v>
      </c>
      <c r="P1185" s="12"/>
      <c r="Q1185" s="12"/>
      <c r="R1185" s="12"/>
      <c r="S1185" s="151"/>
      <c r="T1185" s="12"/>
      <c r="U1185" s="12"/>
      <c r="V1185" s="12"/>
      <c r="W1185" s="12"/>
      <c r="X1185" s="12"/>
      <c r="Y1185" s="12"/>
      <c r="Z1185" s="12"/>
    </row>
    <row r="1186" spans="1:26" ht="15.75" customHeight="1" x14ac:dyDescent="0.3">
      <c r="A1186" s="45">
        <v>807</v>
      </c>
      <c r="B1186" s="219" t="s">
        <v>750</v>
      </c>
      <c r="C1186" s="194" t="s">
        <v>1368</v>
      </c>
      <c r="D1186" s="46"/>
      <c r="E1186" s="46" t="s">
        <v>1595</v>
      </c>
      <c r="F1186" s="61" t="s">
        <v>31</v>
      </c>
      <c r="G1186" s="288">
        <v>3000</v>
      </c>
      <c r="H1186" s="289">
        <v>10</v>
      </c>
      <c r="I1186" s="290">
        <v>50</v>
      </c>
      <c r="J1186" s="48" t="s">
        <v>213</v>
      </c>
      <c r="K1186" s="50" t="s">
        <v>2019</v>
      </c>
      <c r="L1186" s="53" t="str">
        <f t="shared" si="217"/>
        <v>50kilos</v>
      </c>
      <c r="M1186" s="54">
        <f t="shared" si="218"/>
        <v>500</v>
      </c>
      <c r="N1186" s="55" t="str">
        <f t="shared" si="219"/>
        <v>500kilos</v>
      </c>
      <c r="O1186" s="56">
        <f t="shared" si="220"/>
        <v>30000</v>
      </c>
      <c r="P1186" s="44">
        <f>O1186/H1186</f>
        <v>3000</v>
      </c>
      <c r="Q1186" s="66">
        <f>G1186-P1186</f>
        <v>0</v>
      </c>
      <c r="R1186" s="32" t="b">
        <f>P1186=G1186</f>
        <v>1</v>
      </c>
      <c r="S1186" s="32"/>
      <c r="T1186" s="32"/>
      <c r="U1186" s="32"/>
      <c r="V1186" s="32"/>
      <c r="W1186" s="32"/>
      <c r="X1186" s="32"/>
      <c r="Y1186" s="32"/>
      <c r="Z1186" s="32"/>
    </row>
    <row r="1187" spans="1:26" ht="15.75" customHeight="1" x14ac:dyDescent="0.3">
      <c r="A1187" s="45"/>
      <c r="B1187" s="219" t="s">
        <v>750</v>
      </c>
      <c r="C1187" s="194" t="s">
        <v>2020</v>
      </c>
      <c r="D1187" s="46"/>
      <c r="E1187" s="46" t="s">
        <v>1596</v>
      </c>
      <c r="F1187" s="61" t="s">
        <v>31</v>
      </c>
      <c r="G1187" s="288">
        <v>1275</v>
      </c>
      <c r="H1187" s="289">
        <v>35</v>
      </c>
      <c r="I1187" s="290">
        <v>25</v>
      </c>
      <c r="J1187" s="48" t="s">
        <v>213</v>
      </c>
      <c r="K1187" s="50"/>
      <c r="L1187" s="53" t="str">
        <f t="shared" si="217"/>
        <v>25kilos</v>
      </c>
      <c r="M1187" s="54">
        <f t="shared" si="218"/>
        <v>875</v>
      </c>
      <c r="N1187" s="55" t="str">
        <f t="shared" si="219"/>
        <v>875kilos</v>
      </c>
      <c r="O1187" s="56">
        <f t="shared" si="220"/>
        <v>44625</v>
      </c>
      <c r="P1187" s="12"/>
      <c r="Q1187" s="12"/>
      <c r="R1187" s="12"/>
      <c r="S1187" s="151"/>
      <c r="T1187" s="12"/>
      <c r="U1187" s="12"/>
      <c r="V1187" s="12"/>
      <c r="W1187" s="12"/>
      <c r="X1187" s="12"/>
      <c r="Y1187" s="12"/>
      <c r="Z1187" s="12"/>
    </row>
    <row r="1188" spans="1:26" ht="15.75" customHeight="1" x14ac:dyDescent="0.3">
      <c r="A1188" s="45"/>
      <c r="B1188" s="219" t="s">
        <v>1597</v>
      </c>
      <c r="C1188" s="194" t="s">
        <v>2021</v>
      </c>
      <c r="D1188" s="46"/>
      <c r="E1188" s="219" t="s">
        <v>1598</v>
      </c>
      <c r="F1188" s="61" t="s">
        <v>31</v>
      </c>
      <c r="G1188" s="291">
        <v>365</v>
      </c>
      <c r="H1188" s="292">
        <v>3</v>
      </c>
      <c r="I1188" s="293">
        <v>355</v>
      </c>
      <c r="J1188" s="414" t="s">
        <v>32</v>
      </c>
      <c r="K1188" s="50"/>
      <c r="L1188" s="53" t="str">
        <f t="shared" si="217"/>
        <v>355ml</v>
      </c>
      <c r="M1188" s="54">
        <f t="shared" si="218"/>
        <v>1065</v>
      </c>
      <c r="N1188" s="55" t="str">
        <f t="shared" si="219"/>
        <v>1065ml</v>
      </c>
      <c r="O1188" s="56">
        <f t="shared" si="220"/>
        <v>1095</v>
      </c>
      <c r="P1188" s="12"/>
      <c r="Q1188" s="12"/>
      <c r="R1188" s="12"/>
      <c r="S1188" s="151"/>
      <c r="T1188" s="12"/>
      <c r="U1188" s="12"/>
      <c r="V1188" s="12"/>
      <c r="W1188" s="12"/>
      <c r="X1188" s="12"/>
      <c r="Y1188" s="12"/>
      <c r="Z1188" s="12"/>
    </row>
    <row r="1189" spans="1:26" ht="15.75" customHeight="1" x14ac:dyDescent="0.3">
      <c r="A1189" s="45"/>
      <c r="B1189" s="46" t="s">
        <v>1599</v>
      </c>
      <c r="C1189" s="194" t="s">
        <v>2022</v>
      </c>
      <c r="D1189" s="46"/>
      <c r="E1189" s="46" t="s">
        <v>991</v>
      </c>
      <c r="F1189" s="61" t="s">
        <v>31</v>
      </c>
      <c r="G1189" s="288">
        <v>420</v>
      </c>
      <c r="H1189" s="289">
        <v>1</v>
      </c>
      <c r="I1189" s="290">
        <v>1</v>
      </c>
      <c r="J1189" s="48" t="s">
        <v>1331</v>
      </c>
      <c r="K1189" s="50"/>
      <c r="L1189" s="53" t="str">
        <f t="shared" si="217"/>
        <v>1bundle</v>
      </c>
      <c r="M1189" s="54">
        <f t="shared" si="218"/>
        <v>1</v>
      </c>
      <c r="N1189" s="55" t="str">
        <f t="shared" si="219"/>
        <v>1bundle</v>
      </c>
      <c r="O1189" s="56">
        <f t="shared" si="220"/>
        <v>420</v>
      </c>
      <c r="P1189" s="12"/>
      <c r="Q1189" s="12"/>
      <c r="R1189" s="12"/>
      <c r="S1189" s="151"/>
      <c r="T1189" s="12"/>
      <c r="U1189" s="12"/>
      <c r="V1189" s="12"/>
      <c r="W1189" s="12"/>
      <c r="X1189" s="12"/>
      <c r="Y1189" s="12"/>
      <c r="Z1189" s="12"/>
    </row>
    <row r="1190" spans="1:26" ht="15.75" customHeight="1" x14ac:dyDescent="0.3">
      <c r="A1190" s="45">
        <v>577</v>
      </c>
      <c r="B1190" s="46" t="s">
        <v>1600</v>
      </c>
      <c r="C1190" s="194" t="s">
        <v>2026</v>
      </c>
      <c r="D1190" s="46"/>
      <c r="E1190" s="46" t="s">
        <v>1601</v>
      </c>
      <c r="F1190" s="61" t="s">
        <v>31</v>
      </c>
      <c r="G1190" s="288">
        <v>550</v>
      </c>
      <c r="H1190" s="289">
        <v>2</v>
      </c>
      <c r="I1190" s="290">
        <v>1</v>
      </c>
      <c r="J1190" s="48" t="s">
        <v>1331</v>
      </c>
      <c r="K1190" s="50"/>
      <c r="L1190" s="53" t="str">
        <f t="shared" si="217"/>
        <v>1bundle</v>
      </c>
      <c r="M1190" s="54">
        <f t="shared" si="218"/>
        <v>2</v>
      </c>
      <c r="N1190" s="55" t="str">
        <f t="shared" si="219"/>
        <v>2bundle</v>
      </c>
      <c r="O1190" s="56">
        <f t="shared" si="220"/>
        <v>1100</v>
      </c>
      <c r="P1190" s="44">
        <f>O1190/H1190</f>
        <v>550</v>
      </c>
      <c r="Q1190" s="66"/>
      <c r="R1190" s="32" t="b">
        <f>P1190=G1190</f>
        <v>1</v>
      </c>
      <c r="S1190" s="32"/>
      <c r="T1190" s="32"/>
      <c r="U1190" s="32"/>
      <c r="V1190" s="32"/>
      <c r="W1190" s="32"/>
      <c r="X1190" s="32"/>
      <c r="Y1190" s="32"/>
      <c r="Z1190" s="32"/>
    </row>
    <row r="1191" spans="1:26" ht="15.75" customHeight="1" x14ac:dyDescent="0.3">
      <c r="A1191" s="45"/>
      <c r="B1191" s="219" t="s">
        <v>1602</v>
      </c>
      <c r="C1191" s="194" t="s">
        <v>2021</v>
      </c>
      <c r="D1191" s="46"/>
      <c r="E1191" s="219"/>
      <c r="F1191" s="61" t="s">
        <v>31</v>
      </c>
      <c r="G1191" s="291">
        <v>70.5</v>
      </c>
      <c r="H1191" s="292">
        <v>1</v>
      </c>
      <c r="I1191" s="293">
        <v>500</v>
      </c>
      <c r="J1191" s="414" t="s">
        <v>39</v>
      </c>
      <c r="K1191" s="50"/>
      <c r="L1191" s="53" t="str">
        <f t="shared" si="217"/>
        <v>500grams</v>
      </c>
      <c r="M1191" s="54">
        <f t="shared" si="218"/>
        <v>500</v>
      </c>
      <c r="N1191" s="55" t="str">
        <f t="shared" si="219"/>
        <v>500grams</v>
      </c>
      <c r="O1191" s="56">
        <f t="shared" si="220"/>
        <v>70.5</v>
      </c>
      <c r="P1191" s="12"/>
      <c r="Q1191" s="12"/>
      <c r="R1191" s="12"/>
      <c r="S1191" s="151"/>
      <c r="T1191" s="12"/>
      <c r="U1191" s="12"/>
      <c r="V1191" s="12"/>
      <c r="W1191" s="12"/>
      <c r="X1191" s="12"/>
      <c r="Y1191" s="12"/>
      <c r="Z1191" s="12"/>
    </row>
    <row r="1192" spans="1:26" ht="15.75" customHeight="1" x14ac:dyDescent="0.3">
      <c r="A1192" s="45"/>
      <c r="B1192" s="219" t="s">
        <v>1603</v>
      </c>
      <c r="C1192" s="194" t="s">
        <v>2021</v>
      </c>
      <c r="D1192" s="46"/>
      <c r="E1192" s="219" t="s">
        <v>1604</v>
      </c>
      <c r="F1192" s="61" t="s">
        <v>31</v>
      </c>
      <c r="G1192" s="295">
        <v>28.56</v>
      </c>
      <c r="H1192" s="292">
        <v>3</v>
      </c>
      <c r="I1192" s="293">
        <v>250</v>
      </c>
      <c r="J1192" s="414" t="s">
        <v>32</v>
      </c>
      <c r="K1192" s="50"/>
      <c r="L1192" s="53" t="str">
        <f t="shared" si="217"/>
        <v>250ml</v>
      </c>
      <c r="M1192" s="54">
        <f t="shared" si="218"/>
        <v>750</v>
      </c>
      <c r="N1192" s="55" t="str">
        <f t="shared" si="219"/>
        <v>750ml</v>
      </c>
      <c r="O1192" s="56">
        <f t="shared" si="220"/>
        <v>85.679999999999993</v>
      </c>
      <c r="P1192" s="12"/>
      <c r="Q1192" s="12"/>
      <c r="R1192" s="12"/>
      <c r="S1192" s="151"/>
      <c r="T1192" s="12"/>
      <c r="U1192" s="12"/>
      <c r="V1192" s="12"/>
      <c r="W1192" s="12"/>
      <c r="X1192" s="12"/>
      <c r="Y1192" s="12"/>
      <c r="Z1192" s="12"/>
    </row>
    <row r="1193" spans="1:26" ht="15.75" customHeight="1" x14ac:dyDescent="0.3">
      <c r="A1193" s="45"/>
      <c r="B1193" s="46" t="s">
        <v>1605</v>
      </c>
      <c r="C1193" s="194" t="s">
        <v>2022</v>
      </c>
      <c r="D1193" s="46"/>
      <c r="E1193" s="46" t="s">
        <v>1606</v>
      </c>
      <c r="F1193" s="61" t="s">
        <v>31</v>
      </c>
      <c r="G1193" s="288">
        <v>12.49</v>
      </c>
      <c r="H1193" s="289">
        <v>16</v>
      </c>
      <c r="I1193" s="290">
        <v>230</v>
      </c>
      <c r="J1193" s="48" t="s">
        <v>32</v>
      </c>
      <c r="K1193" s="50"/>
      <c r="L1193" s="53" t="str">
        <f t="shared" si="217"/>
        <v>230ml</v>
      </c>
      <c r="M1193" s="54">
        <f t="shared" si="218"/>
        <v>3680</v>
      </c>
      <c r="N1193" s="55" t="str">
        <f t="shared" si="219"/>
        <v>3680ml</v>
      </c>
      <c r="O1193" s="56">
        <f t="shared" si="220"/>
        <v>199.84</v>
      </c>
      <c r="P1193" s="12"/>
      <c r="Q1193" s="12"/>
      <c r="R1193" s="12"/>
      <c r="S1193" s="151"/>
      <c r="T1193" s="12"/>
      <c r="U1193" s="12"/>
      <c r="V1193" s="12"/>
      <c r="W1193" s="12"/>
      <c r="X1193" s="12"/>
      <c r="Y1193" s="12"/>
      <c r="Z1193" s="12"/>
    </row>
    <row r="1194" spans="1:26" ht="15.75" customHeight="1" x14ac:dyDescent="0.3">
      <c r="A1194" s="45"/>
      <c r="B1194" s="46" t="s">
        <v>1605</v>
      </c>
      <c r="C1194" s="194" t="s">
        <v>2020</v>
      </c>
      <c r="D1194" s="46"/>
      <c r="E1194" s="46" t="s">
        <v>1607</v>
      </c>
      <c r="F1194" s="61" t="s">
        <v>31</v>
      </c>
      <c r="G1194" s="288">
        <v>12.49</v>
      </c>
      <c r="H1194" s="289">
        <v>65</v>
      </c>
      <c r="I1194" s="290">
        <v>230</v>
      </c>
      <c r="J1194" s="48" t="s">
        <v>32</v>
      </c>
      <c r="K1194" s="50"/>
      <c r="L1194" s="53" t="str">
        <f t="shared" si="217"/>
        <v>230ml</v>
      </c>
      <c r="M1194" s="54">
        <f t="shared" si="218"/>
        <v>14950</v>
      </c>
      <c r="N1194" s="55" t="str">
        <f t="shared" si="219"/>
        <v>14950ml</v>
      </c>
      <c r="O1194" s="56">
        <f t="shared" si="220"/>
        <v>811.85</v>
      </c>
      <c r="P1194" s="12"/>
      <c r="Q1194" s="12"/>
      <c r="R1194" s="12"/>
      <c r="S1194" s="151"/>
      <c r="T1194" s="12"/>
      <c r="U1194" s="12"/>
      <c r="V1194" s="12"/>
      <c r="W1194" s="12"/>
      <c r="X1194" s="12"/>
      <c r="Y1194" s="12"/>
      <c r="Z1194" s="12"/>
    </row>
    <row r="1195" spans="1:26" ht="15.75" customHeight="1" x14ac:dyDescent="0.3">
      <c r="A1195" s="45"/>
      <c r="B1195" s="46" t="s">
        <v>1605</v>
      </c>
      <c r="C1195" s="194" t="s">
        <v>2022</v>
      </c>
      <c r="D1195" s="46"/>
      <c r="E1195" s="46" t="s">
        <v>1608</v>
      </c>
      <c r="F1195" s="61" t="s">
        <v>31</v>
      </c>
      <c r="G1195" s="288">
        <v>12.54</v>
      </c>
      <c r="H1195" s="289">
        <v>18</v>
      </c>
      <c r="I1195" s="290">
        <v>230</v>
      </c>
      <c r="J1195" s="48" t="s">
        <v>32</v>
      </c>
      <c r="K1195" s="50"/>
      <c r="L1195" s="53" t="str">
        <f t="shared" si="217"/>
        <v>230ml</v>
      </c>
      <c r="M1195" s="54">
        <f t="shared" si="218"/>
        <v>4140</v>
      </c>
      <c r="N1195" s="55" t="str">
        <f t="shared" si="219"/>
        <v>4140ml</v>
      </c>
      <c r="O1195" s="56">
        <f t="shared" si="220"/>
        <v>225.71999999999997</v>
      </c>
      <c r="P1195" s="12"/>
      <c r="Q1195" s="12"/>
      <c r="R1195" s="12"/>
      <c r="S1195" s="151"/>
      <c r="T1195" s="12"/>
      <c r="U1195" s="12"/>
      <c r="V1195" s="12"/>
      <c r="W1195" s="12"/>
      <c r="X1195" s="12"/>
      <c r="Y1195" s="12"/>
      <c r="Z1195" s="12"/>
    </row>
    <row r="1196" spans="1:26" ht="15.75" customHeight="1" x14ac:dyDescent="0.3">
      <c r="A1196" s="45"/>
      <c r="B1196" s="219" t="s">
        <v>1609</v>
      </c>
      <c r="C1196" s="194" t="s">
        <v>2020</v>
      </c>
      <c r="D1196" s="46"/>
      <c r="E1196" s="219" t="s">
        <v>1610</v>
      </c>
      <c r="F1196" s="61" t="s">
        <v>31</v>
      </c>
      <c r="G1196" s="288">
        <v>14.25</v>
      </c>
      <c r="H1196" s="289">
        <v>44</v>
      </c>
      <c r="I1196" s="290">
        <v>250</v>
      </c>
      <c r="J1196" s="48" t="s">
        <v>32</v>
      </c>
      <c r="K1196" s="50"/>
      <c r="L1196" s="53" t="str">
        <f t="shared" si="217"/>
        <v>250ml</v>
      </c>
      <c r="M1196" s="54">
        <f t="shared" si="218"/>
        <v>11000</v>
      </c>
      <c r="N1196" s="55" t="str">
        <f t="shared" si="219"/>
        <v>11000ml</v>
      </c>
      <c r="O1196" s="56">
        <f t="shared" si="220"/>
        <v>627</v>
      </c>
      <c r="P1196" s="12"/>
      <c r="Q1196" s="12"/>
      <c r="R1196" s="12"/>
      <c r="S1196" s="151"/>
      <c r="T1196" s="12"/>
      <c r="U1196" s="12"/>
      <c r="V1196" s="12"/>
      <c r="W1196" s="12"/>
      <c r="X1196" s="12"/>
      <c r="Y1196" s="12"/>
      <c r="Z1196" s="12"/>
    </row>
    <row r="1197" spans="1:26" ht="15.75" customHeight="1" x14ac:dyDescent="0.3">
      <c r="A1197" s="45"/>
      <c r="B1197" s="219" t="s">
        <v>1609</v>
      </c>
      <c r="C1197" s="194" t="s">
        <v>2022</v>
      </c>
      <c r="D1197" s="46"/>
      <c r="E1197" s="219" t="s">
        <v>1610</v>
      </c>
      <c r="F1197" s="61" t="s">
        <v>31</v>
      </c>
      <c r="G1197" s="288">
        <v>14.33</v>
      </c>
      <c r="H1197" s="289">
        <v>12</v>
      </c>
      <c r="I1197" s="290">
        <v>250</v>
      </c>
      <c r="J1197" s="48" t="s">
        <v>32</v>
      </c>
      <c r="K1197" s="50"/>
      <c r="L1197" s="53" t="str">
        <f t="shared" si="217"/>
        <v>250ml</v>
      </c>
      <c r="M1197" s="54">
        <f t="shared" si="218"/>
        <v>3000</v>
      </c>
      <c r="N1197" s="55" t="str">
        <f t="shared" si="219"/>
        <v>3000ml</v>
      </c>
      <c r="O1197" s="56">
        <f t="shared" si="220"/>
        <v>171.96</v>
      </c>
      <c r="P1197" s="12"/>
      <c r="Q1197" s="12"/>
      <c r="R1197" s="12"/>
      <c r="S1197" s="151"/>
      <c r="T1197" s="12"/>
      <c r="U1197" s="12"/>
      <c r="V1197" s="12"/>
      <c r="W1197" s="12"/>
      <c r="X1197" s="12"/>
      <c r="Y1197" s="12"/>
      <c r="Z1197" s="12"/>
    </row>
    <row r="1198" spans="1:26" ht="15.75" customHeight="1" x14ac:dyDescent="0.3">
      <c r="A1198" s="45"/>
      <c r="B1198" s="219" t="s">
        <v>1609</v>
      </c>
      <c r="C1198" s="194" t="s">
        <v>2021</v>
      </c>
      <c r="D1198" s="46"/>
      <c r="E1198" s="219" t="s">
        <v>1610</v>
      </c>
      <c r="F1198" s="61" t="s">
        <v>31</v>
      </c>
      <c r="G1198" s="291">
        <v>14.33</v>
      </c>
      <c r="H1198" s="292">
        <v>1</v>
      </c>
      <c r="I1198" s="290">
        <v>250</v>
      </c>
      <c r="J1198" s="414" t="s">
        <v>32</v>
      </c>
      <c r="K1198" s="50"/>
      <c r="L1198" s="53" t="str">
        <f t="shared" si="217"/>
        <v>250ml</v>
      </c>
      <c r="M1198" s="54">
        <f t="shared" si="218"/>
        <v>250</v>
      </c>
      <c r="N1198" s="55" t="str">
        <f t="shared" si="219"/>
        <v>250ml</v>
      </c>
      <c r="O1198" s="56">
        <f t="shared" si="220"/>
        <v>14.33</v>
      </c>
      <c r="P1198" s="12"/>
      <c r="Q1198" s="12"/>
      <c r="R1198" s="12"/>
      <c r="S1198" s="151"/>
      <c r="T1198" s="12"/>
      <c r="U1198" s="12"/>
      <c r="V1198" s="12"/>
      <c r="W1198" s="12"/>
      <c r="X1198" s="12"/>
      <c r="Y1198" s="12"/>
      <c r="Z1198" s="12"/>
    </row>
    <row r="1199" spans="1:26" ht="15.75" customHeight="1" x14ac:dyDescent="0.3">
      <c r="A1199" s="45"/>
      <c r="B1199" s="219" t="s">
        <v>1609</v>
      </c>
      <c r="C1199" s="194" t="s">
        <v>2021</v>
      </c>
      <c r="D1199" s="46"/>
      <c r="E1199" s="219" t="s">
        <v>1611</v>
      </c>
      <c r="F1199" s="61" t="s">
        <v>31</v>
      </c>
      <c r="G1199" s="291">
        <v>25.83</v>
      </c>
      <c r="H1199" s="292">
        <v>26</v>
      </c>
      <c r="I1199" s="293">
        <v>240</v>
      </c>
      <c r="J1199" s="414" t="s">
        <v>32</v>
      </c>
      <c r="K1199" s="50"/>
      <c r="L1199" s="53" t="str">
        <f t="shared" si="217"/>
        <v>240ml</v>
      </c>
      <c r="M1199" s="54">
        <f t="shared" si="218"/>
        <v>6240</v>
      </c>
      <c r="N1199" s="55" t="str">
        <f t="shared" si="219"/>
        <v>6240ml</v>
      </c>
      <c r="O1199" s="56">
        <f t="shared" si="220"/>
        <v>671.57999999999993</v>
      </c>
      <c r="P1199" s="12"/>
      <c r="Q1199" s="12"/>
      <c r="R1199" s="12"/>
      <c r="S1199" s="151"/>
      <c r="T1199" s="12"/>
      <c r="U1199" s="12"/>
      <c r="V1199" s="12"/>
      <c r="W1199" s="12"/>
      <c r="X1199" s="12"/>
      <c r="Y1199" s="12"/>
      <c r="Z1199" s="12"/>
    </row>
    <row r="1200" spans="1:26" ht="15.75" customHeight="1" x14ac:dyDescent="0.3">
      <c r="A1200" s="45"/>
      <c r="B1200" s="219" t="s">
        <v>1609</v>
      </c>
      <c r="C1200" s="194" t="s">
        <v>2021</v>
      </c>
      <c r="D1200" s="46"/>
      <c r="E1200" s="219" t="s">
        <v>1611</v>
      </c>
      <c r="F1200" s="61" t="s">
        <v>31</v>
      </c>
      <c r="G1200" s="291">
        <v>10</v>
      </c>
      <c r="H1200" s="292">
        <v>7</v>
      </c>
      <c r="I1200" s="293">
        <v>180</v>
      </c>
      <c r="J1200" s="414" t="s">
        <v>32</v>
      </c>
      <c r="K1200" s="50"/>
      <c r="L1200" s="53" t="str">
        <f t="shared" si="217"/>
        <v>180ml</v>
      </c>
      <c r="M1200" s="54">
        <f t="shared" si="218"/>
        <v>1260</v>
      </c>
      <c r="N1200" s="55" t="str">
        <f t="shared" si="219"/>
        <v>1260ml</v>
      </c>
      <c r="O1200" s="56">
        <f t="shared" si="220"/>
        <v>70</v>
      </c>
      <c r="P1200" s="12"/>
      <c r="Q1200" s="12"/>
      <c r="R1200" s="12"/>
      <c r="S1200" s="151"/>
      <c r="T1200" s="12"/>
      <c r="U1200" s="12"/>
      <c r="V1200" s="12"/>
      <c r="W1200" s="12"/>
      <c r="X1200" s="12"/>
      <c r="Y1200" s="12"/>
      <c r="Z1200" s="12"/>
    </row>
    <row r="1201" spans="1:26" ht="15.75" customHeight="1" x14ac:dyDescent="0.3">
      <c r="A1201" s="45"/>
      <c r="B1201" s="219" t="s">
        <v>1609</v>
      </c>
      <c r="C1201" s="194" t="s">
        <v>2021</v>
      </c>
      <c r="D1201" s="46"/>
      <c r="E1201" s="219" t="s">
        <v>1612</v>
      </c>
      <c r="F1201" s="61" t="s">
        <v>31</v>
      </c>
      <c r="G1201" s="291">
        <v>25.83</v>
      </c>
      <c r="H1201" s="292">
        <v>27</v>
      </c>
      <c r="I1201" s="293">
        <v>240</v>
      </c>
      <c r="J1201" s="414" t="s">
        <v>32</v>
      </c>
      <c r="K1201" s="50"/>
      <c r="L1201" s="53" t="str">
        <f t="shared" si="217"/>
        <v>240ml</v>
      </c>
      <c r="M1201" s="54">
        <f t="shared" si="218"/>
        <v>6480</v>
      </c>
      <c r="N1201" s="55" t="str">
        <f t="shared" si="219"/>
        <v>6480ml</v>
      </c>
      <c r="O1201" s="56">
        <f t="shared" si="220"/>
        <v>697.41</v>
      </c>
      <c r="P1201" s="12"/>
      <c r="Q1201" s="12"/>
      <c r="R1201" s="12"/>
      <c r="S1201" s="151"/>
      <c r="T1201" s="12"/>
      <c r="U1201" s="12"/>
      <c r="V1201" s="12"/>
      <c r="W1201" s="12"/>
      <c r="X1201" s="12"/>
      <c r="Y1201" s="12"/>
      <c r="Z1201" s="12"/>
    </row>
    <row r="1202" spans="1:26" ht="15.75" customHeight="1" x14ac:dyDescent="0.3">
      <c r="A1202" s="45">
        <v>521</v>
      </c>
      <c r="B1202" s="46" t="s">
        <v>1609</v>
      </c>
      <c r="C1202" s="194" t="s">
        <v>2026</v>
      </c>
      <c r="D1202" s="46"/>
      <c r="E1202" s="46" t="s">
        <v>1613</v>
      </c>
      <c r="F1202" s="61" t="s">
        <v>31</v>
      </c>
      <c r="G1202" s="288">
        <v>42.32</v>
      </c>
      <c r="H1202" s="289">
        <v>24</v>
      </c>
      <c r="I1202" s="290">
        <v>320</v>
      </c>
      <c r="J1202" s="48" t="s">
        <v>32</v>
      </c>
      <c r="K1202" s="50"/>
      <c r="L1202" s="53" t="str">
        <f t="shared" si="217"/>
        <v>320ml</v>
      </c>
      <c r="M1202" s="54">
        <f t="shared" si="218"/>
        <v>7680</v>
      </c>
      <c r="N1202" s="55" t="str">
        <f t="shared" si="219"/>
        <v>7680ml</v>
      </c>
      <c r="O1202" s="56">
        <f t="shared" si="220"/>
        <v>1015.6800000000001</v>
      </c>
      <c r="P1202" s="44">
        <f>O1202/H1202</f>
        <v>42.32</v>
      </c>
      <c r="Q1202" s="66"/>
      <c r="R1202" s="32"/>
      <c r="S1202" s="32"/>
      <c r="T1202" s="32"/>
      <c r="U1202" s="32"/>
      <c r="V1202" s="32"/>
      <c r="W1202" s="32"/>
      <c r="X1202" s="32"/>
      <c r="Y1202" s="32"/>
      <c r="Z1202" s="32"/>
    </row>
    <row r="1203" spans="1:26" ht="15.75" customHeight="1" x14ac:dyDescent="0.3">
      <c r="A1203" s="45"/>
      <c r="B1203" s="46" t="s">
        <v>1609</v>
      </c>
      <c r="C1203" s="194" t="s">
        <v>2020</v>
      </c>
      <c r="D1203" s="46"/>
      <c r="E1203" s="46" t="s">
        <v>1614</v>
      </c>
      <c r="F1203" s="61" t="s">
        <v>31</v>
      </c>
      <c r="G1203" s="288">
        <v>28.02</v>
      </c>
      <c r="H1203" s="289">
        <v>28</v>
      </c>
      <c r="I1203" s="290">
        <v>220</v>
      </c>
      <c r="J1203" s="48" t="s">
        <v>32</v>
      </c>
      <c r="K1203" s="50"/>
      <c r="L1203" s="53" t="str">
        <f t="shared" si="217"/>
        <v>220ml</v>
      </c>
      <c r="M1203" s="54">
        <f t="shared" si="218"/>
        <v>6160</v>
      </c>
      <c r="N1203" s="55" t="str">
        <f t="shared" si="219"/>
        <v>6160ml</v>
      </c>
      <c r="O1203" s="56">
        <f t="shared" si="220"/>
        <v>784.56</v>
      </c>
      <c r="P1203" s="12"/>
      <c r="Q1203" s="12"/>
      <c r="R1203" s="12"/>
      <c r="S1203" s="151"/>
      <c r="T1203" s="12"/>
      <c r="U1203" s="12"/>
      <c r="V1203" s="12"/>
      <c r="W1203" s="12"/>
      <c r="X1203" s="12"/>
      <c r="Y1203" s="12"/>
      <c r="Z1203" s="12"/>
    </row>
    <row r="1204" spans="1:26" ht="15.75" customHeight="1" x14ac:dyDescent="0.3">
      <c r="A1204" s="45">
        <v>95</v>
      </c>
      <c r="B1204" s="46" t="s">
        <v>1609</v>
      </c>
      <c r="C1204" s="194" t="s">
        <v>2024</v>
      </c>
      <c r="D1204" s="46"/>
      <c r="E1204" s="46" t="s">
        <v>1614</v>
      </c>
      <c r="F1204" s="61" t="s">
        <v>31</v>
      </c>
      <c r="G1204" s="288">
        <v>29.43</v>
      </c>
      <c r="H1204" s="289">
        <v>53</v>
      </c>
      <c r="I1204" s="290">
        <v>220</v>
      </c>
      <c r="J1204" s="48" t="s">
        <v>32</v>
      </c>
      <c r="K1204" s="50"/>
      <c r="L1204" s="53" t="str">
        <f t="shared" si="217"/>
        <v>220ml</v>
      </c>
      <c r="M1204" s="54">
        <f t="shared" si="218"/>
        <v>11660</v>
      </c>
      <c r="N1204" s="55" t="str">
        <f t="shared" si="219"/>
        <v>11660ml</v>
      </c>
      <c r="O1204" s="56">
        <f t="shared" si="220"/>
        <v>1559.79</v>
      </c>
      <c r="P1204" s="44">
        <f t="shared" ref="P1204:P1211" si="247">O1204/H1204</f>
        <v>29.43</v>
      </c>
      <c r="Q1204" s="66"/>
      <c r="R1204" s="32" t="b">
        <f t="shared" ref="R1204:R1205" si="248">P1204=G1204</f>
        <v>1</v>
      </c>
      <c r="S1204" s="32"/>
      <c r="T1204" s="32"/>
      <c r="U1204" s="32"/>
      <c r="V1204" s="32"/>
      <c r="W1204" s="32"/>
      <c r="X1204" s="32"/>
      <c r="Y1204" s="32"/>
      <c r="Z1204" s="32"/>
    </row>
    <row r="1205" spans="1:26" ht="15.75" customHeight="1" x14ac:dyDescent="0.3">
      <c r="A1205" s="45">
        <v>517</v>
      </c>
      <c r="B1205" s="46" t="s">
        <v>1609</v>
      </c>
      <c r="C1205" s="194" t="s">
        <v>2026</v>
      </c>
      <c r="D1205" s="46"/>
      <c r="E1205" s="46" t="s">
        <v>1614</v>
      </c>
      <c r="F1205" s="61" t="s">
        <v>31</v>
      </c>
      <c r="G1205" s="288">
        <v>672.55</v>
      </c>
      <c r="H1205" s="289">
        <v>1</v>
      </c>
      <c r="I1205" s="290">
        <v>24</v>
      </c>
      <c r="J1205" s="48" t="s">
        <v>1615</v>
      </c>
      <c r="K1205" s="50"/>
      <c r="L1205" s="53" t="str">
        <f t="shared" si="217"/>
        <v>24cans</v>
      </c>
      <c r="M1205" s="54">
        <f t="shared" si="218"/>
        <v>24</v>
      </c>
      <c r="N1205" s="55" t="str">
        <f t="shared" si="219"/>
        <v>24cans</v>
      </c>
      <c r="O1205" s="56">
        <f t="shared" si="220"/>
        <v>672.55</v>
      </c>
      <c r="P1205" s="44">
        <f t="shared" si="247"/>
        <v>672.55</v>
      </c>
      <c r="Q1205" s="66"/>
      <c r="R1205" s="32" t="b">
        <f t="shared" si="248"/>
        <v>1</v>
      </c>
      <c r="S1205" s="32"/>
      <c r="T1205" s="32"/>
      <c r="U1205" s="32"/>
      <c r="V1205" s="32"/>
      <c r="W1205" s="32"/>
      <c r="X1205" s="32"/>
      <c r="Y1205" s="32"/>
      <c r="Z1205" s="32"/>
    </row>
    <row r="1206" spans="1:26" ht="15.75" customHeight="1" x14ac:dyDescent="0.3">
      <c r="A1206" s="45">
        <v>518</v>
      </c>
      <c r="B1206" s="46" t="s">
        <v>1609</v>
      </c>
      <c r="C1206" s="194" t="s">
        <v>2026</v>
      </c>
      <c r="D1206" s="46"/>
      <c r="E1206" s="46" t="s">
        <v>1614</v>
      </c>
      <c r="F1206" s="61" t="s">
        <v>31</v>
      </c>
      <c r="G1206" s="288">
        <v>97.2</v>
      </c>
      <c r="H1206" s="289">
        <v>4</v>
      </c>
      <c r="I1206" s="290">
        <v>1</v>
      </c>
      <c r="J1206" s="48" t="s">
        <v>773</v>
      </c>
      <c r="K1206" s="50"/>
      <c r="L1206" s="53" t="str">
        <f t="shared" si="217"/>
        <v>1liters</v>
      </c>
      <c r="M1206" s="54">
        <f t="shared" si="218"/>
        <v>4</v>
      </c>
      <c r="N1206" s="55" t="str">
        <f t="shared" si="219"/>
        <v>4liters</v>
      </c>
      <c r="O1206" s="56">
        <f t="shared" si="220"/>
        <v>388.8</v>
      </c>
      <c r="P1206" s="44">
        <f t="shared" si="247"/>
        <v>97.2</v>
      </c>
      <c r="Q1206" s="66"/>
      <c r="R1206" s="32"/>
      <c r="S1206" s="32"/>
      <c r="T1206" s="32"/>
      <c r="U1206" s="32"/>
      <c r="V1206" s="32"/>
      <c r="W1206" s="32"/>
      <c r="X1206" s="32"/>
      <c r="Y1206" s="32"/>
      <c r="Z1206" s="32"/>
    </row>
    <row r="1207" spans="1:26" ht="15.75" customHeight="1" x14ac:dyDescent="0.3">
      <c r="A1207" s="45">
        <v>401</v>
      </c>
      <c r="B1207" s="46" t="s">
        <v>1609</v>
      </c>
      <c r="C1207" s="194" t="s">
        <v>2025</v>
      </c>
      <c r="D1207" s="46"/>
      <c r="E1207" s="46" t="s">
        <v>1614</v>
      </c>
      <c r="F1207" s="61" t="s">
        <v>31</v>
      </c>
      <c r="G1207" s="288">
        <v>29.5</v>
      </c>
      <c r="H1207" s="289">
        <v>31</v>
      </c>
      <c r="I1207" s="290">
        <v>220</v>
      </c>
      <c r="J1207" s="48" t="s">
        <v>32</v>
      </c>
      <c r="K1207" s="50" t="s">
        <v>2019</v>
      </c>
      <c r="L1207" s="53" t="str">
        <f t="shared" si="217"/>
        <v>220ml</v>
      </c>
      <c r="M1207" s="54">
        <f t="shared" si="218"/>
        <v>6820</v>
      </c>
      <c r="N1207" s="55" t="str">
        <f t="shared" si="219"/>
        <v>6820ml</v>
      </c>
      <c r="O1207" s="56">
        <f t="shared" si="220"/>
        <v>914.5</v>
      </c>
      <c r="P1207" s="44">
        <f t="shared" si="247"/>
        <v>29.5</v>
      </c>
      <c r="Q1207" s="66">
        <f>G1207-P1207</f>
        <v>0</v>
      </c>
      <c r="R1207" s="32" t="b">
        <f>P1207=G1207</f>
        <v>1</v>
      </c>
      <c r="S1207" s="32"/>
      <c r="T1207" s="32"/>
      <c r="U1207" s="32"/>
      <c r="V1207" s="32"/>
      <c r="W1207" s="32"/>
      <c r="X1207" s="32"/>
      <c r="Y1207" s="32"/>
      <c r="Z1207" s="32"/>
    </row>
    <row r="1208" spans="1:26" ht="15.75" customHeight="1" x14ac:dyDescent="0.3">
      <c r="A1208" s="45">
        <v>524</v>
      </c>
      <c r="B1208" s="46" t="s">
        <v>1616</v>
      </c>
      <c r="C1208" s="194" t="s">
        <v>2026</v>
      </c>
      <c r="D1208" s="46"/>
      <c r="E1208" s="46" t="s">
        <v>1241</v>
      </c>
      <c r="F1208" s="61" t="s">
        <v>31</v>
      </c>
      <c r="G1208" s="288">
        <v>27.7</v>
      </c>
      <c r="H1208" s="289">
        <v>72</v>
      </c>
      <c r="I1208" s="290">
        <v>220</v>
      </c>
      <c r="J1208" s="422" t="s">
        <v>32</v>
      </c>
      <c r="K1208" s="50"/>
      <c r="L1208" s="53" t="str">
        <f t="shared" si="217"/>
        <v>220ml</v>
      </c>
      <c r="M1208" s="54">
        <f t="shared" si="218"/>
        <v>15840</v>
      </c>
      <c r="N1208" s="55" t="str">
        <f t="shared" si="219"/>
        <v>15840ml</v>
      </c>
      <c r="O1208" s="56">
        <f t="shared" si="220"/>
        <v>1994.3999999999999</v>
      </c>
      <c r="P1208" s="44">
        <f t="shared" si="247"/>
        <v>27.7</v>
      </c>
      <c r="Q1208" s="66"/>
      <c r="R1208" s="32"/>
      <c r="S1208" s="32"/>
      <c r="T1208" s="32"/>
      <c r="U1208" s="32"/>
      <c r="V1208" s="32"/>
      <c r="W1208" s="32"/>
      <c r="X1208" s="32"/>
      <c r="Y1208" s="32"/>
      <c r="Z1208" s="32"/>
    </row>
    <row r="1209" spans="1:26" ht="15.75" customHeight="1" x14ac:dyDescent="0.3">
      <c r="A1209" s="45">
        <v>136</v>
      </c>
      <c r="B1209" s="46" t="s">
        <v>1616</v>
      </c>
      <c r="C1209" s="194" t="s">
        <v>2024</v>
      </c>
      <c r="D1209" s="46"/>
      <c r="E1209" s="46" t="s">
        <v>1241</v>
      </c>
      <c r="F1209" s="61" t="s">
        <v>31</v>
      </c>
      <c r="G1209" s="288">
        <v>43.88</v>
      </c>
      <c r="H1209" s="289">
        <v>10</v>
      </c>
      <c r="I1209" s="290">
        <v>220</v>
      </c>
      <c r="J1209" s="48" t="s">
        <v>32</v>
      </c>
      <c r="K1209" s="50"/>
      <c r="L1209" s="53" t="str">
        <f t="shared" si="217"/>
        <v>220ml</v>
      </c>
      <c r="M1209" s="54">
        <f t="shared" si="218"/>
        <v>2200</v>
      </c>
      <c r="N1209" s="55" t="str">
        <f t="shared" si="219"/>
        <v>2200ml</v>
      </c>
      <c r="O1209" s="56">
        <f t="shared" si="220"/>
        <v>438.8</v>
      </c>
      <c r="P1209" s="44">
        <f t="shared" si="247"/>
        <v>43.88</v>
      </c>
      <c r="Q1209" s="66"/>
      <c r="R1209" s="32"/>
      <c r="S1209" s="32"/>
      <c r="T1209" s="32"/>
      <c r="U1209" s="32"/>
      <c r="V1209" s="32"/>
      <c r="W1209" s="32"/>
      <c r="X1209" s="32"/>
      <c r="Y1209" s="32"/>
      <c r="Z1209" s="32"/>
    </row>
    <row r="1210" spans="1:26" ht="15.75" customHeight="1" x14ac:dyDescent="0.3">
      <c r="A1210" s="45">
        <v>85</v>
      </c>
      <c r="B1210" s="46" t="s">
        <v>1616</v>
      </c>
      <c r="C1210" s="194" t="s">
        <v>2024</v>
      </c>
      <c r="D1210" s="46"/>
      <c r="E1210" s="46" t="s">
        <v>1241</v>
      </c>
      <c r="F1210" s="61" t="s">
        <v>31</v>
      </c>
      <c r="G1210" s="288">
        <v>29.41</v>
      </c>
      <c r="H1210" s="289">
        <v>160</v>
      </c>
      <c r="I1210" s="290">
        <v>220</v>
      </c>
      <c r="J1210" s="422" t="s">
        <v>32</v>
      </c>
      <c r="K1210" s="50"/>
      <c r="L1210" s="53" t="str">
        <f t="shared" si="217"/>
        <v>220ml</v>
      </c>
      <c r="M1210" s="54">
        <f t="shared" si="218"/>
        <v>35200</v>
      </c>
      <c r="N1210" s="55" t="str">
        <f t="shared" si="219"/>
        <v>35200ml</v>
      </c>
      <c r="O1210" s="56">
        <f t="shared" si="220"/>
        <v>4705.6000000000004</v>
      </c>
      <c r="P1210" s="44">
        <f t="shared" si="247"/>
        <v>29.410000000000004</v>
      </c>
      <c r="Q1210" s="66"/>
      <c r="R1210" s="32" t="b">
        <f t="shared" ref="R1210:R1211" si="249">P1210=G1210</f>
        <v>1</v>
      </c>
      <c r="S1210" s="32"/>
      <c r="T1210" s="32"/>
      <c r="U1210" s="32"/>
      <c r="V1210" s="32"/>
      <c r="W1210" s="32"/>
      <c r="X1210" s="32"/>
      <c r="Y1210" s="32"/>
      <c r="Z1210" s="32"/>
    </row>
    <row r="1211" spans="1:26" ht="15.75" customHeight="1" x14ac:dyDescent="0.3">
      <c r="A1211" s="45">
        <v>402</v>
      </c>
      <c r="B1211" s="46" t="s">
        <v>1616</v>
      </c>
      <c r="C1211" s="194" t="s">
        <v>2025</v>
      </c>
      <c r="D1211" s="46"/>
      <c r="E1211" s="46" t="s">
        <v>1241</v>
      </c>
      <c r="F1211" s="61" t="s">
        <v>31</v>
      </c>
      <c r="G1211" s="288">
        <v>29.5</v>
      </c>
      <c r="H1211" s="289">
        <v>15</v>
      </c>
      <c r="I1211" s="290">
        <v>1</v>
      </c>
      <c r="J1211" s="422" t="s">
        <v>92</v>
      </c>
      <c r="K1211" s="50"/>
      <c r="L1211" s="53" t="str">
        <f t="shared" si="217"/>
        <v>1pieces</v>
      </c>
      <c r="M1211" s="54">
        <f t="shared" si="218"/>
        <v>15</v>
      </c>
      <c r="N1211" s="55" t="str">
        <f t="shared" si="219"/>
        <v>15pieces</v>
      </c>
      <c r="O1211" s="56">
        <f t="shared" si="220"/>
        <v>442.5</v>
      </c>
      <c r="P1211" s="44">
        <f t="shared" si="247"/>
        <v>29.5</v>
      </c>
      <c r="Q1211" s="66"/>
      <c r="R1211" s="32" t="b">
        <f t="shared" si="249"/>
        <v>1</v>
      </c>
      <c r="S1211" s="32"/>
      <c r="T1211" s="32"/>
      <c r="U1211" s="32"/>
      <c r="V1211" s="32"/>
      <c r="W1211" s="32"/>
      <c r="X1211" s="32"/>
      <c r="Y1211" s="32"/>
      <c r="Z1211" s="32"/>
    </row>
    <row r="1212" spans="1:26" ht="15.75" customHeight="1" x14ac:dyDescent="0.3">
      <c r="A1212" s="45"/>
      <c r="B1212" s="46" t="s">
        <v>1616</v>
      </c>
      <c r="C1212" s="194" t="s">
        <v>2021</v>
      </c>
      <c r="D1212" s="46"/>
      <c r="E1212" s="219" t="s">
        <v>1241</v>
      </c>
      <c r="F1212" s="61" t="s">
        <v>31</v>
      </c>
      <c r="G1212" s="291">
        <v>60</v>
      </c>
      <c r="H1212" s="303">
        <v>1</v>
      </c>
      <c r="I1212" s="293">
        <v>530</v>
      </c>
      <c r="J1212" s="436" t="s">
        <v>32</v>
      </c>
      <c r="K1212" s="50"/>
      <c r="L1212" s="53" t="str">
        <f t="shared" si="217"/>
        <v>530ml</v>
      </c>
      <c r="M1212" s="54">
        <f t="shared" si="218"/>
        <v>530</v>
      </c>
      <c r="N1212" s="55" t="str">
        <f t="shared" si="219"/>
        <v>530ml</v>
      </c>
      <c r="O1212" s="56">
        <f t="shared" si="220"/>
        <v>60</v>
      </c>
      <c r="P1212" s="12"/>
      <c r="Q1212" s="12"/>
      <c r="R1212" s="12"/>
      <c r="S1212" s="151"/>
      <c r="T1212" s="12"/>
      <c r="U1212" s="12"/>
      <c r="V1212" s="12"/>
      <c r="W1212" s="12"/>
      <c r="X1212" s="12"/>
      <c r="Y1212" s="12"/>
      <c r="Z1212" s="12"/>
    </row>
    <row r="1213" spans="1:26" ht="15.75" customHeight="1" x14ac:dyDescent="0.3">
      <c r="A1213" s="45"/>
      <c r="B1213" s="46" t="s">
        <v>1616</v>
      </c>
      <c r="C1213" s="194" t="s">
        <v>2023</v>
      </c>
      <c r="D1213" s="46"/>
      <c r="E1213" s="46" t="s">
        <v>1241</v>
      </c>
      <c r="F1213" s="61" t="s">
        <v>31</v>
      </c>
      <c r="G1213" s="288">
        <v>29.41</v>
      </c>
      <c r="H1213" s="289">
        <v>72</v>
      </c>
      <c r="I1213" s="290">
        <v>220</v>
      </c>
      <c r="J1213" s="422" t="s">
        <v>32</v>
      </c>
      <c r="K1213" s="50"/>
      <c r="L1213" s="53" t="str">
        <f t="shared" si="217"/>
        <v>220ml</v>
      </c>
      <c r="M1213" s="54">
        <f t="shared" si="218"/>
        <v>15840</v>
      </c>
      <c r="N1213" s="55" t="str">
        <f t="shared" si="219"/>
        <v>15840ml</v>
      </c>
      <c r="O1213" s="56">
        <f t="shared" si="220"/>
        <v>2117.52</v>
      </c>
      <c r="P1213" s="12"/>
      <c r="Q1213" s="12"/>
      <c r="R1213" s="12"/>
      <c r="S1213" s="151"/>
      <c r="T1213" s="12"/>
      <c r="U1213" s="12"/>
      <c r="V1213" s="12"/>
      <c r="W1213" s="12"/>
      <c r="X1213" s="12"/>
      <c r="Y1213" s="12"/>
      <c r="Z1213" s="12"/>
    </row>
    <row r="1214" spans="1:26" ht="15.75" customHeight="1" x14ac:dyDescent="0.3">
      <c r="A1214" s="45"/>
      <c r="B1214" s="46" t="s">
        <v>1617</v>
      </c>
      <c r="C1214" s="194" t="s">
        <v>2022</v>
      </c>
      <c r="D1214" s="46"/>
      <c r="E1214" s="46" t="s">
        <v>1241</v>
      </c>
      <c r="F1214" s="61" t="s">
        <v>31</v>
      </c>
      <c r="G1214" s="288">
        <v>136</v>
      </c>
      <c r="H1214" s="289">
        <v>2</v>
      </c>
      <c r="I1214" s="290">
        <v>1</v>
      </c>
      <c r="J1214" s="422" t="s">
        <v>773</v>
      </c>
      <c r="K1214" s="50"/>
      <c r="L1214" s="53" t="str">
        <f t="shared" si="217"/>
        <v>1liters</v>
      </c>
      <c r="M1214" s="54">
        <f t="shared" si="218"/>
        <v>2</v>
      </c>
      <c r="N1214" s="55" t="str">
        <f t="shared" si="219"/>
        <v>2liters</v>
      </c>
      <c r="O1214" s="446">
        <f t="shared" si="220"/>
        <v>272</v>
      </c>
      <c r="P1214" s="12"/>
      <c r="Q1214" s="12"/>
      <c r="R1214" s="12"/>
      <c r="S1214" s="151"/>
      <c r="T1214" s="12"/>
      <c r="U1214" s="12"/>
      <c r="V1214" s="12"/>
      <c r="W1214" s="12"/>
      <c r="X1214" s="12"/>
      <c r="Y1214" s="12"/>
      <c r="Z1214" s="12"/>
    </row>
    <row r="1215" spans="1:26" ht="15.75" customHeight="1" x14ac:dyDescent="0.3">
      <c r="A1215" s="45">
        <v>525</v>
      </c>
      <c r="B1215" s="46" t="s">
        <v>1617</v>
      </c>
      <c r="C1215" s="194" t="s">
        <v>2026</v>
      </c>
      <c r="D1215" s="46"/>
      <c r="E1215" s="46" t="s">
        <v>1241</v>
      </c>
      <c r="F1215" s="61" t="s">
        <v>31</v>
      </c>
      <c r="G1215" s="288">
        <v>96.7</v>
      </c>
      <c r="H1215" s="289">
        <v>1</v>
      </c>
      <c r="I1215" s="290">
        <v>1</v>
      </c>
      <c r="J1215" s="422" t="s">
        <v>773</v>
      </c>
      <c r="K1215" s="50" t="s">
        <v>2019</v>
      </c>
      <c r="L1215" s="53" t="str">
        <f t="shared" si="217"/>
        <v>1liters</v>
      </c>
      <c r="M1215" s="54">
        <f t="shared" si="218"/>
        <v>1</v>
      </c>
      <c r="N1215" s="55" t="str">
        <f t="shared" si="219"/>
        <v>1liters</v>
      </c>
      <c r="O1215" s="56">
        <f t="shared" si="220"/>
        <v>96.7</v>
      </c>
      <c r="P1215" s="44">
        <f t="shared" ref="P1215:P1216" si="250">O1215/H1215</f>
        <v>96.7</v>
      </c>
      <c r="Q1215" s="66">
        <f>G1215-P1215</f>
        <v>0</v>
      </c>
      <c r="R1215" s="32" t="b">
        <f t="shared" ref="R1215:R1216" si="251">P1215=G1215</f>
        <v>1</v>
      </c>
      <c r="S1215" s="32"/>
      <c r="T1215" s="32"/>
      <c r="U1215" s="32"/>
      <c r="V1215" s="32"/>
      <c r="W1215" s="32"/>
      <c r="X1215" s="32"/>
      <c r="Y1215" s="32"/>
      <c r="Z1215" s="32"/>
    </row>
    <row r="1216" spans="1:26" ht="15.75" customHeight="1" x14ac:dyDescent="0.3">
      <c r="A1216" s="45">
        <v>526</v>
      </c>
      <c r="B1216" s="46" t="s">
        <v>1618</v>
      </c>
      <c r="C1216" s="194" t="s">
        <v>2026</v>
      </c>
      <c r="D1216" s="46"/>
      <c r="E1216" s="46" t="s">
        <v>1241</v>
      </c>
      <c r="F1216" s="61" t="s">
        <v>31</v>
      </c>
      <c r="G1216" s="288">
        <v>97.2</v>
      </c>
      <c r="H1216" s="289">
        <v>1</v>
      </c>
      <c r="I1216" s="290">
        <v>1</v>
      </c>
      <c r="J1216" s="422" t="s">
        <v>773</v>
      </c>
      <c r="K1216" s="50"/>
      <c r="L1216" s="53" t="str">
        <f t="shared" si="217"/>
        <v>1liters</v>
      </c>
      <c r="M1216" s="54">
        <f t="shared" si="218"/>
        <v>1</v>
      </c>
      <c r="N1216" s="55" t="str">
        <f t="shared" si="219"/>
        <v>1liters</v>
      </c>
      <c r="O1216" s="56">
        <f t="shared" si="220"/>
        <v>97.2</v>
      </c>
      <c r="P1216" s="44">
        <f t="shared" si="250"/>
        <v>97.2</v>
      </c>
      <c r="Q1216" s="66"/>
      <c r="R1216" s="32" t="b">
        <f t="shared" si="251"/>
        <v>1</v>
      </c>
      <c r="S1216" s="32"/>
      <c r="T1216" s="32"/>
      <c r="U1216" s="32"/>
      <c r="V1216" s="32"/>
      <c r="W1216" s="32"/>
      <c r="X1216" s="32"/>
      <c r="Y1216" s="32"/>
      <c r="Z1216" s="32"/>
    </row>
    <row r="1217" spans="1:26" ht="15.75" customHeight="1" x14ac:dyDescent="0.3">
      <c r="A1217" s="45"/>
      <c r="B1217" s="219" t="s">
        <v>1619</v>
      </c>
      <c r="C1217" s="194" t="s">
        <v>2021</v>
      </c>
      <c r="D1217" s="46"/>
      <c r="E1217" s="219" t="s">
        <v>1620</v>
      </c>
      <c r="F1217" s="61" t="s">
        <v>31</v>
      </c>
      <c r="G1217" s="291">
        <v>19.88</v>
      </c>
      <c r="H1217" s="292">
        <v>1</v>
      </c>
      <c r="I1217" s="293">
        <v>200</v>
      </c>
      <c r="J1217" s="414" t="s">
        <v>32</v>
      </c>
      <c r="K1217" s="50"/>
      <c r="L1217" s="53" t="str">
        <f t="shared" si="217"/>
        <v>200ml</v>
      </c>
      <c r="M1217" s="54">
        <f t="shared" si="218"/>
        <v>200</v>
      </c>
      <c r="N1217" s="55" t="str">
        <f t="shared" si="219"/>
        <v>200ml</v>
      </c>
      <c r="O1217" s="56">
        <f t="shared" si="220"/>
        <v>19.88</v>
      </c>
      <c r="P1217" s="12"/>
      <c r="Q1217" s="12"/>
      <c r="R1217" s="12"/>
      <c r="S1217" s="151"/>
      <c r="T1217" s="12"/>
      <c r="U1217" s="12"/>
      <c r="V1217" s="12"/>
      <c r="W1217" s="12"/>
      <c r="X1217" s="12"/>
      <c r="Y1217" s="12"/>
      <c r="Z1217" s="12"/>
    </row>
    <row r="1218" spans="1:26" ht="15.75" customHeight="1" x14ac:dyDescent="0.3">
      <c r="A1218" s="45">
        <v>759</v>
      </c>
      <c r="B1218" s="46" t="s">
        <v>1621</v>
      </c>
      <c r="C1218" s="194" t="s">
        <v>2026</v>
      </c>
      <c r="D1218" s="46"/>
      <c r="E1218" s="46"/>
      <c r="F1218" s="61" t="s">
        <v>31</v>
      </c>
      <c r="G1218" s="288">
        <v>5.0999999999999996</v>
      </c>
      <c r="H1218" s="289">
        <v>56</v>
      </c>
      <c r="I1218" s="290">
        <v>1</v>
      </c>
      <c r="J1218" s="48" t="s">
        <v>92</v>
      </c>
      <c r="K1218" s="50"/>
      <c r="L1218" s="53" t="str">
        <f t="shared" si="217"/>
        <v>1pieces</v>
      </c>
      <c r="M1218" s="54">
        <f t="shared" si="218"/>
        <v>56</v>
      </c>
      <c r="N1218" s="55" t="str">
        <f t="shared" si="219"/>
        <v>56pieces</v>
      </c>
      <c r="O1218" s="56">
        <f t="shared" si="220"/>
        <v>285.59999999999997</v>
      </c>
      <c r="P1218" s="44">
        <f t="shared" ref="P1218:P1219" si="252">O1218/H1218</f>
        <v>5.0999999999999996</v>
      </c>
      <c r="Q1218" s="66"/>
      <c r="R1218" s="32"/>
      <c r="S1218" s="32"/>
      <c r="T1218" s="32"/>
      <c r="U1218" s="32"/>
      <c r="V1218" s="32"/>
      <c r="W1218" s="32"/>
      <c r="X1218" s="32"/>
      <c r="Y1218" s="32"/>
      <c r="Z1218" s="32"/>
    </row>
    <row r="1219" spans="1:26" ht="15.75" customHeight="1" x14ac:dyDescent="0.3">
      <c r="A1219" s="45">
        <v>834</v>
      </c>
      <c r="B1219" s="46" t="s">
        <v>1621</v>
      </c>
      <c r="C1219" s="194" t="s">
        <v>1368</v>
      </c>
      <c r="D1219" s="46"/>
      <c r="E1219" s="46"/>
      <c r="F1219" s="61" t="s">
        <v>31</v>
      </c>
      <c r="G1219" s="288">
        <v>20</v>
      </c>
      <c r="H1219" s="289">
        <v>5</v>
      </c>
      <c r="I1219" s="290">
        <v>1</v>
      </c>
      <c r="J1219" s="48" t="s">
        <v>213</v>
      </c>
      <c r="K1219" s="50"/>
      <c r="L1219" s="53" t="str">
        <f t="shared" si="217"/>
        <v>1kilos</v>
      </c>
      <c r="M1219" s="54">
        <f t="shared" si="218"/>
        <v>5</v>
      </c>
      <c r="N1219" s="55" t="str">
        <f t="shared" si="219"/>
        <v>5kilos</v>
      </c>
      <c r="O1219" s="56">
        <f t="shared" si="220"/>
        <v>100</v>
      </c>
      <c r="P1219" s="44">
        <f t="shared" si="252"/>
        <v>20</v>
      </c>
      <c r="Q1219" s="66"/>
      <c r="R1219" s="32"/>
      <c r="S1219" s="32"/>
      <c r="T1219" s="32"/>
      <c r="U1219" s="32"/>
      <c r="V1219" s="32"/>
      <c r="W1219" s="32"/>
      <c r="X1219" s="32"/>
      <c r="Y1219" s="32"/>
      <c r="Z1219" s="32"/>
    </row>
    <row r="1220" spans="1:26" ht="15.75" customHeight="1" x14ac:dyDescent="0.3">
      <c r="A1220" s="45"/>
      <c r="B1220" s="219" t="s">
        <v>1622</v>
      </c>
      <c r="C1220" s="194" t="s">
        <v>2021</v>
      </c>
      <c r="D1220" s="46"/>
      <c r="E1220" s="219" t="s">
        <v>854</v>
      </c>
      <c r="F1220" s="61" t="s">
        <v>31</v>
      </c>
      <c r="G1220" s="291">
        <v>61.75</v>
      </c>
      <c r="H1220" s="292">
        <v>3</v>
      </c>
      <c r="I1220" s="293">
        <v>12</v>
      </c>
      <c r="J1220" s="414" t="s">
        <v>39</v>
      </c>
      <c r="K1220" s="50"/>
      <c r="L1220" s="53" t="str">
        <f t="shared" si="217"/>
        <v>12grams</v>
      </c>
      <c r="M1220" s="54">
        <f t="shared" si="218"/>
        <v>36</v>
      </c>
      <c r="N1220" s="55" t="str">
        <f t="shared" si="219"/>
        <v>36grams</v>
      </c>
      <c r="O1220" s="56">
        <f t="shared" si="220"/>
        <v>185.25</v>
      </c>
      <c r="P1220" s="12"/>
      <c r="Q1220" s="12"/>
      <c r="R1220" s="12"/>
      <c r="S1220" s="151"/>
      <c r="T1220" s="12"/>
      <c r="U1220" s="12"/>
      <c r="V1220" s="12"/>
      <c r="W1220" s="12"/>
      <c r="X1220" s="12"/>
      <c r="Y1220" s="12"/>
      <c r="Z1220" s="12"/>
    </row>
    <row r="1221" spans="1:26" ht="15.75" customHeight="1" x14ac:dyDescent="0.3">
      <c r="A1221" s="45">
        <v>309</v>
      </c>
      <c r="B1221" s="46" t="s">
        <v>1622</v>
      </c>
      <c r="C1221" s="194" t="s">
        <v>2025</v>
      </c>
      <c r="D1221" s="46"/>
      <c r="E1221" s="46" t="s">
        <v>1323</v>
      </c>
      <c r="F1221" s="61" t="s">
        <v>31</v>
      </c>
      <c r="G1221" s="288">
        <v>37</v>
      </c>
      <c r="H1221" s="289">
        <v>0</v>
      </c>
      <c r="I1221" s="290">
        <v>5</v>
      </c>
      <c r="J1221" s="48" t="s">
        <v>39</v>
      </c>
      <c r="K1221" s="50"/>
      <c r="L1221" s="53" t="str">
        <f t="shared" si="217"/>
        <v>5grams</v>
      </c>
      <c r="M1221" s="54">
        <f t="shared" si="218"/>
        <v>0</v>
      </c>
      <c r="N1221" s="55" t="str">
        <f t="shared" si="219"/>
        <v>0grams</v>
      </c>
      <c r="O1221" s="56">
        <f t="shared" si="220"/>
        <v>0</v>
      </c>
      <c r="P1221" s="44" t="e">
        <f t="shared" ref="P1221:P1223" si="253">O1221/H1221</f>
        <v>#DIV/0!</v>
      </c>
      <c r="Q1221" s="66"/>
      <c r="R1221" s="32" t="e">
        <f>P1221=G1221</f>
        <v>#DIV/0!</v>
      </c>
      <c r="S1221" s="32"/>
      <c r="T1221" s="32"/>
      <c r="U1221" s="32"/>
      <c r="V1221" s="32"/>
      <c r="W1221" s="32"/>
      <c r="X1221" s="32"/>
      <c r="Y1221" s="32"/>
      <c r="Z1221" s="32"/>
    </row>
    <row r="1222" spans="1:26" ht="15.75" customHeight="1" x14ac:dyDescent="0.3">
      <c r="A1222" s="45">
        <v>348</v>
      </c>
      <c r="B1222" s="46" t="s">
        <v>1623</v>
      </c>
      <c r="C1222" s="194" t="s">
        <v>2025</v>
      </c>
      <c r="D1222" s="46"/>
      <c r="E1222" s="46" t="s">
        <v>1624</v>
      </c>
      <c r="F1222" s="61" t="s">
        <v>31</v>
      </c>
      <c r="G1222" s="288">
        <v>100</v>
      </c>
      <c r="H1222" s="289">
        <v>1</v>
      </c>
      <c r="I1222" s="290">
        <v>1</v>
      </c>
      <c r="J1222" s="48" t="s">
        <v>213</v>
      </c>
      <c r="K1222" s="50"/>
      <c r="L1222" s="53" t="str">
        <f t="shared" si="217"/>
        <v>1kilos</v>
      </c>
      <c r="M1222" s="54">
        <f t="shared" si="218"/>
        <v>1</v>
      </c>
      <c r="N1222" s="55" t="str">
        <f t="shared" si="219"/>
        <v>1kilos</v>
      </c>
      <c r="O1222" s="56">
        <f t="shared" si="220"/>
        <v>100</v>
      </c>
      <c r="P1222" s="44">
        <f t="shared" si="253"/>
        <v>100</v>
      </c>
      <c r="Q1222" s="66"/>
      <c r="R1222" s="32"/>
      <c r="S1222" s="32"/>
      <c r="T1222" s="32"/>
      <c r="U1222" s="32"/>
      <c r="V1222" s="32"/>
      <c r="W1222" s="32"/>
      <c r="X1222" s="32"/>
      <c r="Y1222" s="32"/>
      <c r="Z1222" s="32"/>
    </row>
    <row r="1223" spans="1:26" ht="15.75" customHeight="1" x14ac:dyDescent="0.3">
      <c r="A1223" s="45">
        <v>534</v>
      </c>
      <c r="B1223" s="46" t="s">
        <v>756</v>
      </c>
      <c r="C1223" s="194" t="s">
        <v>2026</v>
      </c>
      <c r="D1223" s="46"/>
      <c r="E1223" s="46" t="s">
        <v>1625</v>
      </c>
      <c r="F1223" s="61" t="s">
        <v>31</v>
      </c>
      <c r="G1223" s="288">
        <v>3.99</v>
      </c>
      <c r="H1223" s="289">
        <v>63</v>
      </c>
      <c r="I1223" s="290">
        <v>8</v>
      </c>
      <c r="J1223" s="48" t="s">
        <v>39</v>
      </c>
      <c r="K1223" s="50" t="s">
        <v>2019</v>
      </c>
      <c r="L1223" s="53" t="str">
        <f t="shared" si="217"/>
        <v>8grams</v>
      </c>
      <c r="M1223" s="54">
        <f t="shared" si="218"/>
        <v>504</v>
      </c>
      <c r="N1223" s="55" t="str">
        <f t="shared" si="219"/>
        <v>504grams</v>
      </c>
      <c r="O1223" s="56">
        <f t="shared" si="220"/>
        <v>251.37</v>
      </c>
      <c r="P1223" s="44">
        <f t="shared" si="253"/>
        <v>3.99</v>
      </c>
      <c r="Q1223" s="66">
        <f>G1223-P1223</f>
        <v>0</v>
      </c>
      <c r="R1223" s="32" t="b">
        <f>P1223=G1223</f>
        <v>1</v>
      </c>
      <c r="S1223" s="32"/>
      <c r="T1223" s="32"/>
      <c r="U1223" s="32"/>
      <c r="V1223" s="32"/>
      <c r="W1223" s="32"/>
      <c r="X1223" s="32"/>
      <c r="Y1223" s="32"/>
      <c r="Z1223" s="32"/>
    </row>
    <row r="1224" spans="1:26" ht="15.75" customHeight="1" x14ac:dyDescent="0.3">
      <c r="A1224" s="45"/>
      <c r="B1224" s="46" t="s">
        <v>756</v>
      </c>
      <c r="C1224" s="194" t="s">
        <v>2023</v>
      </c>
      <c r="D1224" s="46"/>
      <c r="E1224" s="46" t="s">
        <v>1625</v>
      </c>
      <c r="F1224" s="61" t="s">
        <v>31</v>
      </c>
      <c r="G1224" s="288">
        <v>3.99</v>
      </c>
      <c r="H1224" s="289">
        <v>279</v>
      </c>
      <c r="I1224" s="290">
        <v>8</v>
      </c>
      <c r="J1224" s="48" t="s">
        <v>39</v>
      </c>
      <c r="K1224" s="50"/>
      <c r="L1224" s="53" t="str">
        <f t="shared" si="217"/>
        <v>8grams</v>
      </c>
      <c r="M1224" s="54">
        <f t="shared" si="218"/>
        <v>2232</v>
      </c>
      <c r="N1224" s="55" t="str">
        <f t="shared" si="219"/>
        <v>2232grams</v>
      </c>
      <c r="O1224" s="56">
        <f t="shared" si="220"/>
        <v>1113.21</v>
      </c>
      <c r="P1224" s="12"/>
      <c r="Q1224" s="12"/>
      <c r="R1224" s="12"/>
      <c r="S1224" s="151"/>
      <c r="T1224" s="12"/>
      <c r="U1224" s="12"/>
      <c r="V1224" s="12"/>
      <c r="W1224" s="12"/>
      <c r="X1224" s="12"/>
      <c r="Y1224" s="12"/>
      <c r="Z1224" s="12"/>
    </row>
    <row r="1225" spans="1:26" ht="15.75" customHeight="1" x14ac:dyDescent="0.3">
      <c r="A1225" s="45"/>
      <c r="B1225" s="219" t="s">
        <v>1626</v>
      </c>
      <c r="C1225" s="194" t="s">
        <v>2021</v>
      </c>
      <c r="D1225" s="46"/>
      <c r="E1225" s="219" t="s">
        <v>1627</v>
      </c>
      <c r="F1225" s="61" t="s">
        <v>31</v>
      </c>
      <c r="G1225" s="291">
        <v>83</v>
      </c>
      <c r="H1225" s="292">
        <v>1</v>
      </c>
      <c r="I1225" s="293">
        <v>250</v>
      </c>
      <c r="J1225" s="414" t="s">
        <v>39</v>
      </c>
      <c r="K1225" s="50"/>
      <c r="L1225" s="53" t="str">
        <f t="shared" si="217"/>
        <v>250grams</v>
      </c>
      <c r="M1225" s="54">
        <f t="shared" si="218"/>
        <v>250</v>
      </c>
      <c r="N1225" s="55" t="str">
        <f t="shared" si="219"/>
        <v>250grams</v>
      </c>
      <c r="O1225" s="56">
        <f t="shared" si="220"/>
        <v>83</v>
      </c>
      <c r="P1225" s="12"/>
      <c r="Q1225" s="12"/>
      <c r="R1225" s="12"/>
      <c r="S1225" s="151"/>
      <c r="T1225" s="12"/>
      <c r="U1225" s="12"/>
      <c r="V1225" s="12"/>
      <c r="W1225" s="12"/>
      <c r="X1225" s="12"/>
      <c r="Y1225" s="12"/>
      <c r="Z1225" s="12"/>
    </row>
    <row r="1226" spans="1:26" ht="15.75" customHeight="1" x14ac:dyDescent="0.3">
      <c r="A1226" s="45">
        <v>472</v>
      </c>
      <c r="B1226" s="46" t="s">
        <v>1628</v>
      </c>
      <c r="C1226" s="194" t="s">
        <v>2025</v>
      </c>
      <c r="D1226" s="46"/>
      <c r="E1226" s="46"/>
      <c r="F1226" s="61" t="s">
        <v>31</v>
      </c>
      <c r="G1226" s="288">
        <v>220</v>
      </c>
      <c r="H1226" s="289">
        <v>3</v>
      </c>
      <c r="I1226" s="290">
        <v>1</v>
      </c>
      <c r="J1226" s="48" t="s">
        <v>213</v>
      </c>
      <c r="K1226" s="50" t="s">
        <v>2019</v>
      </c>
      <c r="L1226" s="53" t="str">
        <f t="shared" si="217"/>
        <v>1kilos</v>
      </c>
      <c r="M1226" s="54">
        <f t="shared" si="218"/>
        <v>3</v>
      </c>
      <c r="N1226" s="55" t="str">
        <f t="shared" si="219"/>
        <v>3kilos</v>
      </c>
      <c r="O1226" s="56">
        <f t="shared" si="220"/>
        <v>660</v>
      </c>
      <c r="P1226" s="44">
        <f t="shared" ref="P1226:P1230" si="254">O1226/H1226</f>
        <v>220</v>
      </c>
      <c r="Q1226" s="44">
        <f t="shared" ref="Q1226:Q1227" si="255">G1226-P1226</f>
        <v>0</v>
      </c>
      <c r="R1226" s="32" t="b">
        <f t="shared" ref="R1226:R1230" si="256">P1226=G1226</f>
        <v>1</v>
      </c>
      <c r="S1226" s="32"/>
      <c r="T1226" s="32"/>
      <c r="U1226" s="32"/>
      <c r="V1226" s="32"/>
      <c r="W1226" s="32"/>
      <c r="X1226" s="32"/>
      <c r="Y1226" s="32"/>
      <c r="Z1226" s="32"/>
    </row>
    <row r="1227" spans="1:26" ht="15.75" customHeight="1" x14ac:dyDescent="0.3">
      <c r="A1227" s="45">
        <v>549</v>
      </c>
      <c r="B1227" s="219" t="s">
        <v>1629</v>
      </c>
      <c r="C1227" s="194" t="s">
        <v>2026</v>
      </c>
      <c r="D1227" s="46"/>
      <c r="E1227" s="46" t="s">
        <v>1630</v>
      </c>
      <c r="F1227" s="61" t="s">
        <v>31</v>
      </c>
      <c r="G1227" s="288">
        <v>218</v>
      </c>
      <c r="H1227" s="289">
        <v>0</v>
      </c>
      <c r="I1227" s="290">
        <v>439</v>
      </c>
      <c r="J1227" s="48" t="s">
        <v>39</v>
      </c>
      <c r="K1227" s="50" t="s">
        <v>2019</v>
      </c>
      <c r="L1227" s="53" t="str">
        <f t="shared" si="217"/>
        <v>439grams</v>
      </c>
      <c r="M1227" s="54">
        <f t="shared" si="218"/>
        <v>0</v>
      </c>
      <c r="N1227" s="55" t="str">
        <f t="shared" si="219"/>
        <v>0grams</v>
      </c>
      <c r="O1227" s="56">
        <f t="shared" si="220"/>
        <v>0</v>
      </c>
      <c r="P1227" s="44" t="e">
        <f t="shared" si="254"/>
        <v>#DIV/0!</v>
      </c>
      <c r="Q1227" s="66" t="e">
        <f t="shared" si="255"/>
        <v>#DIV/0!</v>
      </c>
      <c r="R1227" s="32" t="e">
        <f t="shared" si="256"/>
        <v>#DIV/0!</v>
      </c>
      <c r="S1227" s="32"/>
      <c r="T1227" s="32"/>
      <c r="U1227" s="32"/>
      <c r="V1227" s="32"/>
      <c r="W1227" s="32"/>
      <c r="X1227" s="32"/>
      <c r="Y1227" s="32"/>
      <c r="Z1227" s="32"/>
    </row>
    <row r="1228" spans="1:26" ht="15.75" customHeight="1" x14ac:dyDescent="0.3">
      <c r="A1228" s="45">
        <v>790</v>
      </c>
      <c r="B1228" s="46" t="s">
        <v>758</v>
      </c>
      <c r="C1228" s="194" t="s">
        <v>1368</v>
      </c>
      <c r="D1228" s="46"/>
      <c r="E1228" s="46" t="s">
        <v>1631</v>
      </c>
      <c r="F1228" s="61" t="s">
        <v>31</v>
      </c>
      <c r="G1228" s="288">
        <v>10</v>
      </c>
      <c r="H1228" s="289">
        <v>18</v>
      </c>
      <c r="I1228" s="290">
        <v>1</v>
      </c>
      <c r="J1228" s="48" t="s">
        <v>213</v>
      </c>
      <c r="K1228" s="50"/>
      <c r="L1228" s="53" t="str">
        <f t="shared" si="217"/>
        <v>1kilos</v>
      </c>
      <c r="M1228" s="54">
        <f t="shared" si="218"/>
        <v>18</v>
      </c>
      <c r="N1228" s="55" t="str">
        <f t="shared" si="219"/>
        <v>18kilos</v>
      </c>
      <c r="O1228" s="56">
        <f t="shared" si="220"/>
        <v>180</v>
      </c>
      <c r="P1228" s="44">
        <f t="shared" si="254"/>
        <v>10</v>
      </c>
      <c r="Q1228" s="66"/>
      <c r="R1228" s="32" t="b">
        <f t="shared" si="256"/>
        <v>1</v>
      </c>
      <c r="S1228" s="32"/>
      <c r="T1228" s="32"/>
      <c r="U1228" s="32"/>
      <c r="V1228" s="32"/>
      <c r="W1228" s="32"/>
      <c r="X1228" s="32"/>
      <c r="Y1228" s="32"/>
      <c r="Z1228" s="32"/>
    </row>
    <row r="1229" spans="1:26" ht="15.75" customHeight="1" x14ac:dyDescent="0.3">
      <c r="A1229" s="45">
        <v>290</v>
      </c>
      <c r="B1229" s="46" t="s">
        <v>1632</v>
      </c>
      <c r="C1229" s="194" t="s">
        <v>2025</v>
      </c>
      <c r="D1229" s="46"/>
      <c r="E1229" s="46" t="s">
        <v>1633</v>
      </c>
      <c r="F1229" s="61" t="s">
        <v>31</v>
      </c>
      <c r="G1229" s="288">
        <v>15</v>
      </c>
      <c r="H1229" s="289">
        <v>5</v>
      </c>
      <c r="I1229" s="290">
        <v>250</v>
      </c>
      <c r="J1229" s="48" t="s">
        <v>39</v>
      </c>
      <c r="K1229" s="50" t="s">
        <v>2019</v>
      </c>
      <c r="L1229" s="53" t="str">
        <f t="shared" si="217"/>
        <v>250grams</v>
      </c>
      <c r="M1229" s="54">
        <f t="shared" si="218"/>
        <v>1250</v>
      </c>
      <c r="N1229" s="55" t="str">
        <f t="shared" si="219"/>
        <v>1250grams</v>
      </c>
      <c r="O1229" s="56">
        <f t="shared" si="220"/>
        <v>75</v>
      </c>
      <c r="P1229" s="44">
        <f t="shared" si="254"/>
        <v>15</v>
      </c>
      <c r="Q1229" s="44">
        <f>G1229-P1229</f>
        <v>0</v>
      </c>
      <c r="R1229" s="32" t="b">
        <f t="shared" si="256"/>
        <v>1</v>
      </c>
      <c r="S1229" s="32"/>
      <c r="T1229" s="32"/>
      <c r="U1229" s="32"/>
      <c r="V1229" s="32"/>
      <c r="W1229" s="32"/>
      <c r="X1229" s="32"/>
      <c r="Y1229" s="32"/>
      <c r="Z1229" s="32"/>
    </row>
    <row r="1230" spans="1:26" ht="15.75" customHeight="1" x14ac:dyDescent="0.3">
      <c r="A1230" s="45">
        <v>744</v>
      </c>
      <c r="B1230" s="46" t="s">
        <v>1632</v>
      </c>
      <c r="C1230" s="194" t="s">
        <v>2026</v>
      </c>
      <c r="D1230" s="46"/>
      <c r="E1230" s="46" t="s">
        <v>1633</v>
      </c>
      <c r="F1230" s="61" t="s">
        <v>31</v>
      </c>
      <c r="G1230" s="288">
        <v>32.299999999999997</v>
      </c>
      <c r="H1230" s="289">
        <v>1</v>
      </c>
      <c r="I1230" s="290">
        <v>1</v>
      </c>
      <c r="J1230" s="48" t="s">
        <v>213</v>
      </c>
      <c r="K1230" s="50"/>
      <c r="L1230" s="53" t="str">
        <f t="shared" si="217"/>
        <v>1kilos</v>
      </c>
      <c r="M1230" s="54">
        <f t="shared" si="218"/>
        <v>1</v>
      </c>
      <c r="N1230" s="55" t="str">
        <f t="shared" si="219"/>
        <v>1kilos</v>
      </c>
      <c r="O1230" s="56">
        <f t="shared" si="220"/>
        <v>32.299999999999997</v>
      </c>
      <c r="P1230" s="44">
        <f t="shared" si="254"/>
        <v>32.299999999999997</v>
      </c>
      <c r="Q1230" s="66"/>
      <c r="R1230" s="32" t="b">
        <f t="shared" si="256"/>
        <v>1</v>
      </c>
      <c r="S1230" s="32"/>
      <c r="T1230" s="32"/>
      <c r="U1230" s="32"/>
      <c r="V1230" s="32"/>
      <c r="W1230" s="32"/>
      <c r="X1230" s="32"/>
      <c r="Y1230" s="32"/>
      <c r="Z1230" s="32"/>
    </row>
    <row r="1231" spans="1:26" ht="15.75" customHeight="1" x14ac:dyDescent="0.3">
      <c r="A1231" s="45"/>
      <c r="B1231" s="46" t="s">
        <v>1632</v>
      </c>
      <c r="C1231" s="194" t="s">
        <v>2023</v>
      </c>
      <c r="D1231" s="46"/>
      <c r="E1231" s="46" t="s">
        <v>1352</v>
      </c>
      <c r="F1231" s="61" t="s">
        <v>31</v>
      </c>
      <c r="G1231" s="288">
        <v>25</v>
      </c>
      <c r="H1231" s="289">
        <v>30</v>
      </c>
      <c r="I1231" s="290">
        <v>500</v>
      </c>
      <c r="J1231" s="48" t="s">
        <v>39</v>
      </c>
      <c r="K1231" s="50"/>
      <c r="L1231" s="53" t="str">
        <f t="shared" si="217"/>
        <v>500grams</v>
      </c>
      <c r="M1231" s="54">
        <f t="shared" si="218"/>
        <v>15000</v>
      </c>
      <c r="N1231" s="55" t="str">
        <f t="shared" si="219"/>
        <v>15000grams</v>
      </c>
      <c r="O1231" s="56">
        <f t="shared" si="220"/>
        <v>750</v>
      </c>
      <c r="P1231" s="12"/>
      <c r="Q1231" s="12"/>
      <c r="R1231" s="12"/>
      <c r="S1231" s="151"/>
      <c r="T1231" s="12"/>
      <c r="U1231" s="12"/>
      <c r="V1231" s="12"/>
      <c r="W1231" s="12"/>
      <c r="X1231" s="12"/>
      <c r="Y1231" s="12"/>
      <c r="Z1231" s="12"/>
    </row>
    <row r="1232" spans="1:26" ht="15.75" customHeight="1" x14ac:dyDescent="0.3">
      <c r="A1232" s="45"/>
      <c r="B1232" s="46" t="s">
        <v>1632</v>
      </c>
      <c r="C1232" s="194" t="s">
        <v>2022</v>
      </c>
      <c r="D1232" s="46"/>
      <c r="E1232" s="46" t="s">
        <v>1352</v>
      </c>
      <c r="F1232" s="61" t="s">
        <v>31</v>
      </c>
      <c r="G1232" s="288">
        <v>28</v>
      </c>
      <c r="H1232" s="289">
        <v>10</v>
      </c>
      <c r="I1232" s="290">
        <v>1</v>
      </c>
      <c r="J1232" s="48" t="s">
        <v>213</v>
      </c>
      <c r="K1232" s="50"/>
      <c r="L1232" s="53" t="str">
        <f t="shared" si="217"/>
        <v>1kilos</v>
      </c>
      <c r="M1232" s="54">
        <f t="shared" si="218"/>
        <v>10</v>
      </c>
      <c r="N1232" s="55" t="str">
        <f t="shared" si="219"/>
        <v>10kilos</v>
      </c>
      <c r="O1232" s="56">
        <f t="shared" si="220"/>
        <v>280</v>
      </c>
      <c r="P1232" s="12"/>
      <c r="Q1232" s="12"/>
      <c r="R1232" s="12"/>
      <c r="S1232" s="151"/>
      <c r="T1232" s="12"/>
      <c r="U1232" s="12"/>
      <c r="V1232" s="12"/>
      <c r="W1232" s="12"/>
      <c r="X1232" s="12"/>
      <c r="Y1232" s="12"/>
      <c r="Z1232" s="12"/>
    </row>
    <row r="1233" spans="1:26" ht="15.75" customHeight="1" x14ac:dyDescent="0.3">
      <c r="A1233" s="45"/>
      <c r="B1233" s="46" t="s">
        <v>1632</v>
      </c>
      <c r="C1233" s="194" t="s">
        <v>2022</v>
      </c>
      <c r="D1233" s="46"/>
      <c r="E1233" s="46" t="s">
        <v>1633</v>
      </c>
      <c r="F1233" s="61" t="s">
        <v>31</v>
      </c>
      <c r="G1233" s="288">
        <v>32</v>
      </c>
      <c r="H1233" s="289">
        <v>2</v>
      </c>
      <c r="I1233" s="290">
        <v>1</v>
      </c>
      <c r="J1233" s="48" t="s">
        <v>213</v>
      </c>
      <c r="K1233" s="50"/>
      <c r="L1233" s="53" t="str">
        <f t="shared" si="217"/>
        <v>1kilos</v>
      </c>
      <c r="M1233" s="54">
        <f t="shared" si="218"/>
        <v>2</v>
      </c>
      <c r="N1233" s="55" t="str">
        <f t="shared" si="219"/>
        <v>2kilos</v>
      </c>
      <c r="O1233" s="56">
        <f t="shared" si="220"/>
        <v>64</v>
      </c>
      <c r="P1233" s="12"/>
      <c r="Q1233" s="12"/>
      <c r="R1233" s="12"/>
      <c r="S1233" s="151"/>
      <c r="T1233" s="12"/>
      <c r="U1233" s="12"/>
      <c r="V1233" s="12"/>
      <c r="W1233" s="12"/>
      <c r="X1233" s="12"/>
      <c r="Y1233" s="12"/>
      <c r="Z1233" s="12"/>
    </row>
    <row r="1234" spans="1:26" ht="15.75" customHeight="1" x14ac:dyDescent="0.3">
      <c r="A1234" s="45"/>
      <c r="B1234" s="219" t="s">
        <v>1632</v>
      </c>
      <c r="C1234" s="194" t="s">
        <v>2021</v>
      </c>
      <c r="D1234" s="46"/>
      <c r="E1234" s="219" t="s">
        <v>1633</v>
      </c>
      <c r="F1234" s="61" t="s">
        <v>31</v>
      </c>
      <c r="G1234" s="291">
        <v>35.5</v>
      </c>
      <c r="H1234" s="292">
        <v>18</v>
      </c>
      <c r="I1234" s="290">
        <v>1</v>
      </c>
      <c r="J1234" s="48" t="s">
        <v>213</v>
      </c>
      <c r="K1234" s="50"/>
      <c r="L1234" s="53" t="str">
        <f t="shared" si="217"/>
        <v>1kilos</v>
      </c>
      <c r="M1234" s="54">
        <f t="shared" si="218"/>
        <v>18</v>
      </c>
      <c r="N1234" s="55" t="str">
        <f t="shared" si="219"/>
        <v>18kilos</v>
      </c>
      <c r="O1234" s="56">
        <f t="shared" si="220"/>
        <v>639</v>
      </c>
      <c r="P1234" s="12"/>
      <c r="Q1234" s="12"/>
      <c r="R1234" s="12"/>
      <c r="S1234" s="151"/>
      <c r="T1234" s="12"/>
      <c r="U1234" s="12"/>
      <c r="V1234" s="12"/>
      <c r="W1234" s="12"/>
      <c r="X1234" s="12"/>
      <c r="Y1234" s="12"/>
      <c r="Z1234" s="12"/>
    </row>
    <row r="1235" spans="1:26" ht="15.75" customHeight="1" x14ac:dyDescent="0.3">
      <c r="A1235" s="45"/>
      <c r="B1235" s="46" t="s">
        <v>1632</v>
      </c>
      <c r="C1235" s="194" t="s">
        <v>2020</v>
      </c>
      <c r="D1235" s="46"/>
      <c r="E1235" s="46" t="s">
        <v>1633</v>
      </c>
      <c r="F1235" s="61" t="s">
        <v>31</v>
      </c>
      <c r="G1235" s="288">
        <v>32.299999999999997</v>
      </c>
      <c r="H1235" s="289">
        <v>2</v>
      </c>
      <c r="I1235" s="290">
        <v>1</v>
      </c>
      <c r="J1235" s="48" t="s">
        <v>213</v>
      </c>
      <c r="K1235" s="50"/>
      <c r="L1235" s="53" t="str">
        <f t="shared" si="217"/>
        <v>1kilos</v>
      </c>
      <c r="M1235" s="54">
        <f t="shared" si="218"/>
        <v>2</v>
      </c>
      <c r="N1235" s="55" t="str">
        <f t="shared" si="219"/>
        <v>2kilos</v>
      </c>
      <c r="O1235" s="56">
        <f t="shared" si="220"/>
        <v>64.599999999999994</v>
      </c>
      <c r="P1235" s="12"/>
      <c r="Q1235" s="12"/>
      <c r="R1235" s="12"/>
      <c r="S1235" s="151"/>
      <c r="T1235" s="12"/>
      <c r="U1235" s="12"/>
      <c r="V1235" s="12"/>
      <c r="W1235" s="12"/>
      <c r="X1235" s="12"/>
      <c r="Y1235" s="12"/>
      <c r="Z1235" s="12"/>
    </row>
    <row r="1236" spans="1:26" ht="15.75" customHeight="1" x14ac:dyDescent="0.3">
      <c r="A1236" s="45">
        <v>107</v>
      </c>
      <c r="B1236" s="46" t="s">
        <v>282</v>
      </c>
      <c r="C1236" s="194" t="s">
        <v>2024</v>
      </c>
      <c r="D1236" s="46"/>
      <c r="E1236" s="46"/>
      <c r="F1236" s="61" t="s">
        <v>31</v>
      </c>
      <c r="G1236" s="288">
        <v>25</v>
      </c>
      <c r="H1236" s="289">
        <v>26</v>
      </c>
      <c r="I1236" s="290">
        <v>1</v>
      </c>
      <c r="J1236" s="48" t="s">
        <v>213</v>
      </c>
      <c r="K1236" s="50" t="s">
        <v>2019</v>
      </c>
      <c r="L1236" s="53" t="str">
        <f t="shared" si="217"/>
        <v>1kilos</v>
      </c>
      <c r="M1236" s="54">
        <f t="shared" si="218"/>
        <v>26</v>
      </c>
      <c r="N1236" s="55" t="str">
        <f t="shared" si="219"/>
        <v>26kilos</v>
      </c>
      <c r="O1236" s="56">
        <f t="shared" si="220"/>
        <v>650</v>
      </c>
      <c r="P1236" s="44">
        <f>O1236/H1236</f>
        <v>25</v>
      </c>
      <c r="Q1236" s="66">
        <f>G1236-P1236</f>
        <v>0</v>
      </c>
      <c r="R1236" s="32" t="b">
        <f>P1236=G1236</f>
        <v>1</v>
      </c>
      <c r="S1236" s="32"/>
      <c r="T1236" s="32"/>
      <c r="U1236" s="32"/>
      <c r="V1236" s="32"/>
      <c r="W1236" s="32"/>
      <c r="X1236" s="32"/>
      <c r="Y1236" s="32"/>
      <c r="Z1236" s="32"/>
    </row>
    <row r="1237" spans="1:26" ht="15.75" customHeight="1" x14ac:dyDescent="0.3">
      <c r="A1237" s="45"/>
      <c r="B1237" s="219" t="s">
        <v>282</v>
      </c>
      <c r="C1237" s="194" t="s">
        <v>2021</v>
      </c>
      <c r="D1237" s="46"/>
      <c r="E1237" s="219"/>
      <c r="F1237" s="61" t="s">
        <v>31</v>
      </c>
      <c r="G1237" s="291">
        <v>25</v>
      </c>
      <c r="H1237" s="292">
        <v>2</v>
      </c>
      <c r="I1237" s="290">
        <v>1</v>
      </c>
      <c r="J1237" s="48" t="s">
        <v>213</v>
      </c>
      <c r="K1237" s="50"/>
      <c r="L1237" s="53" t="str">
        <f t="shared" si="217"/>
        <v>1kilos</v>
      </c>
      <c r="M1237" s="54">
        <f t="shared" si="218"/>
        <v>2</v>
      </c>
      <c r="N1237" s="55" t="str">
        <f t="shared" si="219"/>
        <v>2kilos</v>
      </c>
      <c r="O1237" s="56">
        <f t="shared" si="220"/>
        <v>50</v>
      </c>
      <c r="P1237" s="12"/>
      <c r="Q1237" s="12"/>
      <c r="R1237" s="12"/>
      <c r="S1237" s="151"/>
      <c r="T1237" s="12"/>
      <c r="U1237" s="12"/>
      <c r="V1237" s="12"/>
      <c r="W1237" s="12"/>
      <c r="X1237" s="12"/>
      <c r="Y1237" s="12"/>
      <c r="Z1237" s="12"/>
    </row>
    <row r="1238" spans="1:26" ht="15.75" customHeight="1" x14ac:dyDescent="0.3">
      <c r="A1238" s="45">
        <v>447</v>
      </c>
      <c r="B1238" s="46" t="s">
        <v>1634</v>
      </c>
      <c r="C1238" s="194" t="s">
        <v>2025</v>
      </c>
      <c r="D1238" s="46"/>
      <c r="E1238" s="46" t="s">
        <v>1624</v>
      </c>
      <c r="F1238" s="61" t="s">
        <v>31</v>
      </c>
      <c r="G1238" s="288">
        <v>20</v>
      </c>
      <c r="H1238" s="289">
        <v>16</v>
      </c>
      <c r="I1238" s="290">
        <v>1</v>
      </c>
      <c r="J1238" s="48" t="s">
        <v>92</v>
      </c>
      <c r="K1238" s="50"/>
      <c r="L1238" s="53" t="str">
        <f t="shared" si="217"/>
        <v>1pieces</v>
      </c>
      <c r="M1238" s="54">
        <f t="shared" si="218"/>
        <v>16</v>
      </c>
      <c r="N1238" s="55" t="str">
        <f t="shared" si="219"/>
        <v>16pieces</v>
      </c>
      <c r="O1238" s="56">
        <f t="shared" si="220"/>
        <v>320</v>
      </c>
      <c r="P1238" s="44">
        <f>O1238/H1238</f>
        <v>20</v>
      </c>
      <c r="Q1238" s="66"/>
      <c r="R1238" s="32" t="b">
        <f>P1238=G1238</f>
        <v>1</v>
      </c>
      <c r="S1238" s="32"/>
      <c r="T1238" s="32"/>
      <c r="U1238" s="32"/>
      <c r="V1238" s="32"/>
      <c r="W1238" s="32"/>
      <c r="X1238" s="32"/>
      <c r="Y1238" s="32"/>
      <c r="Z1238" s="32"/>
    </row>
    <row r="1239" spans="1:26" ht="15.75" customHeight="1" x14ac:dyDescent="0.3">
      <c r="A1239" s="45">
        <v>908</v>
      </c>
      <c r="B1239" s="46" t="s">
        <v>1635</v>
      </c>
      <c r="C1239" s="194" t="s">
        <v>1368</v>
      </c>
      <c r="D1239" s="46"/>
      <c r="E1239" s="46"/>
      <c r="F1239" s="61" t="s">
        <v>31</v>
      </c>
      <c r="G1239" s="288">
        <v>30</v>
      </c>
      <c r="H1239" s="289">
        <v>1</v>
      </c>
      <c r="I1239" s="290">
        <v>1</v>
      </c>
      <c r="J1239" s="48" t="s">
        <v>213</v>
      </c>
      <c r="K1239" s="50"/>
      <c r="L1239" s="53" t="str">
        <f t="shared" si="217"/>
        <v>1kilos</v>
      </c>
      <c r="M1239" s="54">
        <f t="shared" si="218"/>
        <v>1</v>
      </c>
      <c r="N1239" s="55" t="str">
        <f t="shared" si="219"/>
        <v>1kilos</v>
      </c>
      <c r="O1239" s="56">
        <f t="shared" si="220"/>
        <v>30</v>
      </c>
      <c r="P1239" s="44"/>
      <c r="Q1239" s="66"/>
      <c r="R1239" s="32"/>
      <c r="S1239" s="32"/>
      <c r="T1239" s="32"/>
      <c r="U1239" s="32"/>
      <c r="V1239" s="32"/>
      <c r="W1239" s="32"/>
      <c r="X1239" s="32"/>
      <c r="Y1239" s="32"/>
      <c r="Z1239" s="32"/>
    </row>
    <row r="1240" spans="1:26" ht="15.75" customHeight="1" x14ac:dyDescent="0.3">
      <c r="A1240" s="45">
        <v>578</v>
      </c>
      <c r="B1240" s="46" t="s">
        <v>1636</v>
      </c>
      <c r="C1240" s="194" t="s">
        <v>2026</v>
      </c>
      <c r="D1240" s="46"/>
      <c r="E1240" s="46" t="s">
        <v>1637</v>
      </c>
      <c r="F1240" s="61" t="s">
        <v>31</v>
      </c>
      <c r="G1240" s="288">
        <v>90.5</v>
      </c>
      <c r="H1240" s="289">
        <v>3</v>
      </c>
      <c r="I1240" s="290">
        <v>1</v>
      </c>
      <c r="J1240" s="48" t="s">
        <v>1638</v>
      </c>
      <c r="K1240" s="50"/>
      <c r="L1240" s="53" t="str">
        <f t="shared" si="217"/>
        <v>1box</v>
      </c>
      <c r="M1240" s="54">
        <f t="shared" si="218"/>
        <v>3</v>
      </c>
      <c r="N1240" s="55" t="str">
        <f t="shared" si="219"/>
        <v>3box</v>
      </c>
      <c r="O1240" s="56">
        <f t="shared" si="220"/>
        <v>271.5</v>
      </c>
      <c r="P1240" s="44">
        <f>O1240/H1240</f>
        <v>90.5</v>
      </c>
      <c r="Q1240" s="66"/>
      <c r="R1240" s="32"/>
      <c r="S1240" s="32"/>
      <c r="T1240" s="32"/>
      <c r="U1240" s="32"/>
      <c r="V1240" s="32"/>
      <c r="W1240" s="32"/>
      <c r="X1240" s="32"/>
      <c r="Y1240" s="32"/>
      <c r="Z1240" s="32"/>
    </row>
    <row r="1241" spans="1:26" ht="15.75" customHeight="1" x14ac:dyDescent="0.3">
      <c r="A1241" s="45"/>
      <c r="B1241" s="219" t="s">
        <v>1639</v>
      </c>
      <c r="C1241" s="194" t="s">
        <v>2020</v>
      </c>
      <c r="D1241" s="219"/>
      <c r="E1241" s="46" t="s">
        <v>1640</v>
      </c>
      <c r="F1241" s="61" t="s">
        <v>31</v>
      </c>
      <c r="G1241" s="288">
        <v>6.07</v>
      </c>
      <c r="H1241" s="289">
        <v>23</v>
      </c>
      <c r="I1241" s="290">
        <v>1</v>
      </c>
      <c r="J1241" s="48" t="s">
        <v>92</v>
      </c>
      <c r="K1241" s="50"/>
      <c r="L1241" s="53" t="str">
        <f t="shared" si="217"/>
        <v>1pieces</v>
      </c>
      <c r="M1241" s="54">
        <f t="shared" si="218"/>
        <v>23</v>
      </c>
      <c r="N1241" s="55" t="str">
        <f t="shared" si="219"/>
        <v>23pieces</v>
      </c>
      <c r="O1241" s="56">
        <f t="shared" si="220"/>
        <v>139.61000000000001</v>
      </c>
      <c r="P1241" s="12"/>
      <c r="Q1241" s="12"/>
      <c r="R1241" s="12"/>
      <c r="S1241" s="151"/>
      <c r="T1241" s="12"/>
      <c r="U1241" s="12"/>
      <c r="V1241" s="12"/>
      <c r="W1241" s="12"/>
      <c r="X1241" s="12"/>
      <c r="Y1241" s="12"/>
      <c r="Z1241" s="12"/>
    </row>
    <row r="1242" spans="1:26" ht="15.75" customHeight="1" x14ac:dyDescent="0.3">
      <c r="A1242" s="45">
        <v>916</v>
      </c>
      <c r="B1242" s="46" t="s">
        <v>1639</v>
      </c>
      <c r="C1242" s="194" t="s">
        <v>1368</v>
      </c>
      <c r="D1242" s="46"/>
      <c r="E1242" s="46" t="s">
        <v>1641</v>
      </c>
      <c r="F1242" s="61" t="s">
        <v>31</v>
      </c>
      <c r="G1242" s="288">
        <v>155.5</v>
      </c>
      <c r="H1242" s="289">
        <v>1</v>
      </c>
      <c r="I1242" s="290">
        <v>1</v>
      </c>
      <c r="J1242" s="48" t="s">
        <v>304</v>
      </c>
      <c r="K1242" s="50"/>
      <c r="L1242" s="53" t="str">
        <f t="shared" si="217"/>
        <v>1packs</v>
      </c>
      <c r="M1242" s="54">
        <f t="shared" si="218"/>
        <v>1</v>
      </c>
      <c r="N1242" s="55" t="str">
        <f t="shared" si="219"/>
        <v>1packs</v>
      </c>
      <c r="O1242" s="56">
        <f t="shared" si="220"/>
        <v>155.5</v>
      </c>
      <c r="P1242" s="44"/>
      <c r="Q1242" s="66"/>
      <c r="R1242" s="32"/>
      <c r="S1242" s="32"/>
      <c r="T1242" s="32"/>
      <c r="U1242" s="32"/>
      <c r="V1242" s="32"/>
      <c r="W1242" s="32"/>
      <c r="X1242" s="32"/>
      <c r="Y1242" s="32"/>
      <c r="Z1242" s="32"/>
    </row>
    <row r="1243" spans="1:26" ht="15.75" customHeight="1" x14ac:dyDescent="0.3">
      <c r="A1243" s="45"/>
      <c r="B1243" s="46" t="s">
        <v>1639</v>
      </c>
      <c r="C1243" s="194" t="s">
        <v>2023</v>
      </c>
      <c r="D1243" s="46"/>
      <c r="E1243" s="46" t="s">
        <v>1641</v>
      </c>
      <c r="F1243" s="61" t="s">
        <v>31</v>
      </c>
      <c r="G1243" s="288">
        <v>55.8</v>
      </c>
      <c r="H1243" s="289">
        <v>4</v>
      </c>
      <c r="I1243" s="290">
        <v>1</v>
      </c>
      <c r="J1243" s="48" t="s">
        <v>304</v>
      </c>
      <c r="K1243" s="50"/>
      <c r="L1243" s="53" t="str">
        <f t="shared" si="217"/>
        <v>1packs</v>
      </c>
      <c r="M1243" s="54">
        <f t="shared" si="218"/>
        <v>4</v>
      </c>
      <c r="N1243" s="55" t="str">
        <f t="shared" si="219"/>
        <v>4packs</v>
      </c>
      <c r="O1243" s="56">
        <f t="shared" si="220"/>
        <v>223.2</v>
      </c>
      <c r="P1243" s="12"/>
      <c r="Q1243" s="12"/>
      <c r="R1243" s="12"/>
      <c r="S1243" s="151"/>
      <c r="T1243" s="12"/>
      <c r="U1243" s="12"/>
      <c r="V1243" s="12"/>
      <c r="W1243" s="12"/>
      <c r="X1243" s="12"/>
      <c r="Y1243" s="12"/>
      <c r="Z1243" s="12"/>
    </row>
    <row r="1244" spans="1:26" ht="15.75" customHeight="1" x14ac:dyDescent="0.3">
      <c r="A1244" s="45"/>
      <c r="B1244" s="46" t="s">
        <v>1642</v>
      </c>
      <c r="C1244" s="194" t="s">
        <v>2020</v>
      </c>
      <c r="D1244" s="219"/>
      <c r="E1244" s="46" t="s">
        <v>1643</v>
      </c>
      <c r="F1244" s="61" t="s">
        <v>31</v>
      </c>
      <c r="G1244" s="288">
        <v>12.8</v>
      </c>
      <c r="H1244" s="289">
        <v>16</v>
      </c>
      <c r="I1244" s="290">
        <v>1</v>
      </c>
      <c r="J1244" s="48" t="s">
        <v>92</v>
      </c>
      <c r="K1244" s="50"/>
      <c r="L1244" s="53" t="str">
        <f t="shared" si="217"/>
        <v>1pieces</v>
      </c>
      <c r="M1244" s="54">
        <f t="shared" si="218"/>
        <v>16</v>
      </c>
      <c r="N1244" s="55" t="str">
        <f t="shared" si="219"/>
        <v>16pieces</v>
      </c>
      <c r="O1244" s="56">
        <f t="shared" si="220"/>
        <v>204.8</v>
      </c>
      <c r="P1244" s="12"/>
      <c r="Q1244" s="12"/>
      <c r="R1244" s="12"/>
      <c r="S1244" s="151"/>
      <c r="T1244" s="12"/>
      <c r="U1244" s="12"/>
      <c r="V1244" s="12"/>
      <c r="W1244" s="12"/>
      <c r="X1244" s="12"/>
      <c r="Y1244" s="12"/>
      <c r="Z1244" s="12"/>
    </row>
    <row r="1245" spans="1:26" ht="15.75" customHeight="1" x14ac:dyDescent="0.3">
      <c r="A1245" s="45"/>
      <c r="B1245" s="46" t="s">
        <v>1644</v>
      </c>
      <c r="C1245" s="194" t="s">
        <v>2020</v>
      </c>
      <c r="D1245" s="46"/>
      <c r="E1245" s="46"/>
      <c r="F1245" s="61" t="s">
        <v>31</v>
      </c>
      <c r="G1245" s="288">
        <v>320</v>
      </c>
      <c r="H1245" s="289">
        <v>1</v>
      </c>
      <c r="I1245" s="290">
        <v>1</v>
      </c>
      <c r="J1245" s="48" t="s">
        <v>213</v>
      </c>
      <c r="K1245" s="50"/>
      <c r="L1245" s="53" t="str">
        <f t="shared" si="217"/>
        <v>1kilos</v>
      </c>
      <c r="M1245" s="54">
        <f t="shared" si="218"/>
        <v>1</v>
      </c>
      <c r="N1245" s="55" t="str">
        <f t="shared" si="219"/>
        <v>1kilos</v>
      </c>
      <c r="O1245" s="56">
        <f t="shared" si="220"/>
        <v>320</v>
      </c>
      <c r="P1245" s="12"/>
      <c r="Q1245" s="12"/>
      <c r="R1245" s="12"/>
      <c r="S1245" s="151"/>
      <c r="T1245" s="12"/>
      <c r="U1245" s="12"/>
      <c r="V1245" s="12"/>
      <c r="W1245" s="12"/>
      <c r="X1245" s="12"/>
      <c r="Y1245" s="12"/>
      <c r="Z1245" s="12"/>
    </row>
    <row r="1246" spans="1:26" ht="15.75" customHeight="1" x14ac:dyDescent="0.3">
      <c r="A1246" s="45">
        <v>579</v>
      </c>
      <c r="B1246" s="46" t="s">
        <v>1645</v>
      </c>
      <c r="C1246" s="194" t="s">
        <v>2026</v>
      </c>
      <c r="D1246" s="46"/>
      <c r="E1246" s="46" t="s">
        <v>1646</v>
      </c>
      <c r="F1246" s="61" t="s">
        <v>31</v>
      </c>
      <c r="G1246" s="288">
        <v>1</v>
      </c>
      <c r="H1246" s="289">
        <v>143</v>
      </c>
      <c r="I1246" s="290">
        <v>50</v>
      </c>
      <c r="J1246" s="48" t="s">
        <v>92</v>
      </c>
      <c r="K1246" s="50"/>
      <c r="L1246" s="53" t="str">
        <f t="shared" si="217"/>
        <v>50pieces</v>
      </c>
      <c r="M1246" s="54">
        <f t="shared" si="218"/>
        <v>7150</v>
      </c>
      <c r="N1246" s="55" t="str">
        <f t="shared" si="219"/>
        <v>7150pieces</v>
      </c>
      <c r="O1246" s="56">
        <f t="shared" si="220"/>
        <v>143</v>
      </c>
      <c r="P1246" s="44">
        <f t="shared" ref="P1246:P1252" si="257">O1246/H1246</f>
        <v>1</v>
      </c>
      <c r="Q1246" s="66"/>
      <c r="R1246" s="32" t="b">
        <f>P1246=G1246</f>
        <v>1</v>
      </c>
      <c r="S1246" s="32"/>
      <c r="T1246" s="32"/>
      <c r="U1246" s="32"/>
      <c r="V1246" s="32"/>
      <c r="W1246" s="32"/>
      <c r="X1246" s="32"/>
      <c r="Y1246" s="32"/>
      <c r="Z1246" s="32"/>
    </row>
    <row r="1247" spans="1:26" ht="15.75" customHeight="1" x14ac:dyDescent="0.3">
      <c r="A1247" s="45">
        <v>379</v>
      </c>
      <c r="B1247" s="46" t="s">
        <v>1647</v>
      </c>
      <c r="C1247" s="194" t="s">
        <v>2025</v>
      </c>
      <c r="D1247" s="46"/>
      <c r="E1247" s="46"/>
      <c r="F1247" s="61" t="s">
        <v>31</v>
      </c>
      <c r="G1247" s="288">
        <v>1</v>
      </c>
      <c r="H1247" s="289">
        <v>69</v>
      </c>
      <c r="I1247" s="290">
        <v>1</v>
      </c>
      <c r="J1247" s="48" t="s">
        <v>92</v>
      </c>
      <c r="K1247" s="50"/>
      <c r="L1247" s="53" t="str">
        <f t="shared" si="217"/>
        <v>1pieces</v>
      </c>
      <c r="M1247" s="54">
        <f t="shared" si="218"/>
        <v>69</v>
      </c>
      <c r="N1247" s="55" t="str">
        <f t="shared" si="219"/>
        <v>69pieces</v>
      </c>
      <c r="O1247" s="56">
        <f t="shared" si="220"/>
        <v>69</v>
      </c>
      <c r="P1247" s="44">
        <f t="shared" si="257"/>
        <v>1</v>
      </c>
      <c r="Q1247" s="66"/>
      <c r="R1247" s="32"/>
      <c r="S1247" s="32"/>
      <c r="T1247" s="32"/>
      <c r="U1247" s="32"/>
      <c r="V1247" s="32"/>
      <c r="W1247" s="32"/>
      <c r="X1247" s="32"/>
      <c r="Y1247" s="32"/>
      <c r="Z1247" s="32"/>
    </row>
    <row r="1248" spans="1:26" ht="15.75" customHeight="1" x14ac:dyDescent="0.3">
      <c r="A1248" s="45">
        <v>378</v>
      </c>
      <c r="B1248" s="46" t="s">
        <v>1648</v>
      </c>
      <c r="C1248" s="194" t="s">
        <v>2025</v>
      </c>
      <c r="D1248" s="46"/>
      <c r="E1248" s="46"/>
      <c r="F1248" s="61" t="s">
        <v>31</v>
      </c>
      <c r="G1248" s="288">
        <v>2</v>
      </c>
      <c r="H1248" s="289">
        <v>41</v>
      </c>
      <c r="I1248" s="290">
        <v>1</v>
      </c>
      <c r="J1248" s="48" t="s">
        <v>92</v>
      </c>
      <c r="K1248" s="50"/>
      <c r="L1248" s="53" t="str">
        <f t="shared" si="217"/>
        <v>1pieces</v>
      </c>
      <c r="M1248" s="54">
        <f t="shared" si="218"/>
        <v>41</v>
      </c>
      <c r="N1248" s="55" t="str">
        <f t="shared" si="219"/>
        <v>41pieces</v>
      </c>
      <c r="O1248" s="56">
        <f t="shared" si="220"/>
        <v>82</v>
      </c>
      <c r="P1248" s="44">
        <f t="shared" si="257"/>
        <v>2</v>
      </c>
      <c r="Q1248" s="66"/>
      <c r="R1248" s="32" t="b">
        <f t="shared" ref="R1248:R1249" si="258">P1248=G1248</f>
        <v>1</v>
      </c>
      <c r="S1248" s="32"/>
      <c r="T1248" s="32"/>
      <c r="U1248" s="32"/>
      <c r="V1248" s="32"/>
      <c r="W1248" s="32"/>
      <c r="X1248" s="32"/>
      <c r="Y1248" s="32"/>
      <c r="Z1248" s="32"/>
    </row>
    <row r="1249" spans="1:26" ht="15.75" customHeight="1" x14ac:dyDescent="0.3">
      <c r="A1249" s="45">
        <v>732</v>
      </c>
      <c r="B1249" s="46" t="s">
        <v>1649</v>
      </c>
      <c r="C1249" s="194" t="s">
        <v>2026</v>
      </c>
      <c r="D1249" s="46"/>
      <c r="E1249" s="46" t="s">
        <v>1412</v>
      </c>
      <c r="F1249" s="61" t="s">
        <v>31</v>
      </c>
      <c r="G1249" s="288">
        <v>48</v>
      </c>
      <c r="H1249" s="289">
        <v>2</v>
      </c>
      <c r="I1249" s="290">
        <v>130</v>
      </c>
      <c r="J1249" s="420" t="s">
        <v>32</v>
      </c>
      <c r="K1249" s="50"/>
      <c r="L1249" s="53" t="str">
        <f t="shared" si="217"/>
        <v>130ml</v>
      </c>
      <c r="M1249" s="54">
        <f t="shared" si="218"/>
        <v>260</v>
      </c>
      <c r="N1249" s="55" t="str">
        <f t="shared" si="219"/>
        <v>260ml</v>
      </c>
      <c r="O1249" s="56">
        <f t="shared" si="220"/>
        <v>96</v>
      </c>
      <c r="P1249" s="44">
        <f t="shared" si="257"/>
        <v>48</v>
      </c>
      <c r="Q1249" s="66"/>
      <c r="R1249" s="32" t="b">
        <f t="shared" si="258"/>
        <v>1</v>
      </c>
      <c r="S1249" s="32"/>
      <c r="T1249" s="32"/>
      <c r="U1249" s="32"/>
      <c r="V1249" s="32"/>
      <c r="W1249" s="32"/>
      <c r="X1249" s="32"/>
      <c r="Y1249" s="32"/>
      <c r="Z1249" s="32"/>
    </row>
    <row r="1250" spans="1:26" ht="15.75" customHeight="1" x14ac:dyDescent="0.3">
      <c r="A1250" s="45">
        <v>492</v>
      </c>
      <c r="B1250" s="46" t="s">
        <v>768</v>
      </c>
      <c r="C1250" s="194" t="s">
        <v>2025</v>
      </c>
      <c r="D1250" s="46"/>
      <c r="E1250" s="46"/>
      <c r="F1250" s="61" t="s">
        <v>31</v>
      </c>
      <c r="G1250" s="288">
        <v>50</v>
      </c>
      <c r="H1250" s="289">
        <v>0</v>
      </c>
      <c r="I1250" s="290">
        <v>1</v>
      </c>
      <c r="J1250" s="48" t="s">
        <v>213</v>
      </c>
      <c r="K1250" s="50"/>
      <c r="L1250" s="53" t="str">
        <f t="shared" si="217"/>
        <v>1kilos</v>
      </c>
      <c r="M1250" s="54">
        <f t="shared" si="218"/>
        <v>0</v>
      </c>
      <c r="N1250" s="55" t="str">
        <f t="shared" si="219"/>
        <v>0kilos</v>
      </c>
      <c r="O1250" s="56">
        <f t="shared" si="220"/>
        <v>0</v>
      </c>
      <c r="P1250" s="44" t="e">
        <f t="shared" si="257"/>
        <v>#DIV/0!</v>
      </c>
      <c r="Q1250" s="66"/>
      <c r="R1250" s="32"/>
      <c r="S1250" s="32"/>
      <c r="T1250" s="32"/>
      <c r="U1250" s="32"/>
      <c r="V1250" s="32"/>
      <c r="W1250" s="32"/>
      <c r="X1250" s="32"/>
      <c r="Y1250" s="32"/>
      <c r="Z1250" s="32"/>
    </row>
    <row r="1251" spans="1:26" ht="15.75" customHeight="1" x14ac:dyDescent="0.3">
      <c r="A1251" s="45">
        <v>672</v>
      </c>
      <c r="B1251" s="46" t="s">
        <v>768</v>
      </c>
      <c r="C1251" s="194" t="s">
        <v>2026</v>
      </c>
      <c r="D1251" s="46"/>
      <c r="E1251" s="46"/>
      <c r="F1251" s="61" t="s">
        <v>31</v>
      </c>
      <c r="G1251" s="288">
        <v>70</v>
      </c>
      <c r="H1251" s="289">
        <v>2</v>
      </c>
      <c r="I1251" s="290">
        <v>1</v>
      </c>
      <c r="J1251" s="48" t="s">
        <v>213</v>
      </c>
      <c r="K1251" s="50"/>
      <c r="L1251" s="53" t="str">
        <f t="shared" si="217"/>
        <v>1kilos</v>
      </c>
      <c r="M1251" s="54">
        <f t="shared" si="218"/>
        <v>2</v>
      </c>
      <c r="N1251" s="55" t="str">
        <f t="shared" si="219"/>
        <v>2kilos</v>
      </c>
      <c r="O1251" s="56">
        <f t="shared" si="220"/>
        <v>140</v>
      </c>
      <c r="P1251" s="44">
        <f t="shared" si="257"/>
        <v>70</v>
      </c>
      <c r="Q1251" s="66"/>
      <c r="R1251" s="32"/>
      <c r="S1251" s="32"/>
      <c r="T1251" s="32"/>
      <c r="U1251" s="32"/>
      <c r="V1251" s="32"/>
      <c r="W1251" s="32"/>
      <c r="X1251" s="32"/>
      <c r="Y1251" s="32"/>
      <c r="Z1251" s="32"/>
    </row>
    <row r="1252" spans="1:26" ht="15.75" customHeight="1" x14ac:dyDescent="0.3">
      <c r="A1252" s="45">
        <v>784</v>
      </c>
      <c r="B1252" s="46" t="s">
        <v>768</v>
      </c>
      <c r="C1252" s="194" t="s">
        <v>1368</v>
      </c>
      <c r="D1252" s="46"/>
      <c r="E1252" s="46"/>
      <c r="F1252" s="61" t="s">
        <v>31</v>
      </c>
      <c r="G1252" s="288">
        <v>30</v>
      </c>
      <c r="H1252" s="289">
        <v>26</v>
      </c>
      <c r="I1252" s="290">
        <v>1</v>
      </c>
      <c r="J1252" s="48" t="s">
        <v>213</v>
      </c>
      <c r="K1252" s="50"/>
      <c r="L1252" s="53" t="str">
        <f t="shared" si="217"/>
        <v>1kilos</v>
      </c>
      <c r="M1252" s="54">
        <f t="shared" si="218"/>
        <v>26</v>
      </c>
      <c r="N1252" s="55" t="str">
        <f t="shared" si="219"/>
        <v>26kilos</v>
      </c>
      <c r="O1252" s="56">
        <f t="shared" si="220"/>
        <v>780</v>
      </c>
      <c r="P1252" s="44">
        <f t="shared" si="257"/>
        <v>30</v>
      </c>
      <c r="Q1252" s="66"/>
      <c r="R1252" s="32" t="b">
        <f>P1252=G1252</f>
        <v>1</v>
      </c>
      <c r="S1252" s="32"/>
      <c r="T1252" s="32"/>
      <c r="U1252" s="32"/>
      <c r="V1252" s="32"/>
      <c r="W1252" s="32"/>
      <c r="X1252" s="32"/>
      <c r="Y1252" s="32"/>
      <c r="Z1252" s="32"/>
    </row>
    <row r="1253" spans="1:26" ht="15.75" customHeight="1" x14ac:dyDescent="0.3">
      <c r="A1253" s="45"/>
      <c r="B1253" s="46" t="s">
        <v>768</v>
      </c>
      <c r="C1253" s="194" t="s">
        <v>2023</v>
      </c>
      <c r="D1253" s="46"/>
      <c r="E1253" s="46"/>
      <c r="F1253" s="61" t="s">
        <v>31</v>
      </c>
      <c r="G1253" s="288">
        <v>35</v>
      </c>
      <c r="H1253" s="289">
        <v>2</v>
      </c>
      <c r="I1253" s="290">
        <v>1</v>
      </c>
      <c r="J1253" s="48" t="s">
        <v>213</v>
      </c>
      <c r="K1253" s="50"/>
      <c r="L1253" s="53" t="str">
        <f t="shared" si="217"/>
        <v>1kilos</v>
      </c>
      <c r="M1253" s="54">
        <f t="shared" si="218"/>
        <v>2</v>
      </c>
      <c r="N1253" s="55" t="str">
        <f t="shared" si="219"/>
        <v>2kilos</v>
      </c>
      <c r="O1253" s="56">
        <f t="shared" si="220"/>
        <v>70</v>
      </c>
      <c r="P1253" s="44"/>
      <c r="Q1253" s="12"/>
      <c r="R1253" s="12"/>
      <c r="S1253" s="151"/>
      <c r="T1253" s="12"/>
      <c r="U1253" s="12"/>
      <c r="V1253" s="12"/>
      <c r="W1253" s="12"/>
      <c r="X1253" s="12"/>
      <c r="Y1253" s="12"/>
      <c r="Z1253" s="12"/>
    </row>
    <row r="1254" spans="1:26" ht="15.75" customHeight="1" x14ac:dyDescent="0.3">
      <c r="A1254" s="45"/>
      <c r="B1254" s="46" t="s">
        <v>768</v>
      </c>
      <c r="C1254" s="194" t="s">
        <v>2020</v>
      </c>
      <c r="D1254" s="46"/>
      <c r="E1254" s="46" t="s">
        <v>1060</v>
      </c>
      <c r="F1254" s="61" t="s">
        <v>31</v>
      </c>
      <c r="G1254" s="288">
        <v>90</v>
      </c>
      <c r="H1254" s="289">
        <v>8</v>
      </c>
      <c r="I1254" s="290">
        <v>1</v>
      </c>
      <c r="J1254" s="48" t="s">
        <v>213</v>
      </c>
      <c r="K1254" s="50"/>
      <c r="L1254" s="53" t="str">
        <f t="shared" si="217"/>
        <v>1kilos</v>
      </c>
      <c r="M1254" s="54">
        <f t="shared" si="218"/>
        <v>8</v>
      </c>
      <c r="N1254" s="55" t="str">
        <f t="shared" si="219"/>
        <v>8kilos</v>
      </c>
      <c r="O1254" s="56">
        <f t="shared" si="220"/>
        <v>720</v>
      </c>
      <c r="P1254" s="12"/>
      <c r="Q1254" s="12"/>
      <c r="R1254" s="12"/>
      <c r="S1254" s="151"/>
      <c r="T1254" s="12"/>
      <c r="U1254" s="12"/>
      <c r="V1254" s="12"/>
      <c r="W1254" s="12"/>
      <c r="X1254" s="12"/>
      <c r="Y1254" s="12"/>
      <c r="Z1254" s="12"/>
    </row>
    <row r="1255" spans="1:26" ht="15.75" customHeight="1" x14ac:dyDescent="0.3">
      <c r="A1255" s="45"/>
      <c r="B1255" s="46" t="s">
        <v>1650</v>
      </c>
      <c r="C1255" s="194" t="s">
        <v>2023</v>
      </c>
      <c r="D1255" s="46"/>
      <c r="E1255" s="46" t="s">
        <v>1272</v>
      </c>
      <c r="F1255" s="61" t="s">
        <v>31</v>
      </c>
      <c r="G1255" s="288">
        <v>14.55</v>
      </c>
      <c r="H1255" s="289">
        <v>7</v>
      </c>
      <c r="I1255" s="290">
        <v>1</v>
      </c>
      <c r="J1255" s="48" t="s">
        <v>92</v>
      </c>
      <c r="K1255" s="50"/>
      <c r="L1255" s="53" t="str">
        <f t="shared" si="217"/>
        <v>1pieces</v>
      </c>
      <c r="M1255" s="54">
        <f t="shared" si="218"/>
        <v>7</v>
      </c>
      <c r="N1255" s="55" t="str">
        <f t="shared" si="219"/>
        <v>7pieces</v>
      </c>
      <c r="O1255" s="56">
        <f t="shared" si="220"/>
        <v>101.85000000000001</v>
      </c>
      <c r="P1255" s="12"/>
      <c r="Q1255" s="12"/>
      <c r="R1255" s="12"/>
      <c r="S1255" s="151"/>
      <c r="T1255" s="12"/>
      <c r="U1255" s="12"/>
      <c r="V1255" s="12"/>
      <c r="W1255" s="12"/>
      <c r="X1255" s="12"/>
      <c r="Y1255" s="12"/>
      <c r="Z1255" s="12"/>
    </row>
    <row r="1256" spans="1:26" ht="15.75" customHeight="1" x14ac:dyDescent="0.3">
      <c r="A1256" s="45"/>
      <c r="B1256" s="46" t="s">
        <v>1650</v>
      </c>
      <c r="C1256" s="194" t="s">
        <v>2022</v>
      </c>
      <c r="D1256" s="46"/>
      <c r="E1256" s="46" t="s">
        <v>1272</v>
      </c>
      <c r="F1256" s="61" t="s">
        <v>31</v>
      </c>
      <c r="G1256" s="288">
        <v>49</v>
      </c>
      <c r="H1256" s="289">
        <v>12</v>
      </c>
      <c r="I1256" s="290">
        <v>1</v>
      </c>
      <c r="J1256" s="48" t="s">
        <v>92</v>
      </c>
      <c r="K1256" s="50"/>
      <c r="L1256" s="53" t="str">
        <f t="shared" si="217"/>
        <v>1pieces</v>
      </c>
      <c r="M1256" s="54">
        <f t="shared" si="218"/>
        <v>12</v>
      </c>
      <c r="N1256" s="55" t="str">
        <f t="shared" si="219"/>
        <v>12pieces</v>
      </c>
      <c r="O1256" s="56">
        <f t="shared" si="220"/>
        <v>588</v>
      </c>
      <c r="P1256" s="12"/>
      <c r="Q1256" s="12"/>
      <c r="R1256" s="12"/>
      <c r="S1256" s="151"/>
      <c r="T1256" s="12"/>
      <c r="U1256" s="12"/>
      <c r="V1256" s="12"/>
      <c r="W1256" s="12"/>
      <c r="X1256" s="12"/>
      <c r="Y1256" s="12"/>
      <c r="Z1256" s="12"/>
    </row>
    <row r="1257" spans="1:26" ht="15.75" customHeight="1" x14ac:dyDescent="0.3">
      <c r="A1257" s="45"/>
      <c r="B1257" s="46" t="s">
        <v>1650</v>
      </c>
      <c r="C1257" s="194" t="s">
        <v>2022</v>
      </c>
      <c r="D1257" s="46"/>
      <c r="E1257" s="46" t="s">
        <v>1272</v>
      </c>
      <c r="F1257" s="61" t="s">
        <v>31</v>
      </c>
      <c r="G1257" s="288">
        <v>14.55</v>
      </c>
      <c r="H1257" s="289">
        <v>12</v>
      </c>
      <c r="I1257" s="290">
        <v>1</v>
      </c>
      <c r="J1257" s="48" t="s">
        <v>92</v>
      </c>
      <c r="K1257" s="50"/>
      <c r="L1257" s="53" t="str">
        <f t="shared" si="217"/>
        <v>1pieces</v>
      </c>
      <c r="M1257" s="54">
        <f t="shared" si="218"/>
        <v>12</v>
      </c>
      <c r="N1257" s="55" t="str">
        <f t="shared" si="219"/>
        <v>12pieces</v>
      </c>
      <c r="O1257" s="56">
        <f t="shared" si="220"/>
        <v>174.60000000000002</v>
      </c>
      <c r="P1257" s="12"/>
      <c r="Q1257" s="12"/>
      <c r="R1257" s="12"/>
      <c r="S1257" s="151"/>
      <c r="T1257" s="12"/>
      <c r="U1257" s="12"/>
      <c r="V1257" s="12"/>
      <c r="W1257" s="12"/>
      <c r="X1257" s="12"/>
      <c r="Y1257" s="12"/>
      <c r="Z1257" s="12"/>
    </row>
    <row r="1258" spans="1:26" ht="15.75" customHeight="1" x14ac:dyDescent="0.3">
      <c r="A1258" s="45"/>
      <c r="B1258" s="46" t="s">
        <v>1650</v>
      </c>
      <c r="C1258" s="194" t="s">
        <v>2020</v>
      </c>
      <c r="D1258" s="46"/>
      <c r="E1258" s="46" t="s">
        <v>1272</v>
      </c>
      <c r="F1258" s="61" t="s">
        <v>31</v>
      </c>
      <c r="G1258" s="288">
        <v>32.5</v>
      </c>
      <c r="H1258" s="289">
        <v>8</v>
      </c>
      <c r="I1258" s="290">
        <v>1</v>
      </c>
      <c r="J1258" s="48" t="s">
        <v>92</v>
      </c>
      <c r="K1258" s="50"/>
      <c r="L1258" s="53" t="str">
        <f t="shared" si="217"/>
        <v>1pieces</v>
      </c>
      <c r="M1258" s="54">
        <f t="shared" si="218"/>
        <v>8</v>
      </c>
      <c r="N1258" s="55" t="str">
        <f t="shared" si="219"/>
        <v>8pieces</v>
      </c>
      <c r="O1258" s="56">
        <f t="shared" si="220"/>
        <v>260</v>
      </c>
      <c r="P1258" s="12"/>
      <c r="Q1258" s="12"/>
      <c r="R1258" s="12"/>
      <c r="S1258" s="151"/>
      <c r="T1258" s="12"/>
      <c r="U1258" s="12"/>
      <c r="V1258" s="12"/>
      <c r="W1258" s="12"/>
      <c r="X1258" s="12"/>
      <c r="Y1258" s="12"/>
      <c r="Z1258" s="12"/>
    </row>
    <row r="1259" spans="1:26" ht="15.75" customHeight="1" x14ac:dyDescent="0.3">
      <c r="A1259" s="45"/>
      <c r="B1259" s="219" t="s">
        <v>1651</v>
      </c>
      <c r="C1259" s="194" t="s">
        <v>2021</v>
      </c>
      <c r="D1259" s="46"/>
      <c r="E1259" s="219" t="s">
        <v>1652</v>
      </c>
      <c r="F1259" s="61" t="s">
        <v>31</v>
      </c>
      <c r="G1259" s="291">
        <v>85.5</v>
      </c>
      <c r="H1259" s="292">
        <v>1</v>
      </c>
      <c r="I1259" s="293">
        <v>250</v>
      </c>
      <c r="J1259" s="414" t="s">
        <v>39</v>
      </c>
      <c r="K1259" s="50"/>
      <c r="L1259" s="53" t="str">
        <f t="shared" si="217"/>
        <v>250grams</v>
      </c>
      <c r="M1259" s="54">
        <f t="shared" si="218"/>
        <v>250</v>
      </c>
      <c r="N1259" s="55" t="str">
        <f t="shared" si="219"/>
        <v>250grams</v>
      </c>
      <c r="O1259" s="56">
        <f t="shared" si="220"/>
        <v>85.5</v>
      </c>
      <c r="P1259" s="12"/>
      <c r="Q1259" s="12"/>
      <c r="R1259" s="12"/>
      <c r="S1259" s="151"/>
      <c r="T1259" s="12"/>
      <c r="U1259" s="12"/>
      <c r="V1259" s="12"/>
      <c r="W1259" s="12"/>
      <c r="X1259" s="12"/>
      <c r="Y1259" s="12"/>
      <c r="Z1259" s="12"/>
    </row>
    <row r="1260" spans="1:26" ht="15.75" customHeight="1" x14ac:dyDescent="0.3">
      <c r="A1260" s="45">
        <v>316</v>
      </c>
      <c r="B1260" s="219" t="s">
        <v>771</v>
      </c>
      <c r="C1260" s="194" t="s">
        <v>2025</v>
      </c>
      <c r="D1260" s="46"/>
      <c r="E1260" s="46" t="s">
        <v>1102</v>
      </c>
      <c r="F1260" s="61" t="s">
        <v>31</v>
      </c>
      <c r="G1260" s="288">
        <v>272</v>
      </c>
      <c r="H1260" s="289">
        <v>0</v>
      </c>
      <c r="I1260" s="290">
        <v>410</v>
      </c>
      <c r="J1260" s="48" t="s">
        <v>32</v>
      </c>
      <c r="K1260" s="50"/>
      <c r="L1260" s="53" t="str">
        <f t="shared" si="217"/>
        <v>410ml</v>
      </c>
      <c r="M1260" s="54">
        <f t="shared" si="218"/>
        <v>0</v>
      </c>
      <c r="N1260" s="55" t="str">
        <f t="shared" si="219"/>
        <v>0ml</v>
      </c>
      <c r="O1260" s="56">
        <f t="shared" si="220"/>
        <v>0</v>
      </c>
      <c r="P1260" s="44" t="e">
        <f>O1260/H1260</f>
        <v>#DIV/0!</v>
      </c>
      <c r="Q1260" s="66"/>
      <c r="R1260" s="32" t="e">
        <f>P1260=G1260</f>
        <v>#DIV/0!</v>
      </c>
      <c r="S1260" s="32"/>
      <c r="T1260" s="32"/>
      <c r="U1260" s="32"/>
      <c r="V1260" s="32"/>
      <c r="W1260" s="32"/>
      <c r="X1260" s="32"/>
      <c r="Y1260" s="32"/>
      <c r="Z1260" s="32"/>
    </row>
    <row r="1261" spans="1:26" ht="15.75" customHeight="1" x14ac:dyDescent="0.3">
      <c r="A1261" s="45"/>
      <c r="B1261" s="219" t="s">
        <v>771</v>
      </c>
      <c r="C1261" s="194" t="s">
        <v>2021</v>
      </c>
      <c r="D1261" s="46"/>
      <c r="E1261" s="219" t="s">
        <v>980</v>
      </c>
      <c r="F1261" s="61" t="s">
        <v>31</v>
      </c>
      <c r="G1261" s="291">
        <v>155</v>
      </c>
      <c r="H1261" s="292">
        <v>1</v>
      </c>
      <c r="I1261" s="293">
        <v>210</v>
      </c>
      <c r="J1261" s="414" t="s">
        <v>32</v>
      </c>
      <c r="K1261" s="50"/>
      <c r="L1261" s="53" t="str">
        <f t="shared" si="217"/>
        <v>210ml</v>
      </c>
      <c r="M1261" s="54">
        <f t="shared" si="218"/>
        <v>210</v>
      </c>
      <c r="N1261" s="55" t="str">
        <f t="shared" si="219"/>
        <v>210ml</v>
      </c>
      <c r="O1261" s="56">
        <f t="shared" si="220"/>
        <v>155</v>
      </c>
      <c r="P1261" s="12"/>
      <c r="Q1261" s="12"/>
      <c r="R1261" s="12"/>
      <c r="S1261" s="151"/>
      <c r="T1261" s="12"/>
      <c r="U1261" s="12"/>
      <c r="V1261" s="12"/>
      <c r="W1261" s="12"/>
      <c r="X1261" s="12"/>
      <c r="Y1261" s="12"/>
      <c r="Z1261" s="12"/>
    </row>
    <row r="1262" spans="1:26" ht="15.75" customHeight="1" x14ac:dyDescent="0.3">
      <c r="A1262" s="45">
        <v>50</v>
      </c>
      <c r="B1262" s="46" t="s">
        <v>1653</v>
      </c>
      <c r="C1262" s="194" t="s">
        <v>29</v>
      </c>
      <c r="D1262" s="46"/>
      <c r="E1262" s="46" t="s">
        <v>851</v>
      </c>
      <c r="F1262" s="61" t="s">
        <v>31</v>
      </c>
      <c r="G1262" s="288">
        <v>25</v>
      </c>
      <c r="H1262" s="289">
        <v>1</v>
      </c>
      <c r="I1262" s="290">
        <v>50</v>
      </c>
      <c r="J1262" s="422" t="s">
        <v>39</v>
      </c>
      <c r="K1262" s="61" t="s">
        <v>2019</v>
      </c>
      <c r="L1262" s="415" t="str">
        <f t="shared" si="217"/>
        <v>50grams</v>
      </c>
      <c r="M1262" s="416">
        <f t="shared" si="218"/>
        <v>50</v>
      </c>
      <c r="N1262" s="417" t="str">
        <f t="shared" si="219"/>
        <v>50grams</v>
      </c>
      <c r="O1262" s="418">
        <f t="shared" si="220"/>
        <v>25</v>
      </c>
      <c r="P1262" s="419">
        <f t="shared" ref="P1262:P1264" si="259">O1262/H1262</f>
        <v>25</v>
      </c>
      <c r="Q1262" s="66"/>
      <c r="R1262" s="32"/>
      <c r="S1262" s="32"/>
      <c r="T1262" s="32"/>
      <c r="U1262" s="32"/>
      <c r="V1262" s="32"/>
      <c r="W1262" s="32"/>
      <c r="X1262" s="32"/>
      <c r="Y1262" s="32"/>
      <c r="Z1262" s="32"/>
    </row>
    <row r="1263" spans="1:26" ht="15.75" customHeight="1" x14ac:dyDescent="0.3">
      <c r="A1263" s="45">
        <v>303</v>
      </c>
      <c r="B1263" s="46" t="s">
        <v>1653</v>
      </c>
      <c r="C1263" s="194" t="s">
        <v>2025</v>
      </c>
      <c r="D1263" s="46"/>
      <c r="E1263" s="46" t="s">
        <v>962</v>
      </c>
      <c r="F1263" s="61" t="s">
        <v>31</v>
      </c>
      <c r="G1263" s="288">
        <v>300</v>
      </c>
      <c r="H1263" s="289">
        <v>1</v>
      </c>
      <c r="I1263" s="290">
        <v>1</v>
      </c>
      <c r="J1263" s="48" t="s">
        <v>213</v>
      </c>
      <c r="K1263" s="50"/>
      <c r="L1263" s="53" t="str">
        <f t="shared" si="217"/>
        <v>1kilos</v>
      </c>
      <c r="M1263" s="54">
        <f t="shared" si="218"/>
        <v>1</v>
      </c>
      <c r="N1263" s="55" t="str">
        <f t="shared" si="219"/>
        <v>1kilos</v>
      </c>
      <c r="O1263" s="56">
        <f t="shared" si="220"/>
        <v>300</v>
      </c>
      <c r="P1263" s="44">
        <f t="shared" si="259"/>
        <v>300</v>
      </c>
      <c r="Q1263" s="66"/>
      <c r="R1263" s="32"/>
      <c r="S1263" s="32"/>
      <c r="T1263" s="32"/>
      <c r="U1263" s="32"/>
      <c r="V1263" s="32"/>
      <c r="W1263" s="32"/>
      <c r="X1263" s="32"/>
      <c r="Y1263" s="32"/>
      <c r="Z1263" s="32"/>
    </row>
    <row r="1264" spans="1:26" ht="15.75" customHeight="1" x14ac:dyDescent="0.3">
      <c r="A1264" s="45">
        <v>97</v>
      </c>
      <c r="B1264" s="46" t="s">
        <v>1654</v>
      </c>
      <c r="C1264" s="194" t="s">
        <v>1368</v>
      </c>
      <c r="D1264" s="46"/>
      <c r="E1264" s="46" t="s">
        <v>1655</v>
      </c>
      <c r="F1264" s="61" t="s">
        <v>31</v>
      </c>
      <c r="G1264" s="288">
        <v>6.58</v>
      </c>
      <c r="H1264" s="289">
        <v>12</v>
      </c>
      <c r="I1264" s="321">
        <v>13.5</v>
      </c>
      <c r="J1264" s="48" t="s">
        <v>32</v>
      </c>
      <c r="K1264" s="50"/>
      <c r="L1264" s="53" t="str">
        <f t="shared" si="217"/>
        <v>13.5ml</v>
      </c>
      <c r="M1264" s="54">
        <f t="shared" si="218"/>
        <v>162</v>
      </c>
      <c r="N1264" s="55" t="str">
        <f t="shared" si="219"/>
        <v>162ml</v>
      </c>
      <c r="O1264" s="56">
        <f t="shared" si="220"/>
        <v>78.960000000000008</v>
      </c>
      <c r="P1264" s="44">
        <f t="shared" si="259"/>
        <v>6.580000000000001</v>
      </c>
      <c r="Q1264" s="66"/>
      <c r="R1264" s="32"/>
      <c r="S1264" s="32"/>
      <c r="T1264" s="32"/>
      <c r="U1264" s="32"/>
      <c r="V1264" s="32"/>
      <c r="W1264" s="32"/>
      <c r="X1264" s="32"/>
      <c r="Y1264" s="32"/>
      <c r="Z1264" s="32"/>
    </row>
    <row r="1265" spans="1:26" ht="15.75" customHeight="1" x14ac:dyDescent="0.3">
      <c r="A1265" s="45"/>
      <c r="B1265" s="309" t="s">
        <v>1654</v>
      </c>
      <c r="C1265" s="194" t="s">
        <v>2023</v>
      </c>
      <c r="D1265" s="46"/>
      <c r="E1265" s="46" t="s">
        <v>1655</v>
      </c>
      <c r="F1265" s="61" t="s">
        <v>31</v>
      </c>
      <c r="G1265" s="288">
        <v>5.9</v>
      </c>
      <c r="H1265" s="289">
        <v>20</v>
      </c>
      <c r="I1265" s="321">
        <v>13.5</v>
      </c>
      <c r="J1265" s="48" t="s">
        <v>32</v>
      </c>
      <c r="K1265" s="50"/>
      <c r="L1265" s="53" t="str">
        <f t="shared" si="217"/>
        <v>13.5ml</v>
      </c>
      <c r="M1265" s="54">
        <f t="shared" si="218"/>
        <v>270</v>
      </c>
      <c r="N1265" s="55" t="str">
        <f t="shared" si="219"/>
        <v>270ml</v>
      </c>
      <c r="O1265" s="56">
        <f t="shared" si="220"/>
        <v>118</v>
      </c>
      <c r="P1265" s="12"/>
      <c r="Q1265" s="12"/>
      <c r="R1265" s="12"/>
      <c r="S1265" s="151"/>
      <c r="T1265" s="12"/>
      <c r="U1265" s="12"/>
      <c r="V1265" s="12"/>
      <c r="W1265" s="12"/>
      <c r="X1265" s="12"/>
      <c r="Y1265" s="12"/>
      <c r="Z1265" s="12"/>
    </row>
    <row r="1266" spans="1:26" ht="15.75" customHeight="1" x14ac:dyDescent="0.3">
      <c r="A1266" s="45">
        <v>277</v>
      </c>
      <c r="B1266" s="320" t="s">
        <v>1656</v>
      </c>
      <c r="C1266" s="194" t="s">
        <v>2025</v>
      </c>
      <c r="D1266" s="46"/>
      <c r="E1266" s="46" t="s">
        <v>1042</v>
      </c>
      <c r="F1266" s="61" t="s">
        <v>31</v>
      </c>
      <c r="G1266" s="288">
        <v>39.950000000000003</v>
      </c>
      <c r="H1266" s="289">
        <v>2</v>
      </c>
      <c r="I1266" s="290">
        <v>156</v>
      </c>
      <c r="J1266" s="48" t="s">
        <v>519</v>
      </c>
      <c r="K1266" s="50"/>
      <c r="L1266" s="53" t="str">
        <f t="shared" si="217"/>
        <v>156drained weight grams</v>
      </c>
      <c r="M1266" s="54">
        <f t="shared" si="218"/>
        <v>312</v>
      </c>
      <c r="N1266" s="55" t="str">
        <f t="shared" si="219"/>
        <v>312drained weight grams</v>
      </c>
      <c r="O1266" s="56">
        <f t="shared" si="220"/>
        <v>79.900000000000006</v>
      </c>
      <c r="P1266" s="44">
        <f>O1266/H1266</f>
        <v>39.950000000000003</v>
      </c>
      <c r="Q1266" s="66"/>
      <c r="R1266" s="32" t="b">
        <f>P1266=G1266</f>
        <v>1</v>
      </c>
      <c r="S1266" s="32"/>
      <c r="T1266" s="32"/>
      <c r="U1266" s="32"/>
      <c r="V1266" s="32"/>
      <c r="W1266" s="32"/>
      <c r="X1266" s="32"/>
      <c r="Y1266" s="32"/>
      <c r="Z1266" s="32"/>
    </row>
    <row r="1267" spans="1:26" ht="15.75" customHeight="1" x14ac:dyDescent="0.3">
      <c r="A1267" s="45"/>
      <c r="B1267" s="309" t="s">
        <v>1656</v>
      </c>
      <c r="C1267" s="194" t="s">
        <v>2022</v>
      </c>
      <c r="D1267" s="46"/>
      <c r="E1267" s="46" t="s">
        <v>1042</v>
      </c>
      <c r="F1267" s="61" t="s">
        <v>31</v>
      </c>
      <c r="G1267" s="288">
        <v>54</v>
      </c>
      <c r="H1267" s="289">
        <v>1</v>
      </c>
      <c r="I1267" s="290">
        <v>156</v>
      </c>
      <c r="J1267" s="48" t="s">
        <v>519</v>
      </c>
      <c r="K1267" s="50"/>
      <c r="L1267" s="53" t="str">
        <f t="shared" si="217"/>
        <v>156drained weight grams</v>
      </c>
      <c r="M1267" s="54">
        <f t="shared" si="218"/>
        <v>156</v>
      </c>
      <c r="N1267" s="55" t="str">
        <f t="shared" si="219"/>
        <v>156drained weight grams</v>
      </c>
      <c r="O1267" s="56">
        <f t="shared" si="220"/>
        <v>54</v>
      </c>
      <c r="P1267" s="12"/>
      <c r="Q1267" s="12"/>
      <c r="R1267" s="12"/>
      <c r="S1267" s="151"/>
      <c r="T1267" s="12"/>
      <c r="U1267" s="12"/>
      <c r="V1267" s="12"/>
      <c r="W1267" s="12"/>
      <c r="X1267" s="12"/>
      <c r="Y1267" s="12"/>
      <c r="Z1267" s="12"/>
    </row>
    <row r="1268" spans="1:26" ht="15.75" customHeight="1" x14ac:dyDescent="0.3">
      <c r="A1268" s="45"/>
      <c r="B1268" s="317" t="s">
        <v>1657</v>
      </c>
      <c r="C1268" s="194" t="s">
        <v>2021</v>
      </c>
      <c r="D1268" s="46"/>
      <c r="E1268" s="219" t="s">
        <v>1658</v>
      </c>
      <c r="F1268" s="61" t="s">
        <v>31</v>
      </c>
      <c r="G1268" s="291">
        <v>57.25</v>
      </c>
      <c r="H1268" s="292">
        <v>2</v>
      </c>
      <c r="I1268" s="293">
        <v>285</v>
      </c>
      <c r="J1268" s="414" t="s">
        <v>32</v>
      </c>
      <c r="K1268" s="50"/>
      <c r="L1268" s="53" t="str">
        <f t="shared" si="217"/>
        <v>285ml</v>
      </c>
      <c r="M1268" s="54">
        <f t="shared" si="218"/>
        <v>570</v>
      </c>
      <c r="N1268" s="55" t="str">
        <f t="shared" si="219"/>
        <v>570ml</v>
      </c>
      <c r="O1268" s="56">
        <f t="shared" si="220"/>
        <v>114.5</v>
      </c>
      <c r="P1268" s="12"/>
      <c r="Q1268" s="12"/>
      <c r="R1268" s="12"/>
      <c r="S1268" s="151"/>
      <c r="T1268" s="12"/>
      <c r="U1268" s="12"/>
      <c r="V1268" s="12"/>
      <c r="W1268" s="12"/>
      <c r="X1268" s="12"/>
      <c r="Y1268" s="12"/>
      <c r="Z1268" s="12"/>
    </row>
    <row r="1269" spans="1:26" ht="15.75" customHeight="1" x14ac:dyDescent="0.3">
      <c r="A1269" s="45">
        <v>871</v>
      </c>
      <c r="B1269" s="309" t="s">
        <v>1659</v>
      </c>
      <c r="C1269" s="194" t="s">
        <v>1368</v>
      </c>
      <c r="D1269" s="46"/>
      <c r="E1269" s="46"/>
      <c r="F1269" s="61" t="s">
        <v>31</v>
      </c>
      <c r="G1269" s="288">
        <v>420</v>
      </c>
      <c r="H1269" s="289">
        <v>2</v>
      </c>
      <c r="I1269" s="290">
        <v>1</v>
      </c>
      <c r="J1269" s="48" t="s">
        <v>213</v>
      </c>
      <c r="K1269" s="50"/>
      <c r="L1269" s="53" t="str">
        <f t="shared" si="217"/>
        <v>1kilos</v>
      </c>
      <c r="M1269" s="54">
        <f t="shared" si="218"/>
        <v>2</v>
      </c>
      <c r="N1269" s="55" t="str">
        <f t="shared" si="219"/>
        <v>2kilos</v>
      </c>
      <c r="O1269" s="56">
        <f t="shared" si="220"/>
        <v>840</v>
      </c>
      <c r="P1269" s="44">
        <f>O1269/H1269</f>
        <v>420</v>
      </c>
      <c r="Q1269" s="66"/>
      <c r="R1269" s="32" t="b">
        <f>P1269=G1269</f>
        <v>1</v>
      </c>
      <c r="S1269" s="32"/>
      <c r="T1269" s="32"/>
      <c r="U1269" s="32"/>
      <c r="V1269" s="32"/>
      <c r="W1269" s="32"/>
      <c r="X1269" s="32"/>
      <c r="Y1269" s="32"/>
      <c r="Z1269" s="32"/>
    </row>
    <row r="1270" spans="1:26" ht="15.75" customHeight="1" x14ac:dyDescent="0.3">
      <c r="A1270" s="424"/>
      <c r="B1270" s="309" t="s">
        <v>1660</v>
      </c>
      <c r="C1270" s="194" t="s">
        <v>1368</v>
      </c>
      <c r="D1270" s="46"/>
      <c r="E1270" s="46"/>
      <c r="F1270" s="61" t="s">
        <v>31</v>
      </c>
      <c r="G1270" s="288">
        <v>130</v>
      </c>
      <c r="H1270" s="289">
        <v>0</v>
      </c>
      <c r="I1270" s="290">
        <v>1</v>
      </c>
      <c r="J1270" s="48" t="s">
        <v>213</v>
      </c>
      <c r="K1270" s="50"/>
      <c r="L1270" s="53" t="str">
        <f t="shared" si="217"/>
        <v>1kilos</v>
      </c>
      <c r="M1270" s="54">
        <f t="shared" si="218"/>
        <v>0</v>
      </c>
      <c r="N1270" s="55" t="str">
        <f t="shared" si="219"/>
        <v>0kilos</v>
      </c>
      <c r="O1270" s="56">
        <f t="shared" si="220"/>
        <v>0</v>
      </c>
      <c r="P1270" s="44"/>
      <c r="Q1270" s="12"/>
      <c r="R1270" s="12"/>
      <c r="S1270" s="151"/>
      <c r="T1270" s="12"/>
      <c r="U1270" s="12"/>
      <c r="V1270" s="12"/>
      <c r="W1270" s="12"/>
      <c r="X1270" s="12"/>
      <c r="Y1270" s="12"/>
      <c r="Z1270" s="12"/>
    </row>
    <row r="1271" spans="1:26" ht="15.75" customHeight="1" x14ac:dyDescent="0.3">
      <c r="A1271" s="45"/>
      <c r="B1271" s="46" t="s">
        <v>1661</v>
      </c>
      <c r="C1271" s="194" t="s">
        <v>2022</v>
      </c>
      <c r="D1271" s="46"/>
      <c r="E1271" s="46" t="s">
        <v>1662</v>
      </c>
      <c r="F1271" s="61" t="s">
        <v>31</v>
      </c>
      <c r="G1271" s="288">
        <v>600</v>
      </c>
      <c r="H1271" s="289">
        <v>0</v>
      </c>
      <c r="I1271" s="290">
        <v>1000</v>
      </c>
      <c r="J1271" s="48" t="s">
        <v>213</v>
      </c>
      <c r="K1271" s="50"/>
      <c r="L1271" s="53" t="str">
        <f t="shared" si="217"/>
        <v>1000kilos</v>
      </c>
      <c r="M1271" s="54">
        <f t="shared" si="218"/>
        <v>0</v>
      </c>
      <c r="N1271" s="55" t="str">
        <f t="shared" si="219"/>
        <v>0kilos</v>
      </c>
      <c r="O1271" s="56">
        <f t="shared" si="220"/>
        <v>0</v>
      </c>
      <c r="P1271" s="12"/>
      <c r="Q1271" s="12"/>
      <c r="R1271" s="12"/>
      <c r="S1271" s="151"/>
      <c r="T1271" s="12"/>
      <c r="U1271" s="12"/>
      <c r="V1271" s="12"/>
      <c r="W1271" s="12"/>
      <c r="X1271" s="12"/>
      <c r="Y1271" s="12"/>
      <c r="Z1271" s="12"/>
    </row>
    <row r="1272" spans="1:26" ht="15.75" customHeight="1" x14ac:dyDescent="0.3">
      <c r="A1272" s="45">
        <v>493</v>
      </c>
      <c r="B1272" s="46" t="s">
        <v>1661</v>
      </c>
      <c r="C1272" s="194" t="s">
        <v>2025</v>
      </c>
      <c r="D1272" s="46"/>
      <c r="E1272" s="46"/>
      <c r="F1272" s="61" t="s">
        <v>31</v>
      </c>
      <c r="G1272" s="288">
        <v>730</v>
      </c>
      <c r="H1272" s="289">
        <v>1</v>
      </c>
      <c r="I1272" s="290">
        <v>1</v>
      </c>
      <c r="J1272" s="48" t="s">
        <v>213</v>
      </c>
      <c r="K1272" s="50"/>
      <c r="L1272" s="53" t="str">
        <f t="shared" si="217"/>
        <v>1kilos</v>
      </c>
      <c r="M1272" s="54">
        <f t="shared" si="218"/>
        <v>1</v>
      </c>
      <c r="N1272" s="55" t="str">
        <f t="shared" si="219"/>
        <v>1kilos</v>
      </c>
      <c r="O1272" s="56">
        <f t="shared" si="220"/>
        <v>730</v>
      </c>
      <c r="P1272" s="44">
        <f t="shared" ref="P1272:P1275" si="260">O1272/H1272</f>
        <v>730</v>
      </c>
      <c r="Q1272" s="66"/>
      <c r="R1272" s="32"/>
      <c r="S1272" s="32"/>
      <c r="T1272" s="32"/>
      <c r="U1272" s="32"/>
      <c r="V1272" s="32"/>
      <c r="W1272" s="32"/>
      <c r="X1272" s="32"/>
      <c r="Y1272" s="32"/>
      <c r="Z1272" s="32"/>
    </row>
    <row r="1273" spans="1:26" ht="15.75" customHeight="1" x14ac:dyDescent="0.3">
      <c r="A1273" s="45">
        <v>673</v>
      </c>
      <c r="B1273" s="46" t="s">
        <v>1661</v>
      </c>
      <c r="C1273" s="194" t="s">
        <v>2026</v>
      </c>
      <c r="D1273" s="46"/>
      <c r="E1273" s="46"/>
      <c r="F1273" s="61" t="s">
        <v>31</v>
      </c>
      <c r="G1273" s="288">
        <v>1000</v>
      </c>
      <c r="H1273" s="289">
        <v>1</v>
      </c>
      <c r="I1273" s="290">
        <v>1</v>
      </c>
      <c r="J1273" s="48" t="s">
        <v>213</v>
      </c>
      <c r="K1273" s="50"/>
      <c r="L1273" s="53" t="str">
        <f t="shared" si="217"/>
        <v>1kilos</v>
      </c>
      <c r="M1273" s="54">
        <f t="shared" si="218"/>
        <v>1</v>
      </c>
      <c r="N1273" s="55" t="str">
        <f t="shared" si="219"/>
        <v>1kilos</v>
      </c>
      <c r="O1273" s="56">
        <f t="shared" si="220"/>
        <v>1000</v>
      </c>
      <c r="P1273" s="44">
        <f t="shared" si="260"/>
        <v>1000</v>
      </c>
      <c r="Q1273" s="66"/>
      <c r="R1273" s="32" t="b">
        <f>P1273=G1273</f>
        <v>1</v>
      </c>
      <c r="S1273" s="32"/>
      <c r="T1273" s="32"/>
      <c r="U1273" s="32"/>
      <c r="V1273" s="32"/>
      <c r="W1273" s="32"/>
      <c r="X1273" s="32"/>
      <c r="Y1273" s="32"/>
      <c r="Z1273" s="32"/>
    </row>
    <row r="1274" spans="1:26" ht="15.75" customHeight="1" x14ac:dyDescent="0.3">
      <c r="A1274" s="45">
        <v>494</v>
      </c>
      <c r="B1274" s="46" t="s">
        <v>1663</v>
      </c>
      <c r="C1274" s="194" t="s">
        <v>2025</v>
      </c>
      <c r="D1274" s="46"/>
      <c r="E1274" s="46"/>
      <c r="F1274" s="61" t="s">
        <v>31</v>
      </c>
      <c r="G1274" s="288">
        <v>115</v>
      </c>
      <c r="H1274" s="289">
        <v>1</v>
      </c>
      <c r="I1274" s="290">
        <v>1</v>
      </c>
      <c r="J1274" s="48" t="s">
        <v>213</v>
      </c>
      <c r="K1274" s="50"/>
      <c r="L1274" s="53" t="str">
        <f t="shared" si="217"/>
        <v>1kilos</v>
      </c>
      <c r="M1274" s="54">
        <f t="shared" si="218"/>
        <v>1</v>
      </c>
      <c r="N1274" s="55" t="str">
        <f t="shared" si="219"/>
        <v>1kilos</v>
      </c>
      <c r="O1274" s="56">
        <f t="shared" si="220"/>
        <v>115</v>
      </c>
      <c r="P1274" s="44">
        <f t="shared" si="260"/>
        <v>115</v>
      </c>
      <c r="Q1274" s="66"/>
      <c r="R1274" s="32"/>
      <c r="S1274" s="32"/>
      <c r="T1274" s="32"/>
      <c r="U1274" s="32"/>
      <c r="V1274" s="32"/>
      <c r="W1274" s="32"/>
      <c r="X1274" s="32"/>
      <c r="Y1274" s="32"/>
      <c r="Z1274" s="32"/>
    </row>
    <row r="1275" spans="1:26" ht="15.75" customHeight="1" x14ac:dyDescent="0.3">
      <c r="A1275" s="45">
        <v>745</v>
      </c>
      <c r="B1275" s="46" t="s">
        <v>1664</v>
      </c>
      <c r="C1275" s="194" t="s">
        <v>2026</v>
      </c>
      <c r="D1275" s="46"/>
      <c r="E1275" s="46" t="s">
        <v>1412</v>
      </c>
      <c r="F1275" s="61" t="s">
        <v>31</v>
      </c>
      <c r="G1275" s="288">
        <v>14.4</v>
      </c>
      <c r="H1275" s="289">
        <v>13</v>
      </c>
      <c r="I1275" s="290">
        <v>25</v>
      </c>
      <c r="J1275" s="48" t="s">
        <v>39</v>
      </c>
      <c r="K1275" s="50"/>
      <c r="L1275" s="53" t="str">
        <f t="shared" si="217"/>
        <v>25grams</v>
      </c>
      <c r="M1275" s="54">
        <f t="shared" si="218"/>
        <v>325</v>
      </c>
      <c r="N1275" s="55" t="str">
        <f t="shared" si="219"/>
        <v>325grams</v>
      </c>
      <c r="O1275" s="56">
        <f t="shared" si="220"/>
        <v>187.20000000000002</v>
      </c>
      <c r="P1275" s="44">
        <f t="shared" si="260"/>
        <v>14.400000000000002</v>
      </c>
      <c r="Q1275" s="66"/>
      <c r="R1275" s="32" t="b">
        <f>P1275=G1275</f>
        <v>1</v>
      </c>
      <c r="S1275" s="32"/>
      <c r="T1275" s="32"/>
      <c r="U1275" s="32"/>
      <c r="V1275" s="32"/>
      <c r="W1275" s="32"/>
      <c r="X1275" s="32"/>
      <c r="Y1275" s="32"/>
      <c r="Z1275" s="32"/>
    </row>
    <row r="1276" spans="1:26" ht="15.75" customHeight="1" x14ac:dyDescent="0.3">
      <c r="A1276" s="45"/>
      <c r="B1276" s="46" t="s">
        <v>1664</v>
      </c>
      <c r="C1276" s="194" t="s">
        <v>2022</v>
      </c>
      <c r="D1276" s="46"/>
      <c r="E1276" s="46" t="s">
        <v>987</v>
      </c>
      <c r="F1276" s="61" t="s">
        <v>31</v>
      </c>
      <c r="G1276" s="288">
        <v>14</v>
      </c>
      <c r="H1276" s="289">
        <v>12</v>
      </c>
      <c r="I1276" s="290">
        <v>25</v>
      </c>
      <c r="J1276" s="48" t="s">
        <v>39</v>
      </c>
      <c r="K1276" s="50"/>
      <c r="L1276" s="53" t="str">
        <f t="shared" si="217"/>
        <v>25grams</v>
      </c>
      <c r="M1276" s="54">
        <f t="shared" si="218"/>
        <v>300</v>
      </c>
      <c r="N1276" s="55" t="str">
        <f t="shared" si="219"/>
        <v>300grams</v>
      </c>
      <c r="O1276" s="56">
        <f t="shared" si="220"/>
        <v>168</v>
      </c>
      <c r="P1276" s="12"/>
      <c r="Q1276" s="12"/>
      <c r="R1276" s="12"/>
      <c r="S1276" s="151"/>
      <c r="T1276" s="12"/>
      <c r="U1276" s="12"/>
      <c r="V1276" s="12"/>
      <c r="W1276" s="12"/>
      <c r="X1276" s="12"/>
      <c r="Y1276" s="12"/>
      <c r="Z1276" s="12"/>
    </row>
    <row r="1277" spans="1:26" ht="15.75" customHeight="1" x14ac:dyDescent="0.3">
      <c r="A1277" s="45">
        <v>51</v>
      </c>
      <c r="B1277" s="46" t="s">
        <v>775</v>
      </c>
      <c r="C1277" s="194" t="s">
        <v>29</v>
      </c>
      <c r="D1277" s="46"/>
      <c r="E1277" s="46" t="s">
        <v>1412</v>
      </c>
      <c r="F1277" s="61" t="s">
        <v>31</v>
      </c>
      <c r="G1277" s="288">
        <v>14.2</v>
      </c>
      <c r="H1277" s="289">
        <v>13</v>
      </c>
      <c r="I1277" s="290">
        <v>25</v>
      </c>
      <c r="J1277" s="48" t="s">
        <v>39</v>
      </c>
      <c r="K1277" s="61" t="s">
        <v>2019</v>
      </c>
      <c r="L1277" s="415" t="str">
        <f t="shared" si="217"/>
        <v>25grams</v>
      </c>
      <c r="M1277" s="416">
        <f t="shared" si="218"/>
        <v>325</v>
      </c>
      <c r="N1277" s="417" t="str">
        <f t="shared" si="219"/>
        <v>325grams</v>
      </c>
      <c r="O1277" s="418">
        <f t="shared" si="220"/>
        <v>184.6</v>
      </c>
      <c r="P1277" s="419">
        <f t="shared" ref="P1277:P1280" si="261">O1277/H1277</f>
        <v>14.2</v>
      </c>
      <c r="Q1277" s="66">
        <f>G1277-P1277</f>
        <v>0</v>
      </c>
      <c r="R1277" s="32" t="b">
        <f>P1277=G1277</f>
        <v>1</v>
      </c>
      <c r="S1277" s="32"/>
      <c r="T1277" s="32"/>
      <c r="U1277" s="32"/>
      <c r="V1277" s="32"/>
      <c r="W1277" s="32"/>
      <c r="X1277" s="32"/>
      <c r="Y1277" s="32"/>
      <c r="Z1277" s="32"/>
    </row>
    <row r="1278" spans="1:26" ht="15.75" customHeight="1" x14ac:dyDescent="0.3">
      <c r="A1278" s="45">
        <v>128</v>
      </c>
      <c r="B1278" s="46" t="s">
        <v>775</v>
      </c>
      <c r="C1278" s="194" t="s">
        <v>2024</v>
      </c>
      <c r="D1278" s="46"/>
      <c r="E1278" s="46" t="s">
        <v>1412</v>
      </c>
      <c r="F1278" s="61" t="s">
        <v>31</v>
      </c>
      <c r="G1278" s="288">
        <v>14.8</v>
      </c>
      <c r="H1278" s="289">
        <v>12</v>
      </c>
      <c r="I1278" s="290">
        <v>25</v>
      </c>
      <c r="J1278" s="48" t="s">
        <v>39</v>
      </c>
      <c r="K1278" s="50"/>
      <c r="L1278" s="53" t="str">
        <f t="shared" si="217"/>
        <v>25grams</v>
      </c>
      <c r="M1278" s="54">
        <f t="shared" si="218"/>
        <v>300</v>
      </c>
      <c r="N1278" s="55" t="str">
        <f t="shared" si="219"/>
        <v>300grams</v>
      </c>
      <c r="O1278" s="56">
        <f t="shared" si="220"/>
        <v>177.60000000000002</v>
      </c>
      <c r="P1278" s="44">
        <f t="shared" si="261"/>
        <v>14.800000000000002</v>
      </c>
      <c r="Q1278" s="66"/>
      <c r="R1278" s="32"/>
      <c r="S1278" s="32"/>
      <c r="T1278" s="32"/>
      <c r="U1278" s="32"/>
      <c r="V1278" s="32"/>
      <c r="W1278" s="32"/>
      <c r="X1278" s="32"/>
      <c r="Y1278" s="32"/>
      <c r="Z1278" s="32"/>
    </row>
    <row r="1279" spans="1:26" ht="15.75" customHeight="1" x14ac:dyDescent="0.3">
      <c r="A1279" s="45">
        <v>297</v>
      </c>
      <c r="B1279" s="46" t="s">
        <v>775</v>
      </c>
      <c r="C1279" s="194" t="s">
        <v>2025</v>
      </c>
      <c r="D1279" s="46"/>
      <c r="E1279" s="46" t="s">
        <v>987</v>
      </c>
      <c r="F1279" s="61" t="s">
        <v>31</v>
      </c>
      <c r="G1279" s="288">
        <v>29</v>
      </c>
      <c r="H1279" s="289">
        <v>10</v>
      </c>
      <c r="I1279" s="290">
        <v>44</v>
      </c>
      <c r="J1279" s="48" t="s">
        <v>39</v>
      </c>
      <c r="K1279" s="50"/>
      <c r="L1279" s="53" t="str">
        <f t="shared" si="217"/>
        <v>44grams</v>
      </c>
      <c r="M1279" s="54">
        <f t="shared" si="218"/>
        <v>440</v>
      </c>
      <c r="N1279" s="55" t="str">
        <f t="shared" si="219"/>
        <v>440grams</v>
      </c>
      <c r="O1279" s="56">
        <f t="shared" si="220"/>
        <v>290</v>
      </c>
      <c r="P1279" s="44">
        <f t="shared" si="261"/>
        <v>29</v>
      </c>
      <c r="Q1279" s="66"/>
      <c r="R1279" s="32"/>
      <c r="S1279" s="32"/>
      <c r="T1279" s="32"/>
      <c r="U1279" s="32"/>
      <c r="V1279" s="32"/>
      <c r="W1279" s="32"/>
      <c r="X1279" s="32"/>
      <c r="Y1279" s="32"/>
      <c r="Z1279" s="32"/>
    </row>
    <row r="1280" spans="1:26" ht="15.75" customHeight="1" x14ac:dyDescent="0.3">
      <c r="A1280" s="45">
        <v>746</v>
      </c>
      <c r="B1280" s="46" t="s">
        <v>775</v>
      </c>
      <c r="C1280" s="194" t="s">
        <v>2026</v>
      </c>
      <c r="D1280" s="46"/>
      <c r="E1280" s="46" t="s">
        <v>1412</v>
      </c>
      <c r="F1280" s="61" t="s">
        <v>31</v>
      </c>
      <c r="G1280" s="288">
        <v>11.84</v>
      </c>
      <c r="H1280" s="289">
        <v>27</v>
      </c>
      <c r="I1280" s="290">
        <v>25</v>
      </c>
      <c r="J1280" s="48" t="s">
        <v>39</v>
      </c>
      <c r="K1280" s="50"/>
      <c r="L1280" s="53" t="str">
        <f t="shared" si="217"/>
        <v>25grams</v>
      </c>
      <c r="M1280" s="54">
        <f t="shared" si="218"/>
        <v>675</v>
      </c>
      <c r="N1280" s="55" t="str">
        <f t="shared" si="219"/>
        <v>675grams</v>
      </c>
      <c r="O1280" s="56">
        <f t="shared" si="220"/>
        <v>319.68</v>
      </c>
      <c r="P1280" s="44">
        <f t="shared" si="261"/>
        <v>11.84</v>
      </c>
      <c r="Q1280" s="66"/>
      <c r="R1280" s="32"/>
      <c r="S1280" s="32"/>
      <c r="T1280" s="32"/>
      <c r="U1280" s="32"/>
      <c r="V1280" s="32"/>
      <c r="W1280" s="32"/>
      <c r="X1280" s="32"/>
      <c r="Y1280" s="32"/>
      <c r="Z1280" s="32"/>
    </row>
    <row r="1281" spans="1:26" ht="15.75" customHeight="1" x14ac:dyDescent="0.3">
      <c r="A1281" s="45">
        <v>883</v>
      </c>
      <c r="B1281" s="46" t="s">
        <v>775</v>
      </c>
      <c r="C1281" s="194" t="s">
        <v>1368</v>
      </c>
      <c r="D1281" s="46"/>
      <c r="E1281" s="46" t="s">
        <v>1412</v>
      </c>
      <c r="F1281" s="61" t="s">
        <v>31</v>
      </c>
      <c r="G1281" s="288">
        <v>318</v>
      </c>
      <c r="H1281" s="289">
        <v>2</v>
      </c>
      <c r="I1281" s="290">
        <v>1000</v>
      </c>
      <c r="J1281" s="48" t="s">
        <v>39</v>
      </c>
      <c r="K1281" s="50"/>
      <c r="L1281" s="53" t="str">
        <f t="shared" si="217"/>
        <v>1000grams</v>
      </c>
      <c r="M1281" s="54">
        <f t="shared" si="218"/>
        <v>2000</v>
      </c>
      <c r="N1281" s="55" t="str">
        <f t="shared" si="219"/>
        <v>2000grams</v>
      </c>
      <c r="O1281" s="56">
        <f t="shared" si="220"/>
        <v>636</v>
      </c>
      <c r="P1281" s="44"/>
      <c r="Q1281" s="66"/>
      <c r="R1281" s="32"/>
      <c r="S1281" s="32"/>
      <c r="T1281" s="32"/>
      <c r="U1281" s="32"/>
      <c r="V1281" s="32"/>
      <c r="W1281" s="32"/>
      <c r="X1281" s="32"/>
      <c r="Y1281" s="32"/>
      <c r="Z1281" s="32"/>
    </row>
    <row r="1282" spans="1:26" ht="15.75" customHeight="1" x14ac:dyDescent="0.3">
      <c r="A1282" s="45"/>
      <c r="B1282" s="46" t="s">
        <v>775</v>
      </c>
      <c r="C1282" s="194" t="s">
        <v>2023</v>
      </c>
      <c r="D1282" s="46"/>
      <c r="E1282" s="46" t="s">
        <v>987</v>
      </c>
      <c r="F1282" s="61" t="s">
        <v>31</v>
      </c>
      <c r="G1282" s="288">
        <v>28</v>
      </c>
      <c r="H1282" s="289">
        <v>19</v>
      </c>
      <c r="I1282" s="290">
        <v>44</v>
      </c>
      <c r="J1282" s="48" t="s">
        <v>39</v>
      </c>
      <c r="K1282" s="50"/>
      <c r="L1282" s="53" t="str">
        <f t="shared" si="217"/>
        <v>44grams</v>
      </c>
      <c r="M1282" s="54">
        <f t="shared" si="218"/>
        <v>836</v>
      </c>
      <c r="N1282" s="55" t="str">
        <f t="shared" si="219"/>
        <v>836grams</v>
      </c>
      <c r="O1282" s="56">
        <f t="shared" si="220"/>
        <v>532</v>
      </c>
      <c r="P1282" s="12"/>
      <c r="Q1282" s="12"/>
      <c r="R1282" s="12"/>
      <c r="S1282" s="151"/>
      <c r="T1282" s="12"/>
      <c r="U1282" s="12"/>
      <c r="V1282" s="12"/>
      <c r="W1282" s="12"/>
      <c r="X1282" s="12"/>
      <c r="Y1282" s="12"/>
      <c r="Z1282" s="12"/>
    </row>
    <row r="1283" spans="1:26" ht="15.75" customHeight="1" x14ac:dyDescent="0.3">
      <c r="A1283" s="45"/>
      <c r="B1283" s="309" t="s">
        <v>775</v>
      </c>
      <c r="C1283" s="194" t="s">
        <v>2022</v>
      </c>
      <c r="D1283" s="46"/>
      <c r="E1283" s="46" t="s">
        <v>987</v>
      </c>
      <c r="F1283" s="61" t="s">
        <v>31</v>
      </c>
      <c r="G1283" s="288">
        <v>28</v>
      </c>
      <c r="H1283" s="289">
        <v>12</v>
      </c>
      <c r="I1283" s="290">
        <v>44</v>
      </c>
      <c r="J1283" s="48" t="s">
        <v>39</v>
      </c>
      <c r="K1283" s="50"/>
      <c r="L1283" s="53" t="str">
        <f t="shared" si="217"/>
        <v>44grams</v>
      </c>
      <c r="M1283" s="54">
        <f t="shared" si="218"/>
        <v>528</v>
      </c>
      <c r="N1283" s="55" t="str">
        <f t="shared" si="219"/>
        <v>528grams</v>
      </c>
      <c r="O1283" s="56">
        <f t="shared" si="220"/>
        <v>336</v>
      </c>
      <c r="P1283" s="12"/>
      <c r="Q1283" s="12"/>
      <c r="R1283" s="12"/>
      <c r="S1283" s="151"/>
      <c r="T1283" s="12"/>
      <c r="U1283" s="12"/>
      <c r="V1283" s="12"/>
      <c r="W1283" s="12"/>
      <c r="X1283" s="12"/>
      <c r="Y1283" s="12"/>
      <c r="Z1283" s="12"/>
    </row>
    <row r="1284" spans="1:26" ht="15.75" customHeight="1" x14ac:dyDescent="0.3">
      <c r="A1284" s="45"/>
      <c r="B1284" s="310" t="s">
        <v>775</v>
      </c>
      <c r="C1284" s="194" t="s">
        <v>2021</v>
      </c>
      <c r="D1284" s="46"/>
      <c r="E1284" s="46" t="s">
        <v>987</v>
      </c>
      <c r="F1284" s="61" t="s">
        <v>31</v>
      </c>
      <c r="G1284" s="291">
        <v>27.7</v>
      </c>
      <c r="H1284" s="292">
        <v>7</v>
      </c>
      <c r="I1284" s="293">
        <v>44</v>
      </c>
      <c r="J1284" s="414" t="s">
        <v>39</v>
      </c>
      <c r="K1284" s="50"/>
      <c r="L1284" s="53" t="str">
        <f t="shared" ref="L1284:L1538" si="262">CONCATENATE(I1284,J1284)</f>
        <v>44grams</v>
      </c>
      <c r="M1284" s="54">
        <f t="shared" ref="M1284:M1538" si="263">H1284*I1284</f>
        <v>308</v>
      </c>
      <c r="N1284" s="55" t="str">
        <f t="shared" ref="N1284:N1538" si="264">CONCATENATE(M1284,K1284,J1284)</f>
        <v>308grams</v>
      </c>
      <c r="O1284" s="56">
        <f t="shared" ref="O1284:O1538" si="265">G1284*H1284</f>
        <v>193.9</v>
      </c>
      <c r="P1284" s="12"/>
      <c r="Q1284" s="12"/>
      <c r="R1284" s="12"/>
      <c r="S1284" s="151"/>
      <c r="T1284" s="12"/>
      <c r="U1284" s="12"/>
      <c r="V1284" s="12"/>
      <c r="W1284" s="12"/>
      <c r="X1284" s="12"/>
      <c r="Y1284" s="12"/>
      <c r="Z1284" s="12"/>
    </row>
    <row r="1285" spans="1:26" ht="15.75" customHeight="1" x14ac:dyDescent="0.3">
      <c r="A1285" s="45"/>
      <c r="B1285" s="46" t="s">
        <v>775</v>
      </c>
      <c r="C1285" s="194" t="s">
        <v>2020</v>
      </c>
      <c r="D1285" s="46"/>
      <c r="E1285" s="46" t="s">
        <v>987</v>
      </c>
      <c r="F1285" s="61" t="s">
        <v>31</v>
      </c>
      <c r="G1285" s="288">
        <v>27.7</v>
      </c>
      <c r="H1285" s="289">
        <v>12</v>
      </c>
      <c r="I1285" s="290">
        <v>44</v>
      </c>
      <c r="J1285" s="48" t="s">
        <v>39</v>
      </c>
      <c r="K1285" s="50"/>
      <c r="L1285" s="53" t="str">
        <f t="shared" si="262"/>
        <v>44grams</v>
      </c>
      <c r="M1285" s="54">
        <f t="shared" si="263"/>
        <v>528</v>
      </c>
      <c r="N1285" s="55" t="str">
        <f t="shared" si="264"/>
        <v>528grams</v>
      </c>
      <c r="O1285" s="56">
        <f t="shared" si="265"/>
        <v>332.4</v>
      </c>
      <c r="P1285" s="12"/>
      <c r="Q1285" s="12"/>
      <c r="R1285" s="12"/>
      <c r="S1285" s="151"/>
      <c r="T1285" s="12"/>
      <c r="U1285" s="12"/>
      <c r="V1285" s="12"/>
      <c r="W1285" s="12"/>
      <c r="X1285" s="12"/>
      <c r="Y1285" s="12"/>
      <c r="Z1285" s="12"/>
    </row>
    <row r="1286" spans="1:26" ht="15.75" customHeight="1" x14ac:dyDescent="0.3">
      <c r="A1286" s="45"/>
      <c r="B1286" s="46" t="s">
        <v>1665</v>
      </c>
      <c r="C1286" s="194" t="s">
        <v>2023</v>
      </c>
      <c r="D1286" s="46"/>
      <c r="E1286" s="46" t="s">
        <v>1666</v>
      </c>
      <c r="F1286" s="61" t="s">
        <v>31</v>
      </c>
      <c r="G1286" s="288">
        <v>140</v>
      </c>
      <c r="H1286" s="289">
        <v>1</v>
      </c>
      <c r="I1286" s="290">
        <v>1</v>
      </c>
      <c r="J1286" s="48" t="s">
        <v>213</v>
      </c>
      <c r="K1286" s="50"/>
      <c r="L1286" s="53" t="str">
        <f t="shared" si="262"/>
        <v>1kilos</v>
      </c>
      <c r="M1286" s="54">
        <f t="shared" si="263"/>
        <v>1</v>
      </c>
      <c r="N1286" s="55" t="str">
        <f t="shared" si="264"/>
        <v>1kilos</v>
      </c>
      <c r="O1286" s="56">
        <f t="shared" si="265"/>
        <v>140</v>
      </c>
      <c r="P1286" s="44"/>
      <c r="Q1286" s="12"/>
      <c r="R1286" s="12"/>
      <c r="S1286" s="151"/>
      <c r="T1286" s="12"/>
      <c r="U1286" s="12"/>
      <c r="V1286" s="12"/>
      <c r="W1286" s="12"/>
      <c r="X1286" s="12"/>
      <c r="Y1286" s="12"/>
      <c r="Z1286" s="12"/>
    </row>
    <row r="1287" spans="1:26" ht="15.75" customHeight="1" x14ac:dyDescent="0.3">
      <c r="A1287" s="45"/>
      <c r="B1287" s="46" t="s">
        <v>1665</v>
      </c>
      <c r="C1287" s="194" t="s">
        <v>2021</v>
      </c>
      <c r="D1287" s="46"/>
      <c r="E1287" s="219"/>
      <c r="F1287" s="61" t="s">
        <v>31</v>
      </c>
      <c r="G1287" s="291">
        <v>250</v>
      </c>
      <c r="H1287" s="292">
        <v>4</v>
      </c>
      <c r="I1287" s="293">
        <v>60</v>
      </c>
      <c r="J1287" s="414" t="s">
        <v>92</v>
      </c>
      <c r="K1287" s="50"/>
      <c r="L1287" s="53" t="str">
        <f t="shared" si="262"/>
        <v>60pieces</v>
      </c>
      <c r="M1287" s="54">
        <f t="shared" si="263"/>
        <v>240</v>
      </c>
      <c r="N1287" s="55" t="str">
        <f t="shared" si="264"/>
        <v>240pieces</v>
      </c>
      <c r="O1287" s="56">
        <f t="shared" si="265"/>
        <v>1000</v>
      </c>
      <c r="P1287" s="12"/>
      <c r="Q1287" s="12"/>
      <c r="R1287" s="12"/>
      <c r="S1287" s="151"/>
      <c r="T1287" s="12"/>
      <c r="U1287" s="12"/>
      <c r="V1287" s="12"/>
      <c r="W1287" s="12"/>
      <c r="X1287" s="12"/>
      <c r="Y1287" s="12"/>
      <c r="Z1287" s="12"/>
    </row>
    <row r="1288" spans="1:26" ht="15.75" customHeight="1" x14ac:dyDescent="0.3">
      <c r="A1288" s="45">
        <v>808</v>
      </c>
      <c r="B1288" s="46" t="s">
        <v>1667</v>
      </c>
      <c r="C1288" s="194" t="s">
        <v>1368</v>
      </c>
      <c r="D1288" s="46"/>
      <c r="E1288" s="46"/>
      <c r="F1288" s="61" t="s">
        <v>31</v>
      </c>
      <c r="G1288" s="288">
        <v>40</v>
      </c>
      <c r="H1288" s="289">
        <v>10</v>
      </c>
      <c r="I1288" s="290">
        <v>1000</v>
      </c>
      <c r="J1288" s="48" t="s">
        <v>39</v>
      </c>
      <c r="K1288" s="50"/>
      <c r="L1288" s="53" t="str">
        <f t="shared" si="262"/>
        <v>1000grams</v>
      </c>
      <c r="M1288" s="54">
        <f t="shared" si="263"/>
        <v>10000</v>
      </c>
      <c r="N1288" s="55" t="str">
        <f t="shared" si="264"/>
        <v>10000grams</v>
      </c>
      <c r="O1288" s="56">
        <f t="shared" si="265"/>
        <v>400</v>
      </c>
      <c r="P1288" s="44">
        <f t="shared" ref="P1288:P1289" si="266">O1288/H1288</f>
        <v>40</v>
      </c>
      <c r="Q1288" s="66"/>
      <c r="R1288" s="32" t="b">
        <f>P1288=G1288</f>
        <v>1</v>
      </c>
      <c r="S1288" s="32"/>
      <c r="T1288" s="32"/>
      <c r="U1288" s="32"/>
      <c r="V1288" s="32"/>
      <c r="W1288" s="32"/>
      <c r="X1288" s="32"/>
      <c r="Y1288" s="32"/>
      <c r="Z1288" s="32"/>
    </row>
    <row r="1289" spans="1:26" ht="15.75" customHeight="1" x14ac:dyDescent="0.3">
      <c r="A1289" s="45">
        <v>29</v>
      </c>
      <c r="B1289" s="46" t="s">
        <v>1668</v>
      </c>
      <c r="C1289" s="194" t="s">
        <v>29</v>
      </c>
      <c r="D1289" s="46"/>
      <c r="E1289" s="46" t="s">
        <v>1101</v>
      </c>
      <c r="F1289" s="61" t="s">
        <v>31</v>
      </c>
      <c r="G1289" s="288">
        <v>70</v>
      </c>
      <c r="H1289" s="289">
        <v>5</v>
      </c>
      <c r="I1289" s="290">
        <v>360</v>
      </c>
      <c r="J1289" s="48" t="s">
        <v>39</v>
      </c>
      <c r="K1289" s="61" t="s">
        <v>2019</v>
      </c>
      <c r="L1289" s="415" t="str">
        <f t="shared" si="262"/>
        <v>360grams</v>
      </c>
      <c r="M1289" s="416">
        <f t="shared" si="263"/>
        <v>1800</v>
      </c>
      <c r="N1289" s="417" t="str">
        <f t="shared" si="264"/>
        <v>1800grams</v>
      </c>
      <c r="O1289" s="418">
        <f t="shared" si="265"/>
        <v>350</v>
      </c>
      <c r="P1289" s="419">
        <f t="shared" si="266"/>
        <v>70</v>
      </c>
      <c r="Q1289" s="66"/>
      <c r="R1289" s="32"/>
      <c r="S1289" s="32"/>
      <c r="T1289" s="32"/>
      <c r="U1289" s="32"/>
      <c r="V1289" s="32"/>
      <c r="W1289" s="32"/>
      <c r="X1289" s="32"/>
      <c r="Y1289" s="32"/>
      <c r="Z1289" s="32"/>
    </row>
    <row r="1290" spans="1:26" ht="15.75" customHeight="1" x14ac:dyDescent="0.3">
      <c r="A1290" s="45">
        <v>897</v>
      </c>
      <c r="B1290" s="46" t="s">
        <v>1668</v>
      </c>
      <c r="C1290" s="194" t="s">
        <v>1368</v>
      </c>
      <c r="D1290" s="46"/>
      <c r="E1290" s="46" t="s">
        <v>1669</v>
      </c>
      <c r="F1290" s="61" t="s">
        <v>31</v>
      </c>
      <c r="G1290" s="288">
        <v>285</v>
      </c>
      <c r="H1290" s="289">
        <v>1</v>
      </c>
      <c r="I1290" s="290">
        <v>500</v>
      </c>
      <c r="J1290" s="48" t="s">
        <v>39</v>
      </c>
      <c r="K1290" s="50"/>
      <c r="L1290" s="53" t="str">
        <f t="shared" si="262"/>
        <v>500grams</v>
      </c>
      <c r="M1290" s="54">
        <f t="shared" si="263"/>
        <v>500</v>
      </c>
      <c r="N1290" s="55" t="str">
        <f t="shared" si="264"/>
        <v>500grams</v>
      </c>
      <c r="O1290" s="56">
        <f t="shared" si="265"/>
        <v>285</v>
      </c>
      <c r="P1290" s="44"/>
      <c r="Q1290" s="66"/>
      <c r="R1290" s="32"/>
      <c r="S1290" s="32"/>
      <c r="T1290" s="32"/>
      <c r="U1290" s="32"/>
      <c r="V1290" s="32"/>
      <c r="W1290" s="32"/>
      <c r="X1290" s="32"/>
      <c r="Y1290" s="32"/>
      <c r="Z1290" s="32"/>
    </row>
    <row r="1291" spans="1:26" ht="15.75" customHeight="1" x14ac:dyDescent="0.3">
      <c r="A1291" s="45"/>
      <c r="B1291" s="46" t="s">
        <v>1668</v>
      </c>
      <c r="C1291" s="194" t="s">
        <v>2020</v>
      </c>
      <c r="D1291" s="46"/>
      <c r="E1291" s="46" t="s">
        <v>1098</v>
      </c>
      <c r="F1291" s="61" t="s">
        <v>31</v>
      </c>
      <c r="G1291" s="288">
        <v>70</v>
      </c>
      <c r="H1291" s="289">
        <v>1</v>
      </c>
      <c r="I1291" s="290">
        <v>400</v>
      </c>
      <c r="J1291" s="48" t="s">
        <v>39</v>
      </c>
      <c r="K1291" s="50"/>
      <c r="L1291" s="53" t="str">
        <f t="shared" si="262"/>
        <v>400grams</v>
      </c>
      <c r="M1291" s="54">
        <f t="shared" si="263"/>
        <v>400</v>
      </c>
      <c r="N1291" s="55" t="str">
        <f t="shared" si="264"/>
        <v>400grams</v>
      </c>
      <c r="O1291" s="56">
        <f t="shared" si="265"/>
        <v>70</v>
      </c>
      <c r="P1291" s="12"/>
      <c r="Q1291" s="12"/>
      <c r="R1291" s="12"/>
      <c r="S1291" s="151"/>
      <c r="T1291" s="12"/>
      <c r="U1291" s="12"/>
      <c r="V1291" s="12"/>
      <c r="W1291" s="12"/>
      <c r="X1291" s="12"/>
      <c r="Y1291" s="12"/>
      <c r="Z1291" s="12"/>
    </row>
    <row r="1292" spans="1:26" ht="15.75" customHeight="1" x14ac:dyDescent="0.3">
      <c r="A1292" s="45">
        <v>687</v>
      </c>
      <c r="B1292" s="46" t="s">
        <v>1670</v>
      </c>
      <c r="C1292" s="194" t="s">
        <v>2026</v>
      </c>
      <c r="D1292" s="46"/>
      <c r="E1292" s="46" t="s">
        <v>1087</v>
      </c>
      <c r="F1292" s="61" t="s">
        <v>31</v>
      </c>
      <c r="G1292" s="288">
        <v>82</v>
      </c>
      <c r="H1292" s="289">
        <v>2</v>
      </c>
      <c r="I1292" s="290">
        <v>250</v>
      </c>
      <c r="J1292" s="48" t="s">
        <v>39</v>
      </c>
      <c r="K1292" s="50"/>
      <c r="L1292" s="53" t="str">
        <f t="shared" si="262"/>
        <v>250grams</v>
      </c>
      <c r="M1292" s="54">
        <f t="shared" si="263"/>
        <v>500</v>
      </c>
      <c r="N1292" s="55" t="str">
        <f t="shared" si="264"/>
        <v>500grams</v>
      </c>
      <c r="O1292" s="56">
        <f t="shared" si="265"/>
        <v>164</v>
      </c>
      <c r="P1292" s="44">
        <f>O1292/H1292</f>
        <v>82</v>
      </c>
      <c r="Q1292" s="66"/>
      <c r="R1292" s="32"/>
      <c r="S1292" s="32"/>
      <c r="T1292" s="32"/>
      <c r="U1292" s="32"/>
      <c r="V1292" s="32"/>
      <c r="W1292" s="32"/>
      <c r="X1292" s="32"/>
      <c r="Y1292" s="32"/>
      <c r="Z1292" s="32"/>
    </row>
    <row r="1293" spans="1:26" ht="15.75" customHeight="1" x14ac:dyDescent="0.3">
      <c r="A1293" s="45"/>
      <c r="B1293" s="46" t="s">
        <v>1670</v>
      </c>
      <c r="C1293" s="194" t="s">
        <v>2022</v>
      </c>
      <c r="D1293" s="46"/>
      <c r="E1293" s="46" t="s">
        <v>1084</v>
      </c>
      <c r="F1293" s="61" t="s">
        <v>31</v>
      </c>
      <c r="G1293" s="288">
        <v>65</v>
      </c>
      <c r="H1293" s="289">
        <v>24</v>
      </c>
      <c r="I1293" s="290">
        <v>100</v>
      </c>
      <c r="J1293" s="48" t="s">
        <v>39</v>
      </c>
      <c r="K1293" s="50"/>
      <c r="L1293" s="53" t="str">
        <f t="shared" si="262"/>
        <v>100grams</v>
      </c>
      <c r="M1293" s="54">
        <f t="shared" si="263"/>
        <v>2400</v>
      </c>
      <c r="N1293" s="55" t="str">
        <f t="shared" si="264"/>
        <v>2400grams</v>
      </c>
      <c r="O1293" s="56">
        <f t="shared" si="265"/>
        <v>1560</v>
      </c>
      <c r="P1293" s="12"/>
      <c r="Q1293" s="12"/>
      <c r="R1293" s="12"/>
      <c r="S1293" s="151"/>
      <c r="T1293" s="12"/>
      <c r="U1293" s="12"/>
      <c r="V1293" s="12"/>
      <c r="W1293" s="12"/>
      <c r="X1293" s="12"/>
      <c r="Y1293" s="12"/>
      <c r="Z1293" s="12"/>
    </row>
    <row r="1294" spans="1:26" ht="15.75" customHeight="1" x14ac:dyDescent="0.3">
      <c r="A1294" s="45"/>
      <c r="B1294" s="219" t="s">
        <v>1670</v>
      </c>
      <c r="C1294" s="194" t="s">
        <v>2021</v>
      </c>
      <c r="D1294" s="46"/>
      <c r="E1294" s="219" t="s">
        <v>1087</v>
      </c>
      <c r="F1294" s="61" t="s">
        <v>31</v>
      </c>
      <c r="G1294" s="291">
        <v>75</v>
      </c>
      <c r="H1294" s="292">
        <v>5</v>
      </c>
      <c r="I1294" s="293">
        <v>105</v>
      </c>
      <c r="J1294" s="414" t="s">
        <v>39</v>
      </c>
      <c r="K1294" s="50"/>
      <c r="L1294" s="53" t="str">
        <f t="shared" si="262"/>
        <v>105grams</v>
      </c>
      <c r="M1294" s="54">
        <f t="shared" si="263"/>
        <v>525</v>
      </c>
      <c r="N1294" s="55" t="str">
        <f t="shared" si="264"/>
        <v>525grams</v>
      </c>
      <c r="O1294" s="56">
        <f t="shared" si="265"/>
        <v>375</v>
      </c>
      <c r="P1294" s="12"/>
      <c r="Q1294" s="12"/>
      <c r="R1294" s="12"/>
      <c r="S1294" s="151"/>
      <c r="T1294" s="12"/>
      <c r="U1294" s="12"/>
      <c r="V1294" s="12"/>
      <c r="W1294" s="12"/>
      <c r="X1294" s="12"/>
      <c r="Y1294" s="12"/>
      <c r="Z1294" s="12"/>
    </row>
    <row r="1295" spans="1:26" ht="15.75" customHeight="1" x14ac:dyDescent="0.3">
      <c r="A1295" s="45"/>
      <c r="B1295" s="46" t="s">
        <v>1671</v>
      </c>
      <c r="C1295" s="194" t="s">
        <v>2020</v>
      </c>
      <c r="D1295" s="46"/>
      <c r="E1295" s="46" t="s">
        <v>1672</v>
      </c>
      <c r="F1295" s="61" t="s">
        <v>31</v>
      </c>
      <c r="G1295" s="288">
        <v>31.5</v>
      </c>
      <c r="H1295" s="289">
        <v>1</v>
      </c>
      <c r="I1295" s="290">
        <v>60</v>
      </c>
      <c r="J1295" s="48" t="s">
        <v>39</v>
      </c>
      <c r="K1295" s="50"/>
      <c r="L1295" s="53" t="str">
        <f t="shared" si="262"/>
        <v>60grams</v>
      </c>
      <c r="M1295" s="54">
        <f t="shared" si="263"/>
        <v>60</v>
      </c>
      <c r="N1295" s="55" t="str">
        <f t="shared" si="264"/>
        <v>60grams</v>
      </c>
      <c r="O1295" s="56">
        <f t="shared" si="265"/>
        <v>31.5</v>
      </c>
      <c r="P1295" s="12"/>
      <c r="Q1295" s="12"/>
      <c r="R1295" s="12"/>
      <c r="S1295" s="151"/>
      <c r="T1295" s="12"/>
      <c r="U1295" s="12"/>
      <c r="V1295" s="12"/>
      <c r="W1295" s="12"/>
      <c r="X1295" s="12"/>
      <c r="Y1295" s="12"/>
      <c r="Z1295" s="12"/>
    </row>
    <row r="1296" spans="1:26" ht="15.75" customHeight="1" x14ac:dyDescent="0.3">
      <c r="A1296" s="45">
        <v>633</v>
      </c>
      <c r="B1296" s="46" t="s">
        <v>1671</v>
      </c>
      <c r="C1296" s="194" t="s">
        <v>2026</v>
      </c>
      <c r="D1296" s="46"/>
      <c r="E1296" s="46" t="s">
        <v>1673</v>
      </c>
      <c r="F1296" s="61" t="s">
        <v>31</v>
      </c>
      <c r="G1296" s="288">
        <v>30.68</v>
      </c>
      <c r="H1296" s="289">
        <v>30</v>
      </c>
      <c r="I1296" s="290">
        <v>60</v>
      </c>
      <c r="J1296" s="48" t="s">
        <v>39</v>
      </c>
      <c r="K1296" s="50" t="s">
        <v>2019</v>
      </c>
      <c r="L1296" s="53" t="str">
        <f t="shared" si="262"/>
        <v>60grams</v>
      </c>
      <c r="M1296" s="54">
        <f t="shared" si="263"/>
        <v>1800</v>
      </c>
      <c r="N1296" s="55" t="str">
        <f t="shared" si="264"/>
        <v>1800grams</v>
      </c>
      <c r="O1296" s="56">
        <f t="shared" si="265"/>
        <v>920.4</v>
      </c>
      <c r="P1296" s="44">
        <f t="shared" ref="P1296:P1297" si="267">O1296/H1296</f>
        <v>30.68</v>
      </c>
      <c r="Q1296" s="44">
        <f>G1296-P1296</f>
        <v>0</v>
      </c>
      <c r="R1296" s="32" t="b">
        <f t="shared" ref="R1296:R1297" si="268">P1296=G1296</f>
        <v>1</v>
      </c>
      <c r="S1296" s="32"/>
      <c r="T1296" s="32"/>
      <c r="U1296" s="32"/>
      <c r="V1296" s="32"/>
      <c r="W1296" s="32"/>
      <c r="X1296" s="32"/>
      <c r="Y1296" s="32"/>
      <c r="Z1296" s="32"/>
    </row>
    <row r="1297" spans="1:26" ht="15.75" customHeight="1" x14ac:dyDescent="0.3">
      <c r="A1297" s="45">
        <v>634</v>
      </c>
      <c r="B1297" s="46" t="s">
        <v>1671</v>
      </c>
      <c r="C1297" s="194" t="s">
        <v>2026</v>
      </c>
      <c r="D1297" s="46"/>
      <c r="E1297" s="46" t="s">
        <v>1674</v>
      </c>
      <c r="F1297" s="61" t="s">
        <v>31</v>
      </c>
      <c r="G1297" s="288">
        <v>13.69</v>
      </c>
      <c r="H1297" s="289">
        <v>50</v>
      </c>
      <c r="I1297" s="290">
        <v>50</v>
      </c>
      <c r="J1297" s="48" t="s">
        <v>39</v>
      </c>
      <c r="K1297" s="50"/>
      <c r="L1297" s="53" t="str">
        <f t="shared" si="262"/>
        <v>50grams</v>
      </c>
      <c r="M1297" s="54">
        <f t="shared" si="263"/>
        <v>2500</v>
      </c>
      <c r="N1297" s="55" t="str">
        <f t="shared" si="264"/>
        <v>2500grams</v>
      </c>
      <c r="O1297" s="56">
        <f t="shared" si="265"/>
        <v>684.5</v>
      </c>
      <c r="P1297" s="44">
        <f t="shared" si="267"/>
        <v>13.69</v>
      </c>
      <c r="Q1297" s="66"/>
      <c r="R1297" s="32" t="b">
        <f t="shared" si="268"/>
        <v>1</v>
      </c>
      <c r="S1297" s="32"/>
      <c r="T1297" s="32"/>
      <c r="U1297" s="32"/>
      <c r="V1297" s="32"/>
      <c r="W1297" s="32"/>
      <c r="X1297" s="32"/>
      <c r="Y1297" s="32"/>
      <c r="Z1297" s="32"/>
    </row>
    <row r="1298" spans="1:26" ht="15.75" customHeight="1" x14ac:dyDescent="0.3">
      <c r="A1298" s="45"/>
      <c r="B1298" s="46" t="s">
        <v>1671</v>
      </c>
      <c r="C1298" s="194" t="s">
        <v>2023</v>
      </c>
      <c r="D1298" s="46"/>
      <c r="E1298" s="46" t="s">
        <v>1675</v>
      </c>
      <c r="F1298" s="61" t="s">
        <v>31</v>
      </c>
      <c r="G1298" s="288">
        <v>13.68</v>
      </c>
      <c r="H1298" s="289">
        <v>36</v>
      </c>
      <c r="I1298" s="290">
        <v>50</v>
      </c>
      <c r="J1298" s="48" t="s">
        <v>39</v>
      </c>
      <c r="K1298" s="50"/>
      <c r="L1298" s="53" t="str">
        <f t="shared" si="262"/>
        <v>50grams</v>
      </c>
      <c r="M1298" s="54">
        <f t="shared" si="263"/>
        <v>1800</v>
      </c>
      <c r="N1298" s="55" t="str">
        <f t="shared" si="264"/>
        <v>1800grams</v>
      </c>
      <c r="O1298" s="56">
        <f t="shared" si="265"/>
        <v>492.48</v>
      </c>
      <c r="P1298" s="12"/>
      <c r="Q1298" s="12"/>
      <c r="R1298" s="12"/>
      <c r="S1298" s="151"/>
      <c r="T1298" s="12"/>
      <c r="U1298" s="12"/>
      <c r="V1298" s="12"/>
      <c r="W1298" s="12"/>
      <c r="X1298" s="12"/>
      <c r="Y1298" s="12"/>
      <c r="Z1298" s="12"/>
    </row>
    <row r="1299" spans="1:26" ht="15.75" customHeight="1" x14ac:dyDescent="0.3">
      <c r="A1299" s="45"/>
      <c r="B1299" s="46" t="s">
        <v>1671</v>
      </c>
      <c r="C1299" s="194" t="s">
        <v>2022</v>
      </c>
      <c r="D1299" s="46"/>
      <c r="E1299" s="46" t="s">
        <v>1676</v>
      </c>
      <c r="F1299" s="61" t="s">
        <v>31</v>
      </c>
      <c r="G1299" s="288">
        <v>13.68</v>
      </c>
      <c r="H1299" s="289">
        <v>7</v>
      </c>
      <c r="I1299" s="290">
        <v>50</v>
      </c>
      <c r="J1299" s="48" t="s">
        <v>39</v>
      </c>
      <c r="K1299" s="50"/>
      <c r="L1299" s="53" t="str">
        <f t="shared" si="262"/>
        <v>50grams</v>
      </c>
      <c r="M1299" s="54">
        <f t="shared" si="263"/>
        <v>350</v>
      </c>
      <c r="N1299" s="55" t="str">
        <f t="shared" si="264"/>
        <v>350grams</v>
      </c>
      <c r="O1299" s="56">
        <f t="shared" si="265"/>
        <v>95.759999999999991</v>
      </c>
      <c r="P1299" s="12"/>
      <c r="Q1299" s="12"/>
      <c r="R1299" s="12"/>
      <c r="S1299" s="151"/>
      <c r="T1299" s="12"/>
      <c r="U1299" s="12"/>
      <c r="V1299" s="12"/>
      <c r="W1299" s="12"/>
      <c r="X1299" s="12"/>
      <c r="Y1299" s="12"/>
      <c r="Z1299" s="12"/>
    </row>
    <row r="1300" spans="1:26" ht="15.75" customHeight="1" x14ac:dyDescent="0.3">
      <c r="A1300" s="45"/>
      <c r="B1300" s="219" t="s">
        <v>1677</v>
      </c>
      <c r="C1300" s="194" t="s">
        <v>2021</v>
      </c>
      <c r="D1300" s="46"/>
      <c r="E1300" s="219" t="s">
        <v>1678</v>
      </c>
      <c r="F1300" s="61" t="s">
        <v>31</v>
      </c>
      <c r="G1300" s="291">
        <v>7.77</v>
      </c>
      <c r="H1300" s="292">
        <v>19</v>
      </c>
      <c r="I1300" s="293">
        <v>1</v>
      </c>
      <c r="J1300" s="414" t="s">
        <v>92</v>
      </c>
      <c r="K1300" s="50"/>
      <c r="L1300" s="53" t="str">
        <f t="shared" si="262"/>
        <v>1pieces</v>
      </c>
      <c r="M1300" s="54">
        <f t="shared" si="263"/>
        <v>19</v>
      </c>
      <c r="N1300" s="55" t="str">
        <f t="shared" si="264"/>
        <v>19pieces</v>
      </c>
      <c r="O1300" s="56">
        <f t="shared" si="265"/>
        <v>147.63</v>
      </c>
      <c r="P1300" s="12"/>
      <c r="Q1300" s="12"/>
      <c r="R1300" s="12"/>
      <c r="S1300" s="151"/>
      <c r="T1300" s="12"/>
      <c r="U1300" s="12"/>
      <c r="V1300" s="12"/>
      <c r="W1300" s="12"/>
      <c r="X1300" s="12"/>
      <c r="Y1300" s="12"/>
      <c r="Z1300" s="12"/>
    </row>
    <row r="1301" spans="1:26" ht="15.75" customHeight="1" x14ac:dyDescent="0.3">
      <c r="A1301" s="45"/>
      <c r="B1301" s="219" t="s">
        <v>1677</v>
      </c>
      <c r="C1301" s="194" t="s">
        <v>2021</v>
      </c>
      <c r="D1301" s="46"/>
      <c r="E1301" s="219" t="s">
        <v>1679</v>
      </c>
      <c r="F1301" s="61" t="s">
        <v>31</v>
      </c>
      <c r="G1301" s="291">
        <v>7.77</v>
      </c>
      <c r="H1301" s="292">
        <v>13</v>
      </c>
      <c r="I1301" s="293">
        <v>1</v>
      </c>
      <c r="J1301" s="414" t="s">
        <v>92</v>
      </c>
      <c r="K1301" s="50"/>
      <c r="L1301" s="53" t="str">
        <f t="shared" si="262"/>
        <v>1pieces</v>
      </c>
      <c r="M1301" s="54">
        <f t="shared" si="263"/>
        <v>13</v>
      </c>
      <c r="N1301" s="55" t="str">
        <f t="shared" si="264"/>
        <v>13pieces</v>
      </c>
      <c r="O1301" s="56">
        <f t="shared" si="265"/>
        <v>101.00999999999999</v>
      </c>
      <c r="P1301" s="12"/>
      <c r="Q1301" s="12"/>
      <c r="R1301" s="12"/>
      <c r="S1301" s="151"/>
      <c r="T1301" s="12"/>
      <c r="U1301" s="12"/>
      <c r="V1301" s="12"/>
      <c r="W1301" s="12"/>
      <c r="X1301" s="12"/>
      <c r="Y1301" s="12"/>
      <c r="Z1301" s="12"/>
    </row>
    <row r="1302" spans="1:26" ht="15.75" customHeight="1" x14ac:dyDescent="0.3">
      <c r="A1302" s="45"/>
      <c r="B1302" s="219" t="s">
        <v>1677</v>
      </c>
      <c r="C1302" s="194" t="s">
        <v>2021</v>
      </c>
      <c r="D1302" s="46"/>
      <c r="E1302" s="219" t="s">
        <v>1680</v>
      </c>
      <c r="F1302" s="61" t="s">
        <v>31</v>
      </c>
      <c r="G1302" s="291">
        <v>7.84</v>
      </c>
      <c r="H1302" s="292">
        <v>16</v>
      </c>
      <c r="I1302" s="293">
        <v>1</v>
      </c>
      <c r="J1302" s="414" t="s">
        <v>92</v>
      </c>
      <c r="K1302" s="50"/>
      <c r="L1302" s="53" t="str">
        <f t="shared" si="262"/>
        <v>1pieces</v>
      </c>
      <c r="M1302" s="54">
        <f t="shared" si="263"/>
        <v>16</v>
      </c>
      <c r="N1302" s="55" t="str">
        <f t="shared" si="264"/>
        <v>16pieces</v>
      </c>
      <c r="O1302" s="56">
        <f t="shared" si="265"/>
        <v>125.44</v>
      </c>
      <c r="P1302" s="12"/>
      <c r="Q1302" s="12"/>
      <c r="R1302" s="12"/>
      <c r="S1302" s="151"/>
      <c r="T1302" s="12"/>
      <c r="U1302" s="12"/>
      <c r="V1302" s="12"/>
      <c r="W1302" s="12"/>
      <c r="X1302" s="12"/>
      <c r="Y1302" s="12"/>
      <c r="Z1302" s="12"/>
    </row>
    <row r="1303" spans="1:26" ht="15.75" customHeight="1" x14ac:dyDescent="0.3">
      <c r="A1303" s="45">
        <v>588</v>
      </c>
      <c r="B1303" s="46" t="s">
        <v>1677</v>
      </c>
      <c r="C1303" s="194" t="s">
        <v>2026</v>
      </c>
      <c r="D1303" s="46"/>
      <c r="E1303" s="46" t="s">
        <v>1681</v>
      </c>
      <c r="F1303" s="61" t="s">
        <v>31</v>
      </c>
      <c r="G1303" s="288">
        <v>8.65</v>
      </c>
      <c r="H1303" s="289">
        <v>30</v>
      </c>
      <c r="I1303" s="290">
        <v>27</v>
      </c>
      <c r="J1303" s="48" t="s">
        <v>39</v>
      </c>
      <c r="K1303" s="50"/>
      <c r="L1303" s="53" t="str">
        <f t="shared" si="262"/>
        <v>27grams</v>
      </c>
      <c r="M1303" s="54">
        <f t="shared" si="263"/>
        <v>810</v>
      </c>
      <c r="N1303" s="55" t="str">
        <f t="shared" si="264"/>
        <v>810grams</v>
      </c>
      <c r="O1303" s="56">
        <f t="shared" si="265"/>
        <v>259.5</v>
      </c>
      <c r="P1303" s="44">
        <f t="shared" ref="P1303:P1304" si="269">O1303/H1303</f>
        <v>8.65</v>
      </c>
      <c r="Q1303" s="66"/>
      <c r="R1303" s="32" t="b">
        <f t="shared" ref="R1303:R1304" si="270">P1303=G1303</f>
        <v>1</v>
      </c>
      <c r="S1303" s="32"/>
      <c r="T1303" s="32"/>
      <c r="U1303" s="32"/>
      <c r="V1303" s="32"/>
      <c r="W1303" s="32"/>
      <c r="X1303" s="32"/>
      <c r="Y1303" s="32"/>
      <c r="Z1303" s="32"/>
    </row>
    <row r="1304" spans="1:26" ht="15.75" customHeight="1" x14ac:dyDescent="0.3">
      <c r="A1304" s="45">
        <v>598</v>
      </c>
      <c r="B1304" s="46" t="s">
        <v>1677</v>
      </c>
      <c r="C1304" s="194" t="s">
        <v>2026</v>
      </c>
      <c r="D1304" s="46"/>
      <c r="E1304" s="46" t="s">
        <v>1682</v>
      </c>
      <c r="F1304" s="61" t="s">
        <v>31</v>
      </c>
      <c r="G1304" s="288">
        <v>9.5299999999999994</v>
      </c>
      <c r="H1304" s="289">
        <v>36</v>
      </c>
      <c r="I1304" s="290">
        <v>28</v>
      </c>
      <c r="J1304" s="48" t="s">
        <v>39</v>
      </c>
      <c r="K1304" s="50"/>
      <c r="L1304" s="53" t="str">
        <f t="shared" si="262"/>
        <v>28grams</v>
      </c>
      <c r="M1304" s="54">
        <f t="shared" si="263"/>
        <v>1008</v>
      </c>
      <c r="N1304" s="55" t="str">
        <f t="shared" si="264"/>
        <v>1008grams</v>
      </c>
      <c r="O1304" s="56">
        <f t="shared" si="265"/>
        <v>343.08</v>
      </c>
      <c r="P1304" s="44">
        <f t="shared" si="269"/>
        <v>9.5299999999999994</v>
      </c>
      <c r="Q1304" s="66"/>
      <c r="R1304" s="32" t="b">
        <f t="shared" si="270"/>
        <v>1</v>
      </c>
      <c r="S1304" s="32"/>
      <c r="T1304" s="32"/>
      <c r="U1304" s="32"/>
      <c r="V1304" s="32"/>
      <c r="W1304" s="32"/>
      <c r="X1304" s="32"/>
      <c r="Y1304" s="32"/>
      <c r="Z1304" s="32"/>
    </row>
    <row r="1305" spans="1:26" ht="15.75" customHeight="1" x14ac:dyDescent="0.3">
      <c r="A1305" s="45"/>
      <c r="B1305" s="46" t="s">
        <v>1677</v>
      </c>
      <c r="C1305" s="194" t="s">
        <v>2020</v>
      </c>
      <c r="D1305" s="46"/>
      <c r="E1305" s="46" t="s">
        <v>1682</v>
      </c>
      <c r="F1305" s="61" t="s">
        <v>31</v>
      </c>
      <c r="G1305" s="288">
        <v>7.94</v>
      </c>
      <c r="H1305" s="289">
        <v>15</v>
      </c>
      <c r="I1305" s="290">
        <v>28</v>
      </c>
      <c r="J1305" s="48" t="s">
        <v>39</v>
      </c>
      <c r="K1305" s="50"/>
      <c r="L1305" s="53" t="str">
        <f t="shared" si="262"/>
        <v>28grams</v>
      </c>
      <c r="M1305" s="54">
        <f t="shared" si="263"/>
        <v>420</v>
      </c>
      <c r="N1305" s="55" t="str">
        <f t="shared" si="264"/>
        <v>420grams</v>
      </c>
      <c r="O1305" s="56">
        <f t="shared" si="265"/>
        <v>119.10000000000001</v>
      </c>
      <c r="P1305" s="12"/>
      <c r="Q1305" s="12"/>
      <c r="R1305" s="12"/>
      <c r="S1305" s="151"/>
      <c r="T1305" s="12"/>
      <c r="U1305" s="12"/>
      <c r="V1305" s="12"/>
      <c r="W1305" s="12"/>
      <c r="X1305" s="12"/>
      <c r="Y1305" s="12"/>
      <c r="Z1305" s="12"/>
    </row>
    <row r="1306" spans="1:26" ht="15.75" customHeight="1" x14ac:dyDescent="0.3">
      <c r="A1306" s="45"/>
      <c r="B1306" s="46" t="s">
        <v>1677</v>
      </c>
      <c r="C1306" s="194" t="s">
        <v>2021</v>
      </c>
      <c r="D1306" s="46"/>
      <c r="E1306" s="219" t="s">
        <v>1683</v>
      </c>
      <c r="F1306" s="61" t="s">
        <v>31</v>
      </c>
      <c r="G1306" s="291">
        <v>15.1</v>
      </c>
      <c r="H1306" s="292">
        <v>1</v>
      </c>
      <c r="I1306" s="293">
        <v>50</v>
      </c>
      <c r="J1306" s="414" t="s">
        <v>39</v>
      </c>
      <c r="K1306" s="50"/>
      <c r="L1306" s="53" t="str">
        <f t="shared" si="262"/>
        <v>50grams</v>
      </c>
      <c r="M1306" s="54">
        <f t="shared" si="263"/>
        <v>50</v>
      </c>
      <c r="N1306" s="55" t="str">
        <f t="shared" si="264"/>
        <v>50grams</v>
      </c>
      <c r="O1306" s="56">
        <f t="shared" si="265"/>
        <v>15.1</v>
      </c>
      <c r="P1306" s="12"/>
      <c r="Q1306" s="12"/>
      <c r="R1306" s="12"/>
      <c r="S1306" s="151"/>
      <c r="T1306" s="12"/>
      <c r="U1306" s="12"/>
      <c r="V1306" s="12"/>
      <c r="W1306" s="12"/>
      <c r="X1306" s="12"/>
      <c r="Y1306" s="12"/>
      <c r="Z1306" s="12"/>
    </row>
    <row r="1307" spans="1:26" ht="15.75" customHeight="1" x14ac:dyDescent="0.3">
      <c r="A1307" s="45"/>
      <c r="B1307" s="46" t="s">
        <v>1677</v>
      </c>
      <c r="C1307" s="194" t="s">
        <v>2021</v>
      </c>
      <c r="D1307" s="46"/>
      <c r="E1307" s="219" t="s">
        <v>1684</v>
      </c>
      <c r="F1307" s="61" t="s">
        <v>31</v>
      </c>
      <c r="G1307" s="291">
        <v>16.649999999999999</v>
      </c>
      <c r="H1307" s="292">
        <v>36</v>
      </c>
      <c r="I1307" s="293">
        <v>50</v>
      </c>
      <c r="J1307" s="414" t="s">
        <v>39</v>
      </c>
      <c r="K1307" s="50"/>
      <c r="L1307" s="53" t="str">
        <f t="shared" si="262"/>
        <v>50grams</v>
      </c>
      <c r="M1307" s="54">
        <f t="shared" si="263"/>
        <v>1800</v>
      </c>
      <c r="N1307" s="55" t="str">
        <f t="shared" si="264"/>
        <v>1800grams</v>
      </c>
      <c r="O1307" s="56">
        <f t="shared" si="265"/>
        <v>599.4</v>
      </c>
      <c r="P1307" s="12"/>
      <c r="Q1307" s="12"/>
      <c r="R1307" s="12"/>
      <c r="S1307" s="151"/>
      <c r="T1307" s="12"/>
      <c r="U1307" s="12"/>
      <c r="V1307" s="12"/>
      <c r="W1307" s="12"/>
      <c r="X1307" s="12"/>
      <c r="Y1307" s="12"/>
      <c r="Z1307" s="12"/>
    </row>
    <row r="1308" spans="1:26" ht="15.75" customHeight="1" x14ac:dyDescent="0.3">
      <c r="A1308" s="45"/>
      <c r="B1308" s="46" t="s">
        <v>1677</v>
      </c>
      <c r="C1308" s="194" t="s">
        <v>2021</v>
      </c>
      <c r="D1308" s="46"/>
      <c r="E1308" s="219" t="s">
        <v>1685</v>
      </c>
      <c r="F1308" s="61" t="s">
        <v>31</v>
      </c>
      <c r="G1308" s="291">
        <v>8.2799999999999994</v>
      </c>
      <c r="H1308" s="292">
        <v>3</v>
      </c>
      <c r="I1308" s="293">
        <v>28</v>
      </c>
      <c r="J1308" s="414" t="s">
        <v>39</v>
      </c>
      <c r="K1308" s="50"/>
      <c r="L1308" s="53" t="str">
        <f t="shared" si="262"/>
        <v>28grams</v>
      </c>
      <c r="M1308" s="54">
        <f t="shared" si="263"/>
        <v>84</v>
      </c>
      <c r="N1308" s="55" t="str">
        <f t="shared" si="264"/>
        <v>84grams</v>
      </c>
      <c r="O1308" s="56">
        <f t="shared" si="265"/>
        <v>24.839999999999996</v>
      </c>
      <c r="P1308" s="12"/>
      <c r="Q1308" s="12"/>
      <c r="R1308" s="12"/>
      <c r="S1308" s="151"/>
      <c r="T1308" s="12"/>
      <c r="U1308" s="12"/>
      <c r="V1308" s="12"/>
      <c r="W1308" s="12"/>
      <c r="X1308" s="12"/>
      <c r="Y1308" s="12"/>
      <c r="Z1308" s="12"/>
    </row>
    <row r="1309" spans="1:26" ht="15.75" customHeight="1" x14ac:dyDescent="0.3">
      <c r="A1309" s="45"/>
      <c r="B1309" s="219" t="s">
        <v>1686</v>
      </c>
      <c r="C1309" s="194" t="s">
        <v>2020</v>
      </c>
      <c r="D1309" s="46"/>
      <c r="E1309" s="46" t="s">
        <v>1687</v>
      </c>
      <c r="F1309" s="61" t="s">
        <v>31</v>
      </c>
      <c r="G1309" s="288">
        <v>23.2</v>
      </c>
      <c r="H1309" s="289">
        <v>11</v>
      </c>
      <c r="I1309" s="290">
        <v>60</v>
      </c>
      <c r="J1309" s="48" t="s">
        <v>39</v>
      </c>
      <c r="K1309" s="50"/>
      <c r="L1309" s="53" t="str">
        <f t="shared" si="262"/>
        <v>60grams</v>
      </c>
      <c r="M1309" s="54">
        <f t="shared" si="263"/>
        <v>660</v>
      </c>
      <c r="N1309" s="55" t="str">
        <f t="shared" si="264"/>
        <v>660grams</v>
      </c>
      <c r="O1309" s="56">
        <f t="shared" si="265"/>
        <v>255.2</v>
      </c>
      <c r="P1309" s="12"/>
      <c r="Q1309" s="12"/>
      <c r="R1309" s="12"/>
      <c r="S1309" s="151"/>
      <c r="T1309" s="12"/>
      <c r="U1309" s="12"/>
      <c r="V1309" s="12"/>
      <c r="W1309" s="12"/>
      <c r="X1309" s="12"/>
      <c r="Y1309" s="12"/>
      <c r="Z1309" s="12"/>
    </row>
    <row r="1310" spans="1:26" ht="15.75" customHeight="1" x14ac:dyDescent="0.3">
      <c r="A1310" s="45">
        <v>418</v>
      </c>
      <c r="B1310" s="219" t="s">
        <v>1686</v>
      </c>
      <c r="C1310" s="194" t="s">
        <v>2025</v>
      </c>
      <c r="D1310" s="46"/>
      <c r="E1310" s="46" t="s">
        <v>1688</v>
      </c>
      <c r="F1310" s="61" t="s">
        <v>31</v>
      </c>
      <c r="G1310" s="288">
        <v>24.25</v>
      </c>
      <c r="H1310" s="289">
        <v>60</v>
      </c>
      <c r="I1310" s="290">
        <v>45</v>
      </c>
      <c r="J1310" s="48" t="s">
        <v>39</v>
      </c>
      <c r="K1310" s="50"/>
      <c r="L1310" s="53" t="str">
        <f t="shared" si="262"/>
        <v>45grams</v>
      </c>
      <c r="M1310" s="54">
        <f t="shared" si="263"/>
        <v>2700</v>
      </c>
      <c r="N1310" s="55" t="str">
        <f t="shared" si="264"/>
        <v>2700grams</v>
      </c>
      <c r="O1310" s="56">
        <f t="shared" si="265"/>
        <v>1455</v>
      </c>
      <c r="P1310" s="44">
        <f t="shared" ref="P1310:P1312" si="271">O1310/H1310</f>
        <v>24.25</v>
      </c>
      <c r="Q1310" s="66"/>
      <c r="R1310" s="32"/>
      <c r="S1310" s="32"/>
      <c r="T1310" s="32"/>
      <c r="U1310" s="32"/>
      <c r="V1310" s="32"/>
      <c r="W1310" s="32"/>
      <c r="X1310" s="32"/>
      <c r="Y1310" s="32"/>
      <c r="Z1310" s="32"/>
    </row>
    <row r="1311" spans="1:26" ht="15.75" customHeight="1" x14ac:dyDescent="0.3">
      <c r="A1311" s="45">
        <v>617</v>
      </c>
      <c r="B1311" s="46" t="s">
        <v>1686</v>
      </c>
      <c r="C1311" s="194" t="s">
        <v>2026</v>
      </c>
      <c r="D1311" s="46"/>
      <c r="E1311" s="46" t="s">
        <v>1689</v>
      </c>
      <c r="F1311" s="61" t="s">
        <v>31</v>
      </c>
      <c r="G1311" s="288">
        <v>7.1</v>
      </c>
      <c r="H1311" s="289">
        <v>24</v>
      </c>
      <c r="I1311" s="290">
        <v>1</v>
      </c>
      <c r="J1311" s="48" t="s">
        <v>92</v>
      </c>
      <c r="K1311" s="50"/>
      <c r="L1311" s="53" t="str">
        <f t="shared" si="262"/>
        <v>1pieces</v>
      </c>
      <c r="M1311" s="54">
        <f t="shared" si="263"/>
        <v>24</v>
      </c>
      <c r="N1311" s="55" t="str">
        <f t="shared" si="264"/>
        <v>24pieces</v>
      </c>
      <c r="O1311" s="56">
        <f t="shared" si="265"/>
        <v>170.39999999999998</v>
      </c>
      <c r="P1311" s="44">
        <f t="shared" si="271"/>
        <v>7.0999999999999988</v>
      </c>
      <c r="Q1311" s="66"/>
      <c r="R1311" s="32"/>
      <c r="S1311" s="32"/>
      <c r="T1311" s="32"/>
      <c r="U1311" s="32"/>
      <c r="V1311" s="32"/>
      <c r="W1311" s="32"/>
      <c r="X1311" s="32"/>
      <c r="Y1311" s="32"/>
      <c r="Z1311" s="32"/>
    </row>
    <row r="1312" spans="1:26" ht="15.75" customHeight="1" x14ac:dyDescent="0.3">
      <c r="A1312" s="45">
        <v>618</v>
      </c>
      <c r="B1312" s="46" t="s">
        <v>1686</v>
      </c>
      <c r="C1312" s="194" t="s">
        <v>2026</v>
      </c>
      <c r="D1312" s="46"/>
      <c r="E1312" s="46" t="s">
        <v>1690</v>
      </c>
      <c r="F1312" s="61" t="s">
        <v>31</v>
      </c>
      <c r="G1312" s="288">
        <v>7.2</v>
      </c>
      <c r="H1312" s="289">
        <v>9</v>
      </c>
      <c r="I1312" s="290">
        <v>1</v>
      </c>
      <c r="J1312" s="48" t="s">
        <v>92</v>
      </c>
      <c r="K1312" s="50"/>
      <c r="L1312" s="53" t="str">
        <f t="shared" si="262"/>
        <v>1pieces</v>
      </c>
      <c r="M1312" s="54">
        <f t="shared" si="263"/>
        <v>9</v>
      </c>
      <c r="N1312" s="55" t="str">
        <f t="shared" si="264"/>
        <v>9pieces</v>
      </c>
      <c r="O1312" s="56">
        <f t="shared" si="265"/>
        <v>64.8</v>
      </c>
      <c r="P1312" s="44">
        <f t="shared" si="271"/>
        <v>7.1999999999999993</v>
      </c>
      <c r="Q1312" s="66"/>
      <c r="R1312" s="32" t="b">
        <f>P1312=G1312</f>
        <v>1</v>
      </c>
      <c r="S1312" s="32"/>
      <c r="T1312" s="32"/>
      <c r="U1312" s="32"/>
      <c r="V1312" s="32"/>
      <c r="W1312" s="32"/>
      <c r="X1312" s="32"/>
      <c r="Y1312" s="32"/>
      <c r="Z1312" s="32"/>
    </row>
    <row r="1313" spans="1:26" ht="15.75" customHeight="1" x14ac:dyDescent="0.3">
      <c r="A1313" s="45"/>
      <c r="B1313" s="219" t="s">
        <v>1686</v>
      </c>
      <c r="C1313" s="194" t="s">
        <v>2023</v>
      </c>
      <c r="D1313" s="46"/>
      <c r="E1313" s="219" t="s">
        <v>1691</v>
      </c>
      <c r="F1313" s="61" t="s">
        <v>31</v>
      </c>
      <c r="G1313" s="291">
        <v>18.8</v>
      </c>
      <c r="H1313" s="292">
        <v>10</v>
      </c>
      <c r="I1313" s="293">
        <v>1</v>
      </c>
      <c r="J1313" s="414" t="s">
        <v>304</v>
      </c>
      <c r="K1313" s="50"/>
      <c r="L1313" s="53" t="str">
        <f t="shared" si="262"/>
        <v>1packs</v>
      </c>
      <c r="M1313" s="54">
        <f t="shared" si="263"/>
        <v>10</v>
      </c>
      <c r="N1313" s="55" t="str">
        <f t="shared" si="264"/>
        <v>10packs</v>
      </c>
      <c r="O1313" s="56">
        <f t="shared" si="265"/>
        <v>188</v>
      </c>
      <c r="P1313" s="12"/>
      <c r="Q1313" s="12"/>
      <c r="R1313" s="12"/>
      <c r="S1313" s="151"/>
      <c r="T1313" s="12"/>
      <c r="U1313" s="12"/>
      <c r="V1313" s="12"/>
      <c r="W1313" s="12"/>
      <c r="X1313" s="12"/>
      <c r="Y1313" s="12"/>
      <c r="Z1313" s="12"/>
    </row>
    <row r="1314" spans="1:26" ht="15.75" customHeight="1" x14ac:dyDescent="0.3">
      <c r="A1314" s="45"/>
      <c r="B1314" s="219" t="s">
        <v>1686</v>
      </c>
      <c r="C1314" s="194" t="s">
        <v>2023</v>
      </c>
      <c r="D1314" s="46"/>
      <c r="E1314" s="46" t="s">
        <v>1692</v>
      </c>
      <c r="F1314" s="61" t="s">
        <v>31</v>
      </c>
      <c r="G1314" s="288">
        <v>21.68</v>
      </c>
      <c r="H1314" s="289">
        <v>33</v>
      </c>
      <c r="I1314" s="290">
        <v>18</v>
      </c>
      <c r="J1314" s="48" t="s">
        <v>92</v>
      </c>
      <c r="K1314" s="50"/>
      <c r="L1314" s="53" t="str">
        <f t="shared" si="262"/>
        <v>18pieces</v>
      </c>
      <c r="M1314" s="54">
        <f t="shared" si="263"/>
        <v>594</v>
      </c>
      <c r="N1314" s="55" t="str">
        <f t="shared" si="264"/>
        <v>594pieces</v>
      </c>
      <c r="O1314" s="56">
        <f t="shared" si="265"/>
        <v>715.43999999999994</v>
      </c>
      <c r="P1314" s="12"/>
      <c r="Q1314" s="12"/>
      <c r="R1314" s="12"/>
      <c r="S1314" s="151"/>
      <c r="T1314" s="12"/>
      <c r="U1314" s="12"/>
      <c r="V1314" s="12"/>
      <c r="W1314" s="12"/>
      <c r="X1314" s="12"/>
      <c r="Y1314" s="12"/>
      <c r="Z1314" s="12"/>
    </row>
    <row r="1315" spans="1:26" ht="15.75" customHeight="1" x14ac:dyDescent="0.3">
      <c r="A1315" s="45">
        <v>624</v>
      </c>
      <c r="B1315" s="46" t="s">
        <v>1686</v>
      </c>
      <c r="C1315" s="194" t="s">
        <v>2026</v>
      </c>
      <c r="D1315" s="46"/>
      <c r="E1315" s="46" t="s">
        <v>1693</v>
      </c>
      <c r="F1315" s="61" t="s">
        <v>31</v>
      </c>
      <c r="G1315" s="288">
        <v>19.32</v>
      </c>
      <c r="H1315" s="289">
        <v>30</v>
      </c>
      <c r="I1315" s="290">
        <v>90</v>
      </c>
      <c r="J1315" s="48" t="s">
        <v>39</v>
      </c>
      <c r="K1315" s="50"/>
      <c r="L1315" s="53" t="str">
        <f t="shared" si="262"/>
        <v>90grams</v>
      </c>
      <c r="M1315" s="54">
        <f t="shared" si="263"/>
        <v>2700</v>
      </c>
      <c r="N1315" s="55" t="str">
        <f t="shared" si="264"/>
        <v>2700grams</v>
      </c>
      <c r="O1315" s="56">
        <f t="shared" si="265"/>
        <v>579.6</v>
      </c>
      <c r="P1315" s="44">
        <f t="shared" ref="P1315:P1316" si="272">O1315/H1315</f>
        <v>19.32</v>
      </c>
      <c r="Q1315" s="66"/>
      <c r="R1315" s="32" t="b">
        <f>P1315=G1315</f>
        <v>1</v>
      </c>
      <c r="S1315" s="32"/>
      <c r="T1315" s="32"/>
      <c r="U1315" s="32"/>
      <c r="V1315" s="32"/>
      <c r="W1315" s="32"/>
      <c r="X1315" s="32"/>
      <c r="Y1315" s="32"/>
      <c r="Z1315" s="32"/>
    </row>
    <row r="1316" spans="1:26" ht="15.75" customHeight="1" x14ac:dyDescent="0.3">
      <c r="A1316" s="45">
        <v>408</v>
      </c>
      <c r="B1316" s="46" t="s">
        <v>1686</v>
      </c>
      <c r="C1316" s="194" t="s">
        <v>2025</v>
      </c>
      <c r="D1316" s="46"/>
      <c r="E1316" s="46" t="s">
        <v>1694</v>
      </c>
      <c r="F1316" s="61" t="s">
        <v>31</v>
      </c>
      <c r="G1316" s="288">
        <v>21.12</v>
      </c>
      <c r="H1316" s="289">
        <v>19</v>
      </c>
      <c r="I1316" s="290">
        <v>90</v>
      </c>
      <c r="J1316" s="48" t="s">
        <v>39</v>
      </c>
      <c r="K1316" s="50"/>
      <c r="L1316" s="53" t="str">
        <f t="shared" si="262"/>
        <v>90grams</v>
      </c>
      <c r="M1316" s="54">
        <f t="shared" si="263"/>
        <v>1710</v>
      </c>
      <c r="N1316" s="55" t="str">
        <f t="shared" si="264"/>
        <v>1710grams</v>
      </c>
      <c r="O1316" s="56">
        <f t="shared" si="265"/>
        <v>401.28000000000003</v>
      </c>
      <c r="P1316" s="44">
        <f t="shared" si="272"/>
        <v>21.12</v>
      </c>
      <c r="Q1316" s="66"/>
      <c r="R1316" s="32"/>
      <c r="S1316" s="32"/>
      <c r="T1316" s="32"/>
      <c r="U1316" s="32"/>
      <c r="V1316" s="32"/>
      <c r="W1316" s="32"/>
      <c r="X1316" s="32"/>
      <c r="Y1316" s="32"/>
      <c r="Z1316" s="32"/>
    </row>
    <row r="1317" spans="1:26" ht="15.75" customHeight="1" x14ac:dyDescent="0.3">
      <c r="A1317" s="45"/>
      <c r="B1317" s="46" t="s">
        <v>1686</v>
      </c>
      <c r="C1317" s="194" t="s">
        <v>2023</v>
      </c>
      <c r="D1317" s="46"/>
      <c r="E1317" s="46" t="s">
        <v>1694</v>
      </c>
      <c r="F1317" s="61" t="s">
        <v>31</v>
      </c>
      <c r="G1317" s="311">
        <v>19.899999999999999</v>
      </c>
      <c r="H1317" s="289">
        <v>20</v>
      </c>
      <c r="I1317" s="290">
        <v>90</v>
      </c>
      <c r="J1317" s="48" t="s">
        <v>39</v>
      </c>
      <c r="K1317" s="50"/>
      <c r="L1317" s="53" t="str">
        <f t="shared" si="262"/>
        <v>90grams</v>
      </c>
      <c r="M1317" s="54">
        <f t="shared" si="263"/>
        <v>1800</v>
      </c>
      <c r="N1317" s="55" t="str">
        <f t="shared" si="264"/>
        <v>1800grams</v>
      </c>
      <c r="O1317" s="56">
        <f t="shared" si="265"/>
        <v>398</v>
      </c>
      <c r="P1317" s="12"/>
      <c r="Q1317" s="12"/>
      <c r="R1317" s="12"/>
      <c r="S1317" s="151"/>
      <c r="T1317" s="12"/>
      <c r="U1317" s="12"/>
      <c r="V1317" s="12"/>
      <c r="W1317" s="12"/>
      <c r="X1317" s="12"/>
      <c r="Y1317" s="12"/>
      <c r="Z1317" s="12"/>
    </row>
    <row r="1318" spans="1:26" ht="15.75" customHeight="1" x14ac:dyDescent="0.3">
      <c r="A1318" s="45">
        <v>412</v>
      </c>
      <c r="B1318" s="46" t="s">
        <v>1686</v>
      </c>
      <c r="C1318" s="194" t="s">
        <v>2025</v>
      </c>
      <c r="D1318" s="46"/>
      <c r="E1318" s="46" t="s">
        <v>1695</v>
      </c>
      <c r="F1318" s="61" t="s">
        <v>31</v>
      </c>
      <c r="G1318" s="288">
        <v>22.45</v>
      </c>
      <c r="H1318" s="289">
        <v>24</v>
      </c>
      <c r="I1318" s="290">
        <v>105</v>
      </c>
      <c r="J1318" s="48" t="s">
        <v>39</v>
      </c>
      <c r="K1318" s="50"/>
      <c r="L1318" s="53" t="str">
        <f t="shared" si="262"/>
        <v>105grams</v>
      </c>
      <c r="M1318" s="54">
        <f t="shared" si="263"/>
        <v>2520</v>
      </c>
      <c r="N1318" s="55" t="str">
        <f t="shared" si="264"/>
        <v>2520grams</v>
      </c>
      <c r="O1318" s="56">
        <f t="shared" si="265"/>
        <v>538.79999999999995</v>
      </c>
      <c r="P1318" s="44">
        <f t="shared" ref="P1318:P1319" si="273">O1318/H1318</f>
        <v>22.45</v>
      </c>
      <c r="Q1318" s="66"/>
      <c r="R1318" s="32"/>
      <c r="S1318" s="32"/>
      <c r="T1318" s="32"/>
      <c r="U1318" s="32"/>
      <c r="V1318" s="32"/>
      <c r="W1318" s="32"/>
      <c r="X1318" s="32"/>
      <c r="Y1318" s="32"/>
      <c r="Z1318" s="32"/>
    </row>
    <row r="1319" spans="1:26" ht="15.75" customHeight="1" x14ac:dyDescent="0.3">
      <c r="A1319" s="45">
        <v>625</v>
      </c>
      <c r="B1319" s="46" t="s">
        <v>1686</v>
      </c>
      <c r="C1319" s="194" t="s">
        <v>2026</v>
      </c>
      <c r="D1319" s="46"/>
      <c r="E1319" s="46" t="s">
        <v>1696</v>
      </c>
      <c r="F1319" s="61" t="s">
        <v>31</v>
      </c>
      <c r="G1319" s="288">
        <v>16.7</v>
      </c>
      <c r="H1319" s="289">
        <v>9</v>
      </c>
      <c r="I1319" s="290">
        <v>60</v>
      </c>
      <c r="J1319" s="48" t="s">
        <v>92</v>
      </c>
      <c r="K1319" s="50"/>
      <c r="L1319" s="53" t="str">
        <f t="shared" si="262"/>
        <v>60pieces</v>
      </c>
      <c r="M1319" s="54">
        <f t="shared" si="263"/>
        <v>540</v>
      </c>
      <c r="N1319" s="55" t="str">
        <f t="shared" si="264"/>
        <v>540pieces</v>
      </c>
      <c r="O1319" s="56">
        <f t="shared" si="265"/>
        <v>150.29999999999998</v>
      </c>
      <c r="P1319" s="44">
        <f t="shared" si="273"/>
        <v>16.7</v>
      </c>
      <c r="Q1319" s="66"/>
      <c r="R1319" s="32" t="b">
        <f>P1319=G1319</f>
        <v>1</v>
      </c>
      <c r="S1319" s="32"/>
      <c r="T1319" s="32"/>
      <c r="U1319" s="32"/>
      <c r="V1319" s="32"/>
      <c r="W1319" s="32"/>
      <c r="X1319" s="32"/>
      <c r="Y1319" s="32"/>
      <c r="Z1319" s="32"/>
    </row>
    <row r="1320" spans="1:26" ht="15.75" customHeight="1" x14ac:dyDescent="0.3">
      <c r="A1320" s="45"/>
      <c r="B1320" s="46" t="s">
        <v>1686</v>
      </c>
      <c r="C1320" s="194" t="s">
        <v>2023</v>
      </c>
      <c r="D1320" s="46"/>
      <c r="E1320" s="46" t="s">
        <v>1697</v>
      </c>
      <c r="F1320" s="61" t="s">
        <v>31</v>
      </c>
      <c r="G1320" s="288">
        <v>15</v>
      </c>
      <c r="H1320" s="289">
        <v>58</v>
      </c>
      <c r="I1320" s="290">
        <v>23</v>
      </c>
      <c r="J1320" s="48" t="s">
        <v>39</v>
      </c>
      <c r="K1320" s="50"/>
      <c r="L1320" s="53" t="str">
        <f t="shared" si="262"/>
        <v>23grams</v>
      </c>
      <c r="M1320" s="54">
        <f t="shared" si="263"/>
        <v>1334</v>
      </c>
      <c r="N1320" s="55" t="str">
        <f t="shared" si="264"/>
        <v>1334grams</v>
      </c>
      <c r="O1320" s="56">
        <f t="shared" si="265"/>
        <v>870</v>
      </c>
      <c r="P1320" s="12"/>
      <c r="Q1320" s="12"/>
      <c r="R1320" s="12"/>
      <c r="S1320" s="151"/>
      <c r="T1320" s="12"/>
      <c r="U1320" s="12"/>
      <c r="V1320" s="12"/>
      <c r="W1320" s="12"/>
      <c r="X1320" s="12"/>
      <c r="Y1320" s="12"/>
      <c r="Z1320" s="12"/>
    </row>
    <row r="1321" spans="1:26" ht="15.75" customHeight="1" x14ac:dyDescent="0.3">
      <c r="A1321" s="45">
        <v>419</v>
      </c>
      <c r="B1321" s="46" t="s">
        <v>1686</v>
      </c>
      <c r="C1321" s="194" t="s">
        <v>2025</v>
      </c>
      <c r="D1321" s="46"/>
      <c r="E1321" s="46" t="s">
        <v>1698</v>
      </c>
      <c r="F1321" s="61" t="s">
        <v>31</v>
      </c>
      <c r="G1321" s="288">
        <v>16.95</v>
      </c>
      <c r="H1321" s="289">
        <v>47</v>
      </c>
      <c r="I1321" s="290">
        <v>110</v>
      </c>
      <c r="J1321" s="48" t="s">
        <v>39</v>
      </c>
      <c r="K1321" s="50" t="s">
        <v>2019</v>
      </c>
      <c r="L1321" s="53" t="str">
        <f t="shared" si="262"/>
        <v>110grams</v>
      </c>
      <c r="M1321" s="54">
        <f t="shared" si="263"/>
        <v>5170</v>
      </c>
      <c r="N1321" s="55" t="str">
        <f t="shared" si="264"/>
        <v>5170grams</v>
      </c>
      <c r="O1321" s="56">
        <f t="shared" si="265"/>
        <v>796.65</v>
      </c>
      <c r="P1321" s="44">
        <f t="shared" ref="P1321:P1326" si="274">O1321/H1321</f>
        <v>16.95</v>
      </c>
      <c r="Q1321" s="66">
        <f>G1321-P1321</f>
        <v>0</v>
      </c>
      <c r="R1321" s="32" t="b">
        <f>P1321=G1321</f>
        <v>1</v>
      </c>
      <c r="S1321" s="32"/>
      <c r="T1321" s="32"/>
      <c r="U1321" s="32"/>
      <c r="V1321" s="32"/>
      <c r="W1321" s="32"/>
      <c r="X1321" s="32"/>
      <c r="Y1321" s="32"/>
      <c r="Z1321" s="32"/>
    </row>
    <row r="1322" spans="1:26" ht="15.75" customHeight="1" x14ac:dyDescent="0.3">
      <c r="A1322" s="45">
        <v>789</v>
      </c>
      <c r="B1322" s="46" t="s">
        <v>1686</v>
      </c>
      <c r="C1322" s="194" t="s">
        <v>1368</v>
      </c>
      <c r="D1322" s="46"/>
      <c r="E1322" s="46" t="s">
        <v>1699</v>
      </c>
      <c r="F1322" s="61" t="s">
        <v>31</v>
      </c>
      <c r="G1322" s="288">
        <v>23.5</v>
      </c>
      <c r="H1322" s="289">
        <v>19</v>
      </c>
      <c r="I1322" s="290">
        <v>100</v>
      </c>
      <c r="J1322" s="48" t="s">
        <v>39</v>
      </c>
      <c r="K1322" s="50"/>
      <c r="L1322" s="53" t="str">
        <f t="shared" si="262"/>
        <v>100grams</v>
      </c>
      <c r="M1322" s="54">
        <f t="shared" si="263"/>
        <v>1900</v>
      </c>
      <c r="N1322" s="55" t="str">
        <f t="shared" si="264"/>
        <v>1900grams</v>
      </c>
      <c r="O1322" s="56">
        <f t="shared" si="265"/>
        <v>446.5</v>
      </c>
      <c r="P1322" s="44">
        <f t="shared" si="274"/>
        <v>23.5</v>
      </c>
      <c r="Q1322" s="66"/>
      <c r="R1322" s="32"/>
      <c r="S1322" s="32"/>
      <c r="T1322" s="32"/>
      <c r="U1322" s="32"/>
      <c r="V1322" s="32"/>
      <c r="W1322" s="32"/>
      <c r="X1322" s="32"/>
      <c r="Y1322" s="32"/>
      <c r="Z1322" s="32"/>
    </row>
    <row r="1323" spans="1:26" ht="15.75" customHeight="1" x14ac:dyDescent="0.3">
      <c r="A1323" s="45">
        <v>626</v>
      </c>
      <c r="B1323" s="46" t="s">
        <v>1686</v>
      </c>
      <c r="C1323" s="194" t="s">
        <v>2026</v>
      </c>
      <c r="D1323" s="46"/>
      <c r="E1323" s="46" t="s">
        <v>1699</v>
      </c>
      <c r="F1323" s="61" t="s">
        <v>31</v>
      </c>
      <c r="G1323" s="288">
        <v>21.66</v>
      </c>
      <c r="H1323" s="289">
        <v>50</v>
      </c>
      <c r="I1323" s="290">
        <v>98</v>
      </c>
      <c r="J1323" s="48" t="s">
        <v>39</v>
      </c>
      <c r="K1323" s="50"/>
      <c r="L1323" s="53" t="str">
        <f t="shared" si="262"/>
        <v>98grams</v>
      </c>
      <c r="M1323" s="54">
        <f t="shared" si="263"/>
        <v>4900</v>
      </c>
      <c r="N1323" s="55" t="str">
        <f t="shared" si="264"/>
        <v>4900grams</v>
      </c>
      <c r="O1323" s="56">
        <f t="shared" si="265"/>
        <v>1083</v>
      </c>
      <c r="P1323" s="44">
        <f t="shared" si="274"/>
        <v>21.66</v>
      </c>
      <c r="Q1323" s="66"/>
      <c r="R1323" s="32"/>
      <c r="S1323" s="32"/>
      <c r="T1323" s="32"/>
      <c r="U1323" s="32"/>
      <c r="V1323" s="32"/>
      <c r="W1323" s="32"/>
      <c r="X1323" s="32"/>
      <c r="Y1323" s="32"/>
      <c r="Z1323" s="32"/>
    </row>
    <row r="1324" spans="1:26" ht="15.75" customHeight="1" x14ac:dyDescent="0.3">
      <c r="A1324" s="45">
        <v>792</v>
      </c>
      <c r="B1324" s="46" t="s">
        <v>1686</v>
      </c>
      <c r="C1324" s="194" t="s">
        <v>1368</v>
      </c>
      <c r="D1324" s="46"/>
      <c r="E1324" s="46" t="s">
        <v>1700</v>
      </c>
      <c r="F1324" s="61" t="s">
        <v>31</v>
      </c>
      <c r="G1324" s="288">
        <v>35.15</v>
      </c>
      <c r="H1324" s="289">
        <v>17</v>
      </c>
      <c r="I1324" s="290">
        <v>78</v>
      </c>
      <c r="J1324" s="48" t="s">
        <v>39</v>
      </c>
      <c r="K1324" s="50"/>
      <c r="L1324" s="53" t="str">
        <f t="shared" si="262"/>
        <v>78grams</v>
      </c>
      <c r="M1324" s="54">
        <f t="shared" si="263"/>
        <v>1326</v>
      </c>
      <c r="N1324" s="55" t="str">
        <f t="shared" si="264"/>
        <v>1326grams</v>
      </c>
      <c r="O1324" s="56">
        <f t="shared" si="265"/>
        <v>597.54999999999995</v>
      </c>
      <c r="P1324" s="44">
        <f t="shared" si="274"/>
        <v>35.15</v>
      </c>
      <c r="Q1324" s="66"/>
      <c r="R1324" s="32" t="b">
        <f>P1324=G1324</f>
        <v>1</v>
      </c>
      <c r="S1324" s="32"/>
      <c r="T1324" s="32"/>
      <c r="U1324" s="32"/>
      <c r="V1324" s="32"/>
      <c r="W1324" s="32"/>
      <c r="X1324" s="32"/>
      <c r="Y1324" s="32"/>
      <c r="Z1324" s="32"/>
    </row>
    <row r="1325" spans="1:26" ht="15.75" customHeight="1" x14ac:dyDescent="0.3">
      <c r="A1325" s="45">
        <v>627</v>
      </c>
      <c r="B1325" s="46" t="s">
        <v>1686</v>
      </c>
      <c r="C1325" s="194" t="s">
        <v>2026</v>
      </c>
      <c r="D1325" s="46"/>
      <c r="E1325" s="46" t="s">
        <v>1701</v>
      </c>
      <c r="F1325" s="61" t="s">
        <v>31</v>
      </c>
      <c r="G1325" s="288">
        <v>33.5</v>
      </c>
      <c r="H1325" s="289">
        <v>100</v>
      </c>
      <c r="I1325" s="290">
        <v>78</v>
      </c>
      <c r="J1325" s="48" t="s">
        <v>39</v>
      </c>
      <c r="K1325" s="50"/>
      <c r="L1325" s="53" t="str">
        <f t="shared" si="262"/>
        <v>78grams</v>
      </c>
      <c r="M1325" s="54">
        <f t="shared" si="263"/>
        <v>7800</v>
      </c>
      <c r="N1325" s="55" t="str">
        <f t="shared" si="264"/>
        <v>7800grams</v>
      </c>
      <c r="O1325" s="56">
        <f t="shared" si="265"/>
        <v>3350</v>
      </c>
      <c r="P1325" s="44">
        <f t="shared" si="274"/>
        <v>33.5</v>
      </c>
      <c r="Q1325" s="66"/>
      <c r="R1325" s="32"/>
      <c r="S1325" s="32"/>
      <c r="T1325" s="32"/>
      <c r="U1325" s="32"/>
      <c r="V1325" s="32"/>
      <c r="W1325" s="32"/>
      <c r="X1325" s="32"/>
      <c r="Y1325" s="32"/>
      <c r="Z1325" s="32"/>
    </row>
    <row r="1326" spans="1:26" ht="15.75" customHeight="1" x14ac:dyDescent="0.3">
      <c r="A1326" s="45"/>
      <c r="B1326" s="46" t="s">
        <v>1686</v>
      </c>
      <c r="C1326" s="194" t="s">
        <v>2023</v>
      </c>
      <c r="D1326" s="46"/>
      <c r="E1326" s="46" t="s">
        <v>1701</v>
      </c>
      <c r="F1326" s="61" t="s">
        <v>31</v>
      </c>
      <c r="G1326" s="288">
        <v>33.5</v>
      </c>
      <c r="H1326" s="289">
        <v>150</v>
      </c>
      <c r="I1326" s="290">
        <v>78</v>
      </c>
      <c r="J1326" s="48" t="s">
        <v>39</v>
      </c>
      <c r="K1326" s="50"/>
      <c r="L1326" s="53" t="str">
        <f t="shared" si="262"/>
        <v>78grams</v>
      </c>
      <c r="M1326" s="54">
        <f t="shared" si="263"/>
        <v>11700</v>
      </c>
      <c r="N1326" s="55" t="str">
        <f t="shared" si="264"/>
        <v>11700grams</v>
      </c>
      <c r="O1326" s="56">
        <f t="shared" si="265"/>
        <v>5025</v>
      </c>
      <c r="P1326" s="44">
        <f t="shared" si="274"/>
        <v>33.5</v>
      </c>
      <c r="Q1326" s="12"/>
      <c r="R1326" s="12"/>
      <c r="S1326" s="151"/>
      <c r="T1326" s="12"/>
      <c r="U1326" s="12"/>
      <c r="V1326" s="12"/>
      <c r="W1326" s="12"/>
      <c r="X1326" s="12"/>
      <c r="Y1326" s="12"/>
      <c r="Z1326" s="12"/>
    </row>
    <row r="1327" spans="1:26" ht="15.75" customHeight="1" x14ac:dyDescent="0.3">
      <c r="A1327" s="45"/>
      <c r="B1327" s="46" t="s">
        <v>1686</v>
      </c>
      <c r="C1327" s="194" t="s">
        <v>2023</v>
      </c>
      <c r="D1327" s="46"/>
      <c r="E1327" s="46" t="s">
        <v>1702</v>
      </c>
      <c r="F1327" s="61" t="s">
        <v>31</v>
      </c>
      <c r="G1327" s="288">
        <v>34.9</v>
      </c>
      <c r="H1327" s="289">
        <v>25</v>
      </c>
      <c r="I1327" s="290">
        <v>100</v>
      </c>
      <c r="J1327" s="48" t="s">
        <v>39</v>
      </c>
      <c r="K1327" s="50"/>
      <c r="L1327" s="53" t="str">
        <f t="shared" si="262"/>
        <v>100grams</v>
      </c>
      <c r="M1327" s="54">
        <f t="shared" si="263"/>
        <v>2500</v>
      </c>
      <c r="N1327" s="55" t="str">
        <f t="shared" si="264"/>
        <v>2500grams</v>
      </c>
      <c r="O1327" s="56">
        <f t="shared" si="265"/>
        <v>872.5</v>
      </c>
      <c r="P1327" s="12"/>
      <c r="Q1327" s="12"/>
      <c r="R1327" s="12"/>
      <c r="S1327" s="151"/>
      <c r="T1327" s="12"/>
      <c r="U1327" s="12"/>
      <c r="V1327" s="12"/>
      <c r="W1327" s="12"/>
      <c r="X1327" s="12"/>
      <c r="Y1327" s="12"/>
      <c r="Z1327" s="12"/>
    </row>
    <row r="1328" spans="1:26" ht="15.75" customHeight="1" x14ac:dyDescent="0.3">
      <c r="A1328" s="45">
        <v>628</v>
      </c>
      <c r="B1328" s="46" t="s">
        <v>1686</v>
      </c>
      <c r="C1328" s="194" t="s">
        <v>2026</v>
      </c>
      <c r="D1328" s="46"/>
      <c r="E1328" s="46" t="s">
        <v>1703</v>
      </c>
      <c r="F1328" s="61" t="s">
        <v>31</v>
      </c>
      <c r="G1328" s="288">
        <v>22.38</v>
      </c>
      <c r="H1328" s="289">
        <v>30</v>
      </c>
      <c r="I1328" s="290">
        <v>75</v>
      </c>
      <c r="J1328" s="48" t="s">
        <v>39</v>
      </c>
      <c r="K1328" s="50" t="s">
        <v>2019</v>
      </c>
      <c r="L1328" s="53" t="str">
        <f t="shared" si="262"/>
        <v>75grams</v>
      </c>
      <c r="M1328" s="54">
        <f t="shared" si="263"/>
        <v>2250</v>
      </c>
      <c r="N1328" s="55" t="str">
        <f t="shared" si="264"/>
        <v>2250grams</v>
      </c>
      <c r="O1328" s="56">
        <f t="shared" si="265"/>
        <v>671.4</v>
      </c>
      <c r="P1328" s="44">
        <f t="shared" ref="P1328:P1329" si="275">O1328/H1328</f>
        <v>22.38</v>
      </c>
      <c r="Q1328" s="66">
        <f>G1328-P1328</f>
        <v>0</v>
      </c>
      <c r="R1328" s="32" t="b">
        <f t="shared" ref="R1328:R1329" si="276">P1328=G1328</f>
        <v>1</v>
      </c>
      <c r="S1328" s="32"/>
      <c r="T1328" s="32"/>
      <c r="U1328" s="32"/>
      <c r="V1328" s="32"/>
      <c r="W1328" s="32"/>
      <c r="X1328" s="32"/>
      <c r="Y1328" s="32"/>
      <c r="Z1328" s="32"/>
    </row>
    <row r="1329" spans="1:26" ht="15.75" customHeight="1" x14ac:dyDescent="0.3">
      <c r="A1329" s="45">
        <v>629</v>
      </c>
      <c r="B1329" s="46" t="s">
        <v>1686</v>
      </c>
      <c r="C1329" s="194" t="s">
        <v>2026</v>
      </c>
      <c r="D1329" s="46"/>
      <c r="E1329" s="46" t="s">
        <v>1704</v>
      </c>
      <c r="F1329" s="61" t="s">
        <v>31</v>
      </c>
      <c r="G1329" s="288">
        <v>12.54</v>
      </c>
      <c r="H1329" s="289">
        <v>18</v>
      </c>
      <c r="I1329" s="290">
        <v>56</v>
      </c>
      <c r="J1329" s="48" t="s">
        <v>39</v>
      </c>
      <c r="K1329" s="50"/>
      <c r="L1329" s="53" t="str">
        <f t="shared" si="262"/>
        <v>56grams</v>
      </c>
      <c r="M1329" s="54">
        <f t="shared" si="263"/>
        <v>1008</v>
      </c>
      <c r="N1329" s="55" t="str">
        <f t="shared" si="264"/>
        <v>1008grams</v>
      </c>
      <c r="O1329" s="56">
        <f t="shared" si="265"/>
        <v>225.71999999999997</v>
      </c>
      <c r="P1329" s="44">
        <f t="shared" si="275"/>
        <v>12.54</v>
      </c>
      <c r="Q1329" s="66"/>
      <c r="R1329" s="32" t="b">
        <f t="shared" si="276"/>
        <v>1</v>
      </c>
      <c r="S1329" s="32"/>
      <c r="T1329" s="32"/>
      <c r="U1329" s="32"/>
      <c r="V1329" s="32"/>
      <c r="W1329" s="32"/>
      <c r="X1329" s="32"/>
      <c r="Y1329" s="32"/>
      <c r="Z1329" s="32"/>
    </row>
    <row r="1330" spans="1:26" ht="15.75" customHeight="1" x14ac:dyDescent="0.3">
      <c r="A1330" s="45"/>
      <c r="B1330" s="219" t="s">
        <v>1686</v>
      </c>
      <c r="C1330" s="194" t="s">
        <v>2020</v>
      </c>
      <c r="D1330" s="46"/>
      <c r="E1330" s="46" t="s">
        <v>1705</v>
      </c>
      <c r="F1330" s="61" t="s">
        <v>31</v>
      </c>
      <c r="G1330" s="288">
        <v>23.1</v>
      </c>
      <c r="H1330" s="289">
        <v>2</v>
      </c>
      <c r="I1330" s="290">
        <v>85</v>
      </c>
      <c r="J1330" s="48" t="s">
        <v>39</v>
      </c>
      <c r="K1330" s="50"/>
      <c r="L1330" s="53" t="str">
        <f t="shared" si="262"/>
        <v>85grams</v>
      </c>
      <c r="M1330" s="54">
        <f t="shared" si="263"/>
        <v>170</v>
      </c>
      <c r="N1330" s="55" t="str">
        <f t="shared" si="264"/>
        <v>170grams</v>
      </c>
      <c r="O1330" s="56">
        <f t="shared" si="265"/>
        <v>46.2</v>
      </c>
      <c r="P1330" s="12"/>
      <c r="Q1330" s="12"/>
      <c r="R1330" s="12"/>
      <c r="S1330" s="151"/>
      <c r="T1330" s="12"/>
      <c r="U1330" s="12"/>
      <c r="V1330" s="12"/>
      <c r="W1330" s="12"/>
      <c r="X1330" s="12"/>
      <c r="Y1330" s="12"/>
      <c r="Z1330" s="12"/>
    </row>
    <row r="1331" spans="1:26" ht="15.75" customHeight="1" x14ac:dyDescent="0.3">
      <c r="A1331" s="45">
        <v>411</v>
      </c>
      <c r="B1331" s="219" t="s">
        <v>1686</v>
      </c>
      <c r="C1331" s="194" t="s">
        <v>2025</v>
      </c>
      <c r="D1331" s="46"/>
      <c r="E1331" s="46" t="s">
        <v>1705</v>
      </c>
      <c r="F1331" s="61" t="s">
        <v>31</v>
      </c>
      <c r="G1331" s="288">
        <v>22.45</v>
      </c>
      <c r="H1331" s="289">
        <v>1</v>
      </c>
      <c r="I1331" s="290">
        <v>85</v>
      </c>
      <c r="J1331" s="48" t="s">
        <v>39</v>
      </c>
      <c r="K1331" s="50"/>
      <c r="L1331" s="53" t="str">
        <f t="shared" si="262"/>
        <v>85grams</v>
      </c>
      <c r="M1331" s="54">
        <f t="shared" si="263"/>
        <v>85</v>
      </c>
      <c r="N1331" s="55" t="str">
        <f t="shared" si="264"/>
        <v>85grams</v>
      </c>
      <c r="O1331" s="56">
        <f t="shared" si="265"/>
        <v>22.45</v>
      </c>
      <c r="P1331" s="44">
        <f t="shared" ref="P1331:P1337" si="277">O1331/H1331</f>
        <v>22.45</v>
      </c>
      <c r="Q1331" s="66"/>
      <c r="R1331" s="32"/>
      <c r="S1331" s="32"/>
      <c r="T1331" s="32"/>
      <c r="U1331" s="32"/>
      <c r="V1331" s="32"/>
      <c r="W1331" s="32"/>
      <c r="X1331" s="32"/>
      <c r="Y1331" s="32"/>
      <c r="Z1331" s="32"/>
    </row>
    <row r="1332" spans="1:26" ht="15.75" customHeight="1" x14ac:dyDescent="0.3">
      <c r="A1332" s="45">
        <v>88</v>
      </c>
      <c r="B1332" s="46" t="s">
        <v>1686</v>
      </c>
      <c r="C1332" s="194" t="s">
        <v>2025</v>
      </c>
      <c r="D1332" s="46"/>
      <c r="E1332" s="46" t="s">
        <v>1706</v>
      </c>
      <c r="F1332" s="61" t="s">
        <v>31</v>
      </c>
      <c r="G1332" s="288">
        <v>85</v>
      </c>
      <c r="H1332" s="289">
        <v>15</v>
      </c>
      <c r="I1332" s="290">
        <v>350</v>
      </c>
      <c r="J1332" s="48" t="s">
        <v>32</v>
      </c>
      <c r="K1332" s="50"/>
      <c r="L1332" s="53" t="str">
        <f t="shared" si="262"/>
        <v>350ml</v>
      </c>
      <c r="M1332" s="54">
        <f t="shared" si="263"/>
        <v>5250</v>
      </c>
      <c r="N1332" s="55" t="str">
        <f t="shared" si="264"/>
        <v>5250ml</v>
      </c>
      <c r="O1332" s="56">
        <f t="shared" si="265"/>
        <v>1275</v>
      </c>
      <c r="P1332" s="44">
        <f t="shared" si="277"/>
        <v>85</v>
      </c>
      <c r="Q1332" s="66"/>
      <c r="R1332" s="32"/>
      <c r="S1332" s="32"/>
      <c r="T1332" s="32"/>
      <c r="U1332" s="32"/>
      <c r="V1332" s="32"/>
      <c r="W1332" s="32"/>
      <c r="X1332" s="32"/>
      <c r="Y1332" s="32"/>
      <c r="Z1332" s="32"/>
    </row>
    <row r="1333" spans="1:26" ht="15.75" customHeight="1" x14ac:dyDescent="0.3">
      <c r="A1333" s="45">
        <v>396</v>
      </c>
      <c r="B1333" s="46" t="s">
        <v>1686</v>
      </c>
      <c r="C1333" s="194" t="s">
        <v>2025</v>
      </c>
      <c r="D1333" s="46"/>
      <c r="E1333" s="46" t="s">
        <v>1706</v>
      </c>
      <c r="F1333" s="61" t="s">
        <v>31</v>
      </c>
      <c r="G1333" s="288">
        <v>120</v>
      </c>
      <c r="H1333" s="289">
        <v>7</v>
      </c>
      <c r="I1333" s="290">
        <v>750</v>
      </c>
      <c r="J1333" s="48" t="s">
        <v>32</v>
      </c>
      <c r="K1333" s="50"/>
      <c r="L1333" s="53" t="str">
        <f t="shared" si="262"/>
        <v>750ml</v>
      </c>
      <c r="M1333" s="54">
        <f t="shared" si="263"/>
        <v>5250</v>
      </c>
      <c r="N1333" s="55" t="str">
        <f t="shared" si="264"/>
        <v>5250ml</v>
      </c>
      <c r="O1333" s="56">
        <f t="shared" si="265"/>
        <v>840</v>
      </c>
      <c r="P1333" s="44">
        <f t="shared" si="277"/>
        <v>120</v>
      </c>
      <c r="Q1333" s="66"/>
      <c r="R1333" s="32"/>
      <c r="S1333" s="32"/>
      <c r="T1333" s="32"/>
      <c r="U1333" s="32"/>
      <c r="V1333" s="32"/>
      <c r="W1333" s="32"/>
      <c r="X1333" s="32"/>
      <c r="Y1333" s="32"/>
      <c r="Z1333" s="32"/>
    </row>
    <row r="1334" spans="1:26" ht="15.75" customHeight="1" x14ac:dyDescent="0.3">
      <c r="A1334" s="45">
        <v>788</v>
      </c>
      <c r="B1334" s="46" t="s">
        <v>1686</v>
      </c>
      <c r="C1334" s="194" t="s">
        <v>1368</v>
      </c>
      <c r="D1334" s="46"/>
      <c r="E1334" s="46" t="s">
        <v>1707</v>
      </c>
      <c r="F1334" s="61" t="s">
        <v>31</v>
      </c>
      <c r="G1334" s="288">
        <v>34.200000000000003</v>
      </c>
      <c r="H1334" s="289">
        <v>20</v>
      </c>
      <c r="I1334" s="290">
        <v>85</v>
      </c>
      <c r="J1334" s="48" t="s">
        <v>39</v>
      </c>
      <c r="K1334" s="50"/>
      <c r="L1334" s="53" t="str">
        <f t="shared" si="262"/>
        <v>85grams</v>
      </c>
      <c r="M1334" s="54">
        <f t="shared" si="263"/>
        <v>1700</v>
      </c>
      <c r="N1334" s="55" t="str">
        <f t="shared" si="264"/>
        <v>1700grams</v>
      </c>
      <c r="O1334" s="56">
        <f t="shared" si="265"/>
        <v>684</v>
      </c>
      <c r="P1334" s="44">
        <f t="shared" si="277"/>
        <v>34.200000000000003</v>
      </c>
      <c r="Q1334" s="66"/>
      <c r="R1334" s="32"/>
      <c r="S1334" s="32"/>
      <c r="T1334" s="32"/>
      <c r="U1334" s="32"/>
      <c r="V1334" s="32"/>
      <c r="W1334" s="32"/>
      <c r="X1334" s="32"/>
      <c r="Y1334" s="32"/>
      <c r="Z1334" s="32"/>
    </row>
    <row r="1335" spans="1:26" ht="15.75" customHeight="1" x14ac:dyDescent="0.3">
      <c r="A1335" s="45">
        <v>417</v>
      </c>
      <c r="B1335" s="46" t="s">
        <v>1686</v>
      </c>
      <c r="C1335" s="194" t="s">
        <v>2025</v>
      </c>
      <c r="D1335" s="46"/>
      <c r="E1335" s="46" t="s">
        <v>1708</v>
      </c>
      <c r="F1335" s="61" t="s">
        <v>31</v>
      </c>
      <c r="G1335" s="288">
        <v>56.45</v>
      </c>
      <c r="H1335" s="289">
        <v>18</v>
      </c>
      <c r="I1335" s="290">
        <v>180</v>
      </c>
      <c r="J1335" s="48" t="s">
        <v>39</v>
      </c>
      <c r="K1335" s="50"/>
      <c r="L1335" s="53" t="str">
        <f t="shared" si="262"/>
        <v>180grams</v>
      </c>
      <c r="M1335" s="54">
        <f t="shared" si="263"/>
        <v>3240</v>
      </c>
      <c r="N1335" s="55" t="str">
        <f t="shared" si="264"/>
        <v>3240grams</v>
      </c>
      <c r="O1335" s="56">
        <f t="shared" si="265"/>
        <v>1016.1</v>
      </c>
      <c r="P1335" s="44">
        <f t="shared" si="277"/>
        <v>56.45</v>
      </c>
      <c r="Q1335" s="66"/>
      <c r="R1335" s="32"/>
      <c r="S1335" s="32"/>
      <c r="T1335" s="32"/>
      <c r="U1335" s="32"/>
      <c r="V1335" s="32"/>
      <c r="W1335" s="32"/>
      <c r="X1335" s="32"/>
      <c r="Y1335" s="32"/>
      <c r="Z1335" s="32"/>
    </row>
    <row r="1336" spans="1:26" ht="15.75" customHeight="1" x14ac:dyDescent="0.3">
      <c r="A1336" s="45">
        <v>631</v>
      </c>
      <c r="B1336" s="46" t="s">
        <v>1686</v>
      </c>
      <c r="C1336" s="194" t="s">
        <v>2026</v>
      </c>
      <c r="D1336" s="46"/>
      <c r="E1336" s="46" t="s">
        <v>1709</v>
      </c>
      <c r="F1336" s="61" t="s">
        <v>31</v>
      </c>
      <c r="G1336" s="288">
        <v>40.1</v>
      </c>
      <c r="H1336" s="289">
        <v>3</v>
      </c>
      <c r="I1336" s="290">
        <v>150</v>
      </c>
      <c r="J1336" s="48" t="s">
        <v>39</v>
      </c>
      <c r="K1336" s="50"/>
      <c r="L1336" s="53" t="str">
        <f t="shared" si="262"/>
        <v>150grams</v>
      </c>
      <c r="M1336" s="54">
        <f t="shared" si="263"/>
        <v>450</v>
      </c>
      <c r="N1336" s="55" t="str">
        <f t="shared" si="264"/>
        <v>450grams</v>
      </c>
      <c r="O1336" s="56">
        <f t="shared" si="265"/>
        <v>120.30000000000001</v>
      </c>
      <c r="P1336" s="44">
        <f t="shared" si="277"/>
        <v>40.1</v>
      </c>
      <c r="Q1336" s="66"/>
      <c r="R1336" s="32"/>
      <c r="S1336" s="32"/>
      <c r="T1336" s="32"/>
      <c r="U1336" s="32"/>
      <c r="V1336" s="32"/>
      <c r="W1336" s="32"/>
      <c r="X1336" s="32"/>
      <c r="Y1336" s="32"/>
      <c r="Z1336" s="32"/>
    </row>
    <row r="1337" spans="1:26" ht="15.75" customHeight="1" x14ac:dyDescent="0.3">
      <c r="A1337" s="45">
        <v>632</v>
      </c>
      <c r="B1337" s="46" t="s">
        <v>1686</v>
      </c>
      <c r="C1337" s="194" t="s">
        <v>2026</v>
      </c>
      <c r="D1337" s="46"/>
      <c r="E1337" s="46" t="s">
        <v>1710</v>
      </c>
      <c r="F1337" s="61" t="s">
        <v>31</v>
      </c>
      <c r="G1337" s="288">
        <v>15.8</v>
      </c>
      <c r="H1337" s="289">
        <v>250</v>
      </c>
      <c r="I1337" s="290">
        <v>60</v>
      </c>
      <c r="J1337" s="48" t="s">
        <v>39</v>
      </c>
      <c r="K1337" s="50"/>
      <c r="L1337" s="53" t="str">
        <f t="shared" si="262"/>
        <v>60grams</v>
      </c>
      <c r="M1337" s="54">
        <f t="shared" si="263"/>
        <v>15000</v>
      </c>
      <c r="N1337" s="55" t="str">
        <f t="shared" si="264"/>
        <v>15000grams</v>
      </c>
      <c r="O1337" s="56">
        <f t="shared" si="265"/>
        <v>3950</v>
      </c>
      <c r="P1337" s="44">
        <f t="shared" si="277"/>
        <v>15.8</v>
      </c>
      <c r="Q1337" s="66"/>
      <c r="R1337" s="32" t="b">
        <f>P1337=G1337</f>
        <v>1</v>
      </c>
      <c r="S1337" s="32"/>
      <c r="T1337" s="32"/>
      <c r="U1337" s="32"/>
      <c r="V1337" s="32"/>
      <c r="W1337" s="32"/>
      <c r="X1337" s="32"/>
      <c r="Y1337" s="32"/>
      <c r="Z1337" s="32"/>
    </row>
    <row r="1338" spans="1:26" ht="15.75" customHeight="1" x14ac:dyDescent="0.3">
      <c r="A1338" s="45"/>
      <c r="B1338" s="46" t="s">
        <v>1686</v>
      </c>
      <c r="C1338" s="194" t="s">
        <v>2023</v>
      </c>
      <c r="D1338" s="46"/>
      <c r="E1338" s="46" t="s">
        <v>1710</v>
      </c>
      <c r="F1338" s="61" t="s">
        <v>31</v>
      </c>
      <c r="G1338" s="288">
        <v>16</v>
      </c>
      <c r="H1338" s="289">
        <v>200</v>
      </c>
      <c r="I1338" s="290">
        <v>60</v>
      </c>
      <c r="J1338" s="48" t="s">
        <v>39</v>
      </c>
      <c r="K1338" s="50"/>
      <c r="L1338" s="53" t="str">
        <f t="shared" si="262"/>
        <v>60grams</v>
      </c>
      <c r="M1338" s="54">
        <f t="shared" si="263"/>
        <v>12000</v>
      </c>
      <c r="N1338" s="55" t="str">
        <f t="shared" si="264"/>
        <v>12000grams</v>
      </c>
      <c r="O1338" s="56">
        <f t="shared" si="265"/>
        <v>3200</v>
      </c>
      <c r="P1338" s="12"/>
      <c r="Q1338" s="12"/>
      <c r="R1338" s="12"/>
      <c r="S1338" s="151"/>
      <c r="T1338" s="12"/>
      <c r="U1338" s="12"/>
      <c r="V1338" s="12"/>
      <c r="W1338" s="12"/>
      <c r="X1338" s="12"/>
      <c r="Y1338" s="12"/>
      <c r="Z1338" s="12"/>
    </row>
    <row r="1339" spans="1:26" ht="15.75" customHeight="1" x14ac:dyDescent="0.3">
      <c r="A1339" s="45">
        <v>880</v>
      </c>
      <c r="B1339" s="46" t="s">
        <v>1686</v>
      </c>
      <c r="C1339" s="194" t="s">
        <v>1368</v>
      </c>
      <c r="D1339" s="46"/>
      <c r="E1339" s="46" t="s">
        <v>1711</v>
      </c>
      <c r="F1339" s="61" t="s">
        <v>31</v>
      </c>
      <c r="G1339" s="288">
        <v>48.8</v>
      </c>
      <c r="H1339" s="289">
        <v>2</v>
      </c>
      <c r="I1339" s="290">
        <v>200</v>
      </c>
      <c r="J1339" s="48" t="s">
        <v>39</v>
      </c>
      <c r="K1339" s="50"/>
      <c r="L1339" s="53" t="str">
        <f t="shared" si="262"/>
        <v>200grams</v>
      </c>
      <c r="M1339" s="54">
        <f t="shared" si="263"/>
        <v>400</v>
      </c>
      <c r="N1339" s="55" t="str">
        <f t="shared" si="264"/>
        <v>400grams</v>
      </c>
      <c r="O1339" s="56">
        <f t="shared" si="265"/>
        <v>97.6</v>
      </c>
      <c r="P1339" s="44"/>
      <c r="Q1339" s="66"/>
      <c r="R1339" s="32"/>
      <c r="S1339" s="32"/>
      <c r="T1339" s="32"/>
      <c r="U1339" s="32"/>
      <c r="V1339" s="32"/>
      <c r="W1339" s="32"/>
      <c r="X1339" s="32"/>
      <c r="Y1339" s="32"/>
      <c r="Z1339" s="32"/>
    </row>
    <row r="1340" spans="1:26" ht="15.75" customHeight="1" x14ac:dyDescent="0.3">
      <c r="A1340" s="45">
        <v>881</v>
      </c>
      <c r="B1340" s="46" t="s">
        <v>1686</v>
      </c>
      <c r="C1340" s="194" t="s">
        <v>1368</v>
      </c>
      <c r="D1340" s="46"/>
      <c r="E1340" s="46" t="s">
        <v>1712</v>
      </c>
      <c r="F1340" s="61" t="s">
        <v>31</v>
      </c>
      <c r="G1340" s="288">
        <v>65.25</v>
      </c>
      <c r="H1340" s="289">
        <v>2</v>
      </c>
      <c r="I1340" s="290">
        <v>250</v>
      </c>
      <c r="J1340" s="48" t="s">
        <v>39</v>
      </c>
      <c r="K1340" s="50"/>
      <c r="L1340" s="53" t="str">
        <f t="shared" si="262"/>
        <v>250grams</v>
      </c>
      <c r="M1340" s="54">
        <f t="shared" si="263"/>
        <v>500</v>
      </c>
      <c r="N1340" s="55" t="str">
        <f t="shared" si="264"/>
        <v>500grams</v>
      </c>
      <c r="O1340" s="56">
        <f t="shared" si="265"/>
        <v>130.5</v>
      </c>
      <c r="P1340" s="44"/>
      <c r="Q1340" s="66"/>
      <c r="R1340" s="32"/>
      <c r="S1340" s="32"/>
      <c r="T1340" s="32"/>
      <c r="U1340" s="32"/>
      <c r="V1340" s="32"/>
      <c r="W1340" s="32"/>
      <c r="X1340" s="32"/>
      <c r="Y1340" s="32"/>
      <c r="Z1340" s="32"/>
    </row>
    <row r="1341" spans="1:26" ht="15.75" customHeight="1" x14ac:dyDescent="0.3">
      <c r="A1341" s="45">
        <v>635</v>
      </c>
      <c r="B1341" s="46" t="s">
        <v>1686</v>
      </c>
      <c r="C1341" s="194" t="s">
        <v>2026</v>
      </c>
      <c r="D1341" s="46"/>
      <c r="E1341" s="46" t="s">
        <v>1713</v>
      </c>
      <c r="F1341" s="61" t="s">
        <v>31</v>
      </c>
      <c r="G1341" s="288">
        <v>6.03</v>
      </c>
      <c r="H1341" s="289">
        <v>100</v>
      </c>
      <c r="I1341" s="290">
        <v>24</v>
      </c>
      <c r="J1341" s="48" t="s">
        <v>39</v>
      </c>
      <c r="K1341" s="50" t="s">
        <v>2019</v>
      </c>
      <c r="L1341" s="53" t="str">
        <f t="shared" si="262"/>
        <v>24grams</v>
      </c>
      <c r="M1341" s="54">
        <f t="shared" si="263"/>
        <v>2400</v>
      </c>
      <c r="N1341" s="55" t="str">
        <f t="shared" si="264"/>
        <v>2400grams</v>
      </c>
      <c r="O1341" s="56">
        <f t="shared" si="265"/>
        <v>603</v>
      </c>
      <c r="P1341" s="44">
        <f t="shared" ref="P1341:P1344" si="278">O1341/H1341</f>
        <v>6.03</v>
      </c>
      <c r="Q1341" s="66">
        <f t="shared" ref="Q1341:Q1342" si="279">G1341-P1341</f>
        <v>0</v>
      </c>
      <c r="R1341" s="32" t="b">
        <f t="shared" ref="R1341:R1344" si="280">P1341=G1341</f>
        <v>1</v>
      </c>
      <c r="S1341" s="32"/>
      <c r="T1341" s="32"/>
      <c r="U1341" s="32"/>
      <c r="V1341" s="32"/>
      <c r="W1341" s="32"/>
      <c r="X1341" s="32"/>
      <c r="Y1341" s="32"/>
      <c r="Z1341" s="32"/>
    </row>
    <row r="1342" spans="1:26" ht="15.75" customHeight="1" x14ac:dyDescent="0.3">
      <c r="A1342" s="45">
        <v>630</v>
      </c>
      <c r="B1342" s="46" t="s">
        <v>1686</v>
      </c>
      <c r="C1342" s="194" t="s">
        <v>2026</v>
      </c>
      <c r="D1342" s="46"/>
      <c r="E1342" s="46" t="s">
        <v>1714</v>
      </c>
      <c r="F1342" s="61" t="s">
        <v>31</v>
      </c>
      <c r="G1342" s="288">
        <v>40.1</v>
      </c>
      <c r="H1342" s="289">
        <v>10</v>
      </c>
      <c r="I1342" s="290">
        <v>150</v>
      </c>
      <c r="J1342" s="48" t="s">
        <v>39</v>
      </c>
      <c r="K1342" s="50" t="s">
        <v>2019</v>
      </c>
      <c r="L1342" s="53" t="str">
        <f t="shared" si="262"/>
        <v>150grams</v>
      </c>
      <c r="M1342" s="54">
        <f t="shared" si="263"/>
        <v>1500</v>
      </c>
      <c r="N1342" s="55" t="str">
        <f t="shared" si="264"/>
        <v>1500grams</v>
      </c>
      <c r="O1342" s="56">
        <f t="shared" si="265"/>
        <v>401</v>
      </c>
      <c r="P1342" s="44">
        <f t="shared" si="278"/>
        <v>40.1</v>
      </c>
      <c r="Q1342" s="66">
        <f t="shared" si="279"/>
        <v>0</v>
      </c>
      <c r="R1342" s="32" t="b">
        <f t="shared" si="280"/>
        <v>1</v>
      </c>
      <c r="S1342" s="32"/>
      <c r="T1342" s="32"/>
      <c r="U1342" s="32"/>
      <c r="V1342" s="32"/>
      <c r="W1342" s="32"/>
      <c r="X1342" s="32"/>
      <c r="Y1342" s="32"/>
      <c r="Z1342" s="32"/>
    </row>
    <row r="1343" spans="1:26" ht="15.75" customHeight="1" x14ac:dyDescent="0.3">
      <c r="A1343" s="45">
        <v>640</v>
      </c>
      <c r="B1343" s="46" t="s">
        <v>1686</v>
      </c>
      <c r="C1343" s="194" t="s">
        <v>2026</v>
      </c>
      <c r="D1343" s="46"/>
      <c r="E1343" s="46" t="s">
        <v>1715</v>
      </c>
      <c r="F1343" s="61" t="s">
        <v>31</v>
      </c>
      <c r="G1343" s="288">
        <v>12.1</v>
      </c>
      <c r="H1343" s="289">
        <v>31</v>
      </c>
      <c r="I1343" s="290">
        <v>40</v>
      </c>
      <c r="J1343" s="48" t="s">
        <v>39</v>
      </c>
      <c r="K1343" s="50"/>
      <c r="L1343" s="53" t="str">
        <f t="shared" si="262"/>
        <v>40grams</v>
      </c>
      <c r="M1343" s="54">
        <f t="shared" si="263"/>
        <v>1240</v>
      </c>
      <c r="N1343" s="55" t="str">
        <f t="shared" si="264"/>
        <v>1240grams</v>
      </c>
      <c r="O1343" s="56">
        <f t="shared" si="265"/>
        <v>375.09999999999997</v>
      </c>
      <c r="P1343" s="44">
        <f t="shared" si="278"/>
        <v>12.1</v>
      </c>
      <c r="Q1343" s="66"/>
      <c r="R1343" s="32" t="b">
        <f t="shared" si="280"/>
        <v>1</v>
      </c>
      <c r="S1343" s="32"/>
      <c r="T1343" s="32"/>
      <c r="U1343" s="32"/>
      <c r="V1343" s="32"/>
      <c r="W1343" s="32"/>
      <c r="X1343" s="32"/>
      <c r="Y1343" s="32"/>
      <c r="Z1343" s="32"/>
    </row>
    <row r="1344" spans="1:26" ht="15.75" customHeight="1" x14ac:dyDescent="0.3">
      <c r="A1344" s="45">
        <v>650</v>
      </c>
      <c r="B1344" s="46" t="s">
        <v>1686</v>
      </c>
      <c r="C1344" s="194" t="s">
        <v>2026</v>
      </c>
      <c r="D1344" s="46"/>
      <c r="E1344" s="46" t="s">
        <v>1716</v>
      </c>
      <c r="F1344" s="61" t="s">
        <v>31</v>
      </c>
      <c r="G1344" s="288">
        <v>24.23</v>
      </c>
      <c r="H1344" s="289">
        <v>50</v>
      </c>
      <c r="I1344" s="290">
        <v>110</v>
      </c>
      <c r="J1344" s="48" t="s">
        <v>39</v>
      </c>
      <c r="K1344" s="50"/>
      <c r="L1344" s="53" t="str">
        <f t="shared" si="262"/>
        <v>110grams</v>
      </c>
      <c r="M1344" s="54">
        <f t="shared" si="263"/>
        <v>5500</v>
      </c>
      <c r="N1344" s="55" t="str">
        <f t="shared" si="264"/>
        <v>5500grams</v>
      </c>
      <c r="O1344" s="56">
        <f t="shared" si="265"/>
        <v>1211.5</v>
      </c>
      <c r="P1344" s="44">
        <f t="shared" si="278"/>
        <v>24.23</v>
      </c>
      <c r="Q1344" s="66"/>
      <c r="R1344" s="32" t="b">
        <f t="shared" si="280"/>
        <v>1</v>
      </c>
      <c r="S1344" s="32"/>
      <c r="T1344" s="32"/>
      <c r="U1344" s="32"/>
      <c r="V1344" s="32"/>
      <c r="W1344" s="32"/>
      <c r="X1344" s="32"/>
      <c r="Y1344" s="32"/>
      <c r="Z1344" s="32"/>
    </row>
    <row r="1345" spans="1:26" ht="15.75" customHeight="1" x14ac:dyDescent="0.3">
      <c r="A1345" s="45"/>
      <c r="B1345" s="219" t="s">
        <v>1686</v>
      </c>
      <c r="C1345" s="194" t="s">
        <v>2021</v>
      </c>
      <c r="D1345" s="46"/>
      <c r="E1345" s="219" t="s">
        <v>1717</v>
      </c>
      <c r="F1345" s="61" t="s">
        <v>31</v>
      </c>
      <c r="G1345" s="291">
        <v>11.2</v>
      </c>
      <c r="H1345" s="292">
        <v>81</v>
      </c>
      <c r="I1345" s="293">
        <v>42</v>
      </c>
      <c r="J1345" s="414" t="s">
        <v>92</v>
      </c>
      <c r="K1345" s="50"/>
      <c r="L1345" s="53" t="str">
        <f t="shared" si="262"/>
        <v>42pieces</v>
      </c>
      <c r="M1345" s="54">
        <f t="shared" si="263"/>
        <v>3402</v>
      </c>
      <c r="N1345" s="55" t="str">
        <f t="shared" si="264"/>
        <v>3402pieces</v>
      </c>
      <c r="O1345" s="56">
        <f t="shared" si="265"/>
        <v>907.19999999999993</v>
      </c>
      <c r="P1345" s="12"/>
      <c r="Q1345" s="12"/>
      <c r="R1345" s="12"/>
      <c r="S1345" s="151"/>
      <c r="T1345" s="12"/>
      <c r="U1345" s="12"/>
      <c r="V1345" s="12"/>
      <c r="W1345" s="12"/>
      <c r="X1345" s="12"/>
      <c r="Y1345" s="12"/>
      <c r="Z1345" s="12"/>
    </row>
    <row r="1346" spans="1:26" ht="15.75" customHeight="1" x14ac:dyDescent="0.3">
      <c r="A1346" s="45"/>
      <c r="B1346" s="219" t="s">
        <v>1686</v>
      </c>
      <c r="C1346" s="194" t="s">
        <v>2021</v>
      </c>
      <c r="D1346" s="46"/>
      <c r="E1346" s="219" t="s">
        <v>1718</v>
      </c>
      <c r="F1346" s="61" t="s">
        <v>31</v>
      </c>
      <c r="G1346" s="291">
        <v>11.3</v>
      </c>
      <c r="H1346" s="292">
        <v>4</v>
      </c>
      <c r="I1346" s="293">
        <v>42</v>
      </c>
      <c r="J1346" s="414" t="s">
        <v>92</v>
      </c>
      <c r="K1346" s="50"/>
      <c r="L1346" s="53" t="str">
        <f t="shared" si="262"/>
        <v>42pieces</v>
      </c>
      <c r="M1346" s="54">
        <f t="shared" si="263"/>
        <v>168</v>
      </c>
      <c r="N1346" s="55" t="str">
        <f t="shared" si="264"/>
        <v>168pieces</v>
      </c>
      <c r="O1346" s="56">
        <f t="shared" si="265"/>
        <v>45.2</v>
      </c>
      <c r="P1346" s="12"/>
      <c r="Q1346" s="12"/>
      <c r="R1346" s="12"/>
      <c r="S1346" s="151"/>
      <c r="T1346" s="12"/>
      <c r="U1346" s="12"/>
      <c r="V1346" s="12"/>
      <c r="W1346" s="12"/>
      <c r="X1346" s="12"/>
      <c r="Y1346" s="12"/>
      <c r="Z1346" s="12"/>
    </row>
    <row r="1347" spans="1:26" ht="15.75" customHeight="1" x14ac:dyDescent="0.3">
      <c r="A1347" s="45"/>
      <c r="B1347" s="46" t="s">
        <v>1686</v>
      </c>
      <c r="C1347" s="194" t="s">
        <v>2023</v>
      </c>
      <c r="D1347" s="46"/>
      <c r="E1347" s="46" t="s">
        <v>1719</v>
      </c>
      <c r="F1347" s="61" t="s">
        <v>31</v>
      </c>
      <c r="G1347" s="288">
        <v>36</v>
      </c>
      <c r="H1347" s="289">
        <v>360</v>
      </c>
      <c r="I1347" s="290">
        <v>130</v>
      </c>
      <c r="J1347" s="48" t="s">
        <v>39</v>
      </c>
      <c r="K1347" s="50"/>
      <c r="L1347" s="53" t="str">
        <f t="shared" si="262"/>
        <v>130grams</v>
      </c>
      <c r="M1347" s="54">
        <f t="shared" si="263"/>
        <v>46800</v>
      </c>
      <c r="N1347" s="55" t="str">
        <f t="shared" si="264"/>
        <v>46800grams</v>
      </c>
      <c r="O1347" s="56">
        <f t="shared" si="265"/>
        <v>12960</v>
      </c>
      <c r="P1347" s="12"/>
      <c r="Q1347" s="12"/>
      <c r="R1347" s="12"/>
      <c r="S1347" s="151"/>
      <c r="T1347" s="12"/>
      <c r="U1347" s="12"/>
      <c r="V1347" s="12"/>
      <c r="W1347" s="12"/>
      <c r="X1347" s="12"/>
      <c r="Y1347" s="12"/>
      <c r="Z1347" s="12"/>
    </row>
    <row r="1348" spans="1:26" ht="15.75" customHeight="1" x14ac:dyDescent="0.3">
      <c r="A1348" s="45">
        <v>407</v>
      </c>
      <c r="B1348" s="46" t="s">
        <v>1686</v>
      </c>
      <c r="C1348" s="194" t="s">
        <v>2025</v>
      </c>
      <c r="D1348" s="46"/>
      <c r="E1348" s="46" t="s">
        <v>1720</v>
      </c>
      <c r="F1348" s="61" t="s">
        <v>31</v>
      </c>
      <c r="G1348" s="288">
        <v>24.8</v>
      </c>
      <c r="H1348" s="289">
        <v>39</v>
      </c>
      <c r="I1348" s="290">
        <v>90</v>
      </c>
      <c r="J1348" s="48" t="s">
        <v>39</v>
      </c>
      <c r="K1348" s="50"/>
      <c r="L1348" s="53" t="str">
        <f t="shared" si="262"/>
        <v>90grams</v>
      </c>
      <c r="M1348" s="54">
        <f t="shared" si="263"/>
        <v>3510</v>
      </c>
      <c r="N1348" s="55" t="str">
        <f t="shared" si="264"/>
        <v>3510grams</v>
      </c>
      <c r="O1348" s="56">
        <f t="shared" si="265"/>
        <v>967.2</v>
      </c>
      <c r="P1348" s="44">
        <f t="shared" ref="P1348:P1351" si="281">O1348/H1348</f>
        <v>24.8</v>
      </c>
      <c r="Q1348" s="66"/>
      <c r="R1348" s="32" t="b">
        <f t="shared" ref="R1348:R1349" si="282">P1348=G1348</f>
        <v>1</v>
      </c>
      <c r="S1348" s="32"/>
      <c r="T1348" s="32"/>
      <c r="U1348" s="32"/>
      <c r="V1348" s="32"/>
      <c r="W1348" s="32"/>
      <c r="X1348" s="32"/>
      <c r="Y1348" s="32"/>
      <c r="Z1348" s="32"/>
    </row>
    <row r="1349" spans="1:26" ht="15.75" customHeight="1" x14ac:dyDescent="0.3">
      <c r="A1349" s="45">
        <v>415</v>
      </c>
      <c r="B1349" s="46" t="s">
        <v>1686</v>
      </c>
      <c r="C1349" s="194" t="s">
        <v>2025</v>
      </c>
      <c r="D1349" s="46"/>
      <c r="E1349" s="46" t="s">
        <v>1721</v>
      </c>
      <c r="F1349" s="61" t="s">
        <v>31</v>
      </c>
      <c r="G1349" s="288">
        <v>19.16</v>
      </c>
      <c r="H1349" s="289">
        <v>30</v>
      </c>
      <c r="I1349" s="290">
        <v>1</v>
      </c>
      <c r="J1349" s="48" t="s">
        <v>92</v>
      </c>
      <c r="K1349" s="50"/>
      <c r="L1349" s="53" t="str">
        <f t="shared" si="262"/>
        <v>1pieces</v>
      </c>
      <c r="M1349" s="54">
        <f t="shared" si="263"/>
        <v>30</v>
      </c>
      <c r="N1349" s="55" t="str">
        <f t="shared" si="264"/>
        <v>30pieces</v>
      </c>
      <c r="O1349" s="56">
        <f t="shared" si="265"/>
        <v>574.79999999999995</v>
      </c>
      <c r="P1349" s="44">
        <f t="shared" si="281"/>
        <v>19.16</v>
      </c>
      <c r="Q1349" s="66"/>
      <c r="R1349" s="32" t="b">
        <f t="shared" si="282"/>
        <v>1</v>
      </c>
      <c r="S1349" s="32"/>
      <c r="T1349" s="32"/>
      <c r="U1349" s="32"/>
      <c r="V1349" s="32"/>
      <c r="W1349" s="32"/>
      <c r="X1349" s="32"/>
      <c r="Y1349" s="32"/>
      <c r="Z1349" s="32"/>
    </row>
    <row r="1350" spans="1:26" ht="15.75" customHeight="1" x14ac:dyDescent="0.3">
      <c r="A1350" s="45">
        <v>594</v>
      </c>
      <c r="B1350" s="46" t="s">
        <v>1686</v>
      </c>
      <c r="C1350" s="194" t="s">
        <v>2026</v>
      </c>
      <c r="D1350" s="46"/>
      <c r="E1350" s="46" t="s">
        <v>1722</v>
      </c>
      <c r="F1350" s="61" t="s">
        <v>31</v>
      </c>
      <c r="G1350" s="288">
        <v>16.329999999999998</v>
      </c>
      <c r="H1350" s="289">
        <v>50</v>
      </c>
      <c r="I1350" s="290">
        <v>60</v>
      </c>
      <c r="J1350" s="48" t="s">
        <v>39</v>
      </c>
      <c r="K1350" s="50"/>
      <c r="L1350" s="53" t="str">
        <f t="shared" si="262"/>
        <v>60grams</v>
      </c>
      <c r="M1350" s="54">
        <f t="shared" si="263"/>
        <v>3000</v>
      </c>
      <c r="N1350" s="55" t="str">
        <f t="shared" si="264"/>
        <v>3000grams</v>
      </c>
      <c r="O1350" s="56">
        <f t="shared" si="265"/>
        <v>816.49999999999989</v>
      </c>
      <c r="P1350" s="44">
        <f t="shared" si="281"/>
        <v>16.329999999999998</v>
      </c>
      <c r="Q1350" s="66"/>
      <c r="R1350" s="32"/>
      <c r="S1350" s="32"/>
      <c r="T1350" s="32"/>
      <c r="U1350" s="32"/>
      <c r="V1350" s="32"/>
      <c r="W1350" s="32"/>
      <c r="X1350" s="32"/>
      <c r="Y1350" s="32"/>
      <c r="Z1350" s="32"/>
    </row>
    <row r="1351" spans="1:26" ht="15.75" customHeight="1" x14ac:dyDescent="0.3">
      <c r="A1351" s="45">
        <v>781</v>
      </c>
      <c r="B1351" s="46" t="s">
        <v>1686</v>
      </c>
      <c r="C1351" s="194" t="s">
        <v>1368</v>
      </c>
      <c r="D1351" s="46"/>
      <c r="E1351" s="46" t="s">
        <v>1723</v>
      </c>
      <c r="F1351" s="61" t="s">
        <v>31</v>
      </c>
      <c r="G1351" s="288">
        <v>25.25</v>
      </c>
      <c r="H1351" s="289">
        <v>35</v>
      </c>
      <c r="I1351" s="290">
        <v>110</v>
      </c>
      <c r="J1351" s="48" t="s">
        <v>39</v>
      </c>
      <c r="K1351" s="50"/>
      <c r="L1351" s="53" t="str">
        <f t="shared" si="262"/>
        <v>110grams</v>
      </c>
      <c r="M1351" s="54">
        <f t="shared" si="263"/>
        <v>3850</v>
      </c>
      <c r="N1351" s="55" t="str">
        <f t="shared" si="264"/>
        <v>3850grams</v>
      </c>
      <c r="O1351" s="56">
        <f t="shared" si="265"/>
        <v>883.75</v>
      </c>
      <c r="P1351" s="44">
        <f t="shared" si="281"/>
        <v>25.25</v>
      </c>
      <c r="Q1351" s="66"/>
      <c r="R1351" s="32"/>
      <c r="S1351" s="32"/>
      <c r="T1351" s="32"/>
      <c r="U1351" s="32"/>
      <c r="V1351" s="32"/>
      <c r="W1351" s="32"/>
      <c r="X1351" s="32"/>
      <c r="Y1351" s="32"/>
      <c r="Z1351" s="32"/>
    </row>
    <row r="1352" spans="1:26" ht="15.75" customHeight="1" x14ac:dyDescent="0.3">
      <c r="A1352" s="45"/>
      <c r="B1352" s="46" t="s">
        <v>1686</v>
      </c>
      <c r="C1352" s="194" t="s">
        <v>2022</v>
      </c>
      <c r="D1352" s="46"/>
      <c r="E1352" s="46" t="s">
        <v>1700</v>
      </c>
      <c r="F1352" s="61" t="s">
        <v>31</v>
      </c>
      <c r="G1352" s="288">
        <v>35</v>
      </c>
      <c r="H1352" s="289">
        <v>1</v>
      </c>
      <c r="I1352" s="290">
        <v>78</v>
      </c>
      <c r="J1352" s="48" t="s">
        <v>39</v>
      </c>
      <c r="K1352" s="50"/>
      <c r="L1352" s="53" t="str">
        <f t="shared" si="262"/>
        <v>78grams</v>
      </c>
      <c r="M1352" s="54">
        <f t="shared" si="263"/>
        <v>78</v>
      </c>
      <c r="N1352" s="55" t="str">
        <f t="shared" si="264"/>
        <v>78grams</v>
      </c>
      <c r="O1352" s="56">
        <f t="shared" si="265"/>
        <v>35</v>
      </c>
      <c r="P1352" s="12"/>
      <c r="Q1352" s="12"/>
      <c r="R1352" s="12"/>
      <c r="S1352" s="151"/>
      <c r="T1352" s="12"/>
      <c r="U1352" s="12"/>
      <c r="V1352" s="12"/>
      <c r="W1352" s="12"/>
      <c r="X1352" s="12"/>
      <c r="Y1352" s="12"/>
      <c r="Z1352" s="12"/>
    </row>
    <row r="1353" spans="1:26" ht="15.75" customHeight="1" x14ac:dyDescent="0.3">
      <c r="A1353" s="45">
        <v>599</v>
      </c>
      <c r="B1353" s="46" t="s">
        <v>1686</v>
      </c>
      <c r="C1353" s="194" t="s">
        <v>2026</v>
      </c>
      <c r="D1353" s="46"/>
      <c r="E1353" s="46" t="s">
        <v>1724</v>
      </c>
      <c r="F1353" s="61" t="s">
        <v>31</v>
      </c>
      <c r="G1353" s="288">
        <v>7.07</v>
      </c>
      <c r="H1353" s="289">
        <v>105</v>
      </c>
      <c r="I1353" s="290">
        <v>24</v>
      </c>
      <c r="J1353" s="48" t="s">
        <v>39</v>
      </c>
      <c r="K1353" s="50"/>
      <c r="L1353" s="53" t="str">
        <f t="shared" si="262"/>
        <v>24grams</v>
      </c>
      <c r="M1353" s="54">
        <f t="shared" si="263"/>
        <v>2520</v>
      </c>
      <c r="N1353" s="55" t="str">
        <f t="shared" si="264"/>
        <v>2520grams</v>
      </c>
      <c r="O1353" s="56">
        <f t="shared" si="265"/>
        <v>742.35</v>
      </c>
      <c r="P1353" s="44">
        <f t="shared" ref="P1353:P1354" si="283">O1353/H1353</f>
        <v>7.07</v>
      </c>
      <c r="Q1353" s="66"/>
      <c r="R1353" s="32"/>
      <c r="S1353" s="32"/>
      <c r="T1353" s="32"/>
      <c r="U1353" s="32"/>
      <c r="V1353" s="32"/>
      <c r="W1353" s="32"/>
      <c r="X1353" s="32"/>
      <c r="Y1353" s="32"/>
      <c r="Z1353" s="32"/>
    </row>
    <row r="1354" spans="1:26" ht="15.75" customHeight="1" x14ac:dyDescent="0.3">
      <c r="A1354" s="45">
        <v>409</v>
      </c>
      <c r="B1354" s="46" t="s">
        <v>1686</v>
      </c>
      <c r="C1354" s="194" t="s">
        <v>2025</v>
      </c>
      <c r="D1354" s="46"/>
      <c r="E1354" s="46" t="s">
        <v>1725</v>
      </c>
      <c r="F1354" s="61" t="s">
        <v>31</v>
      </c>
      <c r="G1354" s="288">
        <v>22.1</v>
      </c>
      <c r="H1354" s="289">
        <v>17</v>
      </c>
      <c r="I1354" s="290">
        <v>90</v>
      </c>
      <c r="J1354" s="48" t="s">
        <v>39</v>
      </c>
      <c r="K1354" s="50" t="s">
        <v>2019</v>
      </c>
      <c r="L1354" s="53" t="str">
        <f t="shared" si="262"/>
        <v>90grams</v>
      </c>
      <c r="M1354" s="54">
        <f t="shared" si="263"/>
        <v>1530</v>
      </c>
      <c r="N1354" s="55" t="str">
        <f t="shared" si="264"/>
        <v>1530grams</v>
      </c>
      <c r="O1354" s="56">
        <f t="shared" si="265"/>
        <v>375.70000000000005</v>
      </c>
      <c r="P1354" s="44">
        <f t="shared" si="283"/>
        <v>22.1</v>
      </c>
      <c r="Q1354" s="66">
        <f>G1354-P1354</f>
        <v>0</v>
      </c>
      <c r="R1354" s="32" t="b">
        <f>P1354=G1354</f>
        <v>1</v>
      </c>
      <c r="S1354" s="32"/>
      <c r="T1354" s="32"/>
      <c r="U1354" s="32"/>
      <c r="V1354" s="32"/>
      <c r="W1354" s="32"/>
      <c r="X1354" s="32"/>
      <c r="Y1354" s="32"/>
      <c r="Z1354" s="32"/>
    </row>
    <row r="1355" spans="1:26" ht="15.75" customHeight="1" x14ac:dyDescent="0.3">
      <c r="A1355" s="45"/>
      <c r="B1355" s="46" t="s">
        <v>1686</v>
      </c>
      <c r="C1355" s="194" t="s">
        <v>2020</v>
      </c>
      <c r="D1355" s="46"/>
      <c r="E1355" s="46" t="s">
        <v>1725</v>
      </c>
      <c r="F1355" s="61" t="s">
        <v>31</v>
      </c>
      <c r="G1355" s="288">
        <v>14.1</v>
      </c>
      <c r="H1355" s="289">
        <v>1</v>
      </c>
      <c r="I1355" s="290">
        <v>50</v>
      </c>
      <c r="J1355" s="48" t="s">
        <v>39</v>
      </c>
      <c r="K1355" s="50"/>
      <c r="L1355" s="53" t="str">
        <f t="shared" si="262"/>
        <v>50grams</v>
      </c>
      <c r="M1355" s="54">
        <f t="shared" si="263"/>
        <v>50</v>
      </c>
      <c r="N1355" s="55" t="str">
        <f t="shared" si="264"/>
        <v>50grams</v>
      </c>
      <c r="O1355" s="56">
        <f t="shared" si="265"/>
        <v>14.1</v>
      </c>
      <c r="P1355" s="12"/>
      <c r="Q1355" s="12"/>
      <c r="R1355" s="12"/>
      <c r="S1355" s="151"/>
      <c r="T1355" s="12"/>
      <c r="U1355" s="12"/>
      <c r="V1355" s="12"/>
      <c r="W1355" s="12"/>
      <c r="X1355" s="12"/>
      <c r="Y1355" s="12"/>
      <c r="Z1355" s="12"/>
    </row>
    <row r="1356" spans="1:26" ht="15.75" customHeight="1" x14ac:dyDescent="0.3">
      <c r="A1356" s="45"/>
      <c r="B1356" s="46" t="s">
        <v>1686</v>
      </c>
      <c r="C1356" s="194" t="s">
        <v>2023</v>
      </c>
      <c r="D1356" s="46"/>
      <c r="E1356" s="46" t="s">
        <v>1720</v>
      </c>
      <c r="F1356" s="61" t="s">
        <v>31</v>
      </c>
      <c r="G1356" s="288">
        <v>23</v>
      </c>
      <c r="H1356" s="289">
        <v>1</v>
      </c>
      <c r="I1356" s="290">
        <v>90</v>
      </c>
      <c r="J1356" s="48" t="s">
        <v>39</v>
      </c>
      <c r="K1356" s="50"/>
      <c r="L1356" s="53" t="str">
        <f t="shared" si="262"/>
        <v>90grams</v>
      </c>
      <c r="M1356" s="54">
        <f t="shared" si="263"/>
        <v>90</v>
      </c>
      <c r="N1356" s="55" t="str">
        <f t="shared" si="264"/>
        <v>90grams</v>
      </c>
      <c r="O1356" s="56">
        <f t="shared" si="265"/>
        <v>23</v>
      </c>
      <c r="P1356" s="44"/>
      <c r="Q1356" s="12"/>
      <c r="R1356" s="12"/>
      <c r="S1356" s="151"/>
      <c r="T1356" s="12"/>
      <c r="U1356" s="12"/>
      <c r="V1356" s="12"/>
      <c r="W1356" s="12"/>
      <c r="X1356" s="12"/>
      <c r="Y1356" s="12"/>
      <c r="Z1356" s="12"/>
    </row>
    <row r="1357" spans="1:26" ht="15.75" customHeight="1" x14ac:dyDescent="0.3">
      <c r="A1357" s="45">
        <v>600</v>
      </c>
      <c r="B1357" s="46" t="s">
        <v>1686</v>
      </c>
      <c r="C1357" s="194" t="s">
        <v>2026</v>
      </c>
      <c r="D1357" s="46"/>
      <c r="E1357" s="46" t="s">
        <v>1725</v>
      </c>
      <c r="F1357" s="61" t="s">
        <v>31</v>
      </c>
      <c r="G1357" s="288">
        <v>13.56</v>
      </c>
      <c r="H1357" s="289">
        <v>50</v>
      </c>
      <c r="I1357" s="290">
        <v>50</v>
      </c>
      <c r="J1357" s="48" t="s">
        <v>39</v>
      </c>
      <c r="K1357" s="50"/>
      <c r="L1357" s="53" t="str">
        <f t="shared" si="262"/>
        <v>50grams</v>
      </c>
      <c r="M1357" s="54">
        <f t="shared" si="263"/>
        <v>2500</v>
      </c>
      <c r="N1357" s="55" t="str">
        <f t="shared" si="264"/>
        <v>2500grams</v>
      </c>
      <c r="O1357" s="56">
        <f t="shared" si="265"/>
        <v>678</v>
      </c>
      <c r="P1357" s="44">
        <f>O1357/H1357</f>
        <v>13.56</v>
      </c>
      <c r="Q1357" s="66"/>
      <c r="R1357" s="32"/>
      <c r="S1357" s="32"/>
      <c r="T1357" s="32"/>
      <c r="U1357" s="32"/>
      <c r="V1357" s="32"/>
      <c r="W1357" s="32"/>
      <c r="X1357" s="32"/>
      <c r="Y1357" s="32"/>
      <c r="Z1357" s="32"/>
    </row>
    <row r="1358" spans="1:26" ht="15.75" customHeight="1" x14ac:dyDescent="0.3">
      <c r="A1358" s="45"/>
      <c r="B1358" s="46" t="s">
        <v>1686</v>
      </c>
      <c r="C1358" s="194" t="s">
        <v>2023</v>
      </c>
      <c r="D1358" s="46"/>
      <c r="E1358" s="46" t="s">
        <v>1726</v>
      </c>
      <c r="F1358" s="61" t="s">
        <v>31</v>
      </c>
      <c r="G1358" s="288">
        <v>7</v>
      </c>
      <c r="H1358" s="289">
        <v>11</v>
      </c>
      <c r="I1358" s="290">
        <v>42</v>
      </c>
      <c r="J1358" s="48" t="s">
        <v>39</v>
      </c>
      <c r="K1358" s="50"/>
      <c r="L1358" s="53" t="str">
        <f t="shared" si="262"/>
        <v>42grams</v>
      </c>
      <c r="M1358" s="54">
        <f t="shared" si="263"/>
        <v>462</v>
      </c>
      <c r="N1358" s="55" t="str">
        <f t="shared" si="264"/>
        <v>462grams</v>
      </c>
      <c r="O1358" s="56">
        <f t="shared" si="265"/>
        <v>77</v>
      </c>
      <c r="P1358" s="12"/>
      <c r="Q1358" s="12"/>
      <c r="R1358" s="12"/>
      <c r="S1358" s="151"/>
      <c r="T1358" s="12"/>
      <c r="U1358" s="12"/>
      <c r="V1358" s="12"/>
      <c r="W1358" s="12"/>
      <c r="X1358" s="12"/>
      <c r="Y1358" s="12"/>
      <c r="Z1358" s="12"/>
    </row>
    <row r="1359" spans="1:26" ht="15.75" customHeight="1" x14ac:dyDescent="0.3">
      <c r="A1359" s="45"/>
      <c r="B1359" s="46" t="s">
        <v>1686</v>
      </c>
      <c r="C1359" s="194" t="s">
        <v>2023</v>
      </c>
      <c r="D1359" s="46"/>
      <c r="E1359" s="46" t="s">
        <v>1705</v>
      </c>
      <c r="F1359" s="61" t="s">
        <v>31</v>
      </c>
      <c r="G1359" s="288">
        <v>23.1</v>
      </c>
      <c r="H1359" s="289">
        <v>8</v>
      </c>
      <c r="I1359" s="290">
        <v>85</v>
      </c>
      <c r="J1359" s="48" t="s">
        <v>39</v>
      </c>
      <c r="K1359" s="50"/>
      <c r="L1359" s="53" t="str">
        <f t="shared" si="262"/>
        <v>85grams</v>
      </c>
      <c r="M1359" s="54">
        <f t="shared" si="263"/>
        <v>680</v>
      </c>
      <c r="N1359" s="55" t="str">
        <f t="shared" si="264"/>
        <v>680grams</v>
      </c>
      <c r="O1359" s="56">
        <f t="shared" si="265"/>
        <v>184.8</v>
      </c>
      <c r="P1359" s="12"/>
      <c r="Q1359" s="12"/>
      <c r="R1359" s="12"/>
      <c r="S1359" s="151"/>
      <c r="T1359" s="12"/>
      <c r="U1359" s="12"/>
      <c r="V1359" s="12"/>
      <c r="W1359" s="12"/>
      <c r="X1359" s="12"/>
      <c r="Y1359" s="12"/>
      <c r="Z1359" s="12"/>
    </row>
    <row r="1360" spans="1:26" ht="15.75" customHeight="1" x14ac:dyDescent="0.3">
      <c r="A1360" s="45">
        <v>410</v>
      </c>
      <c r="B1360" s="46" t="s">
        <v>1686</v>
      </c>
      <c r="C1360" s="194" t="s">
        <v>2025</v>
      </c>
      <c r="D1360" s="46"/>
      <c r="E1360" s="46" t="s">
        <v>1727</v>
      </c>
      <c r="F1360" s="61" t="s">
        <v>31</v>
      </c>
      <c r="G1360" s="288">
        <v>22.45</v>
      </c>
      <c r="H1360" s="289">
        <v>7</v>
      </c>
      <c r="I1360" s="290">
        <v>90</v>
      </c>
      <c r="J1360" s="438" t="s">
        <v>39</v>
      </c>
      <c r="K1360" s="50"/>
      <c r="L1360" s="53" t="str">
        <f t="shared" si="262"/>
        <v>90grams</v>
      </c>
      <c r="M1360" s="54">
        <f t="shared" si="263"/>
        <v>630</v>
      </c>
      <c r="N1360" s="55" t="str">
        <f t="shared" si="264"/>
        <v>630grams</v>
      </c>
      <c r="O1360" s="56">
        <f t="shared" si="265"/>
        <v>157.15</v>
      </c>
      <c r="P1360" s="44">
        <f t="shared" ref="P1360:P1364" si="284">O1360/H1360</f>
        <v>22.45</v>
      </c>
      <c r="Q1360" s="66"/>
      <c r="R1360" s="32"/>
      <c r="S1360" s="32"/>
      <c r="T1360" s="32"/>
      <c r="U1360" s="32"/>
      <c r="V1360" s="32"/>
      <c r="W1360" s="32"/>
      <c r="X1360" s="32"/>
      <c r="Y1360" s="32"/>
      <c r="Z1360" s="32"/>
    </row>
    <row r="1361" spans="1:26" ht="15.75" customHeight="1" x14ac:dyDescent="0.3">
      <c r="A1361" s="45">
        <v>649</v>
      </c>
      <c r="B1361" s="46" t="s">
        <v>1686</v>
      </c>
      <c r="C1361" s="194" t="s">
        <v>2026</v>
      </c>
      <c r="D1361" s="46"/>
      <c r="E1361" s="46" t="s">
        <v>1728</v>
      </c>
      <c r="F1361" s="61" t="s">
        <v>31</v>
      </c>
      <c r="G1361" s="288">
        <v>15.72</v>
      </c>
      <c r="H1361" s="289">
        <v>17</v>
      </c>
      <c r="I1361" s="290">
        <v>60</v>
      </c>
      <c r="J1361" s="48" t="s">
        <v>39</v>
      </c>
      <c r="K1361" s="50"/>
      <c r="L1361" s="53" t="str">
        <f t="shared" si="262"/>
        <v>60grams</v>
      </c>
      <c r="M1361" s="54">
        <f t="shared" si="263"/>
        <v>1020</v>
      </c>
      <c r="N1361" s="55" t="str">
        <f t="shared" si="264"/>
        <v>1020grams</v>
      </c>
      <c r="O1361" s="56">
        <f t="shared" si="265"/>
        <v>267.24</v>
      </c>
      <c r="P1361" s="44">
        <f t="shared" si="284"/>
        <v>15.72</v>
      </c>
      <c r="Q1361" s="66"/>
      <c r="R1361" s="32"/>
      <c r="S1361" s="32"/>
      <c r="T1361" s="32"/>
      <c r="U1361" s="32"/>
      <c r="V1361" s="32"/>
      <c r="W1361" s="32"/>
      <c r="X1361" s="32"/>
      <c r="Y1361" s="32"/>
      <c r="Z1361" s="32"/>
    </row>
    <row r="1362" spans="1:26" ht="15.75" customHeight="1" x14ac:dyDescent="0.3">
      <c r="A1362" s="45">
        <v>414</v>
      </c>
      <c r="B1362" s="46" t="s">
        <v>1686</v>
      </c>
      <c r="C1362" s="194" t="s">
        <v>2025</v>
      </c>
      <c r="D1362" s="46"/>
      <c r="E1362" s="46" t="s">
        <v>1729</v>
      </c>
      <c r="F1362" s="61" t="s">
        <v>31</v>
      </c>
      <c r="G1362" s="288">
        <v>22.37</v>
      </c>
      <c r="H1362" s="289">
        <v>30</v>
      </c>
      <c r="I1362" s="290">
        <v>75</v>
      </c>
      <c r="J1362" s="48" t="s">
        <v>39</v>
      </c>
      <c r="K1362" s="50" t="s">
        <v>2019</v>
      </c>
      <c r="L1362" s="53" t="str">
        <f t="shared" si="262"/>
        <v>75grams</v>
      </c>
      <c r="M1362" s="54">
        <f t="shared" si="263"/>
        <v>2250</v>
      </c>
      <c r="N1362" s="55" t="str">
        <f t="shared" si="264"/>
        <v>2250grams</v>
      </c>
      <c r="O1362" s="56">
        <f t="shared" si="265"/>
        <v>671.1</v>
      </c>
      <c r="P1362" s="44">
        <f t="shared" si="284"/>
        <v>22.37</v>
      </c>
      <c r="Q1362" s="66">
        <f>G1362-P1362</f>
        <v>0</v>
      </c>
      <c r="R1362" s="32" t="b">
        <f t="shared" ref="R1362:R1363" si="285">P1362=G1362</f>
        <v>1</v>
      </c>
      <c r="S1362" s="32"/>
      <c r="T1362" s="32"/>
      <c r="U1362" s="32"/>
      <c r="V1362" s="32"/>
      <c r="W1362" s="32"/>
      <c r="X1362" s="32"/>
      <c r="Y1362" s="32"/>
      <c r="Z1362" s="32"/>
    </row>
    <row r="1363" spans="1:26" ht="15.75" customHeight="1" x14ac:dyDescent="0.3">
      <c r="A1363" s="45">
        <v>87</v>
      </c>
      <c r="B1363" s="46" t="s">
        <v>1686</v>
      </c>
      <c r="C1363" s="194" t="s">
        <v>2024</v>
      </c>
      <c r="D1363" s="46"/>
      <c r="E1363" s="46" t="s">
        <v>1729</v>
      </c>
      <c r="F1363" s="61" t="s">
        <v>31</v>
      </c>
      <c r="G1363" s="288">
        <v>671.35</v>
      </c>
      <c r="H1363" s="289">
        <v>90</v>
      </c>
      <c r="I1363" s="290">
        <v>75</v>
      </c>
      <c r="J1363" s="48" t="s">
        <v>39</v>
      </c>
      <c r="K1363" s="50"/>
      <c r="L1363" s="53" t="str">
        <f t="shared" si="262"/>
        <v>75grams</v>
      </c>
      <c r="M1363" s="54">
        <f t="shared" si="263"/>
        <v>6750</v>
      </c>
      <c r="N1363" s="55" t="str">
        <f t="shared" si="264"/>
        <v>6750grams</v>
      </c>
      <c r="O1363" s="56">
        <f t="shared" si="265"/>
        <v>60421.5</v>
      </c>
      <c r="P1363" s="44">
        <f t="shared" si="284"/>
        <v>671.35</v>
      </c>
      <c r="Q1363" s="66"/>
      <c r="R1363" s="32" t="b">
        <f t="shared" si="285"/>
        <v>1</v>
      </c>
      <c r="S1363" s="32"/>
      <c r="T1363" s="32"/>
      <c r="U1363" s="32"/>
      <c r="V1363" s="32"/>
      <c r="W1363" s="32"/>
      <c r="X1363" s="32"/>
      <c r="Y1363" s="32"/>
      <c r="Z1363" s="32"/>
    </row>
    <row r="1364" spans="1:26" ht="15.75" customHeight="1" x14ac:dyDescent="0.3">
      <c r="A1364" s="45">
        <v>60</v>
      </c>
      <c r="B1364" s="46" t="s">
        <v>1686</v>
      </c>
      <c r="C1364" s="194" t="s">
        <v>2026</v>
      </c>
      <c r="D1364" s="46"/>
      <c r="E1364" s="46" t="s">
        <v>1729</v>
      </c>
      <c r="F1364" s="61" t="s">
        <v>31</v>
      </c>
      <c r="G1364" s="288">
        <v>22.38</v>
      </c>
      <c r="H1364" s="289">
        <v>60</v>
      </c>
      <c r="I1364" s="290">
        <v>75</v>
      </c>
      <c r="J1364" s="48" t="s">
        <v>39</v>
      </c>
      <c r="K1364" s="50"/>
      <c r="L1364" s="53" t="str">
        <f t="shared" si="262"/>
        <v>75grams</v>
      </c>
      <c r="M1364" s="54">
        <f t="shared" si="263"/>
        <v>4500</v>
      </c>
      <c r="N1364" s="55" t="str">
        <f t="shared" si="264"/>
        <v>4500grams</v>
      </c>
      <c r="O1364" s="56">
        <f t="shared" si="265"/>
        <v>1342.8</v>
      </c>
      <c r="P1364" s="44">
        <f t="shared" si="284"/>
        <v>22.38</v>
      </c>
      <c r="Q1364" s="66"/>
      <c r="R1364" s="32"/>
      <c r="S1364" s="32"/>
      <c r="T1364" s="32"/>
      <c r="U1364" s="32"/>
      <c r="V1364" s="32"/>
      <c r="W1364" s="32"/>
      <c r="X1364" s="32"/>
      <c r="Y1364" s="32"/>
      <c r="Z1364" s="32"/>
    </row>
    <row r="1365" spans="1:26" ht="15.75" customHeight="1" x14ac:dyDescent="0.3">
      <c r="A1365" s="45"/>
      <c r="B1365" s="46" t="s">
        <v>1686</v>
      </c>
      <c r="C1365" s="194" t="s">
        <v>2023</v>
      </c>
      <c r="D1365" s="46"/>
      <c r="E1365" s="46" t="s">
        <v>1729</v>
      </c>
      <c r="F1365" s="61" t="s">
        <v>31</v>
      </c>
      <c r="G1365" s="288">
        <v>22.37</v>
      </c>
      <c r="H1365" s="289">
        <v>30</v>
      </c>
      <c r="I1365" s="290">
        <v>75</v>
      </c>
      <c r="J1365" s="48" t="s">
        <v>39</v>
      </c>
      <c r="K1365" s="50"/>
      <c r="L1365" s="53" t="str">
        <f t="shared" si="262"/>
        <v>75grams</v>
      </c>
      <c r="M1365" s="54">
        <f t="shared" si="263"/>
        <v>2250</v>
      </c>
      <c r="N1365" s="55" t="str">
        <f t="shared" si="264"/>
        <v>2250grams</v>
      </c>
      <c r="O1365" s="56">
        <f t="shared" si="265"/>
        <v>671.1</v>
      </c>
      <c r="P1365" s="12"/>
      <c r="Q1365" s="12"/>
      <c r="R1365" s="12"/>
      <c r="S1365" s="151"/>
      <c r="T1365" s="12"/>
      <c r="U1365" s="12"/>
      <c r="V1365" s="12"/>
      <c r="W1365" s="12"/>
      <c r="X1365" s="12"/>
      <c r="Y1365" s="12"/>
      <c r="Z1365" s="12"/>
    </row>
    <row r="1366" spans="1:26" ht="15.75" customHeight="1" x14ac:dyDescent="0.3">
      <c r="A1366" s="45">
        <v>416</v>
      </c>
      <c r="B1366" s="46" t="s">
        <v>1686</v>
      </c>
      <c r="C1366" s="194" t="s">
        <v>2025</v>
      </c>
      <c r="D1366" s="46"/>
      <c r="E1366" s="46" t="s">
        <v>1730</v>
      </c>
      <c r="F1366" s="61" t="s">
        <v>31</v>
      </c>
      <c r="G1366" s="288">
        <v>19.16</v>
      </c>
      <c r="H1366" s="289">
        <v>53</v>
      </c>
      <c r="I1366" s="290">
        <v>120</v>
      </c>
      <c r="J1366" s="48" t="s">
        <v>39</v>
      </c>
      <c r="K1366" s="50"/>
      <c r="L1366" s="53" t="str">
        <f t="shared" si="262"/>
        <v>120grams</v>
      </c>
      <c r="M1366" s="54">
        <f t="shared" si="263"/>
        <v>6360</v>
      </c>
      <c r="N1366" s="55" t="str">
        <f t="shared" si="264"/>
        <v>6360grams</v>
      </c>
      <c r="O1366" s="56">
        <f t="shared" si="265"/>
        <v>1015.48</v>
      </c>
      <c r="P1366" s="44">
        <f>O1366/H1366</f>
        <v>19.16</v>
      </c>
      <c r="Q1366" s="66"/>
      <c r="R1366" s="32"/>
      <c r="S1366" s="32"/>
      <c r="T1366" s="32"/>
      <c r="U1366" s="32"/>
      <c r="V1366" s="32"/>
      <c r="W1366" s="32"/>
      <c r="X1366" s="32"/>
      <c r="Y1366" s="32"/>
      <c r="Z1366" s="32"/>
    </row>
    <row r="1367" spans="1:26" ht="15.75" customHeight="1" x14ac:dyDescent="0.3">
      <c r="A1367" s="45"/>
      <c r="B1367" s="46" t="s">
        <v>1686</v>
      </c>
      <c r="C1367" s="194" t="s">
        <v>2023</v>
      </c>
      <c r="D1367" s="46"/>
      <c r="E1367" s="46" t="s">
        <v>1731</v>
      </c>
      <c r="F1367" s="61" t="s">
        <v>31</v>
      </c>
      <c r="G1367" s="288">
        <v>19.61</v>
      </c>
      <c r="H1367" s="289">
        <v>25</v>
      </c>
      <c r="I1367" s="290">
        <v>100</v>
      </c>
      <c r="J1367" s="48" t="s">
        <v>39</v>
      </c>
      <c r="K1367" s="50"/>
      <c r="L1367" s="53" t="str">
        <f t="shared" si="262"/>
        <v>100grams</v>
      </c>
      <c r="M1367" s="54">
        <f t="shared" si="263"/>
        <v>2500</v>
      </c>
      <c r="N1367" s="55" t="str">
        <f t="shared" si="264"/>
        <v>2500grams</v>
      </c>
      <c r="O1367" s="56">
        <f t="shared" si="265"/>
        <v>490.25</v>
      </c>
      <c r="P1367" s="12"/>
      <c r="Q1367" s="12"/>
      <c r="R1367" s="12"/>
      <c r="S1367" s="151"/>
      <c r="T1367" s="12"/>
      <c r="U1367" s="12"/>
      <c r="V1367" s="12"/>
      <c r="W1367" s="12"/>
      <c r="X1367" s="12"/>
      <c r="Y1367" s="12"/>
      <c r="Z1367" s="12"/>
    </row>
    <row r="1368" spans="1:26" ht="15.75" customHeight="1" x14ac:dyDescent="0.3">
      <c r="A1368" s="45">
        <v>413</v>
      </c>
      <c r="B1368" s="46" t="s">
        <v>1686</v>
      </c>
      <c r="C1368" s="194" t="s">
        <v>2025</v>
      </c>
      <c r="D1368" s="46"/>
      <c r="E1368" s="46" t="s">
        <v>1731</v>
      </c>
      <c r="F1368" s="61" t="s">
        <v>31</v>
      </c>
      <c r="G1368" s="288">
        <v>21.45</v>
      </c>
      <c r="H1368" s="289">
        <v>13</v>
      </c>
      <c r="I1368" s="290">
        <v>100</v>
      </c>
      <c r="J1368" s="48" t="s">
        <v>39</v>
      </c>
      <c r="K1368" s="50" t="s">
        <v>2019</v>
      </c>
      <c r="L1368" s="53" t="str">
        <f t="shared" si="262"/>
        <v>100grams</v>
      </c>
      <c r="M1368" s="54">
        <f t="shared" si="263"/>
        <v>1300</v>
      </c>
      <c r="N1368" s="55" t="str">
        <f t="shared" si="264"/>
        <v>1300grams</v>
      </c>
      <c r="O1368" s="56">
        <f t="shared" si="265"/>
        <v>278.84999999999997</v>
      </c>
      <c r="P1368" s="44">
        <f t="shared" ref="P1368:P1369" si="286">O1368/H1368</f>
        <v>21.449999999999996</v>
      </c>
      <c r="Q1368" s="66">
        <f t="shared" ref="Q1368:Q1369" si="287">G1368-P1368</f>
        <v>0</v>
      </c>
      <c r="R1368" s="32" t="b">
        <f t="shared" ref="R1368:R1369" si="288">P1368=G1368</f>
        <v>1</v>
      </c>
      <c r="S1368" s="32"/>
      <c r="T1368" s="32"/>
      <c r="U1368" s="32"/>
      <c r="V1368" s="32"/>
      <c r="W1368" s="32"/>
      <c r="X1368" s="32"/>
      <c r="Y1368" s="32"/>
      <c r="Z1368" s="32"/>
    </row>
    <row r="1369" spans="1:26" ht="15.75" customHeight="1" x14ac:dyDescent="0.3">
      <c r="A1369" s="45">
        <v>648</v>
      </c>
      <c r="B1369" s="46" t="s">
        <v>1686</v>
      </c>
      <c r="C1369" s="194" t="s">
        <v>2026</v>
      </c>
      <c r="D1369" s="46"/>
      <c r="E1369" s="46" t="s">
        <v>1732</v>
      </c>
      <c r="F1369" s="61" t="s">
        <v>31</v>
      </c>
      <c r="G1369" s="288">
        <v>7.74</v>
      </c>
      <c r="H1369" s="289">
        <v>25</v>
      </c>
      <c r="I1369" s="290">
        <v>60</v>
      </c>
      <c r="J1369" s="48" t="s">
        <v>39</v>
      </c>
      <c r="K1369" s="50" t="s">
        <v>2019</v>
      </c>
      <c r="L1369" s="53" t="str">
        <f t="shared" si="262"/>
        <v>60grams</v>
      </c>
      <c r="M1369" s="54">
        <f t="shared" si="263"/>
        <v>1500</v>
      </c>
      <c r="N1369" s="55" t="str">
        <f t="shared" si="264"/>
        <v>1500grams</v>
      </c>
      <c r="O1369" s="56">
        <f t="shared" si="265"/>
        <v>193.5</v>
      </c>
      <c r="P1369" s="44">
        <f t="shared" si="286"/>
        <v>7.74</v>
      </c>
      <c r="Q1369" s="44">
        <f t="shared" si="287"/>
        <v>0</v>
      </c>
      <c r="R1369" s="32" t="b">
        <f t="shared" si="288"/>
        <v>1</v>
      </c>
      <c r="S1369" s="32"/>
      <c r="T1369" s="32"/>
      <c r="U1369" s="32"/>
      <c r="V1369" s="32"/>
      <c r="W1369" s="32"/>
      <c r="X1369" s="32"/>
      <c r="Y1369" s="32"/>
      <c r="Z1369" s="32"/>
    </row>
    <row r="1370" spans="1:26" ht="15.75" customHeight="1" x14ac:dyDescent="0.3">
      <c r="A1370" s="45"/>
      <c r="B1370" s="46" t="s">
        <v>1686</v>
      </c>
      <c r="C1370" s="194" t="s">
        <v>2023</v>
      </c>
      <c r="D1370" s="46"/>
      <c r="E1370" s="46" t="s">
        <v>1732</v>
      </c>
      <c r="F1370" s="61" t="s">
        <v>31</v>
      </c>
      <c r="G1370" s="291">
        <v>15.45</v>
      </c>
      <c r="H1370" s="292">
        <v>19</v>
      </c>
      <c r="I1370" s="290">
        <v>60</v>
      </c>
      <c r="J1370" s="48" t="s">
        <v>39</v>
      </c>
      <c r="K1370" s="50"/>
      <c r="L1370" s="53" t="str">
        <f t="shared" si="262"/>
        <v>60grams</v>
      </c>
      <c r="M1370" s="54">
        <f t="shared" si="263"/>
        <v>1140</v>
      </c>
      <c r="N1370" s="55" t="str">
        <f t="shared" si="264"/>
        <v>1140grams</v>
      </c>
      <c r="O1370" s="56">
        <f t="shared" si="265"/>
        <v>293.55</v>
      </c>
      <c r="P1370" s="12"/>
      <c r="Q1370" s="12"/>
      <c r="R1370" s="12"/>
      <c r="S1370" s="151"/>
      <c r="T1370" s="12"/>
      <c r="U1370" s="12"/>
      <c r="V1370" s="12"/>
      <c r="W1370" s="12"/>
      <c r="X1370" s="12"/>
      <c r="Y1370" s="12"/>
      <c r="Z1370" s="12"/>
    </row>
    <row r="1371" spans="1:26" ht="15.75" customHeight="1" x14ac:dyDescent="0.3">
      <c r="A1371" s="45"/>
      <c r="B1371" s="46" t="s">
        <v>1733</v>
      </c>
      <c r="C1371" s="194" t="s">
        <v>2020</v>
      </c>
      <c r="D1371" s="219"/>
      <c r="E1371" s="46"/>
      <c r="F1371" s="61" t="s">
        <v>31</v>
      </c>
      <c r="G1371" s="288">
        <v>12</v>
      </c>
      <c r="H1371" s="289">
        <v>65</v>
      </c>
      <c r="I1371" s="290">
        <v>1</v>
      </c>
      <c r="J1371" s="48" t="s">
        <v>1734</v>
      </c>
      <c r="K1371" s="50"/>
      <c r="L1371" s="53" t="str">
        <f t="shared" si="262"/>
        <v>1pair</v>
      </c>
      <c r="M1371" s="54">
        <f t="shared" si="263"/>
        <v>65</v>
      </c>
      <c r="N1371" s="55" t="str">
        <f t="shared" si="264"/>
        <v>65pair</v>
      </c>
      <c r="O1371" s="56">
        <f t="shared" si="265"/>
        <v>780</v>
      </c>
      <c r="P1371" s="12"/>
      <c r="Q1371" s="12"/>
      <c r="R1371" s="12"/>
      <c r="S1371" s="151"/>
      <c r="T1371" s="12"/>
      <c r="U1371" s="12"/>
      <c r="V1371" s="12"/>
      <c r="W1371" s="12"/>
      <c r="X1371" s="12"/>
      <c r="Y1371" s="12"/>
      <c r="Z1371" s="12"/>
    </row>
    <row r="1372" spans="1:26" ht="15.75" customHeight="1" x14ac:dyDescent="0.3">
      <c r="A1372" s="45"/>
      <c r="B1372" s="426" t="s">
        <v>1735</v>
      </c>
      <c r="C1372" s="194" t="s">
        <v>2022</v>
      </c>
      <c r="D1372" s="46"/>
      <c r="E1372" s="46" t="s">
        <v>1736</v>
      </c>
      <c r="F1372" s="61" t="s">
        <v>31</v>
      </c>
      <c r="G1372" s="288">
        <v>16.079999999999998</v>
      </c>
      <c r="H1372" s="289">
        <v>12</v>
      </c>
      <c r="I1372" s="290">
        <v>290</v>
      </c>
      <c r="J1372" s="48" t="s">
        <v>32</v>
      </c>
      <c r="K1372" s="50"/>
      <c r="L1372" s="53" t="str">
        <f t="shared" si="262"/>
        <v>290ml</v>
      </c>
      <c r="M1372" s="54">
        <f t="shared" si="263"/>
        <v>3480</v>
      </c>
      <c r="N1372" s="55" t="str">
        <f t="shared" si="264"/>
        <v>3480ml</v>
      </c>
      <c r="O1372" s="56">
        <f t="shared" si="265"/>
        <v>192.95999999999998</v>
      </c>
      <c r="P1372" s="12"/>
      <c r="Q1372" s="12"/>
      <c r="R1372" s="12"/>
      <c r="S1372" s="151"/>
      <c r="T1372" s="12"/>
      <c r="U1372" s="12"/>
      <c r="V1372" s="12"/>
      <c r="W1372" s="12"/>
      <c r="X1372" s="12"/>
      <c r="Y1372" s="12"/>
      <c r="Z1372" s="12"/>
    </row>
    <row r="1373" spans="1:26" ht="15.75" customHeight="1" x14ac:dyDescent="0.3">
      <c r="A1373" s="45">
        <v>400</v>
      </c>
      <c r="B1373" s="426" t="s">
        <v>1735</v>
      </c>
      <c r="C1373" s="194" t="s">
        <v>2025</v>
      </c>
      <c r="D1373" s="46"/>
      <c r="E1373" s="46" t="s">
        <v>1736</v>
      </c>
      <c r="F1373" s="61" t="s">
        <v>31</v>
      </c>
      <c r="G1373" s="288">
        <v>33</v>
      </c>
      <c r="H1373" s="289">
        <v>7</v>
      </c>
      <c r="I1373" s="290">
        <v>1</v>
      </c>
      <c r="J1373" s="438" t="s">
        <v>92</v>
      </c>
      <c r="K1373" s="50"/>
      <c r="L1373" s="53" t="str">
        <f t="shared" si="262"/>
        <v>1pieces</v>
      </c>
      <c r="M1373" s="54">
        <f t="shared" si="263"/>
        <v>7</v>
      </c>
      <c r="N1373" s="55" t="str">
        <f t="shared" si="264"/>
        <v>7pieces</v>
      </c>
      <c r="O1373" s="56">
        <f t="shared" si="265"/>
        <v>231</v>
      </c>
      <c r="P1373" s="44">
        <f t="shared" ref="P1373:P1381" si="289">O1373/H1373</f>
        <v>33</v>
      </c>
      <c r="Q1373" s="66"/>
      <c r="R1373" s="32" t="b">
        <f>P1373=G1373</f>
        <v>1</v>
      </c>
      <c r="S1373" s="32"/>
      <c r="T1373" s="32"/>
      <c r="U1373" s="32"/>
      <c r="V1373" s="32"/>
      <c r="W1373" s="32"/>
      <c r="X1373" s="32"/>
      <c r="Y1373" s="32"/>
      <c r="Z1373" s="32"/>
    </row>
    <row r="1374" spans="1:26" ht="15.75" customHeight="1" x14ac:dyDescent="0.3">
      <c r="A1374" s="45">
        <v>522</v>
      </c>
      <c r="B1374" s="46" t="s">
        <v>1735</v>
      </c>
      <c r="C1374" s="194" t="s">
        <v>2026</v>
      </c>
      <c r="D1374" s="46"/>
      <c r="E1374" s="46" t="s">
        <v>1736</v>
      </c>
      <c r="F1374" s="61" t="s">
        <v>31</v>
      </c>
      <c r="G1374" s="288">
        <v>27.64</v>
      </c>
      <c r="H1374" s="289">
        <v>26</v>
      </c>
      <c r="I1374" s="290">
        <v>320</v>
      </c>
      <c r="J1374" s="48" t="s">
        <v>32</v>
      </c>
      <c r="K1374" s="50"/>
      <c r="L1374" s="53" t="str">
        <f t="shared" si="262"/>
        <v>320ml</v>
      </c>
      <c r="M1374" s="54">
        <f t="shared" si="263"/>
        <v>8320</v>
      </c>
      <c r="N1374" s="55" t="str">
        <f t="shared" si="264"/>
        <v>8320ml</v>
      </c>
      <c r="O1374" s="56">
        <f t="shared" si="265"/>
        <v>718.64</v>
      </c>
      <c r="P1374" s="44">
        <f t="shared" si="289"/>
        <v>27.64</v>
      </c>
      <c r="Q1374" s="66"/>
      <c r="R1374" s="32"/>
      <c r="S1374" s="32"/>
      <c r="T1374" s="32"/>
      <c r="U1374" s="32"/>
      <c r="V1374" s="32"/>
      <c r="W1374" s="32"/>
      <c r="X1374" s="32"/>
      <c r="Y1374" s="32"/>
      <c r="Z1374" s="32"/>
    </row>
    <row r="1375" spans="1:26" ht="15.75" customHeight="1" x14ac:dyDescent="0.3">
      <c r="A1375" s="45">
        <v>523</v>
      </c>
      <c r="B1375" s="46" t="s">
        <v>1735</v>
      </c>
      <c r="C1375" s="194" t="s">
        <v>2026</v>
      </c>
      <c r="D1375" s="46"/>
      <c r="E1375" s="46" t="s">
        <v>1737</v>
      </c>
      <c r="F1375" s="61" t="s">
        <v>31</v>
      </c>
      <c r="G1375" s="288">
        <v>30.07</v>
      </c>
      <c r="H1375" s="289">
        <v>24</v>
      </c>
      <c r="I1375" s="290">
        <v>320</v>
      </c>
      <c r="J1375" s="48" t="s">
        <v>32</v>
      </c>
      <c r="K1375" s="50"/>
      <c r="L1375" s="53" t="str">
        <f t="shared" si="262"/>
        <v>320ml</v>
      </c>
      <c r="M1375" s="54">
        <f t="shared" si="263"/>
        <v>7680</v>
      </c>
      <c r="N1375" s="55" t="str">
        <f t="shared" si="264"/>
        <v>7680ml</v>
      </c>
      <c r="O1375" s="56">
        <f t="shared" si="265"/>
        <v>721.68000000000006</v>
      </c>
      <c r="P1375" s="44">
        <f t="shared" si="289"/>
        <v>30.070000000000004</v>
      </c>
      <c r="Q1375" s="66"/>
      <c r="R1375" s="32"/>
      <c r="S1375" s="32"/>
      <c r="T1375" s="32"/>
      <c r="U1375" s="32"/>
      <c r="V1375" s="32"/>
      <c r="W1375" s="32"/>
      <c r="X1375" s="32"/>
      <c r="Y1375" s="32"/>
      <c r="Z1375" s="32"/>
    </row>
    <row r="1376" spans="1:26" ht="15.75" customHeight="1" x14ac:dyDescent="0.3">
      <c r="A1376" s="45">
        <v>399</v>
      </c>
      <c r="B1376" s="426" t="s">
        <v>1735</v>
      </c>
      <c r="C1376" s="194" t="s">
        <v>2025</v>
      </c>
      <c r="D1376" s="46"/>
      <c r="E1376" s="46" t="s">
        <v>1738</v>
      </c>
      <c r="F1376" s="61" t="s">
        <v>31</v>
      </c>
      <c r="G1376" s="288">
        <v>32.6</v>
      </c>
      <c r="H1376" s="289">
        <v>22</v>
      </c>
      <c r="I1376" s="290">
        <v>320</v>
      </c>
      <c r="J1376" s="48" t="s">
        <v>32</v>
      </c>
      <c r="K1376" s="50"/>
      <c r="L1376" s="53" t="str">
        <f t="shared" si="262"/>
        <v>320ml</v>
      </c>
      <c r="M1376" s="54">
        <f t="shared" si="263"/>
        <v>7040</v>
      </c>
      <c r="N1376" s="55" t="str">
        <f t="shared" si="264"/>
        <v>7040ml</v>
      </c>
      <c r="O1376" s="56">
        <f t="shared" si="265"/>
        <v>717.2</v>
      </c>
      <c r="P1376" s="44">
        <f t="shared" si="289"/>
        <v>32.6</v>
      </c>
      <c r="Q1376" s="66"/>
      <c r="R1376" s="32" t="b">
        <f t="shared" ref="R1376:R1378" si="290">P1376=G1376</f>
        <v>1</v>
      </c>
      <c r="S1376" s="32"/>
      <c r="T1376" s="32"/>
      <c r="U1376" s="32"/>
      <c r="V1376" s="32"/>
      <c r="W1376" s="32"/>
      <c r="X1376" s="32"/>
      <c r="Y1376" s="32"/>
      <c r="Z1376" s="32"/>
    </row>
    <row r="1377" spans="1:26" ht="15.75" customHeight="1" x14ac:dyDescent="0.3">
      <c r="A1377" s="45">
        <v>527</v>
      </c>
      <c r="B1377" s="426" t="s">
        <v>1735</v>
      </c>
      <c r="C1377" s="194" t="s">
        <v>2026</v>
      </c>
      <c r="D1377" s="46"/>
      <c r="E1377" s="46" t="s">
        <v>1739</v>
      </c>
      <c r="F1377" s="61" t="s">
        <v>31</v>
      </c>
      <c r="G1377" s="288">
        <v>25.63</v>
      </c>
      <c r="H1377" s="289">
        <v>24</v>
      </c>
      <c r="I1377" s="290">
        <v>250</v>
      </c>
      <c r="J1377" s="48" t="s">
        <v>32</v>
      </c>
      <c r="K1377" s="50"/>
      <c r="L1377" s="53" t="str">
        <f t="shared" si="262"/>
        <v>250ml</v>
      </c>
      <c r="M1377" s="54">
        <f t="shared" si="263"/>
        <v>6000</v>
      </c>
      <c r="N1377" s="55" t="str">
        <f t="shared" si="264"/>
        <v>6000ml</v>
      </c>
      <c r="O1377" s="56">
        <f t="shared" si="265"/>
        <v>615.12</v>
      </c>
      <c r="P1377" s="44">
        <f t="shared" si="289"/>
        <v>25.63</v>
      </c>
      <c r="Q1377" s="66"/>
      <c r="R1377" s="32" t="b">
        <f t="shared" si="290"/>
        <v>1</v>
      </c>
      <c r="S1377" s="32"/>
      <c r="T1377" s="32"/>
      <c r="U1377" s="32"/>
      <c r="V1377" s="32"/>
      <c r="W1377" s="32"/>
      <c r="X1377" s="32"/>
      <c r="Y1377" s="32"/>
      <c r="Z1377" s="32"/>
    </row>
    <row r="1378" spans="1:26" ht="15.75" customHeight="1" x14ac:dyDescent="0.3">
      <c r="A1378" s="45">
        <v>102</v>
      </c>
      <c r="B1378" s="426" t="s">
        <v>1735</v>
      </c>
      <c r="C1378" s="194" t="s">
        <v>2024</v>
      </c>
      <c r="D1378" s="46"/>
      <c r="E1378" s="46" t="s">
        <v>1740</v>
      </c>
      <c r="F1378" s="61" t="s">
        <v>31</v>
      </c>
      <c r="G1378" s="288">
        <v>25.63</v>
      </c>
      <c r="H1378" s="289">
        <v>40</v>
      </c>
      <c r="I1378" s="290">
        <v>250</v>
      </c>
      <c r="J1378" s="48" t="s">
        <v>32</v>
      </c>
      <c r="K1378" s="50"/>
      <c r="L1378" s="53" t="str">
        <f t="shared" si="262"/>
        <v>250ml</v>
      </c>
      <c r="M1378" s="54">
        <f t="shared" si="263"/>
        <v>10000</v>
      </c>
      <c r="N1378" s="55" t="str">
        <f t="shared" si="264"/>
        <v>10000ml</v>
      </c>
      <c r="O1378" s="56">
        <f t="shared" si="265"/>
        <v>1025.2</v>
      </c>
      <c r="P1378" s="44">
        <f t="shared" si="289"/>
        <v>25.630000000000003</v>
      </c>
      <c r="Q1378" s="66"/>
      <c r="R1378" s="32" t="b">
        <f t="shared" si="290"/>
        <v>1</v>
      </c>
      <c r="S1378" s="32"/>
      <c r="T1378" s="32"/>
      <c r="U1378" s="32"/>
      <c r="V1378" s="32"/>
      <c r="W1378" s="32"/>
      <c r="X1378" s="32"/>
      <c r="Y1378" s="32"/>
      <c r="Z1378" s="32"/>
    </row>
    <row r="1379" spans="1:26" ht="15.75" customHeight="1" x14ac:dyDescent="0.3">
      <c r="A1379" s="45">
        <v>528</v>
      </c>
      <c r="B1379" s="426" t="s">
        <v>1735</v>
      </c>
      <c r="C1379" s="194" t="s">
        <v>2026</v>
      </c>
      <c r="D1379" s="46"/>
      <c r="E1379" s="46" t="s">
        <v>1740</v>
      </c>
      <c r="F1379" s="61" t="s">
        <v>31</v>
      </c>
      <c r="G1379" s="288">
        <v>25.63</v>
      </c>
      <c r="H1379" s="289">
        <v>24</v>
      </c>
      <c r="I1379" s="290">
        <v>250</v>
      </c>
      <c r="J1379" s="48" t="s">
        <v>32</v>
      </c>
      <c r="K1379" s="50"/>
      <c r="L1379" s="53" t="str">
        <f t="shared" si="262"/>
        <v>250ml</v>
      </c>
      <c r="M1379" s="54">
        <f t="shared" si="263"/>
        <v>6000</v>
      </c>
      <c r="N1379" s="55" t="str">
        <f t="shared" si="264"/>
        <v>6000ml</v>
      </c>
      <c r="O1379" s="56">
        <f t="shared" si="265"/>
        <v>615.12</v>
      </c>
      <c r="P1379" s="44">
        <f t="shared" si="289"/>
        <v>25.63</v>
      </c>
      <c r="Q1379" s="66"/>
      <c r="R1379" s="32"/>
      <c r="S1379" s="32"/>
      <c r="T1379" s="32"/>
      <c r="U1379" s="32"/>
      <c r="V1379" s="32"/>
      <c r="W1379" s="32"/>
      <c r="X1379" s="32"/>
      <c r="Y1379" s="32"/>
      <c r="Z1379" s="32"/>
    </row>
    <row r="1380" spans="1:26" ht="15.75" customHeight="1" x14ac:dyDescent="0.3">
      <c r="A1380" s="45">
        <v>403</v>
      </c>
      <c r="B1380" s="426" t="s">
        <v>1735</v>
      </c>
      <c r="C1380" s="194" t="s">
        <v>2025</v>
      </c>
      <c r="D1380" s="46"/>
      <c r="E1380" s="46" t="s">
        <v>1739</v>
      </c>
      <c r="F1380" s="61" t="s">
        <v>31</v>
      </c>
      <c r="G1380" s="288">
        <v>24</v>
      </c>
      <c r="H1380" s="289">
        <v>35</v>
      </c>
      <c r="I1380" s="290">
        <v>250</v>
      </c>
      <c r="J1380" s="48" t="s">
        <v>32</v>
      </c>
      <c r="K1380" s="50"/>
      <c r="L1380" s="53" t="str">
        <f t="shared" si="262"/>
        <v>250ml</v>
      </c>
      <c r="M1380" s="54">
        <f t="shared" si="263"/>
        <v>8750</v>
      </c>
      <c r="N1380" s="55" t="str">
        <f t="shared" si="264"/>
        <v>8750ml</v>
      </c>
      <c r="O1380" s="56">
        <f t="shared" si="265"/>
        <v>840</v>
      </c>
      <c r="P1380" s="44">
        <f t="shared" si="289"/>
        <v>24</v>
      </c>
      <c r="Q1380" s="66"/>
      <c r="R1380" s="32" t="b">
        <f t="shared" ref="R1380:R1381" si="291">P1380=G1380</f>
        <v>1</v>
      </c>
      <c r="S1380" s="32"/>
      <c r="T1380" s="32"/>
      <c r="U1380" s="32"/>
      <c r="V1380" s="32"/>
      <c r="W1380" s="32"/>
      <c r="X1380" s="32"/>
      <c r="Y1380" s="32"/>
      <c r="Z1380" s="32"/>
    </row>
    <row r="1381" spans="1:26" ht="15.75" customHeight="1" x14ac:dyDescent="0.3">
      <c r="A1381" s="45">
        <v>404</v>
      </c>
      <c r="B1381" s="426" t="s">
        <v>1735</v>
      </c>
      <c r="C1381" s="194" t="s">
        <v>2025</v>
      </c>
      <c r="D1381" s="46"/>
      <c r="E1381" s="46" t="s">
        <v>1741</v>
      </c>
      <c r="F1381" s="61" t="s">
        <v>31</v>
      </c>
      <c r="G1381" s="288">
        <v>24</v>
      </c>
      <c r="H1381" s="289">
        <v>11</v>
      </c>
      <c r="I1381" s="290">
        <v>250</v>
      </c>
      <c r="J1381" s="48" t="s">
        <v>32</v>
      </c>
      <c r="K1381" s="50"/>
      <c r="L1381" s="53" t="str">
        <f t="shared" si="262"/>
        <v>250ml</v>
      </c>
      <c r="M1381" s="54">
        <f t="shared" si="263"/>
        <v>2750</v>
      </c>
      <c r="N1381" s="55" t="str">
        <f t="shared" si="264"/>
        <v>2750ml</v>
      </c>
      <c r="O1381" s="56">
        <f t="shared" si="265"/>
        <v>264</v>
      </c>
      <c r="P1381" s="44">
        <f t="shared" si="289"/>
        <v>24</v>
      </c>
      <c r="Q1381" s="66"/>
      <c r="R1381" s="32" t="b">
        <f t="shared" si="291"/>
        <v>1</v>
      </c>
      <c r="S1381" s="32"/>
      <c r="T1381" s="32"/>
      <c r="U1381" s="32"/>
      <c r="V1381" s="32"/>
      <c r="W1381" s="32"/>
      <c r="X1381" s="32"/>
      <c r="Y1381" s="32"/>
      <c r="Z1381" s="32"/>
    </row>
    <row r="1382" spans="1:26" ht="15.75" customHeight="1" x14ac:dyDescent="0.3">
      <c r="A1382" s="45"/>
      <c r="B1382" s="219" t="s">
        <v>1735</v>
      </c>
      <c r="C1382" s="194" t="s">
        <v>2021</v>
      </c>
      <c r="D1382" s="46"/>
      <c r="E1382" s="219" t="s">
        <v>1742</v>
      </c>
      <c r="F1382" s="61" t="s">
        <v>31</v>
      </c>
      <c r="G1382" s="291">
        <v>61</v>
      </c>
      <c r="H1382" s="292">
        <v>2</v>
      </c>
      <c r="I1382" s="293">
        <v>2</v>
      </c>
      <c r="J1382" s="414" t="s">
        <v>773</v>
      </c>
      <c r="K1382" s="50"/>
      <c r="L1382" s="53" t="str">
        <f t="shared" si="262"/>
        <v>2liters</v>
      </c>
      <c r="M1382" s="54">
        <f t="shared" si="263"/>
        <v>4</v>
      </c>
      <c r="N1382" s="55" t="str">
        <f t="shared" si="264"/>
        <v>4liters</v>
      </c>
      <c r="O1382" s="56">
        <f t="shared" si="265"/>
        <v>122</v>
      </c>
      <c r="P1382" s="12"/>
      <c r="Q1382" s="12"/>
      <c r="R1382" s="12"/>
      <c r="S1382" s="151"/>
      <c r="T1382" s="12"/>
      <c r="U1382" s="12"/>
      <c r="V1382" s="12"/>
      <c r="W1382" s="12"/>
      <c r="X1382" s="12"/>
      <c r="Y1382" s="12"/>
      <c r="Z1382" s="12"/>
    </row>
    <row r="1383" spans="1:26" ht="15.75" customHeight="1" x14ac:dyDescent="0.3">
      <c r="A1383" s="45"/>
      <c r="B1383" s="219" t="s">
        <v>1735</v>
      </c>
      <c r="C1383" s="194" t="s">
        <v>2022</v>
      </c>
      <c r="D1383" s="46"/>
      <c r="E1383" s="219" t="s">
        <v>1742</v>
      </c>
      <c r="F1383" s="61" t="s">
        <v>31</v>
      </c>
      <c r="G1383" s="288">
        <v>63</v>
      </c>
      <c r="H1383" s="289">
        <v>51</v>
      </c>
      <c r="I1383" s="290">
        <v>2</v>
      </c>
      <c r="J1383" s="48" t="s">
        <v>773</v>
      </c>
      <c r="K1383" s="50"/>
      <c r="L1383" s="53" t="str">
        <f t="shared" si="262"/>
        <v>2liters</v>
      </c>
      <c r="M1383" s="54">
        <f t="shared" si="263"/>
        <v>102</v>
      </c>
      <c r="N1383" s="55" t="str">
        <f t="shared" si="264"/>
        <v>102liters</v>
      </c>
      <c r="O1383" s="56">
        <f t="shared" si="265"/>
        <v>3213</v>
      </c>
      <c r="P1383" s="12"/>
      <c r="Q1383" s="12"/>
      <c r="R1383" s="12"/>
      <c r="S1383" s="151"/>
      <c r="T1383" s="12"/>
      <c r="U1383" s="12"/>
      <c r="V1383" s="12"/>
      <c r="W1383" s="12"/>
      <c r="X1383" s="12"/>
      <c r="Y1383" s="12"/>
      <c r="Z1383" s="12"/>
    </row>
    <row r="1384" spans="1:26" ht="15.75" customHeight="1" x14ac:dyDescent="0.3">
      <c r="A1384" s="45"/>
      <c r="B1384" s="46" t="s">
        <v>1735</v>
      </c>
      <c r="C1384" s="194" t="s">
        <v>2022</v>
      </c>
      <c r="D1384" s="46"/>
      <c r="E1384" s="46" t="s">
        <v>1743</v>
      </c>
      <c r="F1384" s="61" t="s">
        <v>31</v>
      </c>
      <c r="G1384" s="288">
        <v>22.16</v>
      </c>
      <c r="H1384" s="289">
        <v>4</v>
      </c>
      <c r="I1384" s="290">
        <v>180</v>
      </c>
      <c r="J1384" s="48" t="s">
        <v>32</v>
      </c>
      <c r="K1384" s="50"/>
      <c r="L1384" s="53" t="str">
        <f t="shared" si="262"/>
        <v>180ml</v>
      </c>
      <c r="M1384" s="54">
        <f t="shared" si="263"/>
        <v>720</v>
      </c>
      <c r="N1384" s="55" t="str">
        <f t="shared" si="264"/>
        <v>720ml</v>
      </c>
      <c r="O1384" s="56">
        <f t="shared" si="265"/>
        <v>88.64</v>
      </c>
      <c r="P1384" s="12"/>
      <c r="Q1384" s="12"/>
      <c r="R1384" s="12"/>
      <c r="S1384" s="151"/>
      <c r="T1384" s="12"/>
      <c r="U1384" s="12"/>
      <c r="V1384" s="12"/>
      <c r="W1384" s="12"/>
      <c r="X1384" s="12"/>
      <c r="Y1384" s="12"/>
      <c r="Z1384" s="12"/>
    </row>
    <row r="1385" spans="1:26" ht="15.75" customHeight="1" x14ac:dyDescent="0.3">
      <c r="A1385" s="45"/>
      <c r="B1385" s="46" t="s">
        <v>1735</v>
      </c>
      <c r="C1385" s="194" t="s">
        <v>2020</v>
      </c>
      <c r="D1385" s="46"/>
      <c r="E1385" s="46" t="s">
        <v>1744</v>
      </c>
      <c r="F1385" s="61" t="s">
        <v>31</v>
      </c>
      <c r="G1385" s="288">
        <v>16.66</v>
      </c>
      <c r="H1385" s="289">
        <v>12</v>
      </c>
      <c r="I1385" s="290">
        <v>290</v>
      </c>
      <c r="J1385" s="48" t="s">
        <v>32</v>
      </c>
      <c r="K1385" s="50"/>
      <c r="L1385" s="53" t="str">
        <f t="shared" si="262"/>
        <v>290ml</v>
      </c>
      <c r="M1385" s="54">
        <f t="shared" si="263"/>
        <v>3480</v>
      </c>
      <c r="N1385" s="55" t="str">
        <f t="shared" si="264"/>
        <v>3480ml</v>
      </c>
      <c r="O1385" s="56">
        <f t="shared" si="265"/>
        <v>199.92000000000002</v>
      </c>
      <c r="P1385" s="12"/>
      <c r="Q1385" s="12"/>
      <c r="R1385" s="12"/>
      <c r="S1385" s="151"/>
      <c r="T1385" s="12"/>
      <c r="U1385" s="12"/>
      <c r="V1385" s="12"/>
      <c r="W1385" s="12"/>
      <c r="X1385" s="12"/>
      <c r="Y1385" s="12"/>
      <c r="Z1385" s="12"/>
    </row>
    <row r="1386" spans="1:26" ht="15.75" customHeight="1" x14ac:dyDescent="0.3">
      <c r="A1386" s="45">
        <v>779</v>
      </c>
      <c r="B1386" s="46" t="s">
        <v>1735</v>
      </c>
      <c r="C1386" s="194" t="s">
        <v>1368</v>
      </c>
      <c r="D1386" s="46"/>
      <c r="E1386" s="219" t="s">
        <v>1742</v>
      </c>
      <c r="F1386" s="61" t="s">
        <v>31</v>
      </c>
      <c r="G1386" s="288">
        <v>65.25</v>
      </c>
      <c r="H1386" s="289">
        <v>36</v>
      </c>
      <c r="I1386" s="290">
        <v>2</v>
      </c>
      <c r="J1386" s="48" t="s">
        <v>773</v>
      </c>
      <c r="K1386" s="50"/>
      <c r="L1386" s="53" t="str">
        <f t="shared" si="262"/>
        <v>2liters</v>
      </c>
      <c r="M1386" s="54">
        <f t="shared" si="263"/>
        <v>72</v>
      </c>
      <c r="N1386" s="55" t="str">
        <f t="shared" si="264"/>
        <v>72liters</v>
      </c>
      <c r="O1386" s="56">
        <f t="shared" si="265"/>
        <v>2349</v>
      </c>
      <c r="P1386" s="44">
        <f t="shared" ref="P1386:P1387" si="292">O1386/H1386</f>
        <v>65.25</v>
      </c>
      <c r="Q1386" s="66"/>
      <c r="R1386" s="32" t="b">
        <f t="shared" ref="R1386:R1387" si="293">P1386=G1386</f>
        <v>1</v>
      </c>
      <c r="S1386" s="32"/>
      <c r="T1386" s="32"/>
      <c r="U1386" s="32"/>
      <c r="V1386" s="32"/>
      <c r="W1386" s="32"/>
      <c r="X1386" s="32"/>
      <c r="Y1386" s="32"/>
      <c r="Z1386" s="32"/>
    </row>
    <row r="1387" spans="1:26" ht="15.75" customHeight="1" x14ac:dyDescent="0.3">
      <c r="A1387" s="45">
        <v>515</v>
      </c>
      <c r="B1387" s="46" t="s">
        <v>1735</v>
      </c>
      <c r="C1387" s="194" t="s">
        <v>2026</v>
      </c>
      <c r="D1387" s="46"/>
      <c r="E1387" s="46" t="s">
        <v>1745</v>
      </c>
      <c r="F1387" s="61" t="s">
        <v>31</v>
      </c>
      <c r="G1387" s="288">
        <v>754.3</v>
      </c>
      <c r="H1387" s="289">
        <v>72</v>
      </c>
      <c r="I1387" s="290">
        <v>320</v>
      </c>
      <c r="J1387" s="48" t="s">
        <v>32</v>
      </c>
      <c r="K1387" s="50"/>
      <c r="L1387" s="53" t="str">
        <f t="shared" si="262"/>
        <v>320ml</v>
      </c>
      <c r="M1387" s="54">
        <f t="shared" si="263"/>
        <v>23040</v>
      </c>
      <c r="N1387" s="55" t="str">
        <f t="shared" si="264"/>
        <v>23040ml</v>
      </c>
      <c r="O1387" s="56">
        <f t="shared" si="265"/>
        <v>54309.599999999999</v>
      </c>
      <c r="P1387" s="44">
        <f t="shared" si="292"/>
        <v>754.3</v>
      </c>
      <c r="Q1387" s="66"/>
      <c r="R1387" s="32" t="b">
        <f t="shared" si="293"/>
        <v>1</v>
      </c>
      <c r="S1387" s="32"/>
      <c r="T1387" s="32"/>
      <c r="U1387" s="32"/>
      <c r="V1387" s="32"/>
      <c r="W1387" s="32"/>
      <c r="X1387" s="32"/>
      <c r="Y1387" s="32"/>
      <c r="Z1387" s="32"/>
    </row>
    <row r="1388" spans="1:26" ht="15.75" customHeight="1" x14ac:dyDescent="0.3">
      <c r="A1388" s="45"/>
      <c r="B1388" s="46" t="s">
        <v>1735</v>
      </c>
      <c r="C1388" s="194" t="s">
        <v>2023</v>
      </c>
      <c r="D1388" s="46"/>
      <c r="E1388" s="46" t="s">
        <v>1745</v>
      </c>
      <c r="F1388" s="61" t="s">
        <v>31</v>
      </c>
      <c r="G1388" s="288">
        <v>32.700000000000003</v>
      </c>
      <c r="H1388" s="289">
        <v>15</v>
      </c>
      <c r="I1388" s="290">
        <v>320</v>
      </c>
      <c r="J1388" s="48" t="s">
        <v>32</v>
      </c>
      <c r="K1388" s="50"/>
      <c r="L1388" s="53" t="str">
        <f t="shared" si="262"/>
        <v>320ml</v>
      </c>
      <c r="M1388" s="54">
        <f t="shared" si="263"/>
        <v>4800</v>
      </c>
      <c r="N1388" s="55" t="str">
        <f t="shared" si="264"/>
        <v>4800ml</v>
      </c>
      <c r="O1388" s="56">
        <f t="shared" si="265"/>
        <v>490.50000000000006</v>
      </c>
      <c r="P1388" s="12"/>
      <c r="Q1388" s="12"/>
      <c r="R1388" s="12"/>
      <c r="S1388" s="151"/>
      <c r="T1388" s="12"/>
      <c r="U1388" s="12"/>
      <c r="V1388" s="12"/>
      <c r="W1388" s="12"/>
      <c r="X1388" s="12"/>
      <c r="Y1388" s="12"/>
      <c r="Z1388" s="12"/>
    </row>
    <row r="1389" spans="1:26" ht="15.75" customHeight="1" x14ac:dyDescent="0.3">
      <c r="A1389" s="45"/>
      <c r="B1389" s="46" t="s">
        <v>1735</v>
      </c>
      <c r="C1389" s="194" t="s">
        <v>2021</v>
      </c>
      <c r="D1389" s="46"/>
      <c r="E1389" s="46" t="s">
        <v>1745</v>
      </c>
      <c r="F1389" s="61" t="s">
        <v>31</v>
      </c>
      <c r="G1389" s="291">
        <v>30.4</v>
      </c>
      <c r="H1389" s="292">
        <v>25</v>
      </c>
      <c r="I1389" s="293">
        <v>320</v>
      </c>
      <c r="J1389" s="414" t="s">
        <v>32</v>
      </c>
      <c r="K1389" s="50"/>
      <c r="L1389" s="53" t="str">
        <f t="shared" si="262"/>
        <v>320ml</v>
      </c>
      <c r="M1389" s="54">
        <f t="shared" si="263"/>
        <v>8000</v>
      </c>
      <c r="N1389" s="55" t="str">
        <f t="shared" si="264"/>
        <v>8000ml</v>
      </c>
      <c r="O1389" s="56">
        <f t="shared" si="265"/>
        <v>760</v>
      </c>
      <c r="P1389" s="12"/>
      <c r="Q1389" s="12"/>
      <c r="R1389" s="12"/>
      <c r="S1389" s="151"/>
      <c r="T1389" s="12"/>
      <c r="U1389" s="12"/>
      <c r="V1389" s="12"/>
      <c r="W1389" s="12"/>
      <c r="X1389" s="12"/>
      <c r="Y1389" s="12"/>
      <c r="Z1389" s="12"/>
    </row>
    <row r="1390" spans="1:26" ht="15.75" customHeight="1" x14ac:dyDescent="0.3">
      <c r="A1390" s="45">
        <v>398</v>
      </c>
      <c r="B1390" s="46" t="s">
        <v>1735</v>
      </c>
      <c r="C1390" s="194" t="s">
        <v>2025</v>
      </c>
      <c r="D1390" s="46"/>
      <c r="E1390" s="46" t="s">
        <v>1745</v>
      </c>
      <c r="F1390" s="61" t="s">
        <v>31</v>
      </c>
      <c r="G1390" s="288">
        <v>32.6</v>
      </c>
      <c r="H1390" s="289">
        <v>32</v>
      </c>
      <c r="I1390" s="293">
        <v>320</v>
      </c>
      <c r="J1390" s="414" t="s">
        <v>32</v>
      </c>
      <c r="K1390" s="50"/>
      <c r="L1390" s="53" t="str">
        <f t="shared" si="262"/>
        <v>320ml</v>
      </c>
      <c r="M1390" s="54">
        <f t="shared" si="263"/>
        <v>10240</v>
      </c>
      <c r="N1390" s="55" t="str">
        <f t="shared" si="264"/>
        <v>10240ml</v>
      </c>
      <c r="O1390" s="56">
        <f t="shared" si="265"/>
        <v>1043.2</v>
      </c>
      <c r="P1390" s="44">
        <f>O1390/H1390</f>
        <v>32.6</v>
      </c>
      <c r="Q1390" s="66"/>
      <c r="R1390" s="32" t="b">
        <f>P1390=G1390</f>
        <v>1</v>
      </c>
      <c r="S1390" s="32"/>
      <c r="T1390" s="32"/>
      <c r="U1390" s="32"/>
      <c r="V1390" s="32"/>
      <c r="W1390" s="32"/>
      <c r="X1390" s="32"/>
      <c r="Y1390" s="32"/>
      <c r="Z1390" s="32"/>
    </row>
    <row r="1391" spans="1:26" ht="15.75" customHeight="1" x14ac:dyDescent="0.3">
      <c r="A1391" s="45"/>
      <c r="B1391" s="46" t="s">
        <v>1735</v>
      </c>
      <c r="C1391" s="194" t="s">
        <v>2021</v>
      </c>
      <c r="D1391" s="46"/>
      <c r="E1391" s="219" t="s">
        <v>1746</v>
      </c>
      <c r="F1391" s="61" t="s">
        <v>31</v>
      </c>
      <c r="G1391" s="291">
        <v>68.5</v>
      </c>
      <c r="H1391" s="292">
        <v>20</v>
      </c>
      <c r="I1391" s="293">
        <v>2</v>
      </c>
      <c r="J1391" s="414" t="s">
        <v>773</v>
      </c>
      <c r="K1391" s="50"/>
      <c r="L1391" s="53" t="str">
        <f t="shared" si="262"/>
        <v>2liters</v>
      </c>
      <c r="M1391" s="54">
        <f t="shared" si="263"/>
        <v>40</v>
      </c>
      <c r="N1391" s="55" t="str">
        <f t="shared" si="264"/>
        <v>40liters</v>
      </c>
      <c r="O1391" s="56">
        <f t="shared" si="265"/>
        <v>1370</v>
      </c>
      <c r="P1391" s="12"/>
      <c r="Q1391" s="12"/>
      <c r="R1391" s="12"/>
      <c r="S1391" s="151"/>
      <c r="T1391" s="12"/>
      <c r="U1391" s="12"/>
      <c r="V1391" s="12"/>
      <c r="W1391" s="12"/>
      <c r="X1391" s="12"/>
      <c r="Y1391" s="12"/>
      <c r="Z1391" s="12"/>
    </row>
    <row r="1392" spans="1:26" ht="15.75" customHeight="1" x14ac:dyDescent="0.3">
      <c r="A1392" s="45">
        <v>153</v>
      </c>
      <c r="B1392" s="46" t="s">
        <v>1735</v>
      </c>
      <c r="C1392" s="194" t="s">
        <v>2024</v>
      </c>
      <c r="D1392" s="46"/>
      <c r="E1392" s="46" t="s">
        <v>1747</v>
      </c>
      <c r="F1392" s="61" t="s">
        <v>31</v>
      </c>
      <c r="G1392" s="288">
        <v>31.6</v>
      </c>
      <c r="H1392" s="289">
        <v>5</v>
      </c>
      <c r="I1392" s="290">
        <v>320</v>
      </c>
      <c r="J1392" s="48" t="s">
        <v>32</v>
      </c>
      <c r="K1392" s="50"/>
      <c r="L1392" s="53" t="str">
        <f t="shared" si="262"/>
        <v>320ml</v>
      </c>
      <c r="M1392" s="54">
        <f t="shared" si="263"/>
        <v>1600</v>
      </c>
      <c r="N1392" s="55" t="str">
        <f t="shared" si="264"/>
        <v>1600ml</v>
      </c>
      <c r="O1392" s="56">
        <f t="shared" si="265"/>
        <v>158</v>
      </c>
      <c r="P1392" s="44">
        <f t="shared" ref="P1392:P1393" si="294">O1392/H1392</f>
        <v>31.6</v>
      </c>
      <c r="Q1392" s="66"/>
      <c r="R1392" s="32" t="b">
        <f t="shared" ref="R1392:R1393" si="295">P1392=G1392</f>
        <v>1</v>
      </c>
      <c r="S1392" s="32"/>
      <c r="T1392" s="32"/>
      <c r="U1392" s="32"/>
      <c r="V1392" s="32"/>
      <c r="W1392" s="32"/>
      <c r="X1392" s="32"/>
      <c r="Y1392" s="32"/>
      <c r="Z1392" s="32"/>
    </row>
    <row r="1393" spans="1:26" ht="15.75" customHeight="1" x14ac:dyDescent="0.3">
      <c r="A1393" s="45">
        <v>516</v>
      </c>
      <c r="B1393" s="46" t="s">
        <v>1735</v>
      </c>
      <c r="C1393" s="194" t="s">
        <v>2026</v>
      </c>
      <c r="D1393" s="46"/>
      <c r="E1393" s="46" t="s">
        <v>1747</v>
      </c>
      <c r="F1393" s="61" t="s">
        <v>31</v>
      </c>
      <c r="G1393" s="288">
        <v>31.57</v>
      </c>
      <c r="H1393" s="289">
        <v>60</v>
      </c>
      <c r="I1393" s="290">
        <v>320</v>
      </c>
      <c r="J1393" s="48" t="s">
        <v>32</v>
      </c>
      <c r="K1393" s="50"/>
      <c r="L1393" s="53" t="str">
        <f t="shared" si="262"/>
        <v>320ml</v>
      </c>
      <c r="M1393" s="54">
        <f t="shared" si="263"/>
        <v>19200</v>
      </c>
      <c r="N1393" s="55" t="str">
        <f t="shared" si="264"/>
        <v>19200ml</v>
      </c>
      <c r="O1393" s="56">
        <f t="shared" si="265"/>
        <v>1894.2</v>
      </c>
      <c r="P1393" s="44">
        <f t="shared" si="294"/>
        <v>31.57</v>
      </c>
      <c r="Q1393" s="66"/>
      <c r="R1393" s="32" t="b">
        <f t="shared" si="295"/>
        <v>1</v>
      </c>
      <c r="S1393" s="32"/>
      <c r="T1393" s="32"/>
      <c r="U1393" s="32"/>
      <c r="V1393" s="32"/>
      <c r="W1393" s="32"/>
      <c r="X1393" s="32"/>
      <c r="Y1393" s="32"/>
      <c r="Z1393" s="32"/>
    </row>
    <row r="1394" spans="1:26" ht="15.75" customHeight="1" x14ac:dyDescent="0.3">
      <c r="A1394" s="45"/>
      <c r="B1394" s="46" t="s">
        <v>1735</v>
      </c>
      <c r="C1394" s="194" t="s">
        <v>2023</v>
      </c>
      <c r="D1394" s="46"/>
      <c r="E1394" s="46" t="s">
        <v>1747</v>
      </c>
      <c r="F1394" s="61" t="s">
        <v>31</v>
      </c>
      <c r="G1394" s="288">
        <v>32.840000000000003</v>
      </c>
      <c r="H1394" s="289">
        <v>24</v>
      </c>
      <c r="I1394" s="290">
        <v>320</v>
      </c>
      <c r="J1394" s="48" t="s">
        <v>32</v>
      </c>
      <c r="K1394" s="50"/>
      <c r="L1394" s="53" t="str">
        <f t="shared" si="262"/>
        <v>320ml</v>
      </c>
      <c r="M1394" s="54">
        <f t="shared" si="263"/>
        <v>7680</v>
      </c>
      <c r="N1394" s="55" t="str">
        <f t="shared" si="264"/>
        <v>7680ml</v>
      </c>
      <c r="O1394" s="56">
        <f t="shared" si="265"/>
        <v>788.16000000000008</v>
      </c>
      <c r="P1394" s="12"/>
      <c r="Q1394" s="12"/>
      <c r="R1394" s="12"/>
      <c r="S1394" s="151"/>
      <c r="T1394" s="12"/>
      <c r="U1394" s="12"/>
      <c r="V1394" s="12"/>
      <c r="W1394" s="12"/>
      <c r="X1394" s="12"/>
      <c r="Y1394" s="12"/>
      <c r="Z1394" s="12"/>
    </row>
    <row r="1395" spans="1:26" ht="15.75" customHeight="1" x14ac:dyDescent="0.3">
      <c r="A1395" s="45">
        <v>397</v>
      </c>
      <c r="B1395" s="46" t="s">
        <v>1735</v>
      </c>
      <c r="C1395" s="194" t="s">
        <v>2025</v>
      </c>
      <c r="D1395" s="46"/>
      <c r="E1395" s="46" t="s">
        <v>1747</v>
      </c>
      <c r="F1395" s="61" t="s">
        <v>31</v>
      </c>
      <c r="G1395" s="288">
        <v>32.6</v>
      </c>
      <c r="H1395" s="289">
        <v>52</v>
      </c>
      <c r="I1395" s="290">
        <v>320</v>
      </c>
      <c r="J1395" s="48" t="s">
        <v>32</v>
      </c>
      <c r="K1395" s="50"/>
      <c r="L1395" s="53" t="str">
        <f t="shared" si="262"/>
        <v>320ml</v>
      </c>
      <c r="M1395" s="54">
        <f t="shared" si="263"/>
        <v>16640</v>
      </c>
      <c r="N1395" s="55" t="str">
        <f t="shared" si="264"/>
        <v>16640ml</v>
      </c>
      <c r="O1395" s="56">
        <f t="shared" si="265"/>
        <v>1695.2</v>
      </c>
      <c r="P1395" s="44">
        <f>O1395/H1395</f>
        <v>32.6</v>
      </c>
      <c r="Q1395" s="66"/>
      <c r="R1395" s="32" t="b">
        <f>P1395=G1395</f>
        <v>1</v>
      </c>
      <c r="S1395" s="32"/>
      <c r="T1395" s="32"/>
      <c r="U1395" s="32"/>
      <c r="V1395" s="32"/>
      <c r="W1395" s="32"/>
      <c r="X1395" s="32"/>
      <c r="Y1395" s="32"/>
      <c r="Z1395" s="32"/>
    </row>
    <row r="1396" spans="1:26" ht="15.75" customHeight="1" x14ac:dyDescent="0.3">
      <c r="A1396" s="45"/>
      <c r="B1396" s="46" t="s">
        <v>1735</v>
      </c>
      <c r="C1396" s="194" t="s">
        <v>2021</v>
      </c>
      <c r="D1396" s="46"/>
      <c r="E1396" s="219" t="s">
        <v>1748</v>
      </c>
      <c r="F1396" s="61" t="s">
        <v>31</v>
      </c>
      <c r="G1396" s="291">
        <v>61</v>
      </c>
      <c r="H1396" s="292">
        <v>1</v>
      </c>
      <c r="I1396" s="293">
        <v>2</v>
      </c>
      <c r="J1396" s="414" t="s">
        <v>773</v>
      </c>
      <c r="K1396" s="50"/>
      <c r="L1396" s="53" t="str">
        <f t="shared" si="262"/>
        <v>2liters</v>
      </c>
      <c r="M1396" s="54">
        <f t="shared" si="263"/>
        <v>2</v>
      </c>
      <c r="N1396" s="55" t="str">
        <f t="shared" si="264"/>
        <v>2liters</v>
      </c>
      <c r="O1396" s="56">
        <f t="shared" si="265"/>
        <v>61</v>
      </c>
      <c r="P1396" s="12"/>
      <c r="Q1396" s="12"/>
      <c r="R1396" s="12"/>
      <c r="S1396" s="151"/>
      <c r="T1396" s="12"/>
      <c r="U1396" s="12"/>
      <c r="V1396" s="12"/>
      <c r="W1396" s="12"/>
      <c r="X1396" s="12"/>
      <c r="Y1396" s="12"/>
      <c r="Z1396" s="12"/>
    </row>
    <row r="1397" spans="1:26" ht="15.75" customHeight="1" x14ac:dyDescent="0.3">
      <c r="A1397" s="45"/>
      <c r="B1397" s="46" t="s">
        <v>1735</v>
      </c>
      <c r="C1397" s="194" t="s">
        <v>2020</v>
      </c>
      <c r="D1397" s="46"/>
      <c r="E1397" s="46" t="s">
        <v>1749</v>
      </c>
      <c r="F1397" s="61" t="s">
        <v>31</v>
      </c>
      <c r="G1397" s="288">
        <v>16.14</v>
      </c>
      <c r="H1397" s="289">
        <v>12</v>
      </c>
      <c r="I1397" s="290">
        <v>250</v>
      </c>
      <c r="J1397" s="48" t="s">
        <v>32</v>
      </c>
      <c r="K1397" s="50"/>
      <c r="L1397" s="53" t="str">
        <f t="shared" si="262"/>
        <v>250ml</v>
      </c>
      <c r="M1397" s="54">
        <f t="shared" si="263"/>
        <v>3000</v>
      </c>
      <c r="N1397" s="55" t="str">
        <f t="shared" si="264"/>
        <v>3000ml</v>
      </c>
      <c r="O1397" s="56">
        <f t="shared" si="265"/>
        <v>193.68</v>
      </c>
      <c r="P1397" s="12"/>
      <c r="Q1397" s="12"/>
      <c r="R1397" s="12"/>
      <c r="S1397" s="151"/>
      <c r="T1397" s="12"/>
      <c r="U1397" s="12"/>
      <c r="V1397" s="12"/>
      <c r="W1397" s="12"/>
      <c r="X1397" s="12"/>
      <c r="Y1397" s="12"/>
      <c r="Z1397" s="12"/>
    </row>
    <row r="1398" spans="1:26" ht="15.75" customHeight="1" x14ac:dyDescent="0.3">
      <c r="A1398" s="45"/>
      <c r="B1398" s="46" t="s">
        <v>1735</v>
      </c>
      <c r="C1398" s="194" t="s">
        <v>2022</v>
      </c>
      <c r="D1398" s="46"/>
      <c r="E1398" s="46" t="s">
        <v>1750</v>
      </c>
      <c r="F1398" s="61" t="s">
        <v>31</v>
      </c>
      <c r="G1398" s="288">
        <v>32.840000000000003</v>
      </c>
      <c r="H1398" s="289">
        <v>15</v>
      </c>
      <c r="I1398" s="290">
        <v>320</v>
      </c>
      <c r="J1398" s="48" t="s">
        <v>32</v>
      </c>
      <c r="K1398" s="50"/>
      <c r="L1398" s="53" t="str">
        <f t="shared" si="262"/>
        <v>320ml</v>
      </c>
      <c r="M1398" s="54">
        <f t="shared" si="263"/>
        <v>4800</v>
      </c>
      <c r="N1398" s="55" t="str">
        <f t="shared" si="264"/>
        <v>4800ml</v>
      </c>
      <c r="O1398" s="56">
        <f t="shared" si="265"/>
        <v>492.6</v>
      </c>
      <c r="P1398" s="12"/>
      <c r="Q1398" s="12"/>
      <c r="R1398" s="12"/>
      <c r="S1398" s="151"/>
      <c r="T1398" s="12"/>
      <c r="U1398" s="12"/>
      <c r="V1398" s="12"/>
      <c r="W1398" s="12"/>
      <c r="X1398" s="12"/>
      <c r="Y1398" s="12"/>
      <c r="Z1398" s="12"/>
    </row>
    <row r="1399" spans="1:26" ht="15.75" customHeight="1" x14ac:dyDescent="0.3">
      <c r="A1399" s="45"/>
      <c r="B1399" s="46" t="s">
        <v>1735</v>
      </c>
      <c r="C1399" s="194" t="s">
        <v>2021</v>
      </c>
      <c r="D1399" s="46"/>
      <c r="E1399" s="46" t="s">
        <v>1750</v>
      </c>
      <c r="F1399" s="61" t="s">
        <v>31</v>
      </c>
      <c r="G1399" s="291">
        <v>30.4</v>
      </c>
      <c r="H1399" s="292">
        <v>23</v>
      </c>
      <c r="I1399" s="293">
        <v>320</v>
      </c>
      <c r="J1399" s="414" t="s">
        <v>32</v>
      </c>
      <c r="K1399" s="50"/>
      <c r="L1399" s="53" t="str">
        <f t="shared" si="262"/>
        <v>320ml</v>
      </c>
      <c r="M1399" s="54">
        <f t="shared" si="263"/>
        <v>7360</v>
      </c>
      <c r="N1399" s="55" t="str">
        <f t="shared" si="264"/>
        <v>7360ml</v>
      </c>
      <c r="O1399" s="56">
        <f t="shared" si="265"/>
        <v>699.19999999999993</v>
      </c>
      <c r="P1399" s="12"/>
      <c r="Q1399" s="12"/>
      <c r="R1399" s="12"/>
      <c r="S1399" s="151"/>
      <c r="T1399" s="12"/>
      <c r="U1399" s="12"/>
      <c r="V1399" s="12"/>
      <c r="W1399" s="12"/>
      <c r="X1399" s="12"/>
      <c r="Y1399" s="12"/>
      <c r="Z1399" s="12"/>
    </row>
    <row r="1400" spans="1:26" ht="15.75" customHeight="1" x14ac:dyDescent="0.3">
      <c r="A1400" s="45">
        <v>406</v>
      </c>
      <c r="B1400" s="46" t="s">
        <v>1735</v>
      </c>
      <c r="C1400" s="194" t="s">
        <v>2025</v>
      </c>
      <c r="D1400" s="46"/>
      <c r="E1400" s="46" t="s">
        <v>1750</v>
      </c>
      <c r="F1400" s="61" t="s">
        <v>31</v>
      </c>
      <c r="G1400" s="288">
        <v>31.35</v>
      </c>
      <c r="H1400" s="289">
        <v>49</v>
      </c>
      <c r="I1400" s="293">
        <v>320</v>
      </c>
      <c r="J1400" s="414" t="s">
        <v>32</v>
      </c>
      <c r="K1400" s="50"/>
      <c r="L1400" s="53" t="str">
        <f t="shared" si="262"/>
        <v>320ml</v>
      </c>
      <c r="M1400" s="54">
        <f t="shared" si="263"/>
        <v>15680</v>
      </c>
      <c r="N1400" s="55" t="str">
        <f t="shared" si="264"/>
        <v>15680ml</v>
      </c>
      <c r="O1400" s="56">
        <f t="shared" si="265"/>
        <v>1536.15</v>
      </c>
      <c r="P1400" s="44">
        <f>O1400/H1400</f>
        <v>31.35</v>
      </c>
      <c r="Q1400" s="66"/>
      <c r="R1400" s="32" t="b">
        <f>P1400=G1400</f>
        <v>1</v>
      </c>
      <c r="S1400" s="32"/>
      <c r="T1400" s="32"/>
      <c r="U1400" s="32"/>
      <c r="V1400" s="32"/>
      <c r="W1400" s="32"/>
      <c r="X1400" s="32"/>
      <c r="Y1400" s="32"/>
      <c r="Z1400" s="32"/>
    </row>
    <row r="1401" spans="1:26" ht="15.75" customHeight="1" x14ac:dyDescent="0.3">
      <c r="A1401" s="45"/>
      <c r="B1401" s="46" t="s">
        <v>1735</v>
      </c>
      <c r="C1401" s="194" t="s">
        <v>2022</v>
      </c>
      <c r="D1401" s="46"/>
      <c r="E1401" s="219" t="s">
        <v>1748</v>
      </c>
      <c r="F1401" s="61" t="s">
        <v>31</v>
      </c>
      <c r="G1401" s="288">
        <v>63</v>
      </c>
      <c r="H1401" s="289">
        <v>14</v>
      </c>
      <c r="I1401" s="290">
        <v>2</v>
      </c>
      <c r="J1401" s="48" t="s">
        <v>773</v>
      </c>
      <c r="K1401" s="50"/>
      <c r="L1401" s="53" t="str">
        <f t="shared" si="262"/>
        <v>2liters</v>
      </c>
      <c r="M1401" s="54">
        <f t="shared" si="263"/>
        <v>28</v>
      </c>
      <c r="N1401" s="55" t="str">
        <f t="shared" si="264"/>
        <v>28liters</v>
      </c>
      <c r="O1401" s="56">
        <f t="shared" si="265"/>
        <v>882</v>
      </c>
      <c r="P1401" s="12"/>
      <c r="Q1401" s="12"/>
      <c r="R1401" s="12"/>
      <c r="S1401" s="151"/>
      <c r="T1401" s="12"/>
      <c r="U1401" s="12"/>
      <c r="V1401" s="12"/>
      <c r="W1401" s="12"/>
      <c r="X1401" s="12"/>
      <c r="Y1401" s="12"/>
      <c r="Z1401" s="12"/>
    </row>
    <row r="1402" spans="1:26" ht="15.75" customHeight="1" x14ac:dyDescent="0.3">
      <c r="A1402" s="45"/>
      <c r="B1402" s="46" t="s">
        <v>1735</v>
      </c>
      <c r="C1402" s="194" t="s">
        <v>2022</v>
      </c>
      <c r="D1402" s="46"/>
      <c r="E1402" s="219" t="s">
        <v>1751</v>
      </c>
      <c r="F1402" s="61" t="s">
        <v>31</v>
      </c>
      <c r="G1402" s="288">
        <v>63</v>
      </c>
      <c r="H1402" s="289">
        <v>12</v>
      </c>
      <c r="I1402" s="290">
        <v>2</v>
      </c>
      <c r="J1402" s="48" t="s">
        <v>773</v>
      </c>
      <c r="K1402" s="50"/>
      <c r="L1402" s="53" t="str">
        <f t="shared" si="262"/>
        <v>2liters</v>
      </c>
      <c r="M1402" s="54">
        <f t="shared" si="263"/>
        <v>24</v>
      </c>
      <c r="N1402" s="55" t="str">
        <f t="shared" si="264"/>
        <v>24liters</v>
      </c>
      <c r="O1402" s="56">
        <f t="shared" si="265"/>
        <v>756</v>
      </c>
      <c r="P1402" s="12"/>
      <c r="Q1402" s="12"/>
      <c r="R1402" s="12"/>
      <c r="S1402" s="151"/>
      <c r="T1402" s="12"/>
      <c r="U1402" s="12"/>
      <c r="V1402" s="12"/>
      <c r="W1402" s="12"/>
      <c r="X1402" s="12"/>
      <c r="Y1402" s="12"/>
      <c r="Z1402" s="12"/>
    </row>
    <row r="1403" spans="1:26" ht="15.75" customHeight="1" x14ac:dyDescent="0.3">
      <c r="A1403" s="45"/>
      <c r="B1403" s="46" t="s">
        <v>1735</v>
      </c>
      <c r="C1403" s="194" t="s">
        <v>2021</v>
      </c>
      <c r="D1403" s="46"/>
      <c r="E1403" s="219" t="s">
        <v>1751</v>
      </c>
      <c r="F1403" s="61" t="s">
        <v>31</v>
      </c>
      <c r="G1403" s="291">
        <v>61</v>
      </c>
      <c r="H1403" s="292">
        <v>1</v>
      </c>
      <c r="I1403" s="293">
        <v>2</v>
      </c>
      <c r="J1403" s="414" t="s">
        <v>773</v>
      </c>
      <c r="K1403" s="50"/>
      <c r="L1403" s="53" t="str">
        <f t="shared" si="262"/>
        <v>2liters</v>
      </c>
      <c r="M1403" s="54">
        <f t="shared" si="263"/>
        <v>2</v>
      </c>
      <c r="N1403" s="55" t="str">
        <f t="shared" si="264"/>
        <v>2liters</v>
      </c>
      <c r="O1403" s="56">
        <f t="shared" si="265"/>
        <v>61</v>
      </c>
      <c r="P1403" s="12"/>
      <c r="Q1403" s="12"/>
      <c r="R1403" s="12"/>
      <c r="S1403" s="151"/>
      <c r="T1403" s="12"/>
      <c r="U1403" s="12"/>
      <c r="V1403" s="12"/>
      <c r="W1403" s="12"/>
      <c r="X1403" s="12"/>
      <c r="Y1403" s="12"/>
      <c r="Z1403" s="12"/>
    </row>
    <row r="1404" spans="1:26" ht="15.75" customHeight="1" x14ac:dyDescent="0.3">
      <c r="A1404" s="45"/>
      <c r="B1404" s="46" t="s">
        <v>1735</v>
      </c>
      <c r="C1404" s="194" t="s">
        <v>2020</v>
      </c>
      <c r="D1404" s="46"/>
      <c r="E1404" s="46" t="s">
        <v>1752</v>
      </c>
      <c r="F1404" s="61" t="s">
        <v>31</v>
      </c>
      <c r="G1404" s="288">
        <v>16.66</v>
      </c>
      <c r="H1404" s="289">
        <v>19</v>
      </c>
      <c r="I1404" s="290">
        <v>290</v>
      </c>
      <c r="J1404" s="48" t="s">
        <v>32</v>
      </c>
      <c r="K1404" s="50"/>
      <c r="L1404" s="53" t="str">
        <f t="shared" si="262"/>
        <v>290ml</v>
      </c>
      <c r="M1404" s="54">
        <f t="shared" si="263"/>
        <v>5510</v>
      </c>
      <c r="N1404" s="55" t="str">
        <f t="shared" si="264"/>
        <v>5510ml</v>
      </c>
      <c r="O1404" s="56">
        <f t="shared" si="265"/>
        <v>316.54000000000002</v>
      </c>
      <c r="P1404" s="12"/>
      <c r="Q1404" s="12"/>
      <c r="R1404" s="12"/>
      <c r="S1404" s="151"/>
      <c r="T1404" s="12"/>
      <c r="U1404" s="12"/>
      <c r="V1404" s="12"/>
      <c r="W1404" s="12"/>
      <c r="X1404" s="12"/>
      <c r="Y1404" s="12"/>
      <c r="Z1404" s="12"/>
    </row>
    <row r="1405" spans="1:26" ht="15.75" customHeight="1" x14ac:dyDescent="0.3">
      <c r="A1405" s="45">
        <v>529</v>
      </c>
      <c r="B1405" s="46" t="s">
        <v>1735</v>
      </c>
      <c r="C1405" s="194" t="s">
        <v>2026</v>
      </c>
      <c r="D1405" s="46"/>
      <c r="E1405" s="46" t="s">
        <v>1753</v>
      </c>
      <c r="F1405" s="61" t="s">
        <v>31</v>
      </c>
      <c r="G1405" s="288">
        <v>31.57</v>
      </c>
      <c r="H1405" s="289">
        <v>48</v>
      </c>
      <c r="I1405" s="290">
        <v>320</v>
      </c>
      <c r="J1405" s="48" t="s">
        <v>32</v>
      </c>
      <c r="K1405" s="50" t="s">
        <v>2019</v>
      </c>
      <c r="L1405" s="53" t="str">
        <f t="shared" si="262"/>
        <v>320ml</v>
      </c>
      <c r="M1405" s="54">
        <f t="shared" si="263"/>
        <v>15360</v>
      </c>
      <c r="N1405" s="55" t="str">
        <f t="shared" si="264"/>
        <v>15360ml</v>
      </c>
      <c r="O1405" s="56">
        <f t="shared" si="265"/>
        <v>1515.3600000000001</v>
      </c>
      <c r="P1405" s="44">
        <f>O1405/H1405</f>
        <v>31.570000000000004</v>
      </c>
      <c r="Q1405" s="62">
        <f>G1405-P1405</f>
        <v>0</v>
      </c>
      <c r="R1405" s="32" t="b">
        <f>P1405=G1405</f>
        <v>1</v>
      </c>
      <c r="S1405" s="32"/>
      <c r="T1405" s="32"/>
      <c r="U1405" s="32"/>
      <c r="V1405" s="32"/>
      <c r="W1405" s="32"/>
      <c r="X1405" s="32"/>
      <c r="Y1405" s="32"/>
      <c r="Z1405" s="32"/>
    </row>
    <row r="1406" spans="1:26" ht="15.75" customHeight="1" x14ac:dyDescent="0.3">
      <c r="A1406" s="45"/>
      <c r="B1406" s="46" t="s">
        <v>1735</v>
      </c>
      <c r="C1406" s="194" t="s">
        <v>2023</v>
      </c>
      <c r="D1406" s="46"/>
      <c r="E1406" s="46" t="s">
        <v>1753</v>
      </c>
      <c r="F1406" s="61" t="s">
        <v>31</v>
      </c>
      <c r="G1406" s="288">
        <v>32.840000000000003</v>
      </c>
      <c r="H1406" s="289">
        <v>9</v>
      </c>
      <c r="I1406" s="290">
        <v>320</v>
      </c>
      <c r="J1406" s="48" t="s">
        <v>32</v>
      </c>
      <c r="K1406" s="50"/>
      <c r="L1406" s="53" t="str">
        <f t="shared" si="262"/>
        <v>320ml</v>
      </c>
      <c r="M1406" s="54">
        <f t="shared" si="263"/>
        <v>2880</v>
      </c>
      <c r="N1406" s="55" t="str">
        <f t="shared" si="264"/>
        <v>2880ml</v>
      </c>
      <c r="O1406" s="56">
        <f t="shared" si="265"/>
        <v>295.56000000000006</v>
      </c>
      <c r="P1406" s="12"/>
      <c r="Q1406" s="12"/>
      <c r="R1406" s="12"/>
      <c r="S1406" s="151"/>
      <c r="T1406" s="12"/>
      <c r="U1406" s="12"/>
      <c r="V1406" s="12"/>
      <c r="W1406" s="12"/>
      <c r="X1406" s="12"/>
      <c r="Y1406" s="12"/>
      <c r="Z1406" s="12"/>
    </row>
    <row r="1407" spans="1:26" ht="15.75" customHeight="1" x14ac:dyDescent="0.3">
      <c r="A1407" s="45"/>
      <c r="B1407" s="46" t="s">
        <v>1735</v>
      </c>
      <c r="C1407" s="194" t="s">
        <v>2021</v>
      </c>
      <c r="D1407" s="46"/>
      <c r="E1407" s="46" t="s">
        <v>1753</v>
      </c>
      <c r="F1407" s="61" t="s">
        <v>31</v>
      </c>
      <c r="G1407" s="291">
        <v>30.4</v>
      </c>
      <c r="H1407" s="292">
        <v>23</v>
      </c>
      <c r="I1407" s="293">
        <v>320</v>
      </c>
      <c r="J1407" s="414" t="s">
        <v>32</v>
      </c>
      <c r="K1407" s="50"/>
      <c r="L1407" s="53" t="str">
        <f t="shared" si="262"/>
        <v>320ml</v>
      </c>
      <c r="M1407" s="54">
        <f t="shared" si="263"/>
        <v>7360</v>
      </c>
      <c r="N1407" s="55" t="str">
        <f t="shared" si="264"/>
        <v>7360ml</v>
      </c>
      <c r="O1407" s="56">
        <f t="shared" si="265"/>
        <v>699.19999999999993</v>
      </c>
      <c r="P1407" s="12"/>
      <c r="Q1407" s="12"/>
      <c r="R1407" s="12"/>
      <c r="S1407" s="151"/>
      <c r="T1407" s="12"/>
      <c r="U1407" s="12"/>
      <c r="V1407" s="12"/>
      <c r="W1407" s="12"/>
      <c r="X1407" s="12"/>
      <c r="Y1407" s="12"/>
      <c r="Z1407" s="12"/>
    </row>
    <row r="1408" spans="1:26" ht="15.75" customHeight="1" x14ac:dyDescent="0.3">
      <c r="A1408" s="45">
        <v>149</v>
      </c>
      <c r="B1408" s="46" t="s">
        <v>329</v>
      </c>
      <c r="C1408" s="194" t="s">
        <v>2024</v>
      </c>
      <c r="D1408" s="46"/>
      <c r="E1408" s="46" t="s">
        <v>1754</v>
      </c>
      <c r="F1408" s="61" t="s">
        <v>31</v>
      </c>
      <c r="G1408" s="288">
        <v>310</v>
      </c>
      <c r="H1408" s="289">
        <v>6</v>
      </c>
      <c r="I1408" s="290">
        <v>1</v>
      </c>
      <c r="J1408" s="48" t="s">
        <v>213</v>
      </c>
      <c r="K1408" s="50"/>
      <c r="L1408" s="53" t="str">
        <f t="shared" si="262"/>
        <v>1kilos</v>
      </c>
      <c r="M1408" s="54">
        <f t="shared" si="263"/>
        <v>6</v>
      </c>
      <c r="N1408" s="55" t="str">
        <f t="shared" si="264"/>
        <v>6kilos</v>
      </c>
      <c r="O1408" s="56">
        <f t="shared" si="265"/>
        <v>1860</v>
      </c>
      <c r="P1408" s="44">
        <f t="shared" ref="P1408:P1412" si="296">O1408/H1408</f>
        <v>310</v>
      </c>
      <c r="Q1408" s="66"/>
      <c r="R1408" s="32"/>
      <c r="S1408" s="32"/>
      <c r="T1408" s="32"/>
      <c r="U1408" s="32"/>
      <c r="V1408" s="32"/>
      <c r="W1408" s="32"/>
      <c r="X1408" s="32"/>
      <c r="Y1408" s="32"/>
      <c r="Z1408" s="32"/>
    </row>
    <row r="1409" spans="1:26" ht="15.75" customHeight="1" x14ac:dyDescent="0.3">
      <c r="A1409" s="45">
        <v>355</v>
      </c>
      <c r="B1409" s="46" t="s">
        <v>329</v>
      </c>
      <c r="C1409" s="194" t="s">
        <v>2025</v>
      </c>
      <c r="D1409" s="46"/>
      <c r="E1409" s="46" t="s">
        <v>1754</v>
      </c>
      <c r="F1409" s="61" t="s">
        <v>31</v>
      </c>
      <c r="G1409" s="288">
        <v>250</v>
      </c>
      <c r="H1409" s="289">
        <v>0</v>
      </c>
      <c r="I1409" s="290">
        <v>1</v>
      </c>
      <c r="J1409" s="48" t="s">
        <v>213</v>
      </c>
      <c r="K1409" s="50" t="s">
        <v>2019</v>
      </c>
      <c r="L1409" s="53" t="str">
        <f t="shared" si="262"/>
        <v>1kilos</v>
      </c>
      <c r="M1409" s="54">
        <f t="shared" si="263"/>
        <v>0</v>
      </c>
      <c r="N1409" s="55" t="str">
        <f t="shared" si="264"/>
        <v>0kilos</v>
      </c>
      <c r="O1409" s="56">
        <f t="shared" si="265"/>
        <v>0</v>
      </c>
      <c r="P1409" s="44" t="e">
        <f t="shared" si="296"/>
        <v>#DIV/0!</v>
      </c>
      <c r="Q1409" s="44" t="e">
        <f>G1409-P1409</f>
        <v>#DIV/0!</v>
      </c>
      <c r="R1409" s="32" t="e">
        <f>P1409=G1409</f>
        <v>#DIV/0!</v>
      </c>
      <c r="S1409" s="32"/>
      <c r="T1409" s="32"/>
      <c r="U1409" s="32"/>
      <c r="V1409" s="32"/>
      <c r="W1409" s="32"/>
      <c r="X1409" s="32"/>
      <c r="Y1409" s="32"/>
      <c r="Z1409" s="32"/>
    </row>
    <row r="1410" spans="1:26" ht="15.75" customHeight="1" x14ac:dyDescent="0.3">
      <c r="A1410" s="45">
        <v>765</v>
      </c>
      <c r="B1410" s="46" t="s">
        <v>329</v>
      </c>
      <c r="C1410" s="194" t="s">
        <v>2026</v>
      </c>
      <c r="D1410" s="46"/>
      <c r="E1410" s="46" t="s">
        <v>980</v>
      </c>
      <c r="F1410" s="61" t="s">
        <v>31</v>
      </c>
      <c r="G1410" s="288">
        <v>158.80000000000001</v>
      </c>
      <c r="H1410" s="289">
        <v>2</v>
      </c>
      <c r="I1410" s="290">
        <v>500</v>
      </c>
      <c r="J1410" s="48" t="s">
        <v>39</v>
      </c>
      <c r="K1410" s="50"/>
      <c r="L1410" s="53" t="str">
        <f t="shared" si="262"/>
        <v>500grams</v>
      </c>
      <c r="M1410" s="54">
        <f t="shared" si="263"/>
        <v>1000</v>
      </c>
      <c r="N1410" s="55" t="str">
        <f t="shared" si="264"/>
        <v>1000grams</v>
      </c>
      <c r="O1410" s="56">
        <f t="shared" si="265"/>
        <v>317.60000000000002</v>
      </c>
      <c r="P1410" s="44">
        <f t="shared" si="296"/>
        <v>158.80000000000001</v>
      </c>
      <c r="Q1410" s="66"/>
      <c r="R1410" s="32"/>
      <c r="S1410" s="32"/>
      <c r="T1410" s="32"/>
      <c r="U1410" s="32"/>
      <c r="V1410" s="32"/>
      <c r="W1410" s="32"/>
      <c r="X1410" s="32"/>
      <c r="Y1410" s="32"/>
      <c r="Z1410" s="32"/>
    </row>
    <row r="1411" spans="1:26" ht="15.75" customHeight="1" x14ac:dyDescent="0.3">
      <c r="A1411" s="45">
        <v>876</v>
      </c>
      <c r="B1411" s="46" t="s">
        <v>329</v>
      </c>
      <c r="C1411" s="194" t="s">
        <v>1368</v>
      </c>
      <c r="D1411" s="46"/>
      <c r="E1411" s="46" t="s">
        <v>1755</v>
      </c>
      <c r="F1411" s="61" t="s">
        <v>31</v>
      </c>
      <c r="G1411" s="288">
        <v>106.5</v>
      </c>
      <c r="H1411" s="289">
        <v>2</v>
      </c>
      <c r="I1411" s="290">
        <v>800</v>
      </c>
      <c r="J1411" s="48" t="s">
        <v>39</v>
      </c>
      <c r="K1411" s="50"/>
      <c r="L1411" s="53" t="str">
        <f t="shared" si="262"/>
        <v>800grams</v>
      </c>
      <c r="M1411" s="54">
        <f t="shared" si="263"/>
        <v>1600</v>
      </c>
      <c r="N1411" s="55" t="str">
        <f t="shared" si="264"/>
        <v>1600grams</v>
      </c>
      <c r="O1411" s="56">
        <f t="shared" si="265"/>
        <v>213</v>
      </c>
      <c r="P1411" s="44">
        <f t="shared" si="296"/>
        <v>106.5</v>
      </c>
      <c r="Q1411" s="66"/>
      <c r="R1411" s="32"/>
      <c r="S1411" s="32"/>
      <c r="T1411" s="32"/>
      <c r="U1411" s="32"/>
      <c r="V1411" s="32"/>
      <c r="W1411" s="32"/>
      <c r="X1411" s="32"/>
      <c r="Y1411" s="32"/>
      <c r="Z1411" s="32"/>
    </row>
    <row r="1412" spans="1:26" ht="15.75" customHeight="1" x14ac:dyDescent="0.3">
      <c r="A1412" s="45">
        <v>877</v>
      </c>
      <c r="B1412" s="46" t="s">
        <v>329</v>
      </c>
      <c r="C1412" s="194" t="s">
        <v>1368</v>
      </c>
      <c r="D1412" s="46"/>
      <c r="E1412" s="46" t="s">
        <v>980</v>
      </c>
      <c r="F1412" s="61" t="s">
        <v>31</v>
      </c>
      <c r="G1412" s="288">
        <v>164</v>
      </c>
      <c r="H1412" s="289">
        <v>2</v>
      </c>
      <c r="I1412" s="290">
        <v>32</v>
      </c>
      <c r="J1412" s="48" t="s">
        <v>1224</v>
      </c>
      <c r="K1412" s="50"/>
      <c r="L1412" s="53" t="str">
        <f t="shared" si="262"/>
        <v>32ounces</v>
      </c>
      <c r="M1412" s="54">
        <f t="shared" si="263"/>
        <v>64</v>
      </c>
      <c r="N1412" s="55" t="str">
        <f t="shared" si="264"/>
        <v>64ounces</v>
      </c>
      <c r="O1412" s="56">
        <f t="shared" si="265"/>
        <v>328</v>
      </c>
      <c r="P1412" s="44">
        <f t="shared" si="296"/>
        <v>164</v>
      </c>
      <c r="Q1412" s="66"/>
      <c r="R1412" s="32"/>
      <c r="S1412" s="32"/>
      <c r="T1412" s="32"/>
      <c r="U1412" s="32"/>
      <c r="V1412" s="32"/>
      <c r="W1412" s="32"/>
      <c r="X1412" s="32"/>
      <c r="Y1412" s="32"/>
      <c r="Z1412" s="32"/>
    </row>
    <row r="1413" spans="1:26" ht="15.75" customHeight="1" x14ac:dyDescent="0.3">
      <c r="A1413" s="45"/>
      <c r="B1413" s="46" t="s">
        <v>1756</v>
      </c>
      <c r="C1413" s="194" t="s">
        <v>2022</v>
      </c>
      <c r="D1413" s="46"/>
      <c r="E1413" s="46" t="s">
        <v>1757</v>
      </c>
      <c r="F1413" s="61" t="s">
        <v>31</v>
      </c>
      <c r="G1413" s="288">
        <v>65</v>
      </c>
      <c r="H1413" s="289">
        <v>17</v>
      </c>
      <c r="I1413" s="290">
        <v>53</v>
      </c>
      <c r="J1413" s="48" t="s">
        <v>39</v>
      </c>
      <c r="K1413" s="50"/>
      <c r="L1413" s="53" t="str">
        <f t="shared" si="262"/>
        <v>53grams</v>
      </c>
      <c r="M1413" s="54">
        <f t="shared" si="263"/>
        <v>901</v>
      </c>
      <c r="N1413" s="55" t="str">
        <f t="shared" si="264"/>
        <v>901grams</v>
      </c>
      <c r="O1413" s="56">
        <f t="shared" si="265"/>
        <v>1105</v>
      </c>
      <c r="P1413" s="12"/>
      <c r="Q1413" s="12"/>
      <c r="R1413" s="12"/>
      <c r="S1413" s="151"/>
      <c r="T1413" s="12"/>
      <c r="U1413" s="12"/>
      <c r="V1413" s="12"/>
      <c r="W1413" s="12"/>
      <c r="X1413" s="12"/>
      <c r="Y1413" s="12"/>
      <c r="Z1413" s="12"/>
    </row>
    <row r="1414" spans="1:26" ht="15.75" customHeight="1" x14ac:dyDescent="0.3">
      <c r="A1414" s="45"/>
      <c r="B1414" s="46" t="s">
        <v>1756</v>
      </c>
      <c r="C1414" s="194" t="s">
        <v>2020</v>
      </c>
      <c r="D1414" s="46"/>
      <c r="E1414" s="46" t="s">
        <v>1757</v>
      </c>
      <c r="F1414" s="61" t="s">
        <v>31</v>
      </c>
      <c r="G1414" s="288">
        <v>52.8</v>
      </c>
      <c r="H1414" s="289">
        <v>1</v>
      </c>
      <c r="I1414" s="290">
        <v>53</v>
      </c>
      <c r="J1414" s="48" t="s">
        <v>39</v>
      </c>
      <c r="K1414" s="50"/>
      <c r="L1414" s="53" t="str">
        <f t="shared" si="262"/>
        <v>53grams</v>
      </c>
      <c r="M1414" s="54">
        <f t="shared" si="263"/>
        <v>53</v>
      </c>
      <c r="N1414" s="55" t="str">
        <f t="shared" si="264"/>
        <v>53grams</v>
      </c>
      <c r="O1414" s="56">
        <f t="shared" si="265"/>
        <v>52.8</v>
      </c>
      <c r="P1414" s="12"/>
      <c r="Q1414" s="12"/>
      <c r="R1414" s="12"/>
      <c r="S1414" s="151"/>
      <c r="T1414" s="12"/>
      <c r="U1414" s="12"/>
      <c r="V1414" s="12"/>
      <c r="W1414" s="12"/>
      <c r="X1414" s="12"/>
      <c r="Y1414" s="12"/>
      <c r="Z1414" s="12"/>
    </row>
    <row r="1415" spans="1:26" ht="15.75" customHeight="1" x14ac:dyDescent="0.3">
      <c r="A1415" s="45"/>
      <c r="B1415" s="46" t="s">
        <v>1756</v>
      </c>
      <c r="C1415" s="194" t="s">
        <v>2023</v>
      </c>
      <c r="D1415" s="46"/>
      <c r="E1415" s="46" t="s">
        <v>1757</v>
      </c>
      <c r="F1415" s="61" t="s">
        <v>31</v>
      </c>
      <c r="G1415" s="288">
        <v>52.6</v>
      </c>
      <c r="H1415" s="289">
        <v>3</v>
      </c>
      <c r="I1415" s="290">
        <v>53</v>
      </c>
      <c r="J1415" s="48" t="s">
        <v>39</v>
      </c>
      <c r="K1415" s="50"/>
      <c r="L1415" s="53" t="str">
        <f t="shared" si="262"/>
        <v>53grams</v>
      </c>
      <c r="M1415" s="54">
        <f t="shared" si="263"/>
        <v>159</v>
      </c>
      <c r="N1415" s="55" t="str">
        <f t="shared" si="264"/>
        <v>159grams</v>
      </c>
      <c r="O1415" s="56">
        <f t="shared" si="265"/>
        <v>157.80000000000001</v>
      </c>
      <c r="P1415" s="12"/>
      <c r="Q1415" s="12"/>
      <c r="R1415" s="12"/>
      <c r="S1415" s="151"/>
      <c r="T1415" s="12"/>
      <c r="U1415" s="12"/>
      <c r="V1415" s="12"/>
      <c r="W1415" s="12"/>
      <c r="X1415" s="12"/>
      <c r="Y1415" s="12"/>
      <c r="Z1415" s="12"/>
    </row>
    <row r="1416" spans="1:26" ht="15.75" customHeight="1" x14ac:dyDescent="0.3">
      <c r="A1416" s="45">
        <v>52</v>
      </c>
      <c r="B1416" s="46" t="s">
        <v>286</v>
      </c>
      <c r="C1416" s="194" t="s">
        <v>29</v>
      </c>
      <c r="D1416" s="46"/>
      <c r="E1416" s="46" t="s">
        <v>1069</v>
      </c>
      <c r="F1416" s="61" t="s">
        <v>31</v>
      </c>
      <c r="G1416" s="288">
        <v>73</v>
      </c>
      <c r="H1416" s="289">
        <v>1</v>
      </c>
      <c r="I1416" s="290">
        <v>3500</v>
      </c>
      <c r="J1416" s="48" t="s">
        <v>32</v>
      </c>
      <c r="K1416" s="61" t="s">
        <v>2019</v>
      </c>
      <c r="L1416" s="415" t="str">
        <f t="shared" si="262"/>
        <v>3500ml</v>
      </c>
      <c r="M1416" s="416">
        <f t="shared" si="263"/>
        <v>3500</v>
      </c>
      <c r="N1416" s="417" t="str">
        <f t="shared" si="264"/>
        <v>3500ml</v>
      </c>
      <c r="O1416" s="418">
        <f t="shared" si="265"/>
        <v>73</v>
      </c>
      <c r="P1416" s="419">
        <f t="shared" ref="P1416:P1419" si="297">O1416/H1416</f>
        <v>73</v>
      </c>
      <c r="Q1416" s="66"/>
      <c r="R1416" s="32"/>
      <c r="S1416" s="32"/>
      <c r="T1416" s="32"/>
      <c r="U1416" s="32"/>
      <c r="V1416" s="32"/>
      <c r="W1416" s="32"/>
      <c r="X1416" s="32"/>
      <c r="Y1416" s="32"/>
      <c r="Z1416" s="32"/>
    </row>
    <row r="1417" spans="1:26" ht="15.75" customHeight="1" x14ac:dyDescent="0.3">
      <c r="A1417" s="45">
        <v>105</v>
      </c>
      <c r="B1417" s="46" t="s">
        <v>286</v>
      </c>
      <c r="C1417" s="194" t="s">
        <v>2024</v>
      </c>
      <c r="D1417" s="46"/>
      <c r="E1417" s="46" t="s">
        <v>1069</v>
      </c>
      <c r="F1417" s="61" t="s">
        <v>31</v>
      </c>
      <c r="G1417" s="288">
        <v>73</v>
      </c>
      <c r="H1417" s="289">
        <v>29</v>
      </c>
      <c r="I1417" s="290">
        <v>3500</v>
      </c>
      <c r="J1417" s="420" t="s">
        <v>32</v>
      </c>
      <c r="K1417" s="50" t="s">
        <v>2019</v>
      </c>
      <c r="L1417" s="53" t="str">
        <f t="shared" si="262"/>
        <v>3500ml</v>
      </c>
      <c r="M1417" s="54">
        <f t="shared" si="263"/>
        <v>101500</v>
      </c>
      <c r="N1417" s="55" t="str">
        <f t="shared" si="264"/>
        <v>101500ml</v>
      </c>
      <c r="O1417" s="56">
        <f t="shared" si="265"/>
        <v>2117</v>
      </c>
      <c r="P1417" s="44">
        <f t="shared" si="297"/>
        <v>73</v>
      </c>
      <c r="Q1417" s="66">
        <f>G1417-P1417</f>
        <v>0</v>
      </c>
      <c r="R1417" s="32" t="b">
        <f t="shared" ref="R1417:R1418" si="298">P1417=G1417</f>
        <v>1</v>
      </c>
      <c r="S1417" s="32"/>
      <c r="T1417" s="32"/>
      <c r="U1417" s="32"/>
      <c r="V1417" s="32"/>
      <c r="W1417" s="32"/>
      <c r="X1417" s="32"/>
      <c r="Y1417" s="32"/>
      <c r="Z1417" s="32"/>
    </row>
    <row r="1418" spans="1:26" ht="15.75" customHeight="1" x14ac:dyDescent="0.3">
      <c r="A1418" s="45">
        <v>286</v>
      </c>
      <c r="B1418" s="46" t="s">
        <v>286</v>
      </c>
      <c r="C1418" s="194" t="s">
        <v>2025</v>
      </c>
      <c r="D1418" s="46"/>
      <c r="E1418" s="46" t="s">
        <v>1758</v>
      </c>
      <c r="F1418" s="61" t="s">
        <v>31</v>
      </c>
      <c r="G1418" s="288">
        <v>187.8</v>
      </c>
      <c r="H1418" s="289">
        <v>1</v>
      </c>
      <c r="I1418" s="290">
        <v>4</v>
      </c>
      <c r="J1418" s="48" t="s">
        <v>773</v>
      </c>
      <c r="K1418" s="50"/>
      <c r="L1418" s="53" t="str">
        <f t="shared" si="262"/>
        <v>4liters</v>
      </c>
      <c r="M1418" s="54">
        <f t="shared" si="263"/>
        <v>4</v>
      </c>
      <c r="N1418" s="55" t="str">
        <f t="shared" si="264"/>
        <v>4liters</v>
      </c>
      <c r="O1418" s="56">
        <f t="shared" si="265"/>
        <v>187.8</v>
      </c>
      <c r="P1418" s="44">
        <f t="shared" si="297"/>
        <v>187.8</v>
      </c>
      <c r="Q1418" s="66"/>
      <c r="R1418" s="32" t="b">
        <f t="shared" si="298"/>
        <v>1</v>
      </c>
      <c r="S1418" s="32"/>
      <c r="T1418" s="32"/>
      <c r="U1418" s="32"/>
      <c r="V1418" s="32"/>
      <c r="W1418" s="32"/>
      <c r="X1418" s="32"/>
      <c r="Y1418" s="32"/>
      <c r="Z1418" s="32"/>
    </row>
    <row r="1419" spans="1:26" ht="15.75" customHeight="1" x14ac:dyDescent="0.3">
      <c r="A1419" s="45">
        <v>558</v>
      </c>
      <c r="B1419" s="46" t="s">
        <v>286</v>
      </c>
      <c r="C1419" s="194" t="s">
        <v>2026</v>
      </c>
      <c r="D1419" s="46"/>
      <c r="E1419" s="46" t="s">
        <v>1252</v>
      </c>
      <c r="F1419" s="61" t="s">
        <v>31</v>
      </c>
      <c r="G1419" s="288">
        <v>80</v>
      </c>
      <c r="H1419" s="289">
        <v>1</v>
      </c>
      <c r="I1419" s="290">
        <v>3500</v>
      </c>
      <c r="J1419" s="48" t="s">
        <v>32</v>
      </c>
      <c r="K1419" s="50"/>
      <c r="L1419" s="53" t="str">
        <f t="shared" si="262"/>
        <v>3500ml</v>
      </c>
      <c r="M1419" s="54">
        <f t="shared" si="263"/>
        <v>3500</v>
      </c>
      <c r="N1419" s="55" t="str">
        <f t="shared" si="264"/>
        <v>3500ml</v>
      </c>
      <c r="O1419" s="56">
        <f t="shared" si="265"/>
        <v>80</v>
      </c>
      <c r="P1419" s="44">
        <f t="shared" si="297"/>
        <v>80</v>
      </c>
      <c r="Q1419" s="66"/>
      <c r="R1419" s="32"/>
      <c r="S1419" s="32"/>
      <c r="T1419" s="32"/>
      <c r="U1419" s="32"/>
      <c r="V1419" s="32"/>
      <c r="W1419" s="32"/>
      <c r="X1419" s="32"/>
      <c r="Y1419" s="32"/>
      <c r="Z1419" s="32"/>
    </row>
    <row r="1420" spans="1:26" ht="15.75" customHeight="1" x14ac:dyDescent="0.3">
      <c r="A1420" s="45"/>
      <c r="B1420" s="46" t="s">
        <v>286</v>
      </c>
      <c r="C1420" s="194" t="s">
        <v>2023</v>
      </c>
      <c r="D1420" s="46"/>
      <c r="E1420" s="46" t="s">
        <v>1359</v>
      </c>
      <c r="F1420" s="61" t="s">
        <v>31</v>
      </c>
      <c r="G1420" s="288">
        <v>370</v>
      </c>
      <c r="H1420" s="289">
        <v>1</v>
      </c>
      <c r="I1420" s="290">
        <v>1</v>
      </c>
      <c r="J1420" s="48" t="s">
        <v>773</v>
      </c>
      <c r="K1420" s="50"/>
      <c r="L1420" s="53" t="str">
        <f t="shared" si="262"/>
        <v>1liters</v>
      </c>
      <c r="M1420" s="54">
        <f t="shared" si="263"/>
        <v>1</v>
      </c>
      <c r="N1420" s="55" t="str">
        <f t="shared" si="264"/>
        <v>1liters</v>
      </c>
      <c r="O1420" s="56">
        <f t="shared" si="265"/>
        <v>370</v>
      </c>
      <c r="P1420" s="44"/>
      <c r="Q1420" s="12"/>
      <c r="R1420" s="12"/>
      <c r="S1420" s="151"/>
      <c r="T1420" s="12"/>
      <c r="U1420" s="12"/>
      <c r="V1420" s="12"/>
      <c r="W1420" s="12"/>
      <c r="X1420" s="12"/>
      <c r="Y1420" s="12"/>
      <c r="Z1420" s="12"/>
    </row>
    <row r="1421" spans="1:26" ht="15.75" customHeight="1" x14ac:dyDescent="0.3">
      <c r="A1421" s="45"/>
      <c r="B1421" s="219" t="s">
        <v>1759</v>
      </c>
      <c r="C1421" s="194" t="s">
        <v>2023</v>
      </c>
      <c r="D1421" s="46"/>
      <c r="E1421" s="219"/>
      <c r="F1421" s="61" t="s">
        <v>31</v>
      </c>
      <c r="G1421" s="291">
        <v>11</v>
      </c>
      <c r="H1421" s="292">
        <v>1</v>
      </c>
      <c r="I1421" s="293">
        <v>200</v>
      </c>
      <c r="J1421" s="414" t="s">
        <v>32</v>
      </c>
      <c r="K1421" s="50"/>
      <c r="L1421" s="53" t="str">
        <f t="shared" si="262"/>
        <v>200ml</v>
      </c>
      <c r="M1421" s="54">
        <f t="shared" si="263"/>
        <v>200</v>
      </c>
      <c r="N1421" s="55" t="str">
        <f t="shared" si="264"/>
        <v>200ml</v>
      </c>
      <c r="O1421" s="56">
        <f t="shared" si="265"/>
        <v>11</v>
      </c>
      <c r="P1421" s="44"/>
      <c r="Q1421" s="12"/>
      <c r="R1421" s="12"/>
      <c r="S1421" s="151"/>
      <c r="T1421" s="12"/>
      <c r="U1421" s="12"/>
      <c r="V1421" s="12"/>
      <c r="W1421" s="12"/>
      <c r="X1421" s="12"/>
      <c r="Y1421" s="12"/>
      <c r="Z1421" s="12"/>
    </row>
    <row r="1422" spans="1:26" ht="15.75" customHeight="1" x14ac:dyDescent="0.3">
      <c r="A1422" s="45"/>
      <c r="B1422" s="46" t="s">
        <v>286</v>
      </c>
      <c r="C1422" s="194" t="s">
        <v>2023</v>
      </c>
      <c r="D1422" s="46"/>
      <c r="E1422" s="46" t="s">
        <v>1069</v>
      </c>
      <c r="F1422" s="61" t="s">
        <v>31</v>
      </c>
      <c r="G1422" s="288">
        <v>73</v>
      </c>
      <c r="H1422" s="289">
        <v>16</v>
      </c>
      <c r="I1422" s="290">
        <v>3500</v>
      </c>
      <c r="J1422" s="48" t="s">
        <v>32</v>
      </c>
      <c r="K1422" s="50"/>
      <c r="L1422" s="53" t="str">
        <f t="shared" si="262"/>
        <v>3500ml</v>
      </c>
      <c r="M1422" s="54">
        <f t="shared" si="263"/>
        <v>56000</v>
      </c>
      <c r="N1422" s="55" t="str">
        <f t="shared" si="264"/>
        <v>56000ml</v>
      </c>
      <c r="O1422" s="56">
        <f t="shared" si="265"/>
        <v>1168</v>
      </c>
      <c r="P1422" s="12"/>
      <c r="Q1422" s="12"/>
      <c r="R1422" s="12"/>
      <c r="S1422" s="151"/>
      <c r="T1422" s="12"/>
      <c r="U1422" s="12"/>
      <c r="V1422" s="12"/>
      <c r="W1422" s="12"/>
      <c r="X1422" s="12"/>
      <c r="Y1422" s="12"/>
      <c r="Z1422" s="12"/>
    </row>
    <row r="1423" spans="1:26" ht="15.75" customHeight="1" x14ac:dyDescent="0.3">
      <c r="A1423" s="45"/>
      <c r="B1423" s="46" t="s">
        <v>286</v>
      </c>
      <c r="C1423" s="194" t="s">
        <v>2022</v>
      </c>
      <c r="D1423" s="46"/>
      <c r="E1423" s="46" t="s">
        <v>1071</v>
      </c>
      <c r="F1423" s="61" t="s">
        <v>31</v>
      </c>
      <c r="G1423" s="288">
        <v>10</v>
      </c>
      <c r="H1423" s="289">
        <v>65</v>
      </c>
      <c r="I1423" s="290">
        <v>1</v>
      </c>
      <c r="J1423" s="48" t="s">
        <v>200</v>
      </c>
      <c r="K1423" s="50"/>
      <c r="L1423" s="53" t="str">
        <f t="shared" si="262"/>
        <v>1gal</v>
      </c>
      <c r="M1423" s="54">
        <f t="shared" si="263"/>
        <v>65</v>
      </c>
      <c r="N1423" s="55" t="str">
        <f t="shared" si="264"/>
        <v>65gal</v>
      </c>
      <c r="O1423" s="56">
        <f t="shared" si="265"/>
        <v>650</v>
      </c>
      <c r="P1423" s="12"/>
      <c r="Q1423" s="12"/>
      <c r="R1423" s="12"/>
      <c r="S1423" s="151"/>
      <c r="T1423" s="12"/>
      <c r="U1423" s="12"/>
      <c r="V1423" s="12"/>
      <c r="W1423" s="12"/>
      <c r="X1423" s="12"/>
      <c r="Y1423" s="12"/>
      <c r="Z1423" s="12"/>
    </row>
    <row r="1424" spans="1:26" ht="15.75" customHeight="1" x14ac:dyDescent="0.3">
      <c r="A1424" s="45"/>
      <c r="B1424" s="219" t="s">
        <v>286</v>
      </c>
      <c r="C1424" s="194" t="s">
        <v>2021</v>
      </c>
      <c r="D1424" s="46"/>
      <c r="E1424" s="219" t="s">
        <v>1069</v>
      </c>
      <c r="F1424" s="61" t="s">
        <v>31</v>
      </c>
      <c r="G1424" s="291">
        <v>70</v>
      </c>
      <c r="H1424" s="292">
        <v>6</v>
      </c>
      <c r="I1424" s="293">
        <v>3500</v>
      </c>
      <c r="J1424" s="414" t="s">
        <v>32</v>
      </c>
      <c r="K1424" s="50"/>
      <c r="L1424" s="53" t="str">
        <f t="shared" si="262"/>
        <v>3500ml</v>
      </c>
      <c r="M1424" s="54">
        <f t="shared" si="263"/>
        <v>21000</v>
      </c>
      <c r="N1424" s="55" t="str">
        <f t="shared" si="264"/>
        <v>21000ml</v>
      </c>
      <c r="O1424" s="56">
        <f t="shared" si="265"/>
        <v>420</v>
      </c>
      <c r="P1424" s="12"/>
      <c r="Q1424" s="12"/>
      <c r="R1424" s="12"/>
      <c r="S1424" s="151"/>
      <c r="T1424" s="12"/>
      <c r="U1424" s="12"/>
      <c r="V1424" s="12"/>
      <c r="W1424" s="12"/>
      <c r="X1424" s="12"/>
      <c r="Y1424" s="12"/>
      <c r="Z1424" s="12"/>
    </row>
    <row r="1425" spans="1:26" ht="15.75" customHeight="1" x14ac:dyDescent="0.3">
      <c r="A1425" s="45"/>
      <c r="B1425" s="46" t="s">
        <v>1759</v>
      </c>
      <c r="C1425" s="194" t="s">
        <v>2020</v>
      </c>
      <c r="D1425" s="46"/>
      <c r="E1425" s="46" t="s">
        <v>1069</v>
      </c>
      <c r="F1425" s="61" t="s">
        <v>31</v>
      </c>
      <c r="G1425" s="288">
        <v>73</v>
      </c>
      <c r="H1425" s="289">
        <v>1</v>
      </c>
      <c r="I1425" s="290">
        <v>1</v>
      </c>
      <c r="J1425" s="48" t="s">
        <v>200</v>
      </c>
      <c r="K1425" s="50"/>
      <c r="L1425" s="53" t="str">
        <f t="shared" si="262"/>
        <v>1gal</v>
      </c>
      <c r="M1425" s="54">
        <f t="shared" si="263"/>
        <v>1</v>
      </c>
      <c r="N1425" s="55" t="str">
        <f t="shared" si="264"/>
        <v>1gal</v>
      </c>
      <c r="O1425" s="56">
        <f t="shared" si="265"/>
        <v>73</v>
      </c>
      <c r="P1425" s="12"/>
      <c r="Q1425" s="12"/>
      <c r="R1425" s="12"/>
      <c r="S1425" s="151"/>
      <c r="T1425" s="12"/>
      <c r="U1425" s="12"/>
      <c r="V1425" s="12"/>
      <c r="W1425" s="12"/>
      <c r="X1425" s="12"/>
      <c r="Y1425" s="12"/>
      <c r="Z1425" s="12"/>
    </row>
    <row r="1426" spans="1:26" ht="15.75" customHeight="1" x14ac:dyDescent="0.3">
      <c r="A1426" s="45"/>
      <c r="B1426" s="46" t="s">
        <v>286</v>
      </c>
      <c r="C1426" s="194" t="s">
        <v>2022</v>
      </c>
      <c r="D1426" s="46"/>
      <c r="E1426" s="46" t="s">
        <v>1359</v>
      </c>
      <c r="F1426" s="61" t="s">
        <v>31</v>
      </c>
      <c r="G1426" s="288">
        <v>198</v>
      </c>
      <c r="H1426" s="289">
        <v>1</v>
      </c>
      <c r="I1426" s="290">
        <v>500</v>
      </c>
      <c r="J1426" s="48" t="s">
        <v>32</v>
      </c>
      <c r="K1426" s="50"/>
      <c r="L1426" s="53" t="str">
        <f t="shared" si="262"/>
        <v>500ml</v>
      </c>
      <c r="M1426" s="54">
        <f t="shared" si="263"/>
        <v>500</v>
      </c>
      <c r="N1426" s="55" t="str">
        <f t="shared" si="264"/>
        <v>500ml</v>
      </c>
      <c r="O1426" s="56">
        <f t="shared" si="265"/>
        <v>198</v>
      </c>
      <c r="P1426" s="12"/>
      <c r="Q1426" s="12"/>
      <c r="R1426" s="12"/>
      <c r="S1426" s="151"/>
      <c r="T1426" s="12"/>
      <c r="U1426" s="12"/>
      <c r="V1426" s="12"/>
      <c r="W1426" s="12"/>
      <c r="X1426" s="12"/>
      <c r="Y1426" s="12"/>
      <c r="Z1426" s="12"/>
    </row>
    <row r="1427" spans="1:26" ht="15.75" customHeight="1" x14ac:dyDescent="0.3">
      <c r="A1427" s="45">
        <v>797</v>
      </c>
      <c r="B1427" s="46" t="s">
        <v>286</v>
      </c>
      <c r="C1427" s="194" t="s">
        <v>1368</v>
      </c>
      <c r="D1427" s="46"/>
      <c r="E1427" s="46" t="s">
        <v>1760</v>
      </c>
      <c r="F1427" s="61" t="s">
        <v>31</v>
      </c>
      <c r="G1427" s="288">
        <v>184</v>
      </c>
      <c r="H1427" s="289">
        <v>14</v>
      </c>
      <c r="I1427" s="290">
        <v>1</v>
      </c>
      <c r="J1427" s="48" t="s">
        <v>200</v>
      </c>
      <c r="K1427" s="50"/>
      <c r="L1427" s="53" t="str">
        <f t="shared" si="262"/>
        <v>1gal</v>
      </c>
      <c r="M1427" s="54">
        <f t="shared" si="263"/>
        <v>14</v>
      </c>
      <c r="N1427" s="55" t="str">
        <f t="shared" si="264"/>
        <v>14gal</v>
      </c>
      <c r="O1427" s="56">
        <f t="shared" si="265"/>
        <v>2576</v>
      </c>
      <c r="P1427" s="44">
        <f t="shared" ref="P1427:P1430" si="299">O1427/H1427</f>
        <v>184</v>
      </c>
      <c r="Q1427" s="66"/>
      <c r="R1427" s="32" t="b">
        <f>P1427=G1427</f>
        <v>1</v>
      </c>
      <c r="S1427" s="32"/>
      <c r="T1427" s="32"/>
      <c r="U1427" s="32"/>
      <c r="V1427" s="32"/>
      <c r="W1427" s="32"/>
      <c r="X1427" s="32"/>
      <c r="Y1427" s="32"/>
      <c r="Z1427" s="32"/>
    </row>
    <row r="1428" spans="1:26" ht="15.75" customHeight="1" x14ac:dyDescent="0.3">
      <c r="A1428" s="45">
        <v>63</v>
      </c>
      <c r="B1428" s="219" t="s">
        <v>330</v>
      </c>
      <c r="C1428" s="194" t="s">
        <v>29</v>
      </c>
      <c r="D1428" s="46"/>
      <c r="E1428" s="46" t="s">
        <v>1349</v>
      </c>
      <c r="F1428" s="61" t="s">
        <v>31</v>
      </c>
      <c r="G1428" s="288">
        <v>71.2</v>
      </c>
      <c r="H1428" s="289">
        <v>3</v>
      </c>
      <c r="I1428" s="290">
        <v>800</v>
      </c>
      <c r="J1428" s="48" t="s">
        <v>39</v>
      </c>
      <c r="K1428" s="61" t="s">
        <v>2019</v>
      </c>
      <c r="L1428" s="415" t="str">
        <f t="shared" si="262"/>
        <v>800grams</v>
      </c>
      <c r="M1428" s="416">
        <f t="shared" si="263"/>
        <v>2400</v>
      </c>
      <c r="N1428" s="417" t="str">
        <f t="shared" si="264"/>
        <v>2400grams</v>
      </c>
      <c r="O1428" s="418">
        <f t="shared" si="265"/>
        <v>213.60000000000002</v>
      </c>
      <c r="P1428" s="419">
        <f t="shared" si="299"/>
        <v>71.2</v>
      </c>
      <c r="Q1428" s="66"/>
      <c r="R1428" s="32"/>
      <c r="S1428" s="32"/>
      <c r="T1428" s="32"/>
      <c r="U1428" s="32"/>
      <c r="V1428" s="32"/>
      <c r="W1428" s="32"/>
      <c r="X1428" s="32"/>
      <c r="Y1428" s="32"/>
      <c r="Z1428" s="32"/>
    </row>
    <row r="1429" spans="1:26" ht="15.75" customHeight="1" x14ac:dyDescent="0.3">
      <c r="A1429" s="45">
        <v>158</v>
      </c>
      <c r="B1429" s="46" t="s">
        <v>330</v>
      </c>
      <c r="C1429" s="194" t="s">
        <v>2024</v>
      </c>
      <c r="D1429" s="46"/>
      <c r="E1429" s="46" t="s">
        <v>1761</v>
      </c>
      <c r="F1429" s="61" t="s">
        <v>31</v>
      </c>
      <c r="G1429" s="288">
        <v>80</v>
      </c>
      <c r="H1429" s="289">
        <v>3</v>
      </c>
      <c r="I1429" s="290">
        <v>800</v>
      </c>
      <c r="J1429" s="48" t="s">
        <v>39</v>
      </c>
      <c r="K1429" s="50"/>
      <c r="L1429" s="53" t="str">
        <f t="shared" si="262"/>
        <v>800grams</v>
      </c>
      <c r="M1429" s="54">
        <f t="shared" si="263"/>
        <v>2400</v>
      </c>
      <c r="N1429" s="55" t="str">
        <f t="shared" si="264"/>
        <v>2400grams</v>
      </c>
      <c r="O1429" s="56">
        <f t="shared" si="265"/>
        <v>240</v>
      </c>
      <c r="P1429" s="44">
        <f t="shared" si="299"/>
        <v>80</v>
      </c>
      <c r="Q1429" s="66"/>
      <c r="R1429" s="32" t="b">
        <f t="shared" ref="R1429:R1430" si="300">P1429=G1429</f>
        <v>1</v>
      </c>
      <c r="S1429" s="32"/>
      <c r="T1429" s="32"/>
      <c r="U1429" s="32"/>
      <c r="V1429" s="32"/>
      <c r="W1429" s="32"/>
      <c r="X1429" s="32"/>
      <c r="Y1429" s="32"/>
      <c r="Z1429" s="32"/>
    </row>
    <row r="1430" spans="1:26" ht="15.75" customHeight="1" x14ac:dyDescent="0.3">
      <c r="A1430" s="45">
        <v>855</v>
      </c>
      <c r="B1430" s="46" t="s">
        <v>330</v>
      </c>
      <c r="C1430" s="194" t="s">
        <v>1368</v>
      </c>
      <c r="D1430" s="46"/>
      <c r="E1430" s="46" t="s">
        <v>1762</v>
      </c>
      <c r="F1430" s="61" t="s">
        <v>31</v>
      </c>
      <c r="G1430" s="288">
        <v>116</v>
      </c>
      <c r="H1430" s="289">
        <v>3</v>
      </c>
      <c r="I1430" s="290">
        <v>900</v>
      </c>
      <c r="J1430" s="48" t="s">
        <v>39</v>
      </c>
      <c r="K1430" s="50"/>
      <c r="L1430" s="53" t="str">
        <f t="shared" si="262"/>
        <v>900grams</v>
      </c>
      <c r="M1430" s="54">
        <f t="shared" si="263"/>
        <v>2700</v>
      </c>
      <c r="N1430" s="55" t="str">
        <f t="shared" si="264"/>
        <v>2700grams</v>
      </c>
      <c r="O1430" s="56">
        <f t="shared" si="265"/>
        <v>348</v>
      </c>
      <c r="P1430" s="44">
        <f t="shared" si="299"/>
        <v>116</v>
      </c>
      <c r="Q1430" s="66"/>
      <c r="R1430" s="32" t="b">
        <f t="shared" si="300"/>
        <v>1</v>
      </c>
      <c r="S1430" s="32"/>
      <c r="T1430" s="32"/>
      <c r="U1430" s="32"/>
      <c r="V1430" s="32"/>
      <c r="W1430" s="32"/>
      <c r="X1430" s="32"/>
      <c r="Y1430" s="32"/>
      <c r="Z1430" s="32"/>
    </row>
    <row r="1431" spans="1:26" ht="15.75" customHeight="1" x14ac:dyDescent="0.3">
      <c r="A1431" s="45"/>
      <c r="B1431" s="46" t="s">
        <v>330</v>
      </c>
      <c r="C1431" s="194" t="s">
        <v>2023</v>
      </c>
      <c r="D1431" s="46"/>
      <c r="E1431" s="46" t="s">
        <v>1761</v>
      </c>
      <c r="F1431" s="61" t="s">
        <v>31</v>
      </c>
      <c r="G1431" s="288">
        <v>75</v>
      </c>
      <c r="H1431" s="289">
        <v>12</v>
      </c>
      <c r="I1431" s="290">
        <v>1</v>
      </c>
      <c r="J1431" s="48" t="s">
        <v>213</v>
      </c>
      <c r="K1431" s="50"/>
      <c r="L1431" s="53" t="str">
        <f t="shared" si="262"/>
        <v>1kilos</v>
      </c>
      <c r="M1431" s="54">
        <f t="shared" si="263"/>
        <v>12</v>
      </c>
      <c r="N1431" s="55" t="str">
        <f t="shared" si="264"/>
        <v>12kilos</v>
      </c>
      <c r="O1431" s="56">
        <f t="shared" si="265"/>
        <v>900</v>
      </c>
      <c r="P1431" s="12"/>
      <c r="Q1431" s="12"/>
      <c r="R1431" s="12"/>
      <c r="S1431" s="151"/>
      <c r="T1431" s="12"/>
      <c r="U1431" s="12"/>
      <c r="V1431" s="12"/>
      <c r="W1431" s="12"/>
      <c r="X1431" s="12"/>
      <c r="Y1431" s="12"/>
      <c r="Z1431" s="12"/>
    </row>
    <row r="1432" spans="1:26" ht="15.75" customHeight="1" x14ac:dyDescent="0.3">
      <c r="A1432" s="45"/>
      <c r="B1432" s="219" t="s">
        <v>330</v>
      </c>
      <c r="C1432" s="194" t="s">
        <v>2021</v>
      </c>
      <c r="D1432" s="46"/>
      <c r="E1432" s="219" t="s">
        <v>1761</v>
      </c>
      <c r="F1432" s="61" t="s">
        <v>31</v>
      </c>
      <c r="G1432" s="295">
        <v>75</v>
      </c>
      <c r="H1432" s="292">
        <v>12</v>
      </c>
      <c r="I1432" s="293">
        <v>800</v>
      </c>
      <c r="J1432" s="414" t="s">
        <v>39</v>
      </c>
      <c r="K1432" s="50"/>
      <c r="L1432" s="53" t="str">
        <f t="shared" si="262"/>
        <v>800grams</v>
      </c>
      <c r="M1432" s="54">
        <f t="shared" si="263"/>
        <v>9600</v>
      </c>
      <c r="N1432" s="55" t="str">
        <f t="shared" si="264"/>
        <v>9600grams</v>
      </c>
      <c r="O1432" s="56">
        <f t="shared" si="265"/>
        <v>900</v>
      </c>
      <c r="P1432" s="12"/>
      <c r="Q1432" s="12"/>
      <c r="R1432" s="12"/>
      <c r="S1432" s="151"/>
      <c r="T1432" s="12"/>
      <c r="U1432" s="12"/>
      <c r="V1432" s="12"/>
      <c r="W1432" s="12"/>
      <c r="X1432" s="12"/>
      <c r="Y1432" s="12"/>
      <c r="Z1432" s="12"/>
    </row>
    <row r="1433" spans="1:26" ht="15.75" customHeight="1" x14ac:dyDescent="0.3">
      <c r="A1433" s="45">
        <v>352</v>
      </c>
      <c r="B1433" s="46" t="s">
        <v>330</v>
      </c>
      <c r="C1433" s="194" t="s">
        <v>2025</v>
      </c>
      <c r="D1433" s="46"/>
      <c r="E1433" s="46" t="s">
        <v>1761</v>
      </c>
      <c r="F1433" s="61" t="s">
        <v>31</v>
      </c>
      <c r="G1433" s="288">
        <v>80</v>
      </c>
      <c r="H1433" s="289">
        <v>4</v>
      </c>
      <c r="I1433" s="290">
        <v>900</v>
      </c>
      <c r="J1433" s="48" t="s">
        <v>39</v>
      </c>
      <c r="K1433" s="50"/>
      <c r="L1433" s="53" t="str">
        <f t="shared" si="262"/>
        <v>900grams</v>
      </c>
      <c r="M1433" s="54">
        <f t="shared" si="263"/>
        <v>3600</v>
      </c>
      <c r="N1433" s="55" t="str">
        <f t="shared" si="264"/>
        <v>3600grams</v>
      </c>
      <c r="O1433" s="56">
        <f t="shared" si="265"/>
        <v>320</v>
      </c>
      <c r="P1433" s="44">
        <f t="shared" ref="P1433:P1434" si="301">O1433/H1433</f>
        <v>80</v>
      </c>
      <c r="Q1433" s="66"/>
      <c r="R1433" s="32" t="b">
        <f>P1433=G1433</f>
        <v>1</v>
      </c>
      <c r="S1433" s="32"/>
      <c r="T1433" s="32"/>
      <c r="U1433" s="32"/>
      <c r="V1433" s="32"/>
      <c r="W1433" s="32"/>
      <c r="X1433" s="32"/>
      <c r="Y1433" s="32"/>
      <c r="Z1433" s="32"/>
    </row>
    <row r="1434" spans="1:26" ht="15.75" customHeight="1" x14ac:dyDescent="0.3">
      <c r="A1434" s="45">
        <v>766</v>
      </c>
      <c r="B1434" s="46" t="s">
        <v>330</v>
      </c>
      <c r="C1434" s="194" t="s">
        <v>2026</v>
      </c>
      <c r="D1434" s="46"/>
      <c r="E1434" s="46" t="s">
        <v>1763</v>
      </c>
      <c r="F1434" s="61" t="s">
        <v>31</v>
      </c>
      <c r="G1434" s="288">
        <v>78.56</v>
      </c>
      <c r="H1434" s="289">
        <v>1</v>
      </c>
      <c r="I1434" s="290">
        <v>800</v>
      </c>
      <c r="J1434" s="48" t="s">
        <v>39</v>
      </c>
      <c r="K1434" s="50"/>
      <c r="L1434" s="53" t="str">
        <f t="shared" si="262"/>
        <v>800grams</v>
      </c>
      <c r="M1434" s="54">
        <f t="shared" si="263"/>
        <v>800</v>
      </c>
      <c r="N1434" s="55" t="str">
        <f t="shared" si="264"/>
        <v>800grams</v>
      </c>
      <c r="O1434" s="56">
        <f t="shared" si="265"/>
        <v>78.56</v>
      </c>
      <c r="P1434" s="44">
        <f t="shared" si="301"/>
        <v>78.56</v>
      </c>
      <c r="Q1434" s="66"/>
      <c r="R1434" s="32"/>
      <c r="S1434" s="32"/>
      <c r="T1434" s="32"/>
      <c r="U1434" s="32"/>
      <c r="V1434" s="32"/>
      <c r="W1434" s="32"/>
      <c r="X1434" s="32"/>
      <c r="Y1434" s="32"/>
      <c r="Z1434" s="32"/>
    </row>
    <row r="1435" spans="1:26" ht="15.75" customHeight="1" x14ac:dyDescent="0.3">
      <c r="A1435" s="45"/>
      <c r="B1435" s="219" t="s">
        <v>1764</v>
      </c>
      <c r="C1435" s="194" t="s">
        <v>2021</v>
      </c>
      <c r="D1435" s="46"/>
      <c r="E1435" s="219" t="s">
        <v>1765</v>
      </c>
      <c r="F1435" s="61" t="s">
        <v>31</v>
      </c>
      <c r="G1435" s="291">
        <v>2.48</v>
      </c>
      <c r="H1435" s="292">
        <v>457</v>
      </c>
      <c r="I1435" s="293">
        <v>1</v>
      </c>
      <c r="J1435" s="414" t="s">
        <v>92</v>
      </c>
      <c r="K1435" s="50"/>
      <c r="L1435" s="53" t="str">
        <f t="shared" si="262"/>
        <v>1pieces</v>
      </c>
      <c r="M1435" s="54">
        <f t="shared" si="263"/>
        <v>457</v>
      </c>
      <c r="N1435" s="55" t="str">
        <f t="shared" si="264"/>
        <v>457pieces</v>
      </c>
      <c r="O1435" s="56">
        <f t="shared" si="265"/>
        <v>1133.3599999999999</v>
      </c>
      <c r="P1435" s="12"/>
      <c r="Q1435" s="12"/>
      <c r="R1435" s="12"/>
      <c r="S1435" s="151"/>
      <c r="T1435" s="12"/>
      <c r="U1435" s="12"/>
      <c r="V1435" s="12"/>
      <c r="W1435" s="12"/>
      <c r="X1435" s="12"/>
      <c r="Y1435" s="12"/>
      <c r="Z1435" s="12"/>
    </row>
    <row r="1436" spans="1:26" ht="15.75" customHeight="1" x14ac:dyDescent="0.3">
      <c r="A1436" s="45">
        <v>376</v>
      </c>
      <c r="B1436" s="46" t="s">
        <v>1764</v>
      </c>
      <c r="C1436" s="194" t="s">
        <v>2025</v>
      </c>
      <c r="D1436" s="46"/>
      <c r="E1436" s="46"/>
      <c r="F1436" s="61" t="s">
        <v>31</v>
      </c>
      <c r="G1436" s="288">
        <v>4</v>
      </c>
      <c r="H1436" s="289">
        <v>28</v>
      </c>
      <c r="I1436" s="290">
        <v>1</v>
      </c>
      <c r="J1436" s="48" t="s">
        <v>92</v>
      </c>
      <c r="K1436" s="50"/>
      <c r="L1436" s="53" t="str">
        <f t="shared" si="262"/>
        <v>1pieces</v>
      </c>
      <c r="M1436" s="54">
        <f t="shared" si="263"/>
        <v>28</v>
      </c>
      <c r="N1436" s="55" t="str">
        <f t="shared" si="264"/>
        <v>28pieces</v>
      </c>
      <c r="O1436" s="56">
        <f t="shared" si="265"/>
        <v>112</v>
      </c>
      <c r="P1436" s="44">
        <f>O1436/H1436</f>
        <v>4</v>
      </c>
      <c r="Q1436" s="66"/>
      <c r="R1436" s="32"/>
      <c r="S1436" s="32"/>
      <c r="T1436" s="32"/>
      <c r="U1436" s="32"/>
      <c r="V1436" s="32"/>
      <c r="W1436" s="32"/>
      <c r="X1436" s="32"/>
      <c r="Y1436" s="32"/>
      <c r="Z1436" s="32"/>
    </row>
    <row r="1437" spans="1:26" ht="15.75" customHeight="1" x14ac:dyDescent="0.3">
      <c r="A1437" s="45"/>
      <c r="B1437" s="46" t="s">
        <v>1766</v>
      </c>
      <c r="C1437" s="194" t="s">
        <v>2020</v>
      </c>
      <c r="D1437" s="46"/>
      <c r="E1437" s="46" t="s">
        <v>1241</v>
      </c>
      <c r="F1437" s="61" t="s">
        <v>31</v>
      </c>
      <c r="G1437" s="288">
        <v>139.9</v>
      </c>
      <c r="H1437" s="289">
        <v>4</v>
      </c>
      <c r="I1437" s="290">
        <v>1</v>
      </c>
      <c r="J1437" s="48" t="s">
        <v>213</v>
      </c>
      <c r="K1437" s="50"/>
      <c r="L1437" s="53" t="str">
        <f t="shared" si="262"/>
        <v>1kilos</v>
      </c>
      <c r="M1437" s="54">
        <f t="shared" si="263"/>
        <v>4</v>
      </c>
      <c r="N1437" s="55" t="str">
        <f t="shared" si="264"/>
        <v>4kilos</v>
      </c>
      <c r="O1437" s="56">
        <f t="shared" si="265"/>
        <v>559.6</v>
      </c>
      <c r="P1437" s="12"/>
      <c r="Q1437" s="12"/>
      <c r="R1437" s="12"/>
      <c r="S1437" s="151"/>
      <c r="T1437" s="12"/>
      <c r="U1437" s="12"/>
      <c r="V1437" s="12"/>
      <c r="W1437" s="12"/>
      <c r="X1437" s="12"/>
      <c r="Y1437" s="12"/>
      <c r="Z1437" s="12"/>
    </row>
    <row r="1438" spans="1:26" ht="15.75" customHeight="1" x14ac:dyDescent="0.3">
      <c r="A1438" s="45"/>
      <c r="B1438" s="46" t="s">
        <v>1767</v>
      </c>
      <c r="C1438" s="194" t="s">
        <v>2023</v>
      </c>
      <c r="D1438" s="46"/>
      <c r="E1438" s="46" t="s">
        <v>641</v>
      </c>
      <c r="F1438" s="61" t="s">
        <v>31</v>
      </c>
      <c r="G1438" s="288">
        <v>99.6</v>
      </c>
      <c r="H1438" s="289">
        <v>11</v>
      </c>
      <c r="I1438" s="290">
        <v>900</v>
      </c>
      <c r="J1438" s="48" t="s">
        <v>39</v>
      </c>
      <c r="K1438" s="50"/>
      <c r="L1438" s="53" t="str">
        <f t="shared" si="262"/>
        <v>900grams</v>
      </c>
      <c r="M1438" s="54">
        <f t="shared" si="263"/>
        <v>9900</v>
      </c>
      <c r="N1438" s="55" t="str">
        <f t="shared" si="264"/>
        <v>9900grams</v>
      </c>
      <c r="O1438" s="56">
        <f t="shared" si="265"/>
        <v>1095.5999999999999</v>
      </c>
      <c r="P1438" s="12"/>
      <c r="Q1438" s="12"/>
      <c r="R1438" s="12"/>
      <c r="S1438" s="151"/>
      <c r="T1438" s="12"/>
      <c r="U1438" s="12"/>
      <c r="V1438" s="12"/>
      <c r="W1438" s="12"/>
      <c r="X1438" s="12"/>
      <c r="Y1438" s="12"/>
      <c r="Z1438" s="12"/>
    </row>
    <row r="1439" spans="1:26" ht="15.75" customHeight="1" x14ac:dyDescent="0.3">
      <c r="A1439" s="45">
        <v>282</v>
      </c>
      <c r="B1439" s="46" t="s">
        <v>1768</v>
      </c>
      <c r="C1439" s="194" t="s">
        <v>2025</v>
      </c>
      <c r="D1439" s="46"/>
      <c r="E1439" s="46" t="s">
        <v>1769</v>
      </c>
      <c r="F1439" s="61" t="s">
        <v>31</v>
      </c>
      <c r="G1439" s="288">
        <v>60</v>
      </c>
      <c r="H1439" s="289">
        <v>1</v>
      </c>
      <c r="I1439" s="290">
        <v>1</v>
      </c>
      <c r="J1439" s="48" t="s">
        <v>213</v>
      </c>
      <c r="K1439" s="50"/>
      <c r="L1439" s="53" t="str">
        <f t="shared" si="262"/>
        <v>1kilos</v>
      </c>
      <c r="M1439" s="54">
        <f t="shared" si="263"/>
        <v>1</v>
      </c>
      <c r="N1439" s="55" t="str">
        <f t="shared" si="264"/>
        <v>1kilos</v>
      </c>
      <c r="O1439" s="56">
        <f t="shared" si="265"/>
        <v>60</v>
      </c>
      <c r="P1439" s="44">
        <f>O1439/H1439</f>
        <v>60</v>
      </c>
      <c r="Q1439" s="66"/>
      <c r="R1439" s="32"/>
      <c r="S1439" s="32"/>
      <c r="T1439" s="32"/>
      <c r="U1439" s="32"/>
      <c r="V1439" s="32"/>
      <c r="W1439" s="32"/>
      <c r="X1439" s="32"/>
      <c r="Y1439" s="32"/>
      <c r="Z1439" s="32"/>
    </row>
    <row r="1440" spans="1:26" ht="15.75" customHeight="1" x14ac:dyDescent="0.3">
      <c r="A1440" s="45"/>
      <c r="B1440" s="46" t="s">
        <v>1770</v>
      </c>
      <c r="C1440" s="194" t="s">
        <v>2023</v>
      </c>
      <c r="D1440" s="46"/>
      <c r="E1440" s="219" t="s">
        <v>854</v>
      </c>
      <c r="F1440" s="61" t="s">
        <v>31</v>
      </c>
      <c r="G1440" s="288">
        <v>29.75</v>
      </c>
      <c r="H1440" s="289">
        <v>1</v>
      </c>
      <c r="I1440" s="290">
        <v>34</v>
      </c>
      <c r="J1440" s="48" t="s">
        <v>39</v>
      </c>
      <c r="K1440" s="50"/>
      <c r="L1440" s="53" t="str">
        <f t="shared" si="262"/>
        <v>34grams</v>
      </c>
      <c r="M1440" s="54">
        <f t="shared" si="263"/>
        <v>34</v>
      </c>
      <c r="N1440" s="55" t="str">
        <f t="shared" si="264"/>
        <v>34grams</v>
      </c>
      <c r="O1440" s="56">
        <f t="shared" si="265"/>
        <v>29.75</v>
      </c>
      <c r="P1440" s="44"/>
      <c r="Q1440" s="12"/>
      <c r="R1440" s="12"/>
      <c r="S1440" s="151"/>
      <c r="T1440" s="12"/>
      <c r="U1440" s="12"/>
      <c r="V1440" s="12"/>
      <c r="W1440" s="12"/>
      <c r="X1440" s="12"/>
      <c r="Y1440" s="12"/>
      <c r="Z1440" s="12"/>
    </row>
    <row r="1441" spans="1:26" ht="15.75" customHeight="1" x14ac:dyDescent="0.3">
      <c r="A1441" s="45"/>
      <c r="B1441" s="46" t="s">
        <v>1770</v>
      </c>
      <c r="C1441" s="194" t="s">
        <v>2022</v>
      </c>
      <c r="D1441" s="46"/>
      <c r="E1441" s="46" t="s">
        <v>854</v>
      </c>
      <c r="F1441" s="61" t="s">
        <v>31</v>
      </c>
      <c r="G1441" s="288">
        <v>78</v>
      </c>
      <c r="H1441" s="289">
        <v>3</v>
      </c>
      <c r="I1441" s="290">
        <v>34</v>
      </c>
      <c r="J1441" s="48" t="s">
        <v>39</v>
      </c>
      <c r="K1441" s="50"/>
      <c r="L1441" s="53" t="str">
        <f t="shared" si="262"/>
        <v>34grams</v>
      </c>
      <c r="M1441" s="54">
        <f t="shared" si="263"/>
        <v>102</v>
      </c>
      <c r="N1441" s="55" t="str">
        <f t="shared" si="264"/>
        <v>102grams</v>
      </c>
      <c r="O1441" s="56">
        <f t="shared" si="265"/>
        <v>234</v>
      </c>
      <c r="P1441" s="12"/>
      <c r="Q1441" s="12"/>
      <c r="R1441" s="12"/>
      <c r="S1441" s="151"/>
      <c r="T1441" s="12"/>
      <c r="U1441" s="12"/>
      <c r="V1441" s="12"/>
      <c r="W1441" s="12"/>
      <c r="X1441" s="12"/>
      <c r="Y1441" s="12"/>
      <c r="Z1441" s="12"/>
    </row>
    <row r="1442" spans="1:26" ht="15.75" customHeight="1" x14ac:dyDescent="0.3">
      <c r="A1442" s="45">
        <v>312</v>
      </c>
      <c r="B1442" s="46" t="s">
        <v>1771</v>
      </c>
      <c r="C1442" s="194" t="s">
        <v>2025</v>
      </c>
      <c r="D1442" s="46"/>
      <c r="E1442" s="46" t="s">
        <v>854</v>
      </c>
      <c r="F1442" s="61" t="s">
        <v>31</v>
      </c>
      <c r="G1442" s="288">
        <v>5.8</v>
      </c>
      <c r="H1442" s="289">
        <v>15</v>
      </c>
      <c r="I1442" s="290">
        <v>1</v>
      </c>
      <c r="J1442" s="48" t="s">
        <v>92</v>
      </c>
      <c r="K1442" s="50"/>
      <c r="L1442" s="53" t="str">
        <f t="shared" si="262"/>
        <v>1pieces</v>
      </c>
      <c r="M1442" s="54">
        <f t="shared" si="263"/>
        <v>15</v>
      </c>
      <c r="N1442" s="55" t="str">
        <f t="shared" si="264"/>
        <v>15pieces</v>
      </c>
      <c r="O1442" s="56">
        <f t="shared" si="265"/>
        <v>87</v>
      </c>
      <c r="P1442" s="44">
        <f>O1442/H1442</f>
        <v>5.8</v>
      </c>
      <c r="Q1442" s="66"/>
      <c r="R1442" s="32"/>
      <c r="S1442" s="32"/>
      <c r="T1442" s="32"/>
      <c r="U1442" s="32"/>
      <c r="V1442" s="32"/>
      <c r="W1442" s="32"/>
      <c r="X1442" s="32"/>
      <c r="Y1442" s="32"/>
      <c r="Z1442" s="32"/>
    </row>
    <row r="1443" spans="1:26" ht="15.75" customHeight="1" x14ac:dyDescent="0.3">
      <c r="A1443" s="45"/>
      <c r="B1443" s="46" t="s">
        <v>1772</v>
      </c>
      <c r="C1443" s="194" t="s">
        <v>2022</v>
      </c>
      <c r="D1443" s="46"/>
      <c r="E1443" s="46" t="s">
        <v>1219</v>
      </c>
      <c r="F1443" s="61" t="s">
        <v>31</v>
      </c>
      <c r="G1443" s="288">
        <v>72</v>
      </c>
      <c r="H1443" s="289">
        <v>2</v>
      </c>
      <c r="I1443" s="290">
        <v>500</v>
      </c>
      <c r="J1443" s="48" t="s">
        <v>39</v>
      </c>
      <c r="K1443" s="50"/>
      <c r="L1443" s="53" t="str">
        <f t="shared" si="262"/>
        <v>500grams</v>
      </c>
      <c r="M1443" s="54">
        <f t="shared" si="263"/>
        <v>1000</v>
      </c>
      <c r="N1443" s="55" t="str">
        <f t="shared" si="264"/>
        <v>1000grams</v>
      </c>
      <c r="O1443" s="56">
        <f t="shared" si="265"/>
        <v>144</v>
      </c>
      <c r="P1443" s="12"/>
      <c r="Q1443" s="12"/>
      <c r="R1443" s="12"/>
      <c r="S1443" s="151"/>
      <c r="T1443" s="12"/>
      <c r="U1443" s="12"/>
      <c r="V1443" s="12"/>
      <c r="W1443" s="12"/>
      <c r="X1443" s="12"/>
      <c r="Y1443" s="12"/>
      <c r="Z1443" s="12"/>
    </row>
    <row r="1444" spans="1:26" ht="15.75" customHeight="1" x14ac:dyDescent="0.3">
      <c r="A1444" s="45"/>
      <c r="B1444" s="46" t="s">
        <v>786</v>
      </c>
      <c r="C1444" s="194" t="s">
        <v>2023</v>
      </c>
      <c r="D1444" s="46"/>
      <c r="E1444" s="46" t="s">
        <v>1773</v>
      </c>
      <c r="F1444" s="61" t="s">
        <v>31</v>
      </c>
      <c r="G1444" s="288">
        <v>33</v>
      </c>
      <c r="H1444" s="289">
        <v>14</v>
      </c>
      <c r="I1444" s="290">
        <v>1</v>
      </c>
      <c r="J1444" s="48" t="s">
        <v>92</v>
      </c>
      <c r="K1444" s="50"/>
      <c r="L1444" s="53" t="str">
        <f t="shared" si="262"/>
        <v>1pieces</v>
      </c>
      <c r="M1444" s="54">
        <f t="shared" si="263"/>
        <v>14</v>
      </c>
      <c r="N1444" s="55" t="str">
        <f t="shared" si="264"/>
        <v>14pieces</v>
      </c>
      <c r="O1444" s="56">
        <f t="shared" si="265"/>
        <v>462</v>
      </c>
      <c r="P1444" s="12"/>
      <c r="Q1444" s="12"/>
      <c r="R1444" s="12"/>
      <c r="S1444" s="151"/>
      <c r="T1444" s="12"/>
      <c r="U1444" s="12"/>
      <c r="V1444" s="12"/>
      <c r="W1444" s="12"/>
      <c r="X1444" s="12"/>
      <c r="Y1444" s="12"/>
      <c r="Z1444" s="12"/>
    </row>
    <row r="1445" spans="1:26" ht="15.75" customHeight="1" x14ac:dyDescent="0.3">
      <c r="A1445" s="45"/>
      <c r="B1445" s="46" t="s">
        <v>786</v>
      </c>
      <c r="C1445" s="194" t="s">
        <v>2021</v>
      </c>
      <c r="D1445" s="46"/>
      <c r="E1445" s="219" t="s">
        <v>1773</v>
      </c>
      <c r="F1445" s="61" t="s">
        <v>31</v>
      </c>
      <c r="G1445" s="291">
        <v>20</v>
      </c>
      <c r="H1445" s="292">
        <v>2</v>
      </c>
      <c r="I1445" s="293">
        <v>1</v>
      </c>
      <c r="J1445" s="414" t="s">
        <v>92</v>
      </c>
      <c r="K1445" s="50"/>
      <c r="L1445" s="53" t="str">
        <f t="shared" si="262"/>
        <v>1pieces</v>
      </c>
      <c r="M1445" s="54">
        <f t="shared" si="263"/>
        <v>2</v>
      </c>
      <c r="N1445" s="55" t="str">
        <f t="shared" si="264"/>
        <v>2pieces</v>
      </c>
      <c r="O1445" s="56">
        <f t="shared" si="265"/>
        <v>40</v>
      </c>
      <c r="P1445" s="12"/>
      <c r="Q1445" s="12"/>
      <c r="R1445" s="12"/>
      <c r="S1445" s="151"/>
      <c r="T1445" s="12"/>
      <c r="U1445" s="12"/>
      <c r="V1445" s="12"/>
      <c r="W1445" s="12"/>
      <c r="X1445" s="12"/>
      <c r="Y1445" s="12"/>
      <c r="Z1445" s="12"/>
    </row>
    <row r="1446" spans="1:26" ht="15.75" customHeight="1" x14ac:dyDescent="0.3">
      <c r="A1446" s="45">
        <v>864</v>
      </c>
      <c r="B1446" s="46" t="s">
        <v>786</v>
      </c>
      <c r="C1446" s="194" t="s">
        <v>1368</v>
      </c>
      <c r="D1446" s="46"/>
      <c r="E1446" s="46" t="s">
        <v>1774</v>
      </c>
      <c r="F1446" s="61" t="s">
        <v>31</v>
      </c>
      <c r="G1446" s="288">
        <v>65</v>
      </c>
      <c r="H1446" s="289">
        <v>2</v>
      </c>
      <c r="I1446" s="290">
        <v>1</v>
      </c>
      <c r="J1446" s="48" t="s">
        <v>92</v>
      </c>
      <c r="K1446" s="50" t="s">
        <v>2019</v>
      </c>
      <c r="L1446" s="53" t="str">
        <f t="shared" si="262"/>
        <v>1pieces</v>
      </c>
      <c r="M1446" s="54">
        <f t="shared" si="263"/>
        <v>2</v>
      </c>
      <c r="N1446" s="55" t="str">
        <f t="shared" si="264"/>
        <v>2pieces</v>
      </c>
      <c r="O1446" s="56">
        <f t="shared" si="265"/>
        <v>130</v>
      </c>
      <c r="P1446" s="44">
        <f t="shared" ref="P1446:P1448" si="302">O1446/H1446</f>
        <v>65</v>
      </c>
      <c r="Q1446" s="66">
        <f>G1446-P1446</f>
        <v>0</v>
      </c>
      <c r="R1446" s="32" t="b">
        <f>P1446=G1446</f>
        <v>1</v>
      </c>
      <c r="S1446" s="32"/>
      <c r="T1446" s="32"/>
      <c r="U1446" s="32"/>
      <c r="V1446" s="32"/>
      <c r="W1446" s="32"/>
      <c r="X1446" s="32"/>
      <c r="Y1446" s="32"/>
      <c r="Z1446" s="32"/>
    </row>
    <row r="1447" spans="1:26" ht="15.75" customHeight="1" x14ac:dyDescent="0.3">
      <c r="A1447" s="45">
        <v>391</v>
      </c>
      <c r="B1447" s="46" t="s">
        <v>786</v>
      </c>
      <c r="C1447" s="194" t="s">
        <v>2025</v>
      </c>
      <c r="D1447" s="46"/>
      <c r="E1447" s="46"/>
      <c r="F1447" s="61" t="s">
        <v>31</v>
      </c>
      <c r="G1447" s="288">
        <v>19</v>
      </c>
      <c r="H1447" s="289">
        <v>6</v>
      </c>
      <c r="I1447" s="290">
        <v>1</v>
      </c>
      <c r="J1447" s="48" t="s">
        <v>92</v>
      </c>
      <c r="K1447" s="50"/>
      <c r="L1447" s="53" t="str">
        <f t="shared" si="262"/>
        <v>1pieces</v>
      </c>
      <c r="M1447" s="54">
        <f t="shared" si="263"/>
        <v>6</v>
      </c>
      <c r="N1447" s="55" t="str">
        <f t="shared" si="264"/>
        <v>6pieces</v>
      </c>
      <c r="O1447" s="56">
        <f t="shared" si="265"/>
        <v>114</v>
      </c>
      <c r="P1447" s="44">
        <f t="shared" si="302"/>
        <v>19</v>
      </c>
      <c r="Q1447" s="66"/>
      <c r="R1447" s="32"/>
      <c r="S1447" s="32"/>
      <c r="T1447" s="32"/>
      <c r="U1447" s="32"/>
      <c r="V1447" s="32"/>
      <c r="W1447" s="32"/>
      <c r="X1447" s="32"/>
      <c r="Y1447" s="32"/>
      <c r="Z1447" s="32"/>
    </row>
    <row r="1448" spans="1:26" ht="15.75" customHeight="1" x14ac:dyDescent="0.3">
      <c r="A1448" s="45">
        <v>851</v>
      </c>
      <c r="B1448" s="46" t="s">
        <v>786</v>
      </c>
      <c r="C1448" s="194" t="s">
        <v>1368</v>
      </c>
      <c r="D1448" s="46"/>
      <c r="E1448" s="46" t="s">
        <v>1272</v>
      </c>
      <c r="F1448" s="61" t="s">
        <v>31</v>
      </c>
      <c r="G1448" s="288">
        <v>49</v>
      </c>
      <c r="H1448" s="289">
        <v>3</v>
      </c>
      <c r="I1448" s="290">
        <v>1</v>
      </c>
      <c r="J1448" s="48" t="s">
        <v>92</v>
      </c>
      <c r="K1448" s="50"/>
      <c r="L1448" s="53" t="str">
        <f t="shared" si="262"/>
        <v>1pieces</v>
      </c>
      <c r="M1448" s="54">
        <f t="shared" si="263"/>
        <v>3</v>
      </c>
      <c r="N1448" s="55" t="str">
        <f t="shared" si="264"/>
        <v>3pieces</v>
      </c>
      <c r="O1448" s="56">
        <f t="shared" si="265"/>
        <v>147</v>
      </c>
      <c r="P1448" s="44">
        <f t="shared" si="302"/>
        <v>49</v>
      </c>
      <c r="Q1448" s="66"/>
      <c r="R1448" s="32" t="b">
        <f>P1448=G1448</f>
        <v>1</v>
      </c>
      <c r="S1448" s="32"/>
      <c r="T1448" s="32"/>
      <c r="U1448" s="32"/>
      <c r="V1448" s="32"/>
      <c r="W1448" s="32"/>
      <c r="X1448" s="32"/>
      <c r="Y1448" s="32"/>
      <c r="Z1448" s="32"/>
    </row>
    <row r="1449" spans="1:26" ht="15.75" customHeight="1" x14ac:dyDescent="0.3">
      <c r="A1449" s="45">
        <v>894</v>
      </c>
      <c r="B1449" s="46" t="s">
        <v>786</v>
      </c>
      <c r="C1449" s="194" t="s">
        <v>1368</v>
      </c>
      <c r="D1449" s="46"/>
      <c r="E1449" s="46" t="s">
        <v>1773</v>
      </c>
      <c r="F1449" s="61" t="s">
        <v>31</v>
      </c>
      <c r="G1449" s="288">
        <v>27.75</v>
      </c>
      <c r="H1449" s="289">
        <v>1</v>
      </c>
      <c r="I1449" s="290">
        <v>1</v>
      </c>
      <c r="J1449" s="48" t="s">
        <v>92</v>
      </c>
      <c r="K1449" s="50"/>
      <c r="L1449" s="53" t="str">
        <f t="shared" si="262"/>
        <v>1pieces</v>
      </c>
      <c r="M1449" s="54">
        <f t="shared" si="263"/>
        <v>1</v>
      </c>
      <c r="N1449" s="55" t="str">
        <f t="shared" si="264"/>
        <v>1pieces</v>
      </c>
      <c r="O1449" s="56">
        <f t="shared" si="265"/>
        <v>27.75</v>
      </c>
      <c r="P1449" s="44"/>
      <c r="Q1449" s="66"/>
      <c r="R1449" s="32"/>
      <c r="S1449" s="32"/>
      <c r="T1449" s="32"/>
      <c r="U1449" s="32"/>
      <c r="V1449" s="32"/>
      <c r="W1449" s="32"/>
      <c r="X1449" s="32"/>
      <c r="Y1449" s="32"/>
      <c r="Z1449" s="32"/>
    </row>
    <row r="1450" spans="1:26" ht="15.75" customHeight="1" x14ac:dyDescent="0.3">
      <c r="A1450" s="45"/>
      <c r="B1450" s="46" t="s">
        <v>786</v>
      </c>
      <c r="C1450" s="194" t="s">
        <v>2020</v>
      </c>
      <c r="D1450" s="46"/>
      <c r="E1450" s="46" t="s">
        <v>1272</v>
      </c>
      <c r="F1450" s="61" t="s">
        <v>31</v>
      </c>
      <c r="G1450" s="288">
        <v>25</v>
      </c>
      <c r="H1450" s="289">
        <v>10</v>
      </c>
      <c r="I1450" s="290">
        <v>1</v>
      </c>
      <c r="J1450" s="48" t="s">
        <v>92</v>
      </c>
      <c r="K1450" s="50"/>
      <c r="L1450" s="53" t="str">
        <f t="shared" si="262"/>
        <v>1pieces</v>
      </c>
      <c r="M1450" s="54">
        <f t="shared" si="263"/>
        <v>10</v>
      </c>
      <c r="N1450" s="55" t="str">
        <f t="shared" si="264"/>
        <v>10pieces</v>
      </c>
      <c r="O1450" s="56">
        <f t="shared" si="265"/>
        <v>250</v>
      </c>
      <c r="P1450" s="12"/>
      <c r="Q1450" s="12"/>
      <c r="R1450" s="12"/>
      <c r="S1450" s="151"/>
      <c r="T1450" s="12"/>
      <c r="U1450" s="12"/>
      <c r="V1450" s="12"/>
      <c r="W1450" s="12"/>
      <c r="X1450" s="12"/>
      <c r="Y1450" s="12"/>
      <c r="Z1450" s="12"/>
    </row>
    <row r="1451" spans="1:26" ht="15.75" customHeight="1" x14ac:dyDescent="0.3">
      <c r="A1451" s="45">
        <v>710</v>
      </c>
      <c r="B1451" s="46" t="s">
        <v>786</v>
      </c>
      <c r="C1451" s="194" t="s">
        <v>2026</v>
      </c>
      <c r="D1451" s="46"/>
      <c r="E1451" s="46" t="s">
        <v>1272</v>
      </c>
      <c r="F1451" s="61" t="s">
        <v>31</v>
      </c>
      <c r="G1451" s="288">
        <v>33.76</v>
      </c>
      <c r="H1451" s="289">
        <v>17</v>
      </c>
      <c r="I1451" s="290">
        <v>1</v>
      </c>
      <c r="J1451" s="48" t="s">
        <v>92</v>
      </c>
      <c r="K1451" s="50"/>
      <c r="L1451" s="53" t="str">
        <f t="shared" si="262"/>
        <v>1pieces</v>
      </c>
      <c r="M1451" s="54">
        <f t="shared" si="263"/>
        <v>17</v>
      </c>
      <c r="N1451" s="55" t="str">
        <f t="shared" si="264"/>
        <v>17pieces</v>
      </c>
      <c r="O1451" s="56">
        <f t="shared" si="265"/>
        <v>573.91999999999996</v>
      </c>
      <c r="P1451" s="44">
        <f t="shared" ref="P1451:P1456" si="303">O1451/H1451</f>
        <v>33.76</v>
      </c>
      <c r="Q1451" s="66"/>
      <c r="R1451" s="32"/>
      <c r="S1451" s="32"/>
      <c r="T1451" s="32"/>
      <c r="U1451" s="32"/>
      <c r="V1451" s="32"/>
      <c r="W1451" s="32"/>
      <c r="X1451" s="32"/>
      <c r="Y1451" s="32"/>
      <c r="Z1451" s="32"/>
    </row>
    <row r="1452" spans="1:26" ht="15.75" customHeight="1" x14ac:dyDescent="0.3">
      <c r="A1452" s="45">
        <v>432</v>
      </c>
      <c r="B1452" s="426" t="s">
        <v>788</v>
      </c>
      <c r="C1452" s="194" t="s">
        <v>2025</v>
      </c>
      <c r="D1452" s="46"/>
      <c r="E1452" s="46" t="s">
        <v>1775</v>
      </c>
      <c r="F1452" s="61" t="s">
        <v>31</v>
      </c>
      <c r="G1452" s="288">
        <v>12.4</v>
      </c>
      <c r="H1452" s="289">
        <v>2</v>
      </c>
      <c r="I1452" s="290">
        <v>27</v>
      </c>
      <c r="J1452" s="48" t="s">
        <v>32</v>
      </c>
      <c r="K1452" s="50"/>
      <c r="L1452" s="53" t="str">
        <f t="shared" si="262"/>
        <v>27ml</v>
      </c>
      <c r="M1452" s="54">
        <f t="shared" si="263"/>
        <v>54</v>
      </c>
      <c r="N1452" s="55" t="str">
        <f t="shared" si="264"/>
        <v>54ml</v>
      </c>
      <c r="O1452" s="56">
        <f t="shared" si="265"/>
        <v>24.8</v>
      </c>
      <c r="P1452" s="44">
        <f t="shared" si="303"/>
        <v>12.4</v>
      </c>
      <c r="Q1452" s="66"/>
      <c r="R1452" s="32"/>
      <c r="S1452" s="32"/>
      <c r="T1452" s="32"/>
      <c r="U1452" s="32"/>
      <c r="V1452" s="32"/>
      <c r="W1452" s="32"/>
      <c r="X1452" s="32"/>
      <c r="Y1452" s="32"/>
      <c r="Z1452" s="32"/>
    </row>
    <row r="1453" spans="1:26" ht="15.75" customHeight="1" x14ac:dyDescent="0.3">
      <c r="A1453" s="45">
        <v>90</v>
      </c>
      <c r="B1453" s="426" t="s">
        <v>788</v>
      </c>
      <c r="C1453" s="194" t="s">
        <v>2025</v>
      </c>
      <c r="D1453" s="46"/>
      <c r="E1453" s="46" t="s">
        <v>1776</v>
      </c>
      <c r="F1453" s="61" t="s">
        <v>31</v>
      </c>
      <c r="G1453" s="288">
        <v>12.4</v>
      </c>
      <c r="H1453" s="289">
        <v>6</v>
      </c>
      <c r="I1453" s="290">
        <v>27</v>
      </c>
      <c r="J1453" s="48" t="s">
        <v>32</v>
      </c>
      <c r="K1453" s="50" t="s">
        <v>2019</v>
      </c>
      <c r="L1453" s="53" t="str">
        <f t="shared" si="262"/>
        <v>27ml</v>
      </c>
      <c r="M1453" s="54">
        <f t="shared" si="263"/>
        <v>162</v>
      </c>
      <c r="N1453" s="55" t="str">
        <f t="shared" si="264"/>
        <v>162ml</v>
      </c>
      <c r="O1453" s="56">
        <f t="shared" si="265"/>
        <v>74.400000000000006</v>
      </c>
      <c r="P1453" s="44">
        <f t="shared" si="303"/>
        <v>12.4</v>
      </c>
      <c r="Q1453" s="66">
        <f>G1453-P1453</f>
        <v>0</v>
      </c>
      <c r="R1453" s="32" t="b">
        <f t="shared" ref="R1453:R1454" si="304">P1453=G1453</f>
        <v>1</v>
      </c>
      <c r="S1453" s="32"/>
      <c r="T1453" s="32"/>
      <c r="U1453" s="32"/>
      <c r="V1453" s="32"/>
      <c r="W1453" s="32"/>
      <c r="X1453" s="32"/>
      <c r="Y1453" s="32"/>
      <c r="Z1453" s="32"/>
    </row>
    <row r="1454" spans="1:26" ht="15.75" customHeight="1" x14ac:dyDescent="0.3">
      <c r="A1454" s="45">
        <v>431</v>
      </c>
      <c r="B1454" s="426" t="s">
        <v>788</v>
      </c>
      <c r="C1454" s="194" t="s">
        <v>2025</v>
      </c>
      <c r="D1454" s="46"/>
      <c r="E1454" s="46" t="s">
        <v>1777</v>
      </c>
      <c r="F1454" s="61" t="s">
        <v>31</v>
      </c>
      <c r="G1454" s="288">
        <v>12.4</v>
      </c>
      <c r="H1454" s="289">
        <v>1</v>
      </c>
      <c r="I1454" s="290">
        <v>27</v>
      </c>
      <c r="J1454" s="420" t="s">
        <v>32</v>
      </c>
      <c r="K1454" s="50"/>
      <c r="L1454" s="53" t="str">
        <f t="shared" si="262"/>
        <v>27ml</v>
      </c>
      <c r="M1454" s="54">
        <f t="shared" si="263"/>
        <v>27</v>
      </c>
      <c r="N1454" s="55" t="str">
        <f t="shared" si="264"/>
        <v>27ml</v>
      </c>
      <c r="O1454" s="56">
        <f t="shared" si="265"/>
        <v>12.4</v>
      </c>
      <c r="P1454" s="44">
        <f t="shared" si="303"/>
        <v>12.4</v>
      </c>
      <c r="Q1454" s="66"/>
      <c r="R1454" s="32" t="b">
        <f t="shared" si="304"/>
        <v>1</v>
      </c>
      <c r="S1454" s="32"/>
      <c r="T1454" s="32"/>
      <c r="U1454" s="32"/>
      <c r="V1454" s="32"/>
      <c r="W1454" s="32"/>
      <c r="X1454" s="32"/>
      <c r="Y1454" s="32"/>
      <c r="Z1454" s="32"/>
    </row>
    <row r="1455" spans="1:26" ht="15.75" customHeight="1" x14ac:dyDescent="0.3">
      <c r="A1455" s="45">
        <v>429</v>
      </c>
      <c r="B1455" s="46" t="s">
        <v>788</v>
      </c>
      <c r="C1455" s="194" t="s">
        <v>2025</v>
      </c>
      <c r="D1455" s="46"/>
      <c r="E1455" s="46" t="s">
        <v>1778</v>
      </c>
      <c r="F1455" s="61" t="s">
        <v>31</v>
      </c>
      <c r="G1455" s="288">
        <v>12.2</v>
      </c>
      <c r="H1455" s="289">
        <v>7</v>
      </c>
      <c r="I1455" s="290">
        <v>24</v>
      </c>
      <c r="J1455" s="48" t="s">
        <v>39</v>
      </c>
      <c r="K1455" s="50"/>
      <c r="L1455" s="53" t="str">
        <f t="shared" si="262"/>
        <v>24grams</v>
      </c>
      <c r="M1455" s="54">
        <f t="shared" si="263"/>
        <v>168</v>
      </c>
      <c r="N1455" s="55" t="str">
        <f t="shared" si="264"/>
        <v>168grams</v>
      </c>
      <c r="O1455" s="56">
        <f t="shared" si="265"/>
        <v>85.399999999999991</v>
      </c>
      <c r="P1455" s="44">
        <f t="shared" si="303"/>
        <v>12.2</v>
      </c>
      <c r="Q1455" s="66"/>
      <c r="R1455" s="32"/>
      <c r="S1455" s="32"/>
      <c r="T1455" s="32"/>
      <c r="U1455" s="32"/>
      <c r="V1455" s="32"/>
      <c r="W1455" s="32"/>
      <c r="X1455" s="32"/>
      <c r="Y1455" s="32"/>
      <c r="Z1455" s="32"/>
    </row>
    <row r="1456" spans="1:26" ht="15.75" customHeight="1" x14ac:dyDescent="0.3">
      <c r="A1456" s="45">
        <v>430</v>
      </c>
      <c r="B1456" s="46" t="s">
        <v>788</v>
      </c>
      <c r="C1456" s="194" t="s">
        <v>2025</v>
      </c>
      <c r="D1456" s="46"/>
      <c r="E1456" s="46" t="s">
        <v>1779</v>
      </c>
      <c r="F1456" s="61" t="s">
        <v>31</v>
      </c>
      <c r="G1456" s="288">
        <v>12.2</v>
      </c>
      <c r="H1456" s="289">
        <v>5</v>
      </c>
      <c r="I1456" s="290">
        <v>24</v>
      </c>
      <c r="J1456" s="48" t="s">
        <v>39</v>
      </c>
      <c r="K1456" s="50"/>
      <c r="L1456" s="53" t="str">
        <f t="shared" si="262"/>
        <v>24grams</v>
      </c>
      <c r="M1456" s="54">
        <f t="shared" si="263"/>
        <v>120</v>
      </c>
      <c r="N1456" s="55" t="str">
        <f t="shared" si="264"/>
        <v>120grams</v>
      </c>
      <c r="O1456" s="56">
        <f t="shared" si="265"/>
        <v>61</v>
      </c>
      <c r="P1456" s="44">
        <f t="shared" si="303"/>
        <v>12.2</v>
      </c>
      <c r="Q1456" s="66"/>
      <c r="R1456" s="32"/>
      <c r="S1456" s="32"/>
      <c r="T1456" s="32"/>
      <c r="U1456" s="32"/>
      <c r="V1456" s="32"/>
      <c r="W1456" s="32"/>
      <c r="X1456" s="32"/>
      <c r="Y1456" s="32"/>
      <c r="Z1456" s="32"/>
    </row>
    <row r="1457" spans="1:26" ht="15.75" customHeight="1" x14ac:dyDescent="0.3">
      <c r="A1457" s="45"/>
      <c r="B1457" s="219" t="s">
        <v>1780</v>
      </c>
      <c r="C1457" s="194" t="s">
        <v>2021</v>
      </c>
      <c r="D1457" s="46"/>
      <c r="E1457" s="219" t="s">
        <v>1781</v>
      </c>
      <c r="F1457" s="61" t="s">
        <v>31</v>
      </c>
      <c r="G1457" s="291">
        <v>100</v>
      </c>
      <c r="H1457" s="292">
        <v>1</v>
      </c>
      <c r="I1457" s="293">
        <v>1</v>
      </c>
      <c r="J1457" s="414" t="s">
        <v>304</v>
      </c>
      <c r="K1457" s="50"/>
      <c r="L1457" s="53" t="str">
        <f t="shared" si="262"/>
        <v>1packs</v>
      </c>
      <c r="M1457" s="54">
        <f t="shared" si="263"/>
        <v>1</v>
      </c>
      <c r="N1457" s="55" t="str">
        <f t="shared" si="264"/>
        <v>1packs</v>
      </c>
      <c r="O1457" s="56">
        <f t="shared" si="265"/>
        <v>100</v>
      </c>
      <c r="P1457" s="12"/>
      <c r="Q1457" s="12"/>
      <c r="R1457" s="12"/>
      <c r="S1457" s="151"/>
      <c r="T1457" s="12"/>
      <c r="U1457" s="12"/>
      <c r="V1457" s="12"/>
      <c r="W1457" s="12"/>
      <c r="X1457" s="12"/>
      <c r="Y1457" s="12"/>
      <c r="Z1457" s="12"/>
    </row>
    <row r="1458" spans="1:26" ht="15.75" customHeight="1" x14ac:dyDescent="0.3">
      <c r="A1458" s="45">
        <v>30</v>
      </c>
      <c r="B1458" s="46" t="s">
        <v>1782</v>
      </c>
      <c r="C1458" s="194" t="s">
        <v>29</v>
      </c>
      <c r="D1458" s="46"/>
      <c r="E1458" s="46" t="s">
        <v>1221</v>
      </c>
      <c r="F1458" s="61" t="s">
        <v>31</v>
      </c>
      <c r="G1458" s="288">
        <v>100</v>
      </c>
      <c r="H1458" s="289">
        <v>2</v>
      </c>
      <c r="I1458" s="290">
        <v>250</v>
      </c>
      <c r="J1458" s="48" t="s">
        <v>39</v>
      </c>
      <c r="K1458" s="61" t="s">
        <v>2019</v>
      </c>
      <c r="L1458" s="415" t="str">
        <f t="shared" si="262"/>
        <v>250grams</v>
      </c>
      <c r="M1458" s="416">
        <f t="shared" si="263"/>
        <v>500</v>
      </c>
      <c r="N1458" s="417" t="str">
        <f t="shared" si="264"/>
        <v>500grams</v>
      </c>
      <c r="O1458" s="418">
        <f t="shared" si="265"/>
        <v>200</v>
      </c>
      <c r="P1458" s="419">
        <f t="shared" ref="P1458:P1459" si="305">O1458/H1458</f>
        <v>100</v>
      </c>
      <c r="Q1458" s="66">
        <f>G1458-P1458</f>
        <v>0</v>
      </c>
      <c r="R1458" s="32" t="b">
        <f t="shared" ref="R1458:R1459" si="306">P1458=G1458</f>
        <v>1</v>
      </c>
      <c r="S1458" s="32"/>
      <c r="T1458" s="32"/>
      <c r="U1458" s="32"/>
      <c r="V1458" s="32"/>
      <c r="W1458" s="32"/>
      <c r="X1458" s="32"/>
      <c r="Y1458" s="32"/>
      <c r="Z1458" s="32"/>
    </row>
    <row r="1459" spans="1:26" ht="15.75" customHeight="1" x14ac:dyDescent="0.3">
      <c r="A1459" s="45">
        <v>459</v>
      </c>
      <c r="B1459" s="46" t="s">
        <v>1782</v>
      </c>
      <c r="C1459" s="194" t="s">
        <v>2025</v>
      </c>
      <c r="D1459" s="46"/>
      <c r="E1459" s="46" t="s">
        <v>1221</v>
      </c>
      <c r="F1459" s="61" t="s">
        <v>31</v>
      </c>
      <c r="G1459" s="288">
        <v>55</v>
      </c>
      <c r="H1459" s="289">
        <v>5</v>
      </c>
      <c r="I1459" s="290">
        <v>500</v>
      </c>
      <c r="J1459" s="48" t="s">
        <v>39</v>
      </c>
      <c r="K1459" s="50"/>
      <c r="L1459" s="53" t="str">
        <f t="shared" si="262"/>
        <v>500grams</v>
      </c>
      <c r="M1459" s="54">
        <f t="shared" si="263"/>
        <v>2500</v>
      </c>
      <c r="N1459" s="55" t="str">
        <f t="shared" si="264"/>
        <v>2500grams</v>
      </c>
      <c r="O1459" s="56">
        <f t="shared" si="265"/>
        <v>275</v>
      </c>
      <c r="P1459" s="44">
        <f t="shared" si="305"/>
        <v>55</v>
      </c>
      <c r="Q1459" s="66"/>
      <c r="R1459" s="32" t="b">
        <f t="shared" si="306"/>
        <v>1</v>
      </c>
      <c r="S1459" s="32"/>
      <c r="T1459" s="32"/>
      <c r="U1459" s="32"/>
      <c r="V1459" s="32"/>
      <c r="W1459" s="32"/>
      <c r="X1459" s="32"/>
      <c r="Y1459" s="32"/>
      <c r="Z1459" s="32"/>
    </row>
    <row r="1460" spans="1:26" ht="15.75" customHeight="1" x14ac:dyDescent="0.3">
      <c r="A1460" s="45"/>
      <c r="B1460" s="46" t="s">
        <v>1782</v>
      </c>
      <c r="C1460" s="194" t="s">
        <v>2023</v>
      </c>
      <c r="D1460" s="46"/>
      <c r="E1460" s="46" t="s">
        <v>1221</v>
      </c>
      <c r="F1460" s="61" t="s">
        <v>31</v>
      </c>
      <c r="G1460" s="288">
        <v>120</v>
      </c>
      <c r="H1460" s="289">
        <v>5</v>
      </c>
      <c r="I1460" s="290">
        <v>1</v>
      </c>
      <c r="J1460" s="48" t="s">
        <v>213</v>
      </c>
      <c r="K1460" s="50"/>
      <c r="L1460" s="53" t="str">
        <f t="shared" si="262"/>
        <v>1kilos</v>
      </c>
      <c r="M1460" s="54">
        <f t="shared" si="263"/>
        <v>5</v>
      </c>
      <c r="N1460" s="55" t="str">
        <f t="shared" si="264"/>
        <v>5kilos</v>
      </c>
      <c r="O1460" s="56">
        <f t="shared" si="265"/>
        <v>600</v>
      </c>
      <c r="P1460" s="12"/>
      <c r="Q1460" s="12"/>
      <c r="R1460" s="12"/>
      <c r="S1460" s="151"/>
      <c r="T1460" s="12"/>
      <c r="U1460" s="12"/>
      <c r="V1460" s="12"/>
      <c r="W1460" s="12"/>
      <c r="X1460" s="12"/>
      <c r="Y1460" s="12"/>
      <c r="Z1460" s="12"/>
    </row>
    <row r="1461" spans="1:26" ht="15.75" customHeight="1" x14ac:dyDescent="0.3">
      <c r="A1461" s="45"/>
      <c r="B1461" s="46" t="s">
        <v>1782</v>
      </c>
      <c r="C1461" s="194" t="s">
        <v>2022</v>
      </c>
      <c r="D1461" s="46"/>
      <c r="E1461" s="46" t="s">
        <v>1783</v>
      </c>
      <c r="F1461" s="61" t="s">
        <v>31</v>
      </c>
      <c r="G1461" s="288">
        <v>120</v>
      </c>
      <c r="H1461" s="289">
        <v>2</v>
      </c>
      <c r="I1461" s="290">
        <v>1</v>
      </c>
      <c r="J1461" s="48" t="s">
        <v>213</v>
      </c>
      <c r="K1461" s="50"/>
      <c r="L1461" s="53" t="str">
        <f t="shared" si="262"/>
        <v>1kilos</v>
      </c>
      <c r="M1461" s="54">
        <f t="shared" si="263"/>
        <v>2</v>
      </c>
      <c r="N1461" s="55" t="str">
        <f t="shared" si="264"/>
        <v>2kilos</v>
      </c>
      <c r="O1461" s="56">
        <f t="shared" si="265"/>
        <v>240</v>
      </c>
      <c r="P1461" s="12"/>
      <c r="Q1461" s="12"/>
      <c r="R1461" s="12"/>
      <c r="S1461" s="151"/>
      <c r="T1461" s="12"/>
      <c r="U1461" s="12"/>
      <c r="V1461" s="12"/>
      <c r="W1461" s="12"/>
      <c r="X1461" s="12"/>
      <c r="Y1461" s="12"/>
      <c r="Z1461" s="12"/>
    </row>
    <row r="1462" spans="1:26" ht="15.75" customHeight="1" x14ac:dyDescent="0.3">
      <c r="A1462" s="45"/>
      <c r="B1462" s="46" t="s">
        <v>1782</v>
      </c>
      <c r="C1462" s="194" t="s">
        <v>2020</v>
      </c>
      <c r="D1462" s="46"/>
      <c r="E1462" s="46" t="s">
        <v>1098</v>
      </c>
      <c r="F1462" s="61" t="s">
        <v>31</v>
      </c>
      <c r="G1462" s="288">
        <v>65</v>
      </c>
      <c r="H1462" s="289">
        <v>3</v>
      </c>
      <c r="I1462" s="290">
        <v>750</v>
      </c>
      <c r="J1462" s="48" t="s">
        <v>39</v>
      </c>
      <c r="K1462" s="50"/>
      <c r="L1462" s="53" t="str">
        <f t="shared" si="262"/>
        <v>750grams</v>
      </c>
      <c r="M1462" s="54">
        <f t="shared" si="263"/>
        <v>2250</v>
      </c>
      <c r="N1462" s="55" t="str">
        <f t="shared" si="264"/>
        <v>2250grams</v>
      </c>
      <c r="O1462" s="56">
        <f t="shared" si="265"/>
        <v>195</v>
      </c>
      <c r="P1462" s="12"/>
      <c r="Q1462" s="12"/>
      <c r="R1462" s="12"/>
      <c r="S1462" s="151"/>
      <c r="T1462" s="12"/>
      <c r="U1462" s="12"/>
      <c r="V1462" s="12"/>
      <c r="W1462" s="12"/>
      <c r="X1462" s="12"/>
      <c r="Y1462" s="12"/>
      <c r="Z1462" s="12"/>
    </row>
    <row r="1463" spans="1:26" ht="15.75" customHeight="1" x14ac:dyDescent="0.3">
      <c r="A1463" s="45">
        <v>48</v>
      </c>
      <c r="B1463" s="46" t="s">
        <v>789</v>
      </c>
      <c r="C1463" s="194" t="s">
        <v>29</v>
      </c>
      <c r="D1463" s="46"/>
      <c r="E1463" s="219" t="s">
        <v>854</v>
      </c>
      <c r="F1463" s="61" t="s">
        <v>31</v>
      </c>
      <c r="G1463" s="288">
        <v>31</v>
      </c>
      <c r="H1463" s="289">
        <v>4</v>
      </c>
      <c r="I1463" s="290">
        <v>20</v>
      </c>
      <c r="J1463" s="48" t="s">
        <v>39</v>
      </c>
      <c r="K1463" s="61" t="s">
        <v>2019</v>
      </c>
      <c r="L1463" s="415" t="str">
        <f t="shared" si="262"/>
        <v>20grams</v>
      </c>
      <c r="M1463" s="416">
        <f t="shared" si="263"/>
        <v>80</v>
      </c>
      <c r="N1463" s="417" t="str">
        <f t="shared" si="264"/>
        <v>80grams</v>
      </c>
      <c r="O1463" s="418">
        <f t="shared" si="265"/>
        <v>124</v>
      </c>
      <c r="P1463" s="419">
        <f t="shared" ref="P1463:P1465" si="307">O1463/H1463</f>
        <v>31</v>
      </c>
      <c r="Q1463" s="66">
        <f>G1463-P1463</f>
        <v>0</v>
      </c>
      <c r="R1463" s="32" t="b">
        <f>P1463=G1463</f>
        <v>1</v>
      </c>
      <c r="S1463" s="32"/>
      <c r="T1463" s="32"/>
      <c r="U1463" s="32"/>
      <c r="V1463" s="32"/>
      <c r="W1463" s="32"/>
      <c r="X1463" s="32"/>
      <c r="Y1463" s="32"/>
      <c r="Z1463" s="32"/>
    </row>
    <row r="1464" spans="1:26" ht="15.75" customHeight="1" x14ac:dyDescent="0.3">
      <c r="A1464" s="45">
        <v>295</v>
      </c>
      <c r="B1464" s="46" t="s">
        <v>789</v>
      </c>
      <c r="C1464" s="194" t="s">
        <v>2025</v>
      </c>
      <c r="D1464" s="46"/>
      <c r="E1464" s="46" t="s">
        <v>962</v>
      </c>
      <c r="F1464" s="61" t="s">
        <v>31</v>
      </c>
      <c r="G1464" s="288">
        <v>730</v>
      </c>
      <c r="H1464" s="289">
        <v>2</v>
      </c>
      <c r="I1464" s="290">
        <v>1</v>
      </c>
      <c r="J1464" s="48" t="s">
        <v>213</v>
      </c>
      <c r="K1464" s="50"/>
      <c r="L1464" s="53" t="str">
        <f t="shared" si="262"/>
        <v>1kilos</v>
      </c>
      <c r="M1464" s="54">
        <f t="shared" si="263"/>
        <v>2</v>
      </c>
      <c r="N1464" s="55" t="str">
        <f t="shared" si="264"/>
        <v>2kilos</v>
      </c>
      <c r="O1464" s="56">
        <f t="shared" si="265"/>
        <v>1460</v>
      </c>
      <c r="P1464" s="44">
        <f t="shared" si="307"/>
        <v>730</v>
      </c>
      <c r="Q1464" s="66"/>
      <c r="R1464" s="32"/>
      <c r="S1464" s="32"/>
      <c r="T1464" s="32"/>
      <c r="U1464" s="32"/>
      <c r="V1464" s="32"/>
      <c r="W1464" s="32"/>
      <c r="X1464" s="32"/>
      <c r="Y1464" s="32"/>
      <c r="Z1464" s="32"/>
    </row>
    <row r="1465" spans="1:26" ht="15.75" customHeight="1" x14ac:dyDescent="0.3">
      <c r="A1465" s="45">
        <v>747</v>
      </c>
      <c r="B1465" s="46" t="s">
        <v>789</v>
      </c>
      <c r="C1465" s="194" t="s">
        <v>2026</v>
      </c>
      <c r="D1465" s="46"/>
      <c r="E1465" s="46" t="s">
        <v>851</v>
      </c>
      <c r="F1465" s="61" t="s">
        <v>31</v>
      </c>
      <c r="G1465" s="288">
        <v>31</v>
      </c>
      <c r="H1465" s="289">
        <v>1</v>
      </c>
      <c r="I1465" s="290">
        <v>50</v>
      </c>
      <c r="J1465" s="422" t="s">
        <v>39</v>
      </c>
      <c r="K1465" s="50"/>
      <c r="L1465" s="53" t="str">
        <f t="shared" si="262"/>
        <v>50grams</v>
      </c>
      <c r="M1465" s="54">
        <f t="shared" si="263"/>
        <v>50</v>
      </c>
      <c r="N1465" s="55" t="str">
        <f t="shared" si="264"/>
        <v>50grams</v>
      </c>
      <c r="O1465" s="56">
        <f t="shared" si="265"/>
        <v>31</v>
      </c>
      <c r="P1465" s="44">
        <f t="shared" si="307"/>
        <v>31</v>
      </c>
      <c r="Q1465" s="66"/>
      <c r="R1465" s="32" t="b">
        <f>P1465=G1465</f>
        <v>1</v>
      </c>
      <c r="S1465" s="32"/>
      <c r="T1465" s="32"/>
      <c r="U1465" s="32"/>
      <c r="V1465" s="32"/>
      <c r="W1465" s="32"/>
      <c r="X1465" s="32"/>
      <c r="Y1465" s="32"/>
      <c r="Z1465" s="32"/>
    </row>
    <row r="1466" spans="1:26" ht="15.75" customHeight="1" x14ac:dyDescent="0.3">
      <c r="A1466" s="45"/>
      <c r="B1466" s="46" t="s">
        <v>789</v>
      </c>
      <c r="C1466" s="194" t="s">
        <v>2023</v>
      </c>
      <c r="D1466" s="46"/>
      <c r="E1466" s="46" t="s">
        <v>962</v>
      </c>
      <c r="F1466" s="61" t="s">
        <v>31</v>
      </c>
      <c r="G1466" s="288">
        <v>800</v>
      </c>
      <c r="H1466" s="289">
        <v>1</v>
      </c>
      <c r="I1466" s="290">
        <v>1</v>
      </c>
      <c r="J1466" s="48" t="s">
        <v>213</v>
      </c>
      <c r="K1466" s="50"/>
      <c r="L1466" s="53" t="str">
        <f t="shared" si="262"/>
        <v>1kilos</v>
      </c>
      <c r="M1466" s="54">
        <f t="shared" si="263"/>
        <v>1</v>
      </c>
      <c r="N1466" s="55" t="str">
        <f t="shared" si="264"/>
        <v>1kilos</v>
      </c>
      <c r="O1466" s="56">
        <f t="shared" si="265"/>
        <v>800</v>
      </c>
      <c r="P1466" s="44"/>
      <c r="Q1466" s="12"/>
      <c r="R1466" s="12"/>
      <c r="S1466" s="151"/>
      <c r="T1466" s="12"/>
      <c r="U1466" s="12"/>
      <c r="V1466" s="12"/>
      <c r="W1466" s="12"/>
      <c r="X1466" s="12"/>
      <c r="Y1466" s="12"/>
      <c r="Z1466" s="12"/>
    </row>
    <row r="1467" spans="1:26" ht="15.75" customHeight="1" x14ac:dyDescent="0.3">
      <c r="A1467" s="45"/>
      <c r="B1467" s="46" t="s">
        <v>1784</v>
      </c>
      <c r="C1467" s="194" t="s">
        <v>2022</v>
      </c>
      <c r="D1467" s="46"/>
      <c r="E1467" s="46" t="s">
        <v>1785</v>
      </c>
      <c r="F1467" s="61" t="s">
        <v>31</v>
      </c>
      <c r="G1467" s="288">
        <v>202</v>
      </c>
      <c r="H1467" s="289">
        <v>1</v>
      </c>
      <c r="I1467" s="290">
        <v>142</v>
      </c>
      <c r="J1467" s="48" t="s">
        <v>39</v>
      </c>
      <c r="K1467" s="50"/>
      <c r="L1467" s="53" t="str">
        <f t="shared" si="262"/>
        <v>142grams</v>
      </c>
      <c r="M1467" s="54">
        <f t="shared" si="263"/>
        <v>142</v>
      </c>
      <c r="N1467" s="55" t="str">
        <f t="shared" si="264"/>
        <v>142grams</v>
      </c>
      <c r="O1467" s="56">
        <f t="shared" si="265"/>
        <v>202</v>
      </c>
      <c r="P1467" s="12"/>
      <c r="Q1467" s="12"/>
      <c r="R1467" s="12"/>
      <c r="S1467" s="151"/>
      <c r="T1467" s="12"/>
      <c r="U1467" s="12"/>
      <c r="V1467" s="12"/>
      <c r="W1467" s="12"/>
      <c r="X1467" s="12"/>
      <c r="Y1467" s="12"/>
      <c r="Z1467" s="12"/>
    </row>
    <row r="1468" spans="1:26" ht="15.75" customHeight="1" x14ac:dyDescent="0.3">
      <c r="A1468" s="45">
        <v>821</v>
      </c>
      <c r="B1468" s="219" t="s">
        <v>1786</v>
      </c>
      <c r="C1468" s="194" t="s">
        <v>1368</v>
      </c>
      <c r="D1468" s="46"/>
      <c r="E1468" s="46" t="s">
        <v>1787</v>
      </c>
      <c r="F1468" s="61" t="s">
        <v>31</v>
      </c>
      <c r="G1468" s="288">
        <v>30</v>
      </c>
      <c r="H1468" s="289">
        <v>6</v>
      </c>
      <c r="I1468" s="290">
        <v>1</v>
      </c>
      <c r="J1468" s="48" t="s">
        <v>92</v>
      </c>
      <c r="K1468" s="50"/>
      <c r="L1468" s="53" t="str">
        <f t="shared" si="262"/>
        <v>1pieces</v>
      </c>
      <c r="M1468" s="54">
        <f t="shared" si="263"/>
        <v>6</v>
      </c>
      <c r="N1468" s="55" t="str">
        <f t="shared" si="264"/>
        <v>6pieces</v>
      </c>
      <c r="O1468" s="56">
        <f t="shared" si="265"/>
        <v>180</v>
      </c>
      <c r="P1468" s="44">
        <f>O1468/H1468</f>
        <v>30</v>
      </c>
      <c r="Q1468" s="66"/>
      <c r="R1468" s="32"/>
      <c r="S1468" s="32"/>
      <c r="T1468" s="32"/>
      <c r="U1468" s="32"/>
      <c r="V1468" s="32"/>
      <c r="W1468" s="32"/>
      <c r="X1468" s="32"/>
      <c r="Y1468" s="32"/>
      <c r="Z1468" s="32"/>
    </row>
    <row r="1469" spans="1:26" ht="15.75" customHeight="1" x14ac:dyDescent="0.3">
      <c r="A1469" s="45"/>
      <c r="B1469" s="219" t="s">
        <v>1786</v>
      </c>
      <c r="C1469" s="194" t="s">
        <v>2021</v>
      </c>
      <c r="D1469" s="46"/>
      <c r="E1469" s="46" t="s">
        <v>1272</v>
      </c>
      <c r="F1469" s="61" t="s">
        <v>31</v>
      </c>
      <c r="G1469" s="291">
        <v>41</v>
      </c>
      <c r="H1469" s="292">
        <v>5</v>
      </c>
      <c r="I1469" s="293">
        <v>1</v>
      </c>
      <c r="J1469" s="48" t="s">
        <v>92</v>
      </c>
      <c r="K1469" s="50"/>
      <c r="L1469" s="53" t="str">
        <f t="shared" si="262"/>
        <v>1pieces</v>
      </c>
      <c r="M1469" s="54">
        <f t="shared" si="263"/>
        <v>5</v>
      </c>
      <c r="N1469" s="55" t="str">
        <f t="shared" si="264"/>
        <v>5pieces</v>
      </c>
      <c r="O1469" s="56">
        <f t="shared" si="265"/>
        <v>205</v>
      </c>
      <c r="P1469" s="12"/>
      <c r="Q1469" s="12"/>
      <c r="R1469" s="12"/>
      <c r="S1469" s="151"/>
      <c r="T1469" s="12"/>
      <c r="U1469" s="12"/>
      <c r="V1469" s="12"/>
      <c r="W1469" s="12"/>
      <c r="X1469" s="12"/>
      <c r="Y1469" s="12"/>
      <c r="Z1469" s="12"/>
    </row>
    <row r="1470" spans="1:26" ht="15.75" customHeight="1" x14ac:dyDescent="0.3">
      <c r="A1470" s="45"/>
      <c r="B1470" s="46" t="s">
        <v>1788</v>
      </c>
      <c r="C1470" s="194" t="s">
        <v>2020</v>
      </c>
      <c r="D1470" s="46"/>
      <c r="E1470" s="46"/>
      <c r="F1470" s="61" t="s">
        <v>31</v>
      </c>
      <c r="G1470" s="288">
        <v>13.25</v>
      </c>
      <c r="H1470" s="289">
        <v>5</v>
      </c>
      <c r="I1470" s="290">
        <v>1</v>
      </c>
      <c r="J1470" s="48" t="s">
        <v>304</v>
      </c>
      <c r="K1470" s="50"/>
      <c r="L1470" s="53" t="str">
        <f t="shared" si="262"/>
        <v>1packs</v>
      </c>
      <c r="M1470" s="54">
        <f t="shared" si="263"/>
        <v>5</v>
      </c>
      <c r="N1470" s="55" t="str">
        <f t="shared" si="264"/>
        <v>5packs</v>
      </c>
      <c r="O1470" s="56">
        <f t="shared" si="265"/>
        <v>66.25</v>
      </c>
      <c r="P1470" s="12"/>
      <c r="Q1470" s="12"/>
      <c r="R1470" s="12"/>
      <c r="S1470" s="151"/>
      <c r="T1470" s="12"/>
      <c r="U1470" s="12"/>
      <c r="V1470" s="12"/>
      <c r="W1470" s="12"/>
      <c r="X1470" s="12"/>
      <c r="Y1470" s="12"/>
      <c r="Z1470" s="12"/>
    </row>
    <row r="1471" spans="1:26" ht="15.75" customHeight="1" x14ac:dyDescent="0.3">
      <c r="A1471" s="45">
        <v>748</v>
      </c>
      <c r="B1471" s="46" t="s">
        <v>1789</v>
      </c>
      <c r="C1471" s="194" t="s">
        <v>2026</v>
      </c>
      <c r="D1471" s="46"/>
      <c r="E1471" s="46" t="s">
        <v>1486</v>
      </c>
      <c r="F1471" s="61" t="s">
        <v>31</v>
      </c>
      <c r="G1471" s="288">
        <v>150</v>
      </c>
      <c r="H1471" s="289">
        <v>1</v>
      </c>
      <c r="I1471" s="290">
        <v>320</v>
      </c>
      <c r="J1471" s="48" t="s">
        <v>39</v>
      </c>
      <c r="K1471" s="50"/>
      <c r="L1471" s="53" t="str">
        <f t="shared" si="262"/>
        <v>320grams</v>
      </c>
      <c r="M1471" s="54">
        <f t="shared" si="263"/>
        <v>320</v>
      </c>
      <c r="N1471" s="55" t="str">
        <f t="shared" si="264"/>
        <v>320grams</v>
      </c>
      <c r="O1471" s="56">
        <f t="shared" si="265"/>
        <v>150</v>
      </c>
      <c r="P1471" s="44">
        <f>O1471/H1471</f>
        <v>150</v>
      </c>
      <c r="Q1471" s="66"/>
      <c r="R1471" s="32" t="b">
        <f>P1471=G1471</f>
        <v>1</v>
      </c>
      <c r="S1471" s="32"/>
      <c r="T1471" s="32"/>
      <c r="U1471" s="32"/>
      <c r="V1471" s="32"/>
      <c r="W1471" s="32"/>
      <c r="X1471" s="32"/>
      <c r="Y1471" s="32"/>
      <c r="Z1471" s="32"/>
    </row>
    <row r="1472" spans="1:26" ht="15.75" customHeight="1" x14ac:dyDescent="0.3">
      <c r="A1472" s="45"/>
      <c r="B1472" s="219" t="s">
        <v>1790</v>
      </c>
      <c r="C1472" s="194" t="s">
        <v>2021</v>
      </c>
      <c r="D1472" s="46"/>
      <c r="E1472" s="219" t="s">
        <v>1791</v>
      </c>
      <c r="F1472" s="61" t="s">
        <v>31</v>
      </c>
      <c r="G1472" s="291">
        <v>25</v>
      </c>
      <c r="H1472" s="292">
        <v>3</v>
      </c>
      <c r="I1472" s="293">
        <v>1</v>
      </c>
      <c r="J1472" s="414" t="s">
        <v>92</v>
      </c>
      <c r="K1472" s="50"/>
      <c r="L1472" s="53" t="str">
        <f t="shared" si="262"/>
        <v>1pieces</v>
      </c>
      <c r="M1472" s="54">
        <f t="shared" si="263"/>
        <v>3</v>
      </c>
      <c r="N1472" s="55" t="str">
        <f t="shared" si="264"/>
        <v>3pieces</v>
      </c>
      <c r="O1472" s="56">
        <f t="shared" si="265"/>
        <v>75</v>
      </c>
      <c r="P1472" s="12"/>
      <c r="Q1472" s="12"/>
      <c r="R1472" s="12"/>
      <c r="S1472" s="151"/>
      <c r="T1472" s="12"/>
      <c r="U1472" s="12"/>
      <c r="V1472" s="12"/>
      <c r="W1472" s="12"/>
      <c r="X1472" s="12"/>
      <c r="Y1472" s="12"/>
      <c r="Z1472" s="12"/>
    </row>
    <row r="1473" spans="1:26" ht="15.75" customHeight="1" x14ac:dyDescent="0.3">
      <c r="A1473" s="45">
        <v>14</v>
      </c>
      <c r="B1473" s="46" t="s">
        <v>81</v>
      </c>
      <c r="C1473" s="194" t="s">
        <v>29</v>
      </c>
      <c r="D1473" s="46"/>
      <c r="E1473" s="46" t="s">
        <v>1792</v>
      </c>
      <c r="F1473" s="61" t="s">
        <v>31</v>
      </c>
      <c r="G1473" s="288">
        <v>80.599999999999994</v>
      </c>
      <c r="H1473" s="289">
        <v>1</v>
      </c>
      <c r="I1473" s="290">
        <v>1</v>
      </c>
      <c r="J1473" s="48" t="s">
        <v>213</v>
      </c>
      <c r="K1473" s="61" t="s">
        <v>2019</v>
      </c>
      <c r="L1473" s="415" t="str">
        <f t="shared" si="262"/>
        <v>1kilos</v>
      </c>
      <c r="M1473" s="416">
        <f t="shared" si="263"/>
        <v>1</v>
      </c>
      <c r="N1473" s="417" t="str">
        <f t="shared" si="264"/>
        <v>1kilos</v>
      </c>
      <c r="O1473" s="418">
        <f t="shared" si="265"/>
        <v>80.599999999999994</v>
      </c>
      <c r="P1473" s="419">
        <f t="shared" ref="P1473:P1497" si="308">O1473/H1473</f>
        <v>80.599999999999994</v>
      </c>
      <c r="Q1473" s="66"/>
      <c r="R1473" s="32" t="b">
        <f t="shared" ref="R1473:R1497" si="309">P1473=G1473</f>
        <v>1</v>
      </c>
      <c r="S1473" s="32"/>
      <c r="T1473" s="32"/>
      <c r="U1473" s="32"/>
      <c r="V1473" s="32"/>
      <c r="W1473" s="32"/>
      <c r="X1473" s="32"/>
      <c r="Y1473" s="32"/>
      <c r="Z1473" s="32"/>
    </row>
    <row r="1474" spans="1:26" ht="15.75" customHeight="1" x14ac:dyDescent="0.3">
      <c r="A1474" s="45">
        <v>96</v>
      </c>
      <c r="B1474" s="46" t="s">
        <v>81</v>
      </c>
      <c r="C1474" s="194" t="s">
        <v>2024</v>
      </c>
      <c r="D1474" s="46"/>
      <c r="E1474" s="46" t="s">
        <v>1792</v>
      </c>
      <c r="F1474" s="61" t="s">
        <v>31</v>
      </c>
      <c r="G1474" s="288">
        <v>42.8</v>
      </c>
      <c r="H1474" s="289">
        <v>53</v>
      </c>
      <c r="I1474" s="290">
        <v>500</v>
      </c>
      <c r="J1474" s="422" t="s">
        <v>39</v>
      </c>
      <c r="K1474" s="50"/>
      <c r="L1474" s="53" t="str">
        <f t="shared" si="262"/>
        <v>500grams</v>
      </c>
      <c r="M1474" s="54">
        <f t="shared" si="263"/>
        <v>26500</v>
      </c>
      <c r="N1474" s="55" t="str">
        <f t="shared" si="264"/>
        <v>26500grams</v>
      </c>
      <c r="O1474" s="56">
        <f t="shared" si="265"/>
        <v>2268.3999999999996</v>
      </c>
      <c r="P1474" s="419">
        <f t="shared" si="308"/>
        <v>42.79999999999999</v>
      </c>
      <c r="Q1474" s="66"/>
      <c r="R1474" s="32" t="b">
        <f t="shared" si="309"/>
        <v>1</v>
      </c>
      <c r="S1474" s="32"/>
      <c r="T1474" s="32"/>
      <c r="U1474" s="32"/>
      <c r="V1474" s="32"/>
      <c r="W1474" s="32"/>
      <c r="X1474" s="32"/>
      <c r="Y1474" s="32"/>
      <c r="Z1474" s="32"/>
    </row>
    <row r="1475" spans="1:26" ht="15.75" customHeight="1" x14ac:dyDescent="0.3">
      <c r="A1475" s="45">
        <v>256</v>
      </c>
      <c r="B1475" s="46" t="s">
        <v>81</v>
      </c>
      <c r="C1475" s="194" t="s">
        <v>2025</v>
      </c>
      <c r="D1475" s="46"/>
      <c r="E1475" s="46" t="s">
        <v>1792</v>
      </c>
      <c r="F1475" s="61" t="s">
        <v>31</v>
      </c>
      <c r="G1475" s="288">
        <v>82.8</v>
      </c>
      <c r="H1475" s="289">
        <v>21</v>
      </c>
      <c r="I1475" s="290">
        <v>1</v>
      </c>
      <c r="J1475" s="48" t="s">
        <v>213</v>
      </c>
      <c r="K1475" s="50" t="s">
        <v>2019</v>
      </c>
      <c r="L1475" s="53" t="str">
        <f t="shared" si="262"/>
        <v>1kilos</v>
      </c>
      <c r="M1475" s="54">
        <f t="shared" si="263"/>
        <v>21</v>
      </c>
      <c r="N1475" s="55" t="str">
        <f t="shared" si="264"/>
        <v>21kilos</v>
      </c>
      <c r="O1475" s="56">
        <f t="shared" si="265"/>
        <v>1738.8</v>
      </c>
      <c r="P1475" s="419">
        <f t="shared" si="308"/>
        <v>82.8</v>
      </c>
      <c r="Q1475" s="66"/>
      <c r="R1475" s="32" t="b">
        <f t="shared" si="309"/>
        <v>1</v>
      </c>
      <c r="S1475" s="32"/>
      <c r="T1475" s="32"/>
      <c r="U1475" s="32"/>
      <c r="V1475" s="32"/>
      <c r="W1475" s="32"/>
      <c r="X1475" s="32"/>
      <c r="Y1475" s="32"/>
      <c r="Z1475" s="32"/>
    </row>
    <row r="1476" spans="1:26" ht="15.75" customHeight="1" x14ac:dyDescent="0.3">
      <c r="A1476" s="45">
        <v>688</v>
      </c>
      <c r="B1476" s="46" t="s">
        <v>81</v>
      </c>
      <c r="C1476" s="194" t="s">
        <v>2026</v>
      </c>
      <c r="D1476" s="46"/>
      <c r="E1476" s="46" t="s">
        <v>1792</v>
      </c>
      <c r="F1476" s="61" t="s">
        <v>31</v>
      </c>
      <c r="G1476" s="288">
        <v>80.599999999999994</v>
      </c>
      <c r="H1476" s="289">
        <v>12</v>
      </c>
      <c r="I1476" s="290">
        <v>1</v>
      </c>
      <c r="J1476" s="48" t="s">
        <v>213</v>
      </c>
      <c r="K1476" s="50"/>
      <c r="L1476" s="53" t="str">
        <f t="shared" si="262"/>
        <v>1kilos</v>
      </c>
      <c r="M1476" s="54">
        <f t="shared" si="263"/>
        <v>12</v>
      </c>
      <c r="N1476" s="55" t="str">
        <f t="shared" si="264"/>
        <v>12kilos</v>
      </c>
      <c r="O1476" s="56">
        <f t="shared" si="265"/>
        <v>967.19999999999993</v>
      </c>
      <c r="P1476" s="419">
        <f t="shared" si="308"/>
        <v>80.599999999999994</v>
      </c>
      <c r="Q1476" s="66"/>
      <c r="R1476" s="32" t="b">
        <f t="shared" si="309"/>
        <v>1</v>
      </c>
      <c r="S1476" s="32"/>
      <c r="T1476" s="32"/>
      <c r="U1476" s="32"/>
      <c r="V1476" s="32"/>
      <c r="W1476" s="32"/>
      <c r="X1476" s="32"/>
      <c r="Y1476" s="32"/>
      <c r="Z1476" s="32"/>
    </row>
    <row r="1477" spans="1:26" ht="15.75" customHeight="1" x14ac:dyDescent="0.3">
      <c r="A1477" s="45">
        <v>778</v>
      </c>
      <c r="B1477" s="46" t="s">
        <v>81</v>
      </c>
      <c r="C1477" s="194" t="s">
        <v>1368</v>
      </c>
      <c r="D1477" s="46"/>
      <c r="E1477" s="46" t="s">
        <v>1793</v>
      </c>
      <c r="F1477" s="61" t="s">
        <v>31</v>
      </c>
      <c r="G1477" s="288">
        <v>68</v>
      </c>
      <c r="H1477" s="289">
        <v>36</v>
      </c>
      <c r="I1477" s="290">
        <v>1</v>
      </c>
      <c r="J1477" s="48" t="s">
        <v>213</v>
      </c>
      <c r="K1477" s="50"/>
      <c r="L1477" s="53" t="str">
        <f t="shared" si="262"/>
        <v>1kilos</v>
      </c>
      <c r="M1477" s="54">
        <f t="shared" si="263"/>
        <v>36</v>
      </c>
      <c r="N1477" s="55" t="str">
        <f t="shared" si="264"/>
        <v>36kilos</v>
      </c>
      <c r="O1477" s="56">
        <f t="shared" si="265"/>
        <v>2448</v>
      </c>
      <c r="P1477" s="419">
        <f t="shared" si="308"/>
        <v>68</v>
      </c>
      <c r="Q1477" s="66"/>
      <c r="R1477" s="32" t="b">
        <f t="shared" si="309"/>
        <v>1</v>
      </c>
      <c r="S1477" s="32"/>
      <c r="T1477" s="32"/>
      <c r="U1477" s="32"/>
      <c r="V1477" s="32"/>
      <c r="W1477" s="32"/>
      <c r="X1477" s="32"/>
      <c r="Y1477" s="32"/>
      <c r="Z1477" s="32"/>
    </row>
    <row r="1478" spans="1:26" ht="15.75" customHeight="1" x14ac:dyDescent="0.3">
      <c r="A1478" s="45"/>
      <c r="B1478" s="46" t="s">
        <v>81</v>
      </c>
      <c r="C1478" s="194" t="s">
        <v>2023</v>
      </c>
      <c r="D1478" s="46"/>
      <c r="E1478" s="46" t="s">
        <v>1792</v>
      </c>
      <c r="F1478" s="61" t="s">
        <v>31</v>
      </c>
      <c r="G1478" s="288">
        <v>86.2</v>
      </c>
      <c r="H1478" s="289">
        <v>25</v>
      </c>
      <c r="I1478" s="290">
        <v>1</v>
      </c>
      <c r="J1478" s="48" t="s">
        <v>213</v>
      </c>
      <c r="K1478" s="50"/>
      <c r="L1478" s="53" t="str">
        <f t="shared" si="262"/>
        <v>1kilos</v>
      </c>
      <c r="M1478" s="54">
        <f t="shared" si="263"/>
        <v>25</v>
      </c>
      <c r="N1478" s="55" t="str">
        <f t="shared" si="264"/>
        <v>25kilos</v>
      </c>
      <c r="O1478" s="56">
        <f t="shared" si="265"/>
        <v>2155</v>
      </c>
      <c r="P1478" s="419">
        <f t="shared" si="308"/>
        <v>86.2</v>
      </c>
      <c r="Q1478" s="66"/>
      <c r="R1478" s="32" t="b">
        <f t="shared" si="309"/>
        <v>1</v>
      </c>
      <c r="S1478" s="151"/>
      <c r="T1478" s="12"/>
      <c r="U1478" s="12"/>
      <c r="V1478" s="12"/>
      <c r="W1478" s="12"/>
      <c r="X1478" s="12"/>
      <c r="Y1478" s="12"/>
      <c r="Z1478" s="12"/>
    </row>
    <row r="1479" spans="1:26" ht="15.75" customHeight="1" x14ac:dyDescent="0.3">
      <c r="A1479" s="45"/>
      <c r="B1479" s="219" t="s">
        <v>81</v>
      </c>
      <c r="C1479" s="194" t="s">
        <v>2021</v>
      </c>
      <c r="D1479" s="46"/>
      <c r="E1479" s="219"/>
      <c r="F1479" s="61" t="s">
        <v>31</v>
      </c>
      <c r="G1479" s="291">
        <v>76</v>
      </c>
      <c r="H1479" s="292">
        <v>18</v>
      </c>
      <c r="I1479" s="290">
        <v>1</v>
      </c>
      <c r="J1479" s="48" t="s">
        <v>213</v>
      </c>
      <c r="K1479" s="50"/>
      <c r="L1479" s="53" t="str">
        <f t="shared" si="262"/>
        <v>1kilos</v>
      </c>
      <c r="M1479" s="54">
        <f t="shared" si="263"/>
        <v>18</v>
      </c>
      <c r="N1479" s="55" t="str">
        <f t="shared" si="264"/>
        <v>18kilos</v>
      </c>
      <c r="O1479" s="56">
        <f t="shared" si="265"/>
        <v>1368</v>
      </c>
      <c r="P1479" s="419">
        <f t="shared" si="308"/>
        <v>76</v>
      </c>
      <c r="Q1479" s="66"/>
      <c r="R1479" s="32" t="b">
        <f t="shared" si="309"/>
        <v>1</v>
      </c>
      <c r="S1479" s="151"/>
      <c r="T1479" s="12"/>
      <c r="U1479" s="12"/>
      <c r="V1479" s="12"/>
      <c r="W1479" s="12"/>
      <c r="X1479" s="12"/>
      <c r="Y1479" s="12"/>
      <c r="Z1479" s="12"/>
    </row>
    <row r="1480" spans="1:26" ht="15.75" customHeight="1" x14ac:dyDescent="0.3">
      <c r="A1480" s="45"/>
      <c r="B1480" s="46" t="s">
        <v>81</v>
      </c>
      <c r="C1480" s="194" t="s">
        <v>2020</v>
      </c>
      <c r="D1480" s="46"/>
      <c r="E1480" s="46" t="s">
        <v>1792</v>
      </c>
      <c r="F1480" s="61" t="s">
        <v>31</v>
      </c>
      <c r="G1480" s="288">
        <v>79.7</v>
      </c>
      <c r="H1480" s="289">
        <v>9</v>
      </c>
      <c r="I1480" s="290">
        <v>1</v>
      </c>
      <c r="J1480" s="48" t="s">
        <v>213</v>
      </c>
      <c r="K1480" s="50"/>
      <c r="L1480" s="53" t="str">
        <f t="shared" si="262"/>
        <v>1kilos</v>
      </c>
      <c r="M1480" s="54">
        <f t="shared" si="263"/>
        <v>9</v>
      </c>
      <c r="N1480" s="55" t="str">
        <f t="shared" si="264"/>
        <v>9kilos</v>
      </c>
      <c r="O1480" s="56">
        <f t="shared" si="265"/>
        <v>717.30000000000007</v>
      </c>
      <c r="P1480" s="419">
        <f t="shared" si="308"/>
        <v>79.7</v>
      </c>
      <c r="Q1480" s="66"/>
      <c r="R1480" s="32" t="b">
        <f t="shared" si="309"/>
        <v>1</v>
      </c>
      <c r="S1480" s="151"/>
      <c r="T1480" s="12"/>
      <c r="U1480" s="12"/>
      <c r="V1480" s="12"/>
      <c r="W1480" s="12"/>
      <c r="X1480" s="12"/>
      <c r="Y1480" s="12"/>
      <c r="Z1480" s="12"/>
    </row>
    <row r="1481" spans="1:26" ht="15.75" customHeight="1" x14ac:dyDescent="0.3">
      <c r="A1481" s="45">
        <v>101</v>
      </c>
      <c r="B1481" s="46" t="s">
        <v>81</v>
      </c>
      <c r="C1481" s="194" t="s">
        <v>2024</v>
      </c>
      <c r="D1481" s="46"/>
      <c r="E1481" s="46" t="s">
        <v>1792</v>
      </c>
      <c r="F1481" s="61" t="s">
        <v>31</v>
      </c>
      <c r="G1481" s="288">
        <v>80.599999999999994</v>
      </c>
      <c r="H1481" s="289">
        <v>40</v>
      </c>
      <c r="I1481" s="290">
        <v>1</v>
      </c>
      <c r="J1481" s="48" t="s">
        <v>213</v>
      </c>
      <c r="K1481" s="50"/>
      <c r="L1481" s="53" t="str">
        <f t="shared" si="262"/>
        <v>1kilos</v>
      </c>
      <c r="M1481" s="54">
        <f t="shared" si="263"/>
        <v>40</v>
      </c>
      <c r="N1481" s="55" t="str">
        <f t="shared" si="264"/>
        <v>40kilos</v>
      </c>
      <c r="O1481" s="56">
        <f t="shared" si="265"/>
        <v>3224</v>
      </c>
      <c r="P1481" s="419">
        <f t="shared" si="308"/>
        <v>80.599999999999994</v>
      </c>
      <c r="Q1481" s="66"/>
      <c r="R1481" s="32" t="b">
        <f t="shared" si="309"/>
        <v>1</v>
      </c>
      <c r="S1481" s="32"/>
      <c r="T1481" s="32"/>
      <c r="U1481" s="32"/>
      <c r="V1481" s="32"/>
      <c r="W1481" s="32"/>
      <c r="X1481" s="32"/>
      <c r="Y1481" s="32"/>
      <c r="Z1481" s="32"/>
    </row>
    <row r="1482" spans="1:26" ht="15.75" customHeight="1" x14ac:dyDescent="0.3">
      <c r="A1482" s="45">
        <v>154</v>
      </c>
      <c r="B1482" s="46" t="s">
        <v>1794</v>
      </c>
      <c r="C1482" s="194" t="s">
        <v>2024</v>
      </c>
      <c r="D1482" s="46"/>
      <c r="E1482" s="46" t="s">
        <v>1795</v>
      </c>
      <c r="F1482" s="61" t="s">
        <v>31</v>
      </c>
      <c r="G1482" s="288">
        <v>22</v>
      </c>
      <c r="H1482" s="289">
        <v>5</v>
      </c>
      <c r="I1482" s="290">
        <v>1</v>
      </c>
      <c r="J1482" s="422" t="s">
        <v>39</v>
      </c>
      <c r="K1482" s="50"/>
      <c r="L1482" s="53" t="str">
        <f t="shared" si="262"/>
        <v>1grams</v>
      </c>
      <c r="M1482" s="54">
        <f t="shared" si="263"/>
        <v>5</v>
      </c>
      <c r="N1482" s="55" t="str">
        <f t="shared" si="264"/>
        <v>5grams</v>
      </c>
      <c r="O1482" s="56">
        <f t="shared" si="265"/>
        <v>110</v>
      </c>
      <c r="P1482" s="419">
        <f t="shared" si="308"/>
        <v>22</v>
      </c>
      <c r="Q1482" s="66"/>
      <c r="R1482" s="32" t="b">
        <f t="shared" si="309"/>
        <v>1</v>
      </c>
      <c r="S1482" s="32"/>
      <c r="T1482" s="32"/>
      <c r="U1482" s="32"/>
      <c r="V1482" s="32"/>
      <c r="W1482" s="32"/>
      <c r="X1482" s="32"/>
      <c r="Y1482" s="32"/>
      <c r="Z1482" s="32"/>
    </row>
    <row r="1483" spans="1:26" ht="15.75" customHeight="1" x14ac:dyDescent="0.3">
      <c r="A1483" s="45">
        <v>535</v>
      </c>
      <c r="B1483" s="46" t="s">
        <v>1794</v>
      </c>
      <c r="C1483" s="194" t="s">
        <v>2026</v>
      </c>
      <c r="D1483" s="46"/>
      <c r="E1483" s="46" t="s">
        <v>1796</v>
      </c>
      <c r="F1483" s="61" t="s">
        <v>31</v>
      </c>
      <c r="G1483" s="288">
        <v>75</v>
      </c>
      <c r="H1483" s="289">
        <v>9</v>
      </c>
      <c r="I1483" s="290">
        <v>50</v>
      </c>
      <c r="J1483" s="422" t="s">
        <v>92</v>
      </c>
      <c r="K1483" s="50"/>
      <c r="L1483" s="53" t="str">
        <f t="shared" si="262"/>
        <v>50pieces</v>
      </c>
      <c r="M1483" s="54">
        <f t="shared" si="263"/>
        <v>450</v>
      </c>
      <c r="N1483" s="55" t="str">
        <f t="shared" si="264"/>
        <v>450pieces</v>
      </c>
      <c r="O1483" s="56">
        <f t="shared" si="265"/>
        <v>675</v>
      </c>
      <c r="P1483" s="419">
        <f t="shared" si="308"/>
        <v>75</v>
      </c>
      <c r="Q1483" s="66"/>
      <c r="R1483" s="32" t="b">
        <f t="shared" si="309"/>
        <v>1</v>
      </c>
      <c r="S1483" s="32"/>
      <c r="T1483" s="32"/>
      <c r="U1483" s="32"/>
      <c r="V1483" s="32"/>
      <c r="W1483" s="32"/>
      <c r="X1483" s="32"/>
      <c r="Y1483" s="32"/>
      <c r="Z1483" s="32"/>
    </row>
    <row r="1484" spans="1:26" ht="15.75" customHeight="1" x14ac:dyDescent="0.3">
      <c r="A1484" s="45"/>
      <c r="B1484" s="46" t="s">
        <v>1794</v>
      </c>
      <c r="C1484" s="194" t="s">
        <v>2023</v>
      </c>
      <c r="D1484" s="46"/>
      <c r="E1484" s="46" t="s">
        <v>1796</v>
      </c>
      <c r="F1484" s="61" t="s">
        <v>31</v>
      </c>
      <c r="G1484" s="288">
        <v>1.5</v>
      </c>
      <c r="H1484" s="289">
        <v>10</v>
      </c>
      <c r="I1484" s="290">
        <v>50</v>
      </c>
      <c r="J1484" s="422" t="s">
        <v>92</v>
      </c>
      <c r="K1484" s="50"/>
      <c r="L1484" s="53" t="str">
        <f t="shared" si="262"/>
        <v>50pieces</v>
      </c>
      <c r="M1484" s="54">
        <f t="shared" si="263"/>
        <v>500</v>
      </c>
      <c r="N1484" s="55" t="str">
        <f t="shared" si="264"/>
        <v>500pieces</v>
      </c>
      <c r="O1484" s="56">
        <f t="shared" si="265"/>
        <v>15</v>
      </c>
      <c r="P1484" s="419">
        <f t="shared" si="308"/>
        <v>1.5</v>
      </c>
      <c r="Q1484" s="66"/>
      <c r="R1484" s="32" t="b">
        <f t="shared" si="309"/>
        <v>1</v>
      </c>
      <c r="S1484" s="151"/>
      <c r="T1484" s="12"/>
      <c r="U1484" s="12"/>
      <c r="V1484" s="12"/>
      <c r="W1484" s="12"/>
      <c r="X1484" s="12"/>
      <c r="Y1484" s="12"/>
      <c r="Z1484" s="12"/>
    </row>
    <row r="1485" spans="1:26" ht="15.75" customHeight="1" x14ac:dyDescent="0.3">
      <c r="A1485" s="45"/>
      <c r="B1485" s="46" t="s">
        <v>1794</v>
      </c>
      <c r="C1485" s="194" t="s">
        <v>2023</v>
      </c>
      <c r="D1485" s="46"/>
      <c r="E1485" s="46" t="s">
        <v>1797</v>
      </c>
      <c r="F1485" s="61" t="s">
        <v>31</v>
      </c>
      <c r="G1485" s="288">
        <v>1.65</v>
      </c>
      <c r="H1485" s="289">
        <v>978</v>
      </c>
      <c r="I1485" s="290">
        <v>5</v>
      </c>
      <c r="J1485" s="422" t="s">
        <v>39</v>
      </c>
      <c r="K1485" s="50"/>
      <c r="L1485" s="53" t="str">
        <f t="shared" si="262"/>
        <v>5grams</v>
      </c>
      <c r="M1485" s="54">
        <f t="shared" si="263"/>
        <v>4890</v>
      </c>
      <c r="N1485" s="55" t="str">
        <f t="shared" si="264"/>
        <v>4890grams</v>
      </c>
      <c r="O1485" s="56">
        <f t="shared" si="265"/>
        <v>1613.6999999999998</v>
      </c>
      <c r="P1485" s="419">
        <f t="shared" si="308"/>
        <v>1.65</v>
      </c>
      <c r="Q1485" s="66"/>
      <c r="R1485" s="32" t="b">
        <f t="shared" si="309"/>
        <v>1</v>
      </c>
      <c r="S1485" s="151"/>
      <c r="T1485" s="12"/>
      <c r="U1485" s="12"/>
      <c r="V1485" s="12"/>
      <c r="W1485" s="12"/>
      <c r="X1485" s="12"/>
      <c r="Y1485" s="12"/>
      <c r="Z1485" s="12"/>
    </row>
    <row r="1486" spans="1:26" ht="15.75" customHeight="1" x14ac:dyDescent="0.3">
      <c r="A1486" s="45"/>
      <c r="B1486" s="46" t="s">
        <v>1794</v>
      </c>
      <c r="C1486" s="194" t="s">
        <v>2022</v>
      </c>
      <c r="D1486" s="46"/>
      <c r="E1486" s="46" t="s">
        <v>1798</v>
      </c>
      <c r="F1486" s="61" t="s">
        <v>31</v>
      </c>
      <c r="G1486" s="288">
        <v>1.06</v>
      </c>
      <c r="H1486" s="289">
        <v>1500</v>
      </c>
      <c r="I1486" s="290">
        <v>5</v>
      </c>
      <c r="J1486" s="422" t="s">
        <v>39</v>
      </c>
      <c r="K1486" s="50"/>
      <c r="L1486" s="53" t="str">
        <f t="shared" si="262"/>
        <v>5grams</v>
      </c>
      <c r="M1486" s="54">
        <f t="shared" si="263"/>
        <v>7500</v>
      </c>
      <c r="N1486" s="55" t="str">
        <f t="shared" si="264"/>
        <v>7500grams</v>
      </c>
      <c r="O1486" s="56">
        <f t="shared" si="265"/>
        <v>1590</v>
      </c>
      <c r="P1486" s="419">
        <f t="shared" si="308"/>
        <v>1.06</v>
      </c>
      <c r="Q1486" s="66"/>
      <c r="R1486" s="32" t="b">
        <f t="shared" si="309"/>
        <v>1</v>
      </c>
      <c r="S1486" s="151"/>
      <c r="T1486" s="12"/>
      <c r="U1486" s="12"/>
      <c r="V1486" s="12"/>
      <c r="W1486" s="12"/>
      <c r="X1486" s="12"/>
      <c r="Y1486" s="12"/>
      <c r="Z1486" s="12"/>
    </row>
    <row r="1487" spans="1:26" ht="15.75" customHeight="1" x14ac:dyDescent="0.3">
      <c r="A1487" s="45"/>
      <c r="B1487" s="219" t="s">
        <v>1794</v>
      </c>
      <c r="C1487" s="194" t="s">
        <v>2021</v>
      </c>
      <c r="D1487" s="46"/>
      <c r="E1487" s="219" t="s">
        <v>1797</v>
      </c>
      <c r="F1487" s="61" t="s">
        <v>31</v>
      </c>
      <c r="G1487" s="291">
        <v>1.2</v>
      </c>
      <c r="H1487" s="292">
        <v>23</v>
      </c>
      <c r="I1487" s="293">
        <v>5</v>
      </c>
      <c r="J1487" s="436" t="s">
        <v>39</v>
      </c>
      <c r="K1487" s="50"/>
      <c r="L1487" s="53" t="str">
        <f t="shared" si="262"/>
        <v>5grams</v>
      </c>
      <c r="M1487" s="54">
        <f t="shared" si="263"/>
        <v>115</v>
      </c>
      <c r="N1487" s="55" t="str">
        <f t="shared" si="264"/>
        <v>115grams</v>
      </c>
      <c r="O1487" s="56">
        <f t="shared" si="265"/>
        <v>27.599999999999998</v>
      </c>
      <c r="P1487" s="419">
        <f t="shared" si="308"/>
        <v>1.2</v>
      </c>
      <c r="Q1487" s="66"/>
      <c r="R1487" s="32" t="b">
        <f t="shared" si="309"/>
        <v>1</v>
      </c>
      <c r="S1487" s="151"/>
      <c r="T1487" s="12"/>
      <c r="U1487" s="12"/>
      <c r="V1487" s="12"/>
      <c r="W1487" s="12"/>
      <c r="X1487" s="12"/>
      <c r="Y1487" s="12"/>
      <c r="Z1487" s="12"/>
    </row>
    <row r="1488" spans="1:26" ht="15.75" customHeight="1" x14ac:dyDescent="0.3">
      <c r="A1488" s="45">
        <v>689</v>
      </c>
      <c r="B1488" s="46" t="s">
        <v>83</v>
      </c>
      <c r="C1488" s="194" t="s">
        <v>2026</v>
      </c>
      <c r="D1488" s="46"/>
      <c r="E1488" s="46" t="s">
        <v>1792</v>
      </c>
      <c r="F1488" s="61" t="s">
        <v>31</v>
      </c>
      <c r="G1488" s="288">
        <v>86.2</v>
      </c>
      <c r="H1488" s="289">
        <v>5</v>
      </c>
      <c r="I1488" s="290">
        <v>1</v>
      </c>
      <c r="J1488" s="48" t="s">
        <v>213</v>
      </c>
      <c r="K1488" s="50"/>
      <c r="L1488" s="53" t="str">
        <f t="shared" si="262"/>
        <v>1kilos</v>
      </c>
      <c r="M1488" s="54">
        <f t="shared" si="263"/>
        <v>5</v>
      </c>
      <c r="N1488" s="55" t="str">
        <f t="shared" si="264"/>
        <v>5kilos</v>
      </c>
      <c r="O1488" s="56">
        <f t="shared" si="265"/>
        <v>431</v>
      </c>
      <c r="P1488" s="419">
        <f t="shared" si="308"/>
        <v>86.2</v>
      </c>
      <c r="Q1488" s="66"/>
      <c r="R1488" s="32" t="b">
        <f t="shared" si="309"/>
        <v>1</v>
      </c>
      <c r="S1488" s="32"/>
      <c r="T1488" s="32"/>
      <c r="U1488" s="32"/>
      <c r="V1488" s="32"/>
      <c r="W1488" s="32"/>
      <c r="X1488" s="32"/>
      <c r="Y1488" s="32"/>
      <c r="Z1488" s="32"/>
    </row>
    <row r="1489" spans="1:26" ht="15.75" customHeight="1" x14ac:dyDescent="0.3">
      <c r="A1489" s="45"/>
      <c r="B1489" s="46" t="s">
        <v>83</v>
      </c>
      <c r="C1489" s="194" t="s">
        <v>2022</v>
      </c>
      <c r="D1489" s="46"/>
      <c r="E1489" s="46" t="s">
        <v>991</v>
      </c>
      <c r="F1489" s="61" t="s">
        <v>31</v>
      </c>
      <c r="G1489" s="288">
        <v>60</v>
      </c>
      <c r="H1489" s="289">
        <v>24</v>
      </c>
      <c r="I1489" s="290">
        <v>1</v>
      </c>
      <c r="J1489" s="48" t="s">
        <v>213</v>
      </c>
      <c r="K1489" s="50"/>
      <c r="L1489" s="53" t="str">
        <f t="shared" si="262"/>
        <v>1kilos</v>
      </c>
      <c r="M1489" s="54">
        <f t="shared" si="263"/>
        <v>24</v>
      </c>
      <c r="N1489" s="55" t="str">
        <f t="shared" si="264"/>
        <v>24kilos</v>
      </c>
      <c r="O1489" s="56">
        <f t="shared" si="265"/>
        <v>1440</v>
      </c>
      <c r="P1489" s="419">
        <f t="shared" si="308"/>
        <v>60</v>
      </c>
      <c r="Q1489" s="66"/>
      <c r="R1489" s="32" t="b">
        <f t="shared" si="309"/>
        <v>1</v>
      </c>
      <c r="S1489" s="151"/>
      <c r="T1489" s="12"/>
      <c r="U1489" s="12"/>
      <c r="V1489" s="12"/>
      <c r="W1489" s="12"/>
      <c r="X1489" s="12"/>
      <c r="Y1489" s="12"/>
      <c r="Z1489" s="12"/>
    </row>
    <row r="1490" spans="1:26" ht="15.75" customHeight="1" x14ac:dyDescent="0.3">
      <c r="A1490" s="45">
        <v>257</v>
      </c>
      <c r="B1490" s="46" t="s">
        <v>84</v>
      </c>
      <c r="C1490" s="194" t="s">
        <v>2025</v>
      </c>
      <c r="D1490" s="46"/>
      <c r="E1490" s="46" t="s">
        <v>1792</v>
      </c>
      <c r="F1490" s="61" t="s">
        <v>31</v>
      </c>
      <c r="G1490" s="288">
        <v>89.3</v>
      </c>
      <c r="H1490" s="289">
        <v>12</v>
      </c>
      <c r="I1490" s="290">
        <v>1</v>
      </c>
      <c r="J1490" s="48" t="s">
        <v>213</v>
      </c>
      <c r="K1490" s="50"/>
      <c r="L1490" s="53" t="str">
        <f t="shared" si="262"/>
        <v>1kilos</v>
      </c>
      <c r="M1490" s="54">
        <f t="shared" si="263"/>
        <v>12</v>
      </c>
      <c r="N1490" s="55" t="str">
        <f t="shared" si="264"/>
        <v>12kilos</v>
      </c>
      <c r="O1490" s="56">
        <f t="shared" si="265"/>
        <v>1071.5999999999999</v>
      </c>
      <c r="P1490" s="419">
        <f t="shared" si="308"/>
        <v>89.3</v>
      </c>
      <c r="Q1490" s="66"/>
      <c r="R1490" s="32" t="b">
        <f t="shared" si="309"/>
        <v>1</v>
      </c>
      <c r="S1490" s="32"/>
      <c r="T1490" s="32"/>
      <c r="U1490" s="32"/>
      <c r="V1490" s="32"/>
      <c r="W1490" s="32"/>
      <c r="X1490" s="32"/>
      <c r="Y1490" s="32"/>
      <c r="Z1490" s="32"/>
    </row>
    <row r="1491" spans="1:26" ht="15.75" customHeight="1" x14ac:dyDescent="0.3">
      <c r="A1491" s="45">
        <v>690</v>
      </c>
      <c r="B1491" s="46" t="s">
        <v>84</v>
      </c>
      <c r="C1491" s="194" t="s">
        <v>2026</v>
      </c>
      <c r="D1491" s="46"/>
      <c r="E1491" s="46" t="s">
        <v>1792</v>
      </c>
      <c r="F1491" s="61" t="s">
        <v>31</v>
      </c>
      <c r="G1491" s="288">
        <v>85.5</v>
      </c>
      <c r="H1491" s="289">
        <v>15</v>
      </c>
      <c r="I1491" s="290">
        <v>1</v>
      </c>
      <c r="J1491" s="48" t="s">
        <v>213</v>
      </c>
      <c r="K1491" s="50"/>
      <c r="L1491" s="53" t="str">
        <f t="shared" si="262"/>
        <v>1kilos</v>
      </c>
      <c r="M1491" s="54">
        <f t="shared" si="263"/>
        <v>15</v>
      </c>
      <c r="N1491" s="55" t="str">
        <f t="shared" si="264"/>
        <v>15kilos</v>
      </c>
      <c r="O1491" s="56">
        <f t="shared" si="265"/>
        <v>1282.5</v>
      </c>
      <c r="P1491" s="419">
        <f t="shared" si="308"/>
        <v>85.5</v>
      </c>
      <c r="Q1491" s="66"/>
      <c r="R1491" s="32" t="b">
        <f t="shared" si="309"/>
        <v>1</v>
      </c>
      <c r="S1491" s="32"/>
      <c r="T1491" s="32"/>
      <c r="U1491" s="32"/>
      <c r="V1491" s="32"/>
      <c r="W1491" s="32"/>
      <c r="X1491" s="32"/>
      <c r="Y1491" s="32"/>
      <c r="Z1491" s="32"/>
    </row>
    <row r="1492" spans="1:26" ht="15.75" customHeight="1" x14ac:dyDescent="0.3">
      <c r="A1492" s="45">
        <v>793</v>
      </c>
      <c r="B1492" s="46" t="s">
        <v>84</v>
      </c>
      <c r="C1492" s="194" t="s">
        <v>1368</v>
      </c>
      <c r="D1492" s="46"/>
      <c r="E1492" s="46" t="s">
        <v>1799</v>
      </c>
      <c r="F1492" s="61" t="s">
        <v>31</v>
      </c>
      <c r="G1492" s="288">
        <v>90</v>
      </c>
      <c r="H1492" s="289">
        <v>16</v>
      </c>
      <c r="I1492" s="290">
        <v>1</v>
      </c>
      <c r="J1492" s="48" t="s">
        <v>213</v>
      </c>
      <c r="K1492" s="50"/>
      <c r="L1492" s="53" t="str">
        <f t="shared" si="262"/>
        <v>1kilos</v>
      </c>
      <c r="M1492" s="54">
        <f t="shared" si="263"/>
        <v>16</v>
      </c>
      <c r="N1492" s="55" t="str">
        <f t="shared" si="264"/>
        <v>16kilos</v>
      </c>
      <c r="O1492" s="56">
        <f t="shared" si="265"/>
        <v>1440</v>
      </c>
      <c r="P1492" s="419">
        <f t="shared" si="308"/>
        <v>90</v>
      </c>
      <c r="Q1492" s="66"/>
      <c r="R1492" s="32" t="b">
        <f t="shared" si="309"/>
        <v>1</v>
      </c>
      <c r="S1492" s="32"/>
      <c r="T1492" s="32"/>
      <c r="U1492" s="32"/>
      <c r="V1492" s="32"/>
      <c r="W1492" s="32"/>
      <c r="X1492" s="32"/>
      <c r="Y1492" s="32"/>
      <c r="Z1492" s="32"/>
    </row>
    <row r="1493" spans="1:26" ht="15.75" customHeight="1" x14ac:dyDescent="0.3">
      <c r="A1493" s="45"/>
      <c r="B1493" s="46" t="s">
        <v>84</v>
      </c>
      <c r="C1493" s="194" t="s">
        <v>2023</v>
      </c>
      <c r="D1493" s="46"/>
      <c r="E1493" s="46" t="s">
        <v>1792</v>
      </c>
      <c r="F1493" s="61" t="s">
        <v>31</v>
      </c>
      <c r="G1493" s="288">
        <v>98</v>
      </c>
      <c r="H1493" s="289">
        <v>23</v>
      </c>
      <c r="I1493" s="290">
        <v>1</v>
      </c>
      <c r="J1493" s="48" t="s">
        <v>213</v>
      </c>
      <c r="K1493" s="50"/>
      <c r="L1493" s="53" t="str">
        <f t="shared" si="262"/>
        <v>1kilos</v>
      </c>
      <c r="M1493" s="54">
        <f t="shared" si="263"/>
        <v>23</v>
      </c>
      <c r="N1493" s="55" t="str">
        <f t="shared" si="264"/>
        <v>23kilos</v>
      </c>
      <c r="O1493" s="56">
        <f t="shared" si="265"/>
        <v>2254</v>
      </c>
      <c r="P1493" s="419">
        <f t="shared" si="308"/>
        <v>98</v>
      </c>
      <c r="Q1493" s="66"/>
      <c r="R1493" s="32" t="b">
        <f t="shared" si="309"/>
        <v>1</v>
      </c>
      <c r="S1493" s="151"/>
      <c r="T1493" s="12"/>
      <c r="U1493" s="12"/>
      <c r="V1493" s="12"/>
      <c r="W1493" s="12"/>
      <c r="X1493" s="12"/>
      <c r="Y1493" s="12"/>
      <c r="Z1493" s="12"/>
    </row>
    <row r="1494" spans="1:26" ht="15.75" customHeight="1" x14ac:dyDescent="0.3">
      <c r="A1494" s="45"/>
      <c r="B1494" s="46" t="s">
        <v>84</v>
      </c>
      <c r="C1494" s="194" t="s">
        <v>2022</v>
      </c>
      <c r="D1494" s="46"/>
      <c r="E1494" s="46" t="s">
        <v>991</v>
      </c>
      <c r="F1494" s="61" t="s">
        <v>31</v>
      </c>
      <c r="G1494" s="288">
        <v>68</v>
      </c>
      <c r="H1494" s="289">
        <v>22</v>
      </c>
      <c r="I1494" s="290">
        <v>1</v>
      </c>
      <c r="J1494" s="48" t="s">
        <v>213</v>
      </c>
      <c r="K1494" s="50"/>
      <c r="L1494" s="53" t="str">
        <f t="shared" si="262"/>
        <v>1kilos</v>
      </c>
      <c r="M1494" s="54">
        <f t="shared" si="263"/>
        <v>22</v>
      </c>
      <c r="N1494" s="55" t="str">
        <f t="shared" si="264"/>
        <v>22kilos</v>
      </c>
      <c r="O1494" s="56">
        <f t="shared" si="265"/>
        <v>1496</v>
      </c>
      <c r="P1494" s="419">
        <f t="shared" si="308"/>
        <v>68</v>
      </c>
      <c r="Q1494" s="66"/>
      <c r="R1494" s="32" t="b">
        <f t="shared" si="309"/>
        <v>1</v>
      </c>
      <c r="S1494" s="151"/>
      <c r="T1494" s="12"/>
      <c r="U1494" s="12"/>
      <c r="V1494" s="12"/>
      <c r="W1494" s="12"/>
      <c r="X1494" s="12"/>
      <c r="Y1494" s="12"/>
      <c r="Z1494" s="12"/>
    </row>
    <row r="1495" spans="1:26" ht="15.75" customHeight="1" x14ac:dyDescent="0.3">
      <c r="A1495" s="45"/>
      <c r="B1495" s="219" t="s">
        <v>84</v>
      </c>
      <c r="C1495" s="194" t="s">
        <v>2021</v>
      </c>
      <c r="D1495" s="46"/>
      <c r="E1495" s="46" t="s">
        <v>858</v>
      </c>
      <c r="F1495" s="61" t="s">
        <v>31</v>
      </c>
      <c r="G1495" s="291">
        <v>1.32</v>
      </c>
      <c r="H1495" s="292">
        <v>200</v>
      </c>
      <c r="I1495" s="293">
        <v>1</v>
      </c>
      <c r="J1495" s="436" t="s">
        <v>39</v>
      </c>
      <c r="K1495" s="50"/>
      <c r="L1495" s="53" t="str">
        <f t="shared" si="262"/>
        <v>1grams</v>
      </c>
      <c r="M1495" s="54">
        <f t="shared" si="263"/>
        <v>200</v>
      </c>
      <c r="N1495" s="55" t="str">
        <f t="shared" si="264"/>
        <v>200grams</v>
      </c>
      <c r="O1495" s="56">
        <f t="shared" si="265"/>
        <v>264</v>
      </c>
      <c r="P1495" s="419">
        <f t="shared" si="308"/>
        <v>1.32</v>
      </c>
      <c r="Q1495" s="66"/>
      <c r="R1495" s="32" t="b">
        <f t="shared" si="309"/>
        <v>1</v>
      </c>
      <c r="S1495" s="151"/>
      <c r="T1495" s="12"/>
      <c r="U1495" s="12"/>
      <c r="V1495" s="12"/>
      <c r="W1495" s="12"/>
      <c r="X1495" s="12"/>
      <c r="Y1495" s="12"/>
      <c r="Z1495" s="12"/>
    </row>
    <row r="1496" spans="1:26" ht="15.75" customHeight="1" x14ac:dyDescent="0.3">
      <c r="A1496" s="45"/>
      <c r="B1496" s="46" t="s">
        <v>84</v>
      </c>
      <c r="C1496" s="194" t="s">
        <v>2020</v>
      </c>
      <c r="D1496" s="46"/>
      <c r="E1496" s="46" t="s">
        <v>1792</v>
      </c>
      <c r="F1496" s="61" t="s">
        <v>31</v>
      </c>
      <c r="G1496" s="288">
        <v>82</v>
      </c>
      <c r="H1496" s="289">
        <v>4</v>
      </c>
      <c r="I1496" s="290">
        <v>1</v>
      </c>
      <c r="J1496" s="48" t="s">
        <v>213</v>
      </c>
      <c r="K1496" s="50"/>
      <c r="L1496" s="53" t="str">
        <f t="shared" si="262"/>
        <v>1kilos</v>
      </c>
      <c r="M1496" s="54">
        <f t="shared" si="263"/>
        <v>4</v>
      </c>
      <c r="N1496" s="55" t="str">
        <f t="shared" si="264"/>
        <v>4kilos</v>
      </c>
      <c r="O1496" s="56">
        <f t="shared" si="265"/>
        <v>328</v>
      </c>
      <c r="P1496" s="419">
        <f t="shared" si="308"/>
        <v>82</v>
      </c>
      <c r="Q1496" s="66"/>
      <c r="R1496" s="32" t="b">
        <f t="shared" si="309"/>
        <v>1</v>
      </c>
      <c r="S1496" s="151"/>
      <c r="T1496" s="12"/>
      <c r="U1496" s="12"/>
      <c r="V1496" s="12"/>
      <c r="W1496" s="12"/>
      <c r="X1496" s="12"/>
      <c r="Y1496" s="12"/>
      <c r="Z1496" s="12"/>
    </row>
    <row r="1497" spans="1:26" ht="15.75" customHeight="1" x14ac:dyDescent="0.3">
      <c r="A1497" s="45"/>
      <c r="B1497" s="219" t="s">
        <v>84</v>
      </c>
      <c r="C1497" s="194" t="s">
        <v>2021</v>
      </c>
      <c r="D1497" s="46"/>
      <c r="E1497" s="219"/>
      <c r="F1497" s="61" t="s">
        <v>31</v>
      </c>
      <c r="G1497" s="291">
        <v>78</v>
      </c>
      <c r="H1497" s="292">
        <v>18</v>
      </c>
      <c r="I1497" s="290">
        <v>1</v>
      </c>
      <c r="J1497" s="48" t="s">
        <v>213</v>
      </c>
      <c r="K1497" s="50"/>
      <c r="L1497" s="53" t="str">
        <f t="shared" si="262"/>
        <v>1kilos</v>
      </c>
      <c r="M1497" s="54">
        <f t="shared" si="263"/>
        <v>18</v>
      </c>
      <c r="N1497" s="55" t="str">
        <f t="shared" si="264"/>
        <v>18kilos</v>
      </c>
      <c r="O1497" s="56">
        <f t="shared" si="265"/>
        <v>1404</v>
      </c>
      <c r="P1497" s="419">
        <f t="shared" si="308"/>
        <v>78</v>
      </c>
      <c r="Q1497" s="66"/>
      <c r="R1497" s="32" t="b">
        <f t="shared" si="309"/>
        <v>1</v>
      </c>
      <c r="S1497" s="151"/>
      <c r="T1497" s="12"/>
      <c r="U1497" s="12"/>
      <c r="V1497" s="12"/>
      <c r="W1497" s="12"/>
      <c r="X1497" s="12"/>
      <c r="Y1497" s="12"/>
      <c r="Z1497" s="12"/>
    </row>
    <row r="1498" spans="1:26" ht="15.75" customHeight="1" x14ac:dyDescent="0.3">
      <c r="A1498" s="45"/>
      <c r="B1498" s="46" t="s">
        <v>1800</v>
      </c>
      <c r="C1498" s="194" t="s">
        <v>2022</v>
      </c>
      <c r="D1498" s="46"/>
      <c r="E1498" s="46" t="s">
        <v>880</v>
      </c>
      <c r="F1498" s="61" t="s">
        <v>31</v>
      </c>
      <c r="G1498" s="288">
        <v>179</v>
      </c>
      <c r="H1498" s="289">
        <v>1</v>
      </c>
      <c r="I1498" s="290">
        <v>190</v>
      </c>
      <c r="J1498" s="48" t="s">
        <v>39</v>
      </c>
      <c r="K1498" s="50"/>
      <c r="L1498" s="53" t="str">
        <f t="shared" si="262"/>
        <v>190grams</v>
      </c>
      <c r="M1498" s="54">
        <f t="shared" si="263"/>
        <v>190</v>
      </c>
      <c r="N1498" s="55" t="str">
        <f t="shared" si="264"/>
        <v>190grams</v>
      </c>
      <c r="O1498" s="56">
        <f t="shared" si="265"/>
        <v>179</v>
      </c>
      <c r="P1498" s="12"/>
      <c r="Q1498" s="12"/>
      <c r="R1498" s="12"/>
      <c r="S1498" s="151"/>
      <c r="T1498" s="12"/>
      <c r="U1498" s="12"/>
      <c r="V1498" s="12"/>
      <c r="W1498" s="12"/>
      <c r="X1498" s="12"/>
      <c r="Y1498" s="12"/>
      <c r="Z1498" s="12"/>
    </row>
    <row r="1499" spans="1:26" ht="15.75" customHeight="1" x14ac:dyDescent="0.3">
      <c r="A1499" s="45"/>
      <c r="B1499" s="219" t="s">
        <v>1801</v>
      </c>
      <c r="C1499" s="194" t="s">
        <v>2021</v>
      </c>
      <c r="D1499" s="46"/>
      <c r="E1499" s="219" t="s">
        <v>1184</v>
      </c>
      <c r="F1499" s="61" t="s">
        <v>31</v>
      </c>
      <c r="G1499" s="291">
        <v>40</v>
      </c>
      <c r="H1499" s="292">
        <v>2</v>
      </c>
      <c r="I1499" s="293">
        <v>340</v>
      </c>
      <c r="J1499" s="414" t="s">
        <v>39</v>
      </c>
      <c r="K1499" s="50"/>
      <c r="L1499" s="53" t="str">
        <f t="shared" si="262"/>
        <v>340grams</v>
      </c>
      <c r="M1499" s="54">
        <f t="shared" si="263"/>
        <v>680</v>
      </c>
      <c r="N1499" s="55" t="str">
        <f t="shared" si="264"/>
        <v>680grams</v>
      </c>
      <c r="O1499" s="56">
        <f t="shared" si="265"/>
        <v>80</v>
      </c>
      <c r="P1499" s="12"/>
      <c r="Q1499" s="12"/>
      <c r="R1499" s="12"/>
      <c r="S1499" s="151"/>
      <c r="T1499" s="12"/>
      <c r="U1499" s="12"/>
      <c r="V1499" s="12"/>
      <c r="W1499" s="12"/>
      <c r="X1499" s="12"/>
      <c r="Y1499" s="12"/>
      <c r="Z1499" s="12"/>
    </row>
    <row r="1500" spans="1:26" ht="15.75" customHeight="1" x14ac:dyDescent="0.3">
      <c r="A1500" s="45">
        <v>174</v>
      </c>
      <c r="B1500" s="46" t="s">
        <v>1802</v>
      </c>
      <c r="C1500" s="194" t="s">
        <v>2024</v>
      </c>
      <c r="D1500" s="46"/>
      <c r="E1500" s="46" t="s">
        <v>869</v>
      </c>
      <c r="F1500" s="61" t="s">
        <v>31</v>
      </c>
      <c r="G1500" s="288">
        <v>48.45</v>
      </c>
      <c r="H1500" s="289">
        <v>2</v>
      </c>
      <c r="I1500" s="290">
        <v>250</v>
      </c>
      <c r="J1500" s="48" t="s">
        <v>39</v>
      </c>
      <c r="K1500" s="50"/>
      <c r="L1500" s="53" t="str">
        <f t="shared" si="262"/>
        <v>250grams</v>
      </c>
      <c r="M1500" s="54">
        <f t="shared" si="263"/>
        <v>500</v>
      </c>
      <c r="N1500" s="55" t="str">
        <f t="shared" si="264"/>
        <v>500grams</v>
      </c>
      <c r="O1500" s="56">
        <f t="shared" si="265"/>
        <v>96.9</v>
      </c>
      <c r="P1500" s="44">
        <f t="shared" ref="P1500:P1503" si="310">O1500/H1500</f>
        <v>48.45</v>
      </c>
      <c r="Q1500" s="66"/>
      <c r="R1500" s="32" t="b">
        <f>P1500=G1500</f>
        <v>1</v>
      </c>
      <c r="S1500" s="32"/>
      <c r="T1500" s="32"/>
      <c r="U1500" s="32"/>
      <c r="V1500" s="32"/>
      <c r="W1500" s="32"/>
      <c r="X1500" s="32"/>
      <c r="Y1500" s="32"/>
      <c r="Z1500" s="32"/>
    </row>
    <row r="1501" spans="1:26" ht="15.75" customHeight="1" x14ac:dyDescent="0.3">
      <c r="A1501" s="45">
        <v>460</v>
      </c>
      <c r="B1501" s="219" t="s">
        <v>1802</v>
      </c>
      <c r="C1501" s="194" t="s">
        <v>2025</v>
      </c>
      <c r="D1501" s="46"/>
      <c r="E1501" s="46" t="s">
        <v>869</v>
      </c>
      <c r="F1501" s="61" t="s">
        <v>31</v>
      </c>
      <c r="G1501" s="288">
        <v>65</v>
      </c>
      <c r="H1501" s="289">
        <v>0</v>
      </c>
      <c r="I1501" s="290">
        <v>250</v>
      </c>
      <c r="J1501" s="48" t="s">
        <v>39</v>
      </c>
      <c r="K1501" s="50"/>
      <c r="L1501" s="53" t="str">
        <f t="shared" si="262"/>
        <v>250grams</v>
      </c>
      <c r="M1501" s="54">
        <f t="shared" si="263"/>
        <v>0</v>
      </c>
      <c r="N1501" s="55" t="str">
        <f t="shared" si="264"/>
        <v>0grams</v>
      </c>
      <c r="O1501" s="56">
        <f t="shared" si="265"/>
        <v>0</v>
      </c>
      <c r="P1501" s="44" t="e">
        <f t="shared" si="310"/>
        <v>#DIV/0!</v>
      </c>
      <c r="Q1501" s="66"/>
      <c r="R1501" s="32"/>
      <c r="S1501" s="32"/>
      <c r="T1501" s="32"/>
      <c r="U1501" s="32"/>
      <c r="V1501" s="32"/>
      <c r="W1501" s="32"/>
      <c r="X1501" s="32"/>
      <c r="Y1501" s="32"/>
      <c r="Z1501" s="32"/>
    </row>
    <row r="1502" spans="1:26" ht="15.75" customHeight="1" x14ac:dyDescent="0.3">
      <c r="A1502" s="45">
        <v>377</v>
      </c>
      <c r="B1502" s="46" t="s">
        <v>1803</v>
      </c>
      <c r="C1502" s="194" t="s">
        <v>2025</v>
      </c>
      <c r="D1502" s="46"/>
      <c r="E1502" s="46" t="s">
        <v>1804</v>
      </c>
      <c r="F1502" s="61" t="s">
        <v>31</v>
      </c>
      <c r="G1502" s="288">
        <v>90</v>
      </c>
      <c r="H1502" s="289">
        <v>1</v>
      </c>
      <c r="I1502" s="290">
        <v>1</v>
      </c>
      <c r="J1502" s="48" t="s">
        <v>304</v>
      </c>
      <c r="K1502" s="50"/>
      <c r="L1502" s="53" t="str">
        <f t="shared" si="262"/>
        <v>1packs</v>
      </c>
      <c r="M1502" s="54">
        <f t="shared" si="263"/>
        <v>1</v>
      </c>
      <c r="N1502" s="55" t="str">
        <f t="shared" si="264"/>
        <v>1packs</v>
      </c>
      <c r="O1502" s="56">
        <f t="shared" si="265"/>
        <v>90</v>
      </c>
      <c r="P1502" s="44">
        <f t="shared" si="310"/>
        <v>90</v>
      </c>
      <c r="Q1502" s="66"/>
      <c r="R1502" s="32"/>
      <c r="S1502" s="32"/>
      <c r="T1502" s="32"/>
      <c r="U1502" s="32"/>
      <c r="V1502" s="32"/>
      <c r="W1502" s="32"/>
      <c r="X1502" s="32"/>
      <c r="Y1502" s="32"/>
      <c r="Z1502" s="32"/>
    </row>
    <row r="1503" spans="1:26" ht="15.75" customHeight="1" x14ac:dyDescent="0.3">
      <c r="A1503" s="45">
        <v>580</v>
      </c>
      <c r="B1503" s="46" t="s">
        <v>1803</v>
      </c>
      <c r="C1503" s="194" t="s">
        <v>2026</v>
      </c>
      <c r="D1503" s="46"/>
      <c r="E1503" s="46" t="s">
        <v>858</v>
      </c>
      <c r="F1503" s="61" t="s">
        <v>31</v>
      </c>
      <c r="G1503" s="288">
        <v>53.6</v>
      </c>
      <c r="H1503" s="289">
        <v>4</v>
      </c>
      <c r="I1503" s="290">
        <v>1</v>
      </c>
      <c r="J1503" s="48" t="s">
        <v>304</v>
      </c>
      <c r="K1503" s="50"/>
      <c r="L1503" s="53" t="str">
        <f t="shared" si="262"/>
        <v>1packs</v>
      </c>
      <c r="M1503" s="54">
        <f t="shared" si="263"/>
        <v>4</v>
      </c>
      <c r="N1503" s="55" t="str">
        <f t="shared" si="264"/>
        <v>4packs</v>
      </c>
      <c r="O1503" s="56">
        <f t="shared" si="265"/>
        <v>214.4</v>
      </c>
      <c r="P1503" s="44">
        <f t="shared" si="310"/>
        <v>53.6</v>
      </c>
      <c r="Q1503" s="66"/>
      <c r="R1503" s="32"/>
      <c r="S1503" s="32"/>
      <c r="T1503" s="32"/>
      <c r="U1503" s="32"/>
      <c r="V1503" s="32"/>
      <c r="W1503" s="32"/>
      <c r="X1503" s="32"/>
      <c r="Y1503" s="32"/>
      <c r="Z1503" s="32"/>
    </row>
    <row r="1504" spans="1:26" ht="15.75" customHeight="1" x14ac:dyDescent="0.3">
      <c r="A1504" s="45">
        <v>890</v>
      </c>
      <c r="B1504" s="46" t="s">
        <v>1805</v>
      </c>
      <c r="C1504" s="194" t="s">
        <v>1368</v>
      </c>
      <c r="D1504" s="46"/>
      <c r="E1504" s="46" t="s">
        <v>1806</v>
      </c>
      <c r="F1504" s="61" t="s">
        <v>31</v>
      </c>
      <c r="G1504" s="288">
        <v>154.5</v>
      </c>
      <c r="H1504" s="289">
        <v>1</v>
      </c>
      <c r="I1504" s="290">
        <v>100</v>
      </c>
      <c r="J1504" s="48" t="s">
        <v>39</v>
      </c>
      <c r="K1504" s="50"/>
      <c r="L1504" s="53" t="str">
        <f t="shared" si="262"/>
        <v>100grams</v>
      </c>
      <c r="M1504" s="54">
        <f t="shared" si="263"/>
        <v>100</v>
      </c>
      <c r="N1504" s="55" t="str">
        <f t="shared" si="264"/>
        <v>100grams</v>
      </c>
      <c r="O1504" s="56">
        <f t="shared" si="265"/>
        <v>154.5</v>
      </c>
      <c r="P1504" s="44"/>
      <c r="Q1504" s="66"/>
      <c r="R1504" s="32"/>
      <c r="S1504" s="32"/>
      <c r="T1504" s="32"/>
      <c r="U1504" s="32"/>
      <c r="V1504" s="32"/>
      <c r="W1504" s="32"/>
      <c r="X1504" s="32"/>
      <c r="Y1504" s="32"/>
      <c r="Z1504" s="32"/>
    </row>
    <row r="1505" spans="1:26" ht="15.75" customHeight="1" x14ac:dyDescent="0.3">
      <c r="A1505" s="45">
        <v>170</v>
      </c>
      <c r="B1505" s="46" t="s">
        <v>1807</v>
      </c>
      <c r="C1505" s="194" t="s">
        <v>2024</v>
      </c>
      <c r="D1505" s="46"/>
      <c r="E1505" s="46" t="s">
        <v>854</v>
      </c>
      <c r="F1505" s="61" t="s">
        <v>31</v>
      </c>
      <c r="G1505" s="288">
        <v>71.25</v>
      </c>
      <c r="H1505" s="289">
        <v>2</v>
      </c>
      <c r="I1505" s="290">
        <v>40</v>
      </c>
      <c r="J1505" s="48" t="s">
        <v>39</v>
      </c>
      <c r="K1505" s="50"/>
      <c r="L1505" s="53" t="str">
        <f t="shared" si="262"/>
        <v>40grams</v>
      </c>
      <c r="M1505" s="54">
        <f t="shared" si="263"/>
        <v>80</v>
      </c>
      <c r="N1505" s="55" t="str">
        <f t="shared" si="264"/>
        <v>80grams</v>
      </c>
      <c r="O1505" s="56">
        <f t="shared" si="265"/>
        <v>142.5</v>
      </c>
      <c r="P1505" s="44">
        <f t="shared" ref="P1505:P1507" si="311">O1505/H1505</f>
        <v>71.25</v>
      </c>
      <c r="Q1505" s="66"/>
      <c r="R1505" s="32"/>
      <c r="S1505" s="32"/>
      <c r="T1505" s="32"/>
      <c r="U1505" s="32"/>
      <c r="V1505" s="32"/>
      <c r="W1505" s="32"/>
      <c r="X1505" s="32"/>
      <c r="Y1505" s="32"/>
      <c r="Z1505" s="32"/>
    </row>
    <row r="1506" spans="1:26" ht="15.75" customHeight="1" x14ac:dyDescent="0.3">
      <c r="A1506" s="45">
        <v>495</v>
      </c>
      <c r="B1506" s="46" t="s">
        <v>1808</v>
      </c>
      <c r="C1506" s="194" t="s">
        <v>2025</v>
      </c>
      <c r="D1506" s="46"/>
      <c r="E1506" s="46"/>
      <c r="F1506" s="61" t="s">
        <v>31</v>
      </c>
      <c r="G1506" s="288">
        <v>70</v>
      </c>
      <c r="H1506" s="289">
        <v>3</v>
      </c>
      <c r="I1506" s="290">
        <v>1</v>
      </c>
      <c r="J1506" s="48" t="s">
        <v>213</v>
      </c>
      <c r="K1506" s="50" t="s">
        <v>2019</v>
      </c>
      <c r="L1506" s="53" t="str">
        <f t="shared" si="262"/>
        <v>1kilos</v>
      </c>
      <c r="M1506" s="54">
        <f t="shared" si="263"/>
        <v>3</v>
      </c>
      <c r="N1506" s="55" t="str">
        <f t="shared" si="264"/>
        <v>3kilos</v>
      </c>
      <c r="O1506" s="56">
        <f t="shared" si="265"/>
        <v>210</v>
      </c>
      <c r="P1506" s="44">
        <f t="shared" si="311"/>
        <v>70</v>
      </c>
      <c r="Q1506" s="62">
        <f>G1506-P1506</f>
        <v>0</v>
      </c>
      <c r="R1506" s="32" t="b">
        <f>P1506=G1506</f>
        <v>1</v>
      </c>
      <c r="S1506" s="32"/>
      <c r="T1506" s="32"/>
      <c r="U1506" s="32"/>
      <c r="V1506" s="32"/>
      <c r="W1506" s="32"/>
      <c r="X1506" s="32"/>
      <c r="Y1506" s="32"/>
      <c r="Z1506" s="32"/>
    </row>
    <row r="1507" spans="1:26" ht="15.75" customHeight="1" x14ac:dyDescent="0.3">
      <c r="A1507" s="45">
        <v>841</v>
      </c>
      <c r="B1507" s="46" t="s">
        <v>1808</v>
      </c>
      <c r="C1507" s="194" t="s">
        <v>1368</v>
      </c>
      <c r="D1507" s="46"/>
      <c r="E1507" s="46"/>
      <c r="F1507" s="61" t="s">
        <v>31</v>
      </c>
      <c r="G1507" s="288">
        <v>40</v>
      </c>
      <c r="H1507" s="289">
        <v>4</v>
      </c>
      <c r="I1507" s="290">
        <v>1</v>
      </c>
      <c r="J1507" s="48" t="s">
        <v>213</v>
      </c>
      <c r="K1507" s="50"/>
      <c r="L1507" s="53" t="str">
        <f t="shared" si="262"/>
        <v>1kilos</v>
      </c>
      <c r="M1507" s="54">
        <f t="shared" si="263"/>
        <v>4</v>
      </c>
      <c r="N1507" s="55" t="str">
        <f t="shared" si="264"/>
        <v>4kilos</v>
      </c>
      <c r="O1507" s="56">
        <f t="shared" si="265"/>
        <v>160</v>
      </c>
      <c r="P1507" s="44">
        <f t="shared" si="311"/>
        <v>40</v>
      </c>
      <c r="Q1507" s="66"/>
      <c r="R1507" s="32"/>
      <c r="S1507" s="32"/>
      <c r="T1507" s="32"/>
      <c r="U1507" s="32"/>
      <c r="V1507" s="32"/>
      <c r="W1507" s="32"/>
      <c r="X1507" s="32"/>
      <c r="Y1507" s="32"/>
      <c r="Z1507" s="32"/>
    </row>
    <row r="1508" spans="1:26" ht="15.75" customHeight="1" x14ac:dyDescent="0.3">
      <c r="A1508" s="45"/>
      <c r="B1508" s="46" t="s">
        <v>1808</v>
      </c>
      <c r="C1508" s="194" t="s">
        <v>2023</v>
      </c>
      <c r="D1508" s="46"/>
      <c r="E1508" s="46"/>
      <c r="F1508" s="61" t="s">
        <v>31</v>
      </c>
      <c r="G1508" s="288">
        <v>140</v>
      </c>
      <c r="H1508" s="289">
        <v>2</v>
      </c>
      <c r="I1508" s="290">
        <v>1</v>
      </c>
      <c r="J1508" s="48" t="s">
        <v>213</v>
      </c>
      <c r="K1508" s="50"/>
      <c r="L1508" s="53" t="str">
        <f t="shared" si="262"/>
        <v>1kilos</v>
      </c>
      <c r="M1508" s="54">
        <f t="shared" si="263"/>
        <v>2</v>
      </c>
      <c r="N1508" s="55" t="str">
        <f t="shared" si="264"/>
        <v>2kilos</v>
      </c>
      <c r="O1508" s="56">
        <f t="shared" si="265"/>
        <v>280</v>
      </c>
      <c r="P1508" s="44"/>
      <c r="Q1508" s="12"/>
      <c r="R1508" s="12"/>
      <c r="S1508" s="151"/>
      <c r="T1508" s="12"/>
      <c r="U1508" s="12"/>
      <c r="V1508" s="12"/>
      <c r="W1508" s="12"/>
      <c r="X1508" s="12"/>
      <c r="Y1508" s="12"/>
      <c r="Z1508" s="12"/>
    </row>
    <row r="1509" spans="1:26" ht="15.75" customHeight="1" x14ac:dyDescent="0.3">
      <c r="A1509" s="45">
        <v>475</v>
      </c>
      <c r="B1509" s="46" t="s">
        <v>1809</v>
      </c>
      <c r="C1509" s="194" t="s">
        <v>2025</v>
      </c>
      <c r="D1509" s="46"/>
      <c r="E1509" s="46"/>
      <c r="F1509" s="61" t="s">
        <v>31</v>
      </c>
      <c r="G1509" s="288">
        <v>270</v>
      </c>
      <c r="H1509" s="289">
        <v>1</v>
      </c>
      <c r="I1509" s="290">
        <v>1</v>
      </c>
      <c r="J1509" s="48" t="s">
        <v>213</v>
      </c>
      <c r="K1509" s="50"/>
      <c r="L1509" s="53" t="str">
        <f t="shared" si="262"/>
        <v>1kilos</v>
      </c>
      <c r="M1509" s="54">
        <f t="shared" si="263"/>
        <v>1</v>
      </c>
      <c r="N1509" s="55" t="str">
        <f t="shared" si="264"/>
        <v>1kilos</v>
      </c>
      <c r="O1509" s="56">
        <f t="shared" si="265"/>
        <v>270</v>
      </c>
      <c r="P1509" s="44">
        <f t="shared" ref="P1509:P1511" si="312">O1509/H1509</f>
        <v>270</v>
      </c>
      <c r="Q1509" s="66"/>
      <c r="R1509" s="32"/>
      <c r="S1509" s="32"/>
      <c r="T1509" s="32"/>
      <c r="U1509" s="32"/>
      <c r="V1509" s="32"/>
      <c r="W1509" s="32"/>
      <c r="X1509" s="32"/>
      <c r="Y1509" s="32"/>
      <c r="Z1509" s="32"/>
    </row>
    <row r="1510" spans="1:26" ht="15.75" customHeight="1" x14ac:dyDescent="0.3">
      <c r="A1510" s="45">
        <v>674</v>
      </c>
      <c r="B1510" s="46" t="s">
        <v>1810</v>
      </c>
      <c r="C1510" s="194" t="s">
        <v>2026</v>
      </c>
      <c r="D1510" s="46"/>
      <c r="E1510" s="46"/>
      <c r="F1510" s="61" t="s">
        <v>31</v>
      </c>
      <c r="G1510" s="288">
        <v>100</v>
      </c>
      <c r="H1510" s="289">
        <v>0</v>
      </c>
      <c r="I1510" s="290">
        <v>1</v>
      </c>
      <c r="J1510" s="48" t="s">
        <v>213</v>
      </c>
      <c r="K1510" s="50"/>
      <c r="L1510" s="53" t="str">
        <f t="shared" si="262"/>
        <v>1kilos</v>
      </c>
      <c r="M1510" s="54">
        <f t="shared" si="263"/>
        <v>0</v>
      </c>
      <c r="N1510" s="55" t="str">
        <f t="shared" si="264"/>
        <v>0kilos</v>
      </c>
      <c r="O1510" s="56">
        <f t="shared" si="265"/>
        <v>0</v>
      </c>
      <c r="P1510" s="44" t="e">
        <f t="shared" si="312"/>
        <v>#DIV/0!</v>
      </c>
      <c r="Q1510" s="66"/>
      <c r="R1510" s="32"/>
      <c r="S1510" s="32"/>
      <c r="T1510" s="32"/>
      <c r="U1510" s="32"/>
      <c r="V1510" s="32"/>
      <c r="W1510" s="32"/>
      <c r="X1510" s="32"/>
      <c r="Y1510" s="32"/>
      <c r="Z1510" s="32"/>
    </row>
    <row r="1511" spans="1:26" ht="15.75" customHeight="1" x14ac:dyDescent="0.3">
      <c r="A1511" s="45">
        <v>799</v>
      </c>
      <c r="B1511" s="46" t="s">
        <v>1810</v>
      </c>
      <c r="C1511" s="194" t="s">
        <v>1368</v>
      </c>
      <c r="D1511" s="46"/>
      <c r="E1511" s="46"/>
      <c r="F1511" s="61" t="s">
        <v>31</v>
      </c>
      <c r="G1511" s="288">
        <v>7.5</v>
      </c>
      <c r="H1511" s="289">
        <v>11</v>
      </c>
      <c r="I1511" s="290">
        <v>1</v>
      </c>
      <c r="J1511" s="48" t="s">
        <v>213</v>
      </c>
      <c r="K1511" s="50"/>
      <c r="L1511" s="53" t="str">
        <f t="shared" si="262"/>
        <v>1kilos</v>
      </c>
      <c r="M1511" s="54">
        <f t="shared" si="263"/>
        <v>11</v>
      </c>
      <c r="N1511" s="55" t="str">
        <f t="shared" si="264"/>
        <v>11kilos</v>
      </c>
      <c r="O1511" s="56">
        <f t="shared" si="265"/>
        <v>82.5</v>
      </c>
      <c r="P1511" s="44">
        <f t="shared" si="312"/>
        <v>7.5</v>
      </c>
      <c r="Q1511" s="66"/>
      <c r="R1511" s="32"/>
      <c r="S1511" s="32"/>
      <c r="T1511" s="32"/>
      <c r="U1511" s="32"/>
      <c r="V1511" s="32"/>
      <c r="W1511" s="32"/>
      <c r="X1511" s="32"/>
      <c r="Y1511" s="32"/>
      <c r="Z1511" s="32"/>
    </row>
    <row r="1512" spans="1:26" ht="15.75" customHeight="1" x14ac:dyDescent="0.3">
      <c r="A1512" s="45"/>
      <c r="B1512" s="46" t="s">
        <v>1810</v>
      </c>
      <c r="C1512" s="194" t="s">
        <v>2023</v>
      </c>
      <c r="D1512" s="46"/>
      <c r="E1512" s="46"/>
      <c r="F1512" s="61" t="s">
        <v>31</v>
      </c>
      <c r="G1512" s="288">
        <v>60</v>
      </c>
      <c r="H1512" s="289">
        <v>0</v>
      </c>
      <c r="I1512" s="290">
        <v>1</v>
      </c>
      <c r="J1512" s="48" t="s">
        <v>1331</v>
      </c>
      <c r="K1512" s="50"/>
      <c r="L1512" s="53" t="str">
        <f t="shared" si="262"/>
        <v>1bundle</v>
      </c>
      <c r="M1512" s="54">
        <f t="shared" si="263"/>
        <v>0</v>
      </c>
      <c r="N1512" s="55" t="str">
        <f t="shared" si="264"/>
        <v>0bundle</v>
      </c>
      <c r="O1512" s="56">
        <f t="shared" si="265"/>
        <v>0</v>
      </c>
      <c r="P1512" s="44"/>
      <c r="Q1512" s="12"/>
      <c r="R1512" s="12"/>
      <c r="S1512" s="151"/>
      <c r="T1512" s="12"/>
      <c r="U1512" s="12"/>
      <c r="V1512" s="12"/>
      <c r="W1512" s="12"/>
      <c r="X1512" s="12"/>
      <c r="Y1512" s="12"/>
      <c r="Z1512" s="12"/>
    </row>
    <row r="1513" spans="1:26" ht="15.75" customHeight="1" x14ac:dyDescent="0.3">
      <c r="A1513" s="45"/>
      <c r="B1513" s="46" t="s">
        <v>1810</v>
      </c>
      <c r="C1513" s="194" t="s">
        <v>2022</v>
      </c>
      <c r="D1513" s="46"/>
      <c r="E1513" s="46" t="s">
        <v>912</v>
      </c>
      <c r="F1513" s="61" t="s">
        <v>31</v>
      </c>
      <c r="G1513" s="288">
        <v>160</v>
      </c>
      <c r="H1513" s="289">
        <v>1</v>
      </c>
      <c r="I1513" s="290">
        <v>1</v>
      </c>
      <c r="J1513" s="48" t="s">
        <v>213</v>
      </c>
      <c r="K1513" s="50"/>
      <c r="L1513" s="53" t="str">
        <f t="shared" si="262"/>
        <v>1kilos</v>
      </c>
      <c r="M1513" s="54">
        <f t="shared" si="263"/>
        <v>1</v>
      </c>
      <c r="N1513" s="55" t="str">
        <f t="shared" si="264"/>
        <v>1kilos</v>
      </c>
      <c r="O1513" s="56">
        <f t="shared" si="265"/>
        <v>160</v>
      </c>
      <c r="P1513" s="12"/>
      <c r="Q1513" s="12"/>
      <c r="R1513" s="12"/>
      <c r="S1513" s="151"/>
      <c r="T1513" s="12"/>
      <c r="U1513" s="12"/>
      <c r="V1513" s="12"/>
      <c r="W1513" s="12"/>
      <c r="X1513" s="12"/>
      <c r="Y1513" s="12"/>
      <c r="Z1513" s="12"/>
    </row>
    <row r="1514" spans="1:26" ht="15.75" customHeight="1" x14ac:dyDescent="0.3">
      <c r="A1514" s="45"/>
      <c r="B1514" s="46" t="s">
        <v>802</v>
      </c>
      <c r="C1514" s="194" t="s">
        <v>2023</v>
      </c>
      <c r="D1514" s="324"/>
      <c r="E1514" s="324"/>
      <c r="F1514" s="61" t="s">
        <v>31</v>
      </c>
      <c r="G1514" s="288">
        <v>420</v>
      </c>
      <c r="H1514" s="289">
        <v>3</v>
      </c>
      <c r="I1514" s="290">
        <v>1</v>
      </c>
      <c r="J1514" s="48" t="s">
        <v>213</v>
      </c>
      <c r="K1514" s="50"/>
      <c r="L1514" s="53" t="str">
        <f t="shared" si="262"/>
        <v>1kilos</v>
      </c>
      <c r="M1514" s="54">
        <f t="shared" si="263"/>
        <v>3</v>
      </c>
      <c r="N1514" s="55" t="str">
        <f t="shared" si="264"/>
        <v>3kilos</v>
      </c>
      <c r="O1514" s="56">
        <f t="shared" si="265"/>
        <v>1260</v>
      </c>
      <c r="P1514" s="12"/>
      <c r="Q1514" s="12"/>
      <c r="R1514" s="12"/>
      <c r="S1514" s="151"/>
      <c r="T1514" s="12"/>
      <c r="U1514" s="12"/>
      <c r="V1514" s="12"/>
      <c r="W1514" s="12"/>
      <c r="X1514" s="12"/>
      <c r="Y1514" s="12"/>
      <c r="Z1514" s="12"/>
    </row>
    <row r="1515" spans="1:26" ht="15.75" customHeight="1" x14ac:dyDescent="0.3">
      <c r="A1515" s="45">
        <v>737</v>
      </c>
      <c r="B1515" s="46" t="s">
        <v>1811</v>
      </c>
      <c r="C1515" s="194" t="s">
        <v>2026</v>
      </c>
      <c r="D1515" s="46"/>
      <c r="E1515" s="219" t="s">
        <v>854</v>
      </c>
      <c r="F1515" s="61" t="s">
        <v>31</v>
      </c>
      <c r="G1515" s="288">
        <v>83</v>
      </c>
      <c r="H1515" s="289">
        <v>1</v>
      </c>
      <c r="I1515" s="290">
        <v>5</v>
      </c>
      <c r="J1515" s="48" t="s">
        <v>39</v>
      </c>
      <c r="K1515" s="50" t="s">
        <v>2019</v>
      </c>
      <c r="L1515" s="53" t="str">
        <f t="shared" si="262"/>
        <v>5grams</v>
      </c>
      <c r="M1515" s="54">
        <f t="shared" si="263"/>
        <v>5</v>
      </c>
      <c r="N1515" s="55" t="str">
        <f t="shared" si="264"/>
        <v>5grams</v>
      </c>
      <c r="O1515" s="56">
        <f t="shared" si="265"/>
        <v>83</v>
      </c>
      <c r="P1515" s="44">
        <f t="shared" ref="P1515:P1516" si="313">O1515/H1515</f>
        <v>83</v>
      </c>
      <c r="Q1515" s="44">
        <f>G1515-P1515</f>
        <v>0</v>
      </c>
      <c r="R1515" s="32" t="b">
        <f>P1515=G1515</f>
        <v>1</v>
      </c>
      <c r="S1515" s="32"/>
      <c r="T1515" s="32"/>
      <c r="U1515" s="32"/>
      <c r="V1515" s="32"/>
      <c r="W1515" s="32"/>
      <c r="X1515" s="32"/>
      <c r="Y1515" s="32"/>
      <c r="Z1515" s="32"/>
    </row>
    <row r="1516" spans="1:26" ht="15.75" customHeight="1" x14ac:dyDescent="0.3">
      <c r="A1516" s="45">
        <v>308</v>
      </c>
      <c r="B1516" s="46" t="s">
        <v>1811</v>
      </c>
      <c r="C1516" s="194" t="s">
        <v>2025</v>
      </c>
      <c r="D1516" s="46"/>
      <c r="E1516" s="46" t="s">
        <v>854</v>
      </c>
      <c r="F1516" s="61" t="s">
        <v>31</v>
      </c>
      <c r="G1516" s="288">
        <v>37</v>
      </c>
      <c r="H1516" s="289">
        <v>1</v>
      </c>
      <c r="I1516" s="290">
        <v>5</v>
      </c>
      <c r="J1516" s="48" t="s">
        <v>39</v>
      </c>
      <c r="K1516" s="50"/>
      <c r="L1516" s="53" t="str">
        <f t="shared" si="262"/>
        <v>5grams</v>
      </c>
      <c r="M1516" s="54">
        <f t="shared" si="263"/>
        <v>5</v>
      </c>
      <c r="N1516" s="55" t="str">
        <f t="shared" si="264"/>
        <v>5grams</v>
      </c>
      <c r="O1516" s="56">
        <f t="shared" si="265"/>
        <v>37</v>
      </c>
      <c r="P1516" s="44">
        <f t="shared" si="313"/>
        <v>37</v>
      </c>
      <c r="Q1516" s="66"/>
      <c r="R1516" s="32"/>
      <c r="S1516" s="32"/>
      <c r="T1516" s="32"/>
      <c r="U1516" s="32"/>
      <c r="V1516" s="32"/>
      <c r="W1516" s="32"/>
      <c r="X1516" s="32"/>
      <c r="Y1516" s="32"/>
      <c r="Z1516" s="32"/>
    </row>
    <row r="1517" spans="1:26" ht="15.75" customHeight="1" x14ac:dyDescent="0.3">
      <c r="A1517" s="45"/>
      <c r="B1517" s="46" t="s">
        <v>1812</v>
      </c>
      <c r="C1517" s="194" t="s">
        <v>2020</v>
      </c>
      <c r="D1517" s="46"/>
      <c r="E1517" s="46" t="s">
        <v>1813</v>
      </c>
      <c r="F1517" s="61" t="s">
        <v>31</v>
      </c>
      <c r="G1517" s="288">
        <v>15</v>
      </c>
      <c r="H1517" s="289">
        <v>21</v>
      </c>
      <c r="I1517" s="290">
        <v>1</v>
      </c>
      <c r="J1517" s="48" t="s">
        <v>92</v>
      </c>
      <c r="K1517" s="50"/>
      <c r="L1517" s="53" t="str">
        <f t="shared" si="262"/>
        <v>1pieces</v>
      </c>
      <c r="M1517" s="54">
        <f t="shared" si="263"/>
        <v>21</v>
      </c>
      <c r="N1517" s="55" t="str">
        <f t="shared" si="264"/>
        <v>21pieces</v>
      </c>
      <c r="O1517" s="56">
        <f t="shared" si="265"/>
        <v>315</v>
      </c>
      <c r="P1517" s="12"/>
      <c r="Q1517" s="12"/>
      <c r="R1517" s="12"/>
      <c r="S1517" s="151"/>
      <c r="T1517" s="12"/>
      <c r="U1517" s="12"/>
      <c r="V1517" s="12"/>
      <c r="W1517" s="12"/>
      <c r="X1517" s="12"/>
      <c r="Y1517" s="12"/>
      <c r="Z1517" s="12"/>
    </row>
    <row r="1518" spans="1:26" ht="15.75" customHeight="1" x14ac:dyDescent="0.3">
      <c r="A1518" s="45"/>
      <c r="B1518" s="46" t="s">
        <v>1812</v>
      </c>
      <c r="C1518" s="194" t="s">
        <v>2020</v>
      </c>
      <c r="D1518" s="46"/>
      <c r="E1518" s="46" t="s">
        <v>1814</v>
      </c>
      <c r="F1518" s="61" t="s">
        <v>31</v>
      </c>
      <c r="G1518" s="288">
        <v>15</v>
      </c>
      <c r="H1518" s="289">
        <v>6</v>
      </c>
      <c r="I1518" s="290">
        <v>1</v>
      </c>
      <c r="J1518" s="48" t="s">
        <v>92</v>
      </c>
      <c r="K1518" s="50"/>
      <c r="L1518" s="53" t="str">
        <f t="shared" si="262"/>
        <v>1pieces</v>
      </c>
      <c r="M1518" s="54">
        <f t="shared" si="263"/>
        <v>6</v>
      </c>
      <c r="N1518" s="55" t="str">
        <f t="shared" si="264"/>
        <v>6pieces</v>
      </c>
      <c r="O1518" s="56">
        <f t="shared" si="265"/>
        <v>90</v>
      </c>
      <c r="P1518" s="12"/>
      <c r="Q1518" s="12"/>
      <c r="R1518" s="12"/>
      <c r="S1518" s="151"/>
      <c r="T1518" s="12"/>
      <c r="U1518" s="12"/>
      <c r="V1518" s="12"/>
      <c r="W1518" s="12"/>
      <c r="X1518" s="12"/>
      <c r="Y1518" s="12"/>
      <c r="Z1518" s="12"/>
    </row>
    <row r="1519" spans="1:26" ht="15.75" customHeight="1" x14ac:dyDescent="0.3">
      <c r="A1519" s="45">
        <v>120</v>
      </c>
      <c r="B1519" s="46" t="s">
        <v>1815</v>
      </c>
      <c r="C1519" s="194" t="s">
        <v>2024</v>
      </c>
      <c r="D1519" s="46"/>
      <c r="E1519" s="46" t="s">
        <v>1816</v>
      </c>
      <c r="F1519" s="61" t="s">
        <v>31</v>
      </c>
      <c r="G1519" s="288">
        <v>8.59</v>
      </c>
      <c r="H1519" s="289">
        <v>15</v>
      </c>
      <c r="I1519" s="290">
        <v>2</v>
      </c>
      <c r="J1519" s="48" t="s">
        <v>39</v>
      </c>
      <c r="K1519" s="50" t="s">
        <v>2019</v>
      </c>
      <c r="L1519" s="53" t="str">
        <f t="shared" si="262"/>
        <v>2grams</v>
      </c>
      <c r="M1519" s="54">
        <f t="shared" si="263"/>
        <v>30</v>
      </c>
      <c r="N1519" s="55" t="str">
        <f t="shared" si="264"/>
        <v>30grams</v>
      </c>
      <c r="O1519" s="56">
        <f t="shared" si="265"/>
        <v>128.85</v>
      </c>
      <c r="P1519" s="44">
        <f>O1519/H1519</f>
        <v>8.59</v>
      </c>
      <c r="Q1519" s="66">
        <f>G1519-P1519</f>
        <v>0</v>
      </c>
      <c r="R1519" s="32" t="b">
        <f>P1519=G1519</f>
        <v>1</v>
      </c>
      <c r="S1519" s="32"/>
      <c r="T1519" s="32"/>
      <c r="U1519" s="32"/>
      <c r="V1519" s="32"/>
      <c r="W1519" s="32"/>
      <c r="X1519" s="32"/>
      <c r="Y1519" s="32"/>
      <c r="Z1519" s="32"/>
    </row>
    <row r="1520" spans="1:26" ht="15.75" customHeight="1" x14ac:dyDescent="0.3">
      <c r="A1520" s="45"/>
      <c r="B1520" s="46" t="s">
        <v>1815</v>
      </c>
      <c r="C1520" s="194" t="s">
        <v>2023</v>
      </c>
      <c r="D1520" s="46"/>
      <c r="E1520" s="46" t="s">
        <v>1816</v>
      </c>
      <c r="F1520" s="61" t="s">
        <v>31</v>
      </c>
      <c r="G1520" s="288">
        <v>5.44</v>
      </c>
      <c r="H1520" s="289">
        <v>150</v>
      </c>
      <c r="I1520" s="321">
        <v>1.5</v>
      </c>
      <c r="J1520" s="48" t="s">
        <v>39</v>
      </c>
      <c r="K1520" s="50"/>
      <c r="L1520" s="53" t="str">
        <f t="shared" si="262"/>
        <v>1.5grams</v>
      </c>
      <c r="M1520" s="54">
        <f t="shared" si="263"/>
        <v>225</v>
      </c>
      <c r="N1520" s="55" t="str">
        <f t="shared" si="264"/>
        <v>225grams</v>
      </c>
      <c r="O1520" s="56">
        <f t="shared" si="265"/>
        <v>816.00000000000011</v>
      </c>
      <c r="P1520" s="12"/>
      <c r="Q1520" s="12"/>
      <c r="R1520" s="12"/>
      <c r="S1520" s="151"/>
      <c r="T1520" s="12"/>
      <c r="U1520" s="12"/>
      <c r="V1520" s="12"/>
      <c r="W1520" s="12"/>
      <c r="X1520" s="12"/>
      <c r="Y1520" s="12"/>
      <c r="Z1520" s="12"/>
    </row>
    <row r="1521" spans="1:26" ht="15.75" customHeight="1" x14ac:dyDescent="0.3">
      <c r="A1521" s="45"/>
      <c r="B1521" s="46" t="s">
        <v>1815</v>
      </c>
      <c r="C1521" s="194" t="s">
        <v>2022</v>
      </c>
      <c r="D1521" s="46"/>
      <c r="E1521" s="46" t="s">
        <v>1816</v>
      </c>
      <c r="F1521" s="61" t="s">
        <v>31</v>
      </c>
      <c r="G1521" s="288">
        <v>8.59</v>
      </c>
      <c r="H1521" s="289">
        <v>6</v>
      </c>
      <c r="I1521" s="290">
        <v>2</v>
      </c>
      <c r="J1521" s="48" t="s">
        <v>39</v>
      </c>
      <c r="K1521" s="50"/>
      <c r="L1521" s="53" t="str">
        <f t="shared" si="262"/>
        <v>2grams</v>
      </c>
      <c r="M1521" s="54">
        <f t="shared" si="263"/>
        <v>12</v>
      </c>
      <c r="N1521" s="55" t="str">
        <f t="shared" si="264"/>
        <v>12grams</v>
      </c>
      <c r="O1521" s="56">
        <f t="shared" si="265"/>
        <v>51.54</v>
      </c>
      <c r="P1521" s="12"/>
      <c r="Q1521" s="12"/>
      <c r="R1521" s="12"/>
      <c r="S1521" s="151"/>
      <c r="T1521" s="12"/>
      <c r="U1521" s="12"/>
      <c r="V1521" s="12"/>
      <c r="W1521" s="12"/>
      <c r="X1521" s="12"/>
      <c r="Y1521" s="12"/>
      <c r="Z1521" s="12"/>
    </row>
    <row r="1522" spans="1:26" ht="15.75" customHeight="1" x14ac:dyDescent="0.3">
      <c r="A1522" s="45"/>
      <c r="B1522" s="46" t="s">
        <v>1815</v>
      </c>
      <c r="C1522" s="194" t="s">
        <v>2021</v>
      </c>
      <c r="D1522" s="46"/>
      <c r="E1522" s="46" t="s">
        <v>1816</v>
      </c>
      <c r="F1522" s="61" t="s">
        <v>31</v>
      </c>
      <c r="G1522" s="291">
        <v>9.99</v>
      </c>
      <c r="H1522" s="292">
        <v>2</v>
      </c>
      <c r="I1522" s="322">
        <v>1.5</v>
      </c>
      <c r="J1522" s="414" t="s">
        <v>39</v>
      </c>
      <c r="K1522" s="50"/>
      <c r="L1522" s="53" t="str">
        <f t="shared" si="262"/>
        <v>1.5grams</v>
      </c>
      <c r="M1522" s="54">
        <f t="shared" si="263"/>
        <v>3</v>
      </c>
      <c r="N1522" s="55" t="str">
        <f t="shared" si="264"/>
        <v>3grams</v>
      </c>
      <c r="O1522" s="56">
        <f t="shared" si="265"/>
        <v>19.98</v>
      </c>
      <c r="P1522" s="12"/>
      <c r="Q1522" s="12"/>
      <c r="R1522" s="12"/>
      <c r="S1522" s="151"/>
      <c r="T1522" s="12"/>
      <c r="U1522" s="12"/>
      <c r="V1522" s="12"/>
      <c r="W1522" s="12"/>
      <c r="X1522" s="12"/>
      <c r="Y1522" s="12"/>
      <c r="Z1522" s="12"/>
    </row>
    <row r="1523" spans="1:26" ht="15.75" customHeight="1" x14ac:dyDescent="0.3">
      <c r="A1523" s="45">
        <v>100</v>
      </c>
      <c r="B1523" s="46" t="s">
        <v>1817</v>
      </c>
      <c r="C1523" s="194" t="s">
        <v>2024</v>
      </c>
      <c r="D1523" s="47"/>
      <c r="E1523" s="46" t="s">
        <v>1816</v>
      </c>
      <c r="F1523" s="61" t="s">
        <v>31</v>
      </c>
      <c r="G1523" s="288">
        <v>4.8600000000000003</v>
      </c>
      <c r="H1523" s="289">
        <v>46</v>
      </c>
      <c r="I1523" s="290">
        <v>2</v>
      </c>
      <c r="J1523" s="447" t="s">
        <v>39</v>
      </c>
      <c r="K1523" s="50"/>
      <c r="L1523" s="53" t="str">
        <f t="shared" si="262"/>
        <v>2grams</v>
      </c>
      <c r="M1523" s="54">
        <f t="shared" si="263"/>
        <v>92</v>
      </c>
      <c r="N1523" s="55" t="str">
        <f t="shared" si="264"/>
        <v>92grams</v>
      </c>
      <c r="O1523" s="56">
        <f t="shared" si="265"/>
        <v>223.56</v>
      </c>
      <c r="P1523" s="44">
        <f>O1523/H1523</f>
        <v>4.8600000000000003</v>
      </c>
      <c r="Q1523" s="66"/>
      <c r="R1523" s="32" t="b">
        <f>P1523=G1523</f>
        <v>1</v>
      </c>
      <c r="S1523" s="32"/>
      <c r="T1523" s="32"/>
      <c r="U1523" s="32"/>
      <c r="V1523" s="32"/>
      <c r="W1523" s="32"/>
      <c r="X1523" s="32"/>
      <c r="Y1523" s="32"/>
      <c r="Z1523" s="32"/>
    </row>
    <row r="1524" spans="1:26" ht="15.75" customHeight="1" x14ac:dyDescent="0.3">
      <c r="A1524" s="45"/>
      <c r="B1524" s="46" t="s">
        <v>1817</v>
      </c>
      <c r="C1524" s="194" t="s">
        <v>2023</v>
      </c>
      <c r="D1524" s="96"/>
      <c r="E1524" s="46" t="s">
        <v>1816</v>
      </c>
      <c r="F1524" s="61" t="s">
        <v>31</v>
      </c>
      <c r="G1524" s="291">
        <v>10.09</v>
      </c>
      <c r="H1524" s="292">
        <v>217</v>
      </c>
      <c r="I1524" s="293">
        <v>2</v>
      </c>
      <c r="J1524" s="448" t="s">
        <v>39</v>
      </c>
      <c r="K1524" s="50"/>
      <c r="L1524" s="53" t="str">
        <f t="shared" si="262"/>
        <v>2grams</v>
      </c>
      <c r="M1524" s="54">
        <f t="shared" si="263"/>
        <v>434</v>
      </c>
      <c r="N1524" s="55" t="str">
        <f t="shared" si="264"/>
        <v>434grams</v>
      </c>
      <c r="O1524" s="56">
        <f t="shared" si="265"/>
        <v>2189.5299999999997</v>
      </c>
      <c r="P1524" s="12"/>
      <c r="Q1524" s="12"/>
      <c r="R1524" s="12"/>
      <c r="S1524" s="151"/>
      <c r="T1524" s="12"/>
      <c r="U1524" s="12"/>
      <c r="V1524" s="12"/>
      <c r="W1524" s="12"/>
      <c r="X1524" s="12"/>
      <c r="Y1524" s="12"/>
      <c r="Z1524" s="12"/>
    </row>
    <row r="1525" spans="1:26" ht="15.75" customHeight="1" x14ac:dyDescent="0.3">
      <c r="A1525" s="45"/>
      <c r="B1525" s="46" t="s">
        <v>1817</v>
      </c>
      <c r="C1525" s="194" t="s">
        <v>2022</v>
      </c>
      <c r="D1525" s="96"/>
      <c r="E1525" s="46" t="s">
        <v>1816</v>
      </c>
      <c r="F1525" s="61" t="s">
        <v>31</v>
      </c>
      <c r="G1525" s="288">
        <v>4.79</v>
      </c>
      <c r="H1525" s="289">
        <v>62</v>
      </c>
      <c r="I1525" s="290">
        <v>2</v>
      </c>
      <c r="J1525" s="447" t="s">
        <v>39</v>
      </c>
      <c r="K1525" s="50"/>
      <c r="L1525" s="53" t="str">
        <f t="shared" si="262"/>
        <v>2grams</v>
      </c>
      <c r="M1525" s="54">
        <f t="shared" si="263"/>
        <v>124</v>
      </c>
      <c r="N1525" s="55" t="str">
        <f t="shared" si="264"/>
        <v>124grams</v>
      </c>
      <c r="O1525" s="56">
        <f t="shared" si="265"/>
        <v>296.98</v>
      </c>
      <c r="P1525" s="12"/>
      <c r="Q1525" s="12"/>
      <c r="R1525" s="12"/>
      <c r="S1525" s="151"/>
      <c r="T1525" s="12"/>
      <c r="U1525" s="12"/>
      <c r="V1525" s="12"/>
      <c r="W1525" s="12"/>
      <c r="X1525" s="12"/>
      <c r="Y1525" s="12"/>
      <c r="Z1525" s="12"/>
    </row>
    <row r="1526" spans="1:26" ht="15.75" customHeight="1" x14ac:dyDescent="0.3">
      <c r="A1526" s="45"/>
      <c r="B1526" s="219" t="s">
        <v>1818</v>
      </c>
      <c r="C1526" s="194" t="s">
        <v>2021</v>
      </c>
      <c r="D1526" s="46"/>
      <c r="E1526" s="219" t="s">
        <v>1819</v>
      </c>
      <c r="F1526" s="61" t="s">
        <v>31</v>
      </c>
      <c r="G1526" s="328">
        <v>220</v>
      </c>
      <c r="H1526" s="329">
        <v>1</v>
      </c>
      <c r="I1526" s="330">
        <v>700</v>
      </c>
      <c r="J1526" s="448" t="s">
        <v>39</v>
      </c>
      <c r="K1526" s="50"/>
      <c r="L1526" s="53" t="str">
        <f t="shared" si="262"/>
        <v>700grams</v>
      </c>
      <c r="M1526" s="54">
        <f t="shared" si="263"/>
        <v>700</v>
      </c>
      <c r="N1526" s="55" t="str">
        <f t="shared" si="264"/>
        <v>700grams</v>
      </c>
      <c r="O1526" s="56">
        <f t="shared" si="265"/>
        <v>220</v>
      </c>
      <c r="P1526" s="12"/>
      <c r="Q1526" s="12"/>
      <c r="R1526" s="12"/>
      <c r="S1526" s="151"/>
      <c r="T1526" s="12"/>
      <c r="U1526" s="12"/>
      <c r="V1526" s="12"/>
      <c r="W1526" s="12"/>
      <c r="X1526" s="12"/>
      <c r="Y1526" s="12"/>
      <c r="Z1526" s="12"/>
    </row>
    <row r="1527" spans="1:26" ht="15.75" customHeight="1" x14ac:dyDescent="0.3">
      <c r="A1527" s="45"/>
      <c r="B1527" s="46" t="s">
        <v>807</v>
      </c>
      <c r="C1527" s="194" t="s">
        <v>2022</v>
      </c>
      <c r="D1527" s="46"/>
      <c r="E1527" s="46" t="s">
        <v>867</v>
      </c>
      <c r="F1527" s="61" t="s">
        <v>31</v>
      </c>
      <c r="G1527" s="288">
        <v>80</v>
      </c>
      <c r="H1527" s="289">
        <v>2</v>
      </c>
      <c r="I1527" s="290">
        <v>500</v>
      </c>
      <c r="J1527" s="447" t="s">
        <v>39</v>
      </c>
      <c r="K1527" s="50"/>
      <c r="L1527" s="53" t="str">
        <f t="shared" si="262"/>
        <v>500grams</v>
      </c>
      <c r="M1527" s="54">
        <f t="shared" si="263"/>
        <v>1000</v>
      </c>
      <c r="N1527" s="55" t="str">
        <f t="shared" si="264"/>
        <v>1000grams</v>
      </c>
      <c r="O1527" s="56">
        <f t="shared" si="265"/>
        <v>160</v>
      </c>
      <c r="P1527" s="12"/>
      <c r="Q1527" s="12"/>
      <c r="R1527" s="12"/>
      <c r="S1527" s="151"/>
      <c r="T1527" s="12"/>
      <c r="U1527" s="12"/>
      <c r="V1527" s="12"/>
      <c r="W1527" s="12"/>
      <c r="X1527" s="12"/>
      <c r="Y1527" s="12"/>
      <c r="Z1527" s="12"/>
    </row>
    <row r="1528" spans="1:26" ht="15.75" customHeight="1" x14ac:dyDescent="0.3">
      <c r="A1528" s="45">
        <v>322</v>
      </c>
      <c r="B1528" s="46" t="s">
        <v>1820</v>
      </c>
      <c r="C1528" s="194" t="s">
        <v>2025</v>
      </c>
      <c r="D1528" s="46"/>
      <c r="E1528" s="46" t="s">
        <v>1359</v>
      </c>
      <c r="F1528" s="61" t="s">
        <v>31</v>
      </c>
      <c r="G1528" s="288">
        <v>289</v>
      </c>
      <c r="H1528" s="289">
        <v>1</v>
      </c>
      <c r="I1528" s="290">
        <v>1</v>
      </c>
      <c r="J1528" s="447" t="s">
        <v>773</v>
      </c>
      <c r="K1528" s="50"/>
      <c r="L1528" s="53" t="str">
        <f t="shared" si="262"/>
        <v>1liters</v>
      </c>
      <c r="M1528" s="54">
        <f t="shared" si="263"/>
        <v>1</v>
      </c>
      <c r="N1528" s="55" t="str">
        <f t="shared" si="264"/>
        <v>1liters</v>
      </c>
      <c r="O1528" s="56">
        <f t="shared" si="265"/>
        <v>289</v>
      </c>
      <c r="P1528" s="44">
        <f>O1528/H1528</f>
        <v>289</v>
      </c>
      <c r="Q1528" s="66"/>
      <c r="R1528" s="32"/>
      <c r="S1528" s="32"/>
      <c r="T1528" s="32"/>
      <c r="U1528" s="32"/>
      <c r="V1528" s="32"/>
      <c r="W1528" s="32"/>
      <c r="X1528" s="32"/>
      <c r="Y1528" s="32"/>
      <c r="Z1528" s="32"/>
    </row>
    <row r="1529" spans="1:26" ht="15.75" customHeight="1" x14ac:dyDescent="0.3">
      <c r="A1529" s="45"/>
      <c r="B1529" s="219" t="s">
        <v>1820</v>
      </c>
      <c r="C1529" s="194" t="s">
        <v>2021</v>
      </c>
      <c r="D1529" s="46"/>
      <c r="E1529" s="219" t="s">
        <v>1359</v>
      </c>
      <c r="F1529" s="61" t="s">
        <v>31</v>
      </c>
      <c r="G1529" s="291">
        <v>315</v>
      </c>
      <c r="H1529" s="292">
        <v>1</v>
      </c>
      <c r="I1529" s="293">
        <v>1</v>
      </c>
      <c r="J1529" s="448" t="s">
        <v>773</v>
      </c>
      <c r="K1529" s="50"/>
      <c r="L1529" s="53" t="str">
        <f t="shared" si="262"/>
        <v>1liters</v>
      </c>
      <c r="M1529" s="54">
        <f t="shared" si="263"/>
        <v>1</v>
      </c>
      <c r="N1529" s="55" t="str">
        <f t="shared" si="264"/>
        <v>1liters</v>
      </c>
      <c r="O1529" s="56">
        <f t="shared" si="265"/>
        <v>315</v>
      </c>
      <c r="P1529" s="12"/>
      <c r="Q1529" s="12"/>
      <c r="R1529" s="12"/>
      <c r="S1529" s="151"/>
      <c r="T1529" s="12"/>
      <c r="U1529" s="12"/>
      <c r="V1529" s="12"/>
      <c r="W1529" s="12"/>
      <c r="X1529" s="12"/>
      <c r="Y1529" s="12"/>
      <c r="Z1529" s="12"/>
    </row>
    <row r="1530" spans="1:26" ht="15.75" customHeight="1" x14ac:dyDescent="0.3">
      <c r="A1530" s="45">
        <v>110</v>
      </c>
      <c r="B1530" s="46" t="s">
        <v>1821</v>
      </c>
      <c r="C1530" s="194" t="s">
        <v>2024</v>
      </c>
      <c r="D1530" s="46"/>
      <c r="E1530" s="46" t="s">
        <v>1822</v>
      </c>
      <c r="F1530" s="61" t="s">
        <v>31</v>
      </c>
      <c r="G1530" s="288">
        <v>8.86</v>
      </c>
      <c r="H1530" s="289">
        <v>20</v>
      </c>
      <c r="I1530" s="290">
        <v>250</v>
      </c>
      <c r="J1530" s="447" t="s">
        <v>32</v>
      </c>
      <c r="K1530" s="50"/>
      <c r="L1530" s="53" t="str">
        <f t="shared" si="262"/>
        <v>250ml</v>
      </c>
      <c r="M1530" s="54">
        <f t="shared" si="263"/>
        <v>5000</v>
      </c>
      <c r="N1530" s="55" t="str">
        <f t="shared" si="264"/>
        <v>5000ml</v>
      </c>
      <c r="O1530" s="56">
        <f t="shared" si="265"/>
        <v>177.2</v>
      </c>
      <c r="P1530" s="44">
        <f t="shared" ref="P1530:P1533" si="314">O1530/H1530</f>
        <v>8.86</v>
      </c>
      <c r="Q1530" s="66"/>
      <c r="R1530" s="32"/>
      <c r="S1530" s="32"/>
      <c r="T1530" s="32"/>
      <c r="U1530" s="32"/>
      <c r="V1530" s="32"/>
      <c r="W1530" s="32"/>
      <c r="X1530" s="32"/>
      <c r="Y1530" s="32"/>
      <c r="Z1530" s="32"/>
    </row>
    <row r="1531" spans="1:26" ht="15.75" customHeight="1" x14ac:dyDescent="0.3">
      <c r="A1531" s="45">
        <v>115</v>
      </c>
      <c r="B1531" s="46" t="s">
        <v>1823</v>
      </c>
      <c r="C1531" s="194" t="s">
        <v>2024</v>
      </c>
      <c r="D1531" s="46"/>
      <c r="E1531" s="46" t="s">
        <v>1822</v>
      </c>
      <c r="F1531" s="61" t="s">
        <v>31</v>
      </c>
      <c r="G1531" s="288">
        <v>9.74</v>
      </c>
      <c r="H1531" s="289">
        <v>20</v>
      </c>
      <c r="I1531" s="290">
        <v>250</v>
      </c>
      <c r="J1531" s="447" t="s">
        <v>32</v>
      </c>
      <c r="K1531" s="50"/>
      <c r="L1531" s="53" t="str">
        <f t="shared" si="262"/>
        <v>250ml</v>
      </c>
      <c r="M1531" s="54">
        <f t="shared" si="263"/>
        <v>5000</v>
      </c>
      <c r="N1531" s="55" t="str">
        <f t="shared" si="264"/>
        <v>5000ml</v>
      </c>
      <c r="O1531" s="56">
        <f t="shared" si="265"/>
        <v>194.8</v>
      </c>
      <c r="P1531" s="44">
        <f t="shared" si="314"/>
        <v>9.74</v>
      </c>
      <c r="Q1531" s="66"/>
      <c r="R1531" s="32"/>
      <c r="S1531" s="32"/>
      <c r="T1531" s="32"/>
      <c r="U1531" s="32"/>
      <c r="V1531" s="32"/>
      <c r="W1531" s="32"/>
      <c r="X1531" s="32"/>
      <c r="Y1531" s="32"/>
      <c r="Z1531" s="32"/>
    </row>
    <row r="1532" spans="1:26" ht="15.75" customHeight="1" x14ac:dyDescent="0.3">
      <c r="A1532" s="45">
        <v>116</v>
      </c>
      <c r="B1532" s="46" t="s">
        <v>1824</v>
      </c>
      <c r="C1532" s="194" t="s">
        <v>2024</v>
      </c>
      <c r="D1532" s="46"/>
      <c r="E1532" s="46" t="s">
        <v>1822</v>
      </c>
      <c r="F1532" s="61" t="s">
        <v>31</v>
      </c>
      <c r="G1532" s="288">
        <v>8.86</v>
      </c>
      <c r="H1532" s="289">
        <v>20</v>
      </c>
      <c r="I1532" s="290">
        <v>250</v>
      </c>
      <c r="J1532" s="447" t="s">
        <v>32</v>
      </c>
      <c r="K1532" s="50"/>
      <c r="L1532" s="53" t="str">
        <f t="shared" si="262"/>
        <v>250ml</v>
      </c>
      <c r="M1532" s="54">
        <f t="shared" si="263"/>
        <v>5000</v>
      </c>
      <c r="N1532" s="55" t="str">
        <f t="shared" si="264"/>
        <v>5000ml</v>
      </c>
      <c r="O1532" s="56">
        <f t="shared" si="265"/>
        <v>177.2</v>
      </c>
      <c r="P1532" s="44">
        <f t="shared" si="314"/>
        <v>8.86</v>
      </c>
      <c r="Q1532" s="66"/>
      <c r="R1532" s="32" t="b">
        <f t="shared" ref="R1532:R1533" si="315">P1532=G1532</f>
        <v>1</v>
      </c>
      <c r="S1532" s="32"/>
      <c r="T1532" s="32"/>
      <c r="U1532" s="32"/>
      <c r="V1532" s="32"/>
      <c r="W1532" s="32"/>
      <c r="X1532" s="32"/>
      <c r="Y1532" s="32"/>
      <c r="Z1532" s="32"/>
    </row>
    <row r="1533" spans="1:26" ht="15.75" customHeight="1" x14ac:dyDescent="0.3">
      <c r="A1533" s="45">
        <v>738</v>
      </c>
      <c r="B1533" s="47" t="s">
        <v>1825</v>
      </c>
      <c r="C1533" s="194" t="s">
        <v>2026</v>
      </c>
      <c r="D1533" s="96"/>
      <c r="E1533" s="219" t="s">
        <v>854</v>
      </c>
      <c r="F1533" s="61" t="s">
        <v>31</v>
      </c>
      <c r="G1533" s="331">
        <v>66</v>
      </c>
      <c r="H1533" s="332">
        <v>1</v>
      </c>
      <c r="I1533" s="333">
        <v>14</v>
      </c>
      <c r="J1533" s="447" t="s">
        <v>39</v>
      </c>
      <c r="K1533" s="50"/>
      <c r="L1533" s="53" t="str">
        <f t="shared" si="262"/>
        <v>14grams</v>
      </c>
      <c r="M1533" s="54">
        <f t="shared" si="263"/>
        <v>14</v>
      </c>
      <c r="N1533" s="55" t="str">
        <f t="shared" si="264"/>
        <v>14grams</v>
      </c>
      <c r="O1533" s="56">
        <f t="shared" si="265"/>
        <v>66</v>
      </c>
      <c r="P1533" s="44">
        <f t="shared" si="314"/>
        <v>66</v>
      </c>
      <c r="Q1533" s="66"/>
      <c r="R1533" s="32" t="b">
        <f t="shared" si="315"/>
        <v>1</v>
      </c>
      <c r="S1533" s="32"/>
      <c r="T1533" s="32"/>
      <c r="U1533" s="32"/>
      <c r="V1533" s="32"/>
      <c r="W1533" s="32"/>
      <c r="X1533" s="32"/>
      <c r="Y1533" s="32"/>
      <c r="Z1533" s="32"/>
    </row>
    <row r="1534" spans="1:26" ht="15.75" customHeight="1" x14ac:dyDescent="0.3">
      <c r="A1534" s="45"/>
      <c r="B1534" s="327" t="s">
        <v>1825</v>
      </c>
      <c r="C1534" s="194" t="s">
        <v>2021</v>
      </c>
      <c r="D1534" s="96"/>
      <c r="E1534" s="219" t="s">
        <v>854</v>
      </c>
      <c r="F1534" s="61" t="s">
        <v>31</v>
      </c>
      <c r="G1534" s="334">
        <v>57</v>
      </c>
      <c r="H1534" s="335">
        <v>1</v>
      </c>
      <c r="I1534" s="336">
        <v>14</v>
      </c>
      <c r="J1534" s="448" t="s">
        <v>39</v>
      </c>
      <c r="K1534" s="50"/>
      <c r="L1534" s="53" t="str">
        <f t="shared" si="262"/>
        <v>14grams</v>
      </c>
      <c r="M1534" s="54">
        <f t="shared" si="263"/>
        <v>14</v>
      </c>
      <c r="N1534" s="55" t="str">
        <f t="shared" si="264"/>
        <v>14grams</v>
      </c>
      <c r="O1534" s="56">
        <f t="shared" si="265"/>
        <v>57</v>
      </c>
      <c r="P1534" s="12"/>
      <c r="Q1534" s="12"/>
      <c r="R1534" s="12"/>
      <c r="S1534" s="151"/>
      <c r="T1534" s="12"/>
      <c r="U1534" s="12"/>
      <c r="V1534" s="12"/>
      <c r="W1534" s="12"/>
      <c r="X1534" s="12"/>
      <c r="Y1534" s="12"/>
      <c r="Z1534" s="12"/>
    </row>
    <row r="1535" spans="1:26" ht="15.75" customHeight="1" x14ac:dyDescent="0.3">
      <c r="A1535" s="45">
        <v>307</v>
      </c>
      <c r="B1535" s="96" t="s">
        <v>1825</v>
      </c>
      <c r="C1535" s="194" t="s">
        <v>2025</v>
      </c>
      <c r="D1535" s="96"/>
      <c r="E1535" s="46" t="s">
        <v>854</v>
      </c>
      <c r="F1535" s="61" t="s">
        <v>31</v>
      </c>
      <c r="G1535" s="337">
        <v>66.5</v>
      </c>
      <c r="H1535" s="332">
        <v>0</v>
      </c>
      <c r="I1535" s="338">
        <v>14</v>
      </c>
      <c r="J1535" s="449" t="s">
        <v>39</v>
      </c>
      <c r="K1535" s="50"/>
      <c r="L1535" s="53" t="str">
        <f t="shared" si="262"/>
        <v>14grams</v>
      </c>
      <c r="M1535" s="54">
        <f t="shared" si="263"/>
        <v>0</v>
      </c>
      <c r="N1535" s="55" t="str">
        <f t="shared" si="264"/>
        <v>0grams</v>
      </c>
      <c r="O1535" s="56">
        <f t="shared" si="265"/>
        <v>0</v>
      </c>
      <c r="P1535" s="44" t="e">
        <f>O1535/H1535</f>
        <v>#DIV/0!</v>
      </c>
      <c r="Q1535" s="66"/>
      <c r="R1535" s="32"/>
      <c r="S1535" s="32"/>
      <c r="T1535" s="32"/>
      <c r="U1535" s="32"/>
      <c r="V1535" s="32"/>
      <c r="W1535" s="32"/>
      <c r="X1535" s="32"/>
      <c r="Y1535" s="32"/>
      <c r="Z1535" s="32"/>
    </row>
    <row r="1536" spans="1:26" ht="15.75" customHeight="1" x14ac:dyDescent="0.3">
      <c r="A1536" s="45"/>
      <c r="B1536" s="96" t="s">
        <v>1825</v>
      </c>
      <c r="C1536" s="194" t="s">
        <v>2022</v>
      </c>
      <c r="D1536" s="96"/>
      <c r="E1536" s="46" t="s">
        <v>854</v>
      </c>
      <c r="F1536" s="61" t="s">
        <v>31</v>
      </c>
      <c r="G1536" s="288">
        <v>67</v>
      </c>
      <c r="H1536" s="332">
        <v>1</v>
      </c>
      <c r="I1536" s="290">
        <v>14</v>
      </c>
      <c r="J1536" s="449" t="s">
        <v>39</v>
      </c>
      <c r="K1536" s="50"/>
      <c r="L1536" s="53" t="str">
        <f t="shared" si="262"/>
        <v>14grams</v>
      </c>
      <c r="M1536" s="54">
        <f t="shared" si="263"/>
        <v>14</v>
      </c>
      <c r="N1536" s="55" t="str">
        <f t="shared" si="264"/>
        <v>14grams</v>
      </c>
      <c r="O1536" s="56">
        <f t="shared" si="265"/>
        <v>67</v>
      </c>
      <c r="P1536" s="12"/>
      <c r="Q1536" s="12"/>
      <c r="R1536" s="12"/>
      <c r="S1536" s="151"/>
      <c r="T1536" s="12"/>
      <c r="U1536" s="12"/>
      <c r="V1536" s="12"/>
      <c r="W1536" s="12"/>
      <c r="X1536" s="12"/>
      <c r="Y1536" s="12"/>
      <c r="Z1536" s="12"/>
    </row>
    <row r="1537" spans="1:26" ht="15.75" customHeight="1" x14ac:dyDescent="0.3">
      <c r="A1537" s="45"/>
      <c r="B1537" s="340" t="s">
        <v>1825</v>
      </c>
      <c r="C1537" s="194" t="s">
        <v>2021</v>
      </c>
      <c r="D1537" s="96"/>
      <c r="E1537" s="327" t="s">
        <v>1074</v>
      </c>
      <c r="F1537" s="61" t="s">
        <v>31</v>
      </c>
      <c r="G1537" s="341">
        <v>9.6999999999999993</v>
      </c>
      <c r="H1537" s="335">
        <v>3</v>
      </c>
      <c r="I1537" s="336">
        <v>10</v>
      </c>
      <c r="J1537" s="448" t="s">
        <v>39</v>
      </c>
      <c r="K1537" s="50"/>
      <c r="L1537" s="53" t="str">
        <f t="shared" si="262"/>
        <v>10grams</v>
      </c>
      <c r="M1537" s="54">
        <f t="shared" si="263"/>
        <v>30</v>
      </c>
      <c r="N1537" s="55" t="str">
        <f t="shared" si="264"/>
        <v>30grams</v>
      </c>
      <c r="O1537" s="56">
        <f t="shared" si="265"/>
        <v>29.099999999999998</v>
      </c>
      <c r="P1537" s="12"/>
      <c r="Q1537" s="12"/>
      <c r="R1537" s="12"/>
      <c r="S1537" s="151"/>
      <c r="T1537" s="12"/>
      <c r="U1537" s="12"/>
      <c r="V1537" s="12"/>
      <c r="W1537" s="12"/>
      <c r="X1537" s="12"/>
      <c r="Y1537" s="12"/>
      <c r="Z1537" s="12"/>
    </row>
    <row r="1538" spans="1:26" ht="15.75" customHeight="1" x14ac:dyDescent="0.3">
      <c r="A1538" s="45">
        <v>56</v>
      </c>
      <c r="B1538" s="96" t="s">
        <v>808</v>
      </c>
      <c r="C1538" s="194" t="s">
        <v>29</v>
      </c>
      <c r="D1538" s="96"/>
      <c r="E1538" s="96"/>
      <c r="F1538" s="61" t="s">
        <v>31</v>
      </c>
      <c r="G1538" s="342">
        <v>150</v>
      </c>
      <c r="H1538" s="332">
        <v>2</v>
      </c>
      <c r="I1538" s="333">
        <v>1</v>
      </c>
      <c r="J1538" s="80" t="s">
        <v>213</v>
      </c>
      <c r="K1538" s="61" t="s">
        <v>2019</v>
      </c>
      <c r="L1538" s="415" t="str">
        <f t="shared" si="262"/>
        <v>1kilos</v>
      </c>
      <c r="M1538" s="416">
        <f t="shared" si="263"/>
        <v>2</v>
      </c>
      <c r="N1538" s="417" t="str">
        <f t="shared" si="264"/>
        <v>2kilos</v>
      </c>
      <c r="O1538" s="418">
        <f t="shared" si="265"/>
        <v>300</v>
      </c>
      <c r="P1538" s="419">
        <f t="shared" ref="P1538:P1539" si="316">O1538/H1538</f>
        <v>150</v>
      </c>
      <c r="Q1538" s="66"/>
      <c r="R1538" s="32"/>
      <c r="S1538" s="32"/>
      <c r="T1538" s="32"/>
      <c r="U1538" s="32"/>
      <c r="V1538" s="32"/>
      <c r="W1538" s="32"/>
      <c r="X1538" s="32"/>
      <c r="Y1538" s="32"/>
      <c r="Z1538" s="32"/>
    </row>
    <row r="1539" spans="1:26" ht="15.75" customHeight="1" x14ac:dyDescent="0.3">
      <c r="A1539" s="45">
        <v>474</v>
      </c>
      <c r="B1539" s="96" t="s">
        <v>808</v>
      </c>
      <c r="C1539" s="194" t="s">
        <v>2025</v>
      </c>
      <c r="D1539" s="96"/>
      <c r="E1539" s="96"/>
      <c r="F1539" s="61" t="s">
        <v>31</v>
      </c>
      <c r="G1539" s="342">
        <v>150</v>
      </c>
      <c r="H1539" s="332">
        <v>4</v>
      </c>
      <c r="I1539" s="333">
        <v>1</v>
      </c>
      <c r="J1539" s="80" t="s">
        <v>213</v>
      </c>
      <c r="K1539" s="50"/>
      <c r="L1539" s="53" t="str">
        <f t="shared" ref="L1539:L1646" si="317">CONCATENATE(I1539,J1539)</f>
        <v>1kilos</v>
      </c>
      <c r="M1539" s="54">
        <f t="shared" ref="M1539:M1701" si="318">H1539*I1539</f>
        <v>4</v>
      </c>
      <c r="N1539" s="55" t="str">
        <f t="shared" ref="N1539:N1646" si="319">CONCATENATE(M1539,K1539,J1539)</f>
        <v>4kilos</v>
      </c>
      <c r="O1539" s="56">
        <f t="shared" ref="O1539:O1793" si="320">G1539*H1539</f>
        <v>600</v>
      </c>
      <c r="P1539" s="44">
        <f t="shared" si="316"/>
        <v>150</v>
      </c>
      <c r="Q1539" s="66"/>
      <c r="R1539" s="32" t="b">
        <f>P1539=G1539</f>
        <v>1</v>
      </c>
      <c r="S1539" s="32"/>
      <c r="T1539" s="32"/>
      <c r="U1539" s="32"/>
      <c r="V1539" s="32"/>
      <c r="W1539" s="32"/>
      <c r="X1539" s="32"/>
      <c r="Y1539" s="32"/>
      <c r="Z1539" s="32"/>
    </row>
    <row r="1540" spans="1:26" ht="15.75" customHeight="1" x14ac:dyDescent="0.3">
      <c r="A1540" s="45"/>
      <c r="B1540" s="96" t="s">
        <v>808</v>
      </c>
      <c r="C1540" s="194" t="s">
        <v>2023</v>
      </c>
      <c r="D1540" s="450"/>
      <c r="E1540" s="451"/>
      <c r="F1540" s="61" t="s">
        <v>31</v>
      </c>
      <c r="G1540" s="342">
        <v>160</v>
      </c>
      <c r="H1540" s="332">
        <v>16</v>
      </c>
      <c r="I1540" s="333">
        <v>1</v>
      </c>
      <c r="J1540" s="80" t="s">
        <v>213</v>
      </c>
      <c r="K1540" s="50"/>
      <c r="L1540" s="53" t="str">
        <f t="shared" si="317"/>
        <v>1kilos</v>
      </c>
      <c r="M1540" s="54">
        <f t="shared" si="318"/>
        <v>16</v>
      </c>
      <c r="N1540" s="55" t="str">
        <f t="shared" si="319"/>
        <v>16kilos</v>
      </c>
      <c r="O1540" s="56">
        <f t="shared" si="320"/>
        <v>2560</v>
      </c>
      <c r="P1540" s="12"/>
      <c r="Q1540" s="12"/>
      <c r="R1540" s="12"/>
      <c r="S1540" s="151"/>
      <c r="T1540" s="12"/>
      <c r="U1540" s="12"/>
      <c r="V1540" s="12"/>
      <c r="W1540" s="12"/>
      <c r="X1540" s="12"/>
      <c r="Y1540" s="12"/>
      <c r="Z1540" s="12"/>
    </row>
    <row r="1541" spans="1:26" ht="15.75" customHeight="1" x14ac:dyDescent="0.3">
      <c r="A1541" s="45">
        <v>190</v>
      </c>
      <c r="B1541" s="96" t="s">
        <v>809</v>
      </c>
      <c r="C1541" s="194" t="s">
        <v>2024</v>
      </c>
      <c r="D1541" s="96"/>
      <c r="E1541" s="96"/>
      <c r="F1541" s="61" t="s">
        <v>31</v>
      </c>
      <c r="G1541" s="342">
        <v>120</v>
      </c>
      <c r="H1541" s="332">
        <v>1</v>
      </c>
      <c r="I1541" s="333">
        <v>500</v>
      </c>
      <c r="J1541" s="80" t="s">
        <v>39</v>
      </c>
      <c r="K1541" s="50"/>
      <c r="L1541" s="53" t="str">
        <f t="shared" si="317"/>
        <v>500grams</v>
      </c>
      <c r="M1541" s="54">
        <f t="shared" si="318"/>
        <v>500</v>
      </c>
      <c r="N1541" s="55" t="str">
        <f t="shared" si="319"/>
        <v>500grams</v>
      </c>
      <c r="O1541" s="56">
        <f t="shared" si="320"/>
        <v>120</v>
      </c>
      <c r="P1541" s="44">
        <f>O1541/H1541</f>
        <v>120</v>
      </c>
      <c r="Q1541" s="66"/>
      <c r="R1541" s="32"/>
      <c r="S1541" s="32"/>
      <c r="T1541" s="32"/>
      <c r="U1541" s="32"/>
      <c r="V1541" s="32"/>
      <c r="W1541" s="32"/>
      <c r="X1541" s="32"/>
      <c r="Y1541" s="32"/>
      <c r="Z1541" s="32"/>
    </row>
    <row r="1542" spans="1:26" ht="15.75" customHeight="1" x14ac:dyDescent="0.3">
      <c r="A1542" s="45"/>
      <c r="B1542" s="96" t="s">
        <v>810</v>
      </c>
      <c r="C1542" s="194" t="s">
        <v>2022</v>
      </c>
      <c r="D1542" s="344"/>
      <c r="E1542" s="96" t="s">
        <v>867</v>
      </c>
      <c r="F1542" s="61" t="s">
        <v>31</v>
      </c>
      <c r="G1542" s="342">
        <v>12.36</v>
      </c>
      <c r="H1542" s="332">
        <v>32</v>
      </c>
      <c r="I1542" s="333">
        <v>1</v>
      </c>
      <c r="J1542" s="80" t="s">
        <v>304</v>
      </c>
      <c r="K1542" s="50"/>
      <c r="L1542" s="53" t="str">
        <f t="shared" si="317"/>
        <v>1packs</v>
      </c>
      <c r="M1542" s="54">
        <f t="shared" si="318"/>
        <v>32</v>
      </c>
      <c r="N1542" s="55" t="str">
        <f t="shared" si="319"/>
        <v>32packs</v>
      </c>
      <c r="O1542" s="56">
        <f t="shared" si="320"/>
        <v>395.52</v>
      </c>
      <c r="P1542" s="12"/>
      <c r="Q1542" s="12"/>
      <c r="R1542" s="12"/>
      <c r="S1542" s="151"/>
      <c r="T1542" s="12"/>
      <c r="U1542" s="12"/>
      <c r="V1542" s="12"/>
      <c r="W1542" s="12"/>
      <c r="X1542" s="12"/>
      <c r="Y1542" s="12"/>
      <c r="Z1542" s="12"/>
    </row>
    <row r="1543" spans="1:26" ht="15.75" customHeight="1" x14ac:dyDescent="0.3">
      <c r="A1543" s="45"/>
      <c r="B1543" s="340" t="s">
        <v>810</v>
      </c>
      <c r="C1543" s="194" t="s">
        <v>2020</v>
      </c>
      <c r="D1543" s="46"/>
      <c r="E1543" s="96" t="s">
        <v>1826</v>
      </c>
      <c r="F1543" s="61" t="s">
        <v>31</v>
      </c>
      <c r="G1543" s="342">
        <v>60</v>
      </c>
      <c r="H1543" s="332">
        <v>3</v>
      </c>
      <c r="I1543" s="333">
        <v>3</v>
      </c>
      <c r="J1543" s="80" t="s">
        <v>304</v>
      </c>
      <c r="K1543" s="50"/>
      <c r="L1543" s="53" t="str">
        <f t="shared" si="317"/>
        <v>3packs</v>
      </c>
      <c r="M1543" s="54">
        <f t="shared" si="318"/>
        <v>9</v>
      </c>
      <c r="N1543" s="55" t="str">
        <f t="shared" si="319"/>
        <v>9packs</v>
      </c>
      <c r="O1543" s="56">
        <f t="shared" si="320"/>
        <v>180</v>
      </c>
      <c r="P1543" s="12"/>
      <c r="Q1543" s="12"/>
      <c r="R1543" s="12"/>
      <c r="S1543" s="151"/>
      <c r="T1543" s="12"/>
      <c r="U1543" s="12"/>
      <c r="V1543" s="12"/>
      <c r="W1543" s="12"/>
      <c r="X1543" s="12"/>
      <c r="Y1543" s="12"/>
      <c r="Z1543" s="12"/>
    </row>
    <row r="1544" spans="1:26" ht="15.75" customHeight="1" x14ac:dyDescent="0.3">
      <c r="A1544" s="45"/>
      <c r="B1544" s="96" t="s">
        <v>810</v>
      </c>
      <c r="C1544" s="194" t="s">
        <v>2022</v>
      </c>
      <c r="D1544" s="96"/>
      <c r="E1544" s="96" t="s">
        <v>336</v>
      </c>
      <c r="F1544" s="61" t="s">
        <v>31</v>
      </c>
      <c r="G1544" s="342">
        <v>15.2</v>
      </c>
      <c r="H1544" s="332">
        <v>4</v>
      </c>
      <c r="I1544" s="333">
        <v>1</v>
      </c>
      <c r="J1544" s="80" t="s">
        <v>304</v>
      </c>
      <c r="K1544" s="50"/>
      <c r="L1544" s="53" t="str">
        <f t="shared" si="317"/>
        <v>1packs</v>
      </c>
      <c r="M1544" s="54">
        <f t="shared" si="318"/>
        <v>4</v>
      </c>
      <c r="N1544" s="55" t="str">
        <f t="shared" si="319"/>
        <v>4packs</v>
      </c>
      <c r="O1544" s="56">
        <f t="shared" si="320"/>
        <v>60.8</v>
      </c>
      <c r="P1544" s="12"/>
      <c r="Q1544" s="12"/>
      <c r="R1544" s="12"/>
      <c r="S1544" s="151"/>
      <c r="T1544" s="12"/>
      <c r="U1544" s="12"/>
      <c r="V1544" s="12"/>
      <c r="W1544" s="12"/>
      <c r="X1544" s="12"/>
      <c r="Y1544" s="12"/>
      <c r="Z1544" s="12"/>
    </row>
    <row r="1545" spans="1:26" ht="15.75" customHeight="1" x14ac:dyDescent="0.3">
      <c r="A1545" s="45"/>
      <c r="B1545" s="219" t="s">
        <v>1827</v>
      </c>
      <c r="C1545" s="194" t="s">
        <v>2021</v>
      </c>
      <c r="D1545" s="96"/>
      <c r="E1545" s="340"/>
      <c r="F1545" s="61" t="s">
        <v>31</v>
      </c>
      <c r="G1545" s="341">
        <v>100</v>
      </c>
      <c r="H1545" s="335">
        <v>1</v>
      </c>
      <c r="I1545" s="336">
        <v>1</v>
      </c>
      <c r="J1545" s="452" t="s">
        <v>304</v>
      </c>
      <c r="K1545" s="50"/>
      <c r="L1545" s="53" t="str">
        <f t="shared" si="317"/>
        <v>1packs</v>
      </c>
      <c r="M1545" s="54">
        <f t="shared" si="318"/>
        <v>1</v>
      </c>
      <c r="N1545" s="55" t="str">
        <f t="shared" si="319"/>
        <v>1packs</v>
      </c>
      <c r="O1545" s="56">
        <f t="shared" si="320"/>
        <v>100</v>
      </c>
      <c r="P1545" s="12"/>
      <c r="Q1545" s="12"/>
      <c r="R1545" s="12"/>
      <c r="S1545" s="151"/>
      <c r="T1545" s="12"/>
      <c r="U1545" s="12"/>
      <c r="V1545" s="12"/>
      <c r="W1545" s="12"/>
      <c r="X1545" s="12"/>
      <c r="Y1545" s="12"/>
      <c r="Z1545" s="12"/>
    </row>
    <row r="1546" spans="1:26" ht="15.75" customHeight="1" x14ac:dyDescent="0.3">
      <c r="A1546" s="45">
        <v>715</v>
      </c>
      <c r="B1546" s="96" t="s">
        <v>1828</v>
      </c>
      <c r="C1546" s="194" t="s">
        <v>2026</v>
      </c>
      <c r="D1546" s="96"/>
      <c r="E1546" s="96" t="s">
        <v>1368</v>
      </c>
      <c r="F1546" s="61" t="s">
        <v>31</v>
      </c>
      <c r="G1546" s="342">
        <v>75</v>
      </c>
      <c r="H1546" s="332">
        <v>2</v>
      </c>
      <c r="I1546" s="333">
        <v>225</v>
      </c>
      <c r="J1546" s="80" t="s">
        <v>39</v>
      </c>
      <c r="K1546" s="50"/>
      <c r="L1546" s="53" t="str">
        <f t="shared" si="317"/>
        <v>225grams</v>
      </c>
      <c r="M1546" s="54">
        <f t="shared" si="318"/>
        <v>450</v>
      </c>
      <c r="N1546" s="55" t="str">
        <f t="shared" si="319"/>
        <v>450grams</v>
      </c>
      <c r="O1546" s="56">
        <f t="shared" si="320"/>
        <v>150</v>
      </c>
      <c r="P1546" s="44">
        <f t="shared" ref="P1546:P1551" si="321">O1546/H1546</f>
        <v>75</v>
      </c>
      <c r="Q1546" s="66"/>
      <c r="R1546" s="32"/>
      <c r="S1546" s="32"/>
      <c r="T1546" s="32"/>
      <c r="U1546" s="32"/>
      <c r="V1546" s="32"/>
      <c r="W1546" s="32"/>
      <c r="X1546" s="32"/>
      <c r="Y1546" s="32"/>
      <c r="Z1546" s="32"/>
    </row>
    <row r="1547" spans="1:26" ht="15.75" customHeight="1" x14ac:dyDescent="0.3">
      <c r="A1547" s="45">
        <v>28</v>
      </c>
      <c r="B1547" s="344" t="s">
        <v>1829</v>
      </c>
      <c r="C1547" s="194" t="s">
        <v>29</v>
      </c>
      <c r="D1547" s="96"/>
      <c r="E1547" s="344" t="s">
        <v>1368</v>
      </c>
      <c r="F1547" s="61" t="s">
        <v>31</v>
      </c>
      <c r="G1547" s="345">
        <v>126.9</v>
      </c>
      <c r="H1547" s="346">
        <v>1</v>
      </c>
      <c r="I1547" s="338">
        <v>450</v>
      </c>
      <c r="J1547" s="80" t="s">
        <v>39</v>
      </c>
      <c r="K1547" s="61" t="s">
        <v>2019</v>
      </c>
      <c r="L1547" s="415" t="str">
        <f t="shared" si="317"/>
        <v>450grams</v>
      </c>
      <c r="M1547" s="416">
        <f t="shared" si="318"/>
        <v>450</v>
      </c>
      <c r="N1547" s="417" t="str">
        <f t="shared" si="319"/>
        <v>450grams</v>
      </c>
      <c r="O1547" s="418">
        <f t="shared" si="320"/>
        <v>126.9</v>
      </c>
      <c r="P1547" s="419">
        <f t="shared" si="321"/>
        <v>126.9</v>
      </c>
      <c r="Q1547" s="66"/>
      <c r="R1547" s="32" t="b">
        <f>P1547=G1547</f>
        <v>1</v>
      </c>
      <c r="S1547" s="32"/>
      <c r="T1547" s="32"/>
      <c r="U1547" s="32"/>
      <c r="V1547" s="32"/>
      <c r="W1547" s="32"/>
      <c r="X1547" s="32"/>
      <c r="Y1547" s="32"/>
      <c r="Z1547" s="32"/>
    </row>
    <row r="1548" spans="1:26" ht="15.75" customHeight="1" x14ac:dyDescent="0.3">
      <c r="A1548" s="45">
        <v>188</v>
      </c>
      <c r="B1548" s="46" t="s">
        <v>1829</v>
      </c>
      <c r="C1548" s="194" t="s">
        <v>2024</v>
      </c>
      <c r="D1548" s="96"/>
      <c r="E1548" s="46" t="s">
        <v>1830</v>
      </c>
      <c r="F1548" s="61" t="s">
        <v>31</v>
      </c>
      <c r="G1548" s="288">
        <v>240</v>
      </c>
      <c r="H1548" s="289">
        <v>1</v>
      </c>
      <c r="I1548" s="290">
        <v>1</v>
      </c>
      <c r="J1548" s="80" t="s">
        <v>213</v>
      </c>
      <c r="K1548" s="50"/>
      <c r="L1548" s="53" t="str">
        <f t="shared" si="317"/>
        <v>1kilos</v>
      </c>
      <c r="M1548" s="54">
        <f t="shared" si="318"/>
        <v>1</v>
      </c>
      <c r="N1548" s="55" t="str">
        <f t="shared" si="319"/>
        <v>1kilos</v>
      </c>
      <c r="O1548" s="56">
        <f t="shared" si="320"/>
        <v>240</v>
      </c>
      <c r="P1548" s="44">
        <f t="shared" si="321"/>
        <v>240</v>
      </c>
      <c r="Q1548" s="66"/>
      <c r="R1548" s="32"/>
      <c r="S1548" s="32"/>
      <c r="T1548" s="32"/>
      <c r="U1548" s="32"/>
      <c r="V1548" s="32"/>
      <c r="W1548" s="32"/>
      <c r="X1548" s="32"/>
      <c r="Y1548" s="32"/>
      <c r="Z1548" s="32"/>
    </row>
    <row r="1549" spans="1:26" ht="15.75" customHeight="1" x14ac:dyDescent="0.3">
      <c r="A1549" s="45">
        <v>719</v>
      </c>
      <c r="B1549" s="46" t="s">
        <v>1829</v>
      </c>
      <c r="C1549" s="194" t="s">
        <v>2026</v>
      </c>
      <c r="D1549" s="96"/>
      <c r="E1549" s="46" t="s">
        <v>1368</v>
      </c>
      <c r="F1549" s="61" t="s">
        <v>31</v>
      </c>
      <c r="G1549" s="288">
        <v>125</v>
      </c>
      <c r="H1549" s="289">
        <v>2</v>
      </c>
      <c r="I1549" s="290">
        <v>225</v>
      </c>
      <c r="J1549" s="80" t="s">
        <v>39</v>
      </c>
      <c r="K1549" s="50"/>
      <c r="L1549" s="53" t="str">
        <f t="shared" si="317"/>
        <v>225grams</v>
      </c>
      <c r="M1549" s="54">
        <f t="shared" si="318"/>
        <v>450</v>
      </c>
      <c r="N1549" s="55" t="str">
        <f t="shared" si="319"/>
        <v>450grams</v>
      </c>
      <c r="O1549" s="56">
        <f t="shared" si="320"/>
        <v>250</v>
      </c>
      <c r="P1549" s="44">
        <f t="shared" si="321"/>
        <v>125</v>
      </c>
      <c r="Q1549" s="66"/>
      <c r="R1549" s="32"/>
      <c r="S1549" s="32"/>
      <c r="T1549" s="32"/>
      <c r="U1549" s="32"/>
      <c r="V1549" s="32"/>
      <c r="W1549" s="32"/>
      <c r="X1549" s="32"/>
      <c r="Y1549" s="32"/>
      <c r="Z1549" s="32"/>
    </row>
    <row r="1550" spans="1:26" ht="15.75" customHeight="1" x14ac:dyDescent="0.3">
      <c r="A1550" s="45">
        <v>720</v>
      </c>
      <c r="B1550" s="46" t="s">
        <v>1829</v>
      </c>
      <c r="C1550" s="194" t="s">
        <v>2026</v>
      </c>
      <c r="D1550" s="96"/>
      <c r="E1550" s="46" t="s">
        <v>1368</v>
      </c>
      <c r="F1550" s="61" t="s">
        <v>31</v>
      </c>
      <c r="G1550" s="288">
        <v>125</v>
      </c>
      <c r="H1550" s="289">
        <v>2</v>
      </c>
      <c r="I1550" s="290">
        <v>450</v>
      </c>
      <c r="J1550" s="80" t="s">
        <v>39</v>
      </c>
      <c r="K1550" s="50" t="s">
        <v>2019</v>
      </c>
      <c r="L1550" s="53" t="str">
        <f t="shared" si="317"/>
        <v>450grams</v>
      </c>
      <c r="M1550" s="54">
        <f t="shared" si="318"/>
        <v>900</v>
      </c>
      <c r="N1550" s="55" t="str">
        <f t="shared" si="319"/>
        <v>900grams</v>
      </c>
      <c r="O1550" s="56">
        <f t="shared" si="320"/>
        <v>250</v>
      </c>
      <c r="P1550" s="44">
        <f t="shared" si="321"/>
        <v>125</v>
      </c>
      <c r="Q1550" s="44">
        <f>G1550-P1550</f>
        <v>0</v>
      </c>
      <c r="R1550" s="32" t="b">
        <f>P1550=G1550</f>
        <v>1</v>
      </c>
      <c r="S1550" s="32"/>
      <c r="T1550" s="32"/>
      <c r="U1550" s="32"/>
      <c r="V1550" s="32"/>
      <c r="W1550" s="32"/>
      <c r="X1550" s="32"/>
      <c r="Y1550" s="32"/>
      <c r="Z1550" s="32"/>
    </row>
    <row r="1551" spans="1:26" ht="15.75" customHeight="1" x14ac:dyDescent="0.3">
      <c r="A1551" s="45">
        <v>853</v>
      </c>
      <c r="B1551" s="46" t="s">
        <v>1829</v>
      </c>
      <c r="C1551" s="194" t="s">
        <v>1368</v>
      </c>
      <c r="D1551" s="96"/>
      <c r="E1551" s="46" t="s">
        <v>1368</v>
      </c>
      <c r="F1551" s="61" t="s">
        <v>31</v>
      </c>
      <c r="G1551" s="288">
        <v>96.25</v>
      </c>
      <c r="H1551" s="289">
        <v>3</v>
      </c>
      <c r="I1551" s="290">
        <v>225</v>
      </c>
      <c r="J1551" s="80" t="s">
        <v>39</v>
      </c>
      <c r="K1551" s="50"/>
      <c r="L1551" s="53" t="str">
        <f t="shared" si="317"/>
        <v>225grams</v>
      </c>
      <c r="M1551" s="54">
        <f t="shared" si="318"/>
        <v>675</v>
      </c>
      <c r="N1551" s="55" t="str">
        <f t="shared" si="319"/>
        <v>675grams</v>
      </c>
      <c r="O1551" s="56">
        <f t="shared" si="320"/>
        <v>288.75</v>
      </c>
      <c r="P1551" s="44">
        <f t="shared" si="321"/>
        <v>96.25</v>
      </c>
      <c r="Q1551" s="66"/>
      <c r="R1551" s="32"/>
      <c r="S1551" s="32"/>
      <c r="T1551" s="32"/>
      <c r="U1551" s="32"/>
      <c r="V1551" s="32"/>
      <c r="W1551" s="32"/>
      <c r="X1551" s="32"/>
      <c r="Y1551" s="32"/>
      <c r="Z1551" s="32"/>
    </row>
    <row r="1552" spans="1:26" ht="15.75" customHeight="1" x14ac:dyDescent="0.3">
      <c r="A1552" s="45"/>
      <c r="B1552" s="46" t="s">
        <v>1829</v>
      </c>
      <c r="C1552" s="194" t="s">
        <v>2023</v>
      </c>
      <c r="D1552" s="96"/>
      <c r="E1552" s="46" t="s">
        <v>1368</v>
      </c>
      <c r="F1552" s="61" t="s">
        <v>31</v>
      </c>
      <c r="G1552" s="288">
        <v>126.9</v>
      </c>
      <c r="H1552" s="289">
        <v>12</v>
      </c>
      <c r="I1552" s="333">
        <v>450</v>
      </c>
      <c r="J1552" s="48" t="s">
        <v>39</v>
      </c>
      <c r="K1552" s="50"/>
      <c r="L1552" s="53" t="str">
        <f t="shared" si="317"/>
        <v>450grams</v>
      </c>
      <c r="M1552" s="54">
        <f t="shared" si="318"/>
        <v>5400</v>
      </c>
      <c r="N1552" s="55" t="str">
        <f t="shared" si="319"/>
        <v>5400grams</v>
      </c>
      <c r="O1552" s="56">
        <f t="shared" si="320"/>
        <v>1522.8000000000002</v>
      </c>
      <c r="P1552" s="12"/>
      <c r="Q1552" s="12"/>
      <c r="R1552" s="12"/>
      <c r="S1552" s="151"/>
      <c r="T1552" s="12"/>
      <c r="U1552" s="12"/>
      <c r="V1552" s="12"/>
      <c r="W1552" s="12"/>
      <c r="X1552" s="12"/>
      <c r="Y1552" s="12"/>
      <c r="Z1552" s="12"/>
    </row>
    <row r="1553" spans="1:26" ht="15.75" customHeight="1" x14ac:dyDescent="0.3">
      <c r="A1553" s="45">
        <v>497</v>
      </c>
      <c r="B1553" s="46" t="s">
        <v>1831</v>
      </c>
      <c r="C1553" s="194" t="s">
        <v>2025</v>
      </c>
      <c r="D1553" s="96"/>
      <c r="E1553" s="46"/>
      <c r="F1553" s="61" t="s">
        <v>31</v>
      </c>
      <c r="G1553" s="342">
        <v>45</v>
      </c>
      <c r="H1553" s="332">
        <v>8</v>
      </c>
      <c r="I1553" s="333">
        <v>1</v>
      </c>
      <c r="J1553" s="447" t="s">
        <v>92</v>
      </c>
      <c r="K1553" s="50"/>
      <c r="L1553" s="53" t="str">
        <f t="shared" si="317"/>
        <v>1pieces</v>
      </c>
      <c r="M1553" s="54">
        <f t="shared" si="318"/>
        <v>8</v>
      </c>
      <c r="N1553" s="55" t="str">
        <f t="shared" si="319"/>
        <v>8pieces</v>
      </c>
      <c r="O1553" s="56">
        <f t="shared" si="320"/>
        <v>360</v>
      </c>
      <c r="P1553" s="44">
        <f>O1553/H1553</f>
        <v>45</v>
      </c>
      <c r="Q1553" s="66"/>
      <c r="R1553" s="32" t="b">
        <f>P1553=G1553</f>
        <v>1</v>
      </c>
      <c r="S1553" s="32"/>
      <c r="T1553" s="32"/>
      <c r="U1553" s="32"/>
      <c r="V1553" s="32"/>
      <c r="W1553" s="32"/>
      <c r="X1553" s="32"/>
      <c r="Y1553" s="32"/>
      <c r="Z1553" s="32"/>
    </row>
    <row r="1554" spans="1:26" ht="15.75" customHeight="1" x14ac:dyDescent="0.3">
      <c r="A1554" s="45"/>
      <c r="B1554" s="46" t="s">
        <v>1831</v>
      </c>
      <c r="C1554" s="194" t="s">
        <v>2023</v>
      </c>
      <c r="D1554" s="96"/>
      <c r="E1554" s="46" t="s">
        <v>1832</v>
      </c>
      <c r="F1554" s="61" t="s">
        <v>31</v>
      </c>
      <c r="G1554" s="342">
        <v>50</v>
      </c>
      <c r="H1554" s="332">
        <v>1</v>
      </c>
      <c r="I1554" s="333">
        <v>500</v>
      </c>
      <c r="J1554" s="447" t="s">
        <v>39</v>
      </c>
      <c r="K1554" s="50"/>
      <c r="L1554" s="53" t="str">
        <f t="shared" si="317"/>
        <v>500grams</v>
      </c>
      <c r="M1554" s="54">
        <f t="shared" si="318"/>
        <v>500</v>
      </c>
      <c r="N1554" s="55" t="str">
        <f t="shared" si="319"/>
        <v>500grams</v>
      </c>
      <c r="O1554" s="56">
        <f t="shared" si="320"/>
        <v>50</v>
      </c>
      <c r="P1554" s="44"/>
      <c r="Q1554" s="12"/>
      <c r="R1554" s="12"/>
      <c r="S1554" s="151"/>
      <c r="T1554" s="12"/>
      <c r="U1554" s="12"/>
      <c r="V1554" s="12"/>
      <c r="W1554" s="12"/>
      <c r="X1554" s="12"/>
      <c r="Y1554" s="12"/>
      <c r="Z1554" s="12"/>
    </row>
    <row r="1555" spans="1:26" ht="15.75" customHeight="1" x14ac:dyDescent="0.3">
      <c r="A1555" s="45">
        <v>496</v>
      </c>
      <c r="B1555" s="46" t="s">
        <v>1833</v>
      </c>
      <c r="C1555" s="194" t="s">
        <v>2025</v>
      </c>
      <c r="D1555" s="46"/>
      <c r="E1555" s="46"/>
      <c r="F1555" s="61" t="s">
        <v>31</v>
      </c>
      <c r="G1555" s="342">
        <v>40</v>
      </c>
      <c r="H1555" s="332">
        <v>1</v>
      </c>
      <c r="I1555" s="333">
        <v>1</v>
      </c>
      <c r="J1555" s="447" t="s">
        <v>213</v>
      </c>
      <c r="K1555" s="50"/>
      <c r="L1555" s="53" t="str">
        <f t="shared" si="317"/>
        <v>1kilos</v>
      </c>
      <c r="M1555" s="54">
        <f t="shared" si="318"/>
        <v>1</v>
      </c>
      <c r="N1555" s="55" t="str">
        <f t="shared" si="319"/>
        <v>1kilos</v>
      </c>
      <c r="O1555" s="56">
        <f t="shared" si="320"/>
        <v>40</v>
      </c>
      <c r="P1555" s="44">
        <f t="shared" ref="P1555:P1556" si="322">O1555/H1555</f>
        <v>40</v>
      </c>
      <c r="Q1555" s="66"/>
      <c r="R1555" s="32"/>
      <c r="S1555" s="32"/>
      <c r="T1555" s="32"/>
      <c r="U1555" s="32"/>
      <c r="V1555" s="32"/>
      <c r="W1555" s="32"/>
      <c r="X1555" s="32"/>
      <c r="Y1555" s="32"/>
      <c r="Z1555" s="32"/>
    </row>
    <row r="1556" spans="1:26" ht="15.75" customHeight="1" x14ac:dyDescent="0.3">
      <c r="A1556" s="45">
        <v>675</v>
      </c>
      <c r="B1556" s="46" t="s">
        <v>1834</v>
      </c>
      <c r="C1556" s="194" t="s">
        <v>2026</v>
      </c>
      <c r="D1556" s="46"/>
      <c r="E1556" s="46"/>
      <c r="F1556" s="61" t="s">
        <v>31</v>
      </c>
      <c r="G1556" s="342">
        <v>180</v>
      </c>
      <c r="H1556" s="332">
        <v>5</v>
      </c>
      <c r="I1556" s="333">
        <v>1000</v>
      </c>
      <c r="J1556" s="447" t="s">
        <v>39</v>
      </c>
      <c r="K1556" s="50"/>
      <c r="L1556" s="53" t="str">
        <f t="shared" si="317"/>
        <v>1000grams</v>
      </c>
      <c r="M1556" s="54">
        <f t="shared" si="318"/>
        <v>5000</v>
      </c>
      <c r="N1556" s="55" t="str">
        <f t="shared" si="319"/>
        <v>5000grams</v>
      </c>
      <c r="O1556" s="56">
        <f t="shared" si="320"/>
        <v>900</v>
      </c>
      <c r="P1556" s="44">
        <f t="shared" si="322"/>
        <v>180</v>
      </c>
      <c r="Q1556" s="66"/>
      <c r="R1556" s="32"/>
      <c r="S1556" s="32"/>
      <c r="T1556" s="32"/>
      <c r="U1556" s="32"/>
      <c r="V1556" s="32"/>
      <c r="W1556" s="32"/>
      <c r="X1556" s="32"/>
      <c r="Y1556" s="32"/>
      <c r="Z1556" s="32"/>
    </row>
    <row r="1557" spans="1:26" ht="15.75" customHeight="1" x14ac:dyDescent="0.3">
      <c r="A1557" s="45"/>
      <c r="B1557" s="219" t="s">
        <v>1835</v>
      </c>
      <c r="C1557" s="194" t="s">
        <v>2023</v>
      </c>
      <c r="D1557" s="46"/>
      <c r="E1557" s="219" t="s">
        <v>1184</v>
      </c>
      <c r="F1557" s="61" t="s">
        <v>31</v>
      </c>
      <c r="G1557" s="341">
        <v>3.45</v>
      </c>
      <c r="H1557" s="335">
        <v>87</v>
      </c>
      <c r="I1557" s="336">
        <v>25</v>
      </c>
      <c r="J1557" s="414" t="s">
        <v>39</v>
      </c>
      <c r="K1557" s="50"/>
      <c r="L1557" s="53" t="str">
        <f t="shared" si="317"/>
        <v>25grams</v>
      </c>
      <c r="M1557" s="54">
        <f t="shared" si="318"/>
        <v>2175</v>
      </c>
      <c r="N1557" s="55" t="str">
        <f t="shared" si="319"/>
        <v>2175grams</v>
      </c>
      <c r="O1557" s="56">
        <f t="shared" si="320"/>
        <v>300.15000000000003</v>
      </c>
      <c r="P1557" s="12"/>
      <c r="Q1557" s="12"/>
      <c r="R1557" s="12"/>
      <c r="S1557" s="151"/>
      <c r="T1557" s="12"/>
      <c r="U1557" s="12"/>
      <c r="V1557" s="12"/>
      <c r="W1557" s="12"/>
      <c r="X1557" s="12"/>
      <c r="Y1557" s="12"/>
      <c r="Z1557" s="12"/>
    </row>
    <row r="1558" spans="1:26" ht="15.75" customHeight="1" x14ac:dyDescent="0.3">
      <c r="A1558" s="45">
        <v>53</v>
      </c>
      <c r="B1558" s="46" t="s">
        <v>288</v>
      </c>
      <c r="C1558" s="194" t="s">
        <v>29</v>
      </c>
      <c r="D1558" s="46"/>
      <c r="E1558" s="46" t="s">
        <v>1241</v>
      </c>
      <c r="F1558" s="61" t="s">
        <v>31</v>
      </c>
      <c r="G1558" s="342">
        <v>31.2</v>
      </c>
      <c r="H1558" s="332">
        <v>7</v>
      </c>
      <c r="I1558" s="333">
        <v>150</v>
      </c>
      <c r="J1558" s="48" t="s">
        <v>39</v>
      </c>
      <c r="K1558" s="61" t="s">
        <v>2019</v>
      </c>
      <c r="L1558" s="415" t="str">
        <f t="shared" si="317"/>
        <v>150grams</v>
      </c>
      <c r="M1558" s="416">
        <f t="shared" si="318"/>
        <v>1050</v>
      </c>
      <c r="N1558" s="417" t="str">
        <f t="shared" si="319"/>
        <v>1050grams</v>
      </c>
      <c r="O1558" s="418">
        <f t="shared" si="320"/>
        <v>218.4</v>
      </c>
      <c r="P1558" s="419">
        <f t="shared" ref="P1558:P1560" si="323">O1558/H1558</f>
        <v>31.2</v>
      </c>
      <c r="Q1558" s="66"/>
      <c r="R1558" s="32" t="b">
        <f t="shared" ref="R1558:R1560" si="324">P1558=G1558</f>
        <v>1</v>
      </c>
      <c r="S1558" s="32"/>
      <c r="T1558" s="32"/>
      <c r="U1558" s="32"/>
      <c r="V1558" s="32"/>
      <c r="W1558" s="32"/>
      <c r="X1558" s="32"/>
      <c r="Y1558" s="32"/>
      <c r="Z1558" s="32"/>
    </row>
    <row r="1559" spans="1:26" ht="15.75" customHeight="1" x14ac:dyDescent="0.3">
      <c r="A1559" s="45">
        <v>94</v>
      </c>
      <c r="B1559" s="46" t="s">
        <v>288</v>
      </c>
      <c r="C1559" s="194" t="s">
        <v>2024</v>
      </c>
      <c r="D1559" s="46"/>
      <c r="E1559" s="96" t="s">
        <v>1241</v>
      </c>
      <c r="F1559" s="61" t="s">
        <v>31</v>
      </c>
      <c r="G1559" s="342">
        <v>18.190000000000001</v>
      </c>
      <c r="H1559" s="332">
        <v>62</v>
      </c>
      <c r="I1559" s="333">
        <v>70</v>
      </c>
      <c r="J1559" s="447" t="s">
        <v>39</v>
      </c>
      <c r="K1559" s="50" t="s">
        <v>2019</v>
      </c>
      <c r="L1559" s="53" t="str">
        <f t="shared" si="317"/>
        <v>70grams</v>
      </c>
      <c r="M1559" s="54">
        <f t="shared" si="318"/>
        <v>4340</v>
      </c>
      <c r="N1559" s="55" t="str">
        <f t="shared" si="319"/>
        <v>4340grams</v>
      </c>
      <c r="O1559" s="56">
        <f t="shared" si="320"/>
        <v>1127.78</v>
      </c>
      <c r="P1559" s="44">
        <f t="shared" si="323"/>
        <v>18.190000000000001</v>
      </c>
      <c r="Q1559" s="66">
        <f>G1559-P1559</f>
        <v>0</v>
      </c>
      <c r="R1559" s="32" t="b">
        <f t="shared" si="324"/>
        <v>1</v>
      </c>
      <c r="S1559" s="32"/>
      <c r="T1559" s="32"/>
      <c r="U1559" s="32"/>
      <c r="V1559" s="32"/>
      <c r="W1559" s="32"/>
      <c r="X1559" s="32"/>
      <c r="Y1559" s="32"/>
      <c r="Z1559" s="32"/>
    </row>
    <row r="1560" spans="1:26" ht="15.75" customHeight="1" x14ac:dyDescent="0.3">
      <c r="A1560" s="45">
        <v>749</v>
      </c>
      <c r="B1560" s="46" t="s">
        <v>288</v>
      </c>
      <c r="C1560" s="194" t="s">
        <v>2026</v>
      </c>
      <c r="D1560" s="46"/>
      <c r="E1560" s="96" t="s">
        <v>1241</v>
      </c>
      <c r="F1560" s="61" t="s">
        <v>31</v>
      </c>
      <c r="G1560" s="342">
        <v>31.2</v>
      </c>
      <c r="H1560" s="332">
        <v>15</v>
      </c>
      <c r="I1560" s="333">
        <v>150</v>
      </c>
      <c r="J1560" s="447" t="s">
        <v>39</v>
      </c>
      <c r="K1560" s="50"/>
      <c r="L1560" s="53" t="str">
        <f t="shared" si="317"/>
        <v>150grams</v>
      </c>
      <c r="M1560" s="54">
        <f t="shared" si="318"/>
        <v>2250</v>
      </c>
      <c r="N1560" s="55" t="str">
        <f t="shared" si="319"/>
        <v>2250grams</v>
      </c>
      <c r="O1560" s="56">
        <f t="shared" si="320"/>
        <v>468</v>
      </c>
      <c r="P1560" s="44">
        <f t="shared" si="323"/>
        <v>31.2</v>
      </c>
      <c r="Q1560" s="66"/>
      <c r="R1560" s="32" t="b">
        <f t="shared" si="324"/>
        <v>1</v>
      </c>
      <c r="S1560" s="32"/>
      <c r="T1560" s="32"/>
      <c r="U1560" s="32"/>
      <c r="V1560" s="32"/>
      <c r="W1560" s="32"/>
      <c r="X1560" s="32"/>
      <c r="Y1560" s="32"/>
      <c r="Z1560" s="32"/>
    </row>
    <row r="1561" spans="1:26" ht="15.75" customHeight="1" x14ac:dyDescent="0.3">
      <c r="A1561" s="45"/>
      <c r="B1561" s="46" t="s">
        <v>288</v>
      </c>
      <c r="C1561" s="194" t="s">
        <v>2022</v>
      </c>
      <c r="D1561" s="46"/>
      <c r="E1561" s="96" t="s">
        <v>1241</v>
      </c>
      <c r="F1561" s="61" t="s">
        <v>31</v>
      </c>
      <c r="G1561" s="342">
        <v>32</v>
      </c>
      <c r="H1561" s="332">
        <v>11</v>
      </c>
      <c r="I1561" s="333">
        <v>150</v>
      </c>
      <c r="J1561" s="447" t="s">
        <v>39</v>
      </c>
      <c r="K1561" s="50"/>
      <c r="L1561" s="53" t="str">
        <f t="shared" si="317"/>
        <v>150grams</v>
      </c>
      <c r="M1561" s="54">
        <f t="shared" si="318"/>
        <v>1650</v>
      </c>
      <c r="N1561" s="55" t="str">
        <f t="shared" si="319"/>
        <v>1650grams</v>
      </c>
      <c r="O1561" s="56">
        <f t="shared" si="320"/>
        <v>352</v>
      </c>
      <c r="P1561" s="12"/>
      <c r="Q1561" s="12"/>
      <c r="R1561" s="12"/>
      <c r="S1561" s="151"/>
      <c r="T1561" s="12"/>
      <c r="U1561" s="12"/>
      <c r="V1561" s="12"/>
      <c r="W1561" s="12"/>
      <c r="X1561" s="12"/>
      <c r="Y1561" s="12"/>
      <c r="Z1561" s="12"/>
    </row>
    <row r="1562" spans="1:26" ht="15.75" customHeight="1" x14ac:dyDescent="0.3">
      <c r="A1562" s="45"/>
      <c r="B1562" s="219" t="s">
        <v>288</v>
      </c>
      <c r="C1562" s="194" t="s">
        <v>2021</v>
      </c>
      <c r="D1562" s="46"/>
      <c r="E1562" s="96" t="s">
        <v>1241</v>
      </c>
      <c r="F1562" s="61" t="s">
        <v>31</v>
      </c>
      <c r="G1562" s="341">
        <v>33</v>
      </c>
      <c r="H1562" s="335">
        <v>2</v>
      </c>
      <c r="I1562" s="336">
        <v>150</v>
      </c>
      <c r="J1562" s="448" t="s">
        <v>39</v>
      </c>
      <c r="K1562" s="50"/>
      <c r="L1562" s="53" t="str">
        <f t="shared" si="317"/>
        <v>150grams</v>
      </c>
      <c r="M1562" s="54">
        <f t="shared" si="318"/>
        <v>300</v>
      </c>
      <c r="N1562" s="55" t="str">
        <f t="shared" si="319"/>
        <v>300grams</v>
      </c>
      <c r="O1562" s="56">
        <f t="shared" si="320"/>
        <v>66</v>
      </c>
      <c r="P1562" s="12"/>
      <c r="Q1562" s="12"/>
      <c r="R1562" s="12"/>
      <c r="S1562" s="151"/>
      <c r="T1562" s="12"/>
      <c r="U1562" s="12"/>
      <c r="V1562" s="12"/>
      <c r="W1562" s="12"/>
      <c r="X1562" s="12"/>
      <c r="Y1562" s="12"/>
      <c r="Z1562" s="12"/>
    </row>
    <row r="1563" spans="1:26" ht="15.75" customHeight="1" x14ac:dyDescent="0.3">
      <c r="A1563" s="45"/>
      <c r="B1563" s="46" t="s">
        <v>288</v>
      </c>
      <c r="C1563" s="194" t="s">
        <v>2020</v>
      </c>
      <c r="D1563" s="46"/>
      <c r="E1563" s="264" t="s">
        <v>1241</v>
      </c>
      <c r="F1563" s="61" t="s">
        <v>31</v>
      </c>
      <c r="G1563" s="342">
        <v>31.2</v>
      </c>
      <c r="H1563" s="332">
        <v>3</v>
      </c>
      <c r="I1563" s="333">
        <v>150</v>
      </c>
      <c r="J1563" s="80" t="s">
        <v>39</v>
      </c>
      <c r="K1563" s="50"/>
      <c r="L1563" s="53" t="str">
        <f t="shared" si="317"/>
        <v>150grams</v>
      </c>
      <c r="M1563" s="54">
        <f t="shared" si="318"/>
        <v>450</v>
      </c>
      <c r="N1563" s="55" t="str">
        <f t="shared" si="319"/>
        <v>450grams</v>
      </c>
      <c r="O1563" s="56">
        <f t="shared" si="320"/>
        <v>93.6</v>
      </c>
      <c r="P1563" s="12"/>
      <c r="Q1563" s="12"/>
      <c r="R1563" s="12"/>
      <c r="S1563" s="151"/>
      <c r="T1563" s="12"/>
      <c r="U1563" s="12"/>
      <c r="V1563" s="12"/>
      <c r="W1563" s="12"/>
      <c r="X1563" s="12"/>
      <c r="Y1563" s="12"/>
      <c r="Z1563" s="12"/>
    </row>
    <row r="1564" spans="1:26" ht="15.75" customHeight="1" x14ac:dyDescent="0.3">
      <c r="A1564" s="45">
        <v>54</v>
      </c>
      <c r="B1564" s="46" t="s">
        <v>290</v>
      </c>
      <c r="C1564" s="194" t="s">
        <v>29</v>
      </c>
      <c r="D1564" s="46"/>
      <c r="E1564" s="46" t="s">
        <v>1069</v>
      </c>
      <c r="F1564" s="61" t="s">
        <v>31</v>
      </c>
      <c r="G1564" s="342">
        <v>135</v>
      </c>
      <c r="H1564" s="332">
        <v>3</v>
      </c>
      <c r="I1564" s="333">
        <v>3500</v>
      </c>
      <c r="J1564" s="80" t="s">
        <v>32</v>
      </c>
      <c r="K1564" s="61" t="s">
        <v>2019</v>
      </c>
      <c r="L1564" s="415" t="str">
        <f t="shared" si="317"/>
        <v>3500ml</v>
      </c>
      <c r="M1564" s="416">
        <f t="shared" si="318"/>
        <v>10500</v>
      </c>
      <c r="N1564" s="417" t="str">
        <f t="shared" si="319"/>
        <v>10500ml</v>
      </c>
      <c r="O1564" s="418">
        <f t="shared" si="320"/>
        <v>405</v>
      </c>
      <c r="P1564" s="419">
        <f t="shared" ref="P1564:P1567" si="325">O1564/H1564</f>
        <v>135</v>
      </c>
      <c r="Q1564" s="66"/>
      <c r="R1564" s="32"/>
      <c r="S1564" s="32"/>
      <c r="T1564" s="32"/>
      <c r="U1564" s="32"/>
      <c r="V1564" s="32"/>
      <c r="W1564" s="32"/>
      <c r="X1564" s="32"/>
      <c r="Y1564" s="32"/>
      <c r="Z1564" s="32"/>
    </row>
    <row r="1565" spans="1:26" ht="15.75" customHeight="1" x14ac:dyDescent="0.3">
      <c r="A1565" s="45">
        <v>133</v>
      </c>
      <c r="B1565" s="46" t="s">
        <v>290</v>
      </c>
      <c r="C1565" s="194" t="s">
        <v>2024</v>
      </c>
      <c r="D1565" s="46"/>
      <c r="E1565" s="46" t="s">
        <v>1069</v>
      </c>
      <c r="F1565" s="61" t="s">
        <v>31</v>
      </c>
      <c r="G1565" s="342">
        <v>135</v>
      </c>
      <c r="H1565" s="332">
        <v>11</v>
      </c>
      <c r="I1565" s="333">
        <v>3500</v>
      </c>
      <c r="J1565" s="80" t="s">
        <v>32</v>
      </c>
      <c r="K1565" s="50"/>
      <c r="L1565" s="53" t="str">
        <f t="shared" si="317"/>
        <v>3500ml</v>
      </c>
      <c r="M1565" s="54">
        <f t="shared" si="318"/>
        <v>38500</v>
      </c>
      <c r="N1565" s="55" t="str">
        <f t="shared" si="319"/>
        <v>38500ml</v>
      </c>
      <c r="O1565" s="56">
        <f t="shared" si="320"/>
        <v>1485</v>
      </c>
      <c r="P1565" s="44">
        <f t="shared" si="325"/>
        <v>135</v>
      </c>
      <c r="Q1565" s="66"/>
      <c r="R1565" s="32" t="b">
        <f t="shared" ref="R1565:R1566" si="326">P1565=G1565</f>
        <v>1</v>
      </c>
      <c r="S1565" s="32"/>
      <c r="T1565" s="32"/>
      <c r="U1565" s="32"/>
      <c r="V1565" s="32"/>
      <c r="W1565" s="32"/>
      <c r="X1565" s="32"/>
      <c r="Y1565" s="32"/>
      <c r="Z1565" s="32"/>
    </row>
    <row r="1566" spans="1:26" ht="15.75" customHeight="1" x14ac:dyDescent="0.3">
      <c r="A1566" s="45">
        <v>289</v>
      </c>
      <c r="B1566" s="46" t="s">
        <v>290</v>
      </c>
      <c r="C1566" s="194" t="s">
        <v>2025</v>
      </c>
      <c r="D1566" s="46"/>
      <c r="E1566" s="46" t="s">
        <v>1069</v>
      </c>
      <c r="F1566" s="61" t="s">
        <v>31</v>
      </c>
      <c r="G1566" s="342">
        <v>135</v>
      </c>
      <c r="H1566" s="332">
        <v>1</v>
      </c>
      <c r="I1566" s="333">
        <v>3</v>
      </c>
      <c r="J1566" s="80" t="s">
        <v>213</v>
      </c>
      <c r="K1566" s="50"/>
      <c r="L1566" s="53" t="str">
        <f t="shared" si="317"/>
        <v>3kilos</v>
      </c>
      <c r="M1566" s="54">
        <f t="shared" si="318"/>
        <v>3</v>
      </c>
      <c r="N1566" s="55" t="str">
        <f t="shared" si="319"/>
        <v>3kilos</v>
      </c>
      <c r="O1566" s="56">
        <f t="shared" si="320"/>
        <v>135</v>
      </c>
      <c r="P1566" s="44">
        <f t="shared" si="325"/>
        <v>135</v>
      </c>
      <c r="Q1566" s="66"/>
      <c r="R1566" s="32" t="b">
        <f t="shared" si="326"/>
        <v>1</v>
      </c>
      <c r="S1566" s="32"/>
      <c r="T1566" s="32"/>
      <c r="U1566" s="32"/>
      <c r="V1566" s="32"/>
      <c r="W1566" s="32"/>
      <c r="X1566" s="32"/>
      <c r="Y1566" s="32"/>
      <c r="Z1566" s="32"/>
    </row>
    <row r="1567" spans="1:26" ht="15.75" customHeight="1" x14ac:dyDescent="0.3">
      <c r="A1567" s="45">
        <v>750</v>
      </c>
      <c r="B1567" s="46" t="s">
        <v>1836</v>
      </c>
      <c r="C1567" s="194" t="s">
        <v>2026</v>
      </c>
      <c r="D1567" s="320"/>
      <c r="E1567" s="46" t="s">
        <v>1241</v>
      </c>
      <c r="F1567" s="61" t="s">
        <v>31</v>
      </c>
      <c r="G1567" s="342">
        <v>84.2</v>
      </c>
      <c r="H1567" s="332">
        <v>1</v>
      </c>
      <c r="I1567" s="333">
        <v>900</v>
      </c>
      <c r="J1567" s="80" t="s">
        <v>39</v>
      </c>
      <c r="K1567" s="50"/>
      <c r="L1567" s="53" t="str">
        <f t="shared" si="317"/>
        <v>900grams</v>
      </c>
      <c r="M1567" s="54">
        <f t="shared" si="318"/>
        <v>900</v>
      </c>
      <c r="N1567" s="55" t="str">
        <f t="shared" si="319"/>
        <v>900grams</v>
      </c>
      <c r="O1567" s="56">
        <f t="shared" si="320"/>
        <v>84.2</v>
      </c>
      <c r="P1567" s="44">
        <f t="shared" si="325"/>
        <v>84.2</v>
      </c>
      <c r="Q1567" s="66"/>
      <c r="R1567" s="32"/>
      <c r="S1567" s="32"/>
      <c r="T1567" s="32"/>
      <c r="U1567" s="32"/>
      <c r="V1567" s="32"/>
      <c r="W1567" s="32"/>
      <c r="X1567" s="32"/>
      <c r="Y1567" s="32"/>
      <c r="Z1567" s="32"/>
    </row>
    <row r="1568" spans="1:26" ht="15.75" customHeight="1" x14ac:dyDescent="0.3">
      <c r="A1568" s="45"/>
      <c r="B1568" s="46" t="s">
        <v>1837</v>
      </c>
      <c r="C1568" s="194" t="s">
        <v>2022</v>
      </c>
      <c r="D1568" s="320"/>
      <c r="E1568" s="46" t="s">
        <v>1241</v>
      </c>
      <c r="F1568" s="61" t="s">
        <v>31</v>
      </c>
      <c r="G1568" s="342">
        <v>82.8</v>
      </c>
      <c r="H1568" s="332">
        <v>5</v>
      </c>
      <c r="I1568" s="333">
        <v>900</v>
      </c>
      <c r="J1568" s="48" t="s">
        <v>39</v>
      </c>
      <c r="K1568" s="50"/>
      <c r="L1568" s="53" t="str">
        <f t="shared" si="317"/>
        <v>900grams</v>
      </c>
      <c r="M1568" s="54">
        <f t="shared" si="318"/>
        <v>4500</v>
      </c>
      <c r="N1568" s="55" t="str">
        <f t="shared" si="319"/>
        <v>4500grams</v>
      </c>
      <c r="O1568" s="56">
        <f t="shared" si="320"/>
        <v>414</v>
      </c>
      <c r="P1568" s="12"/>
      <c r="Q1568" s="12"/>
      <c r="R1568" s="12"/>
      <c r="S1568" s="151"/>
      <c r="T1568" s="12"/>
      <c r="U1568" s="12"/>
      <c r="V1568" s="12"/>
      <c r="W1568" s="12"/>
      <c r="X1568" s="12"/>
      <c r="Y1568" s="12"/>
      <c r="Z1568" s="12"/>
    </row>
    <row r="1569" spans="1:26" ht="15.75" customHeight="1" x14ac:dyDescent="0.3">
      <c r="A1569" s="45">
        <v>159</v>
      </c>
      <c r="B1569" s="46" t="s">
        <v>338</v>
      </c>
      <c r="C1569" s="194" t="s">
        <v>2024</v>
      </c>
      <c r="D1569" s="320"/>
      <c r="E1569" s="46" t="s">
        <v>1838</v>
      </c>
      <c r="F1569" s="61" t="s">
        <v>31</v>
      </c>
      <c r="G1569" s="342">
        <v>13</v>
      </c>
      <c r="H1569" s="332">
        <v>3</v>
      </c>
      <c r="I1569" s="333">
        <v>1</v>
      </c>
      <c r="J1569" s="48" t="s">
        <v>92</v>
      </c>
      <c r="K1569" s="50" t="s">
        <v>2019</v>
      </c>
      <c r="L1569" s="53" t="str">
        <f t="shared" si="317"/>
        <v>1pieces</v>
      </c>
      <c r="M1569" s="54">
        <f t="shared" si="318"/>
        <v>3</v>
      </c>
      <c r="N1569" s="55" t="str">
        <f t="shared" si="319"/>
        <v>3pieces</v>
      </c>
      <c r="O1569" s="56">
        <f t="shared" si="320"/>
        <v>39</v>
      </c>
      <c r="P1569" s="44">
        <f t="shared" ref="P1569:P1570" si="327">O1569/H1569</f>
        <v>13</v>
      </c>
      <c r="Q1569" s="44">
        <f>G1569-P1569</f>
        <v>0</v>
      </c>
      <c r="R1569" s="32" t="b">
        <f t="shared" ref="R1569:R1570" si="328">P1569=G1569</f>
        <v>1</v>
      </c>
      <c r="S1569" s="32"/>
      <c r="T1569" s="32"/>
      <c r="U1569" s="32"/>
      <c r="V1569" s="32"/>
      <c r="W1569" s="32"/>
      <c r="X1569" s="32"/>
      <c r="Y1569" s="32"/>
      <c r="Z1569" s="32"/>
    </row>
    <row r="1570" spans="1:26" ht="15.75" customHeight="1" x14ac:dyDescent="0.3">
      <c r="A1570" s="45">
        <v>844</v>
      </c>
      <c r="B1570" s="46" t="s">
        <v>338</v>
      </c>
      <c r="C1570" s="194" t="s">
        <v>1368</v>
      </c>
      <c r="D1570" s="320"/>
      <c r="E1570" s="46" t="s">
        <v>1838</v>
      </c>
      <c r="F1570" s="61" t="s">
        <v>31</v>
      </c>
      <c r="G1570" s="342">
        <v>27.75</v>
      </c>
      <c r="H1570" s="332">
        <v>4</v>
      </c>
      <c r="I1570" s="333">
        <v>1</v>
      </c>
      <c r="J1570" s="80" t="s">
        <v>92</v>
      </c>
      <c r="K1570" s="50"/>
      <c r="L1570" s="53" t="str">
        <f t="shared" si="317"/>
        <v>1pieces</v>
      </c>
      <c r="M1570" s="54">
        <f t="shared" si="318"/>
        <v>4</v>
      </c>
      <c r="N1570" s="55" t="str">
        <f t="shared" si="319"/>
        <v>4pieces</v>
      </c>
      <c r="O1570" s="56">
        <f t="shared" si="320"/>
        <v>111</v>
      </c>
      <c r="P1570" s="44">
        <f t="shared" si="327"/>
        <v>27.75</v>
      </c>
      <c r="Q1570" s="66"/>
      <c r="R1570" s="32" t="b">
        <f t="shared" si="328"/>
        <v>1</v>
      </c>
      <c r="S1570" s="32"/>
      <c r="T1570" s="32"/>
      <c r="U1570" s="32"/>
      <c r="V1570" s="32"/>
      <c r="W1570" s="32"/>
      <c r="X1570" s="32"/>
      <c r="Y1570" s="32"/>
      <c r="Z1570" s="32"/>
    </row>
    <row r="1571" spans="1:26" ht="15.75" customHeight="1" x14ac:dyDescent="0.3">
      <c r="A1571" s="45"/>
      <c r="B1571" s="46" t="s">
        <v>338</v>
      </c>
      <c r="C1571" s="194" t="s">
        <v>2023</v>
      </c>
      <c r="D1571" s="320"/>
      <c r="E1571" s="46" t="s">
        <v>1838</v>
      </c>
      <c r="F1571" s="61" t="s">
        <v>31</v>
      </c>
      <c r="G1571" s="342">
        <v>25</v>
      </c>
      <c r="H1571" s="332">
        <v>19</v>
      </c>
      <c r="I1571" s="333">
        <v>1</v>
      </c>
      <c r="J1571" s="80" t="s">
        <v>92</v>
      </c>
      <c r="K1571" s="50"/>
      <c r="L1571" s="53" t="str">
        <f t="shared" si="317"/>
        <v>1pieces</v>
      </c>
      <c r="M1571" s="54">
        <f t="shared" si="318"/>
        <v>19</v>
      </c>
      <c r="N1571" s="55" t="str">
        <f t="shared" si="319"/>
        <v>19pieces</v>
      </c>
      <c r="O1571" s="56">
        <f t="shared" si="320"/>
        <v>475</v>
      </c>
      <c r="P1571" s="12"/>
      <c r="Q1571" s="12"/>
      <c r="R1571" s="12"/>
      <c r="S1571" s="151"/>
      <c r="T1571" s="12"/>
      <c r="U1571" s="12"/>
      <c r="V1571" s="12"/>
      <c r="W1571" s="12"/>
      <c r="X1571" s="12"/>
      <c r="Y1571" s="12"/>
      <c r="Z1571" s="12"/>
    </row>
    <row r="1572" spans="1:26" ht="15.75" customHeight="1" x14ac:dyDescent="0.3">
      <c r="A1572" s="45"/>
      <c r="B1572" s="46" t="s">
        <v>338</v>
      </c>
      <c r="C1572" s="194" t="s">
        <v>2020</v>
      </c>
      <c r="D1572" s="351"/>
      <c r="E1572" s="46" t="s">
        <v>1838</v>
      </c>
      <c r="F1572" s="61" t="s">
        <v>31</v>
      </c>
      <c r="G1572" s="342">
        <v>12.56</v>
      </c>
      <c r="H1572" s="332">
        <v>8</v>
      </c>
      <c r="I1572" s="333">
        <v>1</v>
      </c>
      <c r="J1572" s="80" t="s">
        <v>92</v>
      </c>
      <c r="K1572" s="50"/>
      <c r="L1572" s="53" t="str">
        <f t="shared" si="317"/>
        <v>1pieces</v>
      </c>
      <c r="M1572" s="54">
        <f t="shared" si="318"/>
        <v>8</v>
      </c>
      <c r="N1572" s="55" t="str">
        <f t="shared" si="319"/>
        <v>8pieces</v>
      </c>
      <c r="O1572" s="56">
        <f t="shared" si="320"/>
        <v>100.48</v>
      </c>
      <c r="P1572" s="12"/>
      <c r="Q1572" s="12"/>
      <c r="R1572" s="12"/>
      <c r="S1572" s="151"/>
      <c r="T1572" s="12"/>
      <c r="U1572" s="12"/>
      <c r="V1572" s="12"/>
      <c r="W1572" s="12"/>
      <c r="X1572" s="12"/>
      <c r="Y1572" s="12"/>
      <c r="Z1572" s="12"/>
    </row>
    <row r="1573" spans="1:26" ht="15.75" customHeight="1" x14ac:dyDescent="0.3">
      <c r="A1573" s="45">
        <v>786</v>
      </c>
      <c r="B1573" s="46" t="s">
        <v>340</v>
      </c>
      <c r="C1573" s="194" t="s">
        <v>1368</v>
      </c>
      <c r="D1573" s="320"/>
      <c r="E1573" s="167" t="s">
        <v>1838</v>
      </c>
      <c r="F1573" s="61" t="s">
        <v>31</v>
      </c>
      <c r="G1573" s="342">
        <v>9</v>
      </c>
      <c r="H1573" s="332">
        <v>24</v>
      </c>
      <c r="I1573" s="333">
        <v>25</v>
      </c>
      <c r="J1573" s="80" t="s">
        <v>32</v>
      </c>
      <c r="K1573" s="50"/>
      <c r="L1573" s="53" t="str">
        <f t="shared" si="317"/>
        <v>25ml</v>
      </c>
      <c r="M1573" s="54">
        <f t="shared" si="318"/>
        <v>600</v>
      </c>
      <c r="N1573" s="55" t="str">
        <f t="shared" si="319"/>
        <v>600ml</v>
      </c>
      <c r="O1573" s="56">
        <f t="shared" si="320"/>
        <v>216</v>
      </c>
      <c r="P1573" s="44">
        <f>O1573/H1573</f>
        <v>9</v>
      </c>
      <c r="Q1573" s="66"/>
      <c r="R1573" s="32" t="b">
        <f>P1573=G1573</f>
        <v>1</v>
      </c>
      <c r="S1573" s="32"/>
      <c r="T1573" s="32"/>
      <c r="U1573" s="32"/>
      <c r="V1573" s="32"/>
      <c r="W1573" s="32"/>
      <c r="X1573" s="32"/>
      <c r="Y1573" s="32"/>
      <c r="Z1573" s="32"/>
    </row>
    <row r="1574" spans="1:26" ht="15.75" customHeight="1" x14ac:dyDescent="0.3">
      <c r="A1574" s="45"/>
      <c r="B1574" s="46" t="s">
        <v>340</v>
      </c>
      <c r="C1574" s="194" t="s">
        <v>2023</v>
      </c>
      <c r="D1574" s="320"/>
      <c r="E1574" s="46" t="s">
        <v>1839</v>
      </c>
      <c r="F1574" s="61" t="s">
        <v>31</v>
      </c>
      <c r="G1574" s="342">
        <v>8</v>
      </c>
      <c r="H1574" s="332">
        <v>2</v>
      </c>
      <c r="I1574" s="333">
        <v>20</v>
      </c>
      <c r="J1574" s="80" t="s">
        <v>32</v>
      </c>
      <c r="K1574" s="50"/>
      <c r="L1574" s="53" t="str">
        <f t="shared" si="317"/>
        <v>20ml</v>
      </c>
      <c r="M1574" s="54">
        <f t="shared" si="318"/>
        <v>40</v>
      </c>
      <c r="N1574" s="55" t="str">
        <f t="shared" si="319"/>
        <v>40ml</v>
      </c>
      <c r="O1574" s="56">
        <f t="shared" si="320"/>
        <v>16</v>
      </c>
      <c r="P1574" s="44"/>
      <c r="Q1574" s="12"/>
      <c r="R1574" s="12"/>
      <c r="S1574" s="151"/>
      <c r="T1574" s="12"/>
      <c r="U1574" s="12"/>
      <c r="V1574" s="12"/>
      <c r="W1574" s="12"/>
      <c r="X1574" s="12"/>
      <c r="Y1574" s="12"/>
      <c r="Z1574" s="12"/>
    </row>
    <row r="1575" spans="1:26" ht="15.75" customHeight="1" x14ac:dyDescent="0.3">
      <c r="A1575" s="45"/>
      <c r="B1575" s="219" t="s">
        <v>340</v>
      </c>
      <c r="C1575" s="194" t="s">
        <v>2020</v>
      </c>
      <c r="D1575" s="320"/>
      <c r="E1575" s="46" t="s">
        <v>1838</v>
      </c>
      <c r="F1575" s="61" t="s">
        <v>31</v>
      </c>
      <c r="G1575" s="342">
        <v>8</v>
      </c>
      <c r="H1575" s="332">
        <v>9</v>
      </c>
      <c r="I1575" s="333">
        <v>1</v>
      </c>
      <c r="J1575" s="80" t="s">
        <v>92</v>
      </c>
      <c r="K1575" s="50"/>
      <c r="L1575" s="53" t="str">
        <f t="shared" si="317"/>
        <v>1pieces</v>
      </c>
      <c r="M1575" s="54">
        <f t="shared" si="318"/>
        <v>9</v>
      </c>
      <c r="N1575" s="55" t="str">
        <f t="shared" si="319"/>
        <v>9pieces</v>
      </c>
      <c r="O1575" s="56">
        <f t="shared" si="320"/>
        <v>72</v>
      </c>
      <c r="P1575" s="12"/>
      <c r="Q1575" s="12"/>
      <c r="R1575" s="12"/>
      <c r="S1575" s="151"/>
      <c r="T1575" s="12"/>
      <c r="U1575" s="12"/>
      <c r="V1575" s="12"/>
      <c r="W1575" s="12"/>
      <c r="X1575" s="12"/>
      <c r="Y1575" s="12"/>
      <c r="Z1575" s="12"/>
    </row>
    <row r="1576" spans="1:26" ht="15.75" customHeight="1" x14ac:dyDescent="0.3">
      <c r="A1576" s="45"/>
      <c r="B1576" s="46" t="s">
        <v>340</v>
      </c>
      <c r="C1576" s="194" t="s">
        <v>2020</v>
      </c>
      <c r="D1576" s="351"/>
      <c r="E1576" s="96" t="s">
        <v>1840</v>
      </c>
      <c r="F1576" s="61" t="s">
        <v>31</v>
      </c>
      <c r="G1576" s="342">
        <v>8</v>
      </c>
      <c r="H1576" s="332">
        <v>12</v>
      </c>
      <c r="I1576" s="333">
        <v>1</v>
      </c>
      <c r="J1576" s="80" t="s">
        <v>92</v>
      </c>
      <c r="K1576" s="50"/>
      <c r="L1576" s="53" t="str">
        <f t="shared" si="317"/>
        <v>1pieces</v>
      </c>
      <c r="M1576" s="54">
        <f t="shared" si="318"/>
        <v>12</v>
      </c>
      <c r="N1576" s="55" t="str">
        <f t="shared" si="319"/>
        <v>12pieces</v>
      </c>
      <c r="O1576" s="56">
        <f t="shared" si="320"/>
        <v>96</v>
      </c>
      <c r="P1576" s="12"/>
      <c r="Q1576" s="12"/>
      <c r="R1576" s="12"/>
      <c r="S1576" s="151"/>
      <c r="T1576" s="12"/>
      <c r="U1576" s="12"/>
      <c r="V1576" s="12"/>
      <c r="W1576" s="12"/>
      <c r="X1576" s="12"/>
      <c r="Y1576" s="12"/>
      <c r="Z1576" s="12"/>
    </row>
    <row r="1577" spans="1:26" ht="15.75" customHeight="1" x14ac:dyDescent="0.3">
      <c r="A1577" s="45">
        <v>161</v>
      </c>
      <c r="B1577" s="46" t="s">
        <v>355</v>
      </c>
      <c r="C1577" s="194" t="s">
        <v>2024</v>
      </c>
      <c r="D1577" s="320"/>
      <c r="E1577" s="96"/>
      <c r="F1577" s="61" t="s">
        <v>31</v>
      </c>
      <c r="G1577" s="342">
        <v>25</v>
      </c>
      <c r="H1577" s="332">
        <v>3</v>
      </c>
      <c r="I1577" s="333">
        <v>1</v>
      </c>
      <c r="J1577" s="80" t="s">
        <v>304</v>
      </c>
      <c r="K1577" s="50"/>
      <c r="L1577" s="53" t="str">
        <f t="shared" si="317"/>
        <v>1packs</v>
      </c>
      <c r="M1577" s="54">
        <f t="shared" si="318"/>
        <v>3</v>
      </c>
      <c r="N1577" s="55" t="str">
        <f t="shared" si="319"/>
        <v>3packs</v>
      </c>
      <c r="O1577" s="56">
        <f t="shared" si="320"/>
        <v>75</v>
      </c>
      <c r="P1577" s="44">
        <f t="shared" ref="P1577:P1578" si="329">O1577/H1577</f>
        <v>25</v>
      </c>
      <c r="Q1577" s="66"/>
      <c r="R1577" s="32"/>
      <c r="S1577" s="32"/>
      <c r="T1577" s="32"/>
      <c r="U1577" s="32"/>
      <c r="V1577" s="32"/>
      <c r="W1577" s="32"/>
      <c r="X1577" s="32"/>
      <c r="Y1577" s="32"/>
      <c r="Z1577" s="32"/>
    </row>
    <row r="1578" spans="1:26" ht="15.75" customHeight="1" x14ac:dyDescent="0.3">
      <c r="A1578" s="45">
        <v>782</v>
      </c>
      <c r="B1578" s="347" t="s">
        <v>355</v>
      </c>
      <c r="C1578" s="194" t="s">
        <v>1368</v>
      </c>
      <c r="D1578" s="320"/>
      <c r="E1578" s="96" t="s">
        <v>1841</v>
      </c>
      <c r="F1578" s="61" t="s">
        <v>31</v>
      </c>
      <c r="G1578" s="342">
        <v>15</v>
      </c>
      <c r="H1578" s="332">
        <v>31</v>
      </c>
      <c r="I1578" s="333">
        <v>1</v>
      </c>
      <c r="J1578" s="80" t="s">
        <v>1638</v>
      </c>
      <c r="K1578" s="50"/>
      <c r="L1578" s="53" t="str">
        <f t="shared" si="317"/>
        <v>1box</v>
      </c>
      <c r="M1578" s="54">
        <f t="shared" si="318"/>
        <v>31</v>
      </c>
      <c r="N1578" s="55" t="str">
        <f t="shared" si="319"/>
        <v>31box</v>
      </c>
      <c r="O1578" s="56">
        <f t="shared" si="320"/>
        <v>465</v>
      </c>
      <c r="P1578" s="44">
        <f t="shared" si="329"/>
        <v>15</v>
      </c>
      <c r="Q1578" s="66"/>
      <c r="R1578" s="32"/>
      <c r="S1578" s="32"/>
      <c r="T1578" s="32"/>
      <c r="U1578" s="32"/>
      <c r="V1578" s="32"/>
      <c r="W1578" s="32"/>
      <c r="X1578" s="32"/>
      <c r="Y1578" s="32"/>
      <c r="Z1578" s="32"/>
    </row>
    <row r="1579" spans="1:26" ht="15.75" customHeight="1" x14ac:dyDescent="0.3">
      <c r="A1579" s="45"/>
      <c r="B1579" s="347" t="s">
        <v>355</v>
      </c>
      <c r="C1579" s="194" t="s">
        <v>2020</v>
      </c>
      <c r="D1579" s="320"/>
      <c r="E1579" s="96" t="s">
        <v>900</v>
      </c>
      <c r="F1579" s="61" t="s">
        <v>31</v>
      </c>
      <c r="G1579" s="342">
        <v>15</v>
      </c>
      <c r="H1579" s="332">
        <v>3</v>
      </c>
      <c r="I1579" s="333">
        <v>1</v>
      </c>
      <c r="J1579" s="80" t="s">
        <v>304</v>
      </c>
      <c r="K1579" s="50"/>
      <c r="L1579" s="53" t="str">
        <f t="shared" si="317"/>
        <v>1packs</v>
      </c>
      <c r="M1579" s="54">
        <f t="shared" si="318"/>
        <v>3</v>
      </c>
      <c r="N1579" s="55" t="str">
        <f t="shared" si="319"/>
        <v>3packs</v>
      </c>
      <c r="O1579" s="56">
        <f t="shared" si="320"/>
        <v>45</v>
      </c>
      <c r="P1579" s="12"/>
      <c r="Q1579" s="12"/>
      <c r="R1579" s="12"/>
      <c r="S1579" s="151"/>
      <c r="T1579" s="12"/>
      <c r="U1579" s="12"/>
      <c r="V1579" s="12"/>
      <c r="W1579" s="12"/>
      <c r="X1579" s="12"/>
      <c r="Y1579" s="12"/>
      <c r="Z1579" s="12"/>
    </row>
    <row r="1580" spans="1:26" ht="15.75" customHeight="1" x14ac:dyDescent="0.3">
      <c r="A1580" s="45">
        <v>390</v>
      </c>
      <c r="B1580" s="96" t="s">
        <v>1842</v>
      </c>
      <c r="C1580" s="194" t="s">
        <v>2025</v>
      </c>
      <c r="D1580" s="320"/>
      <c r="E1580" s="96" t="s">
        <v>858</v>
      </c>
      <c r="F1580" s="61" t="s">
        <v>31</v>
      </c>
      <c r="G1580" s="342">
        <v>50.8</v>
      </c>
      <c r="H1580" s="332">
        <v>7</v>
      </c>
      <c r="I1580" s="333">
        <v>1</v>
      </c>
      <c r="J1580" s="80" t="s">
        <v>92</v>
      </c>
      <c r="K1580" s="50"/>
      <c r="L1580" s="53" t="str">
        <f t="shared" si="317"/>
        <v>1pieces</v>
      </c>
      <c r="M1580" s="54">
        <f t="shared" si="318"/>
        <v>7</v>
      </c>
      <c r="N1580" s="55" t="str">
        <f t="shared" si="319"/>
        <v>7pieces</v>
      </c>
      <c r="O1580" s="56">
        <f t="shared" si="320"/>
        <v>355.59999999999997</v>
      </c>
      <c r="P1580" s="44">
        <f>O1580/H1580</f>
        <v>50.8</v>
      </c>
      <c r="Q1580" s="66"/>
      <c r="R1580" s="32" t="b">
        <f>P1580=G1580</f>
        <v>1</v>
      </c>
      <c r="S1580" s="32"/>
      <c r="T1580" s="32"/>
      <c r="U1580" s="32"/>
      <c r="V1580" s="32"/>
      <c r="W1580" s="32"/>
      <c r="X1580" s="32"/>
      <c r="Y1580" s="32"/>
      <c r="Z1580" s="32"/>
    </row>
    <row r="1581" spans="1:26" ht="15.75" customHeight="1" x14ac:dyDescent="0.3">
      <c r="A1581" s="45"/>
      <c r="B1581" s="340" t="s">
        <v>208</v>
      </c>
      <c r="C1581" s="194" t="s">
        <v>2023</v>
      </c>
      <c r="D1581" s="320"/>
      <c r="E1581" s="340" t="s">
        <v>1843</v>
      </c>
      <c r="F1581" s="61" t="s">
        <v>31</v>
      </c>
      <c r="G1581" s="341">
        <v>6</v>
      </c>
      <c r="H1581" s="332">
        <v>100</v>
      </c>
      <c r="I1581" s="336">
        <v>1</v>
      </c>
      <c r="J1581" s="452" t="s">
        <v>92</v>
      </c>
      <c r="K1581" s="50"/>
      <c r="L1581" s="53" t="str">
        <f t="shared" si="317"/>
        <v>1pieces</v>
      </c>
      <c r="M1581" s="54">
        <f t="shared" si="318"/>
        <v>100</v>
      </c>
      <c r="N1581" s="55" t="str">
        <f t="shared" si="319"/>
        <v>100pieces</v>
      </c>
      <c r="O1581" s="56">
        <f t="shared" si="320"/>
        <v>600</v>
      </c>
      <c r="P1581" s="12"/>
      <c r="Q1581" s="12"/>
      <c r="R1581" s="12"/>
      <c r="S1581" s="151"/>
      <c r="T1581" s="12"/>
      <c r="U1581" s="12"/>
      <c r="V1581" s="12"/>
      <c r="W1581" s="12"/>
      <c r="X1581" s="12"/>
      <c r="Y1581" s="12"/>
      <c r="Z1581" s="12"/>
    </row>
    <row r="1582" spans="1:26" ht="15.75" customHeight="1" x14ac:dyDescent="0.3">
      <c r="A1582" s="45"/>
      <c r="B1582" s="96" t="s">
        <v>208</v>
      </c>
      <c r="C1582" s="194" t="s">
        <v>2020</v>
      </c>
      <c r="D1582" s="320"/>
      <c r="E1582" s="96" t="s">
        <v>858</v>
      </c>
      <c r="F1582" s="61" t="s">
        <v>31</v>
      </c>
      <c r="G1582" s="342">
        <v>62.97</v>
      </c>
      <c r="H1582" s="332">
        <v>16</v>
      </c>
      <c r="I1582" s="333">
        <v>1</v>
      </c>
      <c r="J1582" s="80" t="s">
        <v>210</v>
      </c>
      <c r="K1582" s="50"/>
      <c r="L1582" s="53" t="str">
        <f t="shared" si="317"/>
        <v>1roll</v>
      </c>
      <c r="M1582" s="54">
        <f t="shared" si="318"/>
        <v>16</v>
      </c>
      <c r="N1582" s="55" t="str">
        <f t="shared" si="319"/>
        <v>16roll</v>
      </c>
      <c r="O1582" s="56">
        <f t="shared" si="320"/>
        <v>1007.52</v>
      </c>
      <c r="P1582" s="12"/>
      <c r="Q1582" s="12"/>
      <c r="R1582" s="12"/>
      <c r="S1582" s="151"/>
      <c r="T1582" s="12"/>
      <c r="U1582" s="12"/>
      <c r="V1582" s="12"/>
      <c r="W1582" s="12"/>
      <c r="X1582" s="12"/>
      <c r="Y1582" s="12"/>
      <c r="Z1582" s="12"/>
    </row>
    <row r="1583" spans="1:26" ht="15.75" customHeight="1" x14ac:dyDescent="0.3">
      <c r="A1583" s="45"/>
      <c r="B1583" s="348" t="s">
        <v>1844</v>
      </c>
      <c r="C1583" s="194" t="s">
        <v>2023</v>
      </c>
      <c r="D1583" s="320"/>
      <c r="E1583" s="340" t="s">
        <v>1500</v>
      </c>
      <c r="F1583" s="61" t="s">
        <v>31</v>
      </c>
      <c r="G1583" s="341">
        <v>6</v>
      </c>
      <c r="H1583" s="332">
        <v>113</v>
      </c>
      <c r="I1583" s="336">
        <v>1</v>
      </c>
      <c r="J1583" s="452" t="s">
        <v>92</v>
      </c>
      <c r="K1583" s="50"/>
      <c r="L1583" s="53" t="str">
        <f t="shared" si="317"/>
        <v>1pieces</v>
      </c>
      <c r="M1583" s="54">
        <f t="shared" si="318"/>
        <v>113</v>
      </c>
      <c r="N1583" s="55" t="str">
        <f t="shared" si="319"/>
        <v>113pieces</v>
      </c>
      <c r="O1583" s="56">
        <f t="shared" si="320"/>
        <v>678</v>
      </c>
      <c r="P1583" s="12"/>
      <c r="Q1583" s="12"/>
      <c r="R1583" s="12"/>
      <c r="S1583" s="151"/>
      <c r="T1583" s="12"/>
      <c r="U1583" s="12"/>
      <c r="V1583" s="12"/>
      <c r="W1583" s="12"/>
      <c r="X1583" s="12"/>
      <c r="Y1583" s="12"/>
      <c r="Z1583" s="12"/>
    </row>
    <row r="1584" spans="1:26" ht="15.75" customHeight="1" x14ac:dyDescent="0.3">
      <c r="A1584" s="45"/>
      <c r="B1584" s="348" t="s">
        <v>1844</v>
      </c>
      <c r="C1584" s="194" t="s">
        <v>2021</v>
      </c>
      <c r="D1584" s="47"/>
      <c r="E1584" s="340"/>
      <c r="F1584" s="61" t="s">
        <v>31</v>
      </c>
      <c r="G1584" s="341">
        <v>7</v>
      </c>
      <c r="H1584" s="335">
        <v>41</v>
      </c>
      <c r="I1584" s="336">
        <v>1</v>
      </c>
      <c r="J1584" s="452" t="s">
        <v>92</v>
      </c>
      <c r="K1584" s="50"/>
      <c r="L1584" s="53" t="str">
        <f t="shared" si="317"/>
        <v>1pieces</v>
      </c>
      <c r="M1584" s="54">
        <f t="shared" si="318"/>
        <v>41</v>
      </c>
      <c r="N1584" s="55" t="str">
        <f t="shared" si="319"/>
        <v>41pieces</v>
      </c>
      <c r="O1584" s="56">
        <f t="shared" si="320"/>
        <v>287</v>
      </c>
      <c r="P1584" s="12"/>
      <c r="Q1584" s="12"/>
      <c r="R1584" s="12"/>
      <c r="S1584" s="151"/>
      <c r="T1584" s="12"/>
      <c r="U1584" s="12"/>
      <c r="V1584" s="12"/>
      <c r="W1584" s="12"/>
      <c r="X1584" s="12"/>
      <c r="Y1584" s="12"/>
      <c r="Z1584" s="12"/>
    </row>
    <row r="1585" spans="1:26" ht="15.75" customHeight="1" x14ac:dyDescent="0.3">
      <c r="A1585" s="45">
        <v>711</v>
      </c>
      <c r="B1585" s="347" t="s">
        <v>1845</v>
      </c>
      <c r="C1585" s="194" t="s">
        <v>2026</v>
      </c>
      <c r="D1585" s="47"/>
      <c r="E1585" s="96" t="s">
        <v>858</v>
      </c>
      <c r="F1585" s="61" t="s">
        <v>31</v>
      </c>
      <c r="G1585" s="342">
        <v>50.81</v>
      </c>
      <c r="H1585" s="332">
        <v>30</v>
      </c>
      <c r="I1585" s="333">
        <v>1</v>
      </c>
      <c r="J1585" s="80" t="s">
        <v>210</v>
      </c>
      <c r="K1585" s="50"/>
      <c r="L1585" s="53" t="str">
        <f t="shared" si="317"/>
        <v>1roll</v>
      </c>
      <c r="M1585" s="54">
        <f t="shared" si="318"/>
        <v>30</v>
      </c>
      <c r="N1585" s="55" t="str">
        <f t="shared" si="319"/>
        <v>30roll</v>
      </c>
      <c r="O1585" s="56">
        <f t="shared" si="320"/>
        <v>1524.3000000000002</v>
      </c>
      <c r="P1585" s="44">
        <f t="shared" ref="P1585:P1586" si="330">O1585/H1585</f>
        <v>50.810000000000009</v>
      </c>
      <c r="Q1585" s="66"/>
      <c r="R1585" s="32" t="b">
        <f t="shared" ref="R1585:R1586" si="331">P1585=G1585</f>
        <v>1</v>
      </c>
      <c r="S1585" s="32"/>
      <c r="T1585" s="32"/>
      <c r="U1585" s="32"/>
      <c r="V1585" s="32"/>
      <c r="W1585" s="32"/>
      <c r="X1585" s="32"/>
      <c r="Y1585" s="32"/>
      <c r="Z1585" s="32"/>
    </row>
    <row r="1586" spans="1:26" ht="15.75" customHeight="1" x14ac:dyDescent="0.3">
      <c r="A1586" s="45">
        <v>473</v>
      </c>
      <c r="B1586" s="309" t="s">
        <v>1846</v>
      </c>
      <c r="C1586" s="194" t="s">
        <v>2025</v>
      </c>
      <c r="D1586" s="47"/>
      <c r="E1586" s="96"/>
      <c r="F1586" s="61" t="s">
        <v>31</v>
      </c>
      <c r="G1586" s="342">
        <v>450</v>
      </c>
      <c r="H1586" s="332">
        <v>2</v>
      </c>
      <c r="I1586" s="333">
        <v>1</v>
      </c>
      <c r="J1586" s="80" t="s">
        <v>213</v>
      </c>
      <c r="K1586" s="50"/>
      <c r="L1586" s="53" t="str">
        <f t="shared" si="317"/>
        <v>1kilos</v>
      </c>
      <c r="M1586" s="54">
        <f t="shared" si="318"/>
        <v>2</v>
      </c>
      <c r="N1586" s="55" t="str">
        <f t="shared" si="319"/>
        <v>2kilos</v>
      </c>
      <c r="O1586" s="56">
        <f t="shared" si="320"/>
        <v>900</v>
      </c>
      <c r="P1586" s="44">
        <f t="shared" si="330"/>
        <v>450</v>
      </c>
      <c r="Q1586" s="66"/>
      <c r="R1586" s="32" t="b">
        <f t="shared" si="331"/>
        <v>1</v>
      </c>
      <c r="S1586" s="32"/>
      <c r="T1586" s="32"/>
      <c r="U1586" s="32"/>
      <c r="V1586" s="32"/>
      <c r="W1586" s="32"/>
      <c r="X1586" s="32"/>
      <c r="Y1586" s="32"/>
      <c r="Z1586" s="32"/>
    </row>
    <row r="1587" spans="1:26" ht="15.75" customHeight="1" x14ac:dyDescent="0.3">
      <c r="A1587" s="45"/>
      <c r="B1587" s="349" t="s">
        <v>1846</v>
      </c>
      <c r="C1587" s="194" t="s">
        <v>2023</v>
      </c>
      <c r="D1587" s="47"/>
      <c r="E1587" s="96" t="s">
        <v>1847</v>
      </c>
      <c r="F1587" s="61" t="s">
        <v>31</v>
      </c>
      <c r="G1587" s="342">
        <v>460</v>
      </c>
      <c r="H1587" s="332">
        <v>2</v>
      </c>
      <c r="I1587" s="333">
        <v>1</v>
      </c>
      <c r="J1587" s="80" t="s">
        <v>213</v>
      </c>
      <c r="K1587" s="50"/>
      <c r="L1587" s="53" t="str">
        <f t="shared" si="317"/>
        <v>1kilos</v>
      </c>
      <c r="M1587" s="54">
        <f t="shared" si="318"/>
        <v>2</v>
      </c>
      <c r="N1587" s="55" t="str">
        <f t="shared" si="319"/>
        <v>2kilos</v>
      </c>
      <c r="O1587" s="56">
        <f t="shared" si="320"/>
        <v>920</v>
      </c>
      <c r="P1587" s="12"/>
      <c r="Q1587" s="12"/>
      <c r="R1587" s="12"/>
      <c r="S1587" s="151"/>
      <c r="T1587" s="12"/>
      <c r="U1587" s="12"/>
      <c r="V1587" s="12"/>
      <c r="W1587" s="12"/>
      <c r="X1587" s="12"/>
      <c r="Y1587" s="12"/>
      <c r="Z1587" s="12"/>
    </row>
    <row r="1588" spans="1:26" ht="15.75" customHeight="1" x14ac:dyDescent="0.3">
      <c r="A1588" s="45"/>
      <c r="B1588" s="348" t="s">
        <v>1848</v>
      </c>
      <c r="C1588" s="194" t="s">
        <v>2022</v>
      </c>
      <c r="D1588" s="47"/>
      <c r="E1588" s="96" t="s">
        <v>854</v>
      </c>
      <c r="F1588" s="61" t="s">
        <v>31</v>
      </c>
      <c r="G1588" s="342">
        <v>78</v>
      </c>
      <c r="H1588" s="332">
        <v>1</v>
      </c>
      <c r="I1588" s="333">
        <v>31</v>
      </c>
      <c r="J1588" s="80" t="s">
        <v>39</v>
      </c>
      <c r="K1588" s="50"/>
      <c r="L1588" s="53" t="str">
        <f t="shared" si="317"/>
        <v>31grams</v>
      </c>
      <c r="M1588" s="54">
        <f t="shared" si="318"/>
        <v>31</v>
      </c>
      <c r="N1588" s="55" t="str">
        <f t="shared" si="319"/>
        <v>31grams</v>
      </c>
      <c r="O1588" s="56">
        <f t="shared" si="320"/>
        <v>78</v>
      </c>
      <c r="P1588" s="12"/>
      <c r="Q1588" s="12"/>
      <c r="R1588" s="12"/>
      <c r="S1588" s="151"/>
      <c r="T1588" s="12"/>
      <c r="U1588" s="12"/>
      <c r="V1588" s="12"/>
      <c r="W1588" s="12"/>
      <c r="X1588" s="12"/>
      <c r="Y1588" s="12"/>
      <c r="Z1588" s="12"/>
    </row>
    <row r="1589" spans="1:26" ht="15.75" customHeight="1" x14ac:dyDescent="0.3">
      <c r="A1589" s="45"/>
      <c r="B1589" s="340" t="s">
        <v>1848</v>
      </c>
      <c r="C1589" s="194" t="s">
        <v>2021</v>
      </c>
      <c r="D1589" s="96"/>
      <c r="E1589" s="219" t="s">
        <v>1074</v>
      </c>
      <c r="F1589" s="61" t="s">
        <v>31</v>
      </c>
      <c r="G1589" s="341">
        <v>12.95</v>
      </c>
      <c r="H1589" s="335">
        <v>5</v>
      </c>
      <c r="I1589" s="336">
        <v>30</v>
      </c>
      <c r="J1589" s="452" t="s">
        <v>39</v>
      </c>
      <c r="K1589" s="50"/>
      <c r="L1589" s="53" t="str">
        <f t="shared" si="317"/>
        <v>30grams</v>
      </c>
      <c r="M1589" s="54">
        <f t="shared" si="318"/>
        <v>150</v>
      </c>
      <c r="N1589" s="55" t="str">
        <f t="shared" si="319"/>
        <v>150grams</v>
      </c>
      <c r="O1589" s="56">
        <f t="shared" si="320"/>
        <v>64.75</v>
      </c>
      <c r="P1589" s="12"/>
      <c r="Q1589" s="12"/>
      <c r="R1589" s="12"/>
      <c r="S1589" s="151"/>
      <c r="T1589" s="12"/>
      <c r="U1589" s="12"/>
      <c r="V1589" s="12"/>
      <c r="W1589" s="12"/>
      <c r="X1589" s="12"/>
      <c r="Y1589" s="12"/>
      <c r="Z1589" s="12"/>
    </row>
    <row r="1590" spans="1:26" ht="15.75" customHeight="1" x14ac:dyDescent="0.3">
      <c r="A1590" s="45">
        <v>903</v>
      </c>
      <c r="B1590" s="46" t="s">
        <v>1849</v>
      </c>
      <c r="C1590" s="194" t="s">
        <v>1368</v>
      </c>
      <c r="D1590" s="46"/>
      <c r="E1590" s="46"/>
      <c r="F1590" s="61" t="s">
        <v>31</v>
      </c>
      <c r="G1590" s="350">
        <v>240</v>
      </c>
      <c r="H1590" s="332">
        <v>1</v>
      </c>
      <c r="I1590" s="333">
        <v>1</v>
      </c>
      <c r="J1590" s="48" t="s">
        <v>213</v>
      </c>
      <c r="K1590" s="50"/>
      <c r="L1590" s="53" t="str">
        <f t="shared" si="317"/>
        <v>1kilos</v>
      </c>
      <c r="M1590" s="54">
        <f t="shared" si="318"/>
        <v>1</v>
      </c>
      <c r="N1590" s="55" t="str">
        <f t="shared" si="319"/>
        <v>1kilos</v>
      </c>
      <c r="O1590" s="56">
        <f t="shared" si="320"/>
        <v>240</v>
      </c>
      <c r="P1590" s="44"/>
      <c r="Q1590" s="66"/>
      <c r="R1590" s="32"/>
      <c r="S1590" s="32"/>
      <c r="T1590" s="32"/>
      <c r="U1590" s="32"/>
      <c r="V1590" s="32"/>
      <c r="W1590" s="32"/>
      <c r="X1590" s="32"/>
      <c r="Y1590" s="32"/>
      <c r="Z1590" s="32"/>
    </row>
    <row r="1591" spans="1:26" ht="15.75" customHeight="1" x14ac:dyDescent="0.3">
      <c r="A1591" s="45">
        <v>891</v>
      </c>
      <c r="B1591" s="46" t="s">
        <v>1850</v>
      </c>
      <c r="C1591" s="194" t="s">
        <v>1368</v>
      </c>
      <c r="D1591" s="96"/>
      <c r="E1591" s="46" t="s">
        <v>854</v>
      </c>
      <c r="F1591" s="61" t="s">
        <v>31</v>
      </c>
      <c r="G1591" s="342">
        <v>44</v>
      </c>
      <c r="H1591" s="332">
        <v>1</v>
      </c>
      <c r="I1591" s="333">
        <v>20</v>
      </c>
      <c r="J1591" s="48" t="s">
        <v>32</v>
      </c>
      <c r="K1591" s="50"/>
      <c r="L1591" s="53" t="str">
        <f t="shared" si="317"/>
        <v>20ml</v>
      </c>
      <c r="M1591" s="54">
        <f t="shared" si="318"/>
        <v>20</v>
      </c>
      <c r="N1591" s="55" t="str">
        <f t="shared" si="319"/>
        <v>20ml</v>
      </c>
      <c r="O1591" s="56">
        <f t="shared" si="320"/>
        <v>44</v>
      </c>
      <c r="P1591" s="44"/>
      <c r="Q1591" s="66"/>
      <c r="R1591" s="32"/>
      <c r="S1591" s="32"/>
      <c r="T1591" s="32"/>
      <c r="U1591" s="32"/>
      <c r="V1591" s="32"/>
      <c r="W1591" s="32"/>
      <c r="X1591" s="32"/>
      <c r="Y1591" s="32"/>
      <c r="Z1591" s="32"/>
    </row>
    <row r="1592" spans="1:26" ht="15.75" customHeight="1" x14ac:dyDescent="0.3">
      <c r="A1592" s="45">
        <v>261</v>
      </c>
      <c r="B1592" s="46" t="s">
        <v>1850</v>
      </c>
      <c r="C1592" s="194" t="s">
        <v>2025</v>
      </c>
      <c r="D1592" s="96"/>
      <c r="E1592" s="46" t="s">
        <v>1227</v>
      </c>
      <c r="F1592" s="61" t="s">
        <v>31</v>
      </c>
      <c r="G1592" s="342">
        <v>46</v>
      </c>
      <c r="H1592" s="332">
        <v>2</v>
      </c>
      <c r="I1592" s="333">
        <v>375</v>
      </c>
      <c r="J1592" s="48" t="s">
        <v>32</v>
      </c>
      <c r="K1592" s="50"/>
      <c r="L1592" s="53" t="str">
        <f t="shared" si="317"/>
        <v>375ml</v>
      </c>
      <c r="M1592" s="54">
        <f t="shared" si="318"/>
        <v>750</v>
      </c>
      <c r="N1592" s="55" t="str">
        <f t="shared" si="319"/>
        <v>750ml</v>
      </c>
      <c r="O1592" s="56">
        <f t="shared" si="320"/>
        <v>92</v>
      </c>
      <c r="P1592" s="44">
        <f t="shared" ref="P1592:P1594" si="332">O1592/H1592</f>
        <v>46</v>
      </c>
      <c r="Q1592" s="66"/>
      <c r="R1592" s="32"/>
      <c r="S1592" s="32"/>
      <c r="T1592" s="32"/>
      <c r="U1592" s="32"/>
      <c r="V1592" s="32"/>
      <c r="W1592" s="32"/>
      <c r="X1592" s="32"/>
      <c r="Y1592" s="32"/>
      <c r="Z1592" s="32"/>
    </row>
    <row r="1593" spans="1:26" ht="15.75" customHeight="1" x14ac:dyDescent="0.3">
      <c r="A1593" s="45">
        <v>514</v>
      </c>
      <c r="B1593" s="46" t="s">
        <v>1850</v>
      </c>
      <c r="C1593" s="194" t="s">
        <v>2026</v>
      </c>
      <c r="D1593" s="96"/>
      <c r="E1593" s="46" t="s">
        <v>1851</v>
      </c>
      <c r="F1593" s="61" t="s">
        <v>31</v>
      </c>
      <c r="G1593" s="342">
        <v>55</v>
      </c>
      <c r="H1593" s="332">
        <v>1</v>
      </c>
      <c r="I1593" s="333">
        <v>350</v>
      </c>
      <c r="J1593" s="48" t="s">
        <v>32</v>
      </c>
      <c r="K1593" s="50"/>
      <c r="L1593" s="53" t="str">
        <f t="shared" si="317"/>
        <v>350ml</v>
      </c>
      <c r="M1593" s="54">
        <f t="shared" si="318"/>
        <v>350</v>
      </c>
      <c r="N1593" s="55" t="str">
        <f t="shared" si="319"/>
        <v>350ml</v>
      </c>
      <c r="O1593" s="56">
        <f t="shared" si="320"/>
        <v>55</v>
      </c>
      <c r="P1593" s="44">
        <f t="shared" si="332"/>
        <v>55</v>
      </c>
      <c r="Q1593" s="66"/>
      <c r="R1593" s="32" t="b">
        <f>P1593=G1593</f>
        <v>1</v>
      </c>
      <c r="S1593" s="32"/>
      <c r="T1593" s="32"/>
      <c r="U1593" s="32"/>
      <c r="V1593" s="32"/>
      <c r="W1593" s="32"/>
      <c r="X1593" s="32"/>
      <c r="Y1593" s="32"/>
      <c r="Z1593" s="32"/>
    </row>
    <row r="1594" spans="1:26" ht="15.75" customHeight="1" x14ac:dyDescent="0.3">
      <c r="A1594" s="45">
        <v>814</v>
      </c>
      <c r="B1594" s="219" t="s">
        <v>196</v>
      </c>
      <c r="C1594" s="194" t="s">
        <v>1368</v>
      </c>
      <c r="D1594" s="96"/>
      <c r="E1594" s="46" t="s">
        <v>910</v>
      </c>
      <c r="F1594" s="61" t="s">
        <v>31</v>
      </c>
      <c r="G1594" s="288">
        <v>51</v>
      </c>
      <c r="H1594" s="289">
        <v>7</v>
      </c>
      <c r="I1594" s="290">
        <v>260</v>
      </c>
      <c r="J1594" s="453" t="s">
        <v>39</v>
      </c>
      <c r="K1594" s="50"/>
      <c r="L1594" s="53" t="str">
        <f t="shared" si="317"/>
        <v>260grams</v>
      </c>
      <c r="M1594" s="54">
        <f t="shared" si="318"/>
        <v>1820</v>
      </c>
      <c r="N1594" s="55" t="str">
        <f t="shared" si="319"/>
        <v>1820grams</v>
      </c>
      <c r="O1594" s="56">
        <f t="shared" si="320"/>
        <v>357</v>
      </c>
      <c r="P1594" s="44">
        <f t="shared" si="332"/>
        <v>51</v>
      </c>
      <c r="Q1594" s="66"/>
      <c r="R1594" s="32"/>
      <c r="S1594" s="32"/>
      <c r="T1594" s="32"/>
      <c r="U1594" s="32"/>
      <c r="V1594" s="32"/>
      <c r="W1594" s="32"/>
      <c r="X1594" s="32"/>
      <c r="Y1594" s="32"/>
      <c r="Z1594" s="32"/>
    </row>
    <row r="1595" spans="1:26" ht="15.75" customHeight="1" x14ac:dyDescent="0.3">
      <c r="A1595" s="45"/>
      <c r="B1595" s="219" t="s">
        <v>196</v>
      </c>
      <c r="C1595" s="194" t="s">
        <v>2021</v>
      </c>
      <c r="D1595" s="96"/>
      <c r="E1595" s="219" t="s">
        <v>870</v>
      </c>
      <c r="F1595" s="61" t="s">
        <v>31</v>
      </c>
      <c r="G1595" s="291">
        <v>56.75</v>
      </c>
      <c r="H1595" s="292">
        <v>2</v>
      </c>
      <c r="I1595" s="293">
        <v>130</v>
      </c>
      <c r="J1595" s="454" t="s">
        <v>39</v>
      </c>
      <c r="K1595" s="50"/>
      <c r="L1595" s="53" t="str">
        <f t="shared" si="317"/>
        <v>130grams</v>
      </c>
      <c r="M1595" s="54">
        <f t="shared" si="318"/>
        <v>260</v>
      </c>
      <c r="N1595" s="55" t="str">
        <f t="shared" si="319"/>
        <v>260grams</v>
      </c>
      <c r="O1595" s="56">
        <f t="shared" si="320"/>
        <v>113.5</v>
      </c>
      <c r="P1595" s="12"/>
      <c r="Q1595" s="12"/>
      <c r="R1595" s="12"/>
      <c r="S1595" s="151"/>
      <c r="T1595" s="12"/>
      <c r="U1595" s="12"/>
      <c r="V1595" s="12"/>
      <c r="W1595" s="12"/>
      <c r="X1595" s="12"/>
      <c r="Y1595" s="12"/>
      <c r="Z1595" s="12"/>
    </row>
    <row r="1596" spans="1:26" ht="15.75" customHeight="1" x14ac:dyDescent="0.3">
      <c r="A1596" s="45">
        <v>55</v>
      </c>
      <c r="B1596" s="46" t="s">
        <v>291</v>
      </c>
      <c r="C1596" s="194" t="s">
        <v>29</v>
      </c>
      <c r="D1596" s="96"/>
      <c r="E1596" s="46" t="s">
        <v>1069</v>
      </c>
      <c r="F1596" s="61" t="s">
        <v>31</v>
      </c>
      <c r="G1596" s="288">
        <v>70</v>
      </c>
      <c r="H1596" s="289">
        <v>4</v>
      </c>
      <c r="I1596" s="290">
        <v>3500</v>
      </c>
      <c r="J1596" s="453" t="s">
        <v>32</v>
      </c>
      <c r="K1596" s="61" t="s">
        <v>2019</v>
      </c>
      <c r="L1596" s="415" t="str">
        <f t="shared" si="317"/>
        <v>3500ml</v>
      </c>
      <c r="M1596" s="416">
        <f t="shared" si="318"/>
        <v>14000</v>
      </c>
      <c r="N1596" s="417" t="str">
        <f t="shared" si="319"/>
        <v>14000ml</v>
      </c>
      <c r="O1596" s="418">
        <f t="shared" si="320"/>
        <v>280</v>
      </c>
      <c r="P1596" s="419">
        <f t="shared" ref="P1596:P1600" si="333">O1596/H1596</f>
        <v>70</v>
      </c>
      <c r="Q1596" s="66"/>
      <c r="R1596" s="32" t="b">
        <f>P1596=G1596</f>
        <v>1</v>
      </c>
      <c r="S1596" s="32"/>
      <c r="T1596" s="32"/>
      <c r="U1596" s="32"/>
      <c r="V1596" s="32"/>
      <c r="W1596" s="32"/>
      <c r="X1596" s="32"/>
      <c r="Y1596" s="32"/>
      <c r="Z1596" s="32"/>
    </row>
    <row r="1597" spans="1:26" ht="15.75" customHeight="1" x14ac:dyDescent="0.3">
      <c r="A1597" s="45">
        <v>139</v>
      </c>
      <c r="B1597" s="46" t="s">
        <v>291</v>
      </c>
      <c r="C1597" s="194" t="s">
        <v>2024</v>
      </c>
      <c r="D1597" s="96"/>
      <c r="E1597" s="46" t="s">
        <v>1069</v>
      </c>
      <c r="F1597" s="61" t="s">
        <v>31</v>
      </c>
      <c r="G1597" s="288">
        <v>70</v>
      </c>
      <c r="H1597" s="289">
        <v>10</v>
      </c>
      <c r="I1597" s="290">
        <v>3500</v>
      </c>
      <c r="J1597" s="453" t="s">
        <v>32</v>
      </c>
      <c r="K1597" s="50"/>
      <c r="L1597" s="53" t="str">
        <f t="shared" si="317"/>
        <v>3500ml</v>
      </c>
      <c r="M1597" s="54">
        <f t="shared" si="318"/>
        <v>35000</v>
      </c>
      <c r="N1597" s="55" t="str">
        <f t="shared" si="319"/>
        <v>35000ml</v>
      </c>
      <c r="O1597" s="56">
        <f t="shared" si="320"/>
        <v>700</v>
      </c>
      <c r="P1597" s="44">
        <f t="shared" si="333"/>
        <v>70</v>
      </c>
      <c r="Q1597" s="66"/>
      <c r="R1597" s="32"/>
      <c r="S1597" s="32"/>
      <c r="T1597" s="32"/>
      <c r="U1597" s="32"/>
      <c r="V1597" s="32"/>
      <c r="W1597" s="32"/>
      <c r="X1597" s="32"/>
      <c r="Y1597" s="32"/>
      <c r="Z1597" s="32"/>
    </row>
    <row r="1598" spans="1:26" ht="15.75" customHeight="1" x14ac:dyDescent="0.3">
      <c r="A1598" s="45">
        <v>288</v>
      </c>
      <c r="B1598" s="46" t="s">
        <v>291</v>
      </c>
      <c r="C1598" s="194" t="s">
        <v>2025</v>
      </c>
      <c r="D1598" s="96"/>
      <c r="E1598" s="96" t="s">
        <v>1069</v>
      </c>
      <c r="F1598" s="61" t="s">
        <v>31</v>
      </c>
      <c r="G1598" s="352">
        <v>70</v>
      </c>
      <c r="H1598" s="289">
        <v>1</v>
      </c>
      <c r="I1598" s="333">
        <v>3</v>
      </c>
      <c r="J1598" s="447" t="s">
        <v>773</v>
      </c>
      <c r="K1598" s="50"/>
      <c r="L1598" s="53" t="str">
        <f t="shared" si="317"/>
        <v>3liters</v>
      </c>
      <c r="M1598" s="54">
        <f t="shared" si="318"/>
        <v>3</v>
      </c>
      <c r="N1598" s="55" t="str">
        <f t="shared" si="319"/>
        <v>3liters</v>
      </c>
      <c r="O1598" s="56">
        <f t="shared" si="320"/>
        <v>70</v>
      </c>
      <c r="P1598" s="44">
        <f t="shared" si="333"/>
        <v>70</v>
      </c>
      <c r="Q1598" s="66"/>
      <c r="R1598" s="32"/>
      <c r="S1598" s="32"/>
      <c r="T1598" s="32"/>
      <c r="U1598" s="32"/>
      <c r="V1598" s="32"/>
      <c r="W1598" s="32"/>
      <c r="X1598" s="32"/>
      <c r="Y1598" s="32"/>
      <c r="Z1598" s="32"/>
    </row>
    <row r="1599" spans="1:26" ht="15.75" customHeight="1" x14ac:dyDescent="0.3">
      <c r="A1599" s="45">
        <v>559</v>
      </c>
      <c r="B1599" s="46" t="s">
        <v>291</v>
      </c>
      <c r="C1599" s="194" t="s">
        <v>2026</v>
      </c>
      <c r="D1599" s="46"/>
      <c r="E1599" s="46" t="s">
        <v>1069</v>
      </c>
      <c r="F1599" s="61" t="s">
        <v>31</v>
      </c>
      <c r="G1599" s="352">
        <v>70</v>
      </c>
      <c r="H1599" s="289">
        <v>1</v>
      </c>
      <c r="I1599" s="333">
        <v>3500</v>
      </c>
      <c r="J1599" s="447" t="s">
        <v>32</v>
      </c>
      <c r="K1599" s="50" t="s">
        <v>2019</v>
      </c>
      <c r="L1599" s="53" t="str">
        <f t="shared" si="317"/>
        <v>3500ml</v>
      </c>
      <c r="M1599" s="54">
        <f t="shared" si="318"/>
        <v>3500</v>
      </c>
      <c r="N1599" s="55" t="str">
        <f t="shared" si="319"/>
        <v>3500ml</v>
      </c>
      <c r="O1599" s="56">
        <f t="shared" si="320"/>
        <v>70</v>
      </c>
      <c r="P1599" s="44">
        <f t="shared" si="333"/>
        <v>70</v>
      </c>
      <c r="Q1599" s="62">
        <f t="shared" ref="Q1599:Q1600" si="334">G1599-P1599</f>
        <v>0</v>
      </c>
      <c r="R1599" s="32" t="b">
        <f t="shared" ref="R1599:R1600" si="335">P1599=G1599</f>
        <v>1</v>
      </c>
      <c r="S1599" s="32"/>
      <c r="T1599" s="32"/>
      <c r="U1599" s="32"/>
      <c r="V1599" s="32"/>
      <c r="W1599" s="32"/>
      <c r="X1599" s="32"/>
      <c r="Y1599" s="32"/>
      <c r="Z1599" s="32"/>
    </row>
    <row r="1600" spans="1:26" ht="15.75" customHeight="1" x14ac:dyDescent="0.3">
      <c r="A1600" s="45">
        <v>810</v>
      </c>
      <c r="B1600" s="46" t="s">
        <v>291</v>
      </c>
      <c r="C1600" s="194" t="s">
        <v>1368</v>
      </c>
      <c r="D1600" s="46"/>
      <c r="E1600" s="219" t="s">
        <v>1852</v>
      </c>
      <c r="F1600" s="61" t="s">
        <v>31</v>
      </c>
      <c r="G1600" s="342">
        <v>155.69999999999999</v>
      </c>
      <c r="H1600" s="332">
        <v>8</v>
      </c>
      <c r="I1600" s="333">
        <v>1</v>
      </c>
      <c r="J1600" s="447" t="s">
        <v>200</v>
      </c>
      <c r="K1600" s="50" t="s">
        <v>2019</v>
      </c>
      <c r="L1600" s="53" t="str">
        <f t="shared" si="317"/>
        <v>1gal</v>
      </c>
      <c r="M1600" s="54">
        <f t="shared" si="318"/>
        <v>8</v>
      </c>
      <c r="N1600" s="55" t="str">
        <f t="shared" si="319"/>
        <v>8gal</v>
      </c>
      <c r="O1600" s="56">
        <f t="shared" si="320"/>
        <v>1245.5999999999999</v>
      </c>
      <c r="P1600" s="44">
        <f t="shared" si="333"/>
        <v>155.69999999999999</v>
      </c>
      <c r="Q1600" s="66">
        <f t="shared" si="334"/>
        <v>0</v>
      </c>
      <c r="R1600" s="32" t="b">
        <f t="shared" si="335"/>
        <v>1</v>
      </c>
      <c r="S1600" s="32"/>
      <c r="T1600" s="32"/>
      <c r="U1600" s="32"/>
      <c r="V1600" s="32"/>
      <c r="W1600" s="32"/>
      <c r="X1600" s="32"/>
      <c r="Y1600" s="32"/>
      <c r="Z1600" s="32"/>
    </row>
    <row r="1601" spans="1:26" ht="15.75" customHeight="1" x14ac:dyDescent="0.3">
      <c r="A1601" s="45"/>
      <c r="B1601" s="96" t="s">
        <v>291</v>
      </c>
      <c r="C1601" s="194" t="s">
        <v>2023</v>
      </c>
      <c r="D1601" s="46"/>
      <c r="E1601" s="96" t="s">
        <v>1069</v>
      </c>
      <c r="F1601" s="61" t="s">
        <v>31</v>
      </c>
      <c r="G1601" s="342">
        <v>70</v>
      </c>
      <c r="H1601" s="332">
        <v>19</v>
      </c>
      <c r="I1601" s="333">
        <v>3500</v>
      </c>
      <c r="J1601" s="447" t="s">
        <v>32</v>
      </c>
      <c r="K1601" s="50"/>
      <c r="L1601" s="53" t="str">
        <f t="shared" si="317"/>
        <v>3500ml</v>
      </c>
      <c r="M1601" s="54">
        <f t="shared" si="318"/>
        <v>66500</v>
      </c>
      <c r="N1601" s="55" t="str">
        <f t="shared" si="319"/>
        <v>66500ml</v>
      </c>
      <c r="O1601" s="56">
        <f t="shared" si="320"/>
        <v>1330</v>
      </c>
      <c r="P1601" s="12"/>
      <c r="Q1601" s="12"/>
      <c r="R1601" s="12"/>
      <c r="S1601" s="151"/>
      <c r="T1601" s="12"/>
      <c r="U1601" s="12"/>
      <c r="V1601" s="12"/>
      <c r="W1601" s="12"/>
      <c r="X1601" s="12"/>
      <c r="Y1601" s="12"/>
      <c r="Z1601" s="12"/>
    </row>
    <row r="1602" spans="1:26" ht="15.75" customHeight="1" x14ac:dyDescent="0.3">
      <c r="A1602" s="45"/>
      <c r="B1602" s="96" t="s">
        <v>291</v>
      </c>
      <c r="C1602" s="194" t="s">
        <v>2022</v>
      </c>
      <c r="D1602" s="46"/>
      <c r="E1602" s="96" t="s">
        <v>1071</v>
      </c>
      <c r="F1602" s="61" t="s">
        <v>31</v>
      </c>
      <c r="G1602" s="342">
        <v>65</v>
      </c>
      <c r="H1602" s="332">
        <v>7</v>
      </c>
      <c r="I1602" s="333">
        <v>1</v>
      </c>
      <c r="J1602" s="447" t="s">
        <v>200</v>
      </c>
      <c r="K1602" s="50"/>
      <c r="L1602" s="53" t="str">
        <f t="shared" si="317"/>
        <v>1gal</v>
      </c>
      <c r="M1602" s="54">
        <f t="shared" si="318"/>
        <v>7</v>
      </c>
      <c r="N1602" s="55" t="str">
        <f t="shared" si="319"/>
        <v>7gal</v>
      </c>
      <c r="O1602" s="56">
        <f t="shared" si="320"/>
        <v>455</v>
      </c>
      <c r="P1602" s="12"/>
      <c r="Q1602" s="12"/>
      <c r="R1602" s="12"/>
      <c r="S1602" s="151"/>
      <c r="T1602" s="12"/>
      <c r="U1602" s="12"/>
      <c r="V1602" s="12"/>
      <c r="W1602" s="12"/>
      <c r="X1602" s="12"/>
      <c r="Y1602" s="12"/>
      <c r="Z1602" s="12"/>
    </row>
    <row r="1603" spans="1:26" ht="15.75" customHeight="1" x14ac:dyDescent="0.3">
      <c r="A1603" s="45"/>
      <c r="B1603" s="340" t="s">
        <v>291</v>
      </c>
      <c r="C1603" s="194" t="s">
        <v>2021</v>
      </c>
      <c r="D1603" s="46"/>
      <c r="E1603" s="340" t="s">
        <v>1069</v>
      </c>
      <c r="F1603" s="61" t="s">
        <v>31</v>
      </c>
      <c r="G1603" s="341">
        <v>65</v>
      </c>
      <c r="H1603" s="335">
        <v>10</v>
      </c>
      <c r="I1603" s="336">
        <v>3500</v>
      </c>
      <c r="J1603" s="448" t="s">
        <v>32</v>
      </c>
      <c r="K1603" s="50"/>
      <c r="L1603" s="53" t="str">
        <f t="shared" si="317"/>
        <v>3500ml</v>
      </c>
      <c r="M1603" s="54">
        <f t="shared" si="318"/>
        <v>35000</v>
      </c>
      <c r="N1603" s="55" t="str">
        <f t="shared" si="319"/>
        <v>35000ml</v>
      </c>
      <c r="O1603" s="56">
        <f t="shared" si="320"/>
        <v>650</v>
      </c>
      <c r="P1603" s="12"/>
      <c r="Q1603" s="12"/>
      <c r="R1603" s="12"/>
      <c r="S1603" s="151"/>
      <c r="T1603" s="12"/>
      <c r="U1603" s="12"/>
      <c r="V1603" s="12"/>
      <c r="W1603" s="12"/>
      <c r="X1603" s="12"/>
      <c r="Y1603" s="12"/>
      <c r="Z1603" s="12"/>
    </row>
    <row r="1604" spans="1:26" ht="15.75" customHeight="1" x14ac:dyDescent="0.3">
      <c r="A1604" s="45"/>
      <c r="B1604" s="348" t="s">
        <v>291</v>
      </c>
      <c r="C1604" s="194" t="s">
        <v>2021</v>
      </c>
      <c r="D1604" s="46"/>
      <c r="E1604" s="340" t="s">
        <v>1853</v>
      </c>
      <c r="F1604" s="61" t="s">
        <v>31</v>
      </c>
      <c r="G1604" s="341">
        <v>41.5</v>
      </c>
      <c r="H1604" s="335">
        <v>1</v>
      </c>
      <c r="I1604" s="336">
        <v>1</v>
      </c>
      <c r="J1604" s="448" t="s">
        <v>773</v>
      </c>
      <c r="K1604" s="50"/>
      <c r="L1604" s="53" t="str">
        <f t="shared" si="317"/>
        <v>1liters</v>
      </c>
      <c r="M1604" s="54">
        <f t="shared" si="318"/>
        <v>1</v>
      </c>
      <c r="N1604" s="55" t="str">
        <f t="shared" si="319"/>
        <v>1liters</v>
      </c>
      <c r="O1604" s="56">
        <f t="shared" si="320"/>
        <v>41.5</v>
      </c>
      <c r="P1604" s="12"/>
      <c r="Q1604" s="12"/>
      <c r="R1604" s="12"/>
      <c r="S1604" s="151"/>
      <c r="T1604" s="12"/>
      <c r="U1604" s="12"/>
      <c r="V1604" s="12"/>
      <c r="W1604" s="12"/>
      <c r="X1604" s="12"/>
      <c r="Y1604" s="12"/>
      <c r="Z1604" s="12"/>
    </row>
    <row r="1605" spans="1:26" ht="15.75" customHeight="1" x14ac:dyDescent="0.3">
      <c r="A1605" s="45"/>
      <c r="B1605" s="348" t="s">
        <v>291</v>
      </c>
      <c r="C1605" s="194" t="s">
        <v>2021</v>
      </c>
      <c r="D1605" s="46"/>
      <c r="E1605" s="340" t="s">
        <v>1852</v>
      </c>
      <c r="F1605" s="61" t="s">
        <v>31</v>
      </c>
      <c r="G1605" s="291">
        <v>41.5</v>
      </c>
      <c r="H1605" s="292">
        <v>1</v>
      </c>
      <c r="I1605" s="336">
        <v>1</v>
      </c>
      <c r="J1605" s="414" t="s">
        <v>773</v>
      </c>
      <c r="K1605" s="50"/>
      <c r="L1605" s="53" t="str">
        <f t="shared" si="317"/>
        <v>1liters</v>
      </c>
      <c r="M1605" s="54">
        <f t="shared" si="318"/>
        <v>1</v>
      </c>
      <c r="N1605" s="55" t="str">
        <f t="shared" si="319"/>
        <v>1liters</v>
      </c>
      <c r="O1605" s="56">
        <f t="shared" si="320"/>
        <v>41.5</v>
      </c>
      <c r="P1605" s="12"/>
      <c r="Q1605" s="12"/>
      <c r="R1605" s="12"/>
      <c r="S1605" s="151"/>
      <c r="T1605" s="12"/>
      <c r="U1605" s="12"/>
      <c r="V1605" s="12"/>
      <c r="W1605" s="12"/>
      <c r="X1605" s="12"/>
      <c r="Y1605" s="12"/>
      <c r="Z1605" s="12"/>
    </row>
    <row r="1606" spans="1:26" ht="15.75" customHeight="1" x14ac:dyDescent="0.3">
      <c r="A1606" s="45"/>
      <c r="B1606" s="347" t="s">
        <v>1854</v>
      </c>
      <c r="C1606" s="194" t="s">
        <v>2020</v>
      </c>
      <c r="D1606" s="47"/>
      <c r="E1606" s="96" t="s">
        <v>1124</v>
      </c>
      <c r="F1606" s="61" t="s">
        <v>31</v>
      </c>
      <c r="G1606" s="342">
        <v>31.55</v>
      </c>
      <c r="H1606" s="332">
        <v>15</v>
      </c>
      <c r="I1606" s="333">
        <v>50</v>
      </c>
      <c r="J1606" s="48" t="s">
        <v>39</v>
      </c>
      <c r="K1606" s="50"/>
      <c r="L1606" s="53" t="str">
        <f t="shared" si="317"/>
        <v>50grams</v>
      </c>
      <c r="M1606" s="54">
        <f t="shared" si="318"/>
        <v>750</v>
      </c>
      <c r="N1606" s="55" t="str">
        <f t="shared" si="319"/>
        <v>750grams</v>
      </c>
      <c r="O1606" s="56">
        <f t="shared" si="320"/>
        <v>473.25</v>
      </c>
      <c r="P1606" s="12"/>
      <c r="Q1606" s="12"/>
      <c r="R1606" s="12"/>
      <c r="S1606" s="151"/>
      <c r="T1606" s="12"/>
      <c r="U1606" s="12"/>
      <c r="V1606" s="12"/>
      <c r="W1606" s="12"/>
      <c r="X1606" s="12"/>
      <c r="Y1606" s="12"/>
      <c r="Z1606" s="12"/>
    </row>
    <row r="1607" spans="1:26" ht="15.75" customHeight="1" x14ac:dyDescent="0.3">
      <c r="A1607" s="45">
        <v>643</v>
      </c>
      <c r="B1607" s="455" t="s">
        <v>1855</v>
      </c>
      <c r="C1607" s="194" t="s">
        <v>2026</v>
      </c>
      <c r="D1607" s="46"/>
      <c r="E1607" s="96" t="s">
        <v>1856</v>
      </c>
      <c r="F1607" s="61" t="s">
        <v>31</v>
      </c>
      <c r="G1607" s="342">
        <v>10.8</v>
      </c>
      <c r="H1607" s="332">
        <v>24</v>
      </c>
      <c r="I1607" s="333">
        <v>48</v>
      </c>
      <c r="J1607" s="447" t="s">
        <v>39</v>
      </c>
      <c r="K1607" s="50"/>
      <c r="L1607" s="53" t="str">
        <f t="shared" si="317"/>
        <v>48grams</v>
      </c>
      <c r="M1607" s="54">
        <f t="shared" si="318"/>
        <v>1152</v>
      </c>
      <c r="N1607" s="55" t="str">
        <f t="shared" si="319"/>
        <v>1152grams</v>
      </c>
      <c r="O1607" s="56">
        <f t="shared" si="320"/>
        <v>259.20000000000005</v>
      </c>
      <c r="P1607" s="44">
        <f t="shared" ref="P1607:P1610" si="336">O1607/H1607</f>
        <v>10.800000000000002</v>
      </c>
      <c r="Q1607" s="66"/>
      <c r="R1607" s="32"/>
      <c r="S1607" s="32"/>
      <c r="T1607" s="32"/>
      <c r="U1607" s="32"/>
      <c r="V1607" s="32"/>
      <c r="W1607" s="32"/>
      <c r="X1607" s="32"/>
      <c r="Y1607" s="32"/>
      <c r="Z1607" s="32"/>
    </row>
    <row r="1608" spans="1:26" ht="15.75" customHeight="1" x14ac:dyDescent="0.3">
      <c r="A1608" s="45">
        <v>651</v>
      </c>
      <c r="B1608" s="96" t="s">
        <v>1855</v>
      </c>
      <c r="C1608" s="194" t="s">
        <v>2026</v>
      </c>
      <c r="D1608" s="46"/>
      <c r="E1608" s="96" t="s">
        <v>1857</v>
      </c>
      <c r="F1608" s="61" t="s">
        <v>31</v>
      </c>
      <c r="G1608" s="342">
        <v>15.88</v>
      </c>
      <c r="H1608" s="332">
        <v>24</v>
      </c>
      <c r="I1608" s="333">
        <v>48</v>
      </c>
      <c r="J1608" s="447" t="s">
        <v>39</v>
      </c>
      <c r="K1608" s="50"/>
      <c r="L1608" s="53" t="str">
        <f t="shared" si="317"/>
        <v>48grams</v>
      </c>
      <c r="M1608" s="54">
        <f t="shared" si="318"/>
        <v>1152</v>
      </c>
      <c r="N1608" s="55" t="str">
        <f t="shared" si="319"/>
        <v>1152grams</v>
      </c>
      <c r="O1608" s="56">
        <f t="shared" si="320"/>
        <v>381.12</v>
      </c>
      <c r="P1608" s="44">
        <f t="shared" si="336"/>
        <v>15.88</v>
      </c>
      <c r="Q1608" s="66"/>
      <c r="R1608" s="32" t="b">
        <f t="shared" ref="R1608:R1610" si="337">P1608=G1608</f>
        <v>1</v>
      </c>
      <c r="S1608" s="32"/>
      <c r="T1608" s="32"/>
      <c r="U1608" s="32"/>
      <c r="V1608" s="32"/>
      <c r="W1608" s="32"/>
      <c r="X1608" s="32"/>
      <c r="Y1608" s="32"/>
      <c r="Z1608" s="32"/>
    </row>
    <row r="1609" spans="1:26" ht="15.75" customHeight="1" x14ac:dyDescent="0.3">
      <c r="A1609" s="45">
        <v>593</v>
      </c>
      <c r="B1609" s="96" t="s">
        <v>1855</v>
      </c>
      <c r="C1609" s="194" t="s">
        <v>2026</v>
      </c>
      <c r="D1609" s="46"/>
      <c r="E1609" s="96" t="s">
        <v>1858</v>
      </c>
      <c r="F1609" s="61" t="s">
        <v>31</v>
      </c>
      <c r="G1609" s="342">
        <v>6.5</v>
      </c>
      <c r="H1609" s="332">
        <v>32</v>
      </c>
      <c r="I1609" s="333">
        <v>20</v>
      </c>
      <c r="J1609" s="447" t="s">
        <v>39</v>
      </c>
      <c r="K1609" s="50"/>
      <c r="L1609" s="53" t="str">
        <f t="shared" si="317"/>
        <v>20grams</v>
      </c>
      <c r="M1609" s="54">
        <f t="shared" si="318"/>
        <v>640</v>
      </c>
      <c r="N1609" s="55" t="str">
        <f t="shared" si="319"/>
        <v>640grams</v>
      </c>
      <c r="O1609" s="56">
        <f t="shared" si="320"/>
        <v>208</v>
      </c>
      <c r="P1609" s="44">
        <f t="shared" si="336"/>
        <v>6.5</v>
      </c>
      <c r="Q1609" s="66"/>
      <c r="R1609" s="32" t="b">
        <f t="shared" si="337"/>
        <v>1</v>
      </c>
      <c r="S1609" s="32"/>
      <c r="T1609" s="32"/>
      <c r="U1609" s="32"/>
      <c r="V1609" s="32"/>
      <c r="W1609" s="32"/>
      <c r="X1609" s="32"/>
      <c r="Y1609" s="32"/>
      <c r="Z1609" s="32"/>
    </row>
    <row r="1610" spans="1:26" ht="15.75" customHeight="1" x14ac:dyDescent="0.3">
      <c r="A1610" s="45">
        <v>652</v>
      </c>
      <c r="B1610" s="96" t="s">
        <v>1855</v>
      </c>
      <c r="C1610" s="194" t="s">
        <v>2026</v>
      </c>
      <c r="D1610" s="46"/>
      <c r="E1610" s="96" t="s">
        <v>1859</v>
      </c>
      <c r="F1610" s="61" t="s">
        <v>31</v>
      </c>
      <c r="G1610" s="342">
        <v>13</v>
      </c>
      <c r="H1610" s="332">
        <v>24</v>
      </c>
      <c r="I1610" s="333">
        <v>55</v>
      </c>
      <c r="J1610" s="447" t="s">
        <v>39</v>
      </c>
      <c r="K1610" s="50"/>
      <c r="L1610" s="53" t="str">
        <f t="shared" si="317"/>
        <v>55grams</v>
      </c>
      <c r="M1610" s="54">
        <f t="shared" si="318"/>
        <v>1320</v>
      </c>
      <c r="N1610" s="55" t="str">
        <f t="shared" si="319"/>
        <v>1320grams</v>
      </c>
      <c r="O1610" s="56">
        <f t="shared" si="320"/>
        <v>312</v>
      </c>
      <c r="P1610" s="44">
        <f t="shared" si="336"/>
        <v>13</v>
      </c>
      <c r="Q1610" s="66"/>
      <c r="R1610" s="32" t="b">
        <f t="shared" si="337"/>
        <v>1</v>
      </c>
      <c r="S1610" s="32"/>
      <c r="T1610" s="32"/>
      <c r="U1610" s="32"/>
      <c r="V1610" s="32"/>
      <c r="W1610" s="32"/>
      <c r="X1610" s="32"/>
      <c r="Y1610" s="32"/>
      <c r="Z1610" s="32"/>
    </row>
    <row r="1611" spans="1:26" ht="15.75" customHeight="1" x14ac:dyDescent="0.3">
      <c r="A1611" s="45"/>
      <c r="B1611" s="219" t="s">
        <v>1860</v>
      </c>
      <c r="C1611" s="194" t="s">
        <v>2021</v>
      </c>
      <c r="D1611" s="46"/>
      <c r="E1611" s="219" t="s">
        <v>1861</v>
      </c>
      <c r="F1611" s="61" t="s">
        <v>31</v>
      </c>
      <c r="G1611" s="354">
        <v>165</v>
      </c>
      <c r="H1611" s="335">
        <v>1</v>
      </c>
      <c r="I1611" s="336">
        <v>150</v>
      </c>
      <c r="J1611" s="448" t="s">
        <v>39</v>
      </c>
      <c r="K1611" s="50"/>
      <c r="L1611" s="53" t="str">
        <f t="shared" si="317"/>
        <v>150grams</v>
      </c>
      <c r="M1611" s="54">
        <f t="shared" si="318"/>
        <v>150</v>
      </c>
      <c r="N1611" s="55" t="str">
        <f t="shared" si="319"/>
        <v>150grams</v>
      </c>
      <c r="O1611" s="56">
        <f t="shared" si="320"/>
        <v>165</v>
      </c>
      <c r="P1611" s="12"/>
      <c r="Q1611" s="12"/>
      <c r="R1611" s="12"/>
      <c r="S1611" s="151"/>
      <c r="T1611" s="12"/>
      <c r="U1611" s="12"/>
      <c r="V1611" s="12"/>
      <c r="W1611" s="12"/>
      <c r="X1611" s="12"/>
      <c r="Y1611" s="12"/>
      <c r="Z1611" s="12"/>
    </row>
    <row r="1612" spans="1:26" ht="15.75" customHeight="1" x14ac:dyDescent="0.3">
      <c r="A1612" s="45"/>
      <c r="B1612" s="219" t="s">
        <v>1862</v>
      </c>
      <c r="C1612" s="194" t="s">
        <v>2021</v>
      </c>
      <c r="D1612" s="96"/>
      <c r="E1612" s="219" t="s">
        <v>1042</v>
      </c>
      <c r="F1612" s="61" t="s">
        <v>31</v>
      </c>
      <c r="G1612" s="341">
        <v>93.6</v>
      </c>
      <c r="H1612" s="335">
        <v>1</v>
      </c>
      <c r="I1612" s="336">
        <v>304</v>
      </c>
      <c r="J1612" s="452" t="s">
        <v>39</v>
      </c>
      <c r="K1612" s="50"/>
      <c r="L1612" s="53" t="str">
        <f t="shared" si="317"/>
        <v>304grams</v>
      </c>
      <c r="M1612" s="54">
        <f t="shared" si="318"/>
        <v>304</v>
      </c>
      <c r="N1612" s="55" t="str">
        <f t="shared" si="319"/>
        <v>304grams</v>
      </c>
      <c r="O1612" s="56">
        <f t="shared" si="320"/>
        <v>93.6</v>
      </c>
      <c r="P1612" s="12"/>
      <c r="Q1612" s="12"/>
      <c r="R1612" s="12"/>
      <c r="S1612" s="151"/>
      <c r="T1612" s="12"/>
      <c r="U1612" s="12"/>
      <c r="V1612" s="12"/>
      <c r="W1612" s="12"/>
      <c r="X1612" s="12"/>
      <c r="Y1612" s="12"/>
      <c r="Z1612" s="12"/>
    </row>
    <row r="1613" spans="1:26" ht="15.75" customHeight="1" x14ac:dyDescent="0.3">
      <c r="A1613" s="45"/>
      <c r="B1613" s="219" t="s">
        <v>1863</v>
      </c>
      <c r="C1613" s="194" t="s">
        <v>2021</v>
      </c>
      <c r="D1613" s="96"/>
      <c r="E1613" s="219" t="s">
        <v>1864</v>
      </c>
      <c r="F1613" s="61" t="s">
        <v>31</v>
      </c>
      <c r="G1613" s="341">
        <v>732</v>
      </c>
      <c r="H1613" s="335">
        <v>1</v>
      </c>
      <c r="I1613" s="336">
        <v>1</v>
      </c>
      <c r="J1613" s="448" t="s">
        <v>1865</v>
      </c>
      <c r="K1613" s="50"/>
      <c r="L1613" s="53" t="str">
        <f t="shared" si="317"/>
        <v>1tin</v>
      </c>
      <c r="M1613" s="54">
        <f t="shared" si="318"/>
        <v>1</v>
      </c>
      <c r="N1613" s="55" t="str">
        <f t="shared" si="319"/>
        <v>1tin</v>
      </c>
      <c r="O1613" s="56">
        <f t="shared" si="320"/>
        <v>732</v>
      </c>
      <c r="P1613" s="12"/>
      <c r="Q1613" s="12"/>
      <c r="R1613" s="12"/>
      <c r="S1613" s="151"/>
      <c r="T1613" s="12"/>
      <c r="U1613" s="12"/>
      <c r="V1613" s="12"/>
      <c r="W1613" s="12"/>
      <c r="X1613" s="12"/>
      <c r="Y1613" s="12"/>
      <c r="Z1613" s="12"/>
    </row>
    <row r="1614" spans="1:26" ht="15.75" customHeight="1" x14ac:dyDescent="0.3">
      <c r="A1614" s="45">
        <v>917</v>
      </c>
      <c r="B1614" s="46" t="s">
        <v>1866</v>
      </c>
      <c r="C1614" s="194" t="s">
        <v>1368</v>
      </c>
      <c r="D1614" s="96"/>
      <c r="E1614" s="46" t="s">
        <v>1115</v>
      </c>
      <c r="F1614" s="61" t="s">
        <v>31</v>
      </c>
      <c r="G1614" s="342">
        <v>520</v>
      </c>
      <c r="H1614" s="332">
        <v>1</v>
      </c>
      <c r="I1614" s="333">
        <v>1</v>
      </c>
      <c r="J1614" s="447" t="s">
        <v>210</v>
      </c>
      <c r="K1614" s="50"/>
      <c r="L1614" s="53" t="str">
        <f t="shared" si="317"/>
        <v>1roll</v>
      </c>
      <c r="M1614" s="54">
        <f t="shared" si="318"/>
        <v>1</v>
      </c>
      <c r="N1614" s="55" t="str">
        <f t="shared" si="319"/>
        <v>1roll</v>
      </c>
      <c r="O1614" s="56">
        <f t="shared" si="320"/>
        <v>520</v>
      </c>
      <c r="P1614" s="44"/>
      <c r="Q1614" s="66"/>
      <c r="R1614" s="32"/>
      <c r="S1614" s="32"/>
      <c r="T1614" s="32"/>
      <c r="U1614" s="32"/>
      <c r="V1614" s="32"/>
      <c r="W1614" s="32"/>
      <c r="X1614" s="32"/>
      <c r="Y1614" s="32"/>
      <c r="Z1614" s="32"/>
    </row>
    <row r="1615" spans="1:26" ht="15.75" customHeight="1" x14ac:dyDescent="0.3">
      <c r="A1615" s="45">
        <v>536</v>
      </c>
      <c r="B1615" s="46" t="s">
        <v>1867</v>
      </c>
      <c r="C1615" s="194" t="s">
        <v>2026</v>
      </c>
      <c r="D1615" s="96"/>
      <c r="E1615" s="68" t="s">
        <v>1868</v>
      </c>
      <c r="F1615" s="61" t="s">
        <v>31</v>
      </c>
      <c r="G1615" s="342">
        <v>85</v>
      </c>
      <c r="H1615" s="332">
        <v>3</v>
      </c>
      <c r="I1615" s="338">
        <v>600</v>
      </c>
      <c r="J1615" s="80" t="s">
        <v>39</v>
      </c>
      <c r="K1615" s="50" t="s">
        <v>2019</v>
      </c>
      <c r="L1615" s="53" t="str">
        <f t="shared" si="317"/>
        <v>600grams</v>
      </c>
      <c r="M1615" s="54">
        <f t="shared" si="318"/>
        <v>1800</v>
      </c>
      <c r="N1615" s="55" t="str">
        <f t="shared" si="319"/>
        <v>1800grams</v>
      </c>
      <c r="O1615" s="56">
        <f t="shared" si="320"/>
        <v>255</v>
      </c>
      <c r="P1615" s="44">
        <f>O1615/H1615</f>
        <v>85</v>
      </c>
      <c r="Q1615" s="66">
        <f>G1615-P1615</f>
        <v>0</v>
      </c>
      <c r="R1615" s="32" t="b">
        <f>P1615=G1615</f>
        <v>1</v>
      </c>
      <c r="S1615" s="32"/>
      <c r="T1615" s="32"/>
      <c r="U1615" s="32"/>
      <c r="V1615" s="32"/>
      <c r="W1615" s="32"/>
      <c r="X1615" s="32"/>
      <c r="Y1615" s="32"/>
      <c r="Z1615" s="32"/>
    </row>
    <row r="1616" spans="1:26" ht="15.75" customHeight="1" x14ac:dyDescent="0.3">
      <c r="A1616" s="45"/>
      <c r="B1616" s="355" t="s">
        <v>1867</v>
      </c>
      <c r="C1616" s="194" t="s">
        <v>2021</v>
      </c>
      <c r="D1616" s="340"/>
      <c r="E1616" s="219" t="s">
        <v>1868</v>
      </c>
      <c r="F1616" s="61" t="s">
        <v>31</v>
      </c>
      <c r="G1616" s="341">
        <v>85</v>
      </c>
      <c r="H1616" s="335">
        <v>1</v>
      </c>
      <c r="I1616" s="336">
        <v>600</v>
      </c>
      <c r="J1616" s="448" t="s">
        <v>39</v>
      </c>
      <c r="K1616" s="50"/>
      <c r="L1616" s="53" t="str">
        <f t="shared" si="317"/>
        <v>600grams</v>
      </c>
      <c r="M1616" s="54">
        <f t="shared" si="318"/>
        <v>600</v>
      </c>
      <c r="N1616" s="55" t="str">
        <f t="shared" si="319"/>
        <v>600grams</v>
      </c>
      <c r="O1616" s="56">
        <f t="shared" si="320"/>
        <v>85</v>
      </c>
      <c r="P1616" s="12"/>
      <c r="Q1616" s="12"/>
      <c r="R1616" s="12"/>
      <c r="S1616" s="151"/>
      <c r="T1616" s="12"/>
      <c r="U1616" s="12"/>
      <c r="V1616" s="12"/>
      <c r="W1616" s="12"/>
      <c r="X1616" s="12"/>
      <c r="Y1616" s="12"/>
      <c r="Z1616" s="12"/>
    </row>
    <row r="1617" spans="1:26" ht="15.75" customHeight="1" x14ac:dyDescent="0.3">
      <c r="A1617" s="45"/>
      <c r="B1617" s="356" t="s">
        <v>1869</v>
      </c>
      <c r="C1617" s="194" t="s">
        <v>2022</v>
      </c>
      <c r="D1617" s="96"/>
      <c r="E1617" s="46" t="s">
        <v>991</v>
      </c>
      <c r="F1617" s="61" t="s">
        <v>31</v>
      </c>
      <c r="G1617" s="342">
        <v>2.68</v>
      </c>
      <c r="H1617" s="332">
        <v>33</v>
      </c>
      <c r="I1617" s="333">
        <v>100</v>
      </c>
      <c r="J1617" s="447" t="s">
        <v>92</v>
      </c>
      <c r="K1617" s="50"/>
      <c r="L1617" s="53" t="str">
        <f t="shared" si="317"/>
        <v>100pieces</v>
      </c>
      <c r="M1617" s="54">
        <f t="shared" si="318"/>
        <v>3300</v>
      </c>
      <c r="N1617" s="55" t="str">
        <f t="shared" si="319"/>
        <v>3300pieces</v>
      </c>
      <c r="O1617" s="56">
        <f t="shared" si="320"/>
        <v>88.440000000000012</v>
      </c>
      <c r="P1617" s="12"/>
      <c r="Q1617" s="12"/>
      <c r="R1617" s="12"/>
      <c r="S1617" s="151"/>
      <c r="T1617" s="12"/>
      <c r="U1617" s="12"/>
      <c r="V1617" s="12"/>
      <c r="W1617" s="12"/>
      <c r="X1617" s="12"/>
      <c r="Y1617" s="12"/>
      <c r="Z1617" s="12"/>
    </row>
    <row r="1618" spans="1:26" ht="15.75" customHeight="1" x14ac:dyDescent="0.3">
      <c r="A1618" s="45">
        <v>275</v>
      </c>
      <c r="B1618" s="356" t="s">
        <v>1870</v>
      </c>
      <c r="C1618" s="194" t="s">
        <v>2025</v>
      </c>
      <c r="D1618" s="96"/>
      <c r="E1618" s="46" t="s">
        <v>865</v>
      </c>
      <c r="F1618" s="61" t="s">
        <v>31</v>
      </c>
      <c r="G1618" s="342">
        <v>43.9</v>
      </c>
      <c r="H1618" s="332">
        <v>10</v>
      </c>
      <c r="I1618" s="333">
        <v>250</v>
      </c>
      <c r="J1618" s="447" t="s">
        <v>519</v>
      </c>
      <c r="K1618" s="50"/>
      <c r="L1618" s="53" t="str">
        <f t="shared" si="317"/>
        <v>250drained weight grams</v>
      </c>
      <c r="M1618" s="54">
        <f t="shared" si="318"/>
        <v>2500</v>
      </c>
      <c r="N1618" s="55" t="str">
        <f t="shared" si="319"/>
        <v>2500drained weight grams</v>
      </c>
      <c r="O1618" s="56">
        <f t="shared" si="320"/>
        <v>439</v>
      </c>
      <c r="P1618" s="44">
        <f>O1618/H1618</f>
        <v>43.9</v>
      </c>
      <c r="Q1618" s="66"/>
      <c r="R1618" s="32"/>
      <c r="S1618" s="32"/>
      <c r="T1618" s="32"/>
      <c r="U1618" s="32"/>
      <c r="V1618" s="32"/>
      <c r="W1618" s="32"/>
      <c r="X1618" s="32"/>
      <c r="Y1618" s="32"/>
      <c r="Z1618" s="32"/>
    </row>
    <row r="1619" spans="1:26" ht="15.75" customHeight="1" x14ac:dyDescent="0.3">
      <c r="A1619" s="45"/>
      <c r="B1619" s="46" t="s">
        <v>1870</v>
      </c>
      <c r="C1619" s="194" t="s">
        <v>2020</v>
      </c>
      <c r="D1619" s="96"/>
      <c r="E1619" s="46" t="s">
        <v>865</v>
      </c>
      <c r="F1619" s="61" t="s">
        <v>31</v>
      </c>
      <c r="G1619" s="350">
        <v>42.3</v>
      </c>
      <c r="H1619" s="332">
        <v>6</v>
      </c>
      <c r="I1619" s="333">
        <v>425</v>
      </c>
      <c r="J1619" s="447" t="s">
        <v>39</v>
      </c>
      <c r="K1619" s="50"/>
      <c r="L1619" s="53" t="str">
        <f t="shared" si="317"/>
        <v>425grams</v>
      </c>
      <c r="M1619" s="54">
        <f t="shared" si="318"/>
        <v>2550</v>
      </c>
      <c r="N1619" s="55" t="str">
        <f t="shared" si="319"/>
        <v>2550grams</v>
      </c>
      <c r="O1619" s="56">
        <f t="shared" si="320"/>
        <v>253.79999999999998</v>
      </c>
      <c r="P1619" s="12"/>
      <c r="Q1619" s="12"/>
      <c r="R1619" s="12"/>
      <c r="S1619" s="151"/>
      <c r="T1619" s="12"/>
      <c r="U1619" s="12"/>
      <c r="V1619" s="12"/>
      <c r="W1619" s="12"/>
      <c r="X1619" s="12"/>
      <c r="Y1619" s="12"/>
      <c r="Z1619" s="12"/>
    </row>
    <row r="1620" spans="1:26" ht="15.75" customHeight="1" x14ac:dyDescent="0.3">
      <c r="A1620" s="45"/>
      <c r="B1620" s="46" t="s">
        <v>1871</v>
      </c>
      <c r="C1620" s="194" t="s">
        <v>2020</v>
      </c>
      <c r="D1620" s="46"/>
      <c r="E1620" s="46" t="s">
        <v>865</v>
      </c>
      <c r="F1620" s="61" t="s">
        <v>31</v>
      </c>
      <c r="G1620" s="342">
        <v>60.8</v>
      </c>
      <c r="H1620" s="332">
        <v>5</v>
      </c>
      <c r="I1620" s="333">
        <v>400</v>
      </c>
      <c r="J1620" s="447" t="s">
        <v>39</v>
      </c>
      <c r="K1620" s="50"/>
      <c r="L1620" s="53" t="str">
        <f t="shared" si="317"/>
        <v>400grams</v>
      </c>
      <c r="M1620" s="54">
        <f t="shared" si="318"/>
        <v>2000</v>
      </c>
      <c r="N1620" s="55" t="str">
        <f t="shared" si="319"/>
        <v>2000grams</v>
      </c>
      <c r="O1620" s="56">
        <f t="shared" si="320"/>
        <v>304</v>
      </c>
      <c r="P1620" s="12"/>
      <c r="Q1620" s="12"/>
      <c r="R1620" s="12"/>
      <c r="S1620" s="151"/>
      <c r="T1620" s="12"/>
      <c r="U1620" s="12"/>
      <c r="V1620" s="12"/>
      <c r="W1620" s="12"/>
      <c r="X1620" s="12"/>
      <c r="Y1620" s="12"/>
      <c r="Z1620" s="12"/>
    </row>
    <row r="1621" spans="1:26" ht="15.75" customHeight="1" x14ac:dyDescent="0.3">
      <c r="A1621" s="45">
        <v>276</v>
      </c>
      <c r="B1621" s="46" t="s">
        <v>1872</v>
      </c>
      <c r="C1621" s="194" t="s">
        <v>2025</v>
      </c>
      <c r="D1621" s="46"/>
      <c r="E1621" s="46" t="s">
        <v>1873</v>
      </c>
      <c r="F1621" s="61" t="s">
        <v>31</v>
      </c>
      <c r="G1621" s="342">
        <v>68</v>
      </c>
      <c r="H1621" s="332">
        <v>14</v>
      </c>
      <c r="I1621" s="333">
        <v>225</v>
      </c>
      <c r="J1621" s="447" t="s">
        <v>519</v>
      </c>
      <c r="K1621" s="50"/>
      <c r="L1621" s="53" t="str">
        <f t="shared" si="317"/>
        <v>225drained weight grams</v>
      </c>
      <c r="M1621" s="54">
        <f t="shared" si="318"/>
        <v>3150</v>
      </c>
      <c r="N1621" s="55" t="str">
        <f t="shared" si="319"/>
        <v>3150drained weight grams</v>
      </c>
      <c r="O1621" s="56">
        <f t="shared" si="320"/>
        <v>952</v>
      </c>
      <c r="P1621" s="44">
        <f t="shared" ref="P1621:P1623" si="338">O1621/H1621</f>
        <v>68</v>
      </c>
      <c r="Q1621" s="66"/>
      <c r="R1621" s="32"/>
      <c r="S1621" s="32"/>
      <c r="T1621" s="32"/>
      <c r="U1621" s="32"/>
      <c r="V1621" s="32"/>
      <c r="W1621" s="32"/>
      <c r="X1621" s="32"/>
      <c r="Y1621" s="32"/>
      <c r="Z1621" s="32"/>
    </row>
    <row r="1622" spans="1:26" ht="15.75" customHeight="1" x14ac:dyDescent="0.3">
      <c r="A1622" s="45">
        <v>361</v>
      </c>
      <c r="B1622" s="46" t="s">
        <v>830</v>
      </c>
      <c r="C1622" s="194" t="s">
        <v>2025</v>
      </c>
      <c r="D1622" s="46"/>
      <c r="E1622" s="46"/>
      <c r="F1622" s="61" t="s">
        <v>31</v>
      </c>
      <c r="G1622" s="342">
        <v>27</v>
      </c>
      <c r="H1622" s="332">
        <v>0</v>
      </c>
      <c r="I1622" s="357">
        <v>25</v>
      </c>
      <c r="J1622" s="447" t="s">
        <v>92</v>
      </c>
      <c r="K1622" s="50"/>
      <c r="L1622" s="53" t="str">
        <f t="shared" si="317"/>
        <v>25pieces</v>
      </c>
      <c r="M1622" s="54">
        <f t="shared" si="318"/>
        <v>0</v>
      </c>
      <c r="N1622" s="55" t="str">
        <f t="shared" si="319"/>
        <v>0pieces</v>
      </c>
      <c r="O1622" s="56">
        <f t="shared" si="320"/>
        <v>0</v>
      </c>
      <c r="P1622" s="44" t="e">
        <f t="shared" si="338"/>
        <v>#DIV/0!</v>
      </c>
      <c r="Q1622" s="66"/>
      <c r="R1622" s="32"/>
      <c r="S1622" s="32"/>
      <c r="T1622" s="32"/>
      <c r="U1622" s="32"/>
      <c r="V1622" s="32"/>
      <c r="W1622" s="32"/>
      <c r="X1622" s="32"/>
      <c r="Y1622" s="32"/>
      <c r="Z1622" s="32"/>
    </row>
    <row r="1623" spans="1:26" ht="15.75" customHeight="1" x14ac:dyDescent="0.3">
      <c r="A1623" s="45">
        <v>581</v>
      </c>
      <c r="B1623" s="96" t="s">
        <v>830</v>
      </c>
      <c r="C1623" s="194" t="s">
        <v>2026</v>
      </c>
      <c r="D1623" s="46"/>
      <c r="E1623" s="46" t="s">
        <v>1874</v>
      </c>
      <c r="F1623" s="61" t="s">
        <v>31</v>
      </c>
      <c r="G1623" s="342">
        <v>22</v>
      </c>
      <c r="H1623" s="332">
        <v>3</v>
      </c>
      <c r="I1623" s="358">
        <v>1</v>
      </c>
      <c r="J1623" s="447" t="s">
        <v>304</v>
      </c>
      <c r="K1623" s="50"/>
      <c r="L1623" s="53" t="str">
        <f t="shared" si="317"/>
        <v>1packs</v>
      </c>
      <c r="M1623" s="54">
        <f t="shared" si="318"/>
        <v>3</v>
      </c>
      <c r="N1623" s="55" t="str">
        <f t="shared" si="319"/>
        <v>3packs</v>
      </c>
      <c r="O1623" s="56">
        <f t="shared" si="320"/>
        <v>66</v>
      </c>
      <c r="P1623" s="44">
        <f t="shared" si="338"/>
        <v>22</v>
      </c>
      <c r="Q1623" s="66"/>
      <c r="R1623" s="32"/>
      <c r="S1623" s="32"/>
      <c r="T1623" s="32"/>
      <c r="U1623" s="32"/>
      <c r="V1623" s="32"/>
      <c r="W1623" s="32"/>
      <c r="X1623" s="32"/>
      <c r="Y1623" s="32"/>
      <c r="Z1623" s="32"/>
    </row>
    <row r="1624" spans="1:26" ht="15.75" customHeight="1" x14ac:dyDescent="0.3">
      <c r="A1624" s="45"/>
      <c r="B1624" s="46" t="s">
        <v>830</v>
      </c>
      <c r="C1624" s="194" t="s">
        <v>2023</v>
      </c>
      <c r="D1624" s="46"/>
      <c r="E1624" s="46" t="s">
        <v>1875</v>
      </c>
      <c r="F1624" s="61" t="s">
        <v>31</v>
      </c>
      <c r="G1624" s="350">
        <v>22</v>
      </c>
      <c r="H1624" s="332">
        <v>3</v>
      </c>
      <c r="I1624" s="333">
        <v>1</v>
      </c>
      <c r="J1624" s="447" t="s">
        <v>304</v>
      </c>
      <c r="K1624" s="50"/>
      <c r="L1624" s="53" t="str">
        <f t="shared" si="317"/>
        <v>1packs</v>
      </c>
      <c r="M1624" s="54">
        <f t="shared" si="318"/>
        <v>3</v>
      </c>
      <c r="N1624" s="55" t="str">
        <f t="shared" si="319"/>
        <v>3packs</v>
      </c>
      <c r="O1624" s="56">
        <f t="shared" si="320"/>
        <v>66</v>
      </c>
      <c r="P1624" s="12"/>
      <c r="Q1624" s="12"/>
      <c r="R1624" s="12"/>
      <c r="S1624" s="151"/>
      <c r="T1624" s="12"/>
      <c r="U1624" s="12"/>
      <c r="V1624" s="12"/>
      <c r="W1624" s="12"/>
      <c r="X1624" s="12"/>
      <c r="Y1624" s="12"/>
      <c r="Z1624" s="12"/>
    </row>
    <row r="1625" spans="1:26" ht="15.75" customHeight="1" x14ac:dyDescent="0.3">
      <c r="A1625" s="45"/>
      <c r="B1625" s="46" t="s">
        <v>830</v>
      </c>
      <c r="C1625" s="194" t="s">
        <v>2022</v>
      </c>
      <c r="D1625" s="46"/>
      <c r="E1625" s="46" t="s">
        <v>991</v>
      </c>
      <c r="F1625" s="61" t="s">
        <v>31</v>
      </c>
      <c r="G1625" s="342">
        <v>22</v>
      </c>
      <c r="H1625" s="332">
        <v>6</v>
      </c>
      <c r="I1625" s="333">
        <v>1</v>
      </c>
      <c r="J1625" s="447" t="s">
        <v>304</v>
      </c>
      <c r="K1625" s="50"/>
      <c r="L1625" s="53" t="str">
        <f t="shared" si="317"/>
        <v>1packs</v>
      </c>
      <c r="M1625" s="54">
        <f t="shared" si="318"/>
        <v>6</v>
      </c>
      <c r="N1625" s="55" t="str">
        <f t="shared" si="319"/>
        <v>6packs</v>
      </c>
      <c r="O1625" s="56">
        <f t="shared" si="320"/>
        <v>132</v>
      </c>
      <c r="P1625" s="12"/>
      <c r="Q1625" s="12"/>
      <c r="R1625" s="12"/>
      <c r="S1625" s="151"/>
      <c r="T1625" s="12"/>
      <c r="U1625" s="12"/>
      <c r="V1625" s="12"/>
      <c r="W1625" s="12"/>
      <c r="X1625" s="12"/>
      <c r="Y1625" s="12"/>
      <c r="Z1625" s="12"/>
    </row>
    <row r="1626" spans="1:26" ht="15.75" customHeight="1" x14ac:dyDescent="0.3">
      <c r="A1626" s="45"/>
      <c r="B1626" s="219" t="s">
        <v>830</v>
      </c>
      <c r="C1626" s="194" t="s">
        <v>2021</v>
      </c>
      <c r="D1626" s="46"/>
      <c r="E1626" s="219"/>
      <c r="F1626" s="61" t="s">
        <v>31</v>
      </c>
      <c r="G1626" s="341">
        <v>1</v>
      </c>
      <c r="H1626" s="335">
        <v>100</v>
      </c>
      <c r="I1626" s="336">
        <v>1</v>
      </c>
      <c r="J1626" s="448" t="s">
        <v>304</v>
      </c>
      <c r="K1626" s="50"/>
      <c r="L1626" s="53" t="str">
        <f t="shared" si="317"/>
        <v>1packs</v>
      </c>
      <c r="M1626" s="54">
        <f t="shared" si="318"/>
        <v>100</v>
      </c>
      <c r="N1626" s="55" t="str">
        <f t="shared" si="319"/>
        <v>100packs</v>
      </c>
      <c r="O1626" s="56">
        <f t="shared" si="320"/>
        <v>100</v>
      </c>
      <c r="P1626" s="12"/>
      <c r="Q1626" s="12"/>
      <c r="R1626" s="12"/>
      <c r="S1626" s="151"/>
      <c r="T1626" s="12"/>
      <c r="U1626" s="12"/>
      <c r="V1626" s="12"/>
      <c r="W1626" s="12"/>
      <c r="X1626" s="12"/>
      <c r="Y1626" s="12"/>
      <c r="Z1626" s="12"/>
    </row>
    <row r="1627" spans="1:26" ht="15.75" customHeight="1" x14ac:dyDescent="0.3">
      <c r="A1627" s="45"/>
      <c r="B1627" s="340" t="s">
        <v>830</v>
      </c>
      <c r="C1627" s="194" t="s">
        <v>2020</v>
      </c>
      <c r="D1627" s="46"/>
      <c r="E1627" s="96"/>
      <c r="F1627" s="61" t="s">
        <v>31</v>
      </c>
      <c r="G1627" s="342">
        <v>2.08</v>
      </c>
      <c r="H1627" s="332">
        <v>2577</v>
      </c>
      <c r="I1627" s="333">
        <v>1</v>
      </c>
      <c r="J1627" s="80" t="s">
        <v>92</v>
      </c>
      <c r="K1627" s="50"/>
      <c r="L1627" s="53" t="str">
        <f t="shared" si="317"/>
        <v>1pieces</v>
      </c>
      <c r="M1627" s="54">
        <f t="shared" si="318"/>
        <v>2577</v>
      </c>
      <c r="N1627" s="55" t="str">
        <f t="shared" si="319"/>
        <v>2577pieces</v>
      </c>
      <c r="O1627" s="56">
        <f t="shared" si="320"/>
        <v>5360.16</v>
      </c>
      <c r="P1627" s="12"/>
      <c r="Q1627" s="12"/>
      <c r="R1627" s="12"/>
      <c r="S1627" s="151"/>
      <c r="T1627" s="12"/>
      <c r="U1627" s="12"/>
      <c r="V1627" s="12"/>
      <c r="W1627" s="12"/>
      <c r="X1627" s="12"/>
      <c r="Y1627" s="12"/>
      <c r="Z1627" s="12"/>
    </row>
    <row r="1628" spans="1:26" ht="15.75" customHeight="1" x14ac:dyDescent="0.3">
      <c r="A1628" s="45">
        <v>363</v>
      </c>
      <c r="B1628" s="96" t="s">
        <v>1876</v>
      </c>
      <c r="C1628" s="194" t="s">
        <v>2025</v>
      </c>
      <c r="D1628" s="46"/>
      <c r="E1628" s="96"/>
      <c r="F1628" s="61" t="s">
        <v>31</v>
      </c>
      <c r="G1628" s="342">
        <v>50</v>
      </c>
      <c r="H1628" s="332">
        <v>2</v>
      </c>
      <c r="I1628" s="333">
        <v>100</v>
      </c>
      <c r="J1628" s="80" t="s">
        <v>92</v>
      </c>
      <c r="K1628" s="50"/>
      <c r="L1628" s="53" t="str">
        <f t="shared" si="317"/>
        <v>100pieces</v>
      </c>
      <c r="M1628" s="54">
        <f t="shared" si="318"/>
        <v>200</v>
      </c>
      <c r="N1628" s="55" t="str">
        <f t="shared" si="319"/>
        <v>200pieces</v>
      </c>
      <c r="O1628" s="56">
        <f t="shared" si="320"/>
        <v>100</v>
      </c>
      <c r="P1628" s="44">
        <f t="shared" ref="P1628:P1632" si="339">O1628/H1628</f>
        <v>50</v>
      </c>
      <c r="Q1628" s="66"/>
      <c r="R1628" s="32" t="b">
        <f t="shared" ref="R1628:R1632" si="340">P1628=G1628</f>
        <v>1</v>
      </c>
      <c r="S1628" s="32"/>
      <c r="T1628" s="32"/>
      <c r="U1628" s="32"/>
      <c r="V1628" s="32"/>
      <c r="W1628" s="32"/>
      <c r="X1628" s="32"/>
      <c r="Y1628" s="32"/>
      <c r="Z1628" s="32"/>
    </row>
    <row r="1629" spans="1:26" ht="15.75" customHeight="1" x14ac:dyDescent="0.3">
      <c r="A1629" s="45">
        <v>362</v>
      </c>
      <c r="B1629" s="47" t="s">
        <v>1877</v>
      </c>
      <c r="C1629" s="194" t="s">
        <v>2025</v>
      </c>
      <c r="D1629" s="46"/>
      <c r="E1629" s="47"/>
      <c r="F1629" s="61" t="s">
        <v>31</v>
      </c>
      <c r="G1629" s="350">
        <v>27</v>
      </c>
      <c r="H1629" s="332">
        <v>1</v>
      </c>
      <c r="I1629" s="357">
        <v>25</v>
      </c>
      <c r="J1629" s="447" t="s">
        <v>92</v>
      </c>
      <c r="K1629" s="50"/>
      <c r="L1629" s="53" t="str">
        <f t="shared" si="317"/>
        <v>25pieces</v>
      </c>
      <c r="M1629" s="54">
        <f t="shared" si="318"/>
        <v>25</v>
      </c>
      <c r="N1629" s="55" t="str">
        <f t="shared" si="319"/>
        <v>25pieces</v>
      </c>
      <c r="O1629" s="56">
        <f t="shared" si="320"/>
        <v>27</v>
      </c>
      <c r="P1629" s="44">
        <f t="shared" si="339"/>
        <v>27</v>
      </c>
      <c r="Q1629" s="66"/>
      <c r="R1629" s="32" t="b">
        <f t="shared" si="340"/>
        <v>1</v>
      </c>
      <c r="S1629" s="32"/>
      <c r="T1629" s="32"/>
      <c r="U1629" s="32"/>
      <c r="V1629" s="32"/>
      <c r="W1629" s="32"/>
      <c r="X1629" s="32"/>
      <c r="Y1629" s="32"/>
      <c r="Z1629" s="32"/>
    </row>
    <row r="1630" spans="1:26" ht="15.75" customHeight="1" x14ac:dyDescent="0.3">
      <c r="A1630" s="45">
        <v>162</v>
      </c>
      <c r="B1630" s="46" t="s">
        <v>832</v>
      </c>
      <c r="C1630" s="194" t="s">
        <v>2024</v>
      </c>
      <c r="D1630" s="46"/>
      <c r="E1630" s="47" t="s">
        <v>1878</v>
      </c>
      <c r="F1630" s="61" t="s">
        <v>31</v>
      </c>
      <c r="G1630" s="288">
        <v>30</v>
      </c>
      <c r="H1630" s="332">
        <v>3</v>
      </c>
      <c r="I1630" s="333">
        <v>1</v>
      </c>
      <c r="J1630" s="48" t="s">
        <v>304</v>
      </c>
      <c r="K1630" s="50" t="s">
        <v>2019</v>
      </c>
      <c r="L1630" s="53" t="str">
        <f t="shared" si="317"/>
        <v>1packs</v>
      </c>
      <c r="M1630" s="54">
        <f t="shared" si="318"/>
        <v>3</v>
      </c>
      <c r="N1630" s="55" t="str">
        <f t="shared" si="319"/>
        <v>3packs</v>
      </c>
      <c r="O1630" s="56">
        <f t="shared" si="320"/>
        <v>90</v>
      </c>
      <c r="P1630" s="44">
        <f t="shared" si="339"/>
        <v>30</v>
      </c>
      <c r="Q1630" s="66">
        <f>G1630-P1630</f>
        <v>0</v>
      </c>
      <c r="R1630" s="32" t="b">
        <f t="shared" si="340"/>
        <v>1</v>
      </c>
      <c r="S1630" s="32"/>
      <c r="T1630" s="32"/>
      <c r="U1630" s="32"/>
      <c r="V1630" s="32"/>
      <c r="W1630" s="32"/>
      <c r="X1630" s="32"/>
      <c r="Y1630" s="32"/>
      <c r="Z1630" s="32"/>
    </row>
    <row r="1631" spans="1:26" ht="15.75" customHeight="1" x14ac:dyDescent="0.3">
      <c r="A1631" s="45">
        <v>360</v>
      </c>
      <c r="B1631" s="46" t="s">
        <v>832</v>
      </c>
      <c r="C1631" s="194" t="s">
        <v>2025</v>
      </c>
      <c r="D1631" s="46"/>
      <c r="E1631" s="46"/>
      <c r="F1631" s="61" t="s">
        <v>31</v>
      </c>
      <c r="G1631" s="288">
        <v>27</v>
      </c>
      <c r="H1631" s="332">
        <v>5</v>
      </c>
      <c r="I1631" s="357">
        <v>25</v>
      </c>
      <c r="J1631" s="447" t="s">
        <v>92</v>
      </c>
      <c r="K1631" s="50"/>
      <c r="L1631" s="53" t="str">
        <f t="shared" si="317"/>
        <v>25pieces</v>
      </c>
      <c r="M1631" s="54">
        <f t="shared" si="318"/>
        <v>125</v>
      </c>
      <c r="N1631" s="55" t="str">
        <f t="shared" si="319"/>
        <v>125pieces</v>
      </c>
      <c r="O1631" s="56">
        <f t="shared" si="320"/>
        <v>135</v>
      </c>
      <c r="P1631" s="44">
        <f t="shared" si="339"/>
        <v>27</v>
      </c>
      <c r="Q1631" s="66"/>
      <c r="R1631" s="32" t="b">
        <f t="shared" si="340"/>
        <v>1</v>
      </c>
      <c r="S1631" s="32"/>
      <c r="T1631" s="32"/>
      <c r="U1631" s="32"/>
      <c r="V1631" s="32"/>
      <c r="W1631" s="32"/>
      <c r="X1631" s="32"/>
      <c r="Y1631" s="32"/>
      <c r="Z1631" s="32"/>
    </row>
    <row r="1632" spans="1:26" ht="15.75" customHeight="1" x14ac:dyDescent="0.3">
      <c r="A1632" s="45">
        <v>582</v>
      </c>
      <c r="B1632" s="46" t="s">
        <v>832</v>
      </c>
      <c r="C1632" s="194" t="s">
        <v>2026</v>
      </c>
      <c r="D1632" s="46"/>
      <c r="E1632" s="46" t="s">
        <v>1874</v>
      </c>
      <c r="F1632" s="61" t="s">
        <v>31</v>
      </c>
      <c r="G1632" s="288">
        <v>22</v>
      </c>
      <c r="H1632" s="332">
        <v>3</v>
      </c>
      <c r="I1632" s="333">
        <v>1</v>
      </c>
      <c r="J1632" s="48" t="s">
        <v>304</v>
      </c>
      <c r="K1632" s="50" t="s">
        <v>2019</v>
      </c>
      <c r="L1632" s="53" t="str">
        <f t="shared" si="317"/>
        <v>1packs</v>
      </c>
      <c r="M1632" s="54">
        <f t="shared" si="318"/>
        <v>3</v>
      </c>
      <c r="N1632" s="55" t="str">
        <f t="shared" si="319"/>
        <v>3packs</v>
      </c>
      <c r="O1632" s="56">
        <f t="shared" si="320"/>
        <v>66</v>
      </c>
      <c r="P1632" s="44">
        <f t="shared" si="339"/>
        <v>22</v>
      </c>
      <c r="Q1632" s="62">
        <f>G1632-P1632</f>
        <v>0</v>
      </c>
      <c r="R1632" s="32" t="b">
        <f t="shared" si="340"/>
        <v>1</v>
      </c>
      <c r="S1632" s="32"/>
      <c r="T1632" s="32"/>
      <c r="U1632" s="32"/>
      <c r="V1632" s="32"/>
      <c r="W1632" s="32"/>
      <c r="X1632" s="32"/>
      <c r="Y1632" s="32"/>
      <c r="Z1632" s="32"/>
    </row>
    <row r="1633" spans="1:26" ht="15.75" customHeight="1" x14ac:dyDescent="0.3">
      <c r="A1633" s="45"/>
      <c r="B1633" s="46" t="s">
        <v>832</v>
      </c>
      <c r="C1633" s="194" t="s">
        <v>2023</v>
      </c>
      <c r="D1633" s="47"/>
      <c r="E1633" s="46" t="s">
        <v>1874</v>
      </c>
      <c r="F1633" s="61" t="s">
        <v>31</v>
      </c>
      <c r="G1633" s="288">
        <v>22</v>
      </c>
      <c r="H1633" s="332">
        <v>5</v>
      </c>
      <c r="I1633" s="333">
        <v>1</v>
      </c>
      <c r="J1633" s="48" t="s">
        <v>304</v>
      </c>
      <c r="K1633" s="50"/>
      <c r="L1633" s="53" t="str">
        <f t="shared" si="317"/>
        <v>1packs</v>
      </c>
      <c r="M1633" s="54">
        <f t="shared" si="318"/>
        <v>5</v>
      </c>
      <c r="N1633" s="55" t="str">
        <f t="shared" si="319"/>
        <v>5packs</v>
      </c>
      <c r="O1633" s="56">
        <f t="shared" si="320"/>
        <v>110</v>
      </c>
      <c r="P1633" s="12"/>
      <c r="Q1633" s="12"/>
      <c r="R1633" s="12"/>
      <c r="S1633" s="151"/>
      <c r="T1633" s="12"/>
      <c r="U1633" s="12"/>
      <c r="V1633" s="12"/>
      <c r="W1633" s="12"/>
      <c r="X1633" s="12"/>
      <c r="Y1633" s="12"/>
      <c r="Z1633" s="12"/>
    </row>
    <row r="1634" spans="1:26" ht="15.75" customHeight="1" x14ac:dyDescent="0.3">
      <c r="A1634" s="45"/>
      <c r="B1634" s="46" t="s">
        <v>832</v>
      </c>
      <c r="C1634" s="194" t="s">
        <v>2022</v>
      </c>
      <c r="D1634" s="47"/>
      <c r="E1634" s="46" t="s">
        <v>991</v>
      </c>
      <c r="F1634" s="61" t="s">
        <v>31</v>
      </c>
      <c r="G1634" s="288">
        <v>22</v>
      </c>
      <c r="H1634" s="332">
        <v>25</v>
      </c>
      <c r="I1634" s="333">
        <v>1</v>
      </c>
      <c r="J1634" s="48" t="s">
        <v>304</v>
      </c>
      <c r="K1634" s="50"/>
      <c r="L1634" s="53" t="str">
        <f t="shared" si="317"/>
        <v>1packs</v>
      </c>
      <c r="M1634" s="54">
        <f t="shared" si="318"/>
        <v>25</v>
      </c>
      <c r="N1634" s="55" t="str">
        <f t="shared" si="319"/>
        <v>25packs</v>
      </c>
      <c r="O1634" s="56">
        <f t="shared" si="320"/>
        <v>550</v>
      </c>
      <c r="P1634" s="12"/>
      <c r="Q1634" s="12"/>
      <c r="R1634" s="12"/>
      <c r="S1634" s="151"/>
      <c r="T1634" s="12"/>
      <c r="U1634" s="12"/>
      <c r="V1634" s="12"/>
      <c r="W1634" s="12"/>
      <c r="X1634" s="12"/>
      <c r="Y1634" s="12"/>
      <c r="Z1634" s="12"/>
    </row>
    <row r="1635" spans="1:26" ht="15.75" customHeight="1" x14ac:dyDescent="0.3">
      <c r="A1635" s="45"/>
      <c r="B1635" s="219" t="s">
        <v>832</v>
      </c>
      <c r="C1635" s="194" t="s">
        <v>2021</v>
      </c>
      <c r="D1635" s="46"/>
      <c r="E1635" s="219"/>
      <c r="F1635" s="61" t="s">
        <v>31</v>
      </c>
      <c r="G1635" s="291">
        <v>1</v>
      </c>
      <c r="H1635" s="335">
        <v>183</v>
      </c>
      <c r="I1635" s="336">
        <v>1</v>
      </c>
      <c r="J1635" s="414" t="s">
        <v>92</v>
      </c>
      <c r="K1635" s="50"/>
      <c r="L1635" s="53" t="str">
        <f t="shared" si="317"/>
        <v>1pieces</v>
      </c>
      <c r="M1635" s="54">
        <f t="shared" si="318"/>
        <v>183</v>
      </c>
      <c r="N1635" s="55" t="str">
        <f t="shared" si="319"/>
        <v>183pieces</v>
      </c>
      <c r="O1635" s="56">
        <f t="shared" si="320"/>
        <v>183</v>
      </c>
      <c r="P1635" s="12"/>
      <c r="Q1635" s="12"/>
      <c r="R1635" s="12"/>
      <c r="S1635" s="151"/>
      <c r="T1635" s="12"/>
      <c r="U1635" s="12"/>
      <c r="V1635" s="12"/>
      <c r="W1635" s="12"/>
      <c r="X1635" s="12"/>
      <c r="Y1635" s="12"/>
      <c r="Z1635" s="12"/>
    </row>
    <row r="1636" spans="1:26" ht="15.75" customHeight="1" x14ac:dyDescent="0.3">
      <c r="A1636" s="45"/>
      <c r="B1636" s="219" t="s">
        <v>832</v>
      </c>
      <c r="C1636" s="194" t="s">
        <v>2020</v>
      </c>
      <c r="D1636" s="46"/>
      <c r="E1636" s="46"/>
      <c r="F1636" s="61" t="s">
        <v>31</v>
      </c>
      <c r="G1636" s="288">
        <v>2.08</v>
      </c>
      <c r="H1636" s="332">
        <v>2536</v>
      </c>
      <c r="I1636" s="333">
        <v>1</v>
      </c>
      <c r="J1636" s="48" t="s">
        <v>92</v>
      </c>
      <c r="K1636" s="50"/>
      <c r="L1636" s="53" t="str">
        <f t="shared" si="317"/>
        <v>1pieces</v>
      </c>
      <c r="M1636" s="54">
        <f t="shared" si="318"/>
        <v>2536</v>
      </c>
      <c r="N1636" s="55" t="str">
        <f t="shared" si="319"/>
        <v>2536pieces</v>
      </c>
      <c r="O1636" s="56">
        <f t="shared" si="320"/>
        <v>5274.88</v>
      </c>
      <c r="P1636" s="12"/>
      <c r="Q1636" s="12"/>
      <c r="R1636" s="12"/>
      <c r="S1636" s="151"/>
      <c r="T1636" s="12"/>
      <c r="U1636" s="12"/>
      <c r="V1636" s="12"/>
      <c r="W1636" s="12"/>
      <c r="X1636" s="12"/>
      <c r="Y1636" s="12"/>
      <c r="Z1636" s="12"/>
    </row>
    <row r="1637" spans="1:26" ht="15.75" customHeight="1" x14ac:dyDescent="0.3">
      <c r="A1637" s="45"/>
      <c r="B1637" s="340" t="s">
        <v>832</v>
      </c>
      <c r="C1637" s="194" t="s">
        <v>2021</v>
      </c>
      <c r="D1637" s="46"/>
      <c r="E1637" s="340"/>
      <c r="F1637" s="61" t="s">
        <v>31</v>
      </c>
      <c r="G1637" s="341">
        <v>1</v>
      </c>
      <c r="H1637" s="335">
        <v>14</v>
      </c>
      <c r="I1637" s="336">
        <v>1</v>
      </c>
      <c r="J1637" s="452" t="s">
        <v>304</v>
      </c>
      <c r="K1637" s="50"/>
      <c r="L1637" s="53" t="str">
        <f t="shared" si="317"/>
        <v>1packs</v>
      </c>
      <c r="M1637" s="54">
        <f t="shared" si="318"/>
        <v>14</v>
      </c>
      <c r="N1637" s="55" t="str">
        <f t="shared" si="319"/>
        <v>14packs</v>
      </c>
      <c r="O1637" s="56">
        <f t="shared" si="320"/>
        <v>14</v>
      </c>
      <c r="P1637" s="12"/>
      <c r="Q1637" s="12"/>
      <c r="R1637" s="12"/>
      <c r="S1637" s="151"/>
      <c r="T1637" s="12"/>
      <c r="U1637" s="12"/>
      <c r="V1637" s="12"/>
      <c r="W1637" s="12"/>
      <c r="X1637" s="12"/>
      <c r="Y1637" s="12"/>
      <c r="Z1637" s="12"/>
    </row>
    <row r="1638" spans="1:26" ht="15.75" customHeight="1" x14ac:dyDescent="0.3">
      <c r="A1638" s="45"/>
      <c r="B1638" s="340" t="s">
        <v>1879</v>
      </c>
      <c r="C1638" s="194" t="s">
        <v>2023</v>
      </c>
      <c r="D1638" s="46"/>
      <c r="E1638" s="219" t="s">
        <v>1880</v>
      </c>
      <c r="F1638" s="61" t="s">
        <v>31</v>
      </c>
      <c r="G1638" s="291">
        <v>25</v>
      </c>
      <c r="H1638" s="292">
        <v>4</v>
      </c>
      <c r="I1638" s="293">
        <v>1</v>
      </c>
      <c r="J1638" s="414" t="s">
        <v>304</v>
      </c>
      <c r="K1638" s="50"/>
      <c r="L1638" s="53" t="str">
        <f t="shared" si="317"/>
        <v>1packs</v>
      </c>
      <c r="M1638" s="54">
        <f t="shared" si="318"/>
        <v>4</v>
      </c>
      <c r="N1638" s="55" t="str">
        <f t="shared" si="319"/>
        <v>4packs</v>
      </c>
      <c r="O1638" s="56">
        <f t="shared" si="320"/>
        <v>100</v>
      </c>
      <c r="P1638" s="12"/>
      <c r="Q1638" s="12"/>
      <c r="R1638" s="12"/>
      <c r="S1638" s="151"/>
      <c r="T1638" s="12"/>
      <c r="U1638" s="12"/>
      <c r="V1638" s="12"/>
      <c r="W1638" s="12"/>
      <c r="X1638" s="12"/>
      <c r="Y1638" s="12"/>
      <c r="Z1638" s="12"/>
    </row>
    <row r="1639" spans="1:26" ht="15.75" customHeight="1" x14ac:dyDescent="0.3">
      <c r="A1639" s="45"/>
      <c r="B1639" s="46" t="s">
        <v>1881</v>
      </c>
      <c r="C1639" s="194" t="s">
        <v>2022</v>
      </c>
      <c r="D1639" s="46"/>
      <c r="E1639" s="46" t="s">
        <v>1882</v>
      </c>
      <c r="F1639" s="61" t="s">
        <v>31</v>
      </c>
      <c r="G1639" s="288">
        <v>98</v>
      </c>
      <c r="H1639" s="289">
        <v>1</v>
      </c>
      <c r="I1639" s="290">
        <v>150</v>
      </c>
      <c r="J1639" s="48" t="s">
        <v>39</v>
      </c>
      <c r="K1639" s="50"/>
      <c r="L1639" s="53" t="str">
        <f t="shared" si="317"/>
        <v>150grams</v>
      </c>
      <c r="M1639" s="54">
        <f t="shared" si="318"/>
        <v>150</v>
      </c>
      <c r="N1639" s="55" t="str">
        <f t="shared" si="319"/>
        <v>150grams</v>
      </c>
      <c r="O1639" s="56">
        <f t="shared" si="320"/>
        <v>98</v>
      </c>
      <c r="P1639" s="12"/>
      <c r="Q1639" s="12"/>
      <c r="R1639" s="12"/>
      <c r="S1639" s="151"/>
      <c r="T1639" s="12"/>
      <c r="U1639" s="12"/>
      <c r="V1639" s="12"/>
      <c r="W1639" s="12"/>
      <c r="X1639" s="12"/>
      <c r="Y1639" s="12"/>
      <c r="Z1639" s="12"/>
    </row>
    <row r="1640" spans="1:26" ht="15.75" customHeight="1" x14ac:dyDescent="0.3">
      <c r="A1640" s="45"/>
      <c r="B1640" s="46" t="s">
        <v>1881</v>
      </c>
      <c r="C1640" s="194" t="s">
        <v>2021</v>
      </c>
      <c r="D1640" s="96"/>
      <c r="E1640" s="219" t="s">
        <v>1882</v>
      </c>
      <c r="F1640" s="61" t="s">
        <v>31</v>
      </c>
      <c r="G1640" s="291">
        <v>239.5</v>
      </c>
      <c r="H1640" s="292">
        <v>1</v>
      </c>
      <c r="I1640" s="293">
        <v>290</v>
      </c>
      <c r="J1640" s="414" t="s">
        <v>39</v>
      </c>
      <c r="K1640" s="50"/>
      <c r="L1640" s="53" t="str">
        <f t="shared" si="317"/>
        <v>290grams</v>
      </c>
      <c r="M1640" s="54">
        <f t="shared" si="318"/>
        <v>290</v>
      </c>
      <c r="N1640" s="55" t="str">
        <f t="shared" si="319"/>
        <v>290grams</v>
      </c>
      <c r="O1640" s="56">
        <f t="shared" si="320"/>
        <v>239.5</v>
      </c>
      <c r="P1640" s="12"/>
      <c r="Q1640" s="12"/>
      <c r="R1640" s="12"/>
      <c r="S1640" s="151"/>
      <c r="T1640" s="12"/>
      <c r="U1640" s="12"/>
      <c r="V1640" s="12"/>
      <c r="W1640" s="12"/>
      <c r="X1640" s="12"/>
      <c r="Y1640" s="12"/>
      <c r="Z1640" s="12"/>
    </row>
    <row r="1641" spans="1:26" ht="15.75" customHeight="1" x14ac:dyDescent="0.3">
      <c r="A1641" s="45">
        <v>751</v>
      </c>
      <c r="B1641" s="46" t="s">
        <v>833</v>
      </c>
      <c r="C1641" s="194" t="s">
        <v>2026</v>
      </c>
      <c r="D1641" s="96"/>
      <c r="E1641" s="46" t="s">
        <v>1882</v>
      </c>
      <c r="F1641" s="61" t="s">
        <v>31</v>
      </c>
      <c r="G1641" s="288">
        <v>76</v>
      </c>
      <c r="H1641" s="289">
        <v>1</v>
      </c>
      <c r="I1641" s="290">
        <v>340</v>
      </c>
      <c r="J1641" s="48" t="s">
        <v>39</v>
      </c>
      <c r="K1641" s="50"/>
      <c r="L1641" s="53" t="str">
        <f t="shared" si="317"/>
        <v>340grams</v>
      </c>
      <c r="M1641" s="54">
        <f t="shared" si="318"/>
        <v>340</v>
      </c>
      <c r="N1641" s="55" t="str">
        <f t="shared" si="319"/>
        <v>340grams</v>
      </c>
      <c r="O1641" s="56">
        <f t="shared" si="320"/>
        <v>76</v>
      </c>
      <c r="P1641" s="44">
        <f t="shared" ref="P1641:P1642" si="341">O1641/H1641</f>
        <v>76</v>
      </c>
      <c r="Q1641" s="66"/>
      <c r="R1641" s="32"/>
      <c r="S1641" s="32"/>
      <c r="T1641" s="32"/>
      <c r="U1641" s="32"/>
      <c r="V1641" s="32"/>
      <c r="W1641" s="32"/>
      <c r="X1641" s="32"/>
      <c r="Y1641" s="32"/>
      <c r="Z1641" s="32"/>
    </row>
    <row r="1642" spans="1:26" ht="15.75" customHeight="1" x14ac:dyDescent="0.3">
      <c r="A1642" s="45">
        <v>504</v>
      </c>
      <c r="B1642" s="219" t="s">
        <v>1883</v>
      </c>
      <c r="C1642" s="194" t="s">
        <v>2025</v>
      </c>
      <c r="D1642" s="46"/>
      <c r="E1642" s="46"/>
      <c r="F1642" s="61" t="s">
        <v>31</v>
      </c>
      <c r="G1642" s="288">
        <v>120</v>
      </c>
      <c r="H1642" s="289">
        <v>1</v>
      </c>
      <c r="I1642" s="290">
        <v>1</v>
      </c>
      <c r="J1642" s="48" t="s">
        <v>92</v>
      </c>
      <c r="K1642" s="50"/>
      <c r="L1642" s="53" t="str">
        <f t="shared" si="317"/>
        <v>1pieces</v>
      </c>
      <c r="M1642" s="54">
        <f t="shared" si="318"/>
        <v>1</v>
      </c>
      <c r="N1642" s="55" t="str">
        <f t="shared" si="319"/>
        <v>1pieces</v>
      </c>
      <c r="O1642" s="56">
        <f t="shared" si="320"/>
        <v>120</v>
      </c>
      <c r="P1642" s="44">
        <f t="shared" si="341"/>
        <v>120</v>
      </c>
      <c r="Q1642" s="66"/>
      <c r="R1642" s="32"/>
      <c r="S1642" s="32"/>
      <c r="T1642" s="32"/>
      <c r="U1642" s="32"/>
      <c r="V1642" s="32"/>
      <c r="W1642" s="32"/>
      <c r="X1642" s="32"/>
      <c r="Y1642" s="32"/>
      <c r="Z1642" s="32"/>
    </row>
    <row r="1643" spans="1:26" ht="15.75" customHeight="1" x14ac:dyDescent="0.3">
      <c r="A1643" s="45"/>
      <c r="B1643" s="96" t="s">
        <v>1884</v>
      </c>
      <c r="C1643" s="194" t="s">
        <v>2020</v>
      </c>
      <c r="D1643" s="46"/>
      <c r="E1643" s="96" t="s">
        <v>1004</v>
      </c>
      <c r="F1643" s="61" t="s">
        <v>31</v>
      </c>
      <c r="G1643" s="342">
        <v>5</v>
      </c>
      <c r="H1643" s="332">
        <v>21</v>
      </c>
      <c r="I1643" s="290">
        <v>1</v>
      </c>
      <c r="J1643" s="48" t="s">
        <v>92</v>
      </c>
      <c r="K1643" s="50"/>
      <c r="L1643" s="53" t="str">
        <f t="shared" si="317"/>
        <v>1pieces</v>
      </c>
      <c r="M1643" s="54">
        <f t="shared" si="318"/>
        <v>21</v>
      </c>
      <c r="N1643" s="55" t="str">
        <f t="shared" si="319"/>
        <v>21pieces</v>
      </c>
      <c r="O1643" s="56">
        <f t="shared" si="320"/>
        <v>105</v>
      </c>
      <c r="P1643" s="12"/>
      <c r="Q1643" s="12"/>
      <c r="R1643" s="12"/>
      <c r="S1643" s="151"/>
      <c r="T1643" s="12"/>
      <c r="U1643" s="12"/>
      <c r="V1643" s="12"/>
      <c r="W1643" s="12"/>
      <c r="X1643" s="12"/>
      <c r="Y1643" s="12"/>
      <c r="Z1643" s="12"/>
    </row>
    <row r="1644" spans="1:26" ht="15.75" customHeight="1" x14ac:dyDescent="0.3">
      <c r="A1644" s="45">
        <v>100</v>
      </c>
      <c r="B1644" s="46" t="s">
        <v>1550</v>
      </c>
      <c r="C1644" s="400" t="s">
        <v>2027</v>
      </c>
      <c r="D1644" s="239"/>
      <c r="E1644" s="170" t="s">
        <v>1552</v>
      </c>
      <c r="F1644" s="170"/>
      <c r="G1644" s="359">
        <v>0.1</v>
      </c>
      <c r="H1644" s="289">
        <v>1960</v>
      </c>
      <c r="I1644" s="376">
        <v>1</v>
      </c>
      <c r="J1644" s="240" t="s">
        <v>92</v>
      </c>
      <c r="K1644" s="377"/>
      <c r="L1644" s="415" t="str">
        <f t="shared" si="317"/>
        <v>1pieces</v>
      </c>
      <c r="M1644" s="456">
        <f t="shared" si="318"/>
        <v>1960</v>
      </c>
      <c r="N1644" s="457" t="str">
        <f t="shared" si="319"/>
        <v>1960pieces</v>
      </c>
      <c r="O1644" s="418">
        <f t="shared" si="320"/>
        <v>196</v>
      </c>
      <c r="P1644" s="419">
        <f t="shared" ref="P1644:P1749" si="342">O1644/H1644</f>
        <v>0.1</v>
      </c>
      <c r="Q1644" s="458">
        <f t="shared" ref="Q1644:Q1749" si="343">G1644-P1644</f>
        <v>0</v>
      </c>
      <c r="R1644" s="12"/>
      <c r="S1644" s="12"/>
      <c r="T1644" s="12"/>
      <c r="U1644" s="12"/>
      <c r="V1644" s="12"/>
      <c r="W1644" s="12"/>
      <c r="X1644" s="12"/>
      <c r="Y1644" s="12"/>
      <c r="Z1644" s="12"/>
    </row>
    <row r="1645" spans="1:26" ht="15.75" customHeight="1" x14ac:dyDescent="0.3">
      <c r="A1645" s="45">
        <v>2</v>
      </c>
      <c r="B1645" s="46" t="s">
        <v>34</v>
      </c>
      <c r="C1645" s="400" t="s">
        <v>2027</v>
      </c>
      <c r="D1645" s="239"/>
      <c r="E1645" s="46" t="s">
        <v>30</v>
      </c>
      <c r="F1645" s="170"/>
      <c r="G1645" s="359">
        <v>47.6</v>
      </c>
      <c r="H1645" s="289">
        <v>6</v>
      </c>
      <c r="I1645" s="376">
        <v>250</v>
      </c>
      <c r="J1645" s="240" t="s">
        <v>32</v>
      </c>
      <c r="K1645" s="377"/>
      <c r="L1645" s="415" t="str">
        <f t="shared" si="317"/>
        <v>250ml</v>
      </c>
      <c r="M1645" s="456">
        <f t="shared" si="318"/>
        <v>1500</v>
      </c>
      <c r="N1645" s="457" t="str">
        <f t="shared" si="319"/>
        <v>1500ml</v>
      </c>
      <c r="O1645" s="418">
        <f t="shared" si="320"/>
        <v>285.60000000000002</v>
      </c>
      <c r="P1645" s="419">
        <f t="shared" si="342"/>
        <v>47.6</v>
      </c>
      <c r="Q1645" s="419">
        <f t="shared" si="343"/>
        <v>0</v>
      </c>
      <c r="R1645" s="12"/>
      <c r="S1645" s="12"/>
      <c r="T1645" s="12"/>
      <c r="U1645" s="12"/>
      <c r="V1645" s="12"/>
      <c r="W1645" s="12"/>
      <c r="X1645" s="12"/>
      <c r="Y1645" s="12"/>
      <c r="Z1645" s="12"/>
    </row>
    <row r="1646" spans="1:26" ht="15.75" customHeight="1" x14ac:dyDescent="0.3">
      <c r="A1646" s="45">
        <v>3</v>
      </c>
      <c r="B1646" s="46" t="s">
        <v>37</v>
      </c>
      <c r="C1646" s="400" t="s">
        <v>2027</v>
      </c>
      <c r="D1646" s="170"/>
      <c r="E1646" s="46"/>
      <c r="F1646" s="170"/>
      <c r="G1646" s="361">
        <v>43.4</v>
      </c>
      <c r="H1646" s="362">
        <v>6</v>
      </c>
      <c r="I1646" s="459">
        <v>1</v>
      </c>
      <c r="J1646" s="240" t="s">
        <v>213</v>
      </c>
      <c r="K1646" s="377"/>
      <c r="L1646" s="415" t="str">
        <f t="shared" si="317"/>
        <v>1kilos</v>
      </c>
      <c r="M1646" s="456">
        <f t="shared" si="318"/>
        <v>6</v>
      </c>
      <c r="N1646" s="457" t="str">
        <f t="shared" si="319"/>
        <v>6kilos</v>
      </c>
      <c r="O1646" s="418">
        <f t="shared" si="320"/>
        <v>260.39999999999998</v>
      </c>
      <c r="P1646" s="419">
        <f t="shared" si="342"/>
        <v>43.4</v>
      </c>
      <c r="Q1646" s="460">
        <f t="shared" si="343"/>
        <v>0</v>
      </c>
      <c r="R1646" s="12"/>
      <c r="S1646" s="12"/>
      <c r="T1646" s="12"/>
      <c r="U1646" s="12"/>
      <c r="V1646" s="12"/>
      <c r="W1646" s="12"/>
      <c r="X1646" s="12"/>
      <c r="Y1646" s="12"/>
      <c r="Z1646" s="12"/>
    </row>
    <row r="1647" spans="1:26" ht="15.75" customHeight="1" x14ac:dyDescent="0.3">
      <c r="A1647" s="45">
        <v>147</v>
      </c>
      <c r="B1647" s="46" t="s">
        <v>860</v>
      </c>
      <c r="C1647" s="400" t="s">
        <v>2027</v>
      </c>
      <c r="D1647" s="170"/>
      <c r="E1647" s="46"/>
      <c r="F1647" s="170"/>
      <c r="G1647" s="359">
        <v>80</v>
      </c>
      <c r="H1647" s="289">
        <v>2</v>
      </c>
      <c r="I1647" s="376">
        <v>1</v>
      </c>
      <c r="J1647" s="364" t="s">
        <v>213</v>
      </c>
      <c r="K1647" s="377"/>
      <c r="L1647" s="415" t="str">
        <f>CONCATENATE(I1647,J1655)</f>
        <v>1grams</v>
      </c>
      <c r="M1647" s="456">
        <f t="shared" si="318"/>
        <v>2</v>
      </c>
      <c r="N1647" s="457" t="str">
        <f>CONCATENATE(M1647,K1647,J1655)</f>
        <v>2grams</v>
      </c>
      <c r="O1647" s="418">
        <f t="shared" si="320"/>
        <v>160</v>
      </c>
      <c r="P1647" s="419">
        <f t="shared" si="342"/>
        <v>80</v>
      </c>
      <c r="Q1647" s="458">
        <f t="shared" si="343"/>
        <v>0</v>
      </c>
      <c r="R1647" s="12"/>
      <c r="S1647" s="12"/>
      <c r="T1647" s="12"/>
      <c r="U1647" s="12"/>
      <c r="V1647" s="12"/>
      <c r="W1647" s="12"/>
      <c r="X1647" s="12"/>
      <c r="Y1647" s="12"/>
      <c r="Z1647" s="12"/>
    </row>
    <row r="1648" spans="1:26" ht="15.75" customHeight="1" x14ac:dyDescent="0.3">
      <c r="A1648" s="45">
        <v>148</v>
      </c>
      <c r="B1648" s="46" t="s">
        <v>878</v>
      </c>
      <c r="C1648" s="400" t="s">
        <v>2027</v>
      </c>
      <c r="D1648" s="170"/>
      <c r="E1648" s="46"/>
      <c r="F1648" s="170"/>
      <c r="G1648" s="359">
        <v>145</v>
      </c>
      <c r="H1648" s="289">
        <v>0</v>
      </c>
      <c r="I1648" s="376">
        <v>1</v>
      </c>
      <c r="J1648" s="240" t="s">
        <v>213</v>
      </c>
      <c r="K1648" s="377"/>
      <c r="L1648" s="415" t="str">
        <f t="shared" ref="L1648:L1701" si="344">CONCATENATE(I1648,J1648)</f>
        <v>1kilos</v>
      </c>
      <c r="M1648" s="456">
        <f t="shared" si="318"/>
        <v>0</v>
      </c>
      <c r="N1648" s="457" t="str">
        <f t="shared" ref="N1648:N1701" si="345">CONCATENATE(M1648,K1648,J1648)</f>
        <v>0kilos</v>
      </c>
      <c r="O1648" s="418">
        <f t="shared" si="320"/>
        <v>0</v>
      </c>
      <c r="P1648" s="419" t="e">
        <f t="shared" si="342"/>
        <v>#DIV/0!</v>
      </c>
      <c r="Q1648" s="458" t="e">
        <f t="shared" si="343"/>
        <v>#DIV/0!</v>
      </c>
      <c r="R1648" s="12"/>
      <c r="S1648" s="12"/>
      <c r="T1648" s="12"/>
      <c r="U1648" s="12"/>
      <c r="V1648" s="12"/>
      <c r="W1648" s="12"/>
      <c r="X1648" s="12"/>
      <c r="Y1648" s="12"/>
      <c r="Z1648" s="12"/>
    </row>
    <row r="1649" spans="1:26" ht="15.75" customHeight="1" x14ac:dyDescent="0.3">
      <c r="A1649" s="45">
        <v>81</v>
      </c>
      <c r="B1649" s="46" t="s">
        <v>492</v>
      </c>
      <c r="C1649" s="400" t="s">
        <v>2027</v>
      </c>
      <c r="D1649" s="170"/>
      <c r="E1649" s="46"/>
      <c r="F1649" s="170"/>
      <c r="G1649" s="359">
        <v>275</v>
      </c>
      <c r="H1649" s="289">
        <v>6</v>
      </c>
      <c r="I1649" s="376">
        <v>1</v>
      </c>
      <c r="J1649" s="240" t="s">
        <v>213</v>
      </c>
      <c r="K1649" s="377"/>
      <c r="L1649" s="415" t="str">
        <f t="shared" si="344"/>
        <v>1kilos</v>
      </c>
      <c r="M1649" s="456">
        <f t="shared" si="318"/>
        <v>6</v>
      </c>
      <c r="N1649" s="457" t="str">
        <f t="shared" si="345"/>
        <v>6kilos</v>
      </c>
      <c r="O1649" s="418">
        <f t="shared" si="320"/>
        <v>1650</v>
      </c>
      <c r="P1649" s="419">
        <f t="shared" si="342"/>
        <v>275</v>
      </c>
      <c r="Q1649" s="458">
        <f t="shared" si="343"/>
        <v>0</v>
      </c>
      <c r="R1649" s="12"/>
      <c r="S1649" s="12"/>
      <c r="T1649" s="12"/>
      <c r="U1649" s="12"/>
      <c r="V1649" s="12"/>
      <c r="W1649" s="12"/>
      <c r="X1649" s="12"/>
      <c r="Y1649" s="12"/>
      <c r="Z1649" s="12"/>
    </row>
    <row r="1650" spans="1:26" ht="15.75" customHeight="1" x14ac:dyDescent="0.3">
      <c r="A1650" s="45">
        <v>101</v>
      </c>
      <c r="B1650" s="46" t="s">
        <v>1903</v>
      </c>
      <c r="C1650" s="400" t="s">
        <v>2027</v>
      </c>
      <c r="D1650" s="170"/>
      <c r="E1650" s="170"/>
      <c r="F1650" s="170"/>
      <c r="G1650" s="359">
        <v>0.24</v>
      </c>
      <c r="H1650" s="289">
        <v>84</v>
      </c>
      <c r="I1650" s="376">
        <v>1</v>
      </c>
      <c r="J1650" s="240" t="s">
        <v>92</v>
      </c>
      <c r="K1650" s="377"/>
      <c r="L1650" s="415" t="str">
        <f t="shared" si="344"/>
        <v>1pieces</v>
      </c>
      <c r="M1650" s="456">
        <f t="shared" si="318"/>
        <v>84</v>
      </c>
      <c r="N1650" s="457" t="str">
        <f t="shared" si="345"/>
        <v>84pieces</v>
      </c>
      <c r="O1650" s="418">
        <f t="shared" si="320"/>
        <v>20.16</v>
      </c>
      <c r="P1650" s="419">
        <f t="shared" si="342"/>
        <v>0.24</v>
      </c>
      <c r="Q1650" s="458">
        <f t="shared" si="343"/>
        <v>0</v>
      </c>
      <c r="R1650" s="12"/>
      <c r="S1650" s="12"/>
      <c r="T1650" s="12"/>
      <c r="U1650" s="12"/>
      <c r="V1650" s="12"/>
      <c r="W1650" s="12"/>
      <c r="X1650" s="12"/>
      <c r="Y1650" s="12"/>
      <c r="Z1650" s="12"/>
    </row>
    <row r="1651" spans="1:26" ht="15.75" customHeight="1" x14ac:dyDescent="0.3">
      <c r="A1651" s="45">
        <v>48</v>
      </c>
      <c r="B1651" s="46" t="s">
        <v>908</v>
      </c>
      <c r="C1651" s="400" t="s">
        <v>2027</v>
      </c>
      <c r="D1651" s="170"/>
      <c r="E1651" s="170"/>
      <c r="F1651" s="170"/>
      <c r="G1651" s="359">
        <v>325</v>
      </c>
      <c r="H1651" s="289">
        <v>5</v>
      </c>
      <c r="I1651" s="376">
        <v>1</v>
      </c>
      <c r="J1651" s="240" t="s">
        <v>213</v>
      </c>
      <c r="K1651" s="377"/>
      <c r="L1651" s="415" t="str">
        <f t="shared" si="344"/>
        <v>1kilos</v>
      </c>
      <c r="M1651" s="456">
        <f t="shared" si="318"/>
        <v>5</v>
      </c>
      <c r="N1651" s="457" t="str">
        <f t="shared" si="345"/>
        <v>5kilos</v>
      </c>
      <c r="O1651" s="418">
        <f t="shared" si="320"/>
        <v>1625</v>
      </c>
      <c r="P1651" s="419">
        <f t="shared" si="342"/>
        <v>325</v>
      </c>
      <c r="Q1651" s="460">
        <f t="shared" si="343"/>
        <v>0</v>
      </c>
      <c r="R1651" s="12"/>
      <c r="S1651" s="12"/>
      <c r="T1651" s="12"/>
      <c r="U1651" s="12"/>
      <c r="V1651" s="12"/>
      <c r="W1651" s="12"/>
      <c r="X1651" s="12"/>
      <c r="Y1651" s="12"/>
      <c r="Z1651" s="12"/>
    </row>
    <row r="1652" spans="1:26" ht="15.75" customHeight="1" x14ac:dyDescent="0.3">
      <c r="A1652" s="45">
        <v>149</v>
      </c>
      <c r="B1652" s="68" t="s">
        <v>1904</v>
      </c>
      <c r="C1652" s="400" t="s">
        <v>2027</v>
      </c>
      <c r="D1652" s="170"/>
      <c r="E1652" s="46"/>
      <c r="F1652" s="170"/>
      <c r="G1652" s="359">
        <v>430</v>
      </c>
      <c r="H1652" s="289">
        <v>0</v>
      </c>
      <c r="I1652" s="376">
        <v>1</v>
      </c>
      <c r="J1652" s="240" t="s">
        <v>213</v>
      </c>
      <c r="K1652" s="377"/>
      <c r="L1652" s="415" t="str">
        <f t="shared" si="344"/>
        <v>1kilos</v>
      </c>
      <c r="M1652" s="456">
        <f t="shared" si="318"/>
        <v>0</v>
      </c>
      <c r="N1652" s="457" t="str">
        <f t="shared" si="345"/>
        <v>0kilos</v>
      </c>
      <c r="O1652" s="418">
        <f t="shared" si="320"/>
        <v>0</v>
      </c>
      <c r="P1652" s="419" t="e">
        <f t="shared" si="342"/>
        <v>#DIV/0!</v>
      </c>
      <c r="Q1652" s="458" t="e">
        <f t="shared" si="343"/>
        <v>#DIV/0!</v>
      </c>
      <c r="R1652" s="12"/>
      <c r="S1652" s="12"/>
      <c r="T1652" s="12"/>
      <c r="U1652" s="12"/>
      <c r="V1652" s="12"/>
      <c r="W1652" s="12"/>
      <c r="X1652" s="12"/>
      <c r="Y1652" s="12"/>
      <c r="Z1652" s="12"/>
    </row>
    <row r="1653" spans="1:26" ht="15.75" customHeight="1" x14ac:dyDescent="0.3">
      <c r="A1653" s="45">
        <v>88</v>
      </c>
      <c r="B1653" s="96" t="s">
        <v>318</v>
      </c>
      <c r="C1653" s="400" t="s">
        <v>2027</v>
      </c>
      <c r="D1653" s="239"/>
      <c r="E1653" s="46" t="s">
        <v>919</v>
      </c>
      <c r="F1653" s="170"/>
      <c r="G1653" s="365">
        <v>83.6</v>
      </c>
      <c r="H1653" s="332">
        <v>8</v>
      </c>
      <c r="I1653" s="371">
        <v>1</v>
      </c>
      <c r="J1653" s="240" t="s">
        <v>213</v>
      </c>
      <c r="K1653" s="377"/>
      <c r="L1653" s="415" t="str">
        <f t="shared" si="344"/>
        <v>1kilos</v>
      </c>
      <c r="M1653" s="456">
        <f t="shared" si="318"/>
        <v>8</v>
      </c>
      <c r="N1653" s="457" t="str">
        <f t="shared" si="345"/>
        <v>8kilos</v>
      </c>
      <c r="O1653" s="418">
        <f t="shared" si="320"/>
        <v>668.8</v>
      </c>
      <c r="P1653" s="419">
        <f t="shared" si="342"/>
        <v>83.6</v>
      </c>
      <c r="Q1653" s="458">
        <f t="shared" si="343"/>
        <v>0</v>
      </c>
      <c r="R1653" s="12"/>
      <c r="S1653" s="12"/>
      <c r="T1653" s="12"/>
      <c r="U1653" s="12"/>
      <c r="V1653" s="12"/>
      <c r="W1653" s="12"/>
      <c r="X1653" s="12"/>
      <c r="Y1653" s="12"/>
      <c r="Z1653" s="12"/>
    </row>
    <row r="1654" spans="1:26" ht="15.75" customHeight="1" x14ac:dyDescent="0.3">
      <c r="A1654" s="45">
        <v>110</v>
      </c>
      <c r="B1654" s="96" t="s">
        <v>924</v>
      </c>
      <c r="C1654" s="400" t="s">
        <v>2027</v>
      </c>
      <c r="D1654" s="239"/>
      <c r="E1654" s="170" t="s">
        <v>1905</v>
      </c>
      <c r="F1654" s="170"/>
      <c r="G1654" s="365">
        <v>6.38</v>
      </c>
      <c r="H1654" s="332">
        <v>28</v>
      </c>
      <c r="I1654" s="371">
        <v>1</v>
      </c>
      <c r="J1654" s="240" t="s">
        <v>92</v>
      </c>
      <c r="K1654" s="377"/>
      <c r="L1654" s="415" t="str">
        <f t="shared" si="344"/>
        <v>1pieces</v>
      </c>
      <c r="M1654" s="456">
        <f t="shared" si="318"/>
        <v>28</v>
      </c>
      <c r="N1654" s="457" t="str">
        <f t="shared" si="345"/>
        <v>28pieces</v>
      </c>
      <c r="O1654" s="418">
        <f t="shared" si="320"/>
        <v>178.64</v>
      </c>
      <c r="P1654" s="419">
        <f t="shared" si="342"/>
        <v>6.38</v>
      </c>
      <c r="Q1654" s="458">
        <f t="shared" si="343"/>
        <v>0</v>
      </c>
      <c r="R1654" s="12"/>
      <c r="S1654" s="12"/>
      <c r="T1654" s="12"/>
      <c r="U1654" s="12"/>
      <c r="V1654" s="12"/>
      <c r="W1654" s="12"/>
      <c r="X1654" s="12"/>
      <c r="Y1654" s="12"/>
      <c r="Z1654" s="12"/>
    </row>
    <row r="1655" spans="1:26" ht="15.75" customHeight="1" x14ac:dyDescent="0.3">
      <c r="A1655" s="45">
        <v>61</v>
      </c>
      <c r="B1655" s="96" t="s">
        <v>1906</v>
      </c>
      <c r="C1655" s="400" t="s">
        <v>2027</v>
      </c>
      <c r="D1655" s="239"/>
      <c r="E1655" s="68" t="s">
        <v>1907</v>
      </c>
      <c r="F1655" s="170"/>
      <c r="G1655" s="361">
        <v>25</v>
      </c>
      <c r="H1655" s="332">
        <v>5</v>
      </c>
      <c r="I1655" s="461">
        <v>250</v>
      </c>
      <c r="J1655" s="249" t="s">
        <v>39</v>
      </c>
      <c r="K1655" s="377"/>
      <c r="L1655" s="415" t="str">
        <f t="shared" si="344"/>
        <v>250grams</v>
      </c>
      <c r="M1655" s="456">
        <f t="shared" si="318"/>
        <v>1250</v>
      </c>
      <c r="N1655" s="457" t="str">
        <f t="shared" si="345"/>
        <v>1250grams</v>
      </c>
      <c r="O1655" s="418">
        <f t="shared" si="320"/>
        <v>125</v>
      </c>
      <c r="P1655" s="419">
        <f t="shared" si="342"/>
        <v>25</v>
      </c>
      <c r="Q1655" s="419">
        <f t="shared" si="343"/>
        <v>0</v>
      </c>
      <c r="R1655" s="12"/>
      <c r="S1655" s="12"/>
      <c r="T1655" s="12"/>
      <c r="U1655" s="12"/>
      <c r="V1655" s="12"/>
      <c r="W1655" s="12"/>
      <c r="X1655" s="12"/>
      <c r="Y1655" s="12"/>
      <c r="Z1655" s="12"/>
    </row>
    <row r="1656" spans="1:26" ht="15.75" customHeight="1" x14ac:dyDescent="0.3">
      <c r="A1656" s="45">
        <v>60</v>
      </c>
      <c r="B1656" s="96" t="s">
        <v>964</v>
      </c>
      <c r="C1656" s="400" t="s">
        <v>2027</v>
      </c>
      <c r="D1656" s="239"/>
      <c r="E1656" s="68" t="s">
        <v>1907</v>
      </c>
      <c r="F1656" s="170"/>
      <c r="G1656" s="359">
        <v>25</v>
      </c>
      <c r="H1656" s="332">
        <v>8</v>
      </c>
      <c r="I1656" s="376">
        <v>250</v>
      </c>
      <c r="J1656" s="249" t="s">
        <v>39</v>
      </c>
      <c r="K1656" s="377"/>
      <c r="L1656" s="415" t="str">
        <f t="shared" si="344"/>
        <v>250grams</v>
      </c>
      <c r="M1656" s="456">
        <f t="shared" si="318"/>
        <v>2000</v>
      </c>
      <c r="N1656" s="457" t="str">
        <f t="shared" si="345"/>
        <v>2000grams</v>
      </c>
      <c r="O1656" s="418">
        <f t="shared" si="320"/>
        <v>200</v>
      </c>
      <c r="P1656" s="419">
        <f t="shared" si="342"/>
        <v>25</v>
      </c>
      <c r="Q1656" s="419">
        <f t="shared" si="343"/>
        <v>0</v>
      </c>
      <c r="R1656" s="12"/>
      <c r="S1656" s="12"/>
      <c r="T1656" s="12"/>
      <c r="U1656" s="12"/>
      <c r="V1656" s="12"/>
      <c r="W1656" s="12"/>
      <c r="X1656" s="12"/>
      <c r="Y1656" s="12"/>
      <c r="Z1656" s="12"/>
    </row>
    <row r="1657" spans="1:26" ht="15.75" customHeight="1" x14ac:dyDescent="0.3">
      <c r="A1657" s="45">
        <v>24</v>
      </c>
      <c r="B1657" s="96" t="s">
        <v>1908</v>
      </c>
      <c r="C1657" s="400" t="s">
        <v>2027</v>
      </c>
      <c r="D1657" s="239"/>
      <c r="E1657" s="96" t="s">
        <v>1909</v>
      </c>
      <c r="F1657" s="170"/>
      <c r="G1657" s="368">
        <v>7.25</v>
      </c>
      <c r="H1657" s="332">
        <v>120</v>
      </c>
      <c r="I1657" s="371">
        <v>20</v>
      </c>
      <c r="J1657" s="100" t="s">
        <v>39</v>
      </c>
      <c r="K1657" s="377"/>
      <c r="L1657" s="415" t="str">
        <f t="shared" si="344"/>
        <v>20grams</v>
      </c>
      <c r="M1657" s="456">
        <f t="shared" si="318"/>
        <v>2400</v>
      </c>
      <c r="N1657" s="457" t="str">
        <f t="shared" si="345"/>
        <v>2400grams</v>
      </c>
      <c r="O1657" s="418">
        <f t="shared" si="320"/>
        <v>870</v>
      </c>
      <c r="P1657" s="419">
        <f t="shared" si="342"/>
        <v>7.25</v>
      </c>
      <c r="Q1657" s="458">
        <f t="shared" si="343"/>
        <v>0</v>
      </c>
      <c r="R1657" s="12"/>
      <c r="S1657" s="12"/>
      <c r="T1657" s="12"/>
      <c r="U1657" s="12"/>
      <c r="V1657" s="12"/>
      <c r="W1657" s="12"/>
      <c r="X1657" s="12"/>
      <c r="Y1657" s="12"/>
      <c r="Z1657" s="12"/>
    </row>
    <row r="1658" spans="1:26" ht="15.75" customHeight="1" x14ac:dyDescent="0.3">
      <c r="A1658" s="45">
        <v>111</v>
      </c>
      <c r="B1658" s="96" t="s">
        <v>924</v>
      </c>
      <c r="C1658" s="400" t="s">
        <v>2027</v>
      </c>
      <c r="D1658" s="239"/>
      <c r="E1658" s="239" t="s">
        <v>1910</v>
      </c>
      <c r="F1658" s="170"/>
      <c r="G1658" s="368">
        <v>5.92</v>
      </c>
      <c r="H1658" s="332">
        <v>37</v>
      </c>
      <c r="I1658" s="371">
        <v>1</v>
      </c>
      <c r="J1658" s="100" t="s">
        <v>92</v>
      </c>
      <c r="K1658" s="377"/>
      <c r="L1658" s="415" t="str">
        <f t="shared" si="344"/>
        <v>1pieces</v>
      </c>
      <c r="M1658" s="456">
        <f t="shared" si="318"/>
        <v>37</v>
      </c>
      <c r="N1658" s="457" t="str">
        <f t="shared" si="345"/>
        <v>37pieces</v>
      </c>
      <c r="O1658" s="418">
        <f t="shared" si="320"/>
        <v>219.04</v>
      </c>
      <c r="P1658" s="419">
        <f t="shared" si="342"/>
        <v>5.92</v>
      </c>
      <c r="Q1658" s="458">
        <f t="shared" si="343"/>
        <v>0</v>
      </c>
      <c r="R1658" s="12"/>
      <c r="S1658" s="12"/>
      <c r="T1658" s="12"/>
      <c r="U1658" s="12"/>
      <c r="V1658" s="12"/>
      <c r="W1658" s="12"/>
      <c r="X1658" s="12"/>
      <c r="Y1658" s="12"/>
      <c r="Z1658" s="12"/>
    </row>
    <row r="1659" spans="1:26" ht="15.75" customHeight="1" x14ac:dyDescent="0.3">
      <c r="A1659" s="45">
        <v>4</v>
      </c>
      <c r="B1659" s="96" t="s">
        <v>48</v>
      </c>
      <c r="C1659" s="400" t="s">
        <v>2027</v>
      </c>
      <c r="D1659" s="239"/>
      <c r="E1659" s="96" t="s">
        <v>980</v>
      </c>
      <c r="F1659" s="170"/>
      <c r="G1659" s="368">
        <v>142</v>
      </c>
      <c r="H1659" s="332">
        <v>1</v>
      </c>
      <c r="I1659" s="371">
        <v>1</v>
      </c>
      <c r="J1659" s="100" t="s">
        <v>213</v>
      </c>
      <c r="K1659" s="377"/>
      <c r="L1659" s="415" t="str">
        <f t="shared" si="344"/>
        <v>1kilos</v>
      </c>
      <c r="M1659" s="456">
        <f t="shared" si="318"/>
        <v>1</v>
      </c>
      <c r="N1659" s="457" t="str">
        <f t="shared" si="345"/>
        <v>1kilos</v>
      </c>
      <c r="O1659" s="418">
        <f t="shared" si="320"/>
        <v>142</v>
      </c>
      <c r="P1659" s="419">
        <f t="shared" si="342"/>
        <v>142</v>
      </c>
      <c r="Q1659" s="419">
        <f t="shared" si="343"/>
        <v>0</v>
      </c>
      <c r="R1659" s="12"/>
      <c r="S1659" s="12"/>
      <c r="T1659" s="12"/>
      <c r="U1659" s="12"/>
      <c r="V1659" s="12"/>
      <c r="W1659" s="12"/>
      <c r="X1659" s="12"/>
      <c r="Y1659" s="12"/>
      <c r="Z1659" s="12"/>
    </row>
    <row r="1660" spans="1:26" ht="15.75" customHeight="1" x14ac:dyDescent="0.3">
      <c r="A1660" s="45">
        <v>53</v>
      </c>
      <c r="B1660" s="96" t="s">
        <v>237</v>
      </c>
      <c r="C1660" s="400" t="s">
        <v>2027</v>
      </c>
      <c r="D1660" s="256"/>
      <c r="E1660" s="96" t="s">
        <v>987</v>
      </c>
      <c r="F1660" s="170"/>
      <c r="G1660" s="368">
        <v>6</v>
      </c>
      <c r="H1660" s="332">
        <v>34</v>
      </c>
      <c r="I1660" s="371">
        <v>1</v>
      </c>
      <c r="J1660" s="100" t="s">
        <v>92</v>
      </c>
      <c r="K1660" s="377"/>
      <c r="L1660" s="415" t="str">
        <f t="shared" si="344"/>
        <v>1pieces</v>
      </c>
      <c r="M1660" s="456">
        <f t="shared" si="318"/>
        <v>34</v>
      </c>
      <c r="N1660" s="457" t="str">
        <f t="shared" si="345"/>
        <v>34pieces</v>
      </c>
      <c r="O1660" s="418">
        <f t="shared" si="320"/>
        <v>204</v>
      </c>
      <c r="P1660" s="419">
        <f t="shared" si="342"/>
        <v>6</v>
      </c>
      <c r="Q1660" s="458">
        <f t="shared" si="343"/>
        <v>0</v>
      </c>
      <c r="R1660" s="12"/>
      <c r="S1660" s="12"/>
      <c r="T1660" s="12"/>
      <c r="U1660" s="12"/>
      <c r="V1660" s="12"/>
      <c r="W1660" s="12"/>
      <c r="X1660" s="12"/>
      <c r="Y1660" s="12"/>
      <c r="Z1660" s="12"/>
    </row>
    <row r="1661" spans="1:26" ht="15.75" customHeight="1" x14ac:dyDescent="0.3">
      <c r="A1661" s="45">
        <v>54</v>
      </c>
      <c r="B1661" s="96" t="s">
        <v>518</v>
      </c>
      <c r="C1661" s="400" t="s">
        <v>2027</v>
      </c>
      <c r="D1661" s="170"/>
      <c r="E1661" s="96" t="s">
        <v>987</v>
      </c>
      <c r="F1661" s="170"/>
      <c r="G1661" s="368">
        <v>6</v>
      </c>
      <c r="H1661" s="332">
        <v>41</v>
      </c>
      <c r="I1661" s="371">
        <v>1</v>
      </c>
      <c r="J1661" s="100" t="s">
        <v>92</v>
      </c>
      <c r="K1661" s="377"/>
      <c r="L1661" s="415" t="str">
        <f t="shared" si="344"/>
        <v>1pieces</v>
      </c>
      <c r="M1661" s="456">
        <f t="shared" si="318"/>
        <v>41</v>
      </c>
      <c r="N1661" s="457" t="str">
        <f t="shared" si="345"/>
        <v>41pieces</v>
      </c>
      <c r="O1661" s="418">
        <f t="shared" si="320"/>
        <v>246</v>
      </c>
      <c r="P1661" s="419">
        <f t="shared" si="342"/>
        <v>6</v>
      </c>
      <c r="Q1661" s="458">
        <f t="shared" si="343"/>
        <v>0</v>
      </c>
      <c r="R1661" s="12"/>
      <c r="S1661" s="12"/>
      <c r="T1661" s="12"/>
      <c r="U1661" s="12"/>
      <c r="V1661" s="12"/>
      <c r="W1661" s="12"/>
      <c r="X1661" s="12"/>
      <c r="Y1661" s="12"/>
      <c r="Z1661" s="12"/>
    </row>
    <row r="1662" spans="1:26" ht="15.75" customHeight="1" x14ac:dyDescent="0.3">
      <c r="A1662" s="45">
        <v>55</v>
      </c>
      <c r="B1662" s="96" t="s">
        <v>1911</v>
      </c>
      <c r="C1662" s="400" t="s">
        <v>2027</v>
      </c>
      <c r="D1662" s="239"/>
      <c r="E1662" s="96" t="s">
        <v>987</v>
      </c>
      <c r="F1662" s="170"/>
      <c r="G1662" s="368">
        <v>6</v>
      </c>
      <c r="H1662" s="332">
        <v>14</v>
      </c>
      <c r="I1662" s="371">
        <v>1</v>
      </c>
      <c r="J1662" s="100" t="s">
        <v>92</v>
      </c>
      <c r="K1662" s="377"/>
      <c r="L1662" s="415" t="str">
        <f t="shared" si="344"/>
        <v>1pieces</v>
      </c>
      <c r="M1662" s="456">
        <f t="shared" si="318"/>
        <v>14</v>
      </c>
      <c r="N1662" s="457" t="str">
        <f t="shared" si="345"/>
        <v>14pieces</v>
      </c>
      <c r="O1662" s="418">
        <f t="shared" si="320"/>
        <v>84</v>
      </c>
      <c r="P1662" s="419">
        <f t="shared" si="342"/>
        <v>6</v>
      </c>
      <c r="Q1662" s="460">
        <f t="shared" si="343"/>
        <v>0</v>
      </c>
      <c r="R1662" s="12"/>
      <c r="S1662" s="12"/>
      <c r="T1662" s="12"/>
      <c r="U1662" s="12"/>
      <c r="V1662" s="12"/>
      <c r="W1662" s="12"/>
      <c r="X1662" s="12"/>
      <c r="Y1662" s="12"/>
      <c r="Z1662" s="12"/>
    </row>
    <row r="1663" spans="1:26" ht="15.75" customHeight="1" x14ac:dyDescent="0.3">
      <c r="A1663" s="45">
        <v>108</v>
      </c>
      <c r="B1663" s="96" t="s">
        <v>998</v>
      </c>
      <c r="C1663" s="400" t="s">
        <v>2027</v>
      </c>
      <c r="D1663" s="239"/>
      <c r="E1663" s="96" t="s">
        <v>1912</v>
      </c>
      <c r="F1663" s="170"/>
      <c r="G1663" s="368">
        <v>60</v>
      </c>
      <c r="H1663" s="332">
        <v>2</v>
      </c>
      <c r="I1663" s="371">
        <v>1</v>
      </c>
      <c r="J1663" s="100" t="s">
        <v>213</v>
      </c>
      <c r="K1663" s="377"/>
      <c r="L1663" s="415" t="str">
        <f t="shared" si="344"/>
        <v>1kilos</v>
      </c>
      <c r="M1663" s="456">
        <f t="shared" si="318"/>
        <v>2</v>
      </c>
      <c r="N1663" s="457" t="str">
        <f t="shared" si="345"/>
        <v>2kilos</v>
      </c>
      <c r="O1663" s="418">
        <f t="shared" si="320"/>
        <v>120</v>
      </c>
      <c r="P1663" s="419">
        <f t="shared" si="342"/>
        <v>60</v>
      </c>
      <c r="Q1663" s="458">
        <f t="shared" si="343"/>
        <v>0</v>
      </c>
      <c r="R1663" s="12"/>
      <c r="S1663" s="12"/>
      <c r="T1663" s="12"/>
      <c r="U1663" s="12"/>
      <c r="V1663" s="12"/>
      <c r="W1663" s="12"/>
      <c r="X1663" s="12"/>
      <c r="Y1663" s="12"/>
      <c r="Z1663" s="12"/>
    </row>
    <row r="1664" spans="1:26" ht="15.75" customHeight="1" x14ac:dyDescent="0.3">
      <c r="A1664" s="45">
        <v>112</v>
      </c>
      <c r="B1664" s="96" t="s">
        <v>924</v>
      </c>
      <c r="C1664" s="400" t="s">
        <v>2027</v>
      </c>
      <c r="D1664" s="239"/>
      <c r="E1664" s="239" t="s">
        <v>939</v>
      </c>
      <c r="F1664" s="170"/>
      <c r="G1664" s="368">
        <v>5.45</v>
      </c>
      <c r="H1664" s="332">
        <v>13</v>
      </c>
      <c r="I1664" s="371">
        <v>1</v>
      </c>
      <c r="J1664" s="100" t="s">
        <v>92</v>
      </c>
      <c r="K1664" s="377"/>
      <c r="L1664" s="415" t="str">
        <f t="shared" si="344"/>
        <v>1pieces</v>
      </c>
      <c r="M1664" s="456">
        <f t="shared" si="318"/>
        <v>13</v>
      </c>
      <c r="N1664" s="457" t="str">
        <f t="shared" si="345"/>
        <v>13pieces</v>
      </c>
      <c r="O1664" s="418">
        <f t="shared" si="320"/>
        <v>70.850000000000009</v>
      </c>
      <c r="P1664" s="419">
        <f t="shared" si="342"/>
        <v>5.4500000000000011</v>
      </c>
      <c r="Q1664" s="458">
        <f t="shared" si="343"/>
        <v>0</v>
      </c>
      <c r="R1664" s="12"/>
      <c r="S1664" s="12"/>
      <c r="T1664" s="12"/>
      <c r="U1664" s="12"/>
      <c r="V1664" s="12"/>
      <c r="W1664" s="12"/>
      <c r="X1664" s="12"/>
      <c r="Y1664" s="12"/>
      <c r="Z1664" s="12"/>
    </row>
    <row r="1665" spans="1:26" ht="15.75" customHeight="1" x14ac:dyDescent="0.3">
      <c r="A1665" s="45">
        <v>150</v>
      </c>
      <c r="B1665" s="344" t="s">
        <v>450</v>
      </c>
      <c r="C1665" s="400" t="s">
        <v>2027</v>
      </c>
      <c r="D1665" s="239"/>
      <c r="E1665" s="344"/>
      <c r="F1665" s="170"/>
      <c r="G1665" s="369">
        <v>145</v>
      </c>
      <c r="H1665" s="346">
        <v>2</v>
      </c>
      <c r="I1665" s="461">
        <v>1</v>
      </c>
      <c r="J1665" s="100" t="s">
        <v>213</v>
      </c>
      <c r="K1665" s="377"/>
      <c r="L1665" s="415" t="str">
        <f t="shared" si="344"/>
        <v>1kilos</v>
      </c>
      <c r="M1665" s="456">
        <f t="shared" si="318"/>
        <v>2</v>
      </c>
      <c r="N1665" s="457" t="str">
        <f t="shared" si="345"/>
        <v>2kilos</v>
      </c>
      <c r="O1665" s="418">
        <f t="shared" si="320"/>
        <v>290</v>
      </c>
      <c r="P1665" s="419">
        <f t="shared" si="342"/>
        <v>145</v>
      </c>
      <c r="Q1665" s="458">
        <f t="shared" si="343"/>
        <v>0</v>
      </c>
      <c r="R1665" s="12"/>
      <c r="S1665" s="12"/>
      <c r="T1665" s="12"/>
      <c r="U1665" s="12"/>
      <c r="V1665" s="12"/>
      <c r="W1665" s="12"/>
      <c r="X1665" s="12"/>
      <c r="Y1665" s="12"/>
      <c r="Z1665" s="12"/>
    </row>
    <row r="1666" spans="1:26" ht="15.75" customHeight="1" x14ac:dyDescent="0.3">
      <c r="A1666" s="45">
        <v>152</v>
      </c>
      <c r="B1666" s="46" t="s">
        <v>1021</v>
      </c>
      <c r="C1666" s="400" t="s">
        <v>2027</v>
      </c>
      <c r="D1666" s="239"/>
      <c r="E1666" s="46"/>
      <c r="F1666" s="170"/>
      <c r="G1666" s="359">
        <v>120</v>
      </c>
      <c r="H1666" s="289">
        <v>1</v>
      </c>
      <c r="I1666" s="376">
        <v>1</v>
      </c>
      <c r="J1666" s="100" t="s">
        <v>213</v>
      </c>
      <c r="K1666" s="377"/>
      <c r="L1666" s="415" t="str">
        <f t="shared" si="344"/>
        <v>1kilos</v>
      </c>
      <c r="M1666" s="456">
        <f t="shared" si="318"/>
        <v>1</v>
      </c>
      <c r="N1666" s="457" t="str">
        <f t="shared" si="345"/>
        <v>1kilos</v>
      </c>
      <c r="O1666" s="418">
        <f t="shared" si="320"/>
        <v>120</v>
      </c>
      <c r="P1666" s="419">
        <f t="shared" si="342"/>
        <v>120</v>
      </c>
      <c r="Q1666" s="458">
        <f t="shared" si="343"/>
        <v>0</v>
      </c>
      <c r="R1666" s="12"/>
      <c r="S1666" s="12"/>
      <c r="T1666" s="12"/>
      <c r="U1666" s="12"/>
      <c r="V1666" s="12"/>
      <c r="W1666" s="12"/>
      <c r="X1666" s="12"/>
      <c r="Y1666" s="12"/>
      <c r="Z1666" s="12"/>
    </row>
    <row r="1667" spans="1:26" ht="15.75" customHeight="1" x14ac:dyDescent="0.3">
      <c r="A1667" s="45">
        <v>89</v>
      </c>
      <c r="B1667" s="46" t="s">
        <v>320</v>
      </c>
      <c r="C1667" s="400" t="s">
        <v>2027</v>
      </c>
      <c r="D1667" s="239"/>
      <c r="E1667" s="46" t="s">
        <v>1589</v>
      </c>
      <c r="F1667" s="170"/>
      <c r="G1667" s="359">
        <v>70</v>
      </c>
      <c r="H1667" s="289">
        <v>2</v>
      </c>
      <c r="I1667" s="376">
        <v>1</v>
      </c>
      <c r="J1667" s="100" t="s">
        <v>213</v>
      </c>
      <c r="K1667" s="377"/>
      <c r="L1667" s="415" t="str">
        <f t="shared" si="344"/>
        <v>1kilos</v>
      </c>
      <c r="M1667" s="456">
        <f t="shared" si="318"/>
        <v>2</v>
      </c>
      <c r="N1667" s="457" t="str">
        <f t="shared" si="345"/>
        <v>2kilos</v>
      </c>
      <c r="O1667" s="418">
        <f t="shared" si="320"/>
        <v>140</v>
      </c>
      <c r="P1667" s="419">
        <f t="shared" si="342"/>
        <v>70</v>
      </c>
      <c r="Q1667" s="458">
        <f t="shared" si="343"/>
        <v>0</v>
      </c>
      <c r="R1667" s="12"/>
      <c r="S1667" s="12"/>
      <c r="T1667" s="12"/>
      <c r="U1667" s="12"/>
      <c r="V1667" s="12"/>
      <c r="W1667" s="12"/>
      <c r="X1667" s="12"/>
      <c r="Y1667" s="12"/>
      <c r="Z1667" s="12"/>
    </row>
    <row r="1668" spans="1:26" ht="15.75" customHeight="1" x14ac:dyDescent="0.3">
      <c r="A1668" s="45">
        <v>153</v>
      </c>
      <c r="B1668" s="46" t="s">
        <v>451</v>
      </c>
      <c r="C1668" s="400" t="s">
        <v>2027</v>
      </c>
      <c r="D1668" s="239"/>
      <c r="E1668" s="46"/>
      <c r="F1668" s="170"/>
      <c r="G1668" s="359">
        <v>208.8</v>
      </c>
      <c r="H1668" s="289">
        <v>1</v>
      </c>
      <c r="I1668" s="376">
        <v>1</v>
      </c>
      <c r="J1668" s="100" t="s">
        <v>213</v>
      </c>
      <c r="K1668" s="377"/>
      <c r="L1668" s="415" t="str">
        <f t="shared" si="344"/>
        <v>1kilos</v>
      </c>
      <c r="M1668" s="456">
        <f t="shared" si="318"/>
        <v>1</v>
      </c>
      <c r="N1668" s="457" t="str">
        <f t="shared" si="345"/>
        <v>1kilos</v>
      </c>
      <c r="O1668" s="418">
        <f t="shared" si="320"/>
        <v>208.8</v>
      </c>
      <c r="P1668" s="419">
        <f t="shared" si="342"/>
        <v>208.8</v>
      </c>
      <c r="Q1668" s="458">
        <f t="shared" si="343"/>
        <v>0</v>
      </c>
      <c r="R1668" s="12"/>
      <c r="S1668" s="12"/>
      <c r="T1668" s="12"/>
      <c r="U1668" s="12"/>
      <c r="V1668" s="12"/>
      <c r="W1668" s="12"/>
      <c r="X1668" s="12"/>
      <c r="Y1668" s="12"/>
      <c r="Z1668" s="12"/>
    </row>
    <row r="1669" spans="1:26" ht="15.75" customHeight="1" x14ac:dyDescent="0.3">
      <c r="A1669" s="45">
        <v>154</v>
      </c>
      <c r="B1669" s="46" t="s">
        <v>1913</v>
      </c>
      <c r="C1669" s="400" t="s">
        <v>2027</v>
      </c>
      <c r="D1669" s="239"/>
      <c r="E1669" s="46"/>
      <c r="F1669" s="170"/>
      <c r="G1669" s="359">
        <v>130</v>
      </c>
      <c r="H1669" s="289">
        <v>0</v>
      </c>
      <c r="I1669" s="376">
        <v>1</v>
      </c>
      <c r="J1669" s="100" t="s">
        <v>213</v>
      </c>
      <c r="K1669" s="377"/>
      <c r="L1669" s="415" t="str">
        <f t="shared" si="344"/>
        <v>1kilos</v>
      </c>
      <c r="M1669" s="456">
        <f t="shared" si="318"/>
        <v>0</v>
      </c>
      <c r="N1669" s="457" t="str">
        <f t="shared" si="345"/>
        <v>0kilos</v>
      </c>
      <c r="O1669" s="418">
        <f t="shared" si="320"/>
        <v>0</v>
      </c>
      <c r="P1669" s="419" t="e">
        <f t="shared" si="342"/>
        <v>#DIV/0!</v>
      </c>
      <c r="Q1669" s="458" t="e">
        <f t="shared" si="343"/>
        <v>#DIV/0!</v>
      </c>
      <c r="R1669" s="12"/>
      <c r="S1669" s="12"/>
      <c r="T1669" s="12"/>
      <c r="U1669" s="12"/>
      <c r="V1669" s="12"/>
      <c r="W1669" s="12"/>
      <c r="X1669" s="12"/>
      <c r="Y1669" s="12"/>
      <c r="Z1669" s="12"/>
    </row>
    <row r="1670" spans="1:26" ht="15.75" customHeight="1" x14ac:dyDescent="0.3">
      <c r="A1670" s="45">
        <v>5</v>
      </c>
      <c r="B1670" s="46" t="s">
        <v>53</v>
      </c>
      <c r="C1670" s="400" t="s">
        <v>2027</v>
      </c>
      <c r="D1670" s="239"/>
      <c r="E1670" s="46" t="s">
        <v>1085</v>
      </c>
      <c r="F1670" s="170"/>
      <c r="G1670" s="359">
        <v>35.5</v>
      </c>
      <c r="H1670" s="289">
        <v>4</v>
      </c>
      <c r="I1670" s="371">
        <v>1</v>
      </c>
      <c r="J1670" s="100" t="s">
        <v>1638</v>
      </c>
      <c r="K1670" s="377"/>
      <c r="L1670" s="415" t="str">
        <f t="shared" si="344"/>
        <v>1box</v>
      </c>
      <c r="M1670" s="456">
        <f t="shared" si="318"/>
        <v>4</v>
      </c>
      <c r="N1670" s="457" t="str">
        <f t="shared" si="345"/>
        <v>4box</v>
      </c>
      <c r="O1670" s="418">
        <f t="shared" si="320"/>
        <v>142</v>
      </c>
      <c r="P1670" s="419">
        <f t="shared" si="342"/>
        <v>35.5</v>
      </c>
      <c r="Q1670" s="419">
        <f t="shared" si="343"/>
        <v>0</v>
      </c>
      <c r="R1670" s="12"/>
      <c r="S1670" s="12"/>
      <c r="T1670" s="12"/>
      <c r="U1670" s="12"/>
      <c r="V1670" s="12"/>
      <c r="W1670" s="12"/>
      <c r="X1670" s="12"/>
      <c r="Y1670" s="12"/>
      <c r="Z1670" s="12"/>
    </row>
    <row r="1671" spans="1:26" ht="15.75" customHeight="1" x14ac:dyDescent="0.3">
      <c r="A1671" s="45">
        <v>114</v>
      </c>
      <c r="B1671" s="46" t="s">
        <v>1686</v>
      </c>
      <c r="C1671" s="400" t="s">
        <v>2027</v>
      </c>
      <c r="D1671" s="239"/>
      <c r="E1671" s="46" t="s">
        <v>1914</v>
      </c>
      <c r="F1671" s="170"/>
      <c r="G1671" s="368">
        <v>15.1</v>
      </c>
      <c r="H1671" s="332">
        <v>25</v>
      </c>
      <c r="I1671" s="371">
        <v>1</v>
      </c>
      <c r="J1671" s="100" t="s">
        <v>92</v>
      </c>
      <c r="K1671" s="377"/>
      <c r="L1671" s="415" t="str">
        <f t="shared" si="344"/>
        <v>1pieces</v>
      </c>
      <c r="M1671" s="456">
        <f t="shared" si="318"/>
        <v>25</v>
      </c>
      <c r="N1671" s="457" t="str">
        <f t="shared" si="345"/>
        <v>25pieces</v>
      </c>
      <c r="O1671" s="418">
        <f t="shared" si="320"/>
        <v>377.5</v>
      </c>
      <c r="P1671" s="419">
        <f t="shared" si="342"/>
        <v>15.1</v>
      </c>
      <c r="Q1671" s="458">
        <f t="shared" si="343"/>
        <v>0</v>
      </c>
      <c r="R1671" s="12"/>
      <c r="S1671" s="12"/>
      <c r="T1671" s="12"/>
      <c r="U1671" s="12"/>
      <c r="V1671" s="12"/>
      <c r="W1671" s="12"/>
      <c r="X1671" s="12"/>
      <c r="Y1671" s="12"/>
      <c r="Z1671" s="12"/>
    </row>
    <row r="1672" spans="1:26" ht="15.75" customHeight="1" x14ac:dyDescent="0.3">
      <c r="A1672" s="45">
        <v>47</v>
      </c>
      <c r="B1672" s="46" t="s">
        <v>1915</v>
      </c>
      <c r="C1672" s="400" t="s">
        <v>2027</v>
      </c>
      <c r="D1672" s="239"/>
      <c r="E1672" s="170"/>
      <c r="F1672" s="170"/>
      <c r="G1672" s="368">
        <v>175</v>
      </c>
      <c r="H1672" s="332">
        <v>49</v>
      </c>
      <c r="I1672" s="371">
        <v>1</v>
      </c>
      <c r="J1672" s="100" t="s">
        <v>213</v>
      </c>
      <c r="K1672" s="377"/>
      <c r="L1672" s="415" t="str">
        <f t="shared" si="344"/>
        <v>1kilos</v>
      </c>
      <c r="M1672" s="456">
        <f t="shared" si="318"/>
        <v>49</v>
      </c>
      <c r="N1672" s="457" t="str">
        <f t="shared" si="345"/>
        <v>49kilos</v>
      </c>
      <c r="O1672" s="418">
        <f t="shared" si="320"/>
        <v>8575</v>
      </c>
      <c r="P1672" s="419">
        <f t="shared" si="342"/>
        <v>175</v>
      </c>
      <c r="Q1672" s="419">
        <f t="shared" si="343"/>
        <v>0</v>
      </c>
      <c r="R1672" s="12"/>
      <c r="S1672" s="12"/>
      <c r="T1672" s="12"/>
      <c r="U1672" s="12"/>
      <c r="V1672" s="12"/>
      <c r="W1672" s="12"/>
      <c r="X1672" s="12"/>
      <c r="Y1672" s="12"/>
      <c r="Z1672" s="12"/>
    </row>
    <row r="1673" spans="1:26" ht="15.75" customHeight="1" x14ac:dyDescent="0.3">
      <c r="A1673" s="45">
        <v>115</v>
      </c>
      <c r="B1673" s="46" t="s">
        <v>1916</v>
      </c>
      <c r="C1673" s="400" t="s">
        <v>2027</v>
      </c>
      <c r="D1673" s="170"/>
      <c r="E1673" s="170" t="s">
        <v>1723</v>
      </c>
      <c r="F1673" s="170"/>
      <c r="G1673" s="368">
        <v>24</v>
      </c>
      <c r="H1673" s="332">
        <v>6</v>
      </c>
      <c r="I1673" s="371">
        <v>1</v>
      </c>
      <c r="J1673" s="100" t="s">
        <v>92</v>
      </c>
      <c r="K1673" s="377"/>
      <c r="L1673" s="415" t="str">
        <f t="shared" si="344"/>
        <v>1pieces</v>
      </c>
      <c r="M1673" s="456">
        <f t="shared" si="318"/>
        <v>6</v>
      </c>
      <c r="N1673" s="457" t="str">
        <f t="shared" si="345"/>
        <v>6pieces</v>
      </c>
      <c r="O1673" s="418">
        <f t="shared" si="320"/>
        <v>144</v>
      </c>
      <c r="P1673" s="419">
        <f t="shared" si="342"/>
        <v>24</v>
      </c>
      <c r="Q1673" s="458">
        <f t="shared" si="343"/>
        <v>0</v>
      </c>
      <c r="R1673" s="12"/>
      <c r="S1673" s="12"/>
      <c r="T1673" s="12"/>
      <c r="U1673" s="12"/>
      <c r="V1673" s="12"/>
      <c r="W1673" s="12"/>
      <c r="X1673" s="12"/>
      <c r="Y1673" s="12"/>
      <c r="Z1673" s="12"/>
    </row>
    <row r="1674" spans="1:26" ht="15.75" customHeight="1" x14ac:dyDescent="0.3">
      <c r="A1674" s="45">
        <v>116</v>
      </c>
      <c r="B1674" s="46" t="s">
        <v>1677</v>
      </c>
      <c r="C1674" s="400" t="s">
        <v>2027</v>
      </c>
      <c r="D1674" s="170"/>
      <c r="E1674" s="170" t="s">
        <v>1682</v>
      </c>
      <c r="F1674" s="170"/>
      <c r="G1674" s="368">
        <v>7.79</v>
      </c>
      <c r="H1674" s="332">
        <v>6</v>
      </c>
      <c r="I1674" s="462">
        <v>1</v>
      </c>
      <c r="J1674" s="100" t="s">
        <v>92</v>
      </c>
      <c r="K1674" s="377"/>
      <c r="L1674" s="415" t="str">
        <f t="shared" si="344"/>
        <v>1pieces</v>
      </c>
      <c r="M1674" s="456">
        <f t="shared" si="318"/>
        <v>6</v>
      </c>
      <c r="N1674" s="457" t="str">
        <f t="shared" si="345"/>
        <v>6pieces</v>
      </c>
      <c r="O1674" s="418">
        <f t="shared" si="320"/>
        <v>46.74</v>
      </c>
      <c r="P1674" s="419">
        <f t="shared" si="342"/>
        <v>7.79</v>
      </c>
      <c r="Q1674" s="458">
        <f t="shared" si="343"/>
        <v>0</v>
      </c>
      <c r="R1674" s="12"/>
      <c r="S1674" s="12"/>
      <c r="T1674" s="12"/>
      <c r="U1674" s="12"/>
      <c r="V1674" s="12"/>
      <c r="W1674" s="12"/>
      <c r="X1674" s="12"/>
      <c r="Y1674" s="12"/>
      <c r="Z1674" s="12"/>
    </row>
    <row r="1675" spans="1:26" ht="15.75" customHeight="1" x14ac:dyDescent="0.3">
      <c r="A1675" s="45">
        <v>25</v>
      </c>
      <c r="B1675" s="46" t="s">
        <v>1908</v>
      </c>
      <c r="C1675" s="400" t="s">
        <v>2027</v>
      </c>
      <c r="D1675" s="170"/>
      <c r="E1675" s="46" t="s">
        <v>1917</v>
      </c>
      <c r="F1675" s="170"/>
      <c r="G1675" s="368">
        <v>2.3199999999999998</v>
      </c>
      <c r="H1675" s="332">
        <v>1008</v>
      </c>
      <c r="I1675" s="371">
        <v>1</v>
      </c>
      <c r="J1675" s="240" t="s">
        <v>92</v>
      </c>
      <c r="K1675" s="377"/>
      <c r="L1675" s="415" t="str">
        <f t="shared" si="344"/>
        <v>1pieces</v>
      </c>
      <c r="M1675" s="456">
        <f t="shared" si="318"/>
        <v>1008</v>
      </c>
      <c r="N1675" s="457" t="str">
        <f t="shared" si="345"/>
        <v>1008pieces</v>
      </c>
      <c r="O1675" s="418">
        <f t="shared" si="320"/>
        <v>2338.56</v>
      </c>
      <c r="P1675" s="419">
        <f t="shared" si="342"/>
        <v>2.3199999999999998</v>
      </c>
      <c r="Q1675" s="458">
        <f t="shared" si="343"/>
        <v>0</v>
      </c>
      <c r="R1675" s="12"/>
      <c r="S1675" s="12"/>
      <c r="T1675" s="12"/>
      <c r="U1675" s="12"/>
      <c r="V1675" s="12"/>
      <c r="W1675" s="12"/>
      <c r="X1675" s="12"/>
      <c r="Y1675" s="12"/>
      <c r="Z1675" s="12"/>
    </row>
    <row r="1676" spans="1:26" ht="15.75" customHeight="1" x14ac:dyDescent="0.3">
      <c r="A1676" s="45">
        <v>26</v>
      </c>
      <c r="B1676" s="46" t="s">
        <v>1127</v>
      </c>
      <c r="C1676" s="400" t="s">
        <v>2027</v>
      </c>
      <c r="D1676" s="170"/>
      <c r="E1676" s="46" t="s">
        <v>1918</v>
      </c>
      <c r="F1676" s="170"/>
      <c r="G1676" s="368">
        <v>2.08</v>
      </c>
      <c r="H1676" s="332">
        <v>144</v>
      </c>
      <c r="I1676" s="371">
        <v>1</v>
      </c>
      <c r="J1676" s="240" t="s">
        <v>92</v>
      </c>
      <c r="K1676" s="377"/>
      <c r="L1676" s="415" t="str">
        <f t="shared" si="344"/>
        <v>1pieces</v>
      </c>
      <c r="M1676" s="456">
        <f t="shared" si="318"/>
        <v>144</v>
      </c>
      <c r="N1676" s="457" t="str">
        <f t="shared" si="345"/>
        <v>144pieces</v>
      </c>
      <c r="O1676" s="418">
        <f t="shared" si="320"/>
        <v>299.52</v>
      </c>
      <c r="P1676" s="419">
        <f t="shared" si="342"/>
        <v>2.08</v>
      </c>
      <c r="Q1676" s="419">
        <f t="shared" si="343"/>
        <v>0</v>
      </c>
      <c r="R1676" s="12"/>
      <c r="S1676" s="12"/>
      <c r="T1676" s="12"/>
      <c r="U1676" s="12"/>
      <c r="V1676" s="12"/>
      <c r="W1676" s="12"/>
      <c r="X1676" s="12"/>
      <c r="Y1676" s="12"/>
      <c r="Z1676" s="12"/>
    </row>
    <row r="1677" spans="1:26" ht="15.75" customHeight="1" x14ac:dyDescent="0.3">
      <c r="A1677" s="45">
        <v>117</v>
      </c>
      <c r="B1677" s="46" t="s">
        <v>1161</v>
      </c>
      <c r="C1677" s="400" t="s">
        <v>2027</v>
      </c>
      <c r="D1677" s="170"/>
      <c r="E1677" s="170" t="s">
        <v>1919</v>
      </c>
      <c r="F1677" s="170"/>
      <c r="G1677" s="368">
        <v>5.62</v>
      </c>
      <c r="H1677" s="332">
        <v>1</v>
      </c>
      <c r="I1677" s="371">
        <v>1</v>
      </c>
      <c r="J1677" s="240" t="s">
        <v>92</v>
      </c>
      <c r="K1677" s="377"/>
      <c r="L1677" s="415" t="str">
        <f t="shared" si="344"/>
        <v>1pieces</v>
      </c>
      <c r="M1677" s="456">
        <f t="shared" si="318"/>
        <v>1</v>
      </c>
      <c r="N1677" s="457" t="str">
        <f t="shared" si="345"/>
        <v>1pieces</v>
      </c>
      <c r="O1677" s="418">
        <f t="shared" si="320"/>
        <v>5.62</v>
      </c>
      <c r="P1677" s="419">
        <f t="shared" si="342"/>
        <v>5.62</v>
      </c>
      <c r="Q1677" s="458">
        <f t="shared" si="343"/>
        <v>0</v>
      </c>
      <c r="R1677" s="12"/>
      <c r="S1677" s="12"/>
      <c r="T1677" s="12"/>
      <c r="U1677" s="12"/>
      <c r="V1677" s="12"/>
      <c r="W1677" s="12"/>
      <c r="X1677" s="12"/>
      <c r="Y1677" s="12"/>
      <c r="Z1677" s="12"/>
    </row>
    <row r="1678" spans="1:26" ht="15.75" customHeight="1" x14ac:dyDescent="0.3">
      <c r="A1678" s="45">
        <v>6</v>
      </c>
      <c r="B1678" s="46" t="s">
        <v>56</v>
      </c>
      <c r="C1678" s="400" t="s">
        <v>2027</v>
      </c>
      <c r="D1678" s="170"/>
      <c r="E1678" s="46" t="s">
        <v>1137</v>
      </c>
      <c r="F1678" s="170"/>
      <c r="G1678" s="368">
        <v>42.6</v>
      </c>
      <c r="H1678" s="332">
        <v>7</v>
      </c>
      <c r="I1678" s="371">
        <v>300</v>
      </c>
      <c r="J1678" s="240" t="s">
        <v>32</v>
      </c>
      <c r="K1678" s="377"/>
      <c r="L1678" s="415" t="str">
        <f t="shared" si="344"/>
        <v>300ml</v>
      </c>
      <c r="M1678" s="456">
        <f t="shared" si="318"/>
        <v>2100</v>
      </c>
      <c r="N1678" s="457" t="str">
        <f t="shared" si="345"/>
        <v>2100ml</v>
      </c>
      <c r="O1678" s="418">
        <f t="shared" si="320"/>
        <v>298.2</v>
      </c>
      <c r="P1678" s="419">
        <f t="shared" si="342"/>
        <v>42.6</v>
      </c>
      <c r="Q1678" s="419">
        <f t="shared" si="343"/>
        <v>0</v>
      </c>
      <c r="R1678" s="12"/>
      <c r="S1678" s="12"/>
      <c r="T1678" s="12"/>
      <c r="U1678" s="12"/>
      <c r="V1678" s="12"/>
      <c r="W1678" s="12"/>
      <c r="X1678" s="12"/>
      <c r="Y1678" s="12"/>
      <c r="Z1678" s="12"/>
    </row>
    <row r="1679" spans="1:26" ht="15.75" customHeight="1" x14ac:dyDescent="0.3">
      <c r="A1679" s="45">
        <v>57</v>
      </c>
      <c r="B1679" s="46" t="s">
        <v>569</v>
      </c>
      <c r="C1679" s="400" t="s">
        <v>2027</v>
      </c>
      <c r="D1679" s="170"/>
      <c r="E1679" s="46" t="s">
        <v>1920</v>
      </c>
      <c r="F1679" s="170"/>
      <c r="G1679" s="368">
        <v>128</v>
      </c>
      <c r="H1679" s="332">
        <v>1</v>
      </c>
      <c r="I1679" s="371">
        <v>1</v>
      </c>
      <c r="J1679" s="240" t="s">
        <v>1921</v>
      </c>
      <c r="K1679" s="377"/>
      <c r="L1679" s="415" t="str">
        <f t="shared" si="344"/>
        <v>1l</v>
      </c>
      <c r="M1679" s="456">
        <f t="shared" si="318"/>
        <v>1</v>
      </c>
      <c r="N1679" s="457" t="str">
        <f t="shared" si="345"/>
        <v>1l</v>
      </c>
      <c r="O1679" s="418">
        <f t="shared" si="320"/>
        <v>128</v>
      </c>
      <c r="P1679" s="419">
        <f t="shared" si="342"/>
        <v>128</v>
      </c>
      <c r="Q1679" s="419">
        <f t="shared" si="343"/>
        <v>0</v>
      </c>
      <c r="R1679" s="12"/>
      <c r="S1679" s="12"/>
      <c r="T1679" s="12"/>
      <c r="U1679" s="12"/>
      <c r="V1679" s="12"/>
      <c r="W1679" s="12"/>
      <c r="X1679" s="12"/>
      <c r="Y1679" s="12"/>
      <c r="Z1679" s="12"/>
    </row>
    <row r="1680" spans="1:26" ht="15.75" customHeight="1" x14ac:dyDescent="0.3">
      <c r="A1680" s="45">
        <v>49</v>
      </c>
      <c r="B1680" s="46" t="s">
        <v>171</v>
      </c>
      <c r="C1680" s="400" t="s">
        <v>2027</v>
      </c>
      <c r="D1680" s="170"/>
      <c r="E1680" s="239"/>
      <c r="F1680" s="170"/>
      <c r="G1680" s="368">
        <v>27.5</v>
      </c>
      <c r="H1680" s="332">
        <v>1</v>
      </c>
      <c r="I1680" s="371"/>
      <c r="J1680" s="240" t="s">
        <v>213</v>
      </c>
      <c r="K1680" s="377"/>
      <c r="L1680" s="415" t="str">
        <f t="shared" si="344"/>
        <v>kilos</v>
      </c>
      <c r="M1680" s="456">
        <f t="shared" si="318"/>
        <v>0</v>
      </c>
      <c r="N1680" s="457" t="str">
        <f t="shared" si="345"/>
        <v>0kilos</v>
      </c>
      <c r="O1680" s="418">
        <f t="shared" si="320"/>
        <v>27.5</v>
      </c>
      <c r="P1680" s="419">
        <f t="shared" si="342"/>
        <v>27.5</v>
      </c>
      <c r="Q1680" s="460">
        <f t="shared" si="343"/>
        <v>0</v>
      </c>
      <c r="R1680" s="12"/>
      <c r="S1680" s="12"/>
      <c r="T1680" s="12"/>
      <c r="U1680" s="12"/>
      <c r="V1680" s="12"/>
      <c r="W1680" s="12"/>
      <c r="X1680" s="12"/>
      <c r="Y1680" s="12"/>
      <c r="Z1680" s="12"/>
    </row>
    <row r="1681" spans="1:26" ht="15.75" customHeight="1" x14ac:dyDescent="0.3">
      <c r="A1681" s="45">
        <v>7</v>
      </c>
      <c r="B1681" s="264" t="s">
        <v>62</v>
      </c>
      <c r="C1681" s="400" t="s">
        <v>2027</v>
      </c>
      <c r="D1681" s="170"/>
      <c r="E1681" s="264" t="s">
        <v>1589</v>
      </c>
      <c r="F1681" s="170"/>
      <c r="G1681" s="368">
        <v>56</v>
      </c>
      <c r="H1681" s="332">
        <v>5</v>
      </c>
      <c r="I1681" s="371">
        <v>1</v>
      </c>
      <c r="J1681" s="100" t="s">
        <v>1922</v>
      </c>
      <c r="K1681" s="377"/>
      <c r="L1681" s="415" t="str">
        <f t="shared" si="344"/>
        <v>1can</v>
      </c>
      <c r="M1681" s="456">
        <f t="shared" si="318"/>
        <v>5</v>
      </c>
      <c r="N1681" s="457" t="str">
        <f t="shared" si="345"/>
        <v>5can</v>
      </c>
      <c r="O1681" s="418">
        <f t="shared" si="320"/>
        <v>280</v>
      </c>
      <c r="P1681" s="419">
        <f t="shared" si="342"/>
        <v>56</v>
      </c>
      <c r="Q1681" s="419">
        <f t="shared" si="343"/>
        <v>0</v>
      </c>
      <c r="R1681" s="12"/>
      <c r="S1681" s="12"/>
      <c r="T1681" s="12"/>
      <c r="U1681" s="12"/>
      <c r="V1681" s="12"/>
      <c r="W1681" s="12"/>
      <c r="X1681" s="12"/>
      <c r="Y1681" s="12"/>
      <c r="Z1681" s="12"/>
    </row>
    <row r="1682" spans="1:26" ht="15.75" customHeight="1" x14ac:dyDescent="0.3">
      <c r="A1682" s="45">
        <v>118</v>
      </c>
      <c r="B1682" s="46" t="s">
        <v>1686</v>
      </c>
      <c r="C1682" s="400" t="s">
        <v>2027</v>
      </c>
      <c r="D1682" s="170"/>
      <c r="E1682" s="46" t="s">
        <v>1725</v>
      </c>
      <c r="F1682" s="170"/>
      <c r="G1682" s="368">
        <v>14.1</v>
      </c>
      <c r="H1682" s="332">
        <v>28</v>
      </c>
      <c r="I1682" s="371">
        <v>1</v>
      </c>
      <c r="J1682" s="100" t="s">
        <v>92</v>
      </c>
      <c r="K1682" s="377"/>
      <c r="L1682" s="415" t="str">
        <f t="shared" si="344"/>
        <v>1pieces</v>
      </c>
      <c r="M1682" s="456">
        <f t="shared" si="318"/>
        <v>28</v>
      </c>
      <c r="N1682" s="457" t="str">
        <f t="shared" si="345"/>
        <v>28pieces</v>
      </c>
      <c r="O1682" s="418">
        <f t="shared" si="320"/>
        <v>394.8</v>
      </c>
      <c r="P1682" s="419">
        <f t="shared" si="342"/>
        <v>14.1</v>
      </c>
      <c r="Q1682" s="458">
        <f t="shared" si="343"/>
        <v>0</v>
      </c>
      <c r="R1682" s="12"/>
      <c r="S1682" s="12"/>
      <c r="T1682" s="12"/>
      <c r="U1682" s="12"/>
      <c r="V1682" s="12"/>
      <c r="W1682" s="12"/>
      <c r="X1682" s="12"/>
      <c r="Y1682" s="12"/>
      <c r="Z1682" s="12"/>
    </row>
    <row r="1683" spans="1:26" ht="15.75" customHeight="1" x14ac:dyDescent="0.3">
      <c r="A1683" s="45">
        <v>58</v>
      </c>
      <c r="B1683" s="46" t="s">
        <v>250</v>
      </c>
      <c r="C1683" s="400" t="s">
        <v>2027</v>
      </c>
      <c r="D1683" s="170"/>
      <c r="E1683" s="46" t="s">
        <v>987</v>
      </c>
      <c r="F1683" s="170"/>
      <c r="G1683" s="368">
        <v>52</v>
      </c>
      <c r="H1683" s="332">
        <v>16</v>
      </c>
      <c r="I1683" s="371">
        <v>1</v>
      </c>
      <c r="J1683" s="100" t="s">
        <v>304</v>
      </c>
      <c r="K1683" s="377"/>
      <c r="L1683" s="415" t="str">
        <f t="shared" si="344"/>
        <v>1packs</v>
      </c>
      <c r="M1683" s="456">
        <f t="shared" si="318"/>
        <v>16</v>
      </c>
      <c r="N1683" s="457" t="str">
        <f t="shared" si="345"/>
        <v>16packs</v>
      </c>
      <c r="O1683" s="418">
        <f t="shared" si="320"/>
        <v>832</v>
      </c>
      <c r="P1683" s="419">
        <f t="shared" si="342"/>
        <v>52</v>
      </c>
      <c r="Q1683" s="460">
        <f t="shared" si="343"/>
        <v>0</v>
      </c>
      <c r="R1683" s="12"/>
      <c r="S1683" s="12"/>
      <c r="T1683" s="12"/>
      <c r="U1683" s="12"/>
      <c r="V1683" s="12"/>
      <c r="W1683" s="12"/>
      <c r="X1683" s="12"/>
      <c r="Y1683" s="12"/>
      <c r="Z1683" s="12"/>
    </row>
    <row r="1684" spans="1:26" ht="15.75" customHeight="1" x14ac:dyDescent="0.3">
      <c r="A1684" s="45">
        <v>27</v>
      </c>
      <c r="B1684" s="46" t="s">
        <v>840</v>
      </c>
      <c r="C1684" s="400" t="s">
        <v>2027</v>
      </c>
      <c r="D1684" s="170"/>
      <c r="E1684" s="46" t="s">
        <v>1923</v>
      </c>
      <c r="F1684" s="170"/>
      <c r="G1684" s="368">
        <v>7.1</v>
      </c>
      <c r="H1684" s="332">
        <v>140</v>
      </c>
      <c r="I1684" s="371">
        <v>1</v>
      </c>
      <c r="J1684" s="100" t="s">
        <v>92</v>
      </c>
      <c r="K1684" s="377"/>
      <c r="L1684" s="415" t="str">
        <f t="shared" si="344"/>
        <v>1pieces</v>
      </c>
      <c r="M1684" s="456">
        <f t="shared" si="318"/>
        <v>140</v>
      </c>
      <c r="N1684" s="457" t="str">
        <f t="shared" si="345"/>
        <v>140pieces</v>
      </c>
      <c r="O1684" s="418">
        <f t="shared" si="320"/>
        <v>994</v>
      </c>
      <c r="P1684" s="419">
        <f t="shared" si="342"/>
        <v>7.1</v>
      </c>
      <c r="Q1684" s="460">
        <f t="shared" si="343"/>
        <v>0</v>
      </c>
      <c r="R1684" s="12"/>
      <c r="S1684" s="12"/>
      <c r="T1684" s="12"/>
      <c r="U1684" s="12"/>
      <c r="V1684" s="12"/>
      <c r="W1684" s="12"/>
      <c r="X1684" s="12"/>
      <c r="Y1684" s="12"/>
      <c r="Z1684" s="12"/>
    </row>
    <row r="1685" spans="1:26" ht="15.75" customHeight="1" x14ac:dyDescent="0.3">
      <c r="A1685" s="45">
        <v>77</v>
      </c>
      <c r="B1685" s="46" t="s">
        <v>1187</v>
      </c>
      <c r="C1685" s="400" t="s">
        <v>2027</v>
      </c>
      <c r="D1685" s="267"/>
      <c r="E1685" s="46" t="s">
        <v>1907</v>
      </c>
      <c r="F1685" s="170"/>
      <c r="G1685" s="368">
        <v>50</v>
      </c>
      <c r="H1685" s="332">
        <v>1</v>
      </c>
      <c r="I1685" s="371">
        <v>1</v>
      </c>
      <c r="J1685" s="100" t="s">
        <v>213</v>
      </c>
      <c r="K1685" s="377"/>
      <c r="L1685" s="415" t="str">
        <f t="shared" si="344"/>
        <v>1kilos</v>
      </c>
      <c r="M1685" s="456">
        <f t="shared" si="318"/>
        <v>1</v>
      </c>
      <c r="N1685" s="457" t="str">
        <f t="shared" si="345"/>
        <v>1kilos</v>
      </c>
      <c r="O1685" s="418">
        <f t="shared" si="320"/>
        <v>50</v>
      </c>
      <c r="P1685" s="419">
        <f t="shared" si="342"/>
        <v>50</v>
      </c>
      <c r="Q1685" s="460">
        <f t="shared" si="343"/>
        <v>0</v>
      </c>
      <c r="R1685" s="12"/>
      <c r="S1685" s="12"/>
      <c r="T1685" s="12"/>
      <c r="U1685" s="12"/>
      <c r="V1685" s="12"/>
      <c r="W1685" s="12"/>
      <c r="X1685" s="12"/>
      <c r="Y1685" s="12"/>
      <c r="Z1685" s="12"/>
    </row>
    <row r="1686" spans="1:26" ht="15.75" customHeight="1" x14ac:dyDescent="0.3">
      <c r="A1686" s="45">
        <v>119</v>
      </c>
      <c r="B1686" s="46" t="s">
        <v>924</v>
      </c>
      <c r="C1686" s="400" t="s">
        <v>2027</v>
      </c>
      <c r="D1686" s="267"/>
      <c r="E1686" s="170" t="s">
        <v>1924</v>
      </c>
      <c r="F1686" s="170"/>
      <c r="G1686" s="368">
        <v>5.68</v>
      </c>
      <c r="H1686" s="332">
        <v>6</v>
      </c>
      <c r="I1686" s="371">
        <v>1</v>
      </c>
      <c r="J1686" s="100" t="s">
        <v>92</v>
      </c>
      <c r="K1686" s="377"/>
      <c r="L1686" s="415" t="str">
        <f t="shared" si="344"/>
        <v>1pieces</v>
      </c>
      <c r="M1686" s="456">
        <f t="shared" si="318"/>
        <v>6</v>
      </c>
      <c r="N1686" s="457" t="str">
        <f t="shared" si="345"/>
        <v>6pieces</v>
      </c>
      <c r="O1686" s="418">
        <f t="shared" si="320"/>
        <v>34.08</v>
      </c>
      <c r="P1686" s="419">
        <f t="shared" si="342"/>
        <v>5.68</v>
      </c>
      <c r="Q1686" s="458">
        <f t="shared" si="343"/>
        <v>0</v>
      </c>
      <c r="R1686" s="12"/>
      <c r="S1686" s="12"/>
      <c r="T1686" s="12"/>
      <c r="U1686" s="12"/>
      <c r="V1686" s="12"/>
      <c r="W1686" s="12"/>
      <c r="X1686" s="12"/>
      <c r="Y1686" s="12"/>
      <c r="Z1686" s="12"/>
    </row>
    <row r="1687" spans="1:26" ht="15.75" customHeight="1" x14ac:dyDescent="0.3">
      <c r="A1687" s="45">
        <v>79</v>
      </c>
      <c r="B1687" s="46" t="s">
        <v>1189</v>
      </c>
      <c r="C1687" s="400" t="s">
        <v>2027</v>
      </c>
      <c r="D1687" s="267"/>
      <c r="E1687" s="46" t="s">
        <v>1907</v>
      </c>
      <c r="F1687" s="170"/>
      <c r="G1687" s="368">
        <v>20</v>
      </c>
      <c r="H1687" s="332">
        <v>1</v>
      </c>
      <c r="I1687" s="371">
        <v>1</v>
      </c>
      <c r="J1687" s="100" t="s">
        <v>213</v>
      </c>
      <c r="K1687" s="377"/>
      <c r="L1687" s="415" t="str">
        <f t="shared" si="344"/>
        <v>1kilos</v>
      </c>
      <c r="M1687" s="456">
        <f t="shared" si="318"/>
        <v>1</v>
      </c>
      <c r="N1687" s="457" t="str">
        <f t="shared" si="345"/>
        <v>1kilos</v>
      </c>
      <c r="O1687" s="418">
        <f t="shared" si="320"/>
        <v>20</v>
      </c>
      <c r="P1687" s="419">
        <f t="shared" si="342"/>
        <v>20</v>
      </c>
      <c r="Q1687" s="458">
        <f t="shared" si="343"/>
        <v>0</v>
      </c>
      <c r="R1687" s="12"/>
      <c r="S1687" s="12"/>
      <c r="T1687" s="12"/>
      <c r="U1687" s="12"/>
      <c r="V1687" s="12"/>
      <c r="W1687" s="12"/>
      <c r="X1687" s="12"/>
      <c r="Y1687" s="12"/>
      <c r="Z1687" s="12"/>
    </row>
    <row r="1688" spans="1:26" ht="15.75" customHeight="1" x14ac:dyDescent="0.3">
      <c r="A1688" s="45">
        <v>80</v>
      </c>
      <c r="B1688" s="46" t="s">
        <v>293</v>
      </c>
      <c r="C1688" s="400" t="s">
        <v>2027</v>
      </c>
      <c r="D1688" s="267"/>
      <c r="E1688" s="46" t="s">
        <v>1925</v>
      </c>
      <c r="F1688" s="170"/>
      <c r="G1688" s="368">
        <v>7.33</v>
      </c>
      <c r="H1688" s="332">
        <v>750</v>
      </c>
      <c r="I1688" s="371">
        <v>1</v>
      </c>
      <c r="J1688" s="100" t="s">
        <v>92</v>
      </c>
      <c r="K1688" s="377"/>
      <c r="L1688" s="415" t="str">
        <f t="shared" si="344"/>
        <v>1pieces</v>
      </c>
      <c r="M1688" s="456">
        <f t="shared" si="318"/>
        <v>750</v>
      </c>
      <c r="N1688" s="457" t="str">
        <f t="shared" si="345"/>
        <v>750pieces</v>
      </c>
      <c r="O1688" s="418">
        <f t="shared" si="320"/>
        <v>5497.5</v>
      </c>
      <c r="P1688" s="419">
        <f t="shared" si="342"/>
        <v>7.33</v>
      </c>
      <c r="Q1688" s="458">
        <f t="shared" si="343"/>
        <v>0</v>
      </c>
      <c r="R1688" s="12"/>
      <c r="S1688" s="12"/>
      <c r="T1688" s="12"/>
      <c r="U1688" s="12"/>
      <c r="V1688" s="12"/>
      <c r="W1688" s="12"/>
      <c r="X1688" s="12"/>
      <c r="Y1688" s="12"/>
      <c r="Z1688" s="12"/>
    </row>
    <row r="1689" spans="1:26" ht="15.75" customHeight="1" x14ac:dyDescent="0.3">
      <c r="A1689" s="45">
        <v>17</v>
      </c>
      <c r="B1689" s="46" t="s">
        <v>1214</v>
      </c>
      <c r="C1689" s="400" t="s">
        <v>2027</v>
      </c>
      <c r="D1689" s="267"/>
      <c r="E1689" s="170" t="s">
        <v>1926</v>
      </c>
      <c r="F1689" s="170"/>
      <c r="G1689" s="368">
        <v>36.9</v>
      </c>
      <c r="H1689" s="332">
        <v>1</v>
      </c>
      <c r="I1689" s="371">
        <v>1</v>
      </c>
      <c r="J1689" s="100" t="s">
        <v>92</v>
      </c>
      <c r="K1689" s="377"/>
      <c r="L1689" s="415" t="str">
        <f t="shared" si="344"/>
        <v>1pieces</v>
      </c>
      <c r="M1689" s="456">
        <f t="shared" si="318"/>
        <v>1</v>
      </c>
      <c r="N1689" s="457" t="str">
        <f t="shared" si="345"/>
        <v>1pieces</v>
      </c>
      <c r="O1689" s="418">
        <f t="shared" si="320"/>
        <v>36.9</v>
      </c>
      <c r="P1689" s="419">
        <f t="shared" si="342"/>
        <v>36.9</v>
      </c>
      <c r="Q1689" s="419">
        <f t="shared" si="343"/>
        <v>0</v>
      </c>
      <c r="R1689" s="12"/>
      <c r="S1689" s="12"/>
      <c r="T1689" s="12"/>
      <c r="U1689" s="12"/>
      <c r="V1689" s="12"/>
      <c r="W1689" s="12"/>
      <c r="X1689" s="12"/>
      <c r="Y1689" s="12"/>
      <c r="Z1689" s="12"/>
    </row>
    <row r="1690" spans="1:26" ht="15.75" customHeight="1" x14ac:dyDescent="0.3">
      <c r="A1690" s="45">
        <v>9</v>
      </c>
      <c r="B1690" s="46" t="s">
        <v>64</v>
      </c>
      <c r="C1690" s="400" t="s">
        <v>2027</v>
      </c>
      <c r="D1690" s="267"/>
      <c r="E1690" s="46" t="s">
        <v>1137</v>
      </c>
      <c r="F1690" s="170"/>
      <c r="G1690" s="368">
        <v>30.3</v>
      </c>
      <c r="H1690" s="332">
        <v>4</v>
      </c>
      <c r="I1690" s="371">
        <v>1</v>
      </c>
      <c r="J1690" s="100" t="s">
        <v>1922</v>
      </c>
      <c r="K1690" s="377"/>
      <c r="L1690" s="415" t="str">
        <f t="shared" si="344"/>
        <v>1can</v>
      </c>
      <c r="M1690" s="456">
        <f t="shared" si="318"/>
        <v>4</v>
      </c>
      <c r="N1690" s="457" t="str">
        <f t="shared" si="345"/>
        <v>4can</v>
      </c>
      <c r="O1690" s="418">
        <f t="shared" si="320"/>
        <v>121.2</v>
      </c>
      <c r="P1690" s="419">
        <f t="shared" si="342"/>
        <v>30.3</v>
      </c>
      <c r="Q1690" s="458">
        <f t="shared" si="343"/>
        <v>0</v>
      </c>
      <c r="R1690" s="12"/>
      <c r="S1690" s="12"/>
      <c r="T1690" s="12"/>
      <c r="U1690" s="12"/>
      <c r="V1690" s="12"/>
      <c r="W1690" s="12"/>
      <c r="X1690" s="12"/>
      <c r="Y1690" s="12"/>
      <c r="Z1690" s="12"/>
    </row>
    <row r="1691" spans="1:26" ht="15.75" customHeight="1" x14ac:dyDescent="0.3">
      <c r="A1691" s="45">
        <v>82</v>
      </c>
      <c r="B1691" s="46" t="s">
        <v>1927</v>
      </c>
      <c r="C1691" s="400" t="s">
        <v>2027</v>
      </c>
      <c r="D1691" s="267"/>
      <c r="E1691" s="46" t="s">
        <v>1928</v>
      </c>
      <c r="F1691" s="170"/>
      <c r="G1691" s="368">
        <v>255</v>
      </c>
      <c r="H1691" s="332">
        <v>3</v>
      </c>
      <c r="I1691" s="371">
        <v>1</v>
      </c>
      <c r="J1691" s="100" t="s">
        <v>213</v>
      </c>
      <c r="K1691" s="377"/>
      <c r="L1691" s="415" t="str">
        <f t="shared" si="344"/>
        <v>1kilos</v>
      </c>
      <c r="M1691" s="456">
        <f t="shared" si="318"/>
        <v>3</v>
      </c>
      <c r="N1691" s="457" t="str">
        <f t="shared" si="345"/>
        <v>3kilos</v>
      </c>
      <c r="O1691" s="418">
        <f t="shared" si="320"/>
        <v>765</v>
      </c>
      <c r="P1691" s="419">
        <f t="shared" si="342"/>
        <v>255</v>
      </c>
      <c r="Q1691" s="458">
        <f t="shared" si="343"/>
        <v>0</v>
      </c>
      <c r="R1691" s="12"/>
      <c r="S1691" s="12"/>
      <c r="T1691" s="12"/>
      <c r="U1691" s="12"/>
      <c r="V1691" s="12"/>
      <c r="W1691" s="12"/>
      <c r="X1691" s="12"/>
      <c r="Y1691" s="12"/>
      <c r="Z1691" s="12"/>
    </row>
    <row r="1692" spans="1:26" ht="15.75" customHeight="1" x14ac:dyDescent="0.3">
      <c r="A1692" s="45">
        <v>59</v>
      </c>
      <c r="B1692" s="46" t="s">
        <v>256</v>
      </c>
      <c r="C1692" s="400" t="s">
        <v>2027</v>
      </c>
      <c r="D1692" s="267"/>
      <c r="E1692" s="46" t="s">
        <v>1929</v>
      </c>
      <c r="F1692" s="170"/>
      <c r="G1692" s="368">
        <v>73</v>
      </c>
      <c r="H1692" s="332">
        <v>1</v>
      </c>
      <c r="I1692" s="371">
        <v>1</v>
      </c>
      <c r="J1692" s="100" t="s">
        <v>200</v>
      </c>
      <c r="K1692" s="377"/>
      <c r="L1692" s="415" t="str">
        <f t="shared" si="344"/>
        <v>1gal</v>
      </c>
      <c r="M1692" s="456">
        <f t="shared" si="318"/>
        <v>1</v>
      </c>
      <c r="N1692" s="457" t="str">
        <f t="shared" si="345"/>
        <v>1gal</v>
      </c>
      <c r="O1692" s="418">
        <f t="shared" si="320"/>
        <v>73</v>
      </c>
      <c r="P1692" s="419">
        <f t="shared" si="342"/>
        <v>73</v>
      </c>
      <c r="Q1692" s="460">
        <f t="shared" si="343"/>
        <v>0</v>
      </c>
      <c r="R1692" s="12"/>
      <c r="S1692" s="12"/>
      <c r="T1692" s="12"/>
      <c r="U1692" s="12"/>
      <c r="V1692" s="12"/>
      <c r="W1692" s="12"/>
      <c r="X1692" s="12"/>
      <c r="Y1692" s="12"/>
      <c r="Z1692" s="12"/>
    </row>
    <row r="1693" spans="1:26" ht="15.75" customHeight="1" x14ac:dyDescent="0.3">
      <c r="A1693" s="45">
        <v>102</v>
      </c>
      <c r="B1693" s="46" t="s">
        <v>1930</v>
      </c>
      <c r="C1693" s="400" t="s">
        <v>2027</v>
      </c>
      <c r="D1693" s="267"/>
      <c r="E1693" s="170"/>
      <c r="F1693" s="170"/>
      <c r="G1693" s="368">
        <v>300</v>
      </c>
      <c r="H1693" s="332">
        <v>1</v>
      </c>
      <c r="I1693" s="371">
        <v>1</v>
      </c>
      <c r="J1693" s="100" t="s">
        <v>92</v>
      </c>
      <c r="K1693" s="377"/>
      <c r="L1693" s="415" t="str">
        <f t="shared" si="344"/>
        <v>1pieces</v>
      </c>
      <c r="M1693" s="456">
        <f t="shared" si="318"/>
        <v>1</v>
      </c>
      <c r="N1693" s="457" t="str">
        <f t="shared" si="345"/>
        <v>1pieces</v>
      </c>
      <c r="O1693" s="418">
        <f t="shared" si="320"/>
        <v>300</v>
      </c>
      <c r="P1693" s="419">
        <f t="shared" si="342"/>
        <v>300</v>
      </c>
      <c r="Q1693" s="458">
        <f t="shared" si="343"/>
        <v>0</v>
      </c>
      <c r="R1693" s="12"/>
      <c r="S1693" s="12"/>
      <c r="T1693" s="12"/>
      <c r="U1693" s="12"/>
      <c r="V1693" s="12"/>
      <c r="W1693" s="12"/>
      <c r="X1693" s="12"/>
      <c r="Y1693" s="12"/>
      <c r="Z1693" s="12"/>
    </row>
    <row r="1694" spans="1:26" ht="15.75" customHeight="1" x14ac:dyDescent="0.3">
      <c r="A1694" s="45">
        <v>35</v>
      </c>
      <c r="B1694" s="46" t="s">
        <v>177</v>
      </c>
      <c r="C1694" s="400" t="s">
        <v>2027</v>
      </c>
      <c r="D1694" s="267"/>
      <c r="E1694" s="96" t="s">
        <v>959</v>
      </c>
      <c r="F1694" s="170"/>
      <c r="G1694" s="368">
        <v>34</v>
      </c>
      <c r="H1694" s="332">
        <v>2</v>
      </c>
      <c r="I1694" s="371">
        <v>1</v>
      </c>
      <c r="J1694" s="100" t="s">
        <v>39</v>
      </c>
      <c r="K1694" s="377"/>
      <c r="L1694" s="415" t="str">
        <f t="shared" si="344"/>
        <v>1grams</v>
      </c>
      <c r="M1694" s="456">
        <f t="shared" si="318"/>
        <v>2</v>
      </c>
      <c r="N1694" s="457" t="str">
        <f t="shared" si="345"/>
        <v>2grams</v>
      </c>
      <c r="O1694" s="418">
        <f t="shared" si="320"/>
        <v>68</v>
      </c>
      <c r="P1694" s="419">
        <f t="shared" si="342"/>
        <v>34</v>
      </c>
      <c r="Q1694" s="460">
        <f t="shared" si="343"/>
        <v>0</v>
      </c>
      <c r="R1694" s="12"/>
      <c r="S1694" s="12"/>
      <c r="T1694" s="12"/>
      <c r="U1694" s="12"/>
      <c r="V1694" s="12"/>
      <c r="W1694" s="12"/>
      <c r="X1694" s="12"/>
      <c r="Y1694" s="12"/>
      <c r="Z1694" s="12"/>
    </row>
    <row r="1695" spans="1:26" ht="15.75" customHeight="1" x14ac:dyDescent="0.3">
      <c r="A1695" s="45">
        <v>8</v>
      </c>
      <c r="B1695" s="46" t="s">
        <v>1931</v>
      </c>
      <c r="C1695" s="400" t="s">
        <v>2027</v>
      </c>
      <c r="D1695" s="267"/>
      <c r="E1695" s="239"/>
      <c r="F1695" s="170"/>
      <c r="G1695" s="368">
        <v>61</v>
      </c>
      <c r="H1695" s="332">
        <v>2</v>
      </c>
      <c r="I1695" s="371">
        <v>1</v>
      </c>
      <c r="J1695" s="100" t="s">
        <v>213</v>
      </c>
      <c r="K1695" s="377"/>
      <c r="L1695" s="415" t="str">
        <f t="shared" si="344"/>
        <v>1kilos</v>
      </c>
      <c r="M1695" s="456">
        <f t="shared" si="318"/>
        <v>2</v>
      </c>
      <c r="N1695" s="457" t="str">
        <f t="shared" si="345"/>
        <v>2kilos</v>
      </c>
      <c r="O1695" s="418">
        <f t="shared" si="320"/>
        <v>122</v>
      </c>
      <c r="P1695" s="419">
        <f t="shared" si="342"/>
        <v>61</v>
      </c>
      <c r="Q1695" s="419">
        <f t="shared" si="343"/>
        <v>0</v>
      </c>
      <c r="R1695" s="12"/>
      <c r="S1695" s="12"/>
      <c r="T1695" s="12"/>
      <c r="U1695" s="12"/>
      <c r="V1695" s="12"/>
      <c r="W1695" s="12"/>
      <c r="X1695" s="12"/>
      <c r="Y1695" s="12"/>
      <c r="Z1695" s="12"/>
    </row>
    <row r="1696" spans="1:26" ht="15.75" customHeight="1" x14ac:dyDescent="0.3">
      <c r="A1696" s="45">
        <v>28</v>
      </c>
      <c r="B1696" s="96" t="s">
        <v>141</v>
      </c>
      <c r="C1696" s="400" t="s">
        <v>2027</v>
      </c>
      <c r="D1696" s="267"/>
      <c r="E1696" s="96" t="s">
        <v>1932</v>
      </c>
      <c r="F1696" s="170"/>
      <c r="G1696" s="368">
        <v>2.31</v>
      </c>
      <c r="H1696" s="332">
        <v>49</v>
      </c>
      <c r="I1696" s="371">
        <v>1</v>
      </c>
      <c r="J1696" s="100" t="s">
        <v>92</v>
      </c>
      <c r="K1696" s="377"/>
      <c r="L1696" s="415" t="str">
        <f t="shared" si="344"/>
        <v>1pieces</v>
      </c>
      <c r="M1696" s="456">
        <f t="shared" si="318"/>
        <v>49</v>
      </c>
      <c r="N1696" s="457" t="str">
        <f t="shared" si="345"/>
        <v>49pieces</v>
      </c>
      <c r="O1696" s="418">
        <f t="shared" si="320"/>
        <v>113.19</v>
      </c>
      <c r="P1696" s="419">
        <f t="shared" si="342"/>
        <v>2.31</v>
      </c>
      <c r="Q1696" s="458">
        <f t="shared" si="343"/>
        <v>0</v>
      </c>
      <c r="R1696" s="12"/>
      <c r="S1696" s="12"/>
      <c r="T1696" s="12"/>
      <c r="U1696" s="12"/>
      <c r="V1696" s="12"/>
      <c r="W1696" s="12"/>
      <c r="X1696" s="12"/>
      <c r="Y1696" s="12"/>
      <c r="Z1696" s="12"/>
    </row>
    <row r="1697" spans="1:26" ht="15.75" customHeight="1" x14ac:dyDescent="0.3">
      <c r="A1697" s="45">
        <v>105</v>
      </c>
      <c r="B1697" s="96" t="s">
        <v>201</v>
      </c>
      <c r="C1697" s="400" t="s">
        <v>2027</v>
      </c>
      <c r="D1697" s="267"/>
      <c r="E1697" s="239"/>
      <c r="F1697" s="170"/>
      <c r="G1697" s="368">
        <v>35</v>
      </c>
      <c r="H1697" s="332">
        <v>2</v>
      </c>
      <c r="I1697" s="371">
        <v>1</v>
      </c>
      <c r="J1697" s="100" t="s">
        <v>304</v>
      </c>
      <c r="K1697" s="377"/>
      <c r="L1697" s="415" t="str">
        <f t="shared" si="344"/>
        <v>1packs</v>
      </c>
      <c r="M1697" s="456">
        <f t="shared" si="318"/>
        <v>2</v>
      </c>
      <c r="N1697" s="457" t="str">
        <f t="shared" si="345"/>
        <v>2packs</v>
      </c>
      <c r="O1697" s="418">
        <f t="shared" si="320"/>
        <v>70</v>
      </c>
      <c r="P1697" s="419">
        <f t="shared" si="342"/>
        <v>35</v>
      </c>
      <c r="Q1697" s="458">
        <f t="shared" si="343"/>
        <v>0</v>
      </c>
      <c r="R1697" s="12"/>
      <c r="S1697" s="12"/>
      <c r="T1697" s="12"/>
      <c r="U1697" s="12"/>
      <c r="V1697" s="12"/>
      <c r="W1697" s="12"/>
      <c r="X1697" s="12"/>
      <c r="Y1697" s="12"/>
      <c r="Z1697" s="12"/>
    </row>
    <row r="1698" spans="1:26" ht="15.75" customHeight="1" x14ac:dyDescent="0.3">
      <c r="A1698" s="45">
        <v>120</v>
      </c>
      <c r="B1698" s="96" t="s">
        <v>1933</v>
      </c>
      <c r="C1698" s="400" t="s">
        <v>2027</v>
      </c>
      <c r="D1698" s="267"/>
      <c r="E1698" s="96" t="s">
        <v>1934</v>
      </c>
      <c r="F1698" s="170"/>
      <c r="G1698" s="368">
        <v>5.3</v>
      </c>
      <c r="H1698" s="332">
        <v>30</v>
      </c>
      <c r="I1698" s="371">
        <v>1</v>
      </c>
      <c r="J1698" s="100" t="s">
        <v>92</v>
      </c>
      <c r="K1698" s="377"/>
      <c r="L1698" s="415" t="str">
        <f t="shared" si="344"/>
        <v>1pieces</v>
      </c>
      <c r="M1698" s="456">
        <f t="shared" si="318"/>
        <v>30</v>
      </c>
      <c r="N1698" s="457" t="str">
        <f t="shared" si="345"/>
        <v>30pieces</v>
      </c>
      <c r="O1698" s="418">
        <f t="shared" si="320"/>
        <v>159</v>
      </c>
      <c r="P1698" s="419">
        <f t="shared" si="342"/>
        <v>5.3</v>
      </c>
      <c r="Q1698" s="458">
        <f t="shared" si="343"/>
        <v>0</v>
      </c>
      <c r="R1698" s="12"/>
      <c r="S1698" s="12"/>
      <c r="T1698" s="12"/>
      <c r="U1698" s="12"/>
      <c r="V1698" s="12"/>
      <c r="W1698" s="12"/>
      <c r="X1698" s="12"/>
      <c r="Y1698" s="12"/>
      <c r="Z1698" s="12"/>
    </row>
    <row r="1699" spans="1:26" ht="15.75" customHeight="1" x14ac:dyDescent="0.3">
      <c r="A1699" s="45">
        <v>121</v>
      </c>
      <c r="B1699" s="96" t="s">
        <v>1935</v>
      </c>
      <c r="C1699" s="400" t="s">
        <v>2027</v>
      </c>
      <c r="D1699" s="267"/>
      <c r="E1699" s="96" t="s">
        <v>1934</v>
      </c>
      <c r="F1699" s="170"/>
      <c r="G1699" s="368">
        <v>5.92</v>
      </c>
      <c r="H1699" s="332">
        <v>37</v>
      </c>
      <c r="I1699" s="371">
        <v>1</v>
      </c>
      <c r="J1699" s="100" t="s">
        <v>92</v>
      </c>
      <c r="K1699" s="377"/>
      <c r="L1699" s="415" t="str">
        <f t="shared" si="344"/>
        <v>1pieces</v>
      </c>
      <c r="M1699" s="456">
        <f t="shared" si="318"/>
        <v>37</v>
      </c>
      <c r="N1699" s="457" t="str">
        <f t="shared" si="345"/>
        <v>37pieces</v>
      </c>
      <c r="O1699" s="418">
        <f t="shared" si="320"/>
        <v>219.04</v>
      </c>
      <c r="P1699" s="419">
        <f t="shared" si="342"/>
        <v>5.92</v>
      </c>
      <c r="Q1699" s="458">
        <f t="shared" si="343"/>
        <v>0</v>
      </c>
      <c r="R1699" s="12"/>
      <c r="S1699" s="12"/>
      <c r="T1699" s="12"/>
      <c r="U1699" s="12"/>
      <c r="V1699" s="12"/>
      <c r="W1699" s="12"/>
      <c r="X1699" s="12"/>
      <c r="Y1699" s="12"/>
      <c r="Z1699" s="12"/>
    </row>
    <row r="1700" spans="1:26" ht="15.75" customHeight="1" x14ac:dyDescent="0.3">
      <c r="A1700" s="45">
        <v>122</v>
      </c>
      <c r="B1700" s="96" t="s">
        <v>1936</v>
      </c>
      <c r="C1700" s="400" t="s">
        <v>2027</v>
      </c>
      <c r="D1700" s="267"/>
      <c r="E1700" s="239"/>
      <c r="F1700" s="170"/>
      <c r="G1700" s="368">
        <v>6.13</v>
      </c>
      <c r="H1700" s="332">
        <v>20</v>
      </c>
      <c r="I1700" s="371">
        <v>1</v>
      </c>
      <c r="J1700" s="100" t="s">
        <v>92</v>
      </c>
      <c r="K1700" s="377"/>
      <c r="L1700" s="415" t="str">
        <f t="shared" si="344"/>
        <v>1pieces</v>
      </c>
      <c r="M1700" s="456">
        <f t="shared" si="318"/>
        <v>20</v>
      </c>
      <c r="N1700" s="457" t="str">
        <f t="shared" si="345"/>
        <v>20pieces</v>
      </c>
      <c r="O1700" s="418">
        <f t="shared" si="320"/>
        <v>122.6</v>
      </c>
      <c r="P1700" s="419">
        <f t="shared" si="342"/>
        <v>6.13</v>
      </c>
      <c r="Q1700" s="458">
        <f t="shared" si="343"/>
        <v>0</v>
      </c>
      <c r="R1700" s="12"/>
      <c r="S1700" s="12"/>
      <c r="T1700" s="12"/>
      <c r="U1700" s="12"/>
      <c r="V1700" s="12"/>
      <c r="W1700" s="12"/>
      <c r="X1700" s="12"/>
      <c r="Y1700" s="12"/>
      <c r="Z1700" s="12"/>
    </row>
    <row r="1701" spans="1:26" ht="15.75" customHeight="1" x14ac:dyDescent="0.3">
      <c r="A1701" s="45">
        <v>10</v>
      </c>
      <c r="B1701" s="96" t="s">
        <v>1937</v>
      </c>
      <c r="C1701" s="400" t="s">
        <v>2027</v>
      </c>
      <c r="D1701" s="267"/>
      <c r="E1701" s="239"/>
      <c r="F1701" s="170"/>
      <c r="G1701" s="368">
        <v>392.05</v>
      </c>
      <c r="H1701" s="332">
        <v>1</v>
      </c>
      <c r="I1701" s="371">
        <v>1</v>
      </c>
      <c r="J1701" s="100" t="s">
        <v>32</v>
      </c>
      <c r="K1701" s="377"/>
      <c r="L1701" s="415" t="str">
        <f t="shared" si="344"/>
        <v>1ml</v>
      </c>
      <c r="M1701" s="456">
        <f t="shared" si="318"/>
        <v>1</v>
      </c>
      <c r="N1701" s="457" t="str">
        <f t="shared" si="345"/>
        <v>1ml</v>
      </c>
      <c r="O1701" s="418">
        <f t="shared" si="320"/>
        <v>392.05</v>
      </c>
      <c r="P1701" s="419">
        <f t="shared" si="342"/>
        <v>392.05</v>
      </c>
      <c r="Q1701" s="419">
        <f t="shared" si="343"/>
        <v>0</v>
      </c>
      <c r="R1701" s="12"/>
      <c r="S1701" s="12"/>
      <c r="T1701" s="12"/>
      <c r="U1701" s="12"/>
      <c r="V1701" s="12"/>
      <c r="W1701" s="12"/>
      <c r="X1701" s="12"/>
      <c r="Y1701" s="12"/>
      <c r="Z1701" s="12"/>
    </row>
    <row r="1702" spans="1:26" ht="15.75" customHeight="1" x14ac:dyDescent="0.3">
      <c r="A1702" s="45">
        <v>92</v>
      </c>
      <c r="B1702" s="96" t="s">
        <v>1938</v>
      </c>
      <c r="C1702" s="400" t="s">
        <v>2027</v>
      </c>
      <c r="D1702" s="237"/>
      <c r="E1702" s="96" t="s">
        <v>1939</v>
      </c>
      <c r="F1702" s="237"/>
      <c r="G1702" s="368">
        <v>22.56</v>
      </c>
      <c r="H1702" s="332">
        <v>48</v>
      </c>
      <c r="I1702" s="371">
        <v>1</v>
      </c>
      <c r="J1702" s="100" t="s">
        <v>92</v>
      </c>
      <c r="K1702" s="377"/>
      <c r="L1702" s="61" t="s">
        <v>2029</v>
      </c>
      <c r="M1702" s="463" t="s">
        <v>2029</v>
      </c>
      <c r="N1702" s="464" t="s">
        <v>2029</v>
      </c>
      <c r="O1702" s="418">
        <f t="shared" si="320"/>
        <v>1082.8799999999999</v>
      </c>
      <c r="P1702" s="419">
        <f t="shared" si="342"/>
        <v>22.56</v>
      </c>
      <c r="Q1702" s="458">
        <f t="shared" si="343"/>
        <v>0</v>
      </c>
      <c r="R1702" s="12"/>
      <c r="S1702" s="12"/>
      <c r="T1702" s="12"/>
      <c r="U1702" s="12"/>
      <c r="V1702" s="12"/>
      <c r="W1702" s="12"/>
      <c r="X1702" s="12"/>
      <c r="Y1702" s="12"/>
      <c r="Z1702" s="12"/>
    </row>
    <row r="1703" spans="1:26" ht="15.75" customHeight="1" x14ac:dyDescent="0.3">
      <c r="A1703" s="45">
        <v>51</v>
      </c>
      <c r="B1703" s="96" t="s">
        <v>1940</v>
      </c>
      <c r="C1703" s="400" t="s">
        <v>2027</v>
      </c>
      <c r="D1703" s="237"/>
      <c r="E1703" s="96" t="s">
        <v>870</v>
      </c>
      <c r="F1703" s="237"/>
      <c r="G1703" s="368">
        <v>189.5</v>
      </c>
      <c r="H1703" s="332">
        <v>9</v>
      </c>
      <c r="I1703" s="371">
        <v>1</v>
      </c>
      <c r="J1703" s="100" t="s">
        <v>213</v>
      </c>
      <c r="K1703" s="377"/>
      <c r="L1703" s="415" t="str">
        <f t="shared" ref="L1703:L1707" si="346">CONCATENATE(I1703,J1703)</f>
        <v>1kilos</v>
      </c>
      <c r="M1703" s="456">
        <f t="shared" ref="M1703:M1716" si="347">H1703*I1703</f>
        <v>9</v>
      </c>
      <c r="N1703" s="457" t="str">
        <f t="shared" ref="N1703:N1716" si="348">CONCATENATE(M1703,K1703,J1703)</f>
        <v>9kilos</v>
      </c>
      <c r="O1703" s="418">
        <f t="shared" si="320"/>
        <v>1705.5</v>
      </c>
      <c r="P1703" s="419">
        <f t="shared" si="342"/>
        <v>189.5</v>
      </c>
      <c r="Q1703" s="419">
        <f t="shared" si="343"/>
        <v>0</v>
      </c>
      <c r="R1703" s="12"/>
      <c r="S1703" s="12"/>
      <c r="T1703" s="12"/>
      <c r="U1703" s="12"/>
      <c r="V1703" s="12"/>
      <c r="W1703" s="12"/>
      <c r="X1703" s="12"/>
      <c r="Y1703" s="12"/>
      <c r="Z1703" s="12"/>
    </row>
    <row r="1704" spans="1:26" ht="15.75" customHeight="1" x14ac:dyDescent="0.3">
      <c r="A1704" s="45">
        <v>65</v>
      </c>
      <c r="B1704" s="96" t="s">
        <v>1322</v>
      </c>
      <c r="C1704" s="400" t="s">
        <v>2027</v>
      </c>
      <c r="D1704" s="237"/>
      <c r="E1704" s="96" t="s">
        <v>1941</v>
      </c>
      <c r="F1704" s="237"/>
      <c r="G1704" s="368">
        <v>54</v>
      </c>
      <c r="H1704" s="332">
        <v>1</v>
      </c>
      <c r="I1704" s="371">
        <v>1</v>
      </c>
      <c r="J1704" s="100" t="s">
        <v>39</v>
      </c>
      <c r="K1704" s="377"/>
      <c r="L1704" s="415" t="str">
        <f t="shared" si="346"/>
        <v>1grams</v>
      </c>
      <c r="M1704" s="456">
        <f t="shared" si="347"/>
        <v>1</v>
      </c>
      <c r="N1704" s="457" t="str">
        <f t="shared" si="348"/>
        <v>1grams</v>
      </c>
      <c r="O1704" s="418">
        <f t="shared" si="320"/>
        <v>54</v>
      </c>
      <c r="P1704" s="419">
        <f t="shared" si="342"/>
        <v>54</v>
      </c>
      <c r="Q1704" s="419">
        <f t="shared" si="343"/>
        <v>0</v>
      </c>
      <c r="R1704" s="12"/>
      <c r="S1704" s="12"/>
      <c r="T1704" s="12"/>
      <c r="U1704" s="12"/>
      <c r="V1704" s="12"/>
      <c r="W1704" s="12"/>
      <c r="X1704" s="12"/>
      <c r="Y1704" s="12"/>
      <c r="Z1704" s="12"/>
    </row>
    <row r="1705" spans="1:26" ht="15.75" customHeight="1" x14ac:dyDescent="0.3">
      <c r="A1705" s="45">
        <v>113</v>
      </c>
      <c r="B1705" s="96" t="s">
        <v>1942</v>
      </c>
      <c r="C1705" s="400" t="s">
        <v>2027</v>
      </c>
      <c r="D1705" s="237"/>
      <c r="E1705" s="239"/>
      <c r="F1705" s="237"/>
      <c r="G1705" s="368">
        <v>8.6999999999999993</v>
      </c>
      <c r="H1705" s="332">
        <v>47</v>
      </c>
      <c r="I1705" s="371">
        <v>1</v>
      </c>
      <c r="J1705" s="100" t="s">
        <v>92</v>
      </c>
      <c r="K1705" s="377"/>
      <c r="L1705" s="415" t="str">
        <f t="shared" si="346"/>
        <v>1pieces</v>
      </c>
      <c r="M1705" s="456">
        <f t="shared" si="347"/>
        <v>47</v>
      </c>
      <c r="N1705" s="457" t="str">
        <f t="shared" si="348"/>
        <v>47pieces</v>
      </c>
      <c r="O1705" s="418">
        <f t="shared" si="320"/>
        <v>408.9</v>
      </c>
      <c r="P1705" s="419">
        <f t="shared" si="342"/>
        <v>8.6999999999999993</v>
      </c>
      <c r="Q1705" s="458">
        <f t="shared" si="343"/>
        <v>0</v>
      </c>
      <c r="R1705" s="12"/>
      <c r="S1705" s="12"/>
      <c r="T1705" s="12"/>
      <c r="U1705" s="12"/>
      <c r="V1705" s="12"/>
      <c r="W1705" s="12"/>
      <c r="X1705" s="12"/>
      <c r="Y1705" s="12"/>
      <c r="Z1705" s="12"/>
    </row>
    <row r="1706" spans="1:26" ht="15.75" customHeight="1" x14ac:dyDescent="0.3">
      <c r="A1706" s="45">
        <v>90</v>
      </c>
      <c r="B1706" s="96" t="s">
        <v>1943</v>
      </c>
      <c r="C1706" s="400" t="s">
        <v>2027</v>
      </c>
      <c r="D1706" s="237"/>
      <c r="E1706" s="96" t="s">
        <v>1944</v>
      </c>
      <c r="F1706" s="237"/>
      <c r="G1706" s="368">
        <v>24.26</v>
      </c>
      <c r="H1706" s="332">
        <v>48</v>
      </c>
      <c r="I1706" s="371">
        <v>1</v>
      </c>
      <c r="J1706" s="100" t="s">
        <v>92</v>
      </c>
      <c r="K1706" s="377"/>
      <c r="L1706" s="415" t="str">
        <f t="shared" si="346"/>
        <v>1pieces</v>
      </c>
      <c r="M1706" s="456">
        <f t="shared" si="347"/>
        <v>48</v>
      </c>
      <c r="N1706" s="457" t="str">
        <f t="shared" si="348"/>
        <v>48pieces</v>
      </c>
      <c r="O1706" s="418">
        <f t="shared" si="320"/>
        <v>1164.48</v>
      </c>
      <c r="P1706" s="419">
        <f t="shared" si="342"/>
        <v>24.26</v>
      </c>
      <c r="Q1706" s="458">
        <f t="shared" si="343"/>
        <v>0</v>
      </c>
      <c r="R1706" s="12"/>
      <c r="S1706" s="12"/>
      <c r="T1706" s="12"/>
      <c r="U1706" s="12"/>
      <c r="V1706" s="12"/>
      <c r="W1706" s="12"/>
      <c r="X1706" s="12"/>
      <c r="Y1706" s="12"/>
      <c r="Z1706" s="12"/>
    </row>
    <row r="1707" spans="1:26" ht="15.75" customHeight="1" x14ac:dyDescent="0.3">
      <c r="A1707" s="45">
        <v>151</v>
      </c>
      <c r="B1707" s="96" t="s">
        <v>1327</v>
      </c>
      <c r="C1707" s="400" t="s">
        <v>2027</v>
      </c>
      <c r="D1707" s="239"/>
      <c r="E1707" s="96" t="s">
        <v>1945</v>
      </c>
      <c r="F1707" s="237"/>
      <c r="G1707" s="368">
        <v>170</v>
      </c>
      <c r="H1707" s="332">
        <v>7</v>
      </c>
      <c r="I1707" s="371">
        <v>1</v>
      </c>
      <c r="J1707" s="100" t="s">
        <v>213</v>
      </c>
      <c r="K1707" s="377"/>
      <c r="L1707" s="415" t="str">
        <f t="shared" si="346"/>
        <v>1kilos</v>
      </c>
      <c r="M1707" s="456">
        <f t="shared" si="347"/>
        <v>7</v>
      </c>
      <c r="N1707" s="457" t="str">
        <f t="shared" si="348"/>
        <v>7kilos</v>
      </c>
      <c r="O1707" s="418">
        <f t="shared" si="320"/>
        <v>1190</v>
      </c>
      <c r="P1707" s="419">
        <f t="shared" si="342"/>
        <v>170</v>
      </c>
      <c r="Q1707" s="458">
        <f t="shared" si="343"/>
        <v>0</v>
      </c>
      <c r="R1707" s="12"/>
      <c r="S1707" s="12"/>
      <c r="T1707" s="12"/>
      <c r="U1707" s="12"/>
      <c r="V1707" s="12"/>
      <c r="W1707" s="12"/>
      <c r="X1707" s="12"/>
      <c r="Y1707" s="12"/>
      <c r="Z1707" s="12"/>
    </row>
    <row r="1708" spans="1:26" ht="15.75" customHeight="1" x14ac:dyDescent="0.3">
      <c r="A1708" s="45">
        <v>155</v>
      </c>
      <c r="B1708" s="46" t="s">
        <v>1330</v>
      </c>
      <c r="C1708" s="400" t="s">
        <v>2027</v>
      </c>
      <c r="D1708" s="170"/>
      <c r="E1708" s="46" t="s">
        <v>1945</v>
      </c>
      <c r="F1708" s="237"/>
      <c r="G1708" s="372">
        <v>95</v>
      </c>
      <c r="H1708" s="332">
        <v>2</v>
      </c>
      <c r="I1708" s="371">
        <v>1</v>
      </c>
      <c r="J1708" s="61" t="s">
        <v>213</v>
      </c>
      <c r="K1708" s="377"/>
      <c r="L1708" s="415" t="e">
        <f>CONCATENATE(I1708,#REF!)</f>
        <v>#REF!</v>
      </c>
      <c r="M1708" s="456">
        <f t="shared" si="347"/>
        <v>2</v>
      </c>
      <c r="N1708" s="457" t="str">
        <f t="shared" si="348"/>
        <v>2kilos</v>
      </c>
      <c r="O1708" s="418">
        <f t="shared" si="320"/>
        <v>190</v>
      </c>
      <c r="P1708" s="419">
        <f t="shared" si="342"/>
        <v>95</v>
      </c>
      <c r="Q1708" s="458">
        <f t="shared" si="343"/>
        <v>0</v>
      </c>
      <c r="R1708" s="12"/>
      <c r="S1708" s="12"/>
      <c r="T1708" s="12"/>
      <c r="U1708" s="12"/>
      <c r="V1708" s="12"/>
      <c r="W1708" s="12"/>
      <c r="X1708" s="12"/>
      <c r="Y1708" s="12"/>
      <c r="Z1708" s="12"/>
    </row>
    <row r="1709" spans="1:26" ht="15.75" customHeight="1" x14ac:dyDescent="0.3">
      <c r="A1709" s="45">
        <v>56</v>
      </c>
      <c r="B1709" s="46" t="s">
        <v>1339</v>
      </c>
      <c r="C1709" s="400" t="s">
        <v>2027</v>
      </c>
      <c r="D1709" s="239"/>
      <c r="E1709" s="46" t="s">
        <v>1929</v>
      </c>
      <c r="F1709" s="239"/>
      <c r="G1709" s="368">
        <v>88</v>
      </c>
      <c r="H1709" s="332">
        <v>4</v>
      </c>
      <c r="I1709" s="371">
        <v>1</v>
      </c>
      <c r="J1709" s="61" t="s">
        <v>200</v>
      </c>
      <c r="K1709" s="377"/>
      <c r="L1709" s="415" t="str">
        <f t="shared" ref="L1709:L1716" si="349">CONCATENATE(I1709,J1709)</f>
        <v>1gal</v>
      </c>
      <c r="M1709" s="456">
        <f t="shared" si="347"/>
        <v>4</v>
      </c>
      <c r="N1709" s="457" t="str">
        <f t="shared" si="348"/>
        <v>4gal</v>
      </c>
      <c r="O1709" s="418">
        <f t="shared" si="320"/>
        <v>352</v>
      </c>
      <c r="P1709" s="419">
        <f t="shared" si="342"/>
        <v>88</v>
      </c>
      <c r="Q1709" s="419">
        <f t="shared" si="343"/>
        <v>0</v>
      </c>
      <c r="R1709" s="12"/>
      <c r="S1709" s="12"/>
      <c r="T1709" s="12"/>
      <c r="U1709" s="12"/>
      <c r="V1709" s="12"/>
      <c r="W1709" s="12"/>
      <c r="X1709" s="12"/>
      <c r="Y1709" s="12"/>
      <c r="Z1709" s="12"/>
    </row>
    <row r="1710" spans="1:26" ht="15.75" customHeight="1" x14ac:dyDescent="0.3">
      <c r="A1710" s="45">
        <v>63</v>
      </c>
      <c r="B1710" s="46" t="s">
        <v>1946</v>
      </c>
      <c r="C1710" s="400" t="s">
        <v>2027</v>
      </c>
      <c r="D1710" s="239"/>
      <c r="E1710" s="46" t="s">
        <v>1947</v>
      </c>
      <c r="F1710" s="239"/>
      <c r="G1710" s="368">
        <v>158.4</v>
      </c>
      <c r="H1710" s="332">
        <v>2</v>
      </c>
      <c r="I1710" s="371">
        <v>1</v>
      </c>
      <c r="J1710" s="61" t="s">
        <v>1948</v>
      </c>
      <c r="K1710" s="377"/>
      <c r="L1710" s="415" t="str">
        <f t="shared" si="349"/>
        <v>1bottle</v>
      </c>
      <c r="M1710" s="456">
        <f t="shared" si="347"/>
        <v>2</v>
      </c>
      <c r="N1710" s="457" t="str">
        <f t="shared" si="348"/>
        <v>2bottle</v>
      </c>
      <c r="O1710" s="418">
        <f t="shared" si="320"/>
        <v>316.8</v>
      </c>
      <c r="P1710" s="419">
        <f t="shared" si="342"/>
        <v>158.4</v>
      </c>
      <c r="Q1710" s="458">
        <f t="shared" si="343"/>
        <v>0</v>
      </c>
      <c r="R1710" s="12"/>
      <c r="S1710" s="12"/>
      <c r="T1710" s="12"/>
      <c r="U1710" s="12"/>
      <c r="V1710" s="12"/>
      <c r="W1710" s="12"/>
      <c r="X1710" s="12"/>
      <c r="Y1710" s="12"/>
      <c r="Z1710" s="12"/>
    </row>
    <row r="1711" spans="1:26" ht="15.75" customHeight="1" x14ac:dyDescent="0.3">
      <c r="A1711" s="45">
        <v>29</v>
      </c>
      <c r="B1711" s="46" t="s">
        <v>143</v>
      </c>
      <c r="C1711" s="400" t="s">
        <v>2027</v>
      </c>
      <c r="D1711" s="239"/>
      <c r="E1711" s="46" t="s">
        <v>1949</v>
      </c>
      <c r="F1711" s="239"/>
      <c r="G1711" s="368">
        <v>8.5</v>
      </c>
      <c r="H1711" s="332">
        <v>50</v>
      </c>
      <c r="I1711" s="371">
        <v>1</v>
      </c>
      <c r="J1711" s="61" t="s">
        <v>92</v>
      </c>
      <c r="K1711" s="377"/>
      <c r="L1711" s="415" t="str">
        <f t="shared" si="349"/>
        <v>1pieces</v>
      </c>
      <c r="M1711" s="456">
        <f t="shared" si="347"/>
        <v>50</v>
      </c>
      <c r="N1711" s="457" t="str">
        <f t="shared" si="348"/>
        <v>50pieces</v>
      </c>
      <c r="O1711" s="418">
        <f t="shared" si="320"/>
        <v>425</v>
      </c>
      <c r="P1711" s="419">
        <f t="shared" si="342"/>
        <v>8.5</v>
      </c>
      <c r="Q1711" s="419">
        <f t="shared" si="343"/>
        <v>0</v>
      </c>
      <c r="R1711" s="12"/>
      <c r="S1711" s="12"/>
      <c r="T1711" s="12"/>
      <c r="U1711" s="12"/>
      <c r="V1711" s="12"/>
      <c r="W1711" s="12"/>
      <c r="X1711" s="12"/>
      <c r="Y1711" s="12"/>
      <c r="Z1711" s="12"/>
    </row>
    <row r="1712" spans="1:26" ht="15.75" customHeight="1" x14ac:dyDescent="0.3">
      <c r="A1712" s="45">
        <v>30</v>
      </c>
      <c r="B1712" s="46" t="s">
        <v>652</v>
      </c>
      <c r="C1712" s="400" t="s">
        <v>2027</v>
      </c>
      <c r="D1712" s="239"/>
      <c r="E1712" s="46" t="s">
        <v>1949</v>
      </c>
      <c r="F1712" s="239"/>
      <c r="G1712" s="359">
        <v>8.9600000000000009</v>
      </c>
      <c r="H1712" s="289">
        <v>65</v>
      </c>
      <c r="I1712" s="376">
        <v>1</v>
      </c>
      <c r="J1712" s="273" t="s">
        <v>92</v>
      </c>
      <c r="K1712" s="377"/>
      <c r="L1712" s="415" t="str">
        <f t="shared" si="349"/>
        <v>1pieces</v>
      </c>
      <c r="M1712" s="456">
        <f t="shared" si="347"/>
        <v>65</v>
      </c>
      <c r="N1712" s="457" t="str">
        <f t="shared" si="348"/>
        <v>65pieces</v>
      </c>
      <c r="O1712" s="418">
        <f t="shared" si="320"/>
        <v>582.40000000000009</v>
      </c>
      <c r="P1712" s="419">
        <f t="shared" si="342"/>
        <v>8.9600000000000009</v>
      </c>
      <c r="Q1712" s="419">
        <f t="shared" si="343"/>
        <v>0</v>
      </c>
      <c r="R1712" s="12"/>
      <c r="S1712" s="12"/>
      <c r="T1712" s="12"/>
      <c r="U1712" s="12"/>
      <c r="V1712" s="12"/>
      <c r="W1712" s="12"/>
      <c r="X1712" s="12"/>
      <c r="Y1712" s="12"/>
      <c r="Z1712" s="12"/>
    </row>
    <row r="1713" spans="1:26" ht="15.75" customHeight="1" x14ac:dyDescent="0.3">
      <c r="A1713" s="45">
        <v>31</v>
      </c>
      <c r="B1713" s="46" t="s">
        <v>145</v>
      </c>
      <c r="C1713" s="400" t="s">
        <v>2027</v>
      </c>
      <c r="D1713" s="239"/>
      <c r="E1713" s="46" t="s">
        <v>1949</v>
      </c>
      <c r="F1713" s="239"/>
      <c r="G1713" s="359">
        <v>8.35</v>
      </c>
      <c r="H1713" s="289">
        <v>170</v>
      </c>
      <c r="I1713" s="376">
        <v>1</v>
      </c>
      <c r="J1713" s="273" t="s">
        <v>92</v>
      </c>
      <c r="K1713" s="377"/>
      <c r="L1713" s="415" t="str">
        <f t="shared" si="349"/>
        <v>1pieces</v>
      </c>
      <c r="M1713" s="456">
        <f t="shared" si="347"/>
        <v>170</v>
      </c>
      <c r="N1713" s="457" t="str">
        <f t="shared" si="348"/>
        <v>170pieces</v>
      </c>
      <c r="O1713" s="418">
        <f t="shared" si="320"/>
        <v>1419.5</v>
      </c>
      <c r="P1713" s="419">
        <f t="shared" si="342"/>
        <v>8.35</v>
      </c>
      <c r="Q1713" s="458">
        <f t="shared" si="343"/>
        <v>0</v>
      </c>
      <c r="R1713" s="12"/>
      <c r="S1713" s="12"/>
      <c r="T1713" s="12"/>
      <c r="U1713" s="12"/>
      <c r="V1713" s="12"/>
      <c r="W1713" s="12"/>
      <c r="X1713" s="12"/>
      <c r="Y1713" s="12"/>
      <c r="Z1713" s="12"/>
    </row>
    <row r="1714" spans="1:26" ht="15.75" customHeight="1" x14ac:dyDescent="0.3">
      <c r="A1714" s="45">
        <v>156</v>
      </c>
      <c r="B1714" s="46" t="s">
        <v>1343</v>
      </c>
      <c r="C1714" s="400" t="s">
        <v>2027</v>
      </c>
      <c r="D1714" s="239"/>
      <c r="E1714" s="46" t="s">
        <v>1945</v>
      </c>
      <c r="F1714" s="239"/>
      <c r="G1714" s="359">
        <v>210</v>
      </c>
      <c r="H1714" s="289">
        <v>0</v>
      </c>
      <c r="I1714" s="376">
        <v>1</v>
      </c>
      <c r="J1714" s="273" t="s">
        <v>213</v>
      </c>
      <c r="K1714" s="377"/>
      <c r="L1714" s="415" t="str">
        <f t="shared" si="349"/>
        <v>1kilos</v>
      </c>
      <c r="M1714" s="456">
        <f t="shared" si="347"/>
        <v>0</v>
      </c>
      <c r="N1714" s="457" t="str">
        <f t="shared" si="348"/>
        <v>0kilos</v>
      </c>
      <c r="O1714" s="418">
        <f t="shared" si="320"/>
        <v>0</v>
      </c>
      <c r="P1714" s="419" t="e">
        <f t="shared" si="342"/>
        <v>#DIV/0!</v>
      </c>
      <c r="Q1714" s="458" t="e">
        <f t="shared" si="343"/>
        <v>#DIV/0!</v>
      </c>
      <c r="R1714" s="12"/>
      <c r="S1714" s="12"/>
      <c r="T1714" s="12"/>
      <c r="U1714" s="12"/>
      <c r="V1714" s="12"/>
      <c r="W1714" s="12"/>
      <c r="X1714" s="12"/>
      <c r="Y1714" s="12"/>
      <c r="Z1714" s="12"/>
    </row>
    <row r="1715" spans="1:26" ht="15.75" customHeight="1" x14ac:dyDescent="0.3">
      <c r="A1715" s="45">
        <v>123</v>
      </c>
      <c r="B1715" s="46" t="s">
        <v>1950</v>
      </c>
      <c r="C1715" s="400" t="s">
        <v>2027</v>
      </c>
      <c r="D1715" s="239"/>
      <c r="E1715" s="170"/>
      <c r="F1715" s="239"/>
      <c r="G1715" s="359">
        <v>9.1999999999999993</v>
      </c>
      <c r="H1715" s="289">
        <v>13</v>
      </c>
      <c r="I1715" s="376">
        <v>1</v>
      </c>
      <c r="J1715" s="273" t="s">
        <v>92</v>
      </c>
      <c r="K1715" s="377"/>
      <c r="L1715" s="415" t="str">
        <f t="shared" si="349"/>
        <v>1pieces</v>
      </c>
      <c r="M1715" s="456">
        <f t="shared" si="347"/>
        <v>13</v>
      </c>
      <c r="N1715" s="457" t="str">
        <f t="shared" si="348"/>
        <v>13pieces</v>
      </c>
      <c r="O1715" s="418">
        <f t="shared" si="320"/>
        <v>119.6</v>
      </c>
      <c r="P1715" s="419">
        <f t="shared" si="342"/>
        <v>9.1999999999999993</v>
      </c>
      <c r="Q1715" s="458">
        <f t="shared" si="343"/>
        <v>0</v>
      </c>
      <c r="R1715" s="12"/>
      <c r="S1715" s="12"/>
      <c r="T1715" s="12"/>
      <c r="U1715" s="12"/>
      <c r="V1715" s="12"/>
      <c r="W1715" s="12"/>
      <c r="X1715" s="12"/>
      <c r="Y1715" s="12"/>
      <c r="Z1715" s="12"/>
    </row>
    <row r="1716" spans="1:26" ht="15.75" customHeight="1" x14ac:dyDescent="0.3">
      <c r="A1716" s="45">
        <v>86</v>
      </c>
      <c r="B1716" s="46" t="s">
        <v>1353</v>
      </c>
      <c r="C1716" s="400" t="s">
        <v>2027</v>
      </c>
      <c r="D1716" s="239"/>
      <c r="E1716" s="46" t="s">
        <v>1951</v>
      </c>
      <c r="F1716" s="239"/>
      <c r="G1716" s="373">
        <v>35</v>
      </c>
      <c r="H1716" s="289">
        <v>1</v>
      </c>
      <c r="I1716" s="371">
        <v>1</v>
      </c>
      <c r="J1716" s="240" t="s">
        <v>213</v>
      </c>
      <c r="K1716" s="377"/>
      <c r="L1716" s="415" t="str">
        <f t="shared" si="349"/>
        <v>1kilos</v>
      </c>
      <c r="M1716" s="456">
        <f t="shared" si="347"/>
        <v>1</v>
      </c>
      <c r="N1716" s="457" t="str">
        <f t="shared" si="348"/>
        <v>1kilos</v>
      </c>
      <c r="O1716" s="418">
        <f t="shared" si="320"/>
        <v>35</v>
      </c>
      <c r="P1716" s="419">
        <f t="shared" si="342"/>
        <v>35</v>
      </c>
      <c r="Q1716" s="458">
        <f t="shared" si="343"/>
        <v>0</v>
      </c>
      <c r="R1716" s="12"/>
      <c r="S1716" s="12"/>
      <c r="T1716" s="12"/>
      <c r="U1716" s="12"/>
      <c r="V1716" s="12"/>
      <c r="W1716" s="12"/>
      <c r="X1716" s="12"/>
      <c r="Y1716" s="12"/>
      <c r="Z1716" s="12"/>
    </row>
    <row r="1717" spans="1:26" ht="15.75" customHeight="1" x14ac:dyDescent="0.3">
      <c r="A1717" s="45">
        <v>93</v>
      </c>
      <c r="B1717" s="46" t="s">
        <v>1952</v>
      </c>
      <c r="C1717" s="400" t="s">
        <v>2027</v>
      </c>
      <c r="D1717" s="170"/>
      <c r="E1717" s="46" t="s">
        <v>1953</v>
      </c>
      <c r="F1717" s="239"/>
      <c r="G1717" s="373">
        <v>87.5</v>
      </c>
      <c r="H1717" s="289">
        <v>1</v>
      </c>
      <c r="I1717" s="371">
        <v>1</v>
      </c>
      <c r="J1717" s="240" t="s">
        <v>213</v>
      </c>
      <c r="K1717" s="377"/>
      <c r="L1717" s="61" t="s">
        <v>2029</v>
      </c>
      <c r="M1717" s="463" t="s">
        <v>2029</v>
      </c>
      <c r="N1717" s="464" t="s">
        <v>2029</v>
      </c>
      <c r="O1717" s="418">
        <f t="shared" si="320"/>
        <v>87.5</v>
      </c>
      <c r="P1717" s="419">
        <f t="shared" si="342"/>
        <v>87.5</v>
      </c>
      <c r="Q1717" s="458">
        <f t="shared" si="343"/>
        <v>0</v>
      </c>
      <c r="R1717" s="12"/>
      <c r="S1717" s="12"/>
      <c r="T1717" s="12"/>
      <c r="U1717" s="12"/>
      <c r="V1717" s="12"/>
      <c r="W1717" s="12"/>
      <c r="X1717" s="12"/>
      <c r="Y1717" s="12"/>
      <c r="Z1717" s="12"/>
    </row>
    <row r="1718" spans="1:26" ht="15.75" customHeight="1" x14ac:dyDescent="0.3">
      <c r="A1718" s="45">
        <v>36</v>
      </c>
      <c r="B1718" s="46" t="s">
        <v>184</v>
      </c>
      <c r="C1718" s="400" t="s">
        <v>2027</v>
      </c>
      <c r="D1718" s="170"/>
      <c r="E1718" s="46" t="s">
        <v>1250</v>
      </c>
      <c r="F1718" s="239"/>
      <c r="G1718" s="368">
        <v>26.15</v>
      </c>
      <c r="H1718" s="332">
        <v>6</v>
      </c>
      <c r="I1718" s="371">
        <v>1</v>
      </c>
      <c r="J1718" s="240" t="s">
        <v>39</v>
      </c>
      <c r="K1718" s="377"/>
      <c r="L1718" s="415" t="str">
        <f>CONCATENATE(I1718,J1718)</f>
        <v>1grams</v>
      </c>
      <c r="M1718" s="456">
        <f>H1718*I1718</f>
        <v>6</v>
      </c>
      <c r="N1718" s="457" t="str">
        <f>CONCATENATE(M1718,K1718,J1718)</f>
        <v>6grams</v>
      </c>
      <c r="O1718" s="418">
        <f t="shared" si="320"/>
        <v>156.89999999999998</v>
      </c>
      <c r="P1718" s="419">
        <f t="shared" si="342"/>
        <v>26.149999999999995</v>
      </c>
      <c r="Q1718" s="419">
        <f t="shared" si="343"/>
        <v>0</v>
      </c>
      <c r="R1718" s="12"/>
      <c r="S1718" s="12"/>
      <c r="T1718" s="12"/>
      <c r="U1718" s="12"/>
      <c r="V1718" s="12"/>
      <c r="W1718" s="12"/>
      <c r="X1718" s="12"/>
      <c r="Y1718" s="12"/>
      <c r="Z1718" s="12"/>
    </row>
    <row r="1719" spans="1:26" ht="15.75" customHeight="1" x14ac:dyDescent="0.3">
      <c r="A1719" s="45">
        <v>94</v>
      </c>
      <c r="B1719" s="96" t="s">
        <v>325</v>
      </c>
      <c r="C1719" s="400" t="s">
        <v>2027</v>
      </c>
      <c r="D1719" s="170"/>
      <c r="E1719" s="96" t="s">
        <v>1954</v>
      </c>
      <c r="F1719" s="239"/>
      <c r="G1719" s="368">
        <v>70</v>
      </c>
      <c r="H1719" s="332">
        <v>2</v>
      </c>
      <c r="I1719" s="371">
        <v>1</v>
      </c>
      <c r="J1719" s="240" t="s">
        <v>213</v>
      </c>
      <c r="K1719" s="377"/>
      <c r="L1719" s="61" t="s">
        <v>2029</v>
      </c>
      <c r="M1719" s="463" t="s">
        <v>2029</v>
      </c>
      <c r="N1719" s="464" t="s">
        <v>2029</v>
      </c>
      <c r="O1719" s="418">
        <f t="shared" si="320"/>
        <v>140</v>
      </c>
      <c r="P1719" s="419">
        <f t="shared" si="342"/>
        <v>70</v>
      </c>
      <c r="Q1719" s="458">
        <f t="shared" si="343"/>
        <v>0</v>
      </c>
      <c r="R1719" s="12"/>
      <c r="S1719" s="12"/>
      <c r="T1719" s="12"/>
      <c r="U1719" s="12"/>
      <c r="V1719" s="12"/>
      <c r="W1719" s="12"/>
      <c r="X1719" s="12"/>
      <c r="Y1719" s="12"/>
      <c r="Z1719" s="12"/>
    </row>
    <row r="1720" spans="1:26" ht="15.75" customHeight="1" x14ac:dyDescent="0.3">
      <c r="A1720" s="45">
        <v>37</v>
      </c>
      <c r="B1720" s="96" t="s">
        <v>1955</v>
      </c>
      <c r="C1720" s="400" t="s">
        <v>2027</v>
      </c>
      <c r="D1720" s="170"/>
      <c r="E1720" s="96" t="s">
        <v>1956</v>
      </c>
      <c r="F1720" s="239"/>
      <c r="G1720" s="368">
        <v>68</v>
      </c>
      <c r="H1720" s="332">
        <v>5</v>
      </c>
      <c r="I1720" s="371">
        <v>1</v>
      </c>
      <c r="J1720" s="240" t="s">
        <v>1922</v>
      </c>
      <c r="K1720" s="377"/>
      <c r="L1720" s="415" t="str">
        <f t="shared" ref="L1720:L1727" si="350">CONCATENATE(I1720,J1720)</f>
        <v>1can</v>
      </c>
      <c r="M1720" s="456">
        <f t="shared" ref="M1720:M1727" si="351">H1720*I1720</f>
        <v>5</v>
      </c>
      <c r="N1720" s="457" t="str">
        <f t="shared" ref="N1720:N1727" si="352">CONCATENATE(M1720,K1720,J1720)</f>
        <v>5can</v>
      </c>
      <c r="O1720" s="418">
        <f t="shared" si="320"/>
        <v>340</v>
      </c>
      <c r="P1720" s="419">
        <f t="shared" si="342"/>
        <v>68</v>
      </c>
      <c r="Q1720" s="460">
        <f t="shared" si="343"/>
        <v>0</v>
      </c>
      <c r="R1720" s="12"/>
      <c r="S1720" s="12"/>
      <c r="T1720" s="12"/>
      <c r="U1720" s="12"/>
      <c r="V1720" s="12"/>
      <c r="W1720" s="12"/>
      <c r="X1720" s="12"/>
      <c r="Y1720" s="12"/>
      <c r="Z1720" s="12"/>
    </row>
    <row r="1721" spans="1:26" ht="15.75" customHeight="1" x14ac:dyDescent="0.3">
      <c r="A1721" s="45">
        <v>124</v>
      </c>
      <c r="B1721" s="96" t="s">
        <v>1957</v>
      </c>
      <c r="C1721" s="400" t="s">
        <v>2027</v>
      </c>
      <c r="D1721" s="170"/>
      <c r="E1721" s="96" t="s">
        <v>1934</v>
      </c>
      <c r="F1721" s="239"/>
      <c r="G1721" s="368">
        <v>5.2</v>
      </c>
      <c r="H1721" s="332">
        <v>52</v>
      </c>
      <c r="I1721" s="371">
        <v>1</v>
      </c>
      <c r="J1721" s="240" t="s">
        <v>92</v>
      </c>
      <c r="K1721" s="377"/>
      <c r="L1721" s="415" t="str">
        <f t="shared" si="350"/>
        <v>1pieces</v>
      </c>
      <c r="M1721" s="456">
        <f t="shared" si="351"/>
        <v>52</v>
      </c>
      <c r="N1721" s="457" t="str">
        <f t="shared" si="352"/>
        <v>52pieces</v>
      </c>
      <c r="O1721" s="418">
        <f t="shared" si="320"/>
        <v>270.40000000000003</v>
      </c>
      <c r="P1721" s="419">
        <f t="shared" si="342"/>
        <v>5.2000000000000011</v>
      </c>
      <c r="Q1721" s="458">
        <f t="shared" si="343"/>
        <v>0</v>
      </c>
      <c r="R1721" s="12"/>
      <c r="S1721" s="12"/>
      <c r="T1721" s="12"/>
      <c r="U1721" s="12"/>
      <c r="V1721" s="12"/>
      <c r="W1721" s="12"/>
      <c r="X1721" s="12"/>
      <c r="Y1721" s="12"/>
      <c r="Z1721" s="12"/>
    </row>
    <row r="1722" spans="1:26" ht="15.75" customHeight="1" x14ac:dyDescent="0.3">
      <c r="A1722" s="45">
        <v>64</v>
      </c>
      <c r="B1722" s="96" t="s">
        <v>263</v>
      </c>
      <c r="C1722" s="400" t="s">
        <v>2027</v>
      </c>
      <c r="D1722" s="170"/>
      <c r="E1722" s="96" t="s">
        <v>1958</v>
      </c>
      <c r="F1722" s="239"/>
      <c r="G1722" s="368">
        <v>4.92</v>
      </c>
      <c r="H1722" s="332">
        <v>144</v>
      </c>
      <c r="I1722" s="371">
        <v>1</v>
      </c>
      <c r="J1722" s="240" t="s">
        <v>92</v>
      </c>
      <c r="K1722" s="377"/>
      <c r="L1722" s="415" t="str">
        <f t="shared" si="350"/>
        <v>1pieces</v>
      </c>
      <c r="M1722" s="456">
        <f t="shared" si="351"/>
        <v>144</v>
      </c>
      <c r="N1722" s="457" t="str">
        <f t="shared" si="352"/>
        <v>144pieces</v>
      </c>
      <c r="O1722" s="418">
        <f t="shared" si="320"/>
        <v>708.48</v>
      </c>
      <c r="P1722" s="419">
        <f t="shared" si="342"/>
        <v>4.92</v>
      </c>
      <c r="Q1722" s="419">
        <f t="shared" si="343"/>
        <v>0</v>
      </c>
      <c r="R1722" s="12"/>
      <c r="S1722" s="12"/>
      <c r="T1722" s="12"/>
      <c r="U1722" s="12"/>
      <c r="V1722" s="12"/>
      <c r="W1722" s="12"/>
      <c r="X1722" s="12"/>
      <c r="Y1722" s="12"/>
      <c r="Z1722" s="12"/>
    </row>
    <row r="1723" spans="1:26" ht="15.75" customHeight="1" x14ac:dyDescent="0.3">
      <c r="A1723" s="45">
        <v>11</v>
      </c>
      <c r="B1723" s="96" t="s">
        <v>79</v>
      </c>
      <c r="C1723" s="400" t="s">
        <v>2027</v>
      </c>
      <c r="D1723" s="170"/>
      <c r="E1723" s="96" t="s">
        <v>1157</v>
      </c>
      <c r="F1723" s="239"/>
      <c r="G1723" s="359">
        <v>270.2</v>
      </c>
      <c r="H1723" s="289">
        <v>1</v>
      </c>
      <c r="I1723" s="371">
        <v>1</v>
      </c>
      <c r="J1723" s="240" t="s">
        <v>213</v>
      </c>
      <c r="K1723" s="377"/>
      <c r="L1723" s="415" t="str">
        <f t="shared" si="350"/>
        <v>1kilos</v>
      </c>
      <c r="M1723" s="456">
        <f t="shared" si="351"/>
        <v>1</v>
      </c>
      <c r="N1723" s="457" t="str">
        <f t="shared" si="352"/>
        <v>1kilos</v>
      </c>
      <c r="O1723" s="418">
        <f t="shared" si="320"/>
        <v>270.2</v>
      </c>
      <c r="P1723" s="419">
        <f t="shared" si="342"/>
        <v>270.2</v>
      </c>
      <c r="Q1723" s="419">
        <f t="shared" si="343"/>
        <v>0</v>
      </c>
      <c r="R1723" s="12"/>
      <c r="S1723" s="12"/>
      <c r="T1723" s="12"/>
      <c r="U1723" s="12"/>
      <c r="V1723" s="12"/>
      <c r="W1723" s="12"/>
      <c r="X1723" s="12"/>
      <c r="Y1723" s="12"/>
      <c r="Z1723" s="12"/>
    </row>
    <row r="1724" spans="1:26" ht="15.75" customHeight="1" x14ac:dyDescent="0.3">
      <c r="A1724" s="45">
        <v>125</v>
      </c>
      <c r="B1724" s="96" t="s">
        <v>1959</v>
      </c>
      <c r="C1724" s="400" t="s">
        <v>2027</v>
      </c>
      <c r="D1724" s="237"/>
      <c r="E1724" s="96" t="s">
        <v>1960</v>
      </c>
      <c r="F1724" s="239"/>
      <c r="G1724" s="368">
        <v>19.899999999999999</v>
      </c>
      <c r="H1724" s="332">
        <v>8</v>
      </c>
      <c r="I1724" s="371">
        <v>1</v>
      </c>
      <c r="J1724" s="240" t="s">
        <v>92</v>
      </c>
      <c r="K1724" s="377"/>
      <c r="L1724" s="415" t="str">
        <f t="shared" si="350"/>
        <v>1pieces</v>
      </c>
      <c r="M1724" s="456">
        <f t="shared" si="351"/>
        <v>8</v>
      </c>
      <c r="N1724" s="457" t="str">
        <f t="shared" si="352"/>
        <v>8pieces</v>
      </c>
      <c r="O1724" s="418">
        <f t="shared" si="320"/>
        <v>159.19999999999999</v>
      </c>
      <c r="P1724" s="419">
        <f t="shared" si="342"/>
        <v>19.899999999999999</v>
      </c>
      <c r="Q1724" s="458">
        <f t="shared" si="343"/>
        <v>0</v>
      </c>
      <c r="R1724" s="12"/>
      <c r="S1724" s="12"/>
      <c r="T1724" s="12"/>
      <c r="U1724" s="12"/>
      <c r="V1724" s="12"/>
      <c r="W1724" s="12"/>
      <c r="X1724" s="12"/>
      <c r="Y1724" s="12"/>
      <c r="Z1724" s="12"/>
    </row>
    <row r="1725" spans="1:26" ht="15.75" customHeight="1" x14ac:dyDescent="0.3">
      <c r="A1725" s="45">
        <v>23</v>
      </c>
      <c r="B1725" s="96" t="s">
        <v>1456</v>
      </c>
      <c r="C1725" s="400" t="s">
        <v>2027</v>
      </c>
      <c r="D1725" s="170"/>
      <c r="E1725" s="96" t="s">
        <v>1961</v>
      </c>
      <c r="F1725" s="239"/>
      <c r="G1725" s="368">
        <v>11.2</v>
      </c>
      <c r="H1725" s="332">
        <v>64</v>
      </c>
      <c r="I1725" s="371">
        <v>33</v>
      </c>
      <c r="J1725" s="240" t="s">
        <v>39</v>
      </c>
      <c r="K1725" s="377"/>
      <c r="L1725" s="415" t="str">
        <f t="shared" si="350"/>
        <v>33grams</v>
      </c>
      <c r="M1725" s="456">
        <f t="shared" si="351"/>
        <v>2112</v>
      </c>
      <c r="N1725" s="457" t="str">
        <f t="shared" si="352"/>
        <v>2112grams</v>
      </c>
      <c r="O1725" s="418">
        <f t="shared" si="320"/>
        <v>716.8</v>
      </c>
      <c r="P1725" s="419">
        <f t="shared" si="342"/>
        <v>11.2</v>
      </c>
      <c r="Q1725" s="458">
        <f t="shared" si="343"/>
        <v>0</v>
      </c>
      <c r="R1725" s="12"/>
      <c r="S1725" s="12"/>
      <c r="T1725" s="12"/>
      <c r="U1725" s="12"/>
      <c r="V1725" s="12"/>
      <c r="W1725" s="12"/>
      <c r="X1725" s="12"/>
      <c r="Y1725" s="12"/>
      <c r="Z1725" s="12"/>
    </row>
    <row r="1726" spans="1:26" ht="15.75" customHeight="1" x14ac:dyDescent="0.3">
      <c r="A1726" s="45">
        <v>32</v>
      </c>
      <c r="B1726" s="96" t="s">
        <v>149</v>
      </c>
      <c r="C1726" s="400" t="s">
        <v>2027</v>
      </c>
      <c r="D1726" s="170"/>
      <c r="E1726" s="96" t="s">
        <v>30</v>
      </c>
      <c r="F1726" s="239"/>
      <c r="G1726" s="368">
        <v>8.9</v>
      </c>
      <c r="H1726" s="332">
        <v>48</v>
      </c>
      <c r="I1726" s="371">
        <v>1</v>
      </c>
      <c r="J1726" s="240" t="s">
        <v>92</v>
      </c>
      <c r="K1726" s="377"/>
      <c r="L1726" s="415" t="str">
        <f t="shared" si="350"/>
        <v>1pieces</v>
      </c>
      <c r="M1726" s="456">
        <f t="shared" si="351"/>
        <v>48</v>
      </c>
      <c r="N1726" s="457" t="str">
        <f t="shared" si="352"/>
        <v>48pieces</v>
      </c>
      <c r="O1726" s="418">
        <f t="shared" si="320"/>
        <v>427.20000000000005</v>
      </c>
      <c r="P1726" s="419">
        <f t="shared" si="342"/>
        <v>8.9</v>
      </c>
      <c r="Q1726" s="458">
        <f t="shared" si="343"/>
        <v>0</v>
      </c>
      <c r="R1726" s="12"/>
      <c r="S1726" s="12"/>
      <c r="T1726" s="12"/>
      <c r="U1726" s="12"/>
      <c r="V1726" s="12"/>
      <c r="W1726" s="12"/>
      <c r="X1726" s="12"/>
      <c r="Y1726" s="12"/>
      <c r="Z1726" s="12"/>
    </row>
    <row r="1727" spans="1:26" ht="15.75" customHeight="1" x14ac:dyDescent="0.3">
      <c r="A1727" s="45">
        <v>18</v>
      </c>
      <c r="B1727" s="96" t="s">
        <v>103</v>
      </c>
      <c r="C1727" s="400" t="s">
        <v>2027</v>
      </c>
      <c r="D1727" s="170"/>
      <c r="E1727" s="96" t="s">
        <v>1962</v>
      </c>
      <c r="F1727" s="239"/>
      <c r="G1727" s="368">
        <v>10.5</v>
      </c>
      <c r="H1727" s="332">
        <v>112</v>
      </c>
      <c r="I1727" s="371">
        <v>1</v>
      </c>
      <c r="J1727" s="240" t="s">
        <v>92</v>
      </c>
      <c r="K1727" s="377"/>
      <c r="L1727" s="415" t="str">
        <f t="shared" si="350"/>
        <v>1pieces</v>
      </c>
      <c r="M1727" s="456">
        <f t="shared" si="351"/>
        <v>112</v>
      </c>
      <c r="N1727" s="457" t="str">
        <f t="shared" si="352"/>
        <v>112pieces</v>
      </c>
      <c r="O1727" s="418">
        <f t="shared" si="320"/>
        <v>1176</v>
      </c>
      <c r="P1727" s="419">
        <f t="shared" si="342"/>
        <v>10.5</v>
      </c>
      <c r="Q1727" s="419">
        <f t="shared" si="343"/>
        <v>0</v>
      </c>
      <c r="R1727" s="12"/>
      <c r="S1727" s="12"/>
      <c r="T1727" s="12"/>
      <c r="U1727" s="12"/>
      <c r="V1727" s="12"/>
      <c r="W1727" s="12"/>
      <c r="X1727" s="12"/>
      <c r="Y1727" s="12"/>
      <c r="Z1727" s="12"/>
    </row>
    <row r="1728" spans="1:26" ht="15.75" customHeight="1" x14ac:dyDescent="0.3">
      <c r="A1728" s="45">
        <v>95</v>
      </c>
      <c r="B1728" s="96" t="s">
        <v>327</v>
      </c>
      <c r="C1728" s="400" t="s">
        <v>2027</v>
      </c>
      <c r="D1728" s="170"/>
      <c r="E1728" s="96" t="s">
        <v>1963</v>
      </c>
      <c r="F1728" s="239"/>
      <c r="G1728" s="368">
        <v>125</v>
      </c>
      <c r="H1728" s="332">
        <v>1</v>
      </c>
      <c r="I1728" s="371">
        <v>1</v>
      </c>
      <c r="J1728" s="240" t="s">
        <v>213</v>
      </c>
      <c r="K1728" s="377"/>
      <c r="L1728" s="61" t="s">
        <v>2029</v>
      </c>
      <c r="M1728" s="463" t="s">
        <v>2029</v>
      </c>
      <c r="N1728" s="464" t="s">
        <v>2029</v>
      </c>
      <c r="O1728" s="418">
        <f t="shared" si="320"/>
        <v>125</v>
      </c>
      <c r="P1728" s="419">
        <f t="shared" si="342"/>
        <v>125</v>
      </c>
      <c r="Q1728" s="458">
        <f t="shared" si="343"/>
        <v>0</v>
      </c>
      <c r="R1728" s="12"/>
      <c r="S1728" s="12"/>
      <c r="T1728" s="12"/>
      <c r="U1728" s="12"/>
      <c r="V1728" s="12"/>
      <c r="W1728" s="12"/>
      <c r="X1728" s="12"/>
      <c r="Y1728" s="12"/>
      <c r="Z1728" s="12"/>
    </row>
    <row r="1729" spans="1:26" ht="15.75" customHeight="1" x14ac:dyDescent="0.3">
      <c r="A1729" s="45">
        <v>157</v>
      </c>
      <c r="B1729" s="46" t="s">
        <v>454</v>
      </c>
      <c r="C1729" s="400" t="s">
        <v>2027</v>
      </c>
      <c r="D1729" s="170"/>
      <c r="E1729" s="46" t="s">
        <v>1945</v>
      </c>
      <c r="F1729" s="239"/>
      <c r="G1729" s="372">
        <v>140</v>
      </c>
      <c r="H1729" s="332">
        <v>0</v>
      </c>
      <c r="I1729" s="371">
        <v>1</v>
      </c>
      <c r="J1729" s="240" t="s">
        <v>213</v>
      </c>
      <c r="K1729" s="377"/>
      <c r="L1729" s="415" t="str">
        <f t="shared" ref="L1729:L1734" si="353">CONCATENATE(I1729,J1729)</f>
        <v>1kilos</v>
      </c>
      <c r="M1729" s="456">
        <f t="shared" ref="M1729:M1734" si="354">H1729*I1729</f>
        <v>0</v>
      </c>
      <c r="N1729" s="457" t="str">
        <f t="shared" ref="N1729:N1734" si="355">CONCATENATE(M1729,K1729,J1729)</f>
        <v>0kilos</v>
      </c>
      <c r="O1729" s="418">
        <f t="shared" si="320"/>
        <v>0</v>
      </c>
      <c r="P1729" s="419" t="e">
        <f t="shared" si="342"/>
        <v>#DIV/0!</v>
      </c>
      <c r="Q1729" s="458" t="e">
        <f t="shared" si="343"/>
        <v>#DIV/0!</v>
      </c>
      <c r="R1729" s="12"/>
      <c r="S1729" s="12"/>
      <c r="T1729" s="12"/>
      <c r="U1729" s="12"/>
      <c r="V1729" s="12"/>
      <c r="W1729" s="12"/>
      <c r="X1729" s="12"/>
      <c r="Y1729" s="12"/>
      <c r="Z1729" s="12"/>
    </row>
    <row r="1730" spans="1:26" ht="15.75" customHeight="1" x14ac:dyDescent="0.3">
      <c r="A1730" s="45">
        <v>126</v>
      </c>
      <c r="B1730" s="46" t="s">
        <v>1964</v>
      </c>
      <c r="C1730" s="400" t="s">
        <v>2027</v>
      </c>
      <c r="D1730" s="239"/>
      <c r="E1730" s="170"/>
      <c r="F1730" s="239"/>
      <c r="G1730" s="368">
        <v>15.15</v>
      </c>
      <c r="H1730" s="332">
        <v>3</v>
      </c>
      <c r="I1730" s="371">
        <v>1</v>
      </c>
      <c r="J1730" s="100" t="s">
        <v>92</v>
      </c>
      <c r="K1730" s="377"/>
      <c r="L1730" s="415" t="str">
        <f t="shared" si="353"/>
        <v>1pieces</v>
      </c>
      <c r="M1730" s="456">
        <f t="shared" si="354"/>
        <v>3</v>
      </c>
      <c r="N1730" s="457" t="str">
        <f t="shared" si="355"/>
        <v>3pieces</v>
      </c>
      <c r="O1730" s="418">
        <f t="shared" si="320"/>
        <v>45.45</v>
      </c>
      <c r="P1730" s="419">
        <f t="shared" si="342"/>
        <v>15.15</v>
      </c>
      <c r="Q1730" s="458">
        <f t="shared" si="343"/>
        <v>0</v>
      </c>
      <c r="R1730" s="12"/>
      <c r="S1730" s="12"/>
      <c r="T1730" s="12"/>
      <c r="U1730" s="12"/>
      <c r="V1730" s="12"/>
      <c r="W1730" s="12"/>
      <c r="X1730" s="12"/>
      <c r="Y1730" s="12"/>
      <c r="Z1730" s="12"/>
    </row>
    <row r="1731" spans="1:26" ht="15.75" customHeight="1" x14ac:dyDescent="0.3">
      <c r="A1731" s="45">
        <v>128</v>
      </c>
      <c r="B1731" s="46" t="s">
        <v>1965</v>
      </c>
      <c r="C1731" s="400" t="s">
        <v>2027</v>
      </c>
      <c r="D1731" s="239"/>
      <c r="E1731" s="46" t="s">
        <v>1966</v>
      </c>
      <c r="F1731" s="239"/>
      <c r="G1731" s="368">
        <v>14.45</v>
      </c>
      <c r="H1731" s="332">
        <v>11</v>
      </c>
      <c r="I1731" s="371">
        <v>1</v>
      </c>
      <c r="J1731" s="240" t="s">
        <v>92</v>
      </c>
      <c r="K1731" s="240"/>
      <c r="L1731" s="465" t="str">
        <f t="shared" si="353"/>
        <v>1pieces</v>
      </c>
      <c r="M1731" s="466">
        <f t="shared" si="354"/>
        <v>11</v>
      </c>
      <c r="N1731" s="467" t="str">
        <f t="shared" si="355"/>
        <v>11pieces</v>
      </c>
      <c r="O1731" s="418">
        <f t="shared" si="320"/>
        <v>158.94999999999999</v>
      </c>
      <c r="P1731" s="419">
        <f t="shared" si="342"/>
        <v>14.45</v>
      </c>
      <c r="Q1731" s="458">
        <f t="shared" si="343"/>
        <v>0</v>
      </c>
      <c r="R1731" s="12"/>
      <c r="S1731" s="12"/>
      <c r="T1731" s="12"/>
      <c r="U1731" s="12"/>
      <c r="V1731" s="12"/>
      <c r="W1731" s="12"/>
      <c r="X1731" s="12"/>
      <c r="Y1731" s="12"/>
      <c r="Z1731" s="12"/>
    </row>
    <row r="1732" spans="1:26" ht="15.75" customHeight="1" x14ac:dyDescent="0.3">
      <c r="A1732" s="45">
        <v>43</v>
      </c>
      <c r="B1732" s="46" t="s">
        <v>1967</v>
      </c>
      <c r="C1732" s="400" t="s">
        <v>2027</v>
      </c>
      <c r="D1732" s="239"/>
      <c r="E1732" s="46" t="s">
        <v>1968</v>
      </c>
      <c r="F1732" s="239"/>
      <c r="G1732" s="368">
        <v>200</v>
      </c>
      <c r="H1732" s="332">
        <v>3</v>
      </c>
      <c r="I1732" s="371">
        <v>1</v>
      </c>
      <c r="J1732" s="240" t="s">
        <v>200</v>
      </c>
      <c r="K1732" s="240"/>
      <c r="L1732" s="465" t="str">
        <f t="shared" si="353"/>
        <v>1gal</v>
      </c>
      <c r="M1732" s="466">
        <f t="shared" si="354"/>
        <v>3</v>
      </c>
      <c r="N1732" s="467" t="str">
        <f t="shared" si="355"/>
        <v>3gal</v>
      </c>
      <c r="O1732" s="418">
        <f t="shared" si="320"/>
        <v>600</v>
      </c>
      <c r="P1732" s="419">
        <f t="shared" si="342"/>
        <v>200</v>
      </c>
      <c r="Q1732" s="460">
        <f t="shared" si="343"/>
        <v>0</v>
      </c>
      <c r="R1732" s="12"/>
      <c r="S1732" s="12"/>
      <c r="T1732" s="12"/>
      <c r="U1732" s="12"/>
      <c r="V1732" s="12"/>
      <c r="W1732" s="12"/>
      <c r="X1732" s="12"/>
      <c r="Y1732" s="12"/>
      <c r="Z1732" s="12"/>
    </row>
    <row r="1733" spans="1:26" ht="15.75" customHeight="1" x14ac:dyDescent="0.3">
      <c r="A1733" s="45">
        <v>127</v>
      </c>
      <c r="B1733" s="46" t="s">
        <v>1969</v>
      </c>
      <c r="C1733" s="400" t="s">
        <v>2027</v>
      </c>
      <c r="D1733" s="239"/>
      <c r="E1733" s="68" t="s">
        <v>1970</v>
      </c>
      <c r="F1733" s="239"/>
      <c r="G1733" s="368">
        <v>15.15</v>
      </c>
      <c r="H1733" s="332">
        <v>4</v>
      </c>
      <c r="I1733" s="461">
        <v>1</v>
      </c>
      <c r="J1733" s="240" t="s">
        <v>92</v>
      </c>
      <c r="K1733" s="240"/>
      <c r="L1733" s="465" t="str">
        <f t="shared" si="353"/>
        <v>1pieces</v>
      </c>
      <c r="M1733" s="466">
        <f t="shared" si="354"/>
        <v>4</v>
      </c>
      <c r="N1733" s="467" t="str">
        <f t="shared" si="355"/>
        <v>4pieces</v>
      </c>
      <c r="O1733" s="418">
        <f t="shared" si="320"/>
        <v>60.6</v>
      </c>
      <c r="P1733" s="419">
        <f t="shared" si="342"/>
        <v>15.15</v>
      </c>
      <c r="Q1733" s="458">
        <f t="shared" si="343"/>
        <v>0</v>
      </c>
      <c r="R1733" s="12"/>
      <c r="S1733" s="12"/>
      <c r="T1733" s="12"/>
      <c r="U1733" s="12"/>
      <c r="V1733" s="12"/>
      <c r="W1733" s="12"/>
      <c r="X1733" s="12"/>
      <c r="Y1733" s="12"/>
      <c r="Z1733" s="12"/>
    </row>
    <row r="1734" spans="1:26" ht="15.75" customHeight="1" x14ac:dyDescent="0.3">
      <c r="A1734" s="45">
        <v>38</v>
      </c>
      <c r="B1734" s="68" t="s">
        <v>695</v>
      </c>
      <c r="C1734" s="400" t="s">
        <v>2027</v>
      </c>
      <c r="D1734" s="239"/>
      <c r="E1734" s="46" t="s">
        <v>865</v>
      </c>
      <c r="F1734" s="239"/>
      <c r="G1734" s="368">
        <v>23.3</v>
      </c>
      <c r="H1734" s="332">
        <v>2</v>
      </c>
      <c r="I1734" s="371">
        <v>1</v>
      </c>
      <c r="J1734" s="240" t="s">
        <v>39</v>
      </c>
      <c r="K1734" s="240"/>
      <c r="L1734" s="465" t="str">
        <f t="shared" si="353"/>
        <v>1grams</v>
      </c>
      <c r="M1734" s="466">
        <f t="shared" si="354"/>
        <v>2</v>
      </c>
      <c r="N1734" s="467" t="str">
        <f t="shared" si="355"/>
        <v>2grams</v>
      </c>
      <c r="O1734" s="418">
        <f t="shared" si="320"/>
        <v>46.6</v>
      </c>
      <c r="P1734" s="419">
        <f t="shared" si="342"/>
        <v>23.3</v>
      </c>
      <c r="Q1734" s="419">
        <f t="shared" si="343"/>
        <v>0</v>
      </c>
      <c r="R1734" s="12"/>
      <c r="S1734" s="12"/>
      <c r="T1734" s="12"/>
      <c r="U1734" s="12"/>
      <c r="V1734" s="12"/>
      <c r="W1734" s="12"/>
      <c r="X1734" s="12"/>
      <c r="Y1734" s="12"/>
      <c r="Z1734" s="12"/>
    </row>
    <row r="1735" spans="1:26" ht="15.75" customHeight="1" x14ac:dyDescent="0.3">
      <c r="A1735" s="45">
        <v>97</v>
      </c>
      <c r="B1735" s="68" t="s">
        <v>1971</v>
      </c>
      <c r="C1735" s="400" t="s">
        <v>2027</v>
      </c>
      <c r="D1735" s="239"/>
      <c r="E1735" s="46" t="s">
        <v>1972</v>
      </c>
      <c r="F1735" s="239"/>
      <c r="G1735" s="368">
        <v>3.9</v>
      </c>
      <c r="H1735" s="332">
        <v>31</v>
      </c>
      <c r="I1735" s="371">
        <v>1</v>
      </c>
      <c r="J1735" s="240" t="s">
        <v>92</v>
      </c>
      <c r="K1735" s="240"/>
      <c r="L1735" s="240" t="s">
        <v>2029</v>
      </c>
      <c r="M1735" s="468" t="s">
        <v>2029</v>
      </c>
      <c r="N1735" s="469" t="s">
        <v>2029</v>
      </c>
      <c r="O1735" s="418">
        <f t="shared" si="320"/>
        <v>120.89999999999999</v>
      </c>
      <c r="P1735" s="419">
        <f t="shared" si="342"/>
        <v>3.9</v>
      </c>
      <c r="Q1735" s="458">
        <f t="shared" si="343"/>
        <v>0</v>
      </c>
      <c r="R1735" s="12"/>
      <c r="S1735" s="12"/>
      <c r="T1735" s="12"/>
      <c r="U1735" s="12"/>
      <c r="V1735" s="12"/>
      <c r="W1735" s="12"/>
      <c r="X1735" s="12"/>
      <c r="Y1735" s="12"/>
      <c r="Z1735" s="12"/>
    </row>
    <row r="1736" spans="1:26" ht="15.75" customHeight="1" x14ac:dyDescent="0.3">
      <c r="A1736" s="45">
        <v>33</v>
      </c>
      <c r="B1736" s="68" t="s">
        <v>151</v>
      </c>
      <c r="C1736" s="400" t="s">
        <v>2027</v>
      </c>
      <c r="D1736" s="239"/>
      <c r="E1736" s="46" t="s">
        <v>30</v>
      </c>
      <c r="F1736" s="239"/>
      <c r="G1736" s="368">
        <v>7.25</v>
      </c>
      <c r="H1736" s="332">
        <v>98</v>
      </c>
      <c r="I1736" s="371">
        <v>1</v>
      </c>
      <c r="J1736" s="240" t="s">
        <v>92</v>
      </c>
      <c r="K1736" s="240"/>
      <c r="L1736" s="465" t="str">
        <f t="shared" ref="L1736:L1744" si="356">CONCATENATE(I1736,J1736)</f>
        <v>1pieces</v>
      </c>
      <c r="M1736" s="466">
        <f t="shared" ref="M1736:M1749" si="357">H1736*I1736</f>
        <v>98</v>
      </c>
      <c r="N1736" s="467" t="str">
        <f t="shared" ref="N1736:N1772" si="358">CONCATENATE(M1736,K1736,J1736)</f>
        <v>98pieces</v>
      </c>
      <c r="O1736" s="418">
        <f t="shared" si="320"/>
        <v>710.5</v>
      </c>
      <c r="P1736" s="419">
        <f t="shared" si="342"/>
        <v>7.25</v>
      </c>
      <c r="Q1736" s="458">
        <f t="shared" si="343"/>
        <v>0</v>
      </c>
      <c r="R1736" s="12"/>
      <c r="S1736" s="12"/>
      <c r="T1736" s="12"/>
      <c r="U1736" s="12"/>
      <c r="V1736" s="12"/>
      <c r="W1736" s="12"/>
      <c r="X1736" s="12"/>
      <c r="Y1736" s="12"/>
      <c r="Z1736" s="12"/>
    </row>
    <row r="1737" spans="1:26" ht="15.75" customHeight="1" x14ac:dyDescent="0.3">
      <c r="A1737" s="45">
        <v>34</v>
      </c>
      <c r="B1737" s="46" t="s">
        <v>699</v>
      </c>
      <c r="C1737" s="400" t="s">
        <v>2027</v>
      </c>
      <c r="D1737" s="239"/>
      <c r="E1737" s="46" t="s">
        <v>30</v>
      </c>
      <c r="F1737" s="239"/>
      <c r="G1737" s="372">
        <v>7.1</v>
      </c>
      <c r="H1737" s="332">
        <v>140</v>
      </c>
      <c r="I1737" s="371">
        <v>1</v>
      </c>
      <c r="J1737" s="240" t="s">
        <v>92</v>
      </c>
      <c r="K1737" s="240"/>
      <c r="L1737" s="465" t="str">
        <f t="shared" si="356"/>
        <v>1pieces</v>
      </c>
      <c r="M1737" s="466">
        <f t="shared" si="357"/>
        <v>140</v>
      </c>
      <c r="N1737" s="467" t="str">
        <f t="shared" si="358"/>
        <v>140pieces</v>
      </c>
      <c r="O1737" s="418">
        <f t="shared" si="320"/>
        <v>994</v>
      </c>
      <c r="P1737" s="419">
        <f t="shared" si="342"/>
        <v>7.1</v>
      </c>
      <c r="Q1737" s="419">
        <f t="shared" si="343"/>
        <v>0</v>
      </c>
      <c r="R1737" s="12"/>
      <c r="S1737" s="12"/>
      <c r="T1737" s="12"/>
      <c r="U1737" s="12"/>
      <c r="V1737" s="12"/>
      <c r="W1737" s="12"/>
      <c r="X1737" s="12"/>
      <c r="Y1737" s="12"/>
      <c r="Z1737" s="12"/>
    </row>
    <row r="1738" spans="1:26" ht="15.75" customHeight="1" x14ac:dyDescent="0.3">
      <c r="A1738" s="45">
        <v>130</v>
      </c>
      <c r="B1738" s="46" t="s">
        <v>701</v>
      </c>
      <c r="C1738" s="400" t="s">
        <v>2027</v>
      </c>
      <c r="D1738" s="170"/>
      <c r="E1738" s="46" t="s">
        <v>1960</v>
      </c>
      <c r="F1738" s="239"/>
      <c r="G1738" s="368">
        <v>22.38</v>
      </c>
      <c r="H1738" s="332">
        <v>30</v>
      </c>
      <c r="I1738" s="371">
        <v>1</v>
      </c>
      <c r="J1738" s="240" t="s">
        <v>92</v>
      </c>
      <c r="K1738" s="377"/>
      <c r="L1738" s="415" t="str">
        <f t="shared" si="356"/>
        <v>1pieces</v>
      </c>
      <c r="M1738" s="456">
        <f t="shared" si="357"/>
        <v>30</v>
      </c>
      <c r="N1738" s="457" t="str">
        <f t="shared" si="358"/>
        <v>30pieces</v>
      </c>
      <c r="O1738" s="418">
        <f t="shared" si="320"/>
        <v>671.4</v>
      </c>
      <c r="P1738" s="419">
        <f t="shared" si="342"/>
        <v>22.38</v>
      </c>
      <c r="Q1738" s="458">
        <f t="shared" si="343"/>
        <v>0</v>
      </c>
      <c r="R1738" s="12"/>
      <c r="S1738" s="12"/>
      <c r="T1738" s="12"/>
      <c r="U1738" s="12"/>
      <c r="V1738" s="12"/>
      <c r="W1738" s="12"/>
      <c r="X1738" s="12"/>
      <c r="Y1738" s="12"/>
      <c r="Z1738" s="12"/>
    </row>
    <row r="1739" spans="1:26" ht="15.75" customHeight="1" x14ac:dyDescent="0.3">
      <c r="A1739" s="45">
        <v>129</v>
      </c>
      <c r="B1739" s="46" t="s">
        <v>1973</v>
      </c>
      <c r="C1739" s="400" t="s">
        <v>2027</v>
      </c>
      <c r="D1739" s="170"/>
      <c r="E1739" s="46" t="s">
        <v>1960</v>
      </c>
      <c r="F1739" s="239"/>
      <c r="G1739" s="368">
        <v>23.85</v>
      </c>
      <c r="H1739" s="332">
        <v>2</v>
      </c>
      <c r="I1739" s="371">
        <v>1</v>
      </c>
      <c r="J1739" s="240" t="s">
        <v>92</v>
      </c>
      <c r="K1739" s="377"/>
      <c r="L1739" s="415" t="str">
        <f t="shared" si="356"/>
        <v>1pieces</v>
      </c>
      <c r="M1739" s="456">
        <f t="shared" si="357"/>
        <v>2</v>
      </c>
      <c r="N1739" s="457" t="str">
        <f t="shared" si="358"/>
        <v>2pieces</v>
      </c>
      <c r="O1739" s="418">
        <f t="shared" si="320"/>
        <v>47.7</v>
      </c>
      <c r="P1739" s="419">
        <f t="shared" si="342"/>
        <v>23.85</v>
      </c>
      <c r="Q1739" s="458">
        <f t="shared" si="343"/>
        <v>0</v>
      </c>
      <c r="R1739" s="12"/>
      <c r="S1739" s="12"/>
      <c r="T1739" s="12"/>
      <c r="U1739" s="12"/>
      <c r="V1739" s="12"/>
      <c r="W1739" s="12"/>
      <c r="X1739" s="12"/>
      <c r="Y1739" s="12"/>
      <c r="Z1739" s="12"/>
    </row>
    <row r="1740" spans="1:26" ht="15.75" customHeight="1" x14ac:dyDescent="0.3">
      <c r="A1740" s="45">
        <v>131</v>
      </c>
      <c r="B1740" s="46" t="s">
        <v>1974</v>
      </c>
      <c r="C1740" s="400" t="s">
        <v>2027</v>
      </c>
      <c r="D1740" s="170"/>
      <c r="E1740" s="46" t="s">
        <v>1960</v>
      </c>
      <c r="F1740" s="239"/>
      <c r="G1740" s="368">
        <v>15.7</v>
      </c>
      <c r="H1740" s="332">
        <v>6</v>
      </c>
      <c r="I1740" s="470">
        <v>1</v>
      </c>
      <c r="J1740" s="240" t="s">
        <v>92</v>
      </c>
      <c r="K1740" s="377"/>
      <c r="L1740" s="415" t="str">
        <f t="shared" si="356"/>
        <v>1pieces</v>
      </c>
      <c r="M1740" s="456">
        <f t="shared" si="357"/>
        <v>6</v>
      </c>
      <c r="N1740" s="457" t="str">
        <f t="shared" si="358"/>
        <v>6pieces</v>
      </c>
      <c r="O1740" s="418">
        <f t="shared" si="320"/>
        <v>94.199999999999989</v>
      </c>
      <c r="P1740" s="419">
        <f t="shared" si="342"/>
        <v>15.699999999999998</v>
      </c>
      <c r="Q1740" s="458">
        <f t="shared" si="343"/>
        <v>0</v>
      </c>
      <c r="R1740" s="12"/>
      <c r="S1740" s="12"/>
      <c r="T1740" s="12"/>
      <c r="U1740" s="12"/>
      <c r="V1740" s="12"/>
      <c r="W1740" s="12"/>
      <c r="X1740" s="12"/>
      <c r="Y1740" s="12"/>
      <c r="Z1740" s="12"/>
    </row>
    <row r="1741" spans="1:26" ht="15.75" customHeight="1" x14ac:dyDescent="0.3">
      <c r="A1741" s="45">
        <v>158</v>
      </c>
      <c r="B1741" s="96" t="s">
        <v>1479</v>
      </c>
      <c r="C1741" s="400" t="s">
        <v>2027</v>
      </c>
      <c r="D1741" s="170"/>
      <c r="E1741" s="96" t="s">
        <v>1945</v>
      </c>
      <c r="F1741" s="239"/>
      <c r="G1741" s="368">
        <v>55</v>
      </c>
      <c r="H1741" s="332">
        <v>1</v>
      </c>
      <c r="I1741" s="471">
        <v>1</v>
      </c>
      <c r="J1741" s="240" t="s">
        <v>213</v>
      </c>
      <c r="K1741" s="377"/>
      <c r="L1741" s="415" t="str">
        <f t="shared" si="356"/>
        <v>1kilos</v>
      </c>
      <c r="M1741" s="456">
        <f t="shared" si="357"/>
        <v>1</v>
      </c>
      <c r="N1741" s="457" t="str">
        <f t="shared" si="358"/>
        <v>1kilos</v>
      </c>
      <c r="O1741" s="418">
        <f t="shared" si="320"/>
        <v>55</v>
      </c>
      <c r="P1741" s="419">
        <f t="shared" si="342"/>
        <v>55</v>
      </c>
      <c r="Q1741" s="458">
        <f t="shared" si="343"/>
        <v>0</v>
      </c>
      <c r="R1741" s="12"/>
      <c r="S1741" s="12"/>
      <c r="T1741" s="12"/>
      <c r="U1741" s="12"/>
      <c r="V1741" s="12"/>
      <c r="W1741" s="12"/>
      <c r="X1741" s="12"/>
      <c r="Y1741" s="12"/>
      <c r="Z1741" s="12"/>
    </row>
    <row r="1742" spans="1:26" ht="15.75" customHeight="1" x14ac:dyDescent="0.3">
      <c r="A1742" s="45">
        <v>160</v>
      </c>
      <c r="B1742" s="46" t="s">
        <v>1975</v>
      </c>
      <c r="C1742" s="400" t="s">
        <v>2027</v>
      </c>
      <c r="D1742" s="170"/>
      <c r="E1742" s="46" t="s">
        <v>1945</v>
      </c>
      <c r="F1742" s="239"/>
      <c r="G1742" s="372">
        <v>123</v>
      </c>
      <c r="H1742" s="332">
        <v>1</v>
      </c>
      <c r="I1742" s="371">
        <v>1</v>
      </c>
      <c r="J1742" s="240" t="s">
        <v>213</v>
      </c>
      <c r="K1742" s="377"/>
      <c r="L1742" s="415" t="str">
        <f t="shared" si="356"/>
        <v>1kilos</v>
      </c>
      <c r="M1742" s="456">
        <f t="shared" si="357"/>
        <v>1</v>
      </c>
      <c r="N1742" s="457" t="str">
        <f t="shared" si="358"/>
        <v>1kilos</v>
      </c>
      <c r="O1742" s="418">
        <f t="shared" si="320"/>
        <v>123</v>
      </c>
      <c r="P1742" s="419">
        <f t="shared" si="342"/>
        <v>123</v>
      </c>
      <c r="Q1742" s="458">
        <f t="shared" si="343"/>
        <v>0</v>
      </c>
      <c r="R1742" s="12"/>
      <c r="S1742" s="12"/>
      <c r="T1742" s="12"/>
      <c r="U1742" s="12"/>
      <c r="V1742" s="12"/>
      <c r="W1742" s="12"/>
      <c r="X1742" s="12"/>
      <c r="Y1742" s="12"/>
      <c r="Z1742" s="12"/>
    </row>
    <row r="1743" spans="1:26" ht="15.75" customHeight="1" x14ac:dyDescent="0.3">
      <c r="A1743" s="45">
        <v>159</v>
      </c>
      <c r="B1743" s="46" t="s">
        <v>1482</v>
      </c>
      <c r="C1743" s="400" t="s">
        <v>2027</v>
      </c>
      <c r="D1743" s="170"/>
      <c r="E1743" s="46" t="s">
        <v>1945</v>
      </c>
      <c r="F1743" s="239"/>
      <c r="G1743" s="368">
        <v>195</v>
      </c>
      <c r="H1743" s="332">
        <v>0</v>
      </c>
      <c r="I1743" s="371">
        <v>1</v>
      </c>
      <c r="J1743" s="240" t="s">
        <v>213</v>
      </c>
      <c r="K1743" s="377"/>
      <c r="L1743" s="415" t="str">
        <f t="shared" si="356"/>
        <v>1kilos</v>
      </c>
      <c r="M1743" s="456">
        <f t="shared" si="357"/>
        <v>0</v>
      </c>
      <c r="N1743" s="457" t="str">
        <f t="shared" si="358"/>
        <v>0kilos</v>
      </c>
      <c r="O1743" s="418">
        <f t="shared" si="320"/>
        <v>0</v>
      </c>
      <c r="P1743" s="419" t="e">
        <f t="shared" si="342"/>
        <v>#DIV/0!</v>
      </c>
      <c r="Q1743" s="458" t="e">
        <f t="shared" si="343"/>
        <v>#DIV/0!</v>
      </c>
      <c r="R1743" s="12"/>
      <c r="S1743" s="12"/>
      <c r="T1743" s="12"/>
      <c r="U1743" s="12"/>
      <c r="V1743" s="12"/>
      <c r="W1743" s="12"/>
      <c r="X1743" s="12"/>
      <c r="Y1743" s="12"/>
      <c r="Z1743" s="12"/>
    </row>
    <row r="1744" spans="1:26" ht="15.75" customHeight="1" x14ac:dyDescent="0.3">
      <c r="A1744" s="45">
        <v>68</v>
      </c>
      <c r="B1744" s="46" t="s">
        <v>279</v>
      </c>
      <c r="C1744" s="400" t="s">
        <v>2027</v>
      </c>
      <c r="D1744" s="170"/>
      <c r="E1744" s="46" t="s">
        <v>1976</v>
      </c>
      <c r="F1744" s="237"/>
      <c r="G1744" s="368">
        <v>199</v>
      </c>
      <c r="H1744" s="332">
        <v>1</v>
      </c>
      <c r="I1744" s="371">
        <v>1</v>
      </c>
      <c r="J1744" s="276" t="s">
        <v>1948</v>
      </c>
      <c r="K1744" s="377"/>
      <c r="L1744" s="415" t="str">
        <f t="shared" si="356"/>
        <v>1bottle</v>
      </c>
      <c r="M1744" s="456">
        <f t="shared" si="357"/>
        <v>1</v>
      </c>
      <c r="N1744" s="457" t="str">
        <f t="shared" si="358"/>
        <v>1bottle</v>
      </c>
      <c r="O1744" s="418">
        <f t="shared" si="320"/>
        <v>199</v>
      </c>
      <c r="P1744" s="419">
        <f t="shared" si="342"/>
        <v>199</v>
      </c>
      <c r="Q1744" s="419">
        <f t="shared" si="343"/>
        <v>0</v>
      </c>
      <c r="R1744" s="12"/>
      <c r="S1744" s="12"/>
      <c r="T1744" s="12"/>
      <c r="U1744" s="12"/>
      <c r="V1744" s="12"/>
      <c r="W1744" s="12"/>
      <c r="X1744" s="12"/>
      <c r="Y1744" s="12"/>
      <c r="Z1744" s="12"/>
    </row>
    <row r="1745" spans="1:26" ht="15.75" customHeight="1" x14ac:dyDescent="0.3">
      <c r="A1745" s="45">
        <v>96</v>
      </c>
      <c r="B1745" s="96" t="s">
        <v>333</v>
      </c>
      <c r="C1745" s="400" t="s">
        <v>2027</v>
      </c>
      <c r="D1745" s="170"/>
      <c r="E1745" s="96" t="s">
        <v>1977</v>
      </c>
      <c r="F1745" s="237"/>
      <c r="G1745" s="368">
        <v>2.38</v>
      </c>
      <c r="H1745" s="332">
        <v>40</v>
      </c>
      <c r="I1745" s="371">
        <v>1</v>
      </c>
      <c r="J1745" s="100" t="s">
        <v>92</v>
      </c>
      <c r="K1745" s="377"/>
      <c r="L1745" s="61" t="s">
        <v>2029</v>
      </c>
      <c r="M1745" s="456">
        <f t="shared" si="357"/>
        <v>40</v>
      </c>
      <c r="N1745" s="457" t="str">
        <f t="shared" si="358"/>
        <v>40pieces</v>
      </c>
      <c r="O1745" s="418">
        <f t="shared" si="320"/>
        <v>95.199999999999989</v>
      </c>
      <c r="P1745" s="419">
        <f t="shared" si="342"/>
        <v>2.38</v>
      </c>
      <c r="Q1745" s="458">
        <f t="shared" si="343"/>
        <v>0</v>
      </c>
      <c r="R1745" s="12"/>
      <c r="S1745" s="12"/>
      <c r="T1745" s="12"/>
      <c r="U1745" s="12"/>
      <c r="V1745" s="12"/>
      <c r="W1745" s="12"/>
      <c r="X1745" s="12"/>
      <c r="Y1745" s="12"/>
      <c r="Z1745" s="12"/>
    </row>
    <row r="1746" spans="1:26" ht="15.75" customHeight="1" x14ac:dyDescent="0.3">
      <c r="A1746" s="45">
        <v>103</v>
      </c>
      <c r="B1746" s="96" t="s">
        <v>1978</v>
      </c>
      <c r="C1746" s="400" t="s">
        <v>2027</v>
      </c>
      <c r="D1746" s="170"/>
      <c r="E1746" s="239"/>
      <c r="F1746" s="237"/>
      <c r="G1746" s="368">
        <v>0.95</v>
      </c>
      <c r="H1746" s="332">
        <v>934</v>
      </c>
      <c r="I1746" s="371">
        <v>1</v>
      </c>
      <c r="J1746" s="100" t="s">
        <v>92</v>
      </c>
      <c r="K1746" s="377"/>
      <c r="L1746" s="415" t="str">
        <f t="shared" ref="L1746:L1749" si="359">CONCATENATE(I1746,J1746)</f>
        <v>1pieces</v>
      </c>
      <c r="M1746" s="456">
        <f t="shared" si="357"/>
        <v>934</v>
      </c>
      <c r="N1746" s="457" t="str">
        <f t="shared" si="358"/>
        <v>934pieces</v>
      </c>
      <c r="O1746" s="418">
        <f t="shared" si="320"/>
        <v>887.3</v>
      </c>
      <c r="P1746" s="419">
        <f t="shared" si="342"/>
        <v>0.95</v>
      </c>
      <c r="Q1746" s="458">
        <f t="shared" si="343"/>
        <v>0</v>
      </c>
      <c r="R1746" s="12"/>
      <c r="S1746" s="12"/>
      <c r="T1746" s="12"/>
      <c r="U1746" s="12"/>
      <c r="V1746" s="12"/>
      <c r="W1746" s="12"/>
      <c r="X1746" s="12"/>
      <c r="Y1746" s="12"/>
      <c r="Z1746" s="12"/>
    </row>
    <row r="1747" spans="1:26" ht="15.75" customHeight="1" x14ac:dyDescent="0.3">
      <c r="A1747" s="45">
        <v>104</v>
      </c>
      <c r="B1747" s="47" t="s">
        <v>1513</v>
      </c>
      <c r="C1747" s="400" t="s">
        <v>2027</v>
      </c>
      <c r="D1747" s="170"/>
      <c r="E1747" s="237"/>
      <c r="F1747" s="237"/>
      <c r="G1747" s="372">
        <v>0.85</v>
      </c>
      <c r="H1747" s="332">
        <v>36</v>
      </c>
      <c r="I1747" s="470">
        <v>1</v>
      </c>
      <c r="J1747" s="240" t="s">
        <v>92</v>
      </c>
      <c r="K1747" s="377"/>
      <c r="L1747" s="415" t="str">
        <f t="shared" si="359"/>
        <v>1pieces</v>
      </c>
      <c r="M1747" s="456">
        <f t="shared" si="357"/>
        <v>36</v>
      </c>
      <c r="N1747" s="457" t="str">
        <f t="shared" si="358"/>
        <v>36pieces</v>
      </c>
      <c r="O1747" s="418">
        <f t="shared" si="320"/>
        <v>30.599999999999998</v>
      </c>
      <c r="P1747" s="419">
        <f t="shared" si="342"/>
        <v>0.85</v>
      </c>
      <c r="Q1747" s="458">
        <f t="shared" si="343"/>
        <v>0</v>
      </c>
      <c r="R1747" s="12"/>
      <c r="S1747" s="12"/>
      <c r="T1747" s="12"/>
      <c r="U1747" s="12"/>
      <c r="V1747" s="12"/>
      <c r="W1747" s="12"/>
      <c r="X1747" s="12"/>
      <c r="Y1747" s="12"/>
      <c r="Z1747" s="12"/>
    </row>
    <row r="1748" spans="1:26" ht="15.75" customHeight="1" x14ac:dyDescent="0.3">
      <c r="A1748" s="45">
        <v>12</v>
      </c>
      <c r="B1748" s="46" t="s">
        <v>710</v>
      </c>
      <c r="C1748" s="400" t="s">
        <v>2027</v>
      </c>
      <c r="D1748" s="170"/>
      <c r="E1748" s="46" t="s">
        <v>1979</v>
      </c>
      <c r="F1748" s="237"/>
      <c r="G1748" s="359">
        <v>57.5</v>
      </c>
      <c r="H1748" s="332">
        <v>4</v>
      </c>
      <c r="I1748" s="371">
        <v>1</v>
      </c>
      <c r="J1748" s="61" t="s">
        <v>213</v>
      </c>
      <c r="K1748" s="377"/>
      <c r="L1748" s="415" t="str">
        <f t="shared" si="359"/>
        <v>1kilos</v>
      </c>
      <c r="M1748" s="456">
        <f t="shared" si="357"/>
        <v>4</v>
      </c>
      <c r="N1748" s="457" t="str">
        <f t="shared" si="358"/>
        <v>4kilos</v>
      </c>
      <c r="O1748" s="418">
        <f t="shared" si="320"/>
        <v>230</v>
      </c>
      <c r="P1748" s="419">
        <f t="shared" si="342"/>
        <v>57.5</v>
      </c>
      <c r="Q1748" s="419">
        <f t="shared" si="343"/>
        <v>0</v>
      </c>
      <c r="R1748" s="12"/>
      <c r="S1748" s="12"/>
      <c r="T1748" s="12"/>
      <c r="U1748" s="12"/>
      <c r="V1748" s="12"/>
      <c r="W1748" s="12"/>
      <c r="X1748" s="12"/>
      <c r="Y1748" s="12"/>
      <c r="Z1748" s="12"/>
    </row>
    <row r="1749" spans="1:26" ht="15.75" customHeight="1" x14ac:dyDescent="0.3">
      <c r="A1749" s="45">
        <v>132</v>
      </c>
      <c r="B1749" s="46" t="s">
        <v>1980</v>
      </c>
      <c r="C1749" s="400" t="s">
        <v>2027</v>
      </c>
      <c r="D1749" s="170"/>
      <c r="E1749" s="46" t="s">
        <v>1960</v>
      </c>
      <c r="F1749" s="237"/>
      <c r="G1749" s="359">
        <v>25.6</v>
      </c>
      <c r="H1749" s="332">
        <v>1</v>
      </c>
      <c r="I1749" s="470">
        <v>1</v>
      </c>
      <c r="J1749" s="240" t="s">
        <v>92</v>
      </c>
      <c r="K1749" s="377"/>
      <c r="L1749" s="415" t="str">
        <f t="shared" si="359"/>
        <v>1pieces</v>
      </c>
      <c r="M1749" s="456">
        <f t="shared" si="357"/>
        <v>1</v>
      </c>
      <c r="N1749" s="457" t="str">
        <f t="shared" si="358"/>
        <v>1pieces</v>
      </c>
      <c r="O1749" s="418">
        <f t="shared" si="320"/>
        <v>25.6</v>
      </c>
      <c r="P1749" s="419">
        <f t="shared" si="342"/>
        <v>25.6</v>
      </c>
      <c r="Q1749" s="458">
        <f t="shared" si="343"/>
        <v>0</v>
      </c>
      <c r="R1749" s="12"/>
      <c r="S1749" s="12"/>
      <c r="T1749" s="12"/>
      <c r="U1749" s="12"/>
      <c r="V1749" s="12"/>
      <c r="W1749" s="12"/>
      <c r="X1749" s="12"/>
      <c r="Y1749" s="12"/>
      <c r="Z1749" s="12"/>
    </row>
    <row r="1750" spans="1:26" ht="15.75" customHeight="1" x14ac:dyDescent="0.3">
      <c r="A1750" s="45">
        <v>161</v>
      </c>
      <c r="B1750" s="46" t="s">
        <v>1981</v>
      </c>
      <c r="C1750" s="400" t="s">
        <v>2027</v>
      </c>
      <c r="D1750" s="170"/>
      <c r="E1750" s="46" t="s">
        <v>1945</v>
      </c>
      <c r="F1750" s="237"/>
      <c r="G1750" s="359">
        <v>65</v>
      </c>
      <c r="H1750" s="332">
        <v>1</v>
      </c>
      <c r="I1750" s="371">
        <v>1</v>
      </c>
      <c r="J1750" s="61" t="s">
        <v>213</v>
      </c>
      <c r="K1750" s="12"/>
      <c r="L1750" s="170"/>
      <c r="M1750" s="181"/>
      <c r="N1750" s="457" t="str">
        <f t="shared" si="358"/>
        <v>kilos</v>
      </c>
      <c r="O1750" s="418">
        <f t="shared" si="320"/>
        <v>65</v>
      </c>
      <c r="P1750" s="62"/>
      <c r="Q1750" s="62"/>
      <c r="R1750" s="12"/>
      <c r="S1750" s="12"/>
      <c r="T1750" s="12"/>
      <c r="U1750" s="12"/>
      <c r="V1750" s="12"/>
      <c r="W1750" s="12"/>
      <c r="X1750" s="12"/>
      <c r="Y1750" s="12"/>
      <c r="Z1750" s="12"/>
    </row>
    <row r="1751" spans="1:26" ht="15.75" customHeight="1" x14ac:dyDescent="0.3">
      <c r="A1751" s="45">
        <v>133</v>
      </c>
      <c r="B1751" s="46" t="s">
        <v>1982</v>
      </c>
      <c r="C1751" s="400" t="s">
        <v>2027</v>
      </c>
      <c r="D1751" s="237"/>
      <c r="E1751" s="170"/>
      <c r="F1751" s="237"/>
      <c r="G1751" s="359">
        <v>16.649999999999999</v>
      </c>
      <c r="H1751" s="332">
        <v>8</v>
      </c>
      <c r="I1751" s="371">
        <v>1</v>
      </c>
      <c r="J1751" s="61" t="s">
        <v>92</v>
      </c>
      <c r="K1751" s="377"/>
      <c r="L1751" s="415" t="str">
        <f t="shared" ref="L1751:L1770" si="360">CONCATENATE(I1751,J1751)</f>
        <v>1pieces</v>
      </c>
      <c r="M1751" s="456">
        <f t="shared" ref="M1751:M1770" si="361">H1751*I1751</f>
        <v>8</v>
      </c>
      <c r="N1751" s="457" t="str">
        <f t="shared" si="358"/>
        <v>8pieces</v>
      </c>
      <c r="O1751" s="418">
        <f t="shared" si="320"/>
        <v>133.19999999999999</v>
      </c>
      <c r="P1751" s="419">
        <f t="shared" ref="P1751:P1770" si="362">O1751/H1751</f>
        <v>16.649999999999999</v>
      </c>
      <c r="Q1751" s="458">
        <f t="shared" ref="Q1751:Q1770" si="363">G1751-P1751</f>
        <v>0</v>
      </c>
      <c r="R1751" s="12"/>
      <c r="S1751" s="12"/>
      <c r="T1751" s="12"/>
      <c r="U1751" s="12"/>
      <c r="V1751" s="12"/>
      <c r="W1751" s="12"/>
      <c r="X1751" s="12"/>
      <c r="Y1751" s="12"/>
      <c r="Z1751" s="12"/>
    </row>
    <row r="1752" spans="1:26" ht="15.75" customHeight="1" x14ac:dyDescent="0.3">
      <c r="A1752" s="45">
        <v>20</v>
      </c>
      <c r="B1752" s="46" t="s">
        <v>716</v>
      </c>
      <c r="C1752" s="400" t="s">
        <v>2027</v>
      </c>
      <c r="D1752" s="237"/>
      <c r="E1752" s="46" t="s">
        <v>1983</v>
      </c>
      <c r="F1752" s="237"/>
      <c r="G1752" s="359">
        <v>29.23</v>
      </c>
      <c r="H1752" s="332">
        <v>48</v>
      </c>
      <c r="I1752" s="371">
        <v>1</v>
      </c>
      <c r="J1752" s="61" t="s">
        <v>92</v>
      </c>
      <c r="K1752" s="377"/>
      <c r="L1752" s="415" t="str">
        <f t="shared" si="360"/>
        <v>1pieces</v>
      </c>
      <c r="M1752" s="456">
        <f t="shared" si="361"/>
        <v>48</v>
      </c>
      <c r="N1752" s="457" t="str">
        <f t="shared" si="358"/>
        <v>48pieces</v>
      </c>
      <c r="O1752" s="418">
        <f t="shared" si="320"/>
        <v>1403.04</v>
      </c>
      <c r="P1752" s="419">
        <f t="shared" si="362"/>
        <v>29.23</v>
      </c>
      <c r="Q1752" s="419">
        <f t="shared" si="363"/>
        <v>0</v>
      </c>
      <c r="R1752" s="12"/>
      <c r="S1752" s="12"/>
      <c r="T1752" s="12"/>
      <c r="U1752" s="12"/>
      <c r="V1752" s="12"/>
      <c r="W1752" s="12"/>
      <c r="X1752" s="12"/>
      <c r="Y1752" s="12"/>
      <c r="Z1752" s="12"/>
    </row>
    <row r="1753" spans="1:26" ht="15.75" customHeight="1" x14ac:dyDescent="0.3">
      <c r="A1753" s="45">
        <v>39</v>
      </c>
      <c r="B1753" s="46" t="s">
        <v>723</v>
      </c>
      <c r="C1753" s="400" t="s">
        <v>2027</v>
      </c>
      <c r="D1753" s="170"/>
      <c r="E1753" s="46" t="s">
        <v>1241</v>
      </c>
      <c r="F1753" s="237"/>
      <c r="G1753" s="359">
        <v>17.100000000000001</v>
      </c>
      <c r="H1753" s="332">
        <v>17</v>
      </c>
      <c r="I1753" s="371">
        <v>1</v>
      </c>
      <c r="J1753" s="61" t="s">
        <v>39</v>
      </c>
      <c r="K1753" s="377"/>
      <c r="L1753" s="415" t="str">
        <f t="shared" si="360"/>
        <v>1grams</v>
      </c>
      <c r="M1753" s="456">
        <f t="shared" si="361"/>
        <v>17</v>
      </c>
      <c r="N1753" s="457" t="str">
        <f t="shared" si="358"/>
        <v>17grams</v>
      </c>
      <c r="O1753" s="418">
        <f t="shared" si="320"/>
        <v>290.70000000000005</v>
      </c>
      <c r="P1753" s="419">
        <f t="shared" si="362"/>
        <v>17.100000000000001</v>
      </c>
      <c r="Q1753" s="460">
        <f t="shared" si="363"/>
        <v>0</v>
      </c>
      <c r="R1753" s="12"/>
      <c r="S1753" s="12"/>
      <c r="T1753" s="12"/>
      <c r="U1753" s="12"/>
      <c r="V1753" s="12"/>
      <c r="W1753" s="12"/>
      <c r="X1753" s="12"/>
      <c r="Y1753" s="12"/>
      <c r="Z1753" s="12"/>
    </row>
    <row r="1754" spans="1:26" ht="15.75" customHeight="1" x14ac:dyDescent="0.3">
      <c r="A1754" s="45">
        <v>134</v>
      </c>
      <c r="B1754" s="46" t="s">
        <v>1984</v>
      </c>
      <c r="C1754" s="400" t="s">
        <v>2027</v>
      </c>
      <c r="D1754" s="170"/>
      <c r="E1754" s="170"/>
      <c r="F1754" s="237"/>
      <c r="G1754" s="359">
        <v>15.8</v>
      </c>
      <c r="H1754" s="332">
        <v>7</v>
      </c>
      <c r="I1754" s="371">
        <v>1</v>
      </c>
      <c r="J1754" s="61" t="s">
        <v>92</v>
      </c>
      <c r="K1754" s="377"/>
      <c r="L1754" s="415" t="str">
        <f t="shared" si="360"/>
        <v>1pieces</v>
      </c>
      <c r="M1754" s="456">
        <f t="shared" si="361"/>
        <v>7</v>
      </c>
      <c r="N1754" s="457" t="str">
        <f t="shared" si="358"/>
        <v>7pieces</v>
      </c>
      <c r="O1754" s="418">
        <f t="shared" si="320"/>
        <v>110.60000000000001</v>
      </c>
      <c r="P1754" s="419">
        <f t="shared" si="362"/>
        <v>15.8</v>
      </c>
      <c r="Q1754" s="458">
        <f t="shared" si="363"/>
        <v>0</v>
      </c>
      <c r="R1754" s="12"/>
      <c r="S1754" s="12"/>
      <c r="T1754" s="12"/>
      <c r="U1754" s="12"/>
      <c r="V1754" s="12"/>
      <c r="W1754" s="12"/>
      <c r="X1754" s="12"/>
      <c r="Y1754" s="12"/>
      <c r="Z1754" s="12"/>
    </row>
    <row r="1755" spans="1:26" ht="15.75" customHeight="1" x14ac:dyDescent="0.3">
      <c r="A1755" s="45">
        <v>106</v>
      </c>
      <c r="B1755" s="96" t="s">
        <v>358</v>
      </c>
      <c r="C1755" s="400" t="s">
        <v>2027</v>
      </c>
      <c r="D1755" s="170"/>
      <c r="E1755" s="239"/>
      <c r="F1755" s="237"/>
      <c r="G1755" s="368">
        <v>233</v>
      </c>
      <c r="H1755" s="332">
        <v>3</v>
      </c>
      <c r="I1755" s="371">
        <v>1</v>
      </c>
      <c r="J1755" s="61" t="s">
        <v>213</v>
      </c>
      <c r="K1755" s="377"/>
      <c r="L1755" s="415" t="str">
        <f t="shared" si="360"/>
        <v>1kilos</v>
      </c>
      <c r="M1755" s="456">
        <f t="shared" si="361"/>
        <v>3</v>
      </c>
      <c r="N1755" s="457" t="str">
        <f t="shared" si="358"/>
        <v>3kilos</v>
      </c>
      <c r="O1755" s="418">
        <f t="shared" si="320"/>
        <v>699</v>
      </c>
      <c r="P1755" s="419">
        <f t="shared" si="362"/>
        <v>233</v>
      </c>
      <c r="Q1755" s="458">
        <f t="shared" si="363"/>
        <v>0</v>
      </c>
      <c r="R1755" s="12"/>
      <c r="S1755" s="12"/>
      <c r="T1755" s="12"/>
      <c r="U1755" s="12"/>
      <c r="V1755" s="12"/>
      <c r="W1755" s="12"/>
      <c r="X1755" s="12"/>
      <c r="Y1755" s="12"/>
      <c r="Z1755" s="12"/>
    </row>
    <row r="1756" spans="1:26" ht="15.75" customHeight="1" x14ac:dyDescent="0.3">
      <c r="A1756" s="45">
        <v>107</v>
      </c>
      <c r="B1756" s="46" t="s">
        <v>730</v>
      </c>
      <c r="C1756" s="400" t="s">
        <v>2027</v>
      </c>
      <c r="D1756" s="170"/>
      <c r="E1756" s="170"/>
      <c r="F1756" s="237"/>
      <c r="G1756" s="359">
        <v>150</v>
      </c>
      <c r="H1756" s="289">
        <v>7</v>
      </c>
      <c r="I1756" s="376">
        <v>1</v>
      </c>
      <c r="J1756" s="61" t="s">
        <v>213</v>
      </c>
      <c r="K1756" s="377"/>
      <c r="L1756" s="415" t="str">
        <f t="shared" si="360"/>
        <v>1kilos</v>
      </c>
      <c r="M1756" s="456">
        <f t="shared" si="361"/>
        <v>7</v>
      </c>
      <c r="N1756" s="457" t="str">
        <f t="shared" si="358"/>
        <v>7kilos</v>
      </c>
      <c r="O1756" s="418">
        <f t="shared" si="320"/>
        <v>1050</v>
      </c>
      <c r="P1756" s="419">
        <f t="shared" si="362"/>
        <v>150</v>
      </c>
      <c r="Q1756" s="458">
        <f t="shared" si="363"/>
        <v>0</v>
      </c>
      <c r="R1756" s="12"/>
      <c r="S1756" s="12"/>
      <c r="T1756" s="12"/>
      <c r="U1756" s="12"/>
      <c r="V1756" s="12"/>
      <c r="W1756" s="12"/>
      <c r="X1756" s="12"/>
      <c r="Y1756" s="12"/>
      <c r="Z1756" s="12"/>
    </row>
    <row r="1757" spans="1:26" ht="15.75" customHeight="1" x14ac:dyDescent="0.3">
      <c r="A1757" s="45">
        <v>135</v>
      </c>
      <c r="B1757" s="46" t="s">
        <v>1985</v>
      </c>
      <c r="C1757" s="400" t="s">
        <v>2027</v>
      </c>
      <c r="D1757" s="170"/>
      <c r="E1757" s="46" t="s">
        <v>1934</v>
      </c>
      <c r="F1757" s="237"/>
      <c r="G1757" s="359">
        <v>6.17</v>
      </c>
      <c r="H1757" s="289">
        <v>50</v>
      </c>
      <c r="I1757" s="376">
        <v>1</v>
      </c>
      <c r="J1757" s="61" t="s">
        <v>92</v>
      </c>
      <c r="K1757" s="377"/>
      <c r="L1757" s="415" t="str">
        <f t="shared" si="360"/>
        <v>1pieces</v>
      </c>
      <c r="M1757" s="456">
        <f t="shared" si="361"/>
        <v>50</v>
      </c>
      <c r="N1757" s="457" t="str">
        <f t="shared" si="358"/>
        <v>50pieces</v>
      </c>
      <c r="O1757" s="418">
        <f t="shared" si="320"/>
        <v>308.5</v>
      </c>
      <c r="P1757" s="419">
        <f t="shared" si="362"/>
        <v>6.17</v>
      </c>
      <c r="Q1757" s="458">
        <f t="shared" si="363"/>
        <v>0</v>
      </c>
      <c r="R1757" s="12"/>
      <c r="S1757" s="12"/>
      <c r="T1757" s="12"/>
      <c r="U1757" s="12"/>
      <c r="V1757" s="12"/>
      <c r="W1757" s="12"/>
      <c r="X1757" s="12"/>
      <c r="Y1757" s="12"/>
      <c r="Z1757" s="12"/>
    </row>
    <row r="1758" spans="1:26" ht="15.75" customHeight="1" x14ac:dyDescent="0.3">
      <c r="A1758" s="45">
        <v>69</v>
      </c>
      <c r="B1758" s="46" t="s">
        <v>1986</v>
      </c>
      <c r="C1758" s="400" t="s">
        <v>2027</v>
      </c>
      <c r="D1758" s="239"/>
      <c r="E1758" s="170"/>
      <c r="F1758" s="237"/>
      <c r="G1758" s="359">
        <v>49</v>
      </c>
      <c r="H1758" s="289">
        <v>1</v>
      </c>
      <c r="I1758" s="376">
        <v>1</v>
      </c>
      <c r="J1758" s="61" t="s">
        <v>304</v>
      </c>
      <c r="K1758" s="377"/>
      <c r="L1758" s="415" t="str">
        <f t="shared" si="360"/>
        <v>1packs</v>
      </c>
      <c r="M1758" s="456">
        <f t="shared" si="361"/>
        <v>1</v>
      </c>
      <c r="N1758" s="457" t="str">
        <f t="shared" si="358"/>
        <v>1packs</v>
      </c>
      <c r="O1758" s="418">
        <f t="shared" si="320"/>
        <v>49</v>
      </c>
      <c r="P1758" s="419">
        <f t="shared" si="362"/>
        <v>49</v>
      </c>
      <c r="Q1758" s="419">
        <f t="shared" si="363"/>
        <v>0</v>
      </c>
      <c r="R1758" s="12"/>
      <c r="S1758" s="12"/>
      <c r="T1758" s="12"/>
      <c r="U1758" s="12"/>
      <c r="V1758" s="12"/>
      <c r="W1758" s="12"/>
      <c r="X1758" s="12"/>
      <c r="Y1758" s="12"/>
      <c r="Z1758" s="12"/>
    </row>
    <row r="1759" spans="1:26" ht="15.75" customHeight="1" x14ac:dyDescent="0.3">
      <c r="A1759" s="45">
        <v>70</v>
      </c>
      <c r="B1759" s="46" t="s">
        <v>1987</v>
      </c>
      <c r="C1759" s="400" t="s">
        <v>2027</v>
      </c>
      <c r="D1759" s="239"/>
      <c r="E1759" s="46" t="s">
        <v>1988</v>
      </c>
      <c r="F1759" s="237"/>
      <c r="G1759" s="359">
        <v>119.4</v>
      </c>
      <c r="H1759" s="289">
        <v>0</v>
      </c>
      <c r="I1759" s="376">
        <v>1</v>
      </c>
      <c r="J1759" s="61" t="s">
        <v>39</v>
      </c>
      <c r="K1759" s="377"/>
      <c r="L1759" s="415" t="str">
        <f t="shared" si="360"/>
        <v>1grams</v>
      </c>
      <c r="M1759" s="456">
        <f t="shared" si="361"/>
        <v>0</v>
      </c>
      <c r="N1759" s="457" t="str">
        <f t="shared" si="358"/>
        <v>0grams</v>
      </c>
      <c r="O1759" s="418">
        <f t="shared" si="320"/>
        <v>0</v>
      </c>
      <c r="P1759" s="419" t="e">
        <f t="shared" si="362"/>
        <v>#DIV/0!</v>
      </c>
      <c r="Q1759" s="460" t="e">
        <f t="shared" si="363"/>
        <v>#DIV/0!</v>
      </c>
      <c r="R1759" s="12"/>
      <c r="S1759" s="12"/>
      <c r="T1759" s="12"/>
      <c r="U1759" s="12"/>
      <c r="V1759" s="12"/>
      <c r="W1759" s="12"/>
      <c r="X1759" s="12"/>
      <c r="Y1759" s="12"/>
      <c r="Z1759" s="12"/>
    </row>
    <row r="1760" spans="1:26" ht="15.75" customHeight="1" x14ac:dyDescent="0.3">
      <c r="A1760" s="45">
        <v>137</v>
      </c>
      <c r="B1760" s="46" t="s">
        <v>1989</v>
      </c>
      <c r="C1760" s="400" t="s">
        <v>2027</v>
      </c>
      <c r="D1760" s="170"/>
      <c r="E1760" s="46" t="s">
        <v>1934</v>
      </c>
      <c r="F1760" s="237"/>
      <c r="G1760" s="359">
        <v>5.92</v>
      </c>
      <c r="H1760" s="289">
        <v>68</v>
      </c>
      <c r="I1760" s="376">
        <v>1</v>
      </c>
      <c r="J1760" s="61" t="s">
        <v>92</v>
      </c>
      <c r="K1760" s="377"/>
      <c r="L1760" s="415" t="str">
        <f t="shared" si="360"/>
        <v>1pieces</v>
      </c>
      <c r="M1760" s="456">
        <f t="shared" si="361"/>
        <v>68</v>
      </c>
      <c r="N1760" s="457" t="str">
        <f t="shared" si="358"/>
        <v>68pieces</v>
      </c>
      <c r="O1760" s="418">
        <f t="shared" si="320"/>
        <v>402.56</v>
      </c>
      <c r="P1760" s="419">
        <f t="shared" si="362"/>
        <v>5.92</v>
      </c>
      <c r="Q1760" s="458">
        <f t="shared" si="363"/>
        <v>0</v>
      </c>
      <c r="R1760" s="12"/>
      <c r="S1760" s="12"/>
      <c r="T1760" s="12"/>
      <c r="U1760" s="12"/>
      <c r="V1760" s="12"/>
      <c r="W1760" s="12"/>
      <c r="X1760" s="12"/>
      <c r="Y1760" s="12"/>
      <c r="Z1760" s="12"/>
    </row>
    <row r="1761" spans="1:26" ht="15.75" customHeight="1" x14ac:dyDescent="0.3">
      <c r="A1761" s="45">
        <v>136</v>
      </c>
      <c r="B1761" s="96" t="s">
        <v>1990</v>
      </c>
      <c r="C1761" s="400" t="s">
        <v>2027</v>
      </c>
      <c r="D1761" s="170"/>
      <c r="E1761" s="96" t="s">
        <v>1934</v>
      </c>
      <c r="F1761" s="237"/>
      <c r="G1761" s="368">
        <v>6.02</v>
      </c>
      <c r="H1761" s="332">
        <v>48</v>
      </c>
      <c r="I1761" s="376">
        <v>1</v>
      </c>
      <c r="J1761" s="61" t="s">
        <v>92</v>
      </c>
      <c r="K1761" s="377"/>
      <c r="L1761" s="415" t="str">
        <f t="shared" si="360"/>
        <v>1pieces</v>
      </c>
      <c r="M1761" s="456">
        <f t="shared" si="361"/>
        <v>48</v>
      </c>
      <c r="N1761" s="457" t="str">
        <f t="shared" si="358"/>
        <v>48pieces</v>
      </c>
      <c r="O1761" s="418">
        <f t="shared" si="320"/>
        <v>288.95999999999998</v>
      </c>
      <c r="P1761" s="419">
        <f t="shared" si="362"/>
        <v>6.02</v>
      </c>
      <c r="Q1761" s="458">
        <f t="shared" si="363"/>
        <v>0</v>
      </c>
      <c r="R1761" s="12"/>
      <c r="S1761" s="12"/>
      <c r="T1761" s="12"/>
      <c r="U1761" s="12"/>
      <c r="V1761" s="12"/>
      <c r="W1761" s="12"/>
      <c r="X1761" s="12"/>
      <c r="Y1761" s="12"/>
      <c r="Z1761" s="12"/>
    </row>
    <row r="1762" spans="1:26" ht="15.75" customHeight="1" x14ac:dyDescent="0.3">
      <c r="A1762" s="45">
        <v>109</v>
      </c>
      <c r="B1762" s="96" t="s">
        <v>1991</v>
      </c>
      <c r="C1762" s="400" t="s">
        <v>2027</v>
      </c>
      <c r="D1762" s="170"/>
      <c r="E1762" s="96" t="s">
        <v>1596</v>
      </c>
      <c r="F1762" s="237"/>
      <c r="G1762" s="368">
        <v>47</v>
      </c>
      <c r="H1762" s="332">
        <v>50</v>
      </c>
      <c r="I1762" s="376">
        <v>1</v>
      </c>
      <c r="J1762" s="61" t="s">
        <v>213</v>
      </c>
      <c r="K1762" s="377"/>
      <c r="L1762" s="415" t="str">
        <f t="shared" si="360"/>
        <v>1kilos</v>
      </c>
      <c r="M1762" s="456">
        <f t="shared" si="361"/>
        <v>50</v>
      </c>
      <c r="N1762" s="457" t="str">
        <f t="shared" si="358"/>
        <v>50kilos</v>
      </c>
      <c r="O1762" s="418">
        <f t="shared" si="320"/>
        <v>2350</v>
      </c>
      <c r="P1762" s="419">
        <f t="shared" si="362"/>
        <v>47</v>
      </c>
      <c r="Q1762" s="458">
        <f t="shared" si="363"/>
        <v>0</v>
      </c>
      <c r="R1762" s="12"/>
      <c r="S1762" s="12"/>
      <c r="T1762" s="12"/>
      <c r="U1762" s="12"/>
      <c r="V1762" s="12"/>
      <c r="W1762" s="12"/>
      <c r="X1762" s="12"/>
      <c r="Y1762" s="12"/>
      <c r="Z1762" s="12"/>
    </row>
    <row r="1763" spans="1:26" ht="15.75" customHeight="1" x14ac:dyDescent="0.3">
      <c r="A1763" s="45">
        <v>138</v>
      </c>
      <c r="B1763" s="96" t="s">
        <v>1992</v>
      </c>
      <c r="C1763" s="400" t="s">
        <v>2027</v>
      </c>
      <c r="D1763" s="170"/>
      <c r="E1763" s="239"/>
      <c r="F1763" s="237"/>
      <c r="G1763" s="368">
        <v>23.6</v>
      </c>
      <c r="H1763" s="332">
        <v>7</v>
      </c>
      <c r="I1763" s="376">
        <v>1</v>
      </c>
      <c r="J1763" s="61" t="s">
        <v>92</v>
      </c>
      <c r="K1763" s="377"/>
      <c r="L1763" s="415" t="str">
        <f t="shared" si="360"/>
        <v>1pieces</v>
      </c>
      <c r="M1763" s="456">
        <f t="shared" si="361"/>
        <v>7</v>
      </c>
      <c r="N1763" s="457" t="str">
        <f t="shared" si="358"/>
        <v>7pieces</v>
      </c>
      <c r="O1763" s="418">
        <f t="shared" si="320"/>
        <v>165.20000000000002</v>
      </c>
      <c r="P1763" s="419">
        <f t="shared" si="362"/>
        <v>23.6</v>
      </c>
      <c r="Q1763" s="458">
        <f t="shared" si="363"/>
        <v>0</v>
      </c>
      <c r="R1763" s="12"/>
      <c r="S1763" s="12"/>
      <c r="T1763" s="12"/>
      <c r="U1763" s="12"/>
      <c r="V1763" s="12"/>
      <c r="W1763" s="12"/>
      <c r="X1763" s="12"/>
      <c r="Y1763" s="12"/>
      <c r="Z1763" s="12"/>
    </row>
    <row r="1764" spans="1:26" ht="15.75" customHeight="1" x14ac:dyDescent="0.3">
      <c r="A1764" s="45">
        <v>66</v>
      </c>
      <c r="B1764" s="96" t="s">
        <v>1993</v>
      </c>
      <c r="C1764" s="400" t="s">
        <v>2027</v>
      </c>
      <c r="D1764" s="170"/>
      <c r="E1764" s="96" t="s">
        <v>1994</v>
      </c>
      <c r="F1764" s="237"/>
      <c r="G1764" s="368">
        <v>49.09</v>
      </c>
      <c r="H1764" s="332">
        <v>1</v>
      </c>
      <c r="I1764" s="376">
        <v>1</v>
      </c>
      <c r="J1764" s="61" t="s">
        <v>304</v>
      </c>
      <c r="K1764" s="377"/>
      <c r="L1764" s="415" t="str">
        <f t="shared" si="360"/>
        <v>1packs</v>
      </c>
      <c r="M1764" s="456">
        <f t="shared" si="361"/>
        <v>1</v>
      </c>
      <c r="N1764" s="457" t="str">
        <f t="shared" si="358"/>
        <v>1packs</v>
      </c>
      <c r="O1764" s="418">
        <f t="shared" si="320"/>
        <v>49.09</v>
      </c>
      <c r="P1764" s="419">
        <f t="shared" si="362"/>
        <v>49.09</v>
      </c>
      <c r="Q1764" s="419">
        <f t="shared" si="363"/>
        <v>0</v>
      </c>
      <c r="R1764" s="12"/>
      <c r="S1764" s="12"/>
      <c r="T1764" s="12"/>
      <c r="U1764" s="12"/>
      <c r="V1764" s="12"/>
      <c r="W1764" s="12"/>
      <c r="X1764" s="12"/>
      <c r="Y1764" s="12"/>
      <c r="Z1764" s="12"/>
    </row>
    <row r="1765" spans="1:26" ht="15.75" customHeight="1" x14ac:dyDescent="0.3">
      <c r="A1765" s="45">
        <v>16</v>
      </c>
      <c r="B1765" s="46" t="s">
        <v>1609</v>
      </c>
      <c r="C1765" s="400" t="s">
        <v>2027</v>
      </c>
      <c r="D1765" s="239"/>
      <c r="E1765" s="46" t="s">
        <v>1995</v>
      </c>
      <c r="F1765" s="237"/>
      <c r="G1765" s="359">
        <v>29</v>
      </c>
      <c r="H1765" s="289">
        <v>29</v>
      </c>
      <c r="I1765" s="376"/>
      <c r="J1765" s="61" t="s">
        <v>92</v>
      </c>
      <c r="K1765" s="377"/>
      <c r="L1765" s="415" t="str">
        <f t="shared" si="360"/>
        <v>pieces</v>
      </c>
      <c r="M1765" s="456">
        <f t="shared" si="361"/>
        <v>0</v>
      </c>
      <c r="N1765" s="457" t="str">
        <f t="shared" si="358"/>
        <v>0pieces</v>
      </c>
      <c r="O1765" s="418">
        <f t="shared" si="320"/>
        <v>841</v>
      </c>
      <c r="P1765" s="419">
        <f t="shared" si="362"/>
        <v>29</v>
      </c>
      <c r="Q1765" s="419">
        <f t="shared" si="363"/>
        <v>0</v>
      </c>
      <c r="R1765" s="12"/>
      <c r="S1765" s="12"/>
      <c r="T1765" s="12"/>
      <c r="U1765" s="12"/>
      <c r="V1765" s="12"/>
      <c r="W1765" s="12"/>
      <c r="X1765" s="12"/>
      <c r="Y1765" s="12"/>
      <c r="Z1765" s="12"/>
    </row>
    <row r="1766" spans="1:26" ht="15.75" customHeight="1" x14ac:dyDescent="0.3">
      <c r="A1766" s="45">
        <v>87</v>
      </c>
      <c r="B1766" s="46" t="s">
        <v>1621</v>
      </c>
      <c r="C1766" s="400" t="s">
        <v>2027</v>
      </c>
      <c r="D1766" s="239"/>
      <c r="E1766" s="46" t="s">
        <v>1951</v>
      </c>
      <c r="F1766" s="237"/>
      <c r="G1766" s="359">
        <v>5</v>
      </c>
      <c r="H1766" s="289">
        <v>150</v>
      </c>
      <c r="I1766" s="376">
        <v>1</v>
      </c>
      <c r="J1766" s="61" t="s">
        <v>92</v>
      </c>
      <c r="K1766" s="377"/>
      <c r="L1766" s="415" t="str">
        <f t="shared" si="360"/>
        <v>1pieces</v>
      </c>
      <c r="M1766" s="456">
        <f t="shared" si="361"/>
        <v>150</v>
      </c>
      <c r="N1766" s="457" t="str">
        <f t="shared" si="358"/>
        <v>150pieces</v>
      </c>
      <c r="O1766" s="418">
        <f t="shared" si="320"/>
        <v>750</v>
      </c>
      <c r="P1766" s="419">
        <f t="shared" si="362"/>
        <v>5</v>
      </c>
      <c r="Q1766" s="458">
        <f t="shared" si="363"/>
        <v>0</v>
      </c>
      <c r="R1766" s="12"/>
      <c r="S1766" s="12"/>
      <c r="T1766" s="12"/>
      <c r="U1766" s="12"/>
      <c r="V1766" s="12"/>
      <c r="W1766" s="12"/>
      <c r="X1766" s="12"/>
      <c r="Y1766" s="12"/>
      <c r="Z1766" s="12"/>
    </row>
    <row r="1767" spans="1:26" ht="15.75" customHeight="1" x14ac:dyDescent="0.3">
      <c r="A1767" s="45">
        <v>71</v>
      </c>
      <c r="B1767" s="46" t="s">
        <v>758</v>
      </c>
      <c r="C1767" s="400" t="s">
        <v>2027</v>
      </c>
      <c r="D1767" s="239"/>
      <c r="E1767" s="46" t="s">
        <v>1996</v>
      </c>
      <c r="F1767" s="237"/>
      <c r="G1767" s="359">
        <v>39.56</v>
      </c>
      <c r="H1767" s="289">
        <v>1</v>
      </c>
      <c r="I1767" s="376">
        <v>1</v>
      </c>
      <c r="J1767" s="61" t="s">
        <v>213</v>
      </c>
      <c r="K1767" s="377"/>
      <c r="L1767" s="415" t="str">
        <f t="shared" si="360"/>
        <v>1kilos</v>
      </c>
      <c r="M1767" s="456">
        <f t="shared" si="361"/>
        <v>1</v>
      </c>
      <c r="N1767" s="457" t="str">
        <f t="shared" si="358"/>
        <v>1kilos</v>
      </c>
      <c r="O1767" s="418">
        <f t="shared" si="320"/>
        <v>39.56</v>
      </c>
      <c r="P1767" s="419">
        <f t="shared" si="362"/>
        <v>39.56</v>
      </c>
      <c r="Q1767" s="460">
        <f t="shared" si="363"/>
        <v>0</v>
      </c>
      <c r="R1767" s="12"/>
      <c r="S1767" s="12"/>
      <c r="T1767" s="12"/>
      <c r="U1767" s="12"/>
      <c r="V1767" s="12"/>
      <c r="W1767" s="12"/>
      <c r="X1767" s="12"/>
      <c r="Y1767" s="12"/>
      <c r="Z1767" s="12"/>
    </row>
    <row r="1768" spans="1:26" ht="15.75" customHeight="1" x14ac:dyDescent="0.3">
      <c r="A1768" s="45">
        <v>62</v>
      </c>
      <c r="B1768" s="46" t="s">
        <v>1632</v>
      </c>
      <c r="C1768" s="400" t="s">
        <v>2027</v>
      </c>
      <c r="D1768" s="239"/>
      <c r="E1768" s="46" t="s">
        <v>1996</v>
      </c>
      <c r="F1768" s="237"/>
      <c r="G1768" s="359">
        <v>31.5</v>
      </c>
      <c r="H1768" s="289">
        <v>1</v>
      </c>
      <c r="I1768" s="376">
        <v>1</v>
      </c>
      <c r="J1768" s="61" t="s">
        <v>213</v>
      </c>
      <c r="K1768" s="377"/>
      <c r="L1768" s="415" t="str">
        <f t="shared" si="360"/>
        <v>1kilos</v>
      </c>
      <c r="M1768" s="456">
        <f t="shared" si="361"/>
        <v>1</v>
      </c>
      <c r="N1768" s="457" t="str">
        <f t="shared" si="358"/>
        <v>1kilos</v>
      </c>
      <c r="O1768" s="418">
        <f t="shared" si="320"/>
        <v>31.5</v>
      </c>
      <c r="P1768" s="419">
        <f t="shared" si="362"/>
        <v>31.5</v>
      </c>
      <c r="Q1768" s="460">
        <f t="shared" si="363"/>
        <v>0</v>
      </c>
      <c r="R1768" s="12"/>
      <c r="S1768" s="12"/>
      <c r="T1768" s="12"/>
      <c r="U1768" s="12"/>
      <c r="V1768" s="12"/>
      <c r="W1768" s="12"/>
      <c r="X1768" s="12"/>
      <c r="Y1768" s="12"/>
      <c r="Z1768" s="12"/>
    </row>
    <row r="1769" spans="1:26" ht="15.75" customHeight="1" x14ac:dyDescent="0.3">
      <c r="A1769" s="45">
        <v>78</v>
      </c>
      <c r="B1769" s="46" t="s">
        <v>1644</v>
      </c>
      <c r="C1769" s="400" t="s">
        <v>2027</v>
      </c>
      <c r="D1769" s="239"/>
      <c r="E1769" s="96" t="s">
        <v>1994</v>
      </c>
      <c r="F1769" s="237"/>
      <c r="G1769" s="368">
        <v>20</v>
      </c>
      <c r="H1769" s="332">
        <v>1</v>
      </c>
      <c r="I1769" s="376">
        <v>1</v>
      </c>
      <c r="J1769" s="61" t="s">
        <v>213</v>
      </c>
      <c r="K1769" s="377"/>
      <c r="L1769" s="415" t="str">
        <f t="shared" si="360"/>
        <v>1kilos</v>
      </c>
      <c r="M1769" s="456">
        <f t="shared" si="361"/>
        <v>1</v>
      </c>
      <c r="N1769" s="457" t="str">
        <f t="shared" si="358"/>
        <v>1kilos</v>
      </c>
      <c r="O1769" s="418">
        <f t="shared" si="320"/>
        <v>20</v>
      </c>
      <c r="P1769" s="419">
        <f t="shared" si="362"/>
        <v>20</v>
      </c>
      <c r="Q1769" s="458">
        <f t="shared" si="363"/>
        <v>0</v>
      </c>
      <c r="R1769" s="12"/>
      <c r="S1769" s="12"/>
      <c r="T1769" s="12"/>
      <c r="U1769" s="12"/>
      <c r="V1769" s="12"/>
      <c r="W1769" s="12"/>
      <c r="X1769" s="12"/>
      <c r="Y1769" s="12"/>
      <c r="Z1769" s="12"/>
    </row>
    <row r="1770" spans="1:26" ht="15.75" customHeight="1" x14ac:dyDescent="0.3">
      <c r="A1770" s="45">
        <v>40</v>
      </c>
      <c r="B1770" s="46" t="s">
        <v>766</v>
      </c>
      <c r="C1770" s="400" t="s">
        <v>2027</v>
      </c>
      <c r="D1770" s="239"/>
      <c r="E1770" s="96" t="s">
        <v>1997</v>
      </c>
      <c r="F1770" s="237"/>
      <c r="G1770" s="368">
        <v>22.8</v>
      </c>
      <c r="H1770" s="332">
        <v>201</v>
      </c>
      <c r="I1770" s="376">
        <v>1</v>
      </c>
      <c r="J1770" s="61" t="s">
        <v>39</v>
      </c>
      <c r="K1770" s="377"/>
      <c r="L1770" s="415" t="str">
        <f t="shared" si="360"/>
        <v>1grams</v>
      </c>
      <c r="M1770" s="456">
        <f t="shared" si="361"/>
        <v>201</v>
      </c>
      <c r="N1770" s="457" t="str">
        <f t="shared" si="358"/>
        <v>201grams</v>
      </c>
      <c r="O1770" s="418">
        <f t="shared" si="320"/>
        <v>4582.8</v>
      </c>
      <c r="P1770" s="419">
        <f t="shared" si="362"/>
        <v>22.8</v>
      </c>
      <c r="Q1770" s="419">
        <f t="shared" si="363"/>
        <v>0</v>
      </c>
      <c r="R1770" s="12"/>
      <c r="S1770" s="12"/>
      <c r="T1770" s="12"/>
      <c r="U1770" s="12"/>
      <c r="V1770" s="12"/>
      <c r="W1770" s="12"/>
      <c r="X1770" s="12"/>
      <c r="Y1770" s="12"/>
      <c r="Z1770" s="12"/>
    </row>
    <row r="1771" spans="1:26" ht="15.75" customHeight="1" x14ac:dyDescent="0.3">
      <c r="A1771" s="45">
        <v>162</v>
      </c>
      <c r="B1771" s="46" t="s">
        <v>768</v>
      </c>
      <c r="C1771" s="400" t="s">
        <v>2027</v>
      </c>
      <c r="D1771" s="239"/>
      <c r="E1771" s="96" t="s">
        <v>1945</v>
      </c>
      <c r="F1771" s="237"/>
      <c r="G1771" s="368">
        <v>105.84</v>
      </c>
      <c r="H1771" s="332">
        <v>1</v>
      </c>
      <c r="I1771" s="376">
        <v>1</v>
      </c>
      <c r="J1771" s="61" t="s">
        <v>213</v>
      </c>
      <c r="K1771" s="12"/>
      <c r="L1771" s="170"/>
      <c r="M1771" s="181"/>
      <c r="N1771" s="457" t="str">
        <f t="shared" si="358"/>
        <v>kilos</v>
      </c>
      <c r="O1771" s="418">
        <f t="shared" si="320"/>
        <v>105.84</v>
      </c>
      <c r="P1771" s="62"/>
      <c r="Q1771" s="62"/>
      <c r="R1771" s="12"/>
      <c r="S1771" s="12"/>
      <c r="T1771" s="12"/>
      <c r="U1771" s="12"/>
      <c r="V1771" s="12"/>
      <c r="W1771" s="12"/>
      <c r="X1771" s="12"/>
      <c r="Y1771" s="12"/>
      <c r="Z1771" s="12"/>
    </row>
    <row r="1772" spans="1:26" ht="15.75" customHeight="1" x14ac:dyDescent="0.3">
      <c r="A1772" s="45">
        <v>44</v>
      </c>
      <c r="B1772" s="46" t="s">
        <v>1998</v>
      </c>
      <c r="C1772" s="400" t="s">
        <v>2027</v>
      </c>
      <c r="D1772" s="239"/>
      <c r="E1772" s="46" t="s">
        <v>1999</v>
      </c>
      <c r="F1772" s="237"/>
      <c r="G1772" s="368">
        <v>26.35</v>
      </c>
      <c r="H1772" s="289">
        <v>6</v>
      </c>
      <c r="I1772" s="376">
        <v>1</v>
      </c>
      <c r="J1772" s="61" t="s">
        <v>92</v>
      </c>
      <c r="K1772" s="377"/>
      <c r="L1772" s="415" t="str">
        <f>CONCATENATE(I1772,J1772)</f>
        <v>1pieces</v>
      </c>
      <c r="M1772" s="456">
        <f>H1772*I1772</f>
        <v>6</v>
      </c>
      <c r="N1772" s="457" t="str">
        <f t="shared" si="358"/>
        <v>6pieces</v>
      </c>
      <c r="O1772" s="418">
        <f t="shared" si="320"/>
        <v>158.10000000000002</v>
      </c>
      <c r="P1772" s="419">
        <f t="shared" ref="P1772:P1773" si="364">O1772/H1772</f>
        <v>26.350000000000005</v>
      </c>
      <c r="Q1772" s="460">
        <f t="shared" ref="Q1772:Q1773" si="365">G1772-P1772</f>
        <v>0</v>
      </c>
      <c r="R1772" s="12"/>
      <c r="S1772" s="12"/>
      <c r="T1772" s="12"/>
      <c r="U1772" s="12"/>
      <c r="V1772" s="12"/>
      <c r="W1772" s="12"/>
      <c r="X1772" s="12"/>
      <c r="Y1772" s="12"/>
      <c r="Z1772" s="12"/>
    </row>
    <row r="1773" spans="1:26" ht="15.75" customHeight="1" x14ac:dyDescent="0.3">
      <c r="A1773" s="45">
        <v>91</v>
      </c>
      <c r="B1773" s="46" t="s">
        <v>2000</v>
      </c>
      <c r="C1773" s="400" t="s">
        <v>2027</v>
      </c>
      <c r="D1773" s="239"/>
      <c r="E1773" s="46" t="s">
        <v>1939</v>
      </c>
      <c r="F1773" s="237"/>
      <c r="G1773" s="368">
        <v>25.55</v>
      </c>
      <c r="H1773" s="289">
        <v>48</v>
      </c>
      <c r="I1773" s="376">
        <v>1</v>
      </c>
      <c r="J1773" s="61" t="s">
        <v>92</v>
      </c>
      <c r="K1773" s="377"/>
      <c r="L1773" s="61" t="s">
        <v>2029</v>
      </c>
      <c r="M1773" s="463" t="s">
        <v>2029</v>
      </c>
      <c r="N1773" s="464" t="s">
        <v>2029</v>
      </c>
      <c r="O1773" s="418">
        <f t="shared" si="320"/>
        <v>1226.4000000000001</v>
      </c>
      <c r="P1773" s="419">
        <f t="shared" si="364"/>
        <v>25.55</v>
      </c>
      <c r="Q1773" s="458">
        <f t="shared" si="365"/>
        <v>0</v>
      </c>
      <c r="R1773" s="12"/>
      <c r="S1773" s="12"/>
      <c r="T1773" s="12"/>
      <c r="U1773" s="12"/>
      <c r="V1773" s="12"/>
      <c r="W1773" s="12"/>
      <c r="X1773" s="12"/>
      <c r="Y1773" s="12"/>
      <c r="Z1773" s="12"/>
    </row>
    <row r="1774" spans="1:26" ht="15.75" customHeight="1" x14ac:dyDescent="0.3">
      <c r="A1774" s="45">
        <v>163</v>
      </c>
      <c r="B1774" s="46" t="s">
        <v>1661</v>
      </c>
      <c r="C1774" s="400" t="s">
        <v>2027</v>
      </c>
      <c r="D1774" s="239"/>
      <c r="E1774" s="46" t="s">
        <v>1945</v>
      </c>
      <c r="F1774" s="237"/>
      <c r="G1774" s="359">
        <v>260</v>
      </c>
      <c r="H1774" s="289">
        <v>0</v>
      </c>
      <c r="I1774" s="470">
        <v>1</v>
      </c>
      <c r="J1774" s="61" t="s">
        <v>213</v>
      </c>
      <c r="K1774" s="12"/>
      <c r="L1774" s="170"/>
      <c r="M1774" s="181"/>
      <c r="N1774" s="457" t="str">
        <f t="shared" ref="N1774:N1808" si="366">CONCATENATE(M1774,K1774,J1774)</f>
        <v>kilos</v>
      </c>
      <c r="O1774" s="418">
        <f t="shared" si="320"/>
        <v>0</v>
      </c>
      <c r="P1774" s="62"/>
      <c r="Q1774" s="62"/>
      <c r="R1774" s="12"/>
      <c r="S1774" s="12"/>
      <c r="T1774" s="12"/>
      <c r="U1774" s="12"/>
      <c r="V1774" s="12"/>
      <c r="W1774" s="12"/>
      <c r="X1774" s="12"/>
      <c r="Y1774" s="12"/>
      <c r="Z1774" s="12"/>
    </row>
    <row r="1775" spans="1:26" ht="15.75" customHeight="1" x14ac:dyDescent="0.3">
      <c r="A1775" s="45">
        <v>164</v>
      </c>
      <c r="B1775" s="46" t="s">
        <v>1663</v>
      </c>
      <c r="C1775" s="400" t="s">
        <v>2027</v>
      </c>
      <c r="D1775" s="239"/>
      <c r="E1775" s="46" t="s">
        <v>1945</v>
      </c>
      <c r="F1775" s="237"/>
      <c r="G1775" s="359">
        <v>95</v>
      </c>
      <c r="H1775" s="289">
        <v>0</v>
      </c>
      <c r="I1775" s="470">
        <v>1</v>
      </c>
      <c r="J1775" s="61" t="s">
        <v>213</v>
      </c>
      <c r="K1775" s="12"/>
      <c r="L1775" s="170"/>
      <c r="M1775" s="181"/>
      <c r="N1775" s="457" t="str">
        <f t="shared" si="366"/>
        <v>kilos</v>
      </c>
      <c r="O1775" s="418">
        <f t="shared" si="320"/>
        <v>0</v>
      </c>
      <c r="P1775" s="62"/>
      <c r="Q1775" s="62"/>
      <c r="R1775" s="12"/>
      <c r="S1775" s="12"/>
      <c r="T1775" s="12"/>
      <c r="U1775" s="12"/>
      <c r="V1775" s="12"/>
      <c r="W1775" s="12"/>
      <c r="X1775" s="12"/>
      <c r="Y1775" s="12"/>
      <c r="Z1775" s="12"/>
    </row>
    <row r="1776" spans="1:26" ht="15.75" customHeight="1" x14ac:dyDescent="0.3">
      <c r="A1776" s="45">
        <v>72</v>
      </c>
      <c r="B1776" s="46" t="s">
        <v>2001</v>
      </c>
      <c r="C1776" s="400" t="s">
        <v>2027</v>
      </c>
      <c r="D1776" s="239"/>
      <c r="E1776" s="46" t="s">
        <v>1947</v>
      </c>
      <c r="F1776" s="237"/>
      <c r="G1776" s="359">
        <v>27.7</v>
      </c>
      <c r="H1776" s="289">
        <v>18</v>
      </c>
      <c r="I1776" s="470">
        <v>1</v>
      </c>
      <c r="J1776" s="61" t="s">
        <v>304</v>
      </c>
      <c r="K1776" s="377"/>
      <c r="L1776" s="415" t="str">
        <f t="shared" ref="L1776:L1788" si="367">CONCATENATE(I1776,J1776)</f>
        <v>1packs</v>
      </c>
      <c r="M1776" s="456">
        <f>H1776*I1776</f>
        <v>18</v>
      </c>
      <c r="N1776" s="457" t="str">
        <f t="shared" si="366"/>
        <v>18packs</v>
      </c>
      <c r="O1776" s="418">
        <f t="shared" si="320"/>
        <v>498.59999999999997</v>
      </c>
      <c r="P1776" s="419">
        <f>O1776/H1776</f>
        <v>27.7</v>
      </c>
      <c r="Q1776" s="419">
        <f>G1776-P1776</f>
        <v>0</v>
      </c>
      <c r="R1776" s="12"/>
      <c r="S1776" s="12"/>
      <c r="T1776" s="12"/>
      <c r="U1776" s="12"/>
      <c r="V1776" s="12"/>
      <c r="W1776" s="12"/>
      <c r="X1776" s="12"/>
      <c r="Y1776" s="12"/>
      <c r="Z1776" s="12"/>
    </row>
    <row r="1777" spans="1:26" ht="15.75" customHeight="1" x14ac:dyDescent="0.3">
      <c r="A1777" s="45">
        <v>165</v>
      </c>
      <c r="B1777" s="46" t="s">
        <v>1667</v>
      </c>
      <c r="C1777" s="400" t="s">
        <v>2027</v>
      </c>
      <c r="D1777" s="170"/>
      <c r="E1777" s="46" t="s">
        <v>1945</v>
      </c>
      <c r="F1777" s="237"/>
      <c r="G1777" s="359">
        <v>120</v>
      </c>
      <c r="H1777" s="289">
        <v>1</v>
      </c>
      <c r="I1777" s="470">
        <v>1</v>
      </c>
      <c r="J1777" s="61" t="s">
        <v>213</v>
      </c>
      <c r="K1777" s="12"/>
      <c r="L1777" s="415" t="str">
        <f t="shared" si="367"/>
        <v>1kilos</v>
      </c>
      <c r="M1777" s="181"/>
      <c r="N1777" s="457" t="str">
        <f t="shared" si="366"/>
        <v>kilos</v>
      </c>
      <c r="O1777" s="418">
        <f t="shared" si="320"/>
        <v>120</v>
      </c>
      <c r="P1777" s="62"/>
      <c r="Q1777" s="62"/>
      <c r="R1777" s="12"/>
      <c r="S1777" s="12"/>
      <c r="T1777" s="12"/>
      <c r="U1777" s="12"/>
      <c r="V1777" s="12"/>
      <c r="W1777" s="12"/>
      <c r="X1777" s="12"/>
      <c r="Y1777" s="12"/>
      <c r="Z1777" s="12"/>
    </row>
    <row r="1778" spans="1:26" ht="15.75" customHeight="1" x14ac:dyDescent="0.3">
      <c r="A1778" s="45">
        <v>139</v>
      </c>
      <c r="B1778" s="46" t="s">
        <v>2002</v>
      </c>
      <c r="C1778" s="400" t="s">
        <v>2027</v>
      </c>
      <c r="D1778" s="170"/>
      <c r="E1778" s="46" t="s">
        <v>2003</v>
      </c>
      <c r="F1778" s="237"/>
      <c r="G1778" s="359">
        <v>5.85</v>
      </c>
      <c r="H1778" s="289">
        <v>60</v>
      </c>
      <c r="I1778" s="470">
        <v>1</v>
      </c>
      <c r="J1778" s="61" t="s">
        <v>92</v>
      </c>
      <c r="K1778" s="377"/>
      <c r="L1778" s="415" t="str">
        <f t="shared" si="367"/>
        <v>1pieces</v>
      </c>
      <c r="M1778" s="456">
        <f t="shared" ref="M1778:M1788" si="368">H1778*I1778</f>
        <v>60</v>
      </c>
      <c r="N1778" s="457" t="str">
        <f t="shared" si="366"/>
        <v>60pieces</v>
      </c>
      <c r="O1778" s="418">
        <f t="shared" si="320"/>
        <v>351</v>
      </c>
      <c r="P1778" s="419">
        <f t="shared" ref="P1778:P1788" si="369">O1778/H1778</f>
        <v>5.85</v>
      </c>
      <c r="Q1778" s="458">
        <f t="shared" ref="Q1778:Q1788" si="370">G1778-P1778</f>
        <v>0</v>
      </c>
      <c r="R1778" s="12"/>
      <c r="S1778" s="12"/>
      <c r="T1778" s="12"/>
      <c r="U1778" s="12"/>
      <c r="V1778" s="12"/>
      <c r="W1778" s="12"/>
      <c r="X1778" s="12"/>
      <c r="Y1778" s="12"/>
      <c r="Z1778" s="12"/>
    </row>
    <row r="1779" spans="1:26" ht="15.75" customHeight="1" x14ac:dyDescent="0.3">
      <c r="A1779" s="45">
        <v>140</v>
      </c>
      <c r="B1779" s="46" t="s">
        <v>2004</v>
      </c>
      <c r="C1779" s="400" t="s">
        <v>2027</v>
      </c>
      <c r="D1779" s="170"/>
      <c r="E1779" s="170"/>
      <c r="F1779" s="237"/>
      <c r="G1779" s="359">
        <v>15.3</v>
      </c>
      <c r="H1779" s="289">
        <v>25</v>
      </c>
      <c r="I1779" s="470">
        <v>1</v>
      </c>
      <c r="J1779" s="61" t="s">
        <v>92</v>
      </c>
      <c r="K1779" s="377"/>
      <c r="L1779" s="415" t="str">
        <f t="shared" si="367"/>
        <v>1pieces</v>
      </c>
      <c r="M1779" s="456">
        <f t="shared" si="368"/>
        <v>25</v>
      </c>
      <c r="N1779" s="457" t="str">
        <f t="shared" si="366"/>
        <v>25pieces</v>
      </c>
      <c r="O1779" s="418">
        <f t="shared" si="320"/>
        <v>382.5</v>
      </c>
      <c r="P1779" s="419">
        <f t="shared" si="369"/>
        <v>15.3</v>
      </c>
      <c r="Q1779" s="458">
        <f t="shared" si="370"/>
        <v>0</v>
      </c>
      <c r="R1779" s="12"/>
      <c r="S1779" s="12"/>
      <c r="T1779" s="12"/>
      <c r="U1779" s="12"/>
      <c r="V1779" s="12"/>
      <c r="W1779" s="12"/>
      <c r="X1779" s="12"/>
      <c r="Y1779" s="12"/>
      <c r="Z1779" s="12"/>
    </row>
    <row r="1780" spans="1:26" ht="15.75" customHeight="1" x14ac:dyDescent="0.3">
      <c r="A1780" s="45">
        <v>15</v>
      </c>
      <c r="B1780" s="46" t="s">
        <v>1735</v>
      </c>
      <c r="C1780" s="400" t="s">
        <v>2027</v>
      </c>
      <c r="D1780" s="170"/>
      <c r="E1780" s="47" t="s">
        <v>2005</v>
      </c>
      <c r="F1780" s="237"/>
      <c r="G1780" s="372">
        <v>16.16</v>
      </c>
      <c r="H1780" s="332">
        <v>60</v>
      </c>
      <c r="I1780" s="470">
        <v>1</v>
      </c>
      <c r="J1780" s="61" t="s">
        <v>92</v>
      </c>
      <c r="K1780" s="377"/>
      <c r="L1780" s="415" t="str">
        <f t="shared" si="367"/>
        <v>1pieces</v>
      </c>
      <c r="M1780" s="456">
        <f t="shared" si="368"/>
        <v>60</v>
      </c>
      <c r="N1780" s="457" t="str">
        <f t="shared" si="366"/>
        <v>60pieces</v>
      </c>
      <c r="O1780" s="418">
        <f t="shared" si="320"/>
        <v>969.6</v>
      </c>
      <c r="P1780" s="419">
        <f t="shared" si="369"/>
        <v>16.16</v>
      </c>
      <c r="Q1780" s="419">
        <f t="shared" si="370"/>
        <v>0</v>
      </c>
      <c r="R1780" s="12"/>
      <c r="S1780" s="12"/>
      <c r="T1780" s="12"/>
      <c r="U1780" s="12"/>
      <c r="V1780" s="12"/>
      <c r="W1780" s="12"/>
      <c r="X1780" s="12"/>
      <c r="Y1780" s="12"/>
      <c r="Z1780" s="12"/>
    </row>
    <row r="1781" spans="1:26" ht="15.75" customHeight="1" x14ac:dyDescent="0.3">
      <c r="A1781" s="45">
        <v>21</v>
      </c>
      <c r="B1781" s="46" t="s">
        <v>1735</v>
      </c>
      <c r="C1781" s="400" t="s">
        <v>2027</v>
      </c>
      <c r="D1781" s="170"/>
      <c r="E1781" s="96" t="s">
        <v>2006</v>
      </c>
      <c r="F1781" s="237"/>
      <c r="G1781" s="368">
        <v>10.16</v>
      </c>
      <c r="H1781" s="332">
        <v>31</v>
      </c>
      <c r="I1781" s="470">
        <v>1</v>
      </c>
      <c r="J1781" s="61" t="s">
        <v>92</v>
      </c>
      <c r="K1781" s="377"/>
      <c r="L1781" s="415" t="str">
        <f t="shared" si="367"/>
        <v>1pieces</v>
      </c>
      <c r="M1781" s="456">
        <f t="shared" si="368"/>
        <v>31</v>
      </c>
      <c r="N1781" s="457" t="str">
        <f t="shared" si="366"/>
        <v>31pieces</v>
      </c>
      <c r="O1781" s="418">
        <f t="shared" si="320"/>
        <v>314.95999999999998</v>
      </c>
      <c r="P1781" s="419">
        <f t="shared" si="369"/>
        <v>10.16</v>
      </c>
      <c r="Q1781" s="460">
        <f t="shared" si="370"/>
        <v>0</v>
      </c>
      <c r="R1781" s="12"/>
      <c r="S1781" s="12"/>
      <c r="T1781" s="12"/>
      <c r="U1781" s="12"/>
      <c r="V1781" s="12"/>
      <c r="W1781" s="12"/>
      <c r="X1781" s="12"/>
      <c r="Y1781" s="12"/>
      <c r="Z1781" s="12"/>
    </row>
    <row r="1782" spans="1:26" ht="15.75" customHeight="1" x14ac:dyDescent="0.3">
      <c r="A1782" s="45">
        <v>19</v>
      </c>
      <c r="B1782" s="46" t="s">
        <v>1735</v>
      </c>
      <c r="C1782" s="400" t="s">
        <v>2027</v>
      </c>
      <c r="D1782" s="170"/>
      <c r="E1782" s="96" t="s">
        <v>1736</v>
      </c>
      <c r="F1782" s="237"/>
      <c r="G1782" s="368">
        <v>16.8</v>
      </c>
      <c r="H1782" s="332">
        <v>46</v>
      </c>
      <c r="I1782" s="470">
        <v>1</v>
      </c>
      <c r="J1782" s="61" t="s">
        <v>92</v>
      </c>
      <c r="K1782" s="377"/>
      <c r="L1782" s="415" t="str">
        <f t="shared" si="367"/>
        <v>1pieces</v>
      </c>
      <c r="M1782" s="456">
        <f t="shared" si="368"/>
        <v>46</v>
      </c>
      <c r="N1782" s="457" t="str">
        <f t="shared" si="366"/>
        <v>46pieces</v>
      </c>
      <c r="O1782" s="418">
        <f t="shared" si="320"/>
        <v>772.80000000000007</v>
      </c>
      <c r="P1782" s="419">
        <f t="shared" si="369"/>
        <v>16.8</v>
      </c>
      <c r="Q1782" s="419">
        <f t="shared" si="370"/>
        <v>0</v>
      </c>
      <c r="R1782" s="12"/>
      <c r="S1782" s="12"/>
      <c r="T1782" s="12"/>
      <c r="U1782" s="12"/>
      <c r="V1782" s="12"/>
      <c r="W1782" s="12"/>
      <c r="X1782" s="12"/>
      <c r="Y1782" s="12"/>
      <c r="Z1782" s="12"/>
    </row>
    <row r="1783" spans="1:26" ht="15.75" customHeight="1" x14ac:dyDescent="0.3">
      <c r="A1783" s="45">
        <v>73</v>
      </c>
      <c r="B1783" s="46" t="s">
        <v>286</v>
      </c>
      <c r="C1783" s="400" t="s">
        <v>2027</v>
      </c>
      <c r="D1783" s="170"/>
      <c r="E1783" s="96" t="s">
        <v>1929</v>
      </c>
      <c r="F1783" s="237"/>
      <c r="G1783" s="368">
        <v>73</v>
      </c>
      <c r="H1783" s="332">
        <v>4</v>
      </c>
      <c r="I1783" s="470">
        <v>1</v>
      </c>
      <c r="J1783" s="61" t="s">
        <v>200</v>
      </c>
      <c r="K1783" s="377"/>
      <c r="L1783" s="415" t="str">
        <f t="shared" si="367"/>
        <v>1gal</v>
      </c>
      <c r="M1783" s="456">
        <f t="shared" si="368"/>
        <v>4</v>
      </c>
      <c r="N1783" s="457" t="str">
        <f t="shared" si="366"/>
        <v>4gal</v>
      </c>
      <c r="O1783" s="418">
        <f t="shared" si="320"/>
        <v>292</v>
      </c>
      <c r="P1783" s="419">
        <f t="shared" si="369"/>
        <v>73</v>
      </c>
      <c r="Q1783" s="458">
        <f t="shared" si="370"/>
        <v>0</v>
      </c>
      <c r="R1783" s="12"/>
      <c r="S1783" s="12"/>
      <c r="T1783" s="12"/>
      <c r="U1783" s="12"/>
      <c r="V1783" s="12"/>
      <c r="W1783" s="12"/>
      <c r="X1783" s="12"/>
      <c r="Y1783" s="12"/>
      <c r="Z1783" s="12"/>
    </row>
    <row r="1784" spans="1:26" ht="15.75" customHeight="1" x14ac:dyDescent="0.3">
      <c r="A1784" s="45">
        <v>141</v>
      </c>
      <c r="B1784" s="46" t="s">
        <v>2007</v>
      </c>
      <c r="C1784" s="400" t="s">
        <v>2027</v>
      </c>
      <c r="D1784" s="170"/>
      <c r="E1784" s="239"/>
      <c r="F1784" s="237"/>
      <c r="G1784" s="368">
        <v>23.45</v>
      </c>
      <c r="H1784" s="332">
        <v>2</v>
      </c>
      <c r="I1784" s="470">
        <v>1</v>
      </c>
      <c r="J1784" s="61" t="s">
        <v>92</v>
      </c>
      <c r="K1784" s="377"/>
      <c r="L1784" s="415" t="str">
        <f t="shared" si="367"/>
        <v>1pieces</v>
      </c>
      <c r="M1784" s="456">
        <f t="shared" si="368"/>
        <v>2</v>
      </c>
      <c r="N1784" s="457" t="str">
        <f t="shared" si="366"/>
        <v>2pieces</v>
      </c>
      <c r="O1784" s="418">
        <f t="shared" si="320"/>
        <v>46.9</v>
      </c>
      <c r="P1784" s="419">
        <f t="shared" si="369"/>
        <v>23.45</v>
      </c>
      <c r="Q1784" s="458">
        <f t="shared" si="370"/>
        <v>0</v>
      </c>
      <c r="R1784" s="12"/>
      <c r="S1784" s="12"/>
      <c r="T1784" s="12"/>
      <c r="U1784" s="12"/>
      <c r="V1784" s="12"/>
      <c r="W1784" s="12"/>
      <c r="X1784" s="12"/>
      <c r="Y1784" s="12"/>
      <c r="Z1784" s="12"/>
    </row>
    <row r="1785" spans="1:26" ht="15.75" customHeight="1" x14ac:dyDescent="0.3">
      <c r="A1785" s="45">
        <v>45</v>
      </c>
      <c r="B1785" s="46" t="s">
        <v>786</v>
      </c>
      <c r="C1785" s="400" t="s">
        <v>2027</v>
      </c>
      <c r="D1785" s="170"/>
      <c r="E1785" s="96" t="s">
        <v>1999</v>
      </c>
      <c r="F1785" s="237"/>
      <c r="G1785" s="368">
        <v>27.75</v>
      </c>
      <c r="H1785" s="332">
        <v>6</v>
      </c>
      <c r="I1785" s="470">
        <v>1</v>
      </c>
      <c r="J1785" s="61" t="s">
        <v>92</v>
      </c>
      <c r="K1785" s="377"/>
      <c r="L1785" s="415" t="str">
        <f t="shared" si="367"/>
        <v>1pieces</v>
      </c>
      <c r="M1785" s="456">
        <f t="shared" si="368"/>
        <v>6</v>
      </c>
      <c r="N1785" s="457" t="str">
        <f t="shared" si="366"/>
        <v>6pieces</v>
      </c>
      <c r="O1785" s="418">
        <f t="shared" si="320"/>
        <v>166.5</v>
      </c>
      <c r="P1785" s="419">
        <f t="shared" si="369"/>
        <v>27.75</v>
      </c>
      <c r="Q1785" s="460">
        <f t="shared" si="370"/>
        <v>0</v>
      </c>
      <c r="R1785" s="12"/>
      <c r="S1785" s="12"/>
      <c r="T1785" s="12"/>
      <c r="U1785" s="12"/>
      <c r="V1785" s="12"/>
      <c r="W1785" s="12"/>
      <c r="X1785" s="12"/>
      <c r="Y1785" s="12"/>
      <c r="Z1785" s="12"/>
    </row>
    <row r="1786" spans="1:26" ht="15.75" customHeight="1" x14ac:dyDescent="0.3">
      <c r="A1786" s="45">
        <v>13</v>
      </c>
      <c r="B1786" s="46" t="s">
        <v>83</v>
      </c>
      <c r="C1786" s="400" t="s">
        <v>2027</v>
      </c>
      <c r="D1786" s="170"/>
      <c r="E1786" s="96" t="s">
        <v>1792</v>
      </c>
      <c r="F1786" s="237"/>
      <c r="G1786" s="368">
        <v>82</v>
      </c>
      <c r="H1786" s="332">
        <v>17</v>
      </c>
      <c r="I1786" s="470">
        <v>1</v>
      </c>
      <c r="J1786" s="61" t="s">
        <v>213</v>
      </c>
      <c r="K1786" s="377"/>
      <c r="L1786" s="415" t="str">
        <f t="shared" si="367"/>
        <v>1kilos</v>
      </c>
      <c r="M1786" s="456">
        <f t="shared" si="368"/>
        <v>17</v>
      </c>
      <c r="N1786" s="457" t="str">
        <f t="shared" si="366"/>
        <v>17kilos</v>
      </c>
      <c r="O1786" s="418">
        <f t="shared" si="320"/>
        <v>1394</v>
      </c>
      <c r="P1786" s="419">
        <f t="shared" si="369"/>
        <v>82</v>
      </c>
      <c r="Q1786" s="458">
        <f t="shared" si="370"/>
        <v>0</v>
      </c>
      <c r="R1786" s="12"/>
      <c r="S1786" s="12"/>
      <c r="T1786" s="12"/>
      <c r="U1786" s="12"/>
      <c r="V1786" s="12"/>
      <c r="W1786" s="12"/>
      <c r="X1786" s="12"/>
      <c r="Y1786" s="12"/>
      <c r="Z1786" s="12"/>
    </row>
    <row r="1787" spans="1:26" ht="15.75" customHeight="1" x14ac:dyDescent="0.3">
      <c r="A1787" s="45">
        <v>14</v>
      </c>
      <c r="B1787" s="46" t="s">
        <v>84</v>
      </c>
      <c r="C1787" s="400" t="s">
        <v>2027</v>
      </c>
      <c r="D1787" s="170"/>
      <c r="E1787" s="96" t="s">
        <v>1792</v>
      </c>
      <c r="F1787" s="237"/>
      <c r="G1787" s="368">
        <v>85.5</v>
      </c>
      <c r="H1787" s="332">
        <v>7</v>
      </c>
      <c r="I1787" s="470">
        <v>1</v>
      </c>
      <c r="J1787" s="377" t="s">
        <v>213</v>
      </c>
      <c r="K1787" s="377"/>
      <c r="L1787" s="415" t="str">
        <f t="shared" si="367"/>
        <v>1kilos</v>
      </c>
      <c r="M1787" s="456">
        <f t="shared" si="368"/>
        <v>7</v>
      </c>
      <c r="N1787" s="457" t="str">
        <f t="shared" si="366"/>
        <v>7kilos</v>
      </c>
      <c r="O1787" s="418">
        <f t="shared" si="320"/>
        <v>598.5</v>
      </c>
      <c r="P1787" s="419">
        <f t="shared" si="369"/>
        <v>85.5</v>
      </c>
      <c r="Q1787" s="419">
        <f t="shared" si="370"/>
        <v>0</v>
      </c>
      <c r="R1787" s="12"/>
      <c r="S1787" s="12"/>
      <c r="T1787" s="12"/>
      <c r="U1787" s="12"/>
      <c r="V1787" s="12"/>
      <c r="W1787" s="12"/>
      <c r="X1787" s="12"/>
      <c r="Y1787" s="12"/>
      <c r="Z1787" s="12"/>
    </row>
    <row r="1788" spans="1:26" ht="15.75" customHeight="1" x14ac:dyDescent="0.3">
      <c r="A1788" s="45">
        <v>50</v>
      </c>
      <c r="B1788" s="46" t="s">
        <v>1802</v>
      </c>
      <c r="C1788" s="400" t="s">
        <v>2027</v>
      </c>
      <c r="D1788" s="170"/>
      <c r="E1788" s="96" t="s">
        <v>2008</v>
      </c>
      <c r="F1788" s="237"/>
      <c r="G1788" s="368">
        <v>65</v>
      </c>
      <c r="H1788" s="332">
        <v>12</v>
      </c>
      <c r="I1788" s="470">
        <v>1</v>
      </c>
      <c r="J1788" s="61" t="s">
        <v>213</v>
      </c>
      <c r="K1788" s="377"/>
      <c r="L1788" s="415" t="str">
        <f t="shared" si="367"/>
        <v>1kilos</v>
      </c>
      <c r="M1788" s="456">
        <f t="shared" si="368"/>
        <v>12</v>
      </c>
      <c r="N1788" s="457" t="str">
        <f t="shared" si="366"/>
        <v>12kilos</v>
      </c>
      <c r="O1788" s="418">
        <f t="shared" si="320"/>
        <v>780</v>
      </c>
      <c r="P1788" s="419">
        <f t="shared" si="369"/>
        <v>65</v>
      </c>
      <c r="Q1788" s="460">
        <f t="shared" si="370"/>
        <v>0</v>
      </c>
      <c r="R1788" s="12"/>
      <c r="S1788" s="12"/>
      <c r="T1788" s="12"/>
      <c r="U1788" s="12"/>
      <c r="V1788" s="12"/>
      <c r="W1788" s="12"/>
      <c r="X1788" s="12"/>
      <c r="Y1788" s="12"/>
      <c r="Z1788" s="12"/>
    </row>
    <row r="1789" spans="1:26" ht="15.75" customHeight="1" x14ac:dyDescent="0.3">
      <c r="A1789" s="45">
        <v>166</v>
      </c>
      <c r="B1789" s="46" t="s">
        <v>1808</v>
      </c>
      <c r="C1789" s="400" t="s">
        <v>2027</v>
      </c>
      <c r="D1789" s="170"/>
      <c r="E1789" s="96" t="s">
        <v>1945</v>
      </c>
      <c r="F1789" s="237"/>
      <c r="G1789" s="368">
        <v>85</v>
      </c>
      <c r="H1789" s="332">
        <v>0</v>
      </c>
      <c r="I1789" s="470">
        <v>1</v>
      </c>
      <c r="J1789" s="61" t="s">
        <v>213</v>
      </c>
      <c r="K1789" s="12"/>
      <c r="L1789" s="170"/>
      <c r="M1789" s="181"/>
      <c r="N1789" s="457" t="str">
        <f t="shared" si="366"/>
        <v>kilos</v>
      </c>
      <c r="O1789" s="418">
        <f t="shared" si="320"/>
        <v>0</v>
      </c>
      <c r="P1789" s="62"/>
      <c r="Q1789" s="62"/>
      <c r="R1789" s="12"/>
      <c r="S1789" s="12"/>
      <c r="T1789" s="12"/>
      <c r="U1789" s="12"/>
      <c r="V1789" s="12"/>
      <c r="W1789" s="12"/>
      <c r="X1789" s="12"/>
      <c r="Y1789" s="12"/>
      <c r="Z1789" s="12"/>
    </row>
    <row r="1790" spans="1:26" ht="15.75" customHeight="1" x14ac:dyDescent="0.3">
      <c r="A1790" s="45">
        <v>83</v>
      </c>
      <c r="B1790" s="46" t="s">
        <v>1809</v>
      </c>
      <c r="C1790" s="400" t="s">
        <v>2027</v>
      </c>
      <c r="D1790" s="170"/>
      <c r="E1790" s="96" t="s">
        <v>1928</v>
      </c>
      <c r="F1790" s="237"/>
      <c r="G1790" s="368">
        <v>265</v>
      </c>
      <c r="H1790" s="332">
        <v>8</v>
      </c>
      <c r="I1790" s="470">
        <v>1</v>
      </c>
      <c r="J1790" s="61" t="s">
        <v>213</v>
      </c>
      <c r="K1790" s="377"/>
      <c r="L1790" s="415" t="str">
        <f>CONCATENATE(I1790,J1790)</f>
        <v>1kilos</v>
      </c>
      <c r="M1790" s="456">
        <f>H1790*I1790</f>
        <v>8</v>
      </c>
      <c r="N1790" s="457" t="str">
        <f t="shared" si="366"/>
        <v>8kilos</v>
      </c>
      <c r="O1790" s="418">
        <f t="shared" si="320"/>
        <v>2120</v>
      </c>
      <c r="P1790" s="419">
        <f>O1790/H1790</f>
        <v>265</v>
      </c>
      <c r="Q1790" s="458">
        <f>G1790-P1790</f>
        <v>0</v>
      </c>
      <c r="R1790" s="12"/>
      <c r="S1790" s="12"/>
      <c r="T1790" s="12"/>
      <c r="U1790" s="12"/>
      <c r="V1790" s="12"/>
      <c r="W1790" s="12"/>
      <c r="X1790" s="12"/>
      <c r="Y1790" s="12"/>
      <c r="Z1790" s="12"/>
    </row>
    <row r="1791" spans="1:26" ht="15.75" customHeight="1" x14ac:dyDescent="0.3">
      <c r="A1791" s="45">
        <v>167</v>
      </c>
      <c r="B1791" s="46" t="s">
        <v>1810</v>
      </c>
      <c r="C1791" s="400" t="s">
        <v>2027</v>
      </c>
      <c r="D1791" s="170"/>
      <c r="E1791" s="96" t="s">
        <v>1945</v>
      </c>
      <c r="F1791" s="237"/>
      <c r="G1791" s="368">
        <v>10</v>
      </c>
      <c r="H1791" s="332">
        <v>1</v>
      </c>
      <c r="I1791" s="470">
        <v>1</v>
      </c>
      <c r="J1791" s="61" t="s">
        <v>213</v>
      </c>
      <c r="K1791" s="12"/>
      <c r="L1791" s="170"/>
      <c r="M1791" s="181"/>
      <c r="N1791" s="457" t="str">
        <f t="shared" si="366"/>
        <v>kilos</v>
      </c>
      <c r="O1791" s="418">
        <f t="shared" si="320"/>
        <v>10</v>
      </c>
      <c r="P1791" s="62"/>
      <c r="Q1791" s="62"/>
      <c r="R1791" s="12"/>
      <c r="S1791" s="12"/>
      <c r="T1791" s="12"/>
      <c r="U1791" s="12"/>
      <c r="V1791" s="12"/>
      <c r="W1791" s="12"/>
      <c r="X1791" s="12"/>
      <c r="Y1791" s="12"/>
      <c r="Z1791" s="12"/>
    </row>
    <row r="1792" spans="1:26" ht="15.75" customHeight="1" x14ac:dyDescent="0.3">
      <c r="A1792" s="45">
        <v>142</v>
      </c>
      <c r="B1792" s="46" t="s">
        <v>2009</v>
      </c>
      <c r="C1792" s="400" t="s">
        <v>2027</v>
      </c>
      <c r="D1792" s="170"/>
      <c r="E1792" s="239"/>
      <c r="F1792" s="237"/>
      <c r="G1792" s="368">
        <v>22.37</v>
      </c>
      <c r="H1792" s="332">
        <v>11</v>
      </c>
      <c r="I1792" s="470">
        <v>1</v>
      </c>
      <c r="J1792" s="61" t="s">
        <v>92</v>
      </c>
      <c r="K1792" s="377"/>
      <c r="L1792" s="415" t="str">
        <f t="shared" ref="L1792:L1798" si="371">CONCATENATE(I1792,J1792)</f>
        <v>1pieces</v>
      </c>
      <c r="M1792" s="456">
        <f t="shared" ref="M1792:M1798" si="372">H1792*I1792</f>
        <v>11</v>
      </c>
      <c r="N1792" s="457" t="str">
        <f t="shared" si="366"/>
        <v>11pieces</v>
      </c>
      <c r="O1792" s="418">
        <f t="shared" si="320"/>
        <v>246.07000000000002</v>
      </c>
      <c r="P1792" s="419">
        <f t="shared" ref="P1792:P1795" si="373">O1792/H1792</f>
        <v>22.37</v>
      </c>
      <c r="Q1792" s="458">
        <f t="shared" ref="Q1792:Q1798" si="374">G1792-P1792</f>
        <v>0</v>
      </c>
      <c r="R1792" s="12"/>
      <c r="S1792" s="12"/>
      <c r="T1792" s="12"/>
      <c r="U1792" s="12"/>
      <c r="V1792" s="12"/>
      <c r="W1792" s="12"/>
      <c r="X1792" s="12"/>
      <c r="Y1792" s="12"/>
      <c r="Z1792" s="12"/>
    </row>
    <row r="1793" spans="1:26" ht="15.75" customHeight="1" x14ac:dyDescent="0.3">
      <c r="A1793" s="45">
        <v>143</v>
      </c>
      <c r="B1793" s="46" t="s">
        <v>2010</v>
      </c>
      <c r="C1793" s="400" t="s">
        <v>2027</v>
      </c>
      <c r="D1793" s="170"/>
      <c r="E1793" s="239"/>
      <c r="F1793" s="237"/>
      <c r="G1793" s="368">
        <v>14.45</v>
      </c>
      <c r="H1793" s="332">
        <v>28</v>
      </c>
      <c r="I1793" s="470">
        <v>1</v>
      </c>
      <c r="J1793" s="61" t="s">
        <v>92</v>
      </c>
      <c r="K1793" s="377"/>
      <c r="L1793" s="415" t="str">
        <f t="shared" si="371"/>
        <v>1pieces</v>
      </c>
      <c r="M1793" s="456">
        <f t="shared" si="372"/>
        <v>28</v>
      </c>
      <c r="N1793" s="457" t="str">
        <f t="shared" si="366"/>
        <v>28pieces</v>
      </c>
      <c r="O1793" s="418">
        <f t="shared" si="320"/>
        <v>404.59999999999997</v>
      </c>
      <c r="P1793" s="419">
        <f t="shared" si="373"/>
        <v>14.45</v>
      </c>
      <c r="Q1793" s="458">
        <f t="shared" si="374"/>
        <v>0</v>
      </c>
      <c r="R1793" s="12"/>
      <c r="S1793" s="12"/>
      <c r="T1793" s="12"/>
      <c r="U1793" s="12"/>
      <c r="V1793" s="12"/>
      <c r="W1793" s="12"/>
      <c r="X1793" s="12"/>
      <c r="Y1793" s="12"/>
      <c r="Z1793" s="12"/>
    </row>
    <row r="1794" spans="1:26" ht="15.75" customHeight="1" x14ac:dyDescent="0.3">
      <c r="A1794" s="45">
        <v>84</v>
      </c>
      <c r="B1794" s="46" t="s">
        <v>2011</v>
      </c>
      <c r="C1794" s="400" t="s">
        <v>2027</v>
      </c>
      <c r="D1794" s="170"/>
      <c r="E1794" s="96" t="s">
        <v>1928</v>
      </c>
      <c r="F1794" s="237"/>
      <c r="G1794" s="368">
        <v>180</v>
      </c>
      <c r="H1794" s="332">
        <v>2</v>
      </c>
      <c r="I1794" s="470">
        <v>1</v>
      </c>
      <c r="J1794" s="61" t="s">
        <v>213</v>
      </c>
      <c r="K1794" s="377"/>
      <c r="L1794" s="415" t="str">
        <f t="shared" si="371"/>
        <v>1kilos</v>
      </c>
      <c r="M1794" s="456">
        <f t="shared" si="372"/>
        <v>2</v>
      </c>
      <c r="N1794" s="457" t="str">
        <f t="shared" si="366"/>
        <v>2kilos</v>
      </c>
      <c r="O1794" s="418">
        <f t="shared" ref="O1794:O1808" si="375">G1794*H1794</f>
        <v>360</v>
      </c>
      <c r="P1794" s="419">
        <f t="shared" si="373"/>
        <v>180</v>
      </c>
      <c r="Q1794" s="458">
        <f t="shared" si="374"/>
        <v>0</v>
      </c>
      <c r="R1794" s="12"/>
      <c r="S1794" s="12"/>
      <c r="T1794" s="12"/>
      <c r="U1794" s="12"/>
      <c r="V1794" s="12"/>
      <c r="W1794" s="12"/>
      <c r="X1794" s="12"/>
      <c r="Y1794" s="12"/>
      <c r="Z1794" s="12"/>
    </row>
    <row r="1795" spans="1:26" ht="15.75" customHeight="1" x14ac:dyDescent="0.3">
      <c r="A1795" s="45">
        <v>144</v>
      </c>
      <c r="B1795" s="46" t="s">
        <v>806</v>
      </c>
      <c r="C1795" s="400" t="s">
        <v>2027</v>
      </c>
      <c r="D1795" s="170"/>
      <c r="E1795" s="239"/>
      <c r="F1795" s="237"/>
      <c r="G1795" s="368">
        <v>21.45</v>
      </c>
      <c r="H1795" s="332">
        <v>4</v>
      </c>
      <c r="I1795" s="470">
        <v>1</v>
      </c>
      <c r="J1795" s="61" t="s">
        <v>92</v>
      </c>
      <c r="K1795" s="377"/>
      <c r="L1795" s="415" t="str">
        <f t="shared" si="371"/>
        <v>1pieces</v>
      </c>
      <c r="M1795" s="456">
        <f t="shared" si="372"/>
        <v>4</v>
      </c>
      <c r="N1795" s="457" t="str">
        <f t="shared" si="366"/>
        <v>4pieces</v>
      </c>
      <c r="O1795" s="418">
        <f t="shared" si="375"/>
        <v>85.8</v>
      </c>
      <c r="P1795" s="419">
        <f t="shared" si="373"/>
        <v>21.45</v>
      </c>
      <c r="Q1795" s="458">
        <f t="shared" si="374"/>
        <v>0</v>
      </c>
      <c r="R1795" s="12"/>
      <c r="S1795" s="12"/>
      <c r="T1795" s="12"/>
      <c r="U1795" s="12"/>
      <c r="V1795" s="12"/>
      <c r="W1795" s="12"/>
      <c r="X1795" s="12"/>
      <c r="Y1795" s="12"/>
      <c r="Z1795" s="12"/>
    </row>
    <row r="1796" spans="1:26" ht="15.75" customHeight="1" x14ac:dyDescent="0.3">
      <c r="A1796" s="45">
        <v>67</v>
      </c>
      <c r="B1796" s="46" t="s">
        <v>1825</v>
      </c>
      <c r="C1796" s="400" t="s">
        <v>2027</v>
      </c>
      <c r="D1796" s="170"/>
      <c r="E1796" s="96" t="s">
        <v>1994</v>
      </c>
      <c r="F1796" s="237"/>
      <c r="G1796" s="368">
        <v>36.520000000000003</v>
      </c>
      <c r="H1796" s="332">
        <v>2</v>
      </c>
      <c r="I1796" s="470">
        <v>1</v>
      </c>
      <c r="J1796" s="61" t="s">
        <v>304</v>
      </c>
      <c r="K1796" s="377"/>
      <c r="L1796" s="415" t="str">
        <f t="shared" si="371"/>
        <v>1packs</v>
      </c>
      <c r="M1796" s="456">
        <f t="shared" si="372"/>
        <v>2</v>
      </c>
      <c r="N1796" s="457" t="str">
        <f t="shared" si="366"/>
        <v>2packs</v>
      </c>
      <c r="O1796" s="418">
        <f t="shared" si="375"/>
        <v>73.040000000000006</v>
      </c>
      <c r="P1796" s="62"/>
      <c r="Q1796" s="419">
        <f t="shared" si="374"/>
        <v>36.520000000000003</v>
      </c>
      <c r="R1796" s="12"/>
      <c r="S1796" s="12"/>
      <c r="T1796" s="12"/>
      <c r="U1796" s="12"/>
      <c r="V1796" s="12"/>
      <c r="W1796" s="12"/>
      <c r="X1796" s="12"/>
      <c r="Y1796" s="12"/>
      <c r="Z1796" s="12"/>
    </row>
    <row r="1797" spans="1:26" ht="15.75" customHeight="1" x14ac:dyDescent="0.3">
      <c r="A1797" s="45">
        <v>145</v>
      </c>
      <c r="B1797" s="46" t="s">
        <v>1841</v>
      </c>
      <c r="C1797" s="400" t="s">
        <v>2027</v>
      </c>
      <c r="D1797" s="170"/>
      <c r="E1797" s="239"/>
      <c r="F1797" s="237"/>
      <c r="G1797" s="368">
        <v>5.68</v>
      </c>
      <c r="H1797" s="332">
        <v>57</v>
      </c>
      <c r="I1797" s="470">
        <v>1</v>
      </c>
      <c r="J1797" s="61" t="s">
        <v>92</v>
      </c>
      <c r="K1797" s="377"/>
      <c r="L1797" s="415" t="str">
        <f t="shared" si="371"/>
        <v>1pieces</v>
      </c>
      <c r="M1797" s="456">
        <f t="shared" si="372"/>
        <v>57</v>
      </c>
      <c r="N1797" s="457" t="str">
        <f t="shared" si="366"/>
        <v>57pieces</v>
      </c>
      <c r="O1797" s="418">
        <f t="shared" si="375"/>
        <v>323.76</v>
      </c>
      <c r="P1797" s="419">
        <f t="shared" ref="P1797:P1798" si="376">O1797/H1797</f>
        <v>5.68</v>
      </c>
      <c r="Q1797" s="458">
        <f t="shared" si="374"/>
        <v>0</v>
      </c>
      <c r="R1797" s="12"/>
      <c r="S1797" s="12"/>
      <c r="T1797" s="12"/>
      <c r="U1797" s="12"/>
      <c r="V1797" s="12"/>
      <c r="W1797" s="12"/>
      <c r="X1797" s="12"/>
      <c r="Y1797" s="12"/>
      <c r="Z1797" s="12"/>
    </row>
    <row r="1798" spans="1:26" ht="15.75" customHeight="1" x14ac:dyDescent="0.3">
      <c r="A1798" s="45">
        <v>85</v>
      </c>
      <c r="B1798" s="46" t="s">
        <v>808</v>
      </c>
      <c r="C1798" s="400" t="s">
        <v>2027</v>
      </c>
      <c r="D1798" s="170"/>
      <c r="E1798" s="96" t="s">
        <v>1928</v>
      </c>
      <c r="F1798" s="237"/>
      <c r="G1798" s="368">
        <v>155</v>
      </c>
      <c r="H1798" s="332">
        <v>10</v>
      </c>
      <c r="I1798" s="470">
        <v>1</v>
      </c>
      <c r="J1798" s="61" t="s">
        <v>213</v>
      </c>
      <c r="K1798" s="377"/>
      <c r="L1798" s="415" t="str">
        <f t="shared" si="371"/>
        <v>1kilos</v>
      </c>
      <c r="M1798" s="456">
        <f t="shared" si="372"/>
        <v>10</v>
      </c>
      <c r="N1798" s="457" t="str">
        <f t="shared" si="366"/>
        <v>10kilos</v>
      </c>
      <c r="O1798" s="418">
        <f t="shared" si="375"/>
        <v>1550</v>
      </c>
      <c r="P1798" s="419">
        <f t="shared" si="376"/>
        <v>155</v>
      </c>
      <c r="Q1798" s="458">
        <f t="shared" si="374"/>
        <v>0</v>
      </c>
      <c r="R1798" s="12"/>
      <c r="S1798" s="12"/>
      <c r="T1798" s="12"/>
      <c r="U1798" s="12"/>
      <c r="V1798" s="12"/>
      <c r="W1798" s="12"/>
      <c r="X1798" s="12"/>
      <c r="Y1798" s="12"/>
      <c r="Z1798" s="12"/>
    </row>
    <row r="1799" spans="1:26" ht="15.75" customHeight="1" x14ac:dyDescent="0.3">
      <c r="A1799" s="45">
        <v>168</v>
      </c>
      <c r="B1799" s="46" t="s">
        <v>1833</v>
      </c>
      <c r="C1799" s="400" t="s">
        <v>2027</v>
      </c>
      <c r="D1799" s="170"/>
      <c r="E1799" s="96" t="s">
        <v>1945</v>
      </c>
      <c r="F1799" s="237"/>
      <c r="G1799" s="368">
        <v>40</v>
      </c>
      <c r="H1799" s="332">
        <v>1</v>
      </c>
      <c r="I1799" s="470">
        <v>1</v>
      </c>
      <c r="J1799" s="61" t="s">
        <v>213</v>
      </c>
      <c r="K1799" s="12"/>
      <c r="L1799" s="170"/>
      <c r="M1799" s="181"/>
      <c r="N1799" s="457" t="str">
        <f t="shared" si="366"/>
        <v>kilos</v>
      </c>
      <c r="O1799" s="418">
        <f t="shared" si="375"/>
        <v>40</v>
      </c>
      <c r="P1799" s="62"/>
      <c r="Q1799" s="62"/>
      <c r="R1799" s="12"/>
      <c r="S1799" s="12"/>
      <c r="T1799" s="12"/>
      <c r="U1799" s="12"/>
      <c r="V1799" s="12"/>
      <c r="W1799" s="12"/>
      <c r="X1799" s="12"/>
      <c r="Y1799" s="12"/>
      <c r="Z1799" s="12"/>
    </row>
    <row r="1800" spans="1:26" ht="15.75" customHeight="1" x14ac:dyDescent="0.3">
      <c r="A1800" s="45">
        <v>74</v>
      </c>
      <c r="B1800" s="46" t="s">
        <v>288</v>
      </c>
      <c r="C1800" s="400" t="s">
        <v>2027</v>
      </c>
      <c r="D1800" s="170"/>
      <c r="E1800" s="96" t="s">
        <v>2012</v>
      </c>
      <c r="F1800" s="237"/>
      <c r="G1800" s="368">
        <v>27.5</v>
      </c>
      <c r="H1800" s="332">
        <v>15</v>
      </c>
      <c r="I1800" s="470">
        <v>1</v>
      </c>
      <c r="J1800" s="61" t="s">
        <v>304</v>
      </c>
      <c r="K1800" s="377"/>
      <c r="L1800" s="415" t="str">
        <f t="shared" ref="L1800:L1808" si="377">CONCATENATE(I1800,J1800)</f>
        <v>1packs</v>
      </c>
      <c r="M1800" s="456">
        <f t="shared" ref="M1800:M1808" si="378">H1800*I1800</f>
        <v>15</v>
      </c>
      <c r="N1800" s="457" t="str">
        <f t="shared" si="366"/>
        <v>15packs</v>
      </c>
      <c r="O1800" s="418">
        <f t="shared" si="375"/>
        <v>412.5</v>
      </c>
      <c r="P1800" s="419">
        <f t="shared" ref="P1800:P1808" si="379">O1800/H1800</f>
        <v>27.5</v>
      </c>
      <c r="Q1800" s="460">
        <f t="shared" ref="Q1800:Q1808" si="380">G1800-P1800</f>
        <v>0</v>
      </c>
      <c r="R1800" s="12"/>
      <c r="S1800" s="12"/>
      <c r="T1800" s="12"/>
      <c r="U1800" s="12"/>
      <c r="V1800" s="12"/>
      <c r="W1800" s="12"/>
      <c r="X1800" s="12"/>
      <c r="Y1800" s="12"/>
      <c r="Z1800" s="12"/>
    </row>
    <row r="1801" spans="1:26" ht="15.75" customHeight="1" x14ac:dyDescent="0.3">
      <c r="A1801" s="45">
        <v>75</v>
      </c>
      <c r="B1801" s="46" t="s">
        <v>290</v>
      </c>
      <c r="C1801" s="400" t="s">
        <v>2027</v>
      </c>
      <c r="D1801" s="170"/>
      <c r="E1801" s="96" t="s">
        <v>1929</v>
      </c>
      <c r="F1801" s="237"/>
      <c r="G1801" s="368">
        <v>135</v>
      </c>
      <c r="H1801" s="332">
        <v>1</v>
      </c>
      <c r="I1801" s="470">
        <v>1</v>
      </c>
      <c r="J1801" s="61" t="s">
        <v>200</v>
      </c>
      <c r="K1801" s="377"/>
      <c r="L1801" s="415" t="str">
        <f t="shared" si="377"/>
        <v>1gal</v>
      </c>
      <c r="M1801" s="456">
        <f t="shared" si="378"/>
        <v>1</v>
      </c>
      <c r="N1801" s="457" t="str">
        <f t="shared" si="366"/>
        <v>1gal</v>
      </c>
      <c r="O1801" s="418">
        <f t="shared" si="375"/>
        <v>135</v>
      </c>
      <c r="P1801" s="419">
        <f t="shared" si="379"/>
        <v>135</v>
      </c>
      <c r="Q1801" s="458">
        <f t="shared" si="380"/>
        <v>0</v>
      </c>
      <c r="R1801" s="12"/>
      <c r="S1801" s="12"/>
      <c r="T1801" s="12"/>
      <c r="U1801" s="12"/>
      <c r="V1801" s="12"/>
      <c r="W1801" s="12"/>
      <c r="X1801" s="12"/>
      <c r="Y1801" s="12"/>
      <c r="Z1801" s="12"/>
    </row>
    <row r="1802" spans="1:26" ht="15.75" customHeight="1" x14ac:dyDescent="0.3">
      <c r="A1802" s="45">
        <v>146</v>
      </c>
      <c r="B1802" s="46" t="s">
        <v>2013</v>
      </c>
      <c r="C1802" s="400" t="s">
        <v>2027</v>
      </c>
      <c r="D1802" s="170"/>
      <c r="E1802" s="239"/>
      <c r="F1802" s="237"/>
      <c r="G1802" s="368">
        <v>24.8</v>
      </c>
      <c r="H1802" s="332">
        <v>18</v>
      </c>
      <c r="I1802" s="470">
        <v>1</v>
      </c>
      <c r="J1802" s="61" t="s">
        <v>92</v>
      </c>
      <c r="K1802" s="377"/>
      <c r="L1802" s="415" t="str">
        <f t="shared" si="377"/>
        <v>1pieces</v>
      </c>
      <c r="M1802" s="456">
        <f t="shared" si="378"/>
        <v>18</v>
      </c>
      <c r="N1802" s="457" t="str">
        <f t="shared" si="366"/>
        <v>18pieces</v>
      </c>
      <c r="O1802" s="418">
        <f t="shared" si="375"/>
        <v>446.40000000000003</v>
      </c>
      <c r="P1802" s="419">
        <f t="shared" si="379"/>
        <v>24.8</v>
      </c>
      <c r="Q1802" s="458">
        <f t="shared" si="380"/>
        <v>0</v>
      </c>
      <c r="R1802" s="12"/>
      <c r="S1802" s="12"/>
      <c r="T1802" s="12"/>
      <c r="U1802" s="12"/>
      <c r="V1802" s="12"/>
      <c r="W1802" s="12"/>
      <c r="X1802" s="12"/>
      <c r="Y1802" s="12"/>
      <c r="Z1802" s="12"/>
    </row>
    <row r="1803" spans="1:26" ht="15.75" customHeight="1" x14ac:dyDescent="0.3">
      <c r="A1803" s="45">
        <v>98</v>
      </c>
      <c r="B1803" s="46" t="s">
        <v>338</v>
      </c>
      <c r="C1803" s="400" t="s">
        <v>2027</v>
      </c>
      <c r="D1803" s="170"/>
      <c r="E1803" s="96" t="s">
        <v>2014</v>
      </c>
      <c r="F1803" s="237"/>
      <c r="G1803" s="368">
        <v>16.2</v>
      </c>
      <c r="H1803" s="332">
        <v>12</v>
      </c>
      <c r="I1803" s="470">
        <v>1</v>
      </c>
      <c r="J1803" s="61" t="s">
        <v>92</v>
      </c>
      <c r="K1803" s="377"/>
      <c r="L1803" s="415" t="str">
        <f t="shared" si="377"/>
        <v>1pieces</v>
      </c>
      <c r="M1803" s="456">
        <f t="shared" si="378"/>
        <v>12</v>
      </c>
      <c r="N1803" s="457" t="str">
        <f t="shared" si="366"/>
        <v>12pieces</v>
      </c>
      <c r="O1803" s="418">
        <f t="shared" si="375"/>
        <v>194.39999999999998</v>
      </c>
      <c r="P1803" s="419">
        <f t="shared" si="379"/>
        <v>16.2</v>
      </c>
      <c r="Q1803" s="458">
        <f t="shared" si="380"/>
        <v>0</v>
      </c>
      <c r="R1803" s="12"/>
      <c r="S1803" s="12"/>
      <c r="T1803" s="12"/>
      <c r="U1803" s="12"/>
      <c r="V1803" s="12"/>
      <c r="W1803" s="12"/>
      <c r="X1803" s="12"/>
      <c r="Y1803" s="12"/>
      <c r="Z1803" s="12"/>
    </row>
    <row r="1804" spans="1:26" ht="15.75" customHeight="1" x14ac:dyDescent="0.3">
      <c r="A1804" s="45">
        <v>99</v>
      </c>
      <c r="B1804" s="46" t="s">
        <v>340</v>
      </c>
      <c r="C1804" s="400" t="s">
        <v>2027</v>
      </c>
      <c r="D1804" s="170"/>
      <c r="E1804" s="96" t="s">
        <v>2015</v>
      </c>
      <c r="F1804" s="237"/>
      <c r="G1804" s="368">
        <v>4.9800000000000004</v>
      </c>
      <c r="H1804" s="332">
        <v>12</v>
      </c>
      <c r="I1804" s="470">
        <v>1</v>
      </c>
      <c r="J1804" s="61" t="s">
        <v>92</v>
      </c>
      <c r="K1804" s="377"/>
      <c r="L1804" s="415" t="str">
        <f t="shared" si="377"/>
        <v>1pieces</v>
      </c>
      <c r="M1804" s="456">
        <f t="shared" si="378"/>
        <v>12</v>
      </c>
      <c r="N1804" s="457" t="str">
        <f t="shared" si="366"/>
        <v>12pieces</v>
      </c>
      <c r="O1804" s="418">
        <f t="shared" si="375"/>
        <v>59.760000000000005</v>
      </c>
      <c r="P1804" s="419">
        <f t="shared" si="379"/>
        <v>4.9800000000000004</v>
      </c>
      <c r="Q1804" s="458">
        <f t="shared" si="380"/>
        <v>0</v>
      </c>
      <c r="R1804" s="12"/>
      <c r="S1804" s="12"/>
      <c r="T1804" s="12"/>
      <c r="U1804" s="12"/>
      <c r="V1804" s="12"/>
      <c r="W1804" s="12"/>
      <c r="X1804" s="12"/>
      <c r="Y1804" s="12"/>
      <c r="Z1804" s="12"/>
    </row>
    <row r="1805" spans="1:26" ht="15.75" customHeight="1" x14ac:dyDescent="0.3">
      <c r="A1805" s="45">
        <v>46</v>
      </c>
      <c r="B1805" s="46" t="s">
        <v>2016</v>
      </c>
      <c r="C1805" s="400" t="s">
        <v>2027</v>
      </c>
      <c r="D1805" s="170"/>
      <c r="E1805" s="239"/>
      <c r="F1805" s="237"/>
      <c r="G1805" s="368">
        <v>6.95</v>
      </c>
      <c r="H1805" s="332">
        <v>60</v>
      </c>
      <c r="I1805" s="470">
        <v>1</v>
      </c>
      <c r="J1805" s="61" t="s">
        <v>92</v>
      </c>
      <c r="K1805" s="377"/>
      <c r="L1805" s="415" t="str">
        <f t="shared" si="377"/>
        <v>1pieces</v>
      </c>
      <c r="M1805" s="456">
        <f t="shared" si="378"/>
        <v>60</v>
      </c>
      <c r="N1805" s="457" t="str">
        <f t="shared" si="366"/>
        <v>60pieces</v>
      </c>
      <c r="O1805" s="418">
        <f t="shared" si="375"/>
        <v>417</v>
      </c>
      <c r="P1805" s="419">
        <f t="shared" si="379"/>
        <v>6.95</v>
      </c>
      <c r="Q1805" s="419">
        <f t="shared" si="380"/>
        <v>0</v>
      </c>
      <c r="R1805" s="12"/>
      <c r="S1805" s="12"/>
      <c r="T1805" s="12"/>
      <c r="U1805" s="12"/>
      <c r="V1805" s="12"/>
      <c r="W1805" s="12"/>
      <c r="X1805" s="12"/>
      <c r="Y1805" s="12"/>
      <c r="Z1805" s="12"/>
    </row>
    <row r="1806" spans="1:26" ht="15.75" customHeight="1" x14ac:dyDescent="0.3">
      <c r="A1806" s="45">
        <v>76</v>
      </c>
      <c r="B1806" s="46" t="s">
        <v>291</v>
      </c>
      <c r="C1806" s="400" t="s">
        <v>2027</v>
      </c>
      <c r="D1806" s="170"/>
      <c r="E1806" s="96" t="s">
        <v>1929</v>
      </c>
      <c r="F1806" s="237"/>
      <c r="G1806" s="368">
        <v>70</v>
      </c>
      <c r="H1806" s="332">
        <v>2</v>
      </c>
      <c r="I1806" s="470">
        <v>1</v>
      </c>
      <c r="J1806" s="61" t="s">
        <v>1948</v>
      </c>
      <c r="K1806" s="377"/>
      <c r="L1806" s="415" t="str">
        <f t="shared" si="377"/>
        <v>1bottle</v>
      </c>
      <c r="M1806" s="456">
        <f t="shared" si="378"/>
        <v>2</v>
      </c>
      <c r="N1806" s="457" t="str">
        <f t="shared" si="366"/>
        <v>2bottle</v>
      </c>
      <c r="O1806" s="418">
        <f t="shared" si="375"/>
        <v>140</v>
      </c>
      <c r="P1806" s="419">
        <f t="shared" si="379"/>
        <v>70</v>
      </c>
      <c r="Q1806" s="419">
        <f t="shared" si="380"/>
        <v>0</v>
      </c>
      <c r="R1806" s="12"/>
      <c r="S1806" s="12"/>
      <c r="T1806" s="12"/>
      <c r="U1806" s="12"/>
      <c r="V1806" s="12"/>
      <c r="W1806" s="12"/>
      <c r="X1806" s="12"/>
      <c r="Y1806" s="12"/>
      <c r="Z1806" s="12"/>
    </row>
    <row r="1807" spans="1:26" ht="15.75" customHeight="1" x14ac:dyDescent="0.3">
      <c r="A1807" s="45">
        <v>41</v>
      </c>
      <c r="B1807" s="46" t="s">
        <v>1870</v>
      </c>
      <c r="C1807" s="400" t="s">
        <v>2027</v>
      </c>
      <c r="D1807" s="170"/>
      <c r="E1807" s="96" t="s">
        <v>865</v>
      </c>
      <c r="F1807" s="237"/>
      <c r="G1807" s="368">
        <v>42.3</v>
      </c>
      <c r="H1807" s="332">
        <v>4</v>
      </c>
      <c r="I1807" s="470">
        <v>1</v>
      </c>
      <c r="J1807" s="61" t="s">
        <v>39</v>
      </c>
      <c r="K1807" s="377"/>
      <c r="L1807" s="415" t="str">
        <f t="shared" si="377"/>
        <v>1grams</v>
      </c>
      <c r="M1807" s="456">
        <f t="shared" si="378"/>
        <v>4</v>
      </c>
      <c r="N1807" s="457" t="str">
        <f t="shared" si="366"/>
        <v>4grams</v>
      </c>
      <c r="O1807" s="418">
        <f t="shared" si="375"/>
        <v>169.2</v>
      </c>
      <c r="P1807" s="419">
        <f t="shared" si="379"/>
        <v>42.3</v>
      </c>
      <c r="Q1807" s="419">
        <f t="shared" si="380"/>
        <v>0</v>
      </c>
      <c r="R1807" s="12"/>
      <c r="S1807" s="12"/>
      <c r="T1807" s="12"/>
      <c r="U1807" s="12"/>
      <c r="V1807" s="12"/>
      <c r="W1807" s="12"/>
      <c r="X1807" s="12"/>
      <c r="Y1807" s="12"/>
      <c r="Z1807" s="12"/>
    </row>
    <row r="1808" spans="1:26" ht="15.75" customHeight="1" x14ac:dyDescent="0.3">
      <c r="A1808" s="45">
        <v>22</v>
      </c>
      <c r="B1808" s="46" t="s">
        <v>2017</v>
      </c>
      <c r="C1808" s="400" t="s">
        <v>2027</v>
      </c>
      <c r="D1808" s="170"/>
      <c r="E1808" s="96" t="s">
        <v>2018</v>
      </c>
      <c r="F1808" s="237"/>
      <c r="G1808" s="368">
        <v>10</v>
      </c>
      <c r="H1808" s="332">
        <v>145</v>
      </c>
      <c r="I1808" s="470">
        <v>1</v>
      </c>
      <c r="J1808" s="61" t="s">
        <v>92</v>
      </c>
      <c r="K1808" s="377"/>
      <c r="L1808" s="415" t="str">
        <f t="shared" si="377"/>
        <v>1pieces</v>
      </c>
      <c r="M1808" s="456">
        <f t="shared" si="378"/>
        <v>145</v>
      </c>
      <c r="N1808" s="457" t="str">
        <f t="shared" si="366"/>
        <v>145pieces</v>
      </c>
      <c r="O1808" s="418">
        <f t="shared" si="375"/>
        <v>1450</v>
      </c>
      <c r="P1808" s="419">
        <f t="shared" si="379"/>
        <v>10</v>
      </c>
      <c r="Q1808" s="419">
        <f t="shared" si="380"/>
        <v>0</v>
      </c>
      <c r="R1808" s="12"/>
      <c r="S1808" s="12"/>
      <c r="T1808" s="12"/>
      <c r="U1808" s="12"/>
      <c r="V1808" s="12"/>
      <c r="W1808" s="12"/>
      <c r="X1808" s="12"/>
      <c r="Y1808" s="12"/>
      <c r="Z1808" s="12"/>
    </row>
    <row r="1809" spans="1:26" ht="15.75" customHeight="1" x14ac:dyDescent="0.3">
      <c r="A1809" s="45"/>
      <c r="B1809" s="46"/>
      <c r="C1809" s="400"/>
      <c r="D1809" s="170"/>
      <c r="E1809" s="46"/>
      <c r="F1809" s="170"/>
      <c r="G1809" s="288"/>
      <c r="H1809" s="289"/>
      <c r="I1809" s="472"/>
      <c r="J1809" s="48"/>
      <c r="K1809" s="473"/>
      <c r="L1809" s="45"/>
      <c r="M1809" s="124"/>
      <c r="N1809" s="125"/>
      <c r="O1809" s="125"/>
      <c r="P1809" s="12"/>
      <c r="Q1809" s="12"/>
      <c r="R1809" s="12"/>
      <c r="S1809" s="151"/>
      <c r="T1809" s="12"/>
      <c r="U1809" s="12"/>
      <c r="V1809" s="12"/>
      <c r="W1809" s="12"/>
      <c r="X1809" s="12"/>
      <c r="Y1809" s="12"/>
      <c r="Z1809" s="12"/>
    </row>
    <row r="1810" spans="1:26" ht="15.75" customHeight="1" x14ac:dyDescent="0.3">
      <c r="A1810" s="45"/>
      <c r="B1810" s="46"/>
      <c r="C1810" s="400"/>
      <c r="D1810" s="170"/>
      <c r="E1810" s="46"/>
      <c r="F1810" s="170"/>
      <c r="G1810" s="288"/>
      <c r="H1810" s="289"/>
      <c r="I1810" s="472"/>
      <c r="J1810" s="48"/>
      <c r="K1810" s="473"/>
      <c r="L1810" s="45"/>
      <c r="M1810" s="124"/>
      <c r="N1810" s="125"/>
      <c r="O1810" s="125"/>
      <c r="P1810" s="12"/>
      <c r="Q1810" s="12"/>
      <c r="R1810" s="12"/>
      <c r="S1810" s="151"/>
      <c r="T1810" s="12"/>
      <c r="U1810" s="12"/>
      <c r="V1810" s="12"/>
      <c r="W1810" s="12"/>
      <c r="X1810" s="12"/>
      <c r="Y1810" s="12"/>
      <c r="Z1810" s="12"/>
    </row>
    <row r="1811" spans="1:26" ht="15.75" customHeight="1" x14ac:dyDescent="0.3">
      <c r="A1811" s="45"/>
      <c r="B1811" s="46"/>
      <c r="C1811" s="400"/>
      <c r="D1811" s="170"/>
      <c r="E1811" s="46"/>
      <c r="F1811" s="170"/>
      <c r="G1811" s="288"/>
      <c r="H1811" s="289"/>
      <c r="I1811" s="472"/>
      <c r="J1811" s="48"/>
      <c r="K1811" s="473"/>
      <c r="L1811" s="45"/>
      <c r="M1811" s="124"/>
      <c r="N1811" s="125"/>
      <c r="O1811" s="125"/>
      <c r="P1811" s="12"/>
      <c r="Q1811" s="12"/>
      <c r="R1811" s="12"/>
      <c r="S1811" s="151"/>
      <c r="T1811" s="12"/>
      <c r="U1811" s="12"/>
      <c r="V1811" s="12"/>
      <c r="W1811" s="12"/>
      <c r="X1811" s="12"/>
      <c r="Y1811" s="12"/>
      <c r="Z1811" s="12"/>
    </row>
    <row r="1812" spans="1:26" ht="15.75" customHeight="1" x14ac:dyDescent="0.3">
      <c r="A1812" s="45"/>
      <c r="B1812" s="46"/>
      <c r="C1812" s="400"/>
      <c r="D1812" s="170"/>
      <c r="E1812" s="46"/>
      <c r="F1812" s="170"/>
      <c r="G1812" s="288"/>
      <c r="H1812" s="289"/>
      <c r="I1812" s="472"/>
      <c r="J1812" s="48"/>
      <c r="K1812" s="473"/>
      <c r="L1812" s="45"/>
      <c r="M1812" s="124"/>
      <c r="N1812" s="125"/>
      <c r="O1812" s="125"/>
      <c r="P1812" s="12"/>
      <c r="Q1812" s="12"/>
      <c r="R1812" s="12"/>
      <c r="S1812" s="151"/>
      <c r="T1812" s="12"/>
      <c r="U1812" s="12"/>
      <c r="V1812" s="12"/>
      <c r="W1812" s="12"/>
      <c r="X1812" s="12"/>
      <c r="Y1812" s="12"/>
      <c r="Z1812" s="12"/>
    </row>
    <row r="1813" spans="1:26" ht="15.75" customHeight="1" x14ac:dyDescent="0.3">
      <c r="A1813" s="45"/>
      <c r="B1813" s="46"/>
      <c r="C1813" s="400"/>
      <c r="D1813" s="170"/>
      <c r="E1813" s="46"/>
      <c r="F1813" s="170"/>
      <c r="G1813" s="288"/>
      <c r="H1813" s="289"/>
      <c r="I1813" s="472"/>
      <c r="J1813" s="48"/>
      <c r="K1813" s="473"/>
      <c r="L1813" s="45"/>
      <c r="M1813" s="124"/>
      <c r="N1813" s="125"/>
      <c r="O1813" s="125"/>
      <c r="P1813" s="12"/>
      <c r="Q1813" s="12"/>
      <c r="R1813" s="12"/>
      <c r="S1813" s="151"/>
      <c r="T1813" s="12"/>
      <c r="U1813" s="12"/>
      <c r="V1813" s="12"/>
      <c r="W1813" s="12"/>
      <c r="X1813" s="12"/>
      <c r="Y1813" s="12"/>
      <c r="Z1813" s="12"/>
    </row>
    <row r="1814" spans="1:26" ht="15.75" customHeight="1" x14ac:dyDescent="0.3">
      <c r="A1814" s="45"/>
      <c r="B1814" s="46"/>
      <c r="C1814" s="400"/>
      <c r="D1814" s="170"/>
      <c r="E1814" s="46"/>
      <c r="F1814" s="170"/>
      <c r="G1814" s="288"/>
      <c r="H1814" s="289"/>
      <c r="I1814" s="472"/>
      <c r="J1814" s="48"/>
      <c r="K1814" s="473"/>
      <c r="L1814" s="45"/>
      <c r="M1814" s="124"/>
      <c r="N1814" s="125"/>
      <c r="O1814" s="125"/>
      <c r="P1814" s="12"/>
      <c r="Q1814" s="12"/>
      <c r="R1814" s="12"/>
      <c r="S1814" s="151"/>
      <c r="T1814" s="12"/>
      <c r="U1814" s="12"/>
      <c r="V1814" s="12"/>
      <c r="W1814" s="12"/>
      <c r="X1814" s="12"/>
      <c r="Y1814" s="12"/>
      <c r="Z1814" s="12"/>
    </row>
    <row r="1815" spans="1:26" ht="15.75" customHeight="1" x14ac:dyDescent="0.3">
      <c r="A1815" s="45"/>
      <c r="B1815" s="46"/>
      <c r="C1815" s="400"/>
      <c r="D1815" s="170"/>
      <c r="E1815" s="46"/>
      <c r="F1815" s="170"/>
      <c r="G1815" s="288"/>
      <c r="H1815" s="289"/>
      <c r="I1815" s="472"/>
      <c r="J1815" s="48"/>
      <c r="K1815" s="473"/>
      <c r="L1815" s="45"/>
      <c r="M1815" s="124"/>
      <c r="N1815" s="125"/>
      <c r="O1815" s="125"/>
      <c r="P1815" s="12"/>
      <c r="Q1815" s="12"/>
      <c r="R1815" s="12"/>
      <c r="S1815" s="151"/>
      <c r="T1815" s="12"/>
      <c r="U1815" s="12"/>
      <c r="V1815" s="12"/>
      <c r="W1815" s="12"/>
      <c r="X1815" s="12"/>
      <c r="Y1815" s="12"/>
      <c r="Z1815" s="12"/>
    </row>
    <row r="1816" spans="1:26" ht="15.75" customHeight="1" x14ac:dyDescent="0.3">
      <c r="A1816" s="45"/>
      <c r="B1816" s="46"/>
      <c r="C1816" s="400"/>
      <c r="D1816" s="170"/>
      <c r="E1816" s="46"/>
      <c r="F1816" s="170"/>
      <c r="G1816" s="288"/>
      <c r="H1816" s="289"/>
      <c r="I1816" s="472"/>
      <c r="J1816" s="48"/>
      <c r="K1816" s="473"/>
      <c r="L1816" s="45"/>
      <c r="M1816" s="124"/>
      <c r="N1816" s="125"/>
      <c r="O1816" s="125"/>
      <c r="P1816" s="12"/>
      <c r="Q1816" s="12"/>
      <c r="R1816" s="12"/>
      <c r="S1816" s="151"/>
      <c r="T1816" s="12"/>
      <c r="U1816" s="12"/>
      <c r="V1816" s="12"/>
      <c r="W1816" s="12"/>
      <c r="X1816" s="12"/>
      <c r="Y1816" s="12"/>
      <c r="Z1816" s="12"/>
    </row>
    <row r="1817" spans="1:26" ht="15.75" customHeight="1" x14ac:dyDescent="0.3">
      <c r="A1817" s="45"/>
      <c r="B1817" s="46"/>
      <c r="C1817" s="400"/>
      <c r="D1817" s="170"/>
      <c r="E1817" s="46"/>
      <c r="F1817" s="170"/>
      <c r="G1817" s="288"/>
      <c r="H1817" s="289"/>
      <c r="I1817" s="472"/>
      <c r="J1817" s="48"/>
      <c r="K1817" s="473"/>
      <c r="L1817" s="45"/>
      <c r="M1817" s="124"/>
      <c r="N1817" s="125"/>
      <c r="O1817" s="125"/>
      <c r="P1817" s="12"/>
      <c r="Q1817" s="12"/>
      <c r="R1817" s="12"/>
      <c r="S1817" s="151"/>
      <c r="T1817" s="12"/>
      <c r="U1817" s="12"/>
      <c r="V1817" s="12"/>
      <c r="W1817" s="12"/>
      <c r="X1817" s="12"/>
      <c r="Y1817" s="12"/>
      <c r="Z1817" s="12"/>
    </row>
    <row r="1818" spans="1:26" ht="15.75" customHeight="1" x14ac:dyDescent="0.3">
      <c r="A1818" s="45"/>
      <c r="B1818" s="46"/>
      <c r="C1818" s="400"/>
      <c r="D1818" s="170"/>
      <c r="E1818" s="46"/>
      <c r="F1818" s="170"/>
      <c r="G1818" s="288"/>
      <c r="H1818" s="289"/>
      <c r="I1818" s="472"/>
      <c r="J1818" s="48"/>
      <c r="K1818" s="473"/>
      <c r="L1818" s="45"/>
      <c r="M1818" s="124"/>
      <c r="N1818" s="125"/>
      <c r="O1818" s="125"/>
      <c r="P1818" s="12"/>
      <c r="Q1818" s="12"/>
      <c r="R1818" s="12"/>
      <c r="S1818" s="151"/>
      <c r="T1818" s="12"/>
      <c r="U1818" s="12"/>
      <c r="V1818" s="12"/>
      <c r="W1818" s="12"/>
      <c r="X1818" s="12"/>
      <c r="Y1818" s="12"/>
      <c r="Z1818" s="12"/>
    </row>
    <row r="1819" spans="1:26" ht="15.75" customHeight="1" x14ac:dyDescent="0.3">
      <c r="A1819" s="45"/>
      <c r="B1819" s="46"/>
      <c r="C1819" s="400"/>
      <c r="D1819" s="170"/>
      <c r="E1819" s="46"/>
      <c r="F1819" s="170"/>
      <c r="G1819" s="288"/>
      <c r="H1819" s="289"/>
      <c r="I1819" s="472"/>
      <c r="J1819" s="48"/>
      <c r="K1819" s="473"/>
      <c r="L1819" s="45"/>
      <c r="M1819" s="124"/>
      <c r="N1819" s="125"/>
      <c r="O1819" s="125"/>
      <c r="P1819" s="12"/>
      <c r="Q1819" s="12"/>
      <c r="R1819" s="12"/>
      <c r="S1819" s="151"/>
      <c r="T1819" s="12"/>
      <c r="U1819" s="12"/>
      <c r="V1819" s="12"/>
      <c r="W1819" s="12"/>
      <c r="X1819" s="12"/>
      <c r="Y1819" s="12"/>
      <c r="Z1819" s="12"/>
    </row>
    <row r="1820" spans="1:26" ht="15.75" customHeight="1" x14ac:dyDescent="0.3">
      <c r="A1820" s="45"/>
      <c r="B1820" s="46"/>
      <c r="C1820" s="400"/>
      <c r="D1820" s="170"/>
      <c r="E1820" s="46"/>
      <c r="F1820" s="170"/>
      <c r="G1820" s="288"/>
      <c r="H1820" s="289"/>
      <c r="I1820" s="472"/>
      <c r="J1820" s="48"/>
      <c r="K1820" s="473"/>
      <c r="L1820" s="45"/>
      <c r="M1820" s="124"/>
      <c r="N1820" s="125"/>
      <c r="O1820" s="125"/>
      <c r="P1820" s="12"/>
      <c r="Q1820" s="12"/>
      <c r="R1820" s="12"/>
      <c r="S1820" s="151"/>
      <c r="T1820" s="12"/>
      <c r="U1820" s="12"/>
      <c r="V1820" s="12"/>
      <c r="W1820" s="12"/>
      <c r="X1820" s="12"/>
      <c r="Y1820" s="12"/>
      <c r="Z1820" s="12"/>
    </row>
    <row r="1821" spans="1:26" ht="15.75" customHeight="1" x14ac:dyDescent="0.3">
      <c r="A1821" s="45"/>
      <c r="B1821" s="46"/>
      <c r="C1821" s="400"/>
      <c r="D1821" s="170"/>
      <c r="E1821" s="46"/>
      <c r="F1821" s="170"/>
      <c r="G1821" s="288"/>
      <c r="H1821" s="289"/>
      <c r="I1821" s="472"/>
      <c r="J1821" s="48"/>
      <c r="K1821" s="473"/>
      <c r="L1821" s="45"/>
      <c r="M1821" s="124"/>
      <c r="N1821" s="125"/>
      <c r="O1821" s="125"/>
      <c r="P1821" s="12"/>
      <c r="Q1821" s="12"/>
      <c r="R1821" s="12"/>
      <c r="S1821" s="151"/>
      <c r="T1821" s="12"/>
      <c r="U1821" s="12"/>
      <c r="V1821" s="12"/>
      <c r="W1821" s="12"/>
      <c r="X1821" s="12"/>
      <c r="Y1821" s="12"/>
      <c r="Z1821" s="12"/>
    </row>
    <row r="1822" spans="1:26" ht="15.75" customHeight="1" x14ac:dyDescent="0.3">
      <c r="A1822" s="45"/>
      <c r="B1822" s="46"/>
      <c r="C1822" s="400"/>
      <c r="D1822" s="170"/>
      <c r="E1822" s="46"/>
      <c r="F1822" s="170"/>
      <c r="G1822" s="288"/>
      <c r="H1822" s="289"/>
      <c r="I1822" s="472"/>
      <c r="J1822" s="48"/>
      <c r="K1822" s="473"/>
      <c r="L1822" s="45"/>
      <c r="M1822" s="124"/>
      <c r="N1822" s="125"/>
      <c r="O1822" s="125"/>
      <c r="P1822" s="12"/>
      <c r="Q1822" s="12"/>
      <c r="R1822" s="12"/>
      <c r="S1822" s="151"/>
      <c r="T1822" s="12"/>
      <c r="U1822" s="12"/>
      <c r="V1822" s="12"/>
      <c r="W1822" s="12"/>
      <c r="X1822" s="12"/>
      <c r="Y1822" s="12"/>
      <c r="Z1822" s="12"/>
    </row>
    <row r="1823" spans="1:26" ht="15.75" customHeight="1" x14ac:dyDescent="0.3">
      <c r="A1823" s="45"/>
      <c r="B1823" s="46"/>
      <c r="C1823" s="400"/>
      <c r="D1823" s="170"/>
      <c r="E1823" s="46"/>
      <c r="F1823" s="170"/>
      <c r="G1823" s="288"/>
      <c r="H1823" s="289"/>
      <c r="I1823" s="472"/>
      <c r="J1823" s="48"/>
      <c r="K1823" s="473"/>
      <c r="L1823" s="45"/>
      <c r="M1823" s="124"/>
      <c r="N1823" s="125"/>
      <c r="O1823" s="125"/>
      <c r="P1823" s="12"/>
      <c r="Q1823" s="12"/>
      <c r="R1823" s="12"/>
      <c r="S1823" s="151"/>
      <c r="T1823" s="12"/>
      <c r="U1823" s="12"/>
      <c r="V1823" s="12"/>
      <c r="W1823" s="12"/>
      <c r="X1823" s="12"/>
      <c r="Y1823" s="12"/>
      <c r="Z1823" s="12"/>
    </row>
    <row r="1824" spans="1:26" ht="15.75" customHeight="1" x14ac:dyDescent="0.3">
      <c r="A1824" s="45"/>
      <c r="B1824" s="46"/>
      <c r="C1824" s="400"/>
      <c r="D1824" s="170"/>
      <c r="E1824" s="46"/>
      <c r="F1824" s="170"/>
      <c r="G1824" s="288"/>
      <c r="H1824" s="289"/>
      <c r="I1824" s="472"/>
      <c r="J1824" s="48"/>
      <c r="K1824" s="473"/>
      <c r="L1824" s="45"/>
      <c r="M1824" s="124"/>
      <c r="N1824" s="125"/>
      <c r="O1824" s="125"/>
      <c r="P1824" s="12"/>
      <c r="Q1824" s="12"/>
      <c r="R1824" s="12"/>
      <c r="S1824" s="151"/>
      <c r="T1824" s="12"/>
      <c r="U1824" s="12"/>
      <c r="V1824" s="12"/>
      <c r="W1824" s="12"/>
      <c r="X1824" s="12"/>
      <c r="Y1824" s="12"/>
      <c r="Z1824" s="12"/>
    </row>
    <row r="1825" spans="1:26" ht="15.75" customHeight="1" x14ac:dyDescent="0.3">
      <c r="A1825" s="45"/>
      <c r="B1825" s="46"/>
      <c r="C1825" s="400"/>
      <c r="D1825" s="170"/>
      <c r="E1825" s="46"/>
      <c r="F1825" s="170"/>
      <c r="G1825" s="288"/>
      <c r="H1825" s="289"/>
      <c r="I1825" s="472"/>
      <c r="J1825" s="48"/>
      <c r="K1825" s="473"/>
      <c r="L1825" s="45"/>
      <c r="M1825" s="124"/>
      <c r="N1825" s="125"/>
      <c r="O1825" s="125"/>
      <c r="P1825" s="12"/>
      <c r="Q1825" s="12"/>
      <c r="R1825" s="12"/>
      <c r="S1825" s="151"/>
      <c r="T1825" s="12"/>
      <c r="U1825" s="12"/>
      <c r="V1825" s="12"/>
      <c r="W1825" s="12"/>
      <c r="X1825" s="12"/>
      <c r="Y1825" s="12"/>
      <c r="Z1825" s="12"/>
    </row>
    <row r="1826" spans="1:26" ht="15.75" customHeight="1" x14ac:dyDescent="0.3">
      <c r="A1826" s="45"/>
      <c r="B1826" s="46"/>
      <c r="C1826" s="400"/>
      <c r="D1826" s="170"/>
      <c r="E1826" s="46"/>
      <c r="F1826" s="170"/>
      <c r="G1826" s="288"/>
      <c r="H1826" s="289"/>
      <c r="I1826" s="472"/>
      <c r="J1826" s="48"/>
      <c r="K1826" s="473"/>
      <c r="L1826" s="45"/>
      <c r="M1826" s="124"/>
      <c r="N1826" s="125"/>
      <c r="O1826" s="125"/>
      <c r="P1826" s="12"/>
      <c r="Q1826" s="12"/>
      <c r="R1826" s="12"/>
      <c r="S1826" s="151"/>
      <c r="T1826" s="12"/>
      <c r="U1826" s="12"/>
      <c r="V1826" s="12"/>
      <c r="W1826" s="12"/>
      <c r="X1826" s="12"/>
      <c r="Y1826" s="12"/>
      <c r="Z1826" s="12"/>
    </row>
    <row r="1827" spans="1:26" ht="15.75" customHeight="1" x14ac:dyDescent="0.3">
      <c r="A1827" s="45"/>
      <c r="B1827" s="46"/>
      <c r="C1827" s="400"/>
      <c r="D1827" s="170"/>
      <c r="E1827" s="46"/>
      <c r="F1827" s="170"/>
      <c r="G1827" s="288"/>
      <c r="H1827" s="289"/>
      <c r="I1827" s="472"/>
      <c r="J1827" s="48"/>
      <c r="K1827" s="473"/>
      <c r="L1827" s="45"/>
      <c r="M1827" s="124"/>
      <c r="N1827" s="125"/>
      <c r="O1827" s="125"/>
      <c r="P1827" s="12"/>
      <c r="Q1827" s="12"/>
      <c r="R1827" s="12"/>
      <c r="S1827" s="151"/>
      <c r="T1827" s="12"/>
      <c r="U1827" s="12"/>
      <c r="V1827" s="12"/>
      <c r="W1827" s="12"/>
      <c r="X1827" s="12"/>
      <c r="Y1827" s="12"/>
      <c r="Z1827" s="12"/>
    </row>
    <row r="1828" spans="1:26" ht="15.75" customHeight="1" x14ac:dyDescent="0.3">
      <c r="A1828" s="45"/>
      <c r="B1828" s="46"/>
      <c r="C1828" s="400"/>
      <c r="D1828" s="170"/>
      <c r="E1828" s="46"/>
      <c r="F1828" s="170"/>
      <c r="G1828" s="288"/>
      <c r="H1828" s="289"/>
      <c r="I1828" s="472"/>
      <c r="J1828" s="48"/>
      <c r="K1828" s="473"/>
      <c r="L1828" s="45"/>
      <c r="M1828" s="124"/>
      <c r="N1828" s="125"/>
      <c r="O1828" s="125"/>
      <c r="P1828" s="12"/>
      <c r="Q1828" s="12"/>
      <c r="R1828" s="12"/>
      <c r="S1828" s="151"/>
      <c r="T1828" s="12"/>
      <c r="U1828" s="12"/>
      <c r="V1828" s="12"/>
      <c r="W1828" s="12"/>
      <c r="X1828" s="12"/>
      <c r="Y1828" s="12"/>
      <c r="Z1828" s="12"/>
    </row>
    <row r="1829" spans="1:26" ht="15.75" customHeight="1" x14ac:dyDescent="0.3">
      <c r="A1829" s="45"/>
      <c r="B1829" s="46"/>
      <c r="C1829" s="400"/>
      <c r="D1829" s="170"/>
      <c r="E1829" s="46"/>
      <c r="F1829" s="170"/>
      <c r="G1829" s="288"/>
      <c r="H1829" s="289"/>
      <c r="I1829" s="472"/>
      <c r="J1829" s="48"/>
      <c r="K1829" s="473"/>
      <c r="L1829" s="45"/>
      <c r="M1829" s="124"/>
      <c r="N1829" s="125"/>
      <c r="O1829" s="125"/>
      <c r="P1829" s="12"/>
      <c r="Q1829" s="12"/>
      <c r="R1829" s="12"/>
      <c r="S1829" s="151"/>
      <c r="T1829" s="12"/>
      <c r="U1829" s="12"/>
      <c r="V1829" s="12"/>
      <c r="W1829" s="12"/>
      <c r="X1829" s="12"/>
      <c r="Y1829" s="12"/>
      <c r="Z1829" s="12"/>
    </row>
    <row r="1830" spans="1:26" ht="15.75" customHeight="1" x14ac:dyDescent="0.3">
      <c r="A1830" s="45"/>
      <c r="B1830" s="46"/>
      <c r="C1830" s="400"/>
      <c r="D1830" s="170"/>
      <c r="E1830" s="46"/>
      <c r="F1830" s="170"/>
      <c r="G1830" s="288"/>
      <c r="H1830" s="289"/>
      <c r="I1830" s="472"/>
      <c r="J1830" s="48"/>
      <c r="K1830" s="473"/>
      <c r="L1830" s="45"/>
      <c r="M1830" s="124"/>
      <c r="N1830" s="125"/>
      <c r="O1830" s="125"/>
      <c r="P1830" s="12"/>
      <c r="Q1830" s="12"/>
      <c r="R1830" s="12"/>
      <c r="S1830" s="151"/>
      <c r="T1830" s="12"/>
      <c r="U1830" s="12"/>
      <c r="V1830" s="12"/>
      <c r="W1830" s="12"/>
      <c r="X1830" s="12"/>
      <c r="Y1830" s="12"/>
      <c r="Z1830" s="12"/>
    </row>
    <row r="1831" spans="1:26" ht="15.75" customHeight="1" x14ac:dyDescent="0.3">
      <c r="A1831" s="45"/>
      <c r="B1831" s="46"/>
      <c r="C1831" s="400"/>
      <c r="D1831" s="170"/>
      <c r="E1831" s="46"/>
      <c r="F1831" s="170"/>
      <c r="G1831" s="288"/>
      <c r="H1831" s="289"/>
      <c r="I1831" s="472"/>
      <c r="J1831" s="48"/>
      <c r="K1831" s="473"/>
      <c r="L1831" s="45"/>
      <c r="M1831" s="124"/>
      <c r="N1831" s="125"/>
      <c r="O1831" s="125"/>
      <c r="P1831" s="12"/>
      <c r="Q1831" s="12"/>
      <c r="R1831" s="12"/>
      <c r="S1831" s="151"/>
      <c r="T1831" s="12"/>
      <c r="U1831" s="12"/>
      <c r="V1831" s="12"/>
      <c r="W1831" s="12"/>
      <c r="X1831" s="12"/>
      <c r="Y1831" s="12"/>
      <c r="Z1831" s="12"/>
    </row>
    <row r="1832" spans="1:26" ht="15.75" customHeight="1" x14ac:dyDescent="0.3">
      <c r="A1832" s="45"/>
      <c r="B1832" s="46"/>
      <c r="C1832" s="400"/>
      <c r="D1832" s="170"/>
      <c r="E1832" s="46"/>
      <c r="F1832" s="170"/>
      <c r="G1832" s="288"/>
      <c r="H1832" s="289"/>
      <c r="I1832" s="472"/>
      <c r="J1832" s="48"/>
      <c r="K1832" s="473"/>
      <c r="L1832" s="45"/>
      <c r="M1832" s="124"/>
      <c r="N1832" s="125"/>
      <c r="O1832" s="125"/>
      <c r="P1832" s="12"/>
      <c r="Q1832" s="12"/>
      <c r="R1832" s="12"/>
      <c r="S1832" s="151"/>
      <c r="T1832" s="12"/>
      <c r="U1832" s="12"/>
      <c r="V1832" s="12"/>
      <c r="W1832" s="12"/>
      <c r="X1832" s="12"/>
      <c r="Y1832" s="12"/>
      <c r="Z1832" s="12"/>
    </row>
    <row r="1833" spans="1:26" ht="15.75" customHeight="1" x14ac:dyDescent="0.3">
      <c r="A1833" s="45"/>
      <c r="B1833" s="46"/>
      <c r="C1833" s="400"/>
      <c r="D1833" s="170"/>
      <c r="E1833" s="46"/>
      <c r="F1833" s="170"/>
      <c r="G1833" s="288"/>
      <c r="H1833" s="289"/>
      <c r="I1833" s="472"/>
      <c r="J1833" s="48"/>
      <c r="K1833" s="473"/>
      <c r="L1833" s="45"/>
      <c r="M1833" s="124"/>
      <c r="N1833" s="125"/>
      <c r="O1833" s="125"/>
      <c r="P1833" s="12"/>
      <c r="Q1833" s="12"/>
      <c r="R1833" s="12"/>
      <c r="S1833" s="151"/>
      <c r="T1833" s="12"/>
      <c r="U1833" s="12"/>
      <c r="V1833" s="12"/>
      <c r="W1833" s="12"/>
      <c r="X1833" s="12"/>
      <c r="Y1833" s="12"/>
      <c r="Z1833" s="12"/>
    </row>
    <row r="1834" spans="1:26" ht="15.75" customHeight="1" x14ac:dyDescent="0.3">
      <c r="A1834" s="45"/>
      <c r="B1834" s="46"/>
      <c r="C1834" s="400"/>
      <c r="D1834" s="170"/>
      <c r="E1834" s="46"/>
      <c r="F1834" s="170"/>
      <c r="G1834" s="288"/>
      <c r="H1834" s="289"/>
      <c r="I1834" s="472"/>
      <c r="J1834" s="48"/>
      <c r="K1834" s="473"/>
      <c r="L1834" s="45"/>
      <c r="M1834" s="124"/>
      <c r="N1834" s="125"/>
      <c r="O1834" s="125"/>
      <c r="P1834" s="12"/>
      <c r="Q1834" s="12"/>
      <c r="R1834" s="12"/>
      <c r="S1834" s="151"/>
      <c r="T1834" s="12"/>
      <c r="U1834" s="12"/>
      <c r="V1834" s="12"/>
      <c r="W1834" s="12"/>
      <c r="X1834" s="12"/>
      <c r="Y1834" s="12"/>
      <c r="Z1834" s="12"/>
    </row>
    <row r="1835" spans="1:26" ht="15.75" customHeight="1" x14ac:dyDescent="0.3">
      <c r="A1835" s="45"/>
      <c r="B1835" s="46"/>
      <c r="C1835" s="400"/>
      <c r="D1835" s="170"/>
      <c r="E1835" s="46"/>
      <c r="F1835" s="170"/>
      <c r="G1835" s="288"/>
      <c r="H1835" s="289"/>
      <c r="I1835" s="472"/>
      <c r="J1835" s="48"/>
      <c r="K1835" s="473"/>
      <c r="L1835" s="45"/>
      <c r="M1835" s="124"/>
      <c r="N1835" s="125"/>
      <c r="O1835" s="125"/>
      <c r="P1835" s="12"/>
      <c r="Q1835" s="12"/>
      <c r="R1835" s="12"/>
      <c r="S1835" s="151"/>
      <c r="T1835" s="12"/>
      <c r="U1835" s="12"/>
      <c r="V1835" s="12"/>
      <c r="W1835" s="12"/>
      <c r="X1835" s="12"/>
      <c r="Y1835" s="12"/>
      <c r="Z1835" s="12"/>
    </row>
    <row r="1836" spans="1:26" ht="15.75" customHeight="1" x14ac:dyDescent="0.3">
      <c r="A1836" s="45"/>
      <c r="B1836" s="46"/>
      <c r="C1836" s="400"/>
      <c r="D1836" s="170"/>
      <c r="E1836" s="46"/>
      <c r="F1836" s="170"/>
      <c r="G1836" s="288"/>
      <c r="H1836" s="289"/>
      <c r="I1836" s="472"/>
      <c r="J1836" s="48"/>
      <c r="K1836" s="473"/>
      <c r="L1836" s="45"/>
      <c r="M1836" s="124"/>
      <c r="N1836" s="125"/>
      <c r="O1836" s="125"/>
      <c r="P1836" s="12"/>
      <c r="Q1836" s="12"/>
      <c r="R1836" s="12"/>
      <c r="S1836" s="151"/>
      <c r="T1836" s="12"/>
      <c r="U1836" s="12"/>
      <c r="V1836" s="12"/>
      <c r="W1836" s="12"/>
      <c r="X1836" s="12"/>
      <c r="Y1836" s="12"/>
      <c r="Z1836" s="12"/>
    </row>
    <row r="1837" spans="1:26" ht="15.75" customHeight="1" x14ac:dyDescent="0.3">
      <c r="A1837" s="45"/>
      <c r="B1837" s="46"/>
      <c r="C1837" s="400"/>
      <c r="D1837" s="170"/>
      <c r="E1837" s="46"/>
      <c r="F1837" s="170"/>
      <c r="G1837" s="288"/>
      <c r="H1837" s="289"/>
      <c r="I1837" s="472"/>
      <c r="J1837" s="48"/>
      <c r="K1837" s="473"/>
      <c r="L1837" s="45"/>
      <c r="M1837" s="124"/>
      <c r="N1837" s="125"/>
      <c r="O1837" s="125"/>
      <c r="P1837" s="12"/>
      <c r="Q1837" s="12"/>
      <c r="R1837" s="12"/>
      <c r="S1837" s="151"/>
      <c r="T1837" s="12"/>
      <c r="U1837" s="12"/>
      <c r="V1837" s="12"/>
      <c r="W1837" s="12"/>
      <c r="X1837" s="12"/>
      <c r="Y1837" s="12"/>
      <c r="Z1837" s="12"/>
    </row>
    <row r="1838" spans="1:26" ht="15.75" customHeight="1" x14ac:dyDescent="0.3">
      <c r="A1838" s="45"/>
      <c r="B1838" s="46"/>
      <c r="C1838" s="400"/>
      <c r="D1838" s="170"/>
      <c r="E1838" s="46"/>
      <c r="F1838" s="170"/>
      <c r="G1838" s="288"/>
      <c r="H1838" s="289"/>
      <c r="I1838" s="472"/>
      <c r="J1838" s="48"/>
      <c r="K1838" s="473"/>
      <c r="L1838" s="45"/>
      <c r="M1838" s="124"/>
      <c r="N1838" s="125"/>
      <c r="O1838" s="125"/>
      <c r="P1838" s="12"/>
      <c r="Q1838" s="12"/>
      <c r="R1838" s="12"/>
      <c r="S1838" s="151"/>
      <c r="T1838" s="12"/>
      <c r="U1838" s="12"/>
      <c r="V1838" s="12"/>
      <c r="W1838" s="12"/>
      <c r="X1838" s="12"/>
      <c r="Y1838" s="12"/>
      <c r="Z1838" s="12"/>
    </row>
    <row r="1839" spans="1:26" ht="15.75" customHeight="1" x14ac:dyDescent="0.3">
      <c r="A1839" s="45"/>
      <c r="B1839" s="46"/>
      <c r="C1839" s="400"/>
      <c r="D1839" s="170"/>
      <c r="E1839" s="46"/>
      <c r="F1839" s="170"/>
      <c r="G1839" s="288"/>
      <c r="H1839" s="289"/>
      <c r="I1839" s="472"/>
      <c r="J1839" s="48"/>
      <c r="K1839" s="473"/>
      <c r="L1839" s="45"/>
      <c r="M1839" s="124"/>
      <c r="N1839" s="125"/>
      <c r="O1839" s="125"/>
      <c r="P1839" s="12"/>
      <c r="Q1839" s="12"/>
      <c r="R1839" s="12"/>
      <c r="S1839" s="151"/>
      <c r="T1839" s="12"/>
      <c r="U1839" s="12"/>
      <c r="V1839" s="12"/>
      <c r="W1839" s="12"/>
      <c r="X1839" s="12"/>
      <c r="Y1839" s="12"/>
      <c r="Z1839" s="12"/>
    </row>
    <row r="1840" spans="1:26" ht="15.75" customHeight="1" x14ac:dyDescent="0.3">
      <c r="A1840" s="45"/>
      <c r="B1840" s="46"/>
      <c r="C1840" s="400"/>
      <c r="D1840" s="170"/>
      <c r="E1840" s="46"/>
      <c r="F1840" s="170"/>
      <c r="G1840" s="288"/>
      <c r="H1840" s="289"/>
      <c r="I1840" s="472"/>
      <c r="J1840" s="48"/>
      <c r="K1840" s="473"/>
      <c r="L1840" s="45"/>
      <c r="M1840" s="124"/>
      <c r="N1840" s="125"/>
      <c r="O1840" s="125"/>
      <c r="P1840" s="12"/>
      <c r="Q1840" s="12"/>
      <c r="R1840" s="12"/>
      <c r="S1840" s="151"/>
      <c r="T1840" s="12"/>
      <c r="U1840" s="12"/>
      <c r="V1840" s="12"/>
      <c r="W1840" s="12"/>
      <c r="X1840" s="12"/>
      <c r="Y1840" s="12"/>
      <c r="Z1840" s="12"/>
    </row>
    <row r="1841" spans="1:26" ht="15.75" customHeight="1" x14ac:dyDescent="0.3">
      <c r="A1841" s="45"/>
      <c r="B1841" s="46"/>
      <c r="C1841" s="400"/>
      <c r="D1841" s="170"/>
      <c r="E1841" s="46"/>
      <c r="F1841" s="170"/>
      <c r="G1841" s="288"/>
      <c r="H1841" s="289"/>
      <c r="I1841" s="472"/>
      <c r="J1841" s="48"/>
      <c r="K1841" s="473"/>
      <c r="L1841" s="45"/>
      <c r="M1841" s="124"/>
      <c r="N1841" s="125"/>
      <c r="O1841" s="125"/>
      <c r="P1841" s="12"/>
      <c r="Q1841" s="12"/>
      <c r="R1841" s="12"/>
      <c r="S1841" s="151"/>
      <c r="T1841" s="12"/>
      <c r="U1841" s="12"/>
      <c r="V1841" s="12"/>
      <c r="W1841" s="12"/>
      <c r="X1841" s="12"/>
      <c r="Y1841" s="12"/>
      <c r="Z1841" s="12"/>
    </row>
    <row r="1842" spans="1:26" ht="15.75" customHeight="1" x14ac:dyDescent="0.3">
      <c r="A1842" s="45"/>
      <c r="B1842" s="46"/>
      <c r="C1842" s="400"/>
      <c r="D1842" s="170"/>
      <c r="E1842" s="46"/>
      <c r="F1842" s="170"/>
      <c r="G1842" s="288"/>
      <c r="H1842" s="289"/>
      <c r="I1842" s="472"/>
      <c r="J1842" s="48"/>
      <c r="K1842" s="473"/>
      <c r="L1842" s="45"/>
      <c r="M1842" s="124"/>
      <c r="N1842" s="125"/>
      <c r="O1842" s="125"/>
      <c r="P1842" s="12"/>
      <c r="Q1842" s="12"/>
      <c r="R1842" s="12"/>
      <c r="S1842" s="151"/>
      <c r="T1842" s="12"/>
      <c r="U1842" s="12"/>
      <c r="V1842" s="12"/>
      <c r="W1842" s="12"/>
      <c r="X1842" s="12"/>
      <c r="Y1842" s="12"/>
      <c r="Z1842" s="12"/>
    </row>
    <row r="1843" spans="1:26" ht="15.75" customHeight="1" x14ac:dyDescent="0.3">
      <c r="A1843" s="45"/>
      <c r="B1843" s="46"/>
      <c r="C1843" s="400"/>
      <c r="D1843" s="170"/>
      <c r="E1843" s="46"/>
      <c r="F1843" s="170"/>
      <c r="G1843" s="288"/>
      <c r="H1843" s="289"/>
      <c r="I1843" s="472"/>
      <c r="J1843" s="48"/>
      <c r="K1843" s="473"/>
      <c r="L1843" s="45"/>
      <c r="M1843" s="124"/>
      <c r="N1843" s="125"/>
      <c r="O1843" s="125"/>
      <c r="P1843" s="12"/>
      <c r="Q1843" s="12"/>
      <c r="R1843" s="12"/>
      <c r="S1843" s="151"/>
      <c r="T1843" s="12"/>
      <c r="U1843" s="12"/>
      <c r="V1843" s="12"/>
      <c r="W1843" s="12"/>
      <c r="X1843" s="12"/>
      <c r="Y1843" s="12"/>
      <c r="Z1843" s="12"/>
    </row>
    <row r="1844" spans="1:26" ht="15.75" customHeight="1" x14ac:dyDescent="0.3">
      <c r="A1844" s="45"/>
      <c r="B1844" s="46"/>
      <c r="C1844" s="400"/>
      <c r="D1844" s="170"/>
      <c r="E1844" s="46"/>
      <c r="F1844" s="170"/>
      <c r="G1844" s="288"/>
      <c r="H1844" s="289"/>
      <c r="I1844" s="472"/>
      <c r="J1844" s="48"/>
      <c r="K1844" s="473"/>
      <c r="L1844" s="45"/>
      <c r="M1844" s="124"/>
      <c r="N1844" s="125"/>
      <c r="O1844" s="125"/>
      <c r="P1844" s="12"/>
      <c r="Q1844" s="12"/>
      <c r="R1844" s="12"/>
      <c r="S1844" s="151"/>
      <c r="T1844" s="12"/>
      <c r="U1844" s="12"/>
      <c r="V1844" s="12"/>
      <c r="W1844" s="12"/>
      <c r="X1844" s="12"/>
      <c r="Y1844" s="12"/>
      <c r="Z1844" s="12"/>
    </row>
    <row r="1845" spans="1:26" ht="15.75" customHeight="1" x14ac:dyDescent="0.3">
      <c r="A1845" s="45"/>
      <c r="B1845" s="46"/>
      <c r="C1845" s="400"/>
      <c r="D1845" s="170"/>
      <c r="E1845" s="46"/>
      <c r="F1845" s="170"/>
      <c r="G1845" s="288"/>
      <c r="H1845" s="289"/>
      <c r="I1845" s="472"/>
      <c r="J1845" s="48"/>
      <c r="K1845" s="473"/>
      <c r="L1845" s="45"/>
      <c r="M1845" s="124"/>
      <c r="N1845" s="125"/>
      <c r="O1845" s="125"/>
      <c r="P1845" s="12"/>
      <c r="Q1845" s="12"/>
      <c r="R1845" s="12"/>
      <c r="S1845" s="151"/>
      <c r="T1845" s="12"/>
      <c r="U1845" s="12"/>
      <c r="V1845" s="12"/>
      <c r="W1845" s="12"/>
      <c r="X1845" s="12"/>
      <c r="Y1845" s="12"/>
      <c r="Z1845" s="12"/>
    </row>
    <row r="1846" spans="1:26" ht="15.75" customHeight="1" x14ac:dyDescent="0.3">
      <c r="A1846" s="45"/>
      <c r="B1846" s="46"/>
      <c r="C1846" s="400"/>
      <c r="D1846" s="170"/>
      <c r="E1846" s="46"/>
      <c r="F1846" s="170"/>
      <c r="G1846" s="288"/>
      <c r="H1846" s="289"/>
      <c r="I1846" s="472"/>
      <c r="J1846" s="48"/>
      <c r="K1846" s="473"/>
      <c r="L1846" s="45"/>
      <c r="M1846" s="124"/>
      <c r="N1846" s="125"/>
      <c r="O1846" s="125"/>
      <c r="P1846" s="12"/>
      <c r="Q1846" s="12"/>
      <c r="R1846" s="12"/>
      <c r="S1846" s="151"/>
      <c r="T1846" s="12"/>
      <c r="U1846" s="12"/>
      <c r="V1846" s="12"/>
      <c r="W1846" s="12"/>
      <c r="X1846" s="12"/>
      <c r="Y1846" s="12"/>
      <c r="Z1846" s="12"/>
    </row>
    <row r="1847" spans="1:26" ht="15.75" customHeight="1" x14ac:dyDescent="0.3">
      <c r="A1847" s="45"/>
      <c r="B1847" s="46"/>
      <c r="C1847" s="400"/>
      <c r="D1847" s="170"/>
      <c r="E1847" s="46"/>
      <c r="F1847" s="170"/>
      <c r="G1847" s="288"/>
      <c r="H1847" s="289"/>
      <c r="I1847" s="472"/>
      <c r="J1847" s="48"/>
      <c r="K1847" s="473"/>
      <c r="L1847" s="45"/>
      <c r="M1847" s="124"/>
      <c r="N1847" s="125"/>
      <c r="O1847" s="125"/>
      <c r="P1847" s="12"/>
      <c r="Q1847" s="12"/>
      <c r="R1847" s="12"/>
      <c r="S1847" s="151"/>
      <c r="T1847" s="12"/>
      <c r="U1847" s="12"/>
      <c r="V1847" s="12"/>
      <c r="W1847" s="12"/>
      <c r="X1847" s="12"/>
      <c r="Y1847" s="12"/>
      <c r="Z1847" s="12"/>
    </row>
    <row r="1848" spans="1:26" ht="15.75" customHeight="1" x14ac:dyDescent="0.3">
      <c r="A1848" s="45"/>
      <c r="B1848" s="46"/>
      <c r="C1848" s="400"/>
      <c r="D1848" s="170"/>
      <c r="E1848" s="46"/>
      <c r="F1848" s="170"/>
      <c r="G1848" s="288"/>
      <c r="H1848" s="289"/>
      <c r="I1848" s="472"/>
      <c r="J1848" s="48"/>
      <c r="K1848" s="473"/>
      <c r="L1848" s="45"/>
      <c r="M1848" s="124"/>
      <c r="N1848" s="125"/>
      <c r="O1848" s="125"/>
      <c r="P1848" s="12"/>
      <c r="Q1848" s="12"/>
      <c r="R1848" s="12"/>
      <c r="S1848" s="151"/>
      <c r="T1848" s="12"/>
      <c r="U1848" s="12"/>
      <c r="V1848" s="12"/>
      <c r="W1848" s="12"/>
      <c r="X1848" s="12"/>
      <c r="Y1848" s="12"/>
      <c r="Z1848" s="12"/>
    </row>
    <row r="1849" spans="1:26" ht="15.75" customHeight="1" x14ac:dyDescent="0.3">
      <c r="A1849" s="45"/>
      <c r="B1849" s="46"/>
      <c r="C1849" s="400"/>
      <c r="D1849" s="170"/>
      <c r="E1849" s="46"/>
      <c r="F1849" s="170"/>
      <c r="G1849" s="288"/>
      <c r="H1849" s="289"/>
      <c r="I1849" s="472"/>
      <c r="J1849" s="48"/>
      <c r="K1849" s="473"/>
      <c r="L1849" s="45"/>
      <c r="M1849" s="124"/>
      <c r="N1849" s="125"/>
      <c r="O1849" s="125"/>
      <c r="P1849" s="12"/>
      <c r="Q1849" s="12"/>
      <c r="R1849" s="12"/>
      <c r="S1849" s="151"/>
      <c r="T1849" s="12"/>
      <c r="U1849" s="12"/>
      <c r="V1849" s="12"/>
      <c r="W1849" s="12"/>
      <c r="X1849" s="12"/>
      <c r="Y1849" s="12"/>
      <c r="Z1849" s="12"/>
    </row>
    <row r="1850" spans="1:26" ht="15.75" customHeight="1" x14ac:dyDescent="0.3">
      <c r="A1850" s="45"/>
      <c r="B1850" s="46"/>
      <c r="C1850" s="400"/>
      <c r="D1850" s="170"/>
      <c r="E1850" s="46"/>
      <c r="F1850" s="170"/>
      <c r="G1850" s="288"/>
      <c r="H1850" s="289"/>
      <c r="I1850" s="472"/>
      <c r="J1850" s="48"/>
      <c r="K1850" s="473"/>
      <c r="L1850" s="45"/>
      <c r="M1850" s="124"/>
      <c r="N1850" s="125"/>
      <c r="O1850" s="125"/>
      <c r="P1850" s="12"/>
      <c r="Q1850" s="12"/>
      <c r="R1850" s="12"/>
      <c r="S1850" s="151"/>
      <c r="T1850" s="12"/>
      <c r="U1850" s="12"/>
      <c r="V1850" s="12"/>
      <c r="W1850" s="12"/>
      <c r="X1850" s="12"/>
      <c r="Y1850" s="12"/>
      <c r="Z1850" s="12"/>
    </row>
    <row r="1851" spans="1:26" ht="15.75" customHeight="1" x14ac:dyDescent="0.3">
      <c r="A1851" s="45"/>
      <c r="B1851" s="46"/>
      <c r="C1851" s="400"/>
      <c r="D1851" s="170"/>
      <c r="E1851" s="46"/>
      <c r="F1851" s="170"/>
      <c r="G1851" s="288"/>
      <c r="H1851" s="289"/>
      <c r="I1851" s="472"/>
      <c r="J1851" s="48"/>
      <c r="K1851" s="473"/>
      <c r="L1851" s="45"/>
      <c r="M1851" s="124"/>
      <c r="N1851" s="125"/>
      <c r="O1851" s="125"/>
      <c r="P1851" s="12"/>
      <c r="Q1851" s="12"/>
      <c r="R1851" s="12"/>
      <c r="S1851" s="151"/>
      <c r="T1851" s="12"/>
      <c r="U1851" s="12"/>
      <c r="V1851" s="12"/>
      <c r="W1851" s="12"/>
      <c r="X1851" s="12"/>
      <c r="Y1851" s="12"/>
      <c r="Z1851" s="12"/>
    </row>
    <row r="1852" spans="1:26" ht="15.75" customHeight="1" x14ac:dyDescent="0.3">
      <c r="A1852" s="45"/>
      <c r="B1852" s="46"/>
      <c r="C1852" s="400"/>
      <c r="D1852" s="170"/>
      <c r="E1852" s="46"/>
      <c r="F1852" s="170"/>
      <c r="G1852" s="288"/>
      <c r="H1852" s="289"/>
      <c r="I1852" s="472"/>
      <c r="J1852" s="48"/>
      <c r="K1852" s="473"/>
      <c r="L1852" s="45"/>
      <c r="M1852" s="124"/>
      <c r="N1852" s="125"/>
      <c r="O1852" s="125"/>
      <c r="P1852" s="12"/>
      <c r="Q1852" s="12"/>
      <c r="R1852" s="12"/>
      <c r="S1852" s="151"/>
      <c r="T1852" s="12"/>
      <c r="U1852" s="12"/>
      <c r="V1852" s="12"/>
      <c r="W1852" s="12"/>
      <c r="X1852" s="12"/>
      <c r="Y1852" s="12"/>
      <c r="Z1852" s="12"/>
    </row>
    <row r="1853" spans="1:26" ht="15.75" customHeight="1" x14ac:dyDescent="0.3">
      <c r="A1853" s="45"/>
      <c r="B1853" s="46"/>
      <c r="C1853" s="400"/>
      <c r="D1853" s="170"/>
      <c r="E1853" s="46"/>
      <c r="F1853" s="170"/>
      <c r="G1853" s="288"/>
      <c r="H1853" s="289"/>
      <c r="I1853" s="472"/>
      <c r="J1853" s="48"/>
      <c r="K1853" s="473"/>
      <c r="L1853" s="45"/>
      <c r="M1853" s="124"/>
      <c r="N1853" s="125"/>
      <c r="O1853" s="125"/>
      <c r="P1853" s="12"/>
      <c r="Q1853" s="12"/>
      <c r="R1853" s="12"/>
      <c r="S1853" s="151"/>
      <c r="T1853" s="12"/>
      <c r="U1853" s="12"/>
      <c r="V1853" s="12"/>
      <c r="W1853" s="12"/>
      <c r="X1853" s="12"/>
      <c r="Y1853" s="12"/>
      <c r="Z1853" s="12"/>
    </row>
    <row r="1854" spans="1:26" ht="15.75" customHeight="1" x14ac:dyDescent="0.3">
      <c r="A1854" s="45"/>
      <c r="B1854" s="46"/>
      <c r="C1854" s="400"/>
      <c r="D1854" s="170"/>
      <c r="E1854" s="46"/>
      <c r="F1854" s="170"/>
      <c r="G1854" s="288"/>
      <c r="H1854" s="289"/>
      <c r="I1854" s="472"/>
      <c r="J1854" s="48"/>
      <c r="K1854" s="473"/>
      <c r="L1854" s="45"/>
      <c r="M1854" s="124"/>
      <c r="N1854" s="125"/>
      <c r="O1854" s="125"/>
      <c r="P1854" s="12"/>
      <c r="Q1854" s="12"/>
      <c r="R1854" s="12"/>
      <c r="S1854" s="151"/>
      <c r="T1854" s="12"/>
      <c r="U1854" s="12"/>
      <c r="V1854" s="12"/>
      <c r="W1854" s="12"/>
      <c r="X1854" s="12"/>
      <c r="Y1854" s="12"/>
      <c r="Z1854" s="12"/>
    </row>
    <row r="1855" spans="1:26" ht="15.75" customHeight="1" x14ac:dyDescent="0.3">
      <c r="A1855" s="45"/>
      <c r="B1855" s="46"/>
      <c r="C1855" s="400"/>
      <c r="D1855" s="170"/>
      <c r="E1855" s="46"/>
      <c r="F1855" s="170"/>
      <c r="G1855" s="288"/>
      <c r="H1855" s="289"/>
      <c r="I1855" s="472"/>
      <c r="J1855" s="48"/>
      <c r="K1855" s="473"/>
      <c r="L1855" s="45"/>
      <c r="M1855" s="124"/>
      <c r="N1855" s="125"/>
      <c r="O1855" s="125"/>
      <c r="P1855" s="12"/>
      <c r="Q1855" s="12"/>
      <c r="R1855" s="12"/>
      <c r="S1855" s="151"/>
      <c r="T1855" s="12"/>
      <c r="U1855" s="12"/>
      <c r="V1855" s="12"/>
      <c r="W1855" s="12"/>
      <c r="X1855" s="12"/>
      <c r="Y1855" s="12"/>
      <c r="Z1855" s="12"/>
    </row>
    <row r="1856" spans="1:26" ht="15.75" customHeight="1" x14ac:dyDescent="0.3">
      <c r="A1856" s="45"/>
      <c r="B1856" s="46"/>
      <c r="C1856" s="400"/>
      <c r="D1856" s="170"/>
      <c r="E1856" s="46"/>
      <c r="F1856" s="170"/>
      <c r="G1856" s="288"/>
      <c r="H1856" s="289"/>
      <c r="I1856" s="472"/>
      <c r="J1856" s="48"/>
      <c r="K1856" s="473"/>
      <c r="L1856" s="45"/>
      <c r="M1856" s="124"/>
      <c r="N1856" s="125"/>
      <c r="O1856" s="125"/>
      <c r="P1856" s="12"/>
      <c r="Q1856" s="12"/>
      <c r="R1856" s="12"/>
      <c r="S1856" s="151"/>
      <c r="T1856" s="12"/>
      <c r="U1856" s="12"/>
      <c r="V1856" s="12"/>
      <c r="W1856" s="12"/>
      <c r="X1856" s="12"/>
      <c r="Y1856" s="12"/>
      <c r="Z1856" s="12"/>
    </row>
    <row r="1857" spans="1:26" ht="15.75" customHeight="1" x14ac:dyDescent="0.3">
      <c r="A1857" s="45"/>
      <c r="B1857" s="46"/>
      <c r="C1857" s="400"/>
      <c r="D1857" s="170"/>
      <c r="E1857" s="46"/>
      <c r="F1857" s="170"/>
      <c r="G1857" s="288"/>
      <c r="H1857" s="289"/>
      <c r="I1857" s="472"/>
      <c r="J1857" s="48"/>
      <c r="K1857" s="473"/>
      <c r="L1857" s="45"/>
      <c r="M1857" s="124"/>
      <c r="N1857" s="125"/>
      <c r="O1857" s="125"/>
      <c r="P1857" s="12"/>
      <c r="Q1857" s="12"/>
      <c r="R1857" s="12"/>
      <c r="S1857" s="151"/>
      <c r="T1857" s="12"/>
      <c r="U1857" s="12"/>
      <c r="V1857" s="12"/>
      <c r="W1857" s="12"/>
      <c r="X1857" s="12"/>
      <c r="Y1857" s="12"/>
      <c r="Z1857" s="12"/>
    </row>
    <row r="1858" spans="1:26" ht="15.75" customHeight="1" x14ac:dyDescent="0.3">
      <c r="A1858" s="45"/>
      <c r="B1858" s="46"/>
      <c r="C1858" s="400"/>
      <c r="D1858" s="170"/>
      <c r="E1858" s="46"/>
      <c r="F1858" s="170"/>
      <c r="G1858" s="288"/>
      <c r="H1858" s="289"/>
      <c r="I1858" s="472"/>
      <c r="J1858" s="48"/>
      <c r="K1858" s="473"/>
      <c r="L1858" s="45"/>
      <c r="M1858" s="124"/>
      <c r="N1858" s="125"/>
      <c r="O1858" s="125"/>
      <c r="P1858" s="12"/>
      <c r="Q1858" s="12"/>
      <c r="R1858" s="12"/>
      <c r="S1858" s="151"/>
      <c r="T1858" s="12"/>
      <c r="U1858" s="12"/>
      <c r="V1858" s="12"/>
      <c r="W1858" s="12"/>
      <c r="X1858" s="12"/>
      <c r="Y1858" s="12"/>
      <c r="Z1858" s="12"/>
    </row>
    <row r="1859" spans="1:26" ht="15.75" customHeight="1" x14ac:dyDescent="0.3">
      <c r="A1859" s="45"/>
      <c r="B1859" s="46"/>
      <c r="C1859" s="400"/>
      <c r="D1859" s="170"/>
      <c r="E1859" s="46"/>
      <c r="F1859" s="170"/>
      <c r="G1859" s="288"/>
      <c r="H1859" s="289"/>
      <c r="I1859" s="472"/>
      <c r="J1859" s="48"/>
      <c r="K1859" s="473"/>
      <c r="L1859" s="45"/>
      <c r="M1859" s="124"/>
      <c r="N1859" s="125"/>
      <c r="O1859" s="125"/>
      <c r="P1859" s="12"/>
      <c r="Q1859" s="12"/>
      <c r="R1859" s="12"/>
      <c r="S1859" s="151"/>
      <c r="T1859" s="12"/>
      <c r="U1859" s="12"/>
      <c r="V1859" s="12"/>
      <c r="W1859" s="12"/>
      <c r="X1859" s="12"/>
      <c r="Y1859" s="12"/>
      <c r="Z1859" s="12"/>
    </row>
    <row r="1860" spans="1:26" ht="15.75" customHeight="1" x14ac:dyDescent="0.3">
      <c r="A1860" s="45"/>
      <c r="B1860" s="46"/>
      <c r="C1860" s="400"/>
      <c r="D1860" s="170"/>
      <c r="E1860" s="46"/>
      <c r="F1860" s="170"/>
      <c r="G1860" s="288"/>
      <c r="H1860" s="289"/>
      <c r="I1860" s="472"/>
      <c r="J1860" s="48"/>
      <c r="K1860" s="473"/>
      <c r="L1860" s="45"/>
      <c r="M1860" s="124"/>
      <c r="N1860" s="125"/>
      <c r="O1860" s="125"/>
      <c r="P1860" s="12"/>
      <c r="Q1860" s="12"/>
      <c r="R1860" s="12"/>
      <c r="S1860" s="151"/>
      <c r="T1860" s="12"/>
      <c r="U1860" s="12"/>
      <c r="V1860" s="12"/>
      <c r="W1860" s="12"/>
      <c r="X1860" s="12"/>
      <c r="Y1860" s="12"/>
      <c r="Z1860" s="12"/>
    </row>
    <row r="1861" spans="1:26" ht="15.75" customHeight="1" x14ac:dyDescent="0.3">
      <c r="A1861" s="45"/>
      <c r="B1861" s="46"/>
      <c r="C1861" s="400"/>
      <c r="D1861" s="170"/>
      <c r="E1861" s="46"/>
      <c r="F1861" s="170"/>
      <c r="G1861" s="288"/>
      <c r="H1861" s="289"/>
      <c r="I1861" s="472"/>
      <c r="J1861" s="48"/>
      <c r="K1861" s="473"/>
      <c r="L1861" s="45"/>
      <c r="M1861" s="124"/>
      <c r="N1861" s="125"/>
      <c r="O1861" s="125"/>
      <c r="P1861" s="12"/>
      <c r="Q1861" s="12"/>
      <c r="R1861" s="12"/>
      <c r="S1861" s="151"/>
      <c r="T1861" s="12"/>
      <c r="U1861" s="12"/>
      <c r="V1861" s="12"/>
      <c r="W1861" s="12"/>
      <c r="X1861" s="12"/>
      <c r="Y1861" s="12"/>
      <c r="Z1861" s="12"/>
    </row>
    <row r="1862" spans="1:26" ht="15.75" customHeight="1" x14ac:dyDescent="0.3">
      <c r="A1862" s="45"/>
      <c r="B1862" s="46"/>
      <c r="C1862" s="400"/>
      <c r="D1862" s="170"/>
      <c r="E1862" s="46"/>
      <c r="F1862" s="170"/>
      <c r="G1862" s="288"/>
      <c r="H1862" s="289"/>
      <c r="I1862" s="472"/>
      <c r="J1862" s="48"/>
      <c r="K1862" s="473"/>
      <c r="L1862" s="45"/>
      <c r="M1862" s="124"/>
      <c r="N1862" s="125"/>
      <c r="O1862" s="125"/>
      <c r="P1862" s="12"/>
      <c r="Q1862" s="12"/>
      <c r="R1862" s="12"/>
      <c r="S1862" s="151"/>
      <c r="T1862" s="12"/>
      <c r="U1862" s="12"/>
      <c r="V1862" s="12"/>
      <c r="W1862" s="12"/>
      <c r="X1862" s="12"/>
      <c r="Y1862" s="12"/>
      <c r="Z1862" s="12"/>
    </row>
    <row r="1863" spans="1:26" ht="15.75" customHeight="1" x14ac:dyDescent="0.3">
      <c r="A1863" s="45"/>
      <c r="B1863" s="46"/>
      <c r="C1863" s="400"/>
      <c r="D1863" s="170"/>
      <c r="E1863" s="46"/>
      <c r="F1863" s="170"/>
      <c r="G1863" s="288"/>
      <c r="H1863" s="289"/>
      <c r="I1863" s="472"/>
      <c r="J1863" s="48"/>
      <c r="K1863" s="473"/>
      <c r="L1863" s="45"/>
      <c r="M1863" s="124"/>
      <c r="N1863" s="125"/>
      <c r="O1863" s="125"/>
      <c r="P1863" s="12"/>
      <c r="Q1863" s="12"/>
      <c r="R1863" s="12"/>
      <c r="S1863" s="151"/>
      <c r="T1863" s="12"/>
      <c r="U1863" s="12"/>
      <c r="V1863" s="12"/>
      <c r="W1863" s="12"/>
      <c r="X1863" s="12"/>
      <c r="Y1863" s="12"/>
      <c r="Z1863" s="12"/>
    </row>
    <row r="1864" spans="1:26" ht="15.75" customHeight="1" x14ac:dyDescent="0.3">
      <c r="A1864" s="45"/>
      <c r="B1864" s="46"/>
      <c r="C1864" s="400"/>
      <c r="D1864" s="170"/>
      <c r="E1864" s="46"/>
      <c r="F1864" s="170"/>
      <c r="G1864" s="288"/>
      <c r="H1864" s="289"/>
      <c r="I1864" s="472"/>
      <c r="J1864" s="48"/>
      <c r="K1864" s="473"/>
      <c r="L1864" s="45"/>
      <c r="M1864" s="124"/>
      <c r="N1864" s="125"/>
      <c r="O1864" s="125"/>
      <c r="P1864" s="12"/>
      <c r="Q1864" s="12"/>
      <c r="R1864" s="12"/>
      <c r="S1864" s="151"/>
      <c r="T1864" s="12"/>
      <c r="U1864" s="12"/>
      <c r="V1864" s="12"/>
      <c r="W1864" s="12"/>
      <c r="X1864" s="12"/>
      <c r="Y1864" s="12"/>
      <c r="Z1864" s="12"/>
    </row>
    <row r="1865" spans="1:26" ht="15.75" customHeight="1" x14ac:dyDescent="0.3">
      <c r="A1865" s="45"/>
      <c r="B1865" s="46"/>
      <c r="C1865" s="400"/>
      <c r="D1865" s="170"/>
      <c r="E1865" s="46"/>
      <c r="F1865" s="170"/>
      <c r="G1865" s="288"/>
      <c r="H1865" s="289"/>
      <c r="I1865" s="472"/>
      <c r="J1865" s="48"/>
      <c r="K1865" s="473"/>
      <c r="L1865" s="45"/>
      <c r="M1865" s="124"/>
      <c r="N1865" s="125"/>
      <c r="O1865" s="125"/>
      <c r="P1865" s="12"/>
      <c r="Q1865" s="12"/>
      <c r="R1865" s="12"/>
      <c r="S1865" s="151"/>
      <c r="T1865" s="12"/>
      <c r="U1865" s="12"/>
      <c r="V1865" s="12"/>
      <c r="W1865" s="12"/>
      <c r="X1865" s="12"/>
      <c r="Y1865" s="12"/>
      <c r="Z1865" s="12"/>
    </row>
    <row r="1866" spans="1:26" ht="15.75" customHeight="1" x14ac:dyDescent="0.3">
      <c r="A1866" s="45"/>
      <c r="B1866" s="46"/>
      <c r="C1866" s="400"/>
      <c r="D1866" s="170"/>
      <c r="E1866" s="46"/>
      <c r="F1866" s="170"/>
      <c r="G1866" s="288"/>
      <c r="H1866" s="289"/>
      <c r="I1866" s="472"/>
      <c r="J1866" s="48"/>
      <c r="K1866" s="473"/>
      <c r="L1866" s="45"/>
      <c r="M1866" s="124"/>
      <c r="N1866" s="125"/>
      <c r="O1866" s="125"/>
      <c r="P1866" s="12"/>
      <c r="Q1866" s="12"/>
      <c r="R1866" s="12"/>
      <c r="S1866" s="151"/>
      <c r="T1866" s="12"/>
      <c r="U1866" s="12"/>
      <c r="V1866" s="12"/>
      <c r="W1866" s="12"/>
      <c r="X1866" s="12"/>
      <c r="Y1866" s="12"/>
      <c r="Z1866" s="12"/>
    </row>
    <row r="1867" spans="1:26" ht="15.75" customHeight="1" x14ac:dyDescent="0.3">
      <c r="A1867" s="45"/>
      <c r="B1867" s="46"/>
      <c r="C1867" s="400"/>
      <c r="D1867" s="170"/>
      <c r="E1867" s="46"/>
      <c r="F1867" s="170"/>
      <c r="G1867" s="288"/>
      <c r="H1867" s="289"/>
      <c r="I1867" s="472"/>
      <c r="J1867" s="48"/>
      <c r="K1867" s="473"/>
      <c r="L1867" s="45"/>
      <c r="M1867" s="124"/>
      <c r="N1867" s="125"/>
      <c r="O1867" s="125"/>
      <c r="P1867" s="12"/>
      <c r="Q1867" s="12"/>
      <c r="R1867" s="12"/>
      <c r="S1867" s="151"/>
      <c r="T1867" s="12"/>
      <c r="U1867" s="12"/>
      <c r="V1867" s="12"/>
      <c r="W1867" s="12"/>
      <c r="X1867" s="12"/>
      <c r="Y1867" s="12"/>
      <c r="Z1867" s="12"/>
    </row>
    <row r="1868" spans="1:26" ht="15.75" customHeight="1" x14ac:dyDescent="0.3">
      <c r="A1868" s="45"/>
      <c r="B1868" s="46"/>
      <c r="C1868" s="400"/>
      <c r="D1868" s="170"/>
      <c r="E1868" s="46"/>
      <c r="F1868" s="170"/>
      <c r="G1868" s="288"/>
      <c r="H1868" s="289"/>
      <c r="I1868" s="472"/>
      <c r="J1868" s="48"/>
      <c r="K1868" s="473"/>
      <c r="L1868" s="45"/>
      <c r="M1868" s="124"/>
      <c r="N1868" s="125"/>
      <c r="O1868" s="125"/>
      <c r="P1868" s="12"/>
      <c r="Q1868" s="12"/>
      <c r="R1868" s="12"/>
      <c r="S1868" s="151"/>
      <c r="T1868" s="12"/>
      <c r="U1868" s="12"/>
      <c r="V1868" s="12"/>
      <c r="W1868" s="12"/>
      <c r="X1868" s="12"/>
      <c r="Y1868" s="12"/>
      <c r="Z1868" s="12"/>
    </row>
    <row r="1869" spans="1:26" ht="15.75" customHeight="1" x14ac:dyDescent="0.3">
      <c r="A1869" s="45"/>
      <c r="B1869" s="46"/>
      <c r="C1869" s="400"/>
      <c r="D1869" s="170"/>
      <c r="E1869" s="46"/>
      <c r="F1869" s="170"/>
      <c r="G1869" s="288"/>
      <c r="H1869" s="289"/>
      <c r="I1869" s="472"/>
      <c r="J1869" s="48"/>
      <c r="K1869" s="473"/>
      <c r="L1869" s="45"/>
      <c r="M1869" s="124"/>
      <c r="N1869" s="125"/>
      <c r="O1869" s="125"/>
      <c r="P1869" s="12"/>
      <c r="Q1869" s="12"/>
      <c r="R1869" s="12"/>
      <c r="S1869" s="151"/>
      <c r="T1869" s="12"/>
      <c r="U1869" s="12"/>
      <c r="V1869" s="12"/>
      <c r="W1869" s="12"/>
      <c r="X1869" s="12"/>
      <c r="Y1869" s="12"/>
      <c r="Z1869" s="12"/>
    </row>
    <row r="1870" spans="1:26" ht="15.75" customHeight="1" x14ac:dyDescent="0.3">
      <c r="A1870" s="45"/>
      <c r="B1870" s="46"/>
      <c r="C1870" s="400"/>
      <c r="D1870" s="170"/>
      <c r="E1870" s="46"/>
      <c r="F1870" s="170"/>
      <c r="G1870" s="288"/>
      <c r="H1870" s="289"/>
      <c r="I1870" s="472"/>
      <c r="J1870" s="48"/>
      <c r="K1870" s="473"/>
      <c r="L1870" s="45"/>
      <c r="M1870" s="124"/>
      <c r="N1870" s="125"/>
      <c r="O1870" s="125"/>
      <c r="P1870" s="12"/>
      <c r="Q1870" s="12"/>
      <c r="R1870" s="12"/>
      <c r="S1870" s="151"/>
      <c r="T1870" s="12"/>
      <c r="U1870" s="12"/>
      <c r="V1870" s="12"/>
      <c r="W1870" s="12"/>
      <c r="X1870" s="12"/>
      <c r="Y1870" s="12"/>
      <c r="Z1870" s="12"/>
    </row>
    <row r="1871" spans="1:26" ht="15.75" customHeight="1" x14ac:dyDescent="0.3">
      <c r="A1871" s="45"/>
      <c r="B1871" s="46"/>
      <c r="C1871" s="400"/>
      <c r="D1871" s="170"/>
      <c r="E1871" s="46"/>
      <c r="F1871" s="170"/>
      <c r="G1871" s="288"/>
      <c r="H1871" s="289"/>
      <c r="I1871" s="472"/>
      <c r="J1871" s="48"/>
      <c r="K1871" s="473"/>
      <c r="L1871" s="45"/>
      <c r="M1871" s="124"/>
      <c r="N1871" s="125"/>
      <c r="O1871" s="125"/>
      <c r="P1871" s="12"/>
      <c r="Q1871" s="12"/>
      <c r="R1871" s="12"/>
      <c r="S1871" s="151"/>
      <c r="T1871" s="12"/>
      <c r="U1871" s="12"/>
      <c r="V1871" s="12"/>
      <c r="W1871" s="12"/>
      <c r="X1871" s="12"/>
      <c r="Y1871" s="12"/>
      <c r="Z1871" s="12"/>
    </row>
    <row r="1872" spans="1:26" ht="15.75" customHeight="1" x14ac:dyDescent="0.3">
      <c r="A1872" s="45"/>
      <c r="B1872" s="46"/>
      <c r="C1872" s="400"/>
      <c r="D1872" s="170"/>
      <c r="E1872" s="46"/>
      <c r="F1872" s="170"/>
      <c r="G1872" s="288"/>
      <c r="H1872" s="289"/>
      <c r="I1872" s="472"/>
      <c r="J1872" s="48"/>
      <c r="K1872" s="473"/>
      <c r="L1872" s="45"/>
      <c r="M1872" s="124"/>
      <c r="N1872" s="125"/>
      <c r="O1872" s="125"/>
      <c r="P1872" s="12"/>
      <c r="Q1872" s="12"/>
      <c r="R1872" s="12"/>
      <c r="S1872" s="151"/>
      <c r="T1872" s="12"/>
      <c r="U1872" s="12"/>
      <c r="V1872" s="12"/>
      <c r="W1872" s="12"/>
      <c r="X1872" s="12"/>
      <c r="Y1872" s="12"/>
      <c r="Z1872" s="12"/>
    </row>
    <row r="1873" spans="1:26" ht="15.75" customHeight="1" x14ac:dyDescent="0.3">
      <c r="A1873" s="45"/>
      <c r="B1873" s="46"/>
      <c r="C1873" s="400"/>
      <c r="D1873" s="170"/>
      <c r="E1873" s="46"/>
      <c r="F1873" s="170"/>
      <c r="G1873" s="288"/>
      <c r="H1873" s="289"/>
      <c r="I1873" s="472"/>
      <c r="J1873" s="48"/>
      <c r="K1873" s="473"/>
      <c r="L1873" s="45"/>
      <c r="M1873" s="124"/>
      <c r="N1873" s="125"/>
      <c r="O1873" s="125"/>
      <c r="P1873" s="12"/>
      <c r="Q1873" s="12"/>
      <c r="R1873" s="12"/>
      <c r="S1873" s="151"/>
      <c r="T1873" s="12"/>
      <c r="U1873" s="12"/>
      <c r="V1873" s="12"/>
      <c r="W1873" s="12"/>
      <c r="X1873" s="12"/>
      <c r="Y1873" s="12"/>
      <c r="Z1873" s="12"/>
    </row>
    <row r="1874" spans="1:26" ht="15.75" customHeight="1" x14ac:dyDescent="0.3">
      <c r="A1874" s="45"/>
      <c r="B1874" s="46"/>
      <c r="C1874" s="400"/>
      <c r="D1874" s="170"/>
      <c r="E1874" s="46"/>
      <c r="F1874" s="170"/>
      <c r="G1874" s="288"/>
      <c r="H1874" s="289"/>
      <c r="I1874" s="472"/>
      <c r="J1874" s="48"/>
      <c r="K1874" s="473"/>
      <c r="L1874" s="45"/>
      <c r="M1874" s="124"/>
      <c r="N1874" s="125"/>
      <c r="O1874" s="125"/>
      <c r="P1874" s="12"/>
      <c r="Q1874" s="12"/>
      <c r="R1874" s="12"/>
      <c r="S1874" s="151"/>
      <c r="T1874" s="12"/>
      <c r="U1874" s="12"/>
      <c r="V1874" s="12"/>
      <c r="W1874" s="12"/>
      <c r="X1874" s="12"/>
      <c r="Y1874" s="12"/>
      <c r="Z1874" s="12"/>
    </row>
    <row r="1875" spans="1:26" ht="15.75" customHeight="1" x14ac:dyDescent="0.3">
      <c r="A1875" s="45"/>
      <c r="B1875" s="46"/>
      <c r="C1875" s="400"/>
      <c r="D1875" s="170"/>
      <c r="E1875" s="46"/>
      <c r="F1875" s="170"/>
      <c r="G1875" s="288"/>
      <c r="H1875" s="289"/>
      <c r="I1875" s="472"/>
      <c r="J1875" s="48"/>
      <c r="K1875" s="473"/>
      <c r="L1875" s="45"/>
      <c r="M1875" s="124"/>
      <c r="N1875" s="125"/>
      <c r="O1875" s="125"/>
      <c r="P1875" s="12"/>
      <c r="Q1875" s="12"/>
      <c r="R1875" s="12"/>
      <c r="S1875" s="151"/>
      <c r="T1875" s="12"/>
      <c r="U1875" s="12"/>
      <c r="V1875" s="12"/>
      <c r="W1875" s="12"/>
      <c r="X1875" s="12"/>
      <c r="Y1875" s="12"/>
      <c r="Z1875" s="12"/>
    </row>
    <row r="1876" spans="1:26" ht="15.75" customHeight="1" x14ac:dyDescent="0.3">
      <c r="A1876" s="45"/>
      <c r="B1876" s="46"/>
      <c r="C1876" s="400"/>
      <c r="D1876" s="170"/>
      <c r="E1876" s="46"/>
      <c r="F1876" s="170"/>
      <c r="G1876" s="288"/>
      <c r="H1876" s="289"/>
      <c r="I1876" s="472"/>
      <c r="J1876" s="48"/>
      <c r="K1876" s="473"/>
      <c r="L1876" s="45"/>
      <c r="M1876" s="124"/>
      <c r="N1876" s="125"/>
      <c r="O1876" s="125"/>
      <c r="P1876" s="12"/>
      <c r="Q1876" s="12"/>
      <c r="R1876" s="12"/>
      <c r="S1876" s="151"/>
      <c r="T1876" s="12"/>
      <c r="U1876" s="12"/>
      <c r="V1876" s="12"/>
      <c r="W1876" s="12"/>
      <c r="X1876" s="12"/>
      <c r="Y1876" s="12"/>
      <c r="Z1876" s="12"/>
    </row>
    <row r="1877" spans="1:26" ht="15.75" customHeight="1" x14ac:dyDescent="0.3">
      <c r="A1877" s="45"/>
      <c r="B1877" s="46"/>
      <c r="C1877" s="400"/>
      <c r="D1877" s="170"/>
      <c r="E1877" s="46"/>
      <c r="F1877" s="170"/>
      <c r="G1877" s="288"/>
      <c r="H1877" s="289"/>
      <c r="I1877" s="472"/>
      <c r="J1877" s="48"/>
      <c r="K1877" s="473"/>
      <c r="L1877" s="45"/>
      <c r="M1877" s="124"/>
      <c r="N1877" s="125"/>
      <c r="O1877" s="125"/>
      <c r="P1877" s="12"/>
      <c r="Q1877" s="12"/>
      <c r="R1877" s="12"/>
      <c r="S1877" s="151"/>
      <c r="T1877" s="12"/>
      <c r="U1877" s="12"/>
      <c r="V1877" s="12"/>
      <c r="W1877" s="12"/>
      <c r="X1877" s="12"/>
      <c r="Y1877" s="12"/>
      <c r="Z1877" s="12"/>
    </row>
    <row r="1878" spans="1:26" ht="15.75" customHeight="1" x14ac:dyDescent="0.3">
      <c r="A1878" s="45"/>
      <c r="B1878" s="46"/>
      <c r="C1878" s="400"/>
      <c r="D1878" s="170"/>
      <c r="E1878" s="46"/>
      <c r="F1878" s="170"/>
      <c r="G1878" s="288"/>
      <c r="H1878" s="289"/>
      <c r="I1878" s="472"/>
      <c r="J1878" s="48"/>
      <c r="K1878" s="473"/>
      <c r="L1878" s="45"/>
      <c r="M1878" s="124"/>
      <c r="N1878" s="125"/>
      <c r="O1878" s="125"/>
      <c r="P1878" s="12"/>
      <c r="Q1878" s="12"/>
      <c r="R1878" s="12"/>
      <c r="S1878" s="151"/>
      <c r="T1878" s="12"/>
      <c r="U1878" s="12"/>
      <c r="V1878" s="12"/>
      <c r="W1878" s="12"/>
      <c r="X1878" s="12"/>
      <c r="Y1878" s="12"/>
      <c r="Z1878" s="12"/>
    </row>
    <row r="1879" spans="1:26" ht="15.75" customHeight="1" x14ac:dyDescent="0.3">
      <c r="A1879" s="45"/>
      <c r="B1879" s="46"/>
      <c r="C1879" s="400"/>
      <c r="D1879" s="170"/>
      <c r="E1879" s="46"/>
      <c r="F1879" s="170"/>
      <c r="G1879" s="288"/>
      <c r="H1879" s="289"/>
      <c r="I1879" s="472"/>
      <c r="J1879" s="48"/>
      <c r="K1879" s="473"/>
      <c r="L1879" s="45"/>
      <c r="M1879" s="124"/>
      <c r="N1879" s="125"/>
      <c r="O1879" s="125"/>
      <c r="P1879" s="12"/>
      <c r="Q1879" s="12"/>
      <c r="R1879" s="12"/>
      <c r="S1879" s="151"/>
      <c r="T1879" s="12"/>
      <c r="U1879" s="12"/>
      <c r="V1879" s="12"/>
      <c r="W1879" s="12"/>
      <c r="X1879" s="12"/>
      <c r="Y1879" s="12"/>
      <c r="Z1879" s="12"/>
    </row>
    <row r="1880" spans="1:26" ht="15.75" customHeight="1" x14ac:dyDescent="0.3">
      <c r="A1880" s="45"/>
      <c r="B1880" s="46"/>
      <c r="C1880" s="400"/>
      <c r="D1880" s="170"/>
      <c r="E1880" s="46"/>
      <c r="F1880" s="170"/>
      <c r="G1880" s="288"/>
      <c r="H1880" s="289"/>
      <c r="I1880" s="472"/>
      <c r="J1880" s="48"/>
      <c r="K1880" s="473"/>
      <c r="L1880" s="45"/>
      <c r="M1880" s="124"/>
      <c r="N1880" s="125"/>
      <c r="O1880" s="125"/>
      <c r="P1880" s="12"/>
      <c r="Q1880" s="12"/>
      <c r="R1880" s="12"/>
      <c r="S1880" s="151"/>
      <c r="T1880" s="12"/>
      <c r="U1880" s="12"/>
      <c r="V1880" s="12"/>
      <c r="W1880" s="12"/>
      <c r="X1880" s="12"/>
      <c r="Y1880" s="12"/>
      <c r="Z1880" s="12"/>
    </row>
    <row r="1881" spans="1:26" ht="15.75" customHeight="1" x14ac:dyDescent="0.3">
      <c r="A1881" s="45"/>
      <c r="B1881" s="46"/>
      <c r="C1881" s="400"/>
      <c r="D1881" s="170"/>
      <c r="E1881" s="46"/>
      <c r="F1881" s="170"/>
      <c r="G1881" s="288"/>
      <c r="H1881" s="289"/>
      <c r="I1881" s="472"/>
      <c r="J1881" s="48"/>
      <c r="K1881" s="473"/>
      <c r="L1881" s="45"/>
      <c r="M1881" s="124"/>
      <c r="N1881" s="125"/>
      <c r="O1881" s="125"/>
      <c r="P1881" s="12"/>
      <c r="Q1881" s="12"/>
      <c r="R1881" s="12"/>
      <c r="S1881" s="151"/>
      <c r="T1881" s="12"/>
      <c r="U1881" s="12"/>
      <c r="V1881" s="12"/>
      <c r="W1881" s="12"/>
      <c r="X1881" s="12"/>
      <c r="Y1881" s="12"/>
      <c r="Z1881" s="12"/>
    </row>
    <row r="1882" spans="1:26" ht="15.75" customHeight="1" x14ac:dyDescent="0.3">
      <c r="A1882" s="45"/>
      <c r="B1882" s="46"/>
      <c r="C1882" s="400"/>
      <c r="D1882" s="170"/>
      <c r="E1882" s="46"/>
      <c r="F1882" s="170"/>
      <c r="G1882" s="288"/>
      <c r="H1882" s="289"/>
      <c r="I1882" s="472"/>
      <c r="J1882" s="48"/>
      <c r="K1882" s="473"/>
      <c r="L1882" s="45"/>
      <c r="M1882" s="124"/>
      <c r="N1882" s="125"/>
      <c r="O1882" s="125"/>
      <c r="P1882" s="12"/>
      <c r="Q1882" s="12"/>
      <c r="R1882" s="12"/>
      <c r="S1882" s="151"/>
      <c r="T1882" s="12"/>
      <c r="U1882" s="12"/>
      <c r="V1882" s="12"/>
      <c r="W1882" s="12"/>
      <c r="X1882" s="12"/>
      <c r="Y1882" s="12"/>
      <c r="Z1882" s="12"/>
    </row>
    <row r="1883" spans="1:26" ht="15.75" customHeight="1" x14ac:dyDescent="0.3">
      <c r="A1883" s="45"/>
      <c r="B1883" s="46"/>
      <c r="C1883" s="400"/>
      <c r="D1883" s="170"/>
      <c r="E1883" s="46"/>
      <c r="F1883" s="170"/>
      <c r="G1883" s="288"/>
      <c r="H1883" s="289"/>
      <c r="I1883" s="472"/>
      <c r="J1883" s="48"/>
      <c r="K1883" s="473"/>
      <c r="L1883" s="45"/>
      <c r="M1883" s="124"/>
      <c r="N1883" s="125"/>
      <c r="O1883" s="125"/>
      <c r="P1883" s="12"/>
      <c r="Q1883" s="12"/>
      <c r="R1883" s="12"/>
      <c r="S1883" s="151"/>
      <c r="T1883" s="12"/>
      <c r="U1883" s="12"/>
      <c r="V1883" s="12"/>
      <c r="W1883" s="12"/>
      <c r="X1883" s="12"/>
      <c r="Y1883" s="12"/>
      <c r="Z1883" s="12"/>
    </row>
    <row r="1884" spans="1:26" ht="15.75" customHeight="1" x14ac:dyDescent="0.3">
      <c r="A1884" s="45"/>
      <c r="B1884" s="46"/>
      <c r="C1884" s="400"/>
      <c r="D1884" s="170"/>
      <c r="E1884" s="46"/>
      <c r="F1884" s="170"/>
      <c r="G1884" s="288"/>
      <c r="H1884" s="289"/>
      <c r="I1884" s="472"/>
      <c r="J1884" s="48"/>
      <c r="K1884" s="473"/>
      <c r="L1884" s="45"/>
      <c r="M1884" s="124"/>
      <c r="N1884" s="125"/>
      <c r="O1884" s="125"/>
      <c r="P1884" s="12"/>
      <c r="Q1884" s="12"/>
      <c r="R1884" s="12"/>
      <c r="S1884" s="151"/>
      <c r="T1884" s="12"/>
      <c r="U1884" s="12"/>
      <c r="V1884" s="12"/>
      <c r="W1884" s="12"/>
      <c r="X1884" s="12"/>
      <c r="Y1884" s="12"/>
      <c r="Z1884" s="12"/>
    </row>
    <row r="1885" spans="1:26" ht="15.75" customHeight="1" x14ac:dyDescent="0.3">
      <c r="A1885" s="45"/>
      <c r="B1885" s="46"/>
      <c r="C1885" s="400"/>
      <c r="D1885" s="170"/>
      <c r="E1885" s="46"/>
      <c r="F1885" s="170"/>
      <c r="G1885" s="288"/>
      <c r="H1885" s="289"/>
      <c r="I1885" s="472"/>
      <c r="J1885" s="48"/>
      <c r="K1885" s="473"/>
      <c r="L1885" s="45"/>
      <c r="M1885" s="124"/>
      <c r="N1885" s="125"/>
      <c r="O1885" s="125"/>
      <c r="P1885" s="12"/>
      <c r="Q1885" s="12"/>
      <c r="R1885" s="12"/>
      <c r="S1885" s="151"/>
      <c r="T1885" s="12"/>
      <c r="U1885" s="12"/>
      <c r="V1885" s="12"/>
      <c r="W1885" s="12"/>
      <c r="X1885" s="12"/>
      <c r="Y1885" s="12"/>
      <c r="Z1885" s="12"/>
    </row>
    <row r="1886" spans="1:26" ht="15.75" customHeight="1" x14ac:dyDescent="0.3">
      <c r="A1886" s="45"/>
      <c r="B1886" s="46"/>
      <c r="C1886" s="400"/>
      <c r="D1886" s="170"/>
      <c r="E1886" s="46"/>
      <c r="F1886" s="170"/>
      <c r="G1886" s="288"/>
      <c r="H1886" s="289"/>
      <c r="I1886" s="472"/>
      <c r="J1886" s="48"/>
      <c r="K1886" s="473"/>
      <c r="L1886" s="45"/>
      <c r="M1886" s="124"/>
      <c r="N1886" s="125"/>
      <c r="O1886" s="125"/>
      <c r="P1886" s="12"/>
      <c r="Q1886" s="12"/>
      <c r="R1886" s="12"/>
      <c r="S1886" s="151"/>
      <c r="T1886" s="12"/>
      <c r="U1886" s="12"/>
      <c r="V1886" s="12"/>
      <c r="W1886" s="12"/>
      <c r="X1886" s="12"/>
      <c r="Y1886" s="12"/>
      <c r="Z1886" s="12"/>
    </row>
    <row r="1887" spans="1:26" ht="15.75" customHeight="1" x14ac:dyDescent="0.3">
      <c r="A1887" s="45"/>
      <c r="B1887" s="46"/>
      <c r="C1887" s="400"/>
      <c r="D1887" s="170"/>
      <c r="E1887" s="46"/>
      <c r="F1887" s="170"/>
      <c r="G1887" s="288"/>
      <c r="H1887" s="289"/>
      <c r="I1887" s="472"/>
      <c r="J1887" s="48"/>
      <c r="K1887" s="473"/>
      <c r="L1887" s="45"/>
      <c r="M1887" s="124"/>
      <c r="N1887" s="125"/>
      <c r="O1887" s="125"/>
      <c r="P1887" s="12"/>
      <c r="Q1887" s="12"/>
      <c r="R1887" s="12"/>
      <c r="S1887" s="151"/>
      <c r="T1887" s="12"/>
      <c r="U1887" s="12"/>
      <c r="V1887" s="12"/>
      <c r="W1887" s="12"/>
      <c r="X1887" s="12"/>
      <c r="Y1887" s="12"/>
      <c r="Z1887" s="12"/>
    </row>
    <row r="1888" spans="1:26" ht="15.75" customHeight="1" x14ac:dyDescent="0.3">
      <c r="A1888" s="45"/>
      <c r="B1888" s="46"/>
      <c r="C1888" s="400"/>
      <c r="D1888" s="170"/>
      <c r="E1888" s="46"/>
      <c r="F1888" s="170"/>
      <c r="G1888" s="288"/>
      <c r="H1888" s="289"/>
      <c r="I1888" s="472"/>
      <c r="J1888" s="48"/>
      <c r="K1888" s="473"/>
      <c r="L1888" s="45"/>
      <c r="M1888" s="124"/>
      <c r="N1888" s="125"/>
      <c r="O1888" s="125"/>
      <c r="P1888" s="12"/>
      <c r="Q1888" s="12"/>
      <c r="R1888" s="12"/>
      <c r="S1888" s="151"/>
      <c r="T1888" s="12"/>
      <c r="U1888" s="12"/>
      <c r="V1888" s="12"/>
      <c r="W1888" s="12"/>
      <c r="X1888" s="12"/>
      <c r="Y1888" s="12"/>
      <c r="Z1888" s="12"/>
    </row>
    <row r="1889" spans="1:26" ht="15.75" customHeight="1" x14ac:dyDescent="0.3">
      <c r="A1889" s="45"/>
      <c r="B1889" s="46"/>
      <c r="C1889" s="400"/>
      <c r="D1889" s="170"/>
      <c r="E1889" s="46"/>
      <c r="F1889" s="170"/>
      <c r="G1889" s="288"/>
      <c r="H1889" s="289"/>
      <c r="I1889" s="472"/>
      <c r="J1889" s="48"/>
      <c r="K1889" s="473"/>
      <c r="L1889" s="45"/>
      <c r="M1889" s="124"/>
      <c r="N1889" s="125"/>
      <c r="O1889" s="125"/>
      <c r="P1889" s="12"/>
      <c r="Q1889" s="12"/>
      <c r="R1889" s="12"/>
      <c r="S1889" s="151"/>
      <c r="T1889" s="12"/>
      <c r="U1889" s="12"/>
      <c r="V1889" s="12"/>
      <c r="W1889" s="12"/>
      <c r="X1889" s="12"/>
      <c r="Y1889" s="12"/>
      <c r="Z1889" s="12"/>
    </row>
    <row r="1890" spans="1:26" ht="15.75" customHeight="1" x14ac:dyDescent="0.3">
      <c r="A1890" s="45"/>
      <c r="B1890" s="46"/>
      <c r="C1890" s="400"/>
      <c r="D1890" s="170"/>
      <c r="E1890" s="46"/>
      <c r="F1890" s="170"/>
      <c r="G1890" s="288"/>
      <c r="H1890" s="289"/>
      <c r="I1890" s="472"/>
      <c r="J1890" s="48"/>
      <c r="K1890" s="473"/>
      <c r="L1890" s="45"/>
      <c r="M1890" s="124"/>
      <c r="N1890" s="125"/>
      <c r="O1890" s="125"/>
      <c r="P1890" s="12"/>
      <c r="Q1890" s="12"/>
      <c r="R1890" s="12"/>
      <c r="S1890" s="151"/>
      <c r="T1890" s="12"/>
      <c r="U1890" s="12"/>
      <c r="V1890" s="12"/>
      <c r="W1890" s="12"/>
      <c r="X1890" s="12"/>
      <c r="Y1890" s="12"/>
      <c r="Z1890" s="12"/>
    </row>
    <row r="1891" spans="1:26" ht="15.75" customHeight="1" x14ac:dyDescent="0.3">
      <c r="A1891" s="45"/>
      <c r="B1891" s="46"/>
      <c r="C1891" s="400"/>
      <c r="D1891" s="170"/>
      <c r="E1891" s="46"/>
      <c r="F1891" s="170"/>
      <c r="G1891" s="288"/>
      <c r="H1891" s="289"/>
      <c r="I1891" s="472"/>
      <c r="J1891" s="48"/>
      <c r="K1891" s="473"/>
      <c r="L1891" s="45"/>
      <c r="M1891" s="124"/>
      <c r="N1891" s="125"/>
      <c r="O1891" s="125"/>
      <c r="P1891" s="12"/>
      <c r="Q1891" s="12"/>
      <c r="R1891" s="12"/>
      <c r="S1891" s="151"/>
      <c r="T1891" s="12"/>
      <c r="U1891" s="12"/>
      <c r="V1891" s="12"/>
      <c r="W1891" s="12"/>
      <c r="X1891" s="12"/>
      <c r="Y1891" s="12"/>
      <c r="Z1891" s="12"/>
    </row>
    <row r="1892" spans="1:26" ht="15.75" customHeight="1" x14ac:dyDescent="0.3">
      <c r="A1892" s="45"/>
      <c r="B1892" s="46"/>
      <c r="C1892" s="400"/>
      <c r="D1892" s="170"/>
      <c r="E1892" s="46"/>
      <c r="F1892" s="170"/>
      <c r="G1892" s="288"/>
      <c r="H1892" s="289"/>
      <c r="I1892" s="472"/>
      <c r="J1892" s="48"/>
      <c r="K1892" s="473"/>
      <c r="L1892" s="45"/>
      <c r="M1892" s="124"/>
      <c r="N1892" s="125"/>
      <c r="O1892" s="125"/>
      <c r="P1892" s="12"/>
      <c r="Q1892" s="12"/>
      <c r="R1892" s="12"/>
      <c r="S1892" s="151"/>
      <c r="T1892" s="12"/>
      <c r="U1892" s="12"/>
      <c r="V1892" s="12"/>
      <c r="W1892" s="12"/>
      <c r="X1892" s="12"/>
      <c r="Y1892" s="12"/>
      <c r="Z1892" s="12"/>
    </row>
    <row r="1893" spans="1:26" ht="15.75" customHeight="1" x14ac:dyDescent="0.3">
      <c r="A1893" s="45"/>
      <c r="B1893" s="46"/>
      <c r="C1893" s="400"/>
      <c r="D1893" s="170"/>
      <c r="E1893" s="46"/>
      <c r="F1893" s="170"/>
      <c r="G1893" s="288"/>
      <c r="H1893" s="289"/>
      <c r="I1893" s="472"/>
      <c r="J1893" s="48"/>
      <c r="K1893" s="473"/>
      <c r="L1893" s="45"/>
      <c r="M1893" s="124"/>
      <c r="N1893" s="125"/>
      <c r="O1893" s="125"/>
      <c r="P1893" s="12"/>
      <c r="Q1893" s="12"/>
      <c r="R1893" s="12"/>
      <c r="S1893" s="151"/>
      <c r="T1893" s="12"/>
      <c r="U1893" s="12"/>
      <c r="V1893" s="12"/>
      <c r="W1893" s="12"/>
      <c r="X1893" s="12"/>
      <c r="Y1893" s="12"/>
      <c r="Z1893" s="12"/>
    </row>
    <row r="1894" spans="1:26" ht="15.75" customHeight="1" x14ac:dyDescent="0.3">
      <c r="A1894" s="45"/>
      <c r="B1894" s="46"/>
      <c r="C1894" s="400"/>
      <c r="D1894" s="170"/>
      <c r="E1894" s="46"/>
      <c r="F1894" s="170"/>
      <c r="G1894" s="288"/>
      <c r="H1894" s="289"/>
      <c r="I1894" s="472"/>
      <c r="J1894" s="48"/>
      <c r="K1894" s="473"/>
      <c r="L1894" s="45"/>
      <c r="M1894" s="124"/>
      <c r="N1894" s="125"/>
      <c r="O1894" s="125"/>
      <c r="P1894" s="12"/>
      <c r="Q1894" s="12"/>
      <c r="R1894" s="12"/>
      <c r="S1894" s="151"/>
      <c r="T1894" s="12"/>
      <c r="U1894" s="12"/>
      <c r="V1894" s="12"/>
      <c r="W1894" s="12"/>
      <c r="X1894" s="12"/>
      <c r="Y1894" s="12"/>
      <c r="Z1894" s="12"/>
    </row>
    <row r="1895" spans="1:26" ht="15.75" customHeight="1" x14ac:dyDescent="0.3">
      <c r="A1895" s="45"/>
      <c r="B1895" s="46"/>
      <c r="C1895" s="400"/>
      <c r="D1895" s="170"/>
      <c r="E1895" s="46"/>
      <c r="F1895" s="170"/>
      <c r="G1895" s="288"/>
      <c r="H1895" s="289"/>
      <c r="I1895" s="472"/>
      <c r="J1895" s="48"/>
      <c r="K1895" s="473"/>
      <c r="L1895" s="45"/>
      <c r="M1895" s="124"/>
      <c r="N1895" s="125"/>
      <c r="O1895" s="125"/>
      <c r="P1895" s="12"/>
      <c r="Q1895" s="12"/>
      <c r="R1895" s="12"/>
      <c r="S1895" s="151"/>
      <c r="T1895" s="12"/>
      <c r="U1895" s="12"/>
      <c r="V1895" s="12"/>
      <c r="W1895" s="12"/>
      <c r="X1895" s="12"/>
      <c r="Y1895" s="12"/>
      <c r="Z1895" s="12"/>
    </row>
    <row r="1896" spans="1:26" ht="15.75" customHeight="1" x14ac:dyDescent="0.3">
      <c r="A1896" s="45"/>
      <c r="B1896" s="46"/>
      <c r="C1896" s="400"/>
      <c r="D1896" s="170"/>
      <c r="E1896" s="46"/>
      <c r="F1896" s="170"/>
      <c r="G1896" s="288"/>
      <c r="H1896" s="289"/>
      <c r="I1896" s="472"/>
      <c r="J1896" s="48"/>
      <c r="K1896" s="473"/>
      <c r="L1896" s="45"/>
      <c r="M1896" s="124"/>
      <c r="N1896" s="125"/>
      <c r="O1896" s="125"/>
      <c r="P1896" s="12"/>
      <c r="Q1896" s="12"/>
      <c r="R1896" s="12"/>
      <c r="S1896" s="151"/>
      <c r="T1896" s="12"/>
      <c r="U1896" s="12"/>
      <c r="V1896" s="12"/>
      <c r="W1896" s="12"/>
      <c r="X1896" s="12"/>
      <c r="Y1896" s="12"/>
      <c r="Z1896" s="12"/>
    </row>
    <row r="1897" spans="1:26" ht="15.75" customHeight="1" x14ac:dyDescent="0.3">
      <c r="A1897" s="45"/>
      <c r="B1897" s="46"/>
      <c r="C1897" s="400"/>
      <c r="D1897" s="170"/>
      <c r="E1897" s="46"/>
      <c r="F1897" s="170"/>
      <c r="G1897" s="288"/>
      <c r="H1897" s="289"/>
      <c r="I1897" s="472"/>
      <c r="J1897" s="48"/>
      <c r="K1897" s="473"/>
      <c r="L1897" s="45"/>
      <c r="M1897" s="124"/>
      <c r="N1897" s="125"/>
      <c r="O1897" s="125"/>
      <c r="P1897" s="12"/>
      <c r="Q1897" s="12"/>
      <c r="R1897" s="12"/>
      <c r="S1897" s="151"/>
      <c r="T1897" s="12"/>
      <c r="U1897" s="12"/>
      <c r="V1897" s="12"/>
      <c r="W1897" s="12"/>
      <c r="X1897" s="12"/>
      <c r="Y1897" s="12"/>
      <c r="Z1897" s="12"/>
    </row>
    <row r="1898" spans="1:26" ht="15.75" customHeight="1" x14ac:dyDescent="0.3">
      <c r="A1898" s="45"/>
      <c r="B1898" s="46"/>
      <c r="C1898" s="400"/>
      <c r="D1898" s="170"/>
      <c r="E1898" s="46"/>
      <c r="F1898" s="170"/>
      <c r="G1898" s="288"/>
      <c r="H1898" s="289"/>
      <c r="I1898" s="472"/>
      <c r="J1898" s="48"/>
      <c r="K1898" s="473"/>
      <c r="L1898" s="45"/>
      <c r="M1898" s="124"/>
      <c r="N1898" s="125"/>
      <c r="O1898" s="125"/>
      <c r="P1898" s="12"/>
      <c r="Q1898" s="12"/>
      <c r="R1898" s="12"/>
      <c r="S1898" s="151"/>
      <c r="T1898" s="12"/>
      <c r="U1898" s="12"/>
      <c r="V1898" s="12"/>
      <c r="W1898" s="12"/>
      <c r="X1898" s="12"/>
      <c r="Y1898" s="12"/>
      <c r="Z1898" s="12"/>
    </row>
    <row r="1899" spans="1:26" ht="15.75" customHeight="1" x14ac:dyDescent="0.3">
      <c r="A1899" s="45"/>
      <c r="B1899" s="46"/>
      <c r="C1899" s="400"/>
      <c r="D1899" s="170"/>
      <c r="E1899" s="46"/>
      <c r="F1899" s="170"/>
      <c r="G1899" s="288"/>
      <c r="H1899" s="289"/>
      <c r="I1899" s="472"/>
      <c r="J1899" s="48"/>
      <c r="K1899" s="473"/>
      <c r="L1899" s="45"/>
      <c r="M1899" s="124"/>
      <c r="N1899" s="125"/>
      <c r="O1899" s="125"/>
      <c r="P1899" s="12"/>
      <c r="Q1899" s="12"/>
      <c r="R1899" s="12"/>
      <c r="S1899" s="151"/>
      <c r="T1899" s="12"/>
      <c r="U1899" s="12"/>
      <c r="V1899" s="12"/>
      <c r="W1899" s="12"/>
      <c r="X1899" s="12"/>
      <c r="Y1899" s="12"/>
      <c r="Z1899" s="12"/>
    </row>
    <row r="1900" spans="1:26" ht="15.75" customHeight="1" x14ac:dyDescent="0.3">
      <c r="A1900" s="45"/>
      <c r="B1900" s="46"/>
      <c r="C1900" s="400"/>
      <c r="D1900" s="170"/>
      <c r="E1900" s="46"/>
      <c r="F1900" s="170"/>
      <c r="G1900" s="288"/>
      <c r="H1900" s="289"/>
      <c r="I1900" s="472"/>
      <c r="J1900" s="48"/>
      <c r="K1900" s="473"/>
      <c r="L1900" s="45"/>
      <c r="M1900" s="124"/>
      <c r="N1900" s="125"/>
      <c r="O1900" s="125"/>
      <c r="P1900" s="12"/>
      <c r="Q1900" s="12"/>
      <c r="R1900" s="12"/>
      <c r="S1900" s="151"/>
      <c r="T1900" s="12"/>
      <c r="U1900" s="12"/>
      <c r="V1900" s="12"/>
      <c r="W1900" s="12"/>
      <c r="X1900" s="12"/>
      <c r="Y1900" s="12"/>
      <c r="Z1900" s="12"/>
    </row>
    <row r="1901" spans="1:26" ht="15.75" customHeight="1" x14ac:dyDescent="0.3">
      <c r="A1901" s="45"/>
      <c r="B1901" s="46"/>
      <c r="C1901" s="400"/>
      <c r="D1901" s="170"/>
      <c r="E1901" s="46"/>
      <c r="F1901" s="170"/>
      <c r="G1901" s="288"/>
      <c r="H1901" s="289"/>
      <c r="I1901" s="472"/>
      <c r="J1901" s="48"/>
      <c r="K1901" s="473"/>
      <c r="L1901" s="45"/>
      <c r="M1901" s="124"/>
      <c r="N1901" s="125"/>
      <c r="O1901" s="125"/>
      <c r="P1901" s="12"/>
      <c r="Q1901" s="12"/>
      <c r="R1901" s="12"/>
      <c r="S1901" s="151"/>
      <c r="T1901" s="12"/>
      <c r="U1901" s="12"/>
      <c r="V1901" s="12"/>
      <c r="W1901" s="12"/>
      <c r="X1901" s="12"/>
      <c r="Y1901" s="12"/>
      <c r="Z1901" s="12"/>
    </row>
    <row r="1902" spans="1:26" ht="15.75" customHeight="1" x14ac:dyDescent="0.3">
      <c r="A1902" s="45"/>
      <c r="B1902" s="46"/>
      <c r="C1902" s="400"/>
      <c r="D1902" s="170"/>
      <c r="E1902" s="46"/>
      <c r="F1902" s="170"/>
      <c r="G1902" s="288"/>
      <c r="H1902" s="289"/>
      <c r="I1902" s="472"/>
      <c r="J1902" s="48"/>
      <c r="K1902" s="473"/>
      <c r="L1902" s="45"/>
      <c r="M1902" s="124"/>
      <c r="N1902" s="125"/>
      <c r="O1902" s="125"/>
      <c r="P1902" s="12"/>
      <c r="Q1902" s="12"/>
      <c r="R1902" s="12"/>
      <c r="S1902" s="151"/>
      <c r="T1902" s="12"/>
      <c r="U1902" s="12"/>
      <c r="V1902" s="12"/>
      <c r="W1902" s="12"/>
      <c r="X1902" s="12"/>
      <c r="Y1902" s="12"/>
      <c r="Z1902" s="12"/>
    </row>
    <row r="1903" spans="1:26" ht="15.75" customHeight="1" x14ac:dyDescent="0.3">
      <c r="A1903" s="45"/>
      <c r="B1903" s="46"/>
      <c r="C1903" s="400"/>
      <c r="D1903" s="170"/>
      <c r="E1903" s="46"/>
      <c r="F1903" s="170"/>
      <c r="G1903" s="288"/>
      <c r="H1903" s="289"/>
      <c r="I1903" s="472"/>
      <c r="J1903" s="48"/>
      <c r="K1903" s="473"/>
      <c r="L1903" s="45"/>
      <c r="M1903" s="124"/>
      <c r="N1903" s="125"/>
      <c r="O1903" s="125"/>
      <c r="P1903" s="12"/>
      <c r="Q1903" s="12"/>
      <c r="R1903" s="12"/>
      <c r="S1903" s="151"/>
      <c r="T1903" s="12"/>
      <c r="U1903" s="12"/>
      <c r="V1903" s="12"/>
      <c r="W1903" s="12"/>
      <c r="X1903" s="12"/>
      <c r="Y1903" s="12"/>
      <c r="Z1903" s="12"/>
    </row>
    <row r="1904" spans="1:26" ht="15.75" customHeight="1" x14ac:dyDescent="0.3">
      <c r="A1904" s="45"/>
      <c r="B1904" s="46"/>
      <c r="C1904" s="400"/>
      <c r="D1904" s="170"/>
      <c r="E1904" s="46"/>
      <c r="F1904" s="170"/>
      <c r="G1904" s="288"/>
      <c r="H1904" s="289"/>
      <c r="I1904" s="472"/>
      <c r="J1904" s="48"/>
      <c r="K1904" s="473"/>
      <c r="L1904" s="45"/>
      <c r="M1904" s="124"/>
      <c r="N1904" s="125"/>
      <c r="O1904" s="125"/>
      <c r="P1904" s="12"/>
      <c r="Q1904" s="12"/>
      <c r="R1904" s="12"/>
      <c r="S1904" s="151"/>
      <c r="T1904" s="12"/>
      <c r="U1904" s="12"/>
      <c r="V1904" s="12"/>
      <c r="W1904" s="12"/>
      <c r="X1904" s="12"/>
      <c r="Y1904" s="12"/>
      <c r="Z1904" s="12"/>
    </row>
    <row r="1905" spans="1:26" ht="15.75" customHeight="1" x14ac:dyDescent="0.3">
      <c r="A1905" s="45"/>
      <c r="B1905" s="46"/>
      <c r="C1905" s="400"/>
      <c r="D1905" s="170"/>
      <c r="E1905" s="46"/>
      <c r="F1905" s="170"/>
      <c r="G1905" s="288"/>
      <c r="H1905" s="289"/>
      <c r="I1905" s="472"/>
      <c r="J1905" s="48"/>
      <c r="K1905" s="473"/>
      <c r="L1905" s="45"/>
      <c r="M1905" s="124"/>
      <c r="N1905" s="125"/>
      <c r="O1905" s="125"/>
      <c r="P1905" s="12"/>
      <c r="Q1905" s="12"/>
      <c r="R1905" s="12"/>
      <c r="S1905" s="151"/>
      <c r="T1905" s="12"/>
      <c r="U1905" s="12"/>
      <c r="V1905" s="12"/>
      <c r="W1905" s="12"/>
      <c r="X1905" s="12"/>
      <c r="Y1905" s="12"/>
      <c r="Z1905" s="12"/>
    </row>
    <row r="1906" spans="1:26" ht="15.75" customHeight="1" x14ac:dyDescent="0.3">
      <c r="A1906" s="45"/>
      <c r="B1906" s="46"/>
      <c r="C1906" s="400"/>
      <c r="D1906" s="170"/>
      <c r="E1906" s="46"/>
      <c r="F1906" s="170"/>
      <c r="G1906" s="288"/>
      <c r="H1906" s="289"/>
      <c r="I1906" s="472"/>
      <c r="J1906" s="48"/>
      <c r="K1906" s="473"/>
      <c r="L1906" s="45"/>
      <c r="M1906" s="124"/>
      <c r="N1906" s="125"/>
      <c r="O1906" s="125"/>
      <c r="P1906" s="12"/>
      <c r="Q1906" s="12"/>
      <c r="R1906" s="12"/>
      <c r="S1906" s="151"/>
      <c r="T1906" s="12"/>
      <c r="U1906" s="12"/>
      <c r="V1906" s="12"/>
      <c r="W1906" s="12"/>
      <c r="X1906" s="12"/>
      <c r="Y1906" s="12"/>
      <c r="Z1906" s="12"/>
    </row>
    <row r="1907" spans="1:26" ht="15.75" customHeight="1" x14ac:dyDescent="0.3">
      <c r="A1907" s="45"/>
      <c r="B1907" s="46"/>
      <c r="C1907" s="400"/>
      <c r="D1907" s="170"/>
      <c r="E1907" s="46"/>
      <c r="F1907" s="170"/>
      <c r="G1907" s="288"/>
      <c r="H1907" s="289"/>
      <c r="I1907" s="472"/>
      <c r="J1907" s="48"/>
      <c r="K1907" s="473"/>
      <c r="L1907" s="45"/>
      <c r="M1907" s="124"/>
      <c r="N1907" s="125"/>
      <c r="O1907" s="125"/>
      <c r="P1907" s="12"/>
      <c r="Q1907" s="12"/>
      <c r="R1907" s="12"/>
      <c r="S1907" s="151"/>
      <c r="T1907" s="12"/>
      <c r="U1907" s="12"/>
      <c r="V1907" s="12"/>
      <c r="W1907" s="12"/>
      <c r="X1907" s="12"/>
      <c r="Y1907" s="12"/>
      <c r="Z1907" s="12"/>
    </row>
    <row r="1908" spans="1:26" ht="15.75" customHeight="1" x14ac:dyDescent="0.3">
      <c r="A1908" s="45"/>
      <c r="B1908" s="46"/>
      <c r="C1908" s="400"/>
      <c r="D1908" s="170"/>
      <c r="E1908" s="46"/>
      <c r="F1908" s="170"/>
      <c r="G1908" s="288"/>
      <c r="H1908" s="289"/>
      <c r="I1908" s="472"/>
      <c r="J1908" s="48"/>
      <c r="K1908" s="473"/>
      <c r="L1908" s="45"/>
      <c r="M1908" s="124"/>
      <c r="N1908" s="125"/>
      <c r="O1908" s="125"/>
      <c r="P1908" s="12"/>
      <c r="Q1908" s="12"/>
      <c r="R1908" s="12"/>
      <c r="S1908" s="151"/>
      <c r="T1908" s="12"/>
      <c r="U1908" s="12"/>
      <c r="V1908" s="12"/>
      <c r="W1908" s="12"/>
      <c r="X1908" s="12"/>
      <c r="Y1908" s="12"/>
      <c r="Z1908" s="12"/>
    </row>
    <row r="1909" spans="1:26" ht="15.75" customHeight="1" x14ac:dyDescent="0.3">
      <c r="A1909" s="45"/>
      <c r="B1909" s="46"/>
      <c r="C1909" s="400"/>
      <c r="D1909" s="170"/>
      <c r="E1909" s="46"/>
      <c r="F1909" s="170"/>
      <c r="G1909" s="288"/>
      <c r="H1909" s="289"/>
      <c r="I1909" s="472"/>
      <c r="J1909" s="48"/>
      <c r="K1909" s="473"/>
      <c r="L1909" s="45"/>
      <c r="M1909" s="124"/>
      <c r="N1909" s="125"/>
      <c r="O1909" s="125"/>
      <c r="P1909" s="12"/>
      <c r="Q1909" s="12"/>
      <c r="R1909" s="12"/>
      <c r="S1909" s="151"/>
      <c r="T1909" s="12"/>
      <c r="U1909" s="12"/>
      <c r="V1909" s="12"/>
      <c r="W1909" s="12"/>
      <c r="X1909" s="12"/>
      <c r="Y1909" s="12"/>
      <c r="Z1909" s="12"/>
    </row>
    <row r="1910" spans="1:26" ht="15.75" customHeight="1" x14ac:dyDescent="0.3">
      <c r="A1910" s="45"/>
      <c r="B1910" s="46"/>
      <c r="C1910" s="400"/>
      <c r="D1910" s="170"/>
      <c r="E1910" s="46"/>
      <c r="F1910" s="170"/>
      <c r="G1910" s="288"/>
      <c r="H1910" s="289"/>
      <c r="I1910" s="472"/>
      <c r="J1910" s="48"/>
      <c r="K1910" s="473"/>
      <c r="L1910" s="45"/>
      <c r="M1910" s="124"/>
      <c r="N1910" s="125"/>
      <c r="O1910" s="125"/>
      <c r="P1910" s="12"/>
      <c r="Q1910" s="12"/>
      <c r="R1910" s="12"/>
      <c r="S1910" s="151"/>
      <c r="T1910" s="12"/>
      <c r="U1910" s="12"/>
      <c r="V1910" s="12"/>
      <c r="W1910" s="12"/>
      <c r="X1910" s="12"/>
      <c r="Y1910" s="12"/>
      <c r="Z1910" s="12"/>
    </row>
    <row r="1911" spans="1:26" ht="15.75" customHeight="1" x14ac:dyDescent="0.3">
      <c r="A1911" s="45"/>
      <c r="B1911" s="46"/>
      <c r="C1911" s="400"/>
      <c r="D1911" s="170"/>
      <c r="E1911" s="46"/>
      <c r="F1911" s="170"/>
      <c r="G1911" s="288"/>
      <c r="H1911" s="289"/>
      <c r="I1911" s="472"/>
      <c r="J1911" s="48"/>
      <c r="K1911" s="473"/>
      <c r="L1911" s="45"/>
      <c r="M1911" s="124"/>
      <c r="N1911" s="125"/>
      <c r="O1911" s="125"/>
      <c r="P1911" s="12"/>
      <c r="Q1911" s="12"/>
      <c r="R1911" s="12"/>
      <c r="S1911" s="151"/>
      <c r="T1911" s="12"/>
      <c r="U1911" s="12"/>
      <c r="V1911" s="12"/>
      <c r="W1911" s="12"/>
      <c r="X1911" s="12"/>
      <c r="Y1911" s="12"/>
      <c r="Z1911" s="12"/>
    </row>
    <row r="1912" spans="1:26" ht="15.75" customHeight="1" x14ac:dyDescent="0.3">
      <c r="A1912" s="45"/>
      <c r="B1912" s="46"/>
      <c r="C1912" s="400"/>
      <c r="D1912" s="170"/>
      <c r="E1912" s="46"/>
      <c r="F1912" s="170"/>
      <c r="G1912" s="288"/>
      <c r="H1912" s="289"/>
      <c r="I1912" s="472"/>
      <c r="J1912" s="48"/>
      <c r="K1912" s="473"/>
      <c r="L1912" s="45"/>
      <c r="M1912" s="124"/>
      <c r="N1912" s="125"/>
      <c r="O1912" s="125"/>
      <c r="P1912" s="12"/>
      <c r="Q1912" s="12"/>
      <c r="R1912" s="12"/>
      <c r="S1912" s="151"/>
      <c r="T1912" s="12"/>
      <c r="U1912" s="12"/>
      <c r="V1912" s="12"/>
      <c r="W1912" s="12"/>
      <c r="X1912" s="12"/>
      <c r="Y1912" s="12"/>
      <c r="Z1912" s="12"/>
    </row>
    <row r="1913" spans="1:26" ht="15.75" customHeight="1" x14ac:dyDescent="0.3">
      <c r="A1913" s="45"/>
      <c r="B1913" s="46"/>
      <c r="C1913" s="400"/>
      <c r="D1913" s="170"/>
      <c r="E1913" s="46"/>
      <c r="F1913" s="170"/>
      <c r="G1913" s="288"/>
      <c r="H1913" s="289"/>
      <c r="I1913" s="472"/>
      <c r="J1913" s="48"/>
      <c r="K1913" s="473"/>
      <c r="L1913" s="45"/>
      <c r="M1913" s="124"/>
      <c r="N1913" s="125"/>
      <c r="O1913" s="125"/>
      <c r="P1913" s="12"/>
      <c r="Q1913" s="12"/>
      <c r="R1913" s="12"/>
      <c r="S1913" s="151"/>
      <c r="T1913" s="12"/>
      <c r="U1913" s="12"/>
      <c r="V1913" s="12"/>
      <c r="W1913" s="12"/>
      <c r="X1913" s="12"/>
      <c r="Y1913" s="12"/>
      <c r="Z1913" s="12"/>
    </row>
    <row r="1914" spans="1:26" ht="15.75" customHeight="1" x14ac:dyDescent="0.3">
      <c r="A1914" s="45"/>
      <c r="B1914" s="46"/>
      <c r="C1914" s="400"/>
      <c r="D1914" s="170"/>
      <c r="E1914" s="46"/>
      <c r="F1914" s="170"/>
      <c r="G1914" s="288"/>
      <c r="H1914" s="289"/>
      <c r="I1914" s="472"/>
      <c r="J1914" s="48"/>
      <c r="K1914" s="473"/>
      <c r="L1914" s="45"/>
      <c r="M1914" s="124"/>
      <c r="N1914" s="125"/>
      <c r="O1914" s="125"/>
      <c r="P1914" s="12"/>
      <c r="Q1914" s="12"/>
      <c r="R1914" s="12"/>
      <c r="S1914" s="151"/>
      <c r="T1914" s="12"/>
      <c r="U1914" s="12"/>
      <c r="V1914" s="12"/>
      <c r="W1914" s="12"/>
      <c r="X1914" s="12"/>
      <c r="Y1914" s="12"/>
      <c r="Z1914" s="12"/>
    </row>
    <row r="1915" spans="1:26" ht="15.75" customHeight="1" x14ac:dyDescent="0.3">
      <c r="A1915" s="45"/>
      <c r="B1915" s="46"/>
      <c r="C1915" s="400"/>
      <c r="D1915" s="170"/>
      <c r="E1915" s="46"/>
      <c r="F1915" s="170"/>
      <c r="G1915" s="288"/>
      <c r="H1915" s="289"/>
      <c r="I1915" s="472"/>
      <c r="J1915" s="48"/>
      <c r="K1915" s="473"/>
      <c r="L1915" s="45"/>
      <c r="M1915" s="124"/>
      <c r="N1915" s="125"/>
      <c r="O1915" s="125"/>
      <c r="P1915" s="12"/>
      <c r="Q1915" s="12"/>
      <c r="R1915" s="12"/>
      <c r="S1915" s="151"/>
      <c r="T1915" s="12"/>
      <c r="U1915" s="12"/>
      <c r="V1915" s="12"/>
      <c r="W1915" s="12"/>
      <c r="X1915" s="12"/>
      <c r="Y1915" s="12"/>
      <c r="Z1915" s="12"/>
    </row>
    <row r="1916" spans="1:26" ht="15.75" customHeight="1" x14ac:dyDescent="0.3">
      <c r="A1916" s="45"/>
      <c r="B1916" s="46"/>
      <c r="C1916" s="400"/>
      <c r="D1916" s="170"/>
      <c r="E1916" s="46"/>
      <c r="F1916" s="170"/>
      <c r="G1916" s="288"/>
      <c r="H1916" s="289"/>
      <c r="I1916" s="472"/>
      <c r="J1916" s="48"/>
      <c r="K1916" s="473"/>
      <c r="L1916" s="45"/>
      <c r="M1916" s="124"/>
      <c r="N1916" s="125"/>
      <c r="O1916" s="125"/>
      <c r="P1916" s="12"/>
      <c r="Q1916" s="12"/>
      <c r="R1916" s="12"/>
      <c r="S1916" s="151"/>
      <c r="T1916" s="12"/>
      <c r="U1916" s="12"/>
      <c r="V1916" s="12"/>
      <c r="W1916" s="12"/>
      <c r="X1916" s="12"/>
      <c r="Y1916" s="12"/>
      <c r="Z1916" s="12"/>
    </row>
    <row r="1917" spans="1:26" ht="15.75" customHeight="1" x14ac:dyDescent="0.3">
      <c r="A1917" s="45"/>
      <c r="B1917" s="46"/>
      <c r="C1917" s="400"/>
      <c r="D1917" s="170"/>
      <c r="E1917" s="46"/>
      <c r="F1917" s="170"/>
      <c r="G1917" s="288"/>
      <c r="H1917" s="289"/>
      <c r="I1917" s="472"/>
      <c r="J1917" s="48"/>
      <c r="K1917" s="473"/>
      <c r="L1917" s="45"/>
      <c r="M1917" s="124"/>
      <c r="N1917" s="125"/>
      <c r="O1917" s="125"/>
      <c r="P1917" s="12"/>
      <c r="Q1917" s="12"/>
      <c r="R1917" s="12"/>
      <c r="S1917" s="151"/>
      <c r="T1917" s="12"/>
      <c r="U1917" s="12"/>
      <c r="V1917" s="12"/>
      <c r="W1917" s="12"/>
      <c r="X1917" s="12"/>
      <c r="Y1917" s="12"/>
      <c r="Z1917" s="12"/>
    </row>
    <row r="1918" spans="1:26" ht="15.75" customHeight="1" x14ac:dyDescent="0.3">
      <c r="A1918" s="45"/>
      <c r="B1918" s="46"/>
      <c r="C1918" s="400"/>
      <c r="D1918" s="170"/>
      <c r="E1918" s="46"/>
      <c r="F1918" s="170"/>
      <c r="G1918" s="288"/>
      <c r="H1918" s="289"/>
      <c r="I1918" s="472"/>
      <c r="J1918" s="48"/>
      <c r="K1918" s="473"/>
      <c r="L1918" s="45"/>
      <c r="M1918" s="124"/>
      <c r="N1918" s="125"/>
      <c r="O1918" s="125"/>
      <c r="P1918" s="12"/>
      <c r="Q1918" s="12"/>
      <c r="R1918" s="12"/>
      <c r="S1918" s="151"/>
      <c r="T1918" s="12"/>
      <c r="U1918" s="12"/>
      <c r="V1918" s="12"/>
      <c r="W1918" s="12"/>
      <c r="X1918" s="12"/>
      <c r="Y1918" s="12"/>
      <c r="Z1918" s="12"/>
    </row>
    <row r="1919" spans="1:26" ht="15.75" customHeight="1" x14ac:dyDescent="0.3">
      <c r="A1919" s="45"/>
      <c r="B1919" s="46"/>
      <c r="C1919" s="400"/>
      <c r="D1919" s="170"/>
      <c r="E1919" s="46"/>
      <c r="F1919" s="170"/>
      <c r="G1919" s="288"/>
      <c r="H1919" s="289"/>
      <c r="I1919" s="472"/>
      <c r="J1919" s="48"/>
      <c r="K1919" s="473"/>
      <c r="L1919" s="45"/>
      <c r="M1919" s="124"/>
      <c r="N1919" s="125"/>
      <c r="O1919" s="125"/>
      <c r="P1919" s="12"/>
      <c r="Q1919" s="12"/>
      <c r="R1919" s="12"/>
      <c r="S1919" s="151"/>
      <c r="T1919" s="12"/>
      <c r="U1919" s="12"/>
      <c r="V1919" s="12"/>
      <c r="W1919" s="12"/>
      <c r="X1919" s="12"/>
      <c r="Y1919" s="12"/>
      <c r="Z1919" s="12"/>
    </row>
    <row r="1920" spans="1:26" ht="15.75" customHeight="1" x14ac:dyDescent="0.3">
      <c r="A1920" s="45"/>
      <c r="B1920" s="46"/>
      <c r="C1920" s="400"/>
      <c r="D1920" s="170"/>
      <c r="E1920" s="46"/>
      <c r="F1920" s="170"/>
      <c r="G1920" s="288"/>
      <c r="H1920" s="289"/>
      <c r="I1920" s="472"/>
      <c r="J1920" s="48"/>
      <c r="K1920" s="473"/>
      <c r="L1920" s="45"/>
      <c r="M1920" s="124"/>
      <c r="N1920" s="125"/>
      <c r="O1920" s="125"/>
      <c r="P1920" s="12"/>
      <c r="Q1920" s="12"/>
      <c r="R1920" s="12"/>
      <c r="S1920" s="151"/>
      <c r="T1920" s="12"/>
      <c r="U1920" s="12"/>
      <c r="V1920" s="12"/>
      <c r="W1920" s="12"/>
      <c r="X1920" s="12"/>
      <c r="Y1920" s="12"/>
      <c r="Z1920" s="12"/>
    </row>
    <row r="1921" spans="1:26" ht="15.75" customHeight="1" x14ac:dyDescent="0.3">
      <c r="A1921" s="45"/>
      <c r="B1921" s="46"/>
      <c r="C1921" s="400"/>
      <c r="D1921" s="170"/>
      <c r="E1921" s="46"/>
      <c r="F1921" s="170"/>
      <c r="G1921" s="288"/>
      <c r="H1921" s="289"/>
      <c r="I1921" s="472"/>
      <c r="J1921" s="48"/>
      <c r="K1921" s="473"/>
      <c r="L1921" s="45"/>
      <c r="M1921" s="124"/>
      <c r="N1921" s="125"/>
      <c r="O1921" s="125"/>
      <c r="P1921" s="12"/>
      <c r="Q1921" s="12"/>
      <c r="R1921" s="12"/>
      <c r="S1921" s="151"/>
      <c r="T1921" s="12"/>
      <c r="U1921" s="12"/>
      <c r="V1921" s="12"/>
      <c r="W1921" s="12"/>
      <c r="X1921" s="12"/>
      <c r="Y1921" s="12"/>
      <c r="Z1921" s="12"/>
    </row>
    <row r="1922" spans="1:26" ht="15.75" customHeight="1" x14ac:dyDescent="0.3">
      <c r="A1922" s="45"/>
      <c r="B1922" s="46"/>
      <c r="C1922" s="400"/>
      <c r="D1922" s="170"/>
      <c r="E1922" s="46"/>
      <c r="F1922" s="170"/>
      <c r="G1922" s="288"/>
      <c r="H1922" s="289"/>
      <c r="I1922" s="472"/>
      <c r="J1922" s="48"/>
      <c r="K1922" s="473"/>
      <c r="L1922" s="45"/>
      <c r="M1922" s="124"/>
      <c r="N1922" s="125"/>
      <c r="O1922" s="125"/>
      <c r="P1922" s="12"/>
      <c r="Q1922" s="12"/>
      <c r="R1922" s="12"/>
      <c r="S1922" s="151"/>
      <c r="T1922" s="12"/>
      <c r="U1922" s="12"/>
      <c r="V1922" s="12"/>
      <c r="W1922" s="12"/>
      <c r="X1922" s="12"/>
      <c r="Y1922" s="12"/>
      <c r="Z1922" s="12"/>
    </row>
    <row r="1923" spans="1:26" ht="15.75" customHeight="1" x14ac:dyDescent="0.3">
      <c r="A1923" s="45"/>
      <c r="B1923" s="46"/>
      <c r="C1923" s="400"/>
      <c r="D1923" s="170"/>
      <c r="E1923" s="46"/>
      <c r="F1923" s="170"/>
      <c r="G1923" s="288"/>
      <c r="H1923" s="289"/>
      <c r="I1923" s="472"/>
      <c r="J1923" s="48"/>
      <c r="K1923" s="473"/>
      <c r="L1923" s="45"/>
      <c r="M1923" s="124"/>
      <c r="N1923" s="125"/>
      <c r="O1923" s="125"/>
      <c r="P1923" s="12"/>
      <c r="Q1923" s="12"/>
      <c r="R1923" s="12"/>
      <c r="S1923" s="151"/>
      <c r="T1923" s="12"/>
      <c r="U1923" s="12"/>
      <c r="V1923" s="12"/>
      <c r="W1923" s="12"/>
      <c r="X1923" s="12"/>
      <c r="Y1923" s="12"/>
      <c r="Z1923" s="12"/>
    </row>
    <row r="1924" spans="1:26" ht="15.75" customHeight="1" x14ac:dyDescent="0.3">
      <c r="A1924" s="45"/>
      <c r="B1924" s="46"/>
      <c r="C1924" s="400"/>
      <c r="D1924" s="170"/>
      <c r="E1924" s="46"/>
      <c r="F1924" s="170"/>
      <c r="G1924" s="288"/>
      <c r="H1924" s="289"/>
      <c r="I1924" s="472"/>
      <c r="J1924" s="48"/>
      <c r="K1924" s="473"/>
      <c r="L1924" s="45"/>
      <c r="M1924" s="124"/>
      <c r="N1924" s="125"/>
      <c r="O1924" s="125"/>
      <c r="P1924" s="12"/>
      <c r="Q1924" s="12"/>
      <c r="R1924" s="12"/>
      <c r="S1924" s="151"/>
      <c r="T1924" s="12"/>
      <c r="U1924" s="12"/>
      <c r="V1924" s="12"/>
      <c r="W1924" s="12"/>
      <c r="X1924" s="12"/>
      <c r="Y1924" s="12"/>
      <c r="Z1924" s="12"/>
    </row>
    <row r="1925" spans="1:26" ht="15.75" customHeight="1" x14ac:dyDescent="0.3">
      <c r="A1925" s="45"/>
      <c r="B1925" s="46"/>
      <c r="C1925" s="400"/>
      <c r="D1925" s="170"/>
      <c r="E1925" s="46"/>
      <c r="F1925" s="170"/>
      <c r="G1925" s="288"/>
      <c r="H1925" s="289"/>
      <c r="I1925" s="472"/>
      <c r="J1925" s="48"/>
      <c r="K1925" s="473"/>
      <c r="L1925" s="45"/>
      <c r="M1925" s="124"/>
      <c r="N1925" s="125"/>
      <c r="O1925" s="125"/>
      <c r="P1925" s="12"/>
      <c r="Q1925" s="12"/>
      <c r="R1925" s="12"/>
      <c r="S1925" s="151"/>
      <c r="T1925" s="12"/>
      <c r="U1925" s="12"/>
      <c r="V1925" s="12"/>
      <c r="W1925" s="12"/>
      <c r="X1925" s="12"/>
      <c r="Y1925" s="12"/>
      <c r="Z1925" s="12"/>
    </row>
    <row r="1926" spans="1:26" ht="15.75" customHeight="1" x14ac:dyDescent="0.3">
      <c r="A1926" s="45"/>
      <c r="B1926" s="46"/>
      <c r="C1926" s="400"/>
      <c r="D1926" s="170"/>
      <c r="E1926" s="46"/>
      <c r="F1926" s="170"/>
      <c r="G1926" s="288"/>
      <c r="H1926" s="289"/>
      <c r="I1926" s="472"/>
      <c r="J1926" s="48"/>
      <c r="K1926" s="473"/>
      <c r="L1926" s="45"/>
      <c r="M1926" s="124"/>
      <c r="N1926" s="125"/>
      <c r="O1926" s="125"/>
      <c r="P1926" s="12"/>
      <c r="Q1926" s="12"/>
      <c r="R1926" s="12"/>
      <c r="S1926" s="151"/>
      <c r="T1926" s="12"/>
      <c r="U1926" s="12"/>
      <c r="V1926" s="12"/>
      <c r="W1926" s="12"/>
      <c r="X1926" s="12"/>
      <c r="Y1926" s="12"/>
      <c r="Z1926" s="12"/>
    </row>
    <row r="1927" spans="1:26" ht="15.75" customHeight="1" x14ac:dyDescent="0.3">
      <c r="A1927" s="45"/>
      <c r="B1927" s="46"/>
      <c r="C1927" s="400"/>
      <c r="D1927" s="170"/>
      <c r="E1927" s="46"/>
      <c r="F1927" s="170"/>
      <c r="G1927" s="288"/>
      <c r="H1927" s="289"/>
      <c r="I1927" s="472"/>
      <c r="J1927" s="48"/>
      <c r="K1927" s="473"/>
      <c r="L1927" s="45"/>
      <c r="M1927" s="124"/>
      <c r="N1927" s="125"/>
      <c r="O1927" s="125"/>
      <c r="P1927" s="12"/>
      <c r="Q1927" s="12"/>
      <c r="R1927" s="12"/>
      <c r="S1927" s="151"/>
      <c r="T1927" s="12"/>
      <c r="U1927" s="12"/>
      <c r="V1927" s="12"/>
      <c r="W1927" s="12"/>
      <c r="X1927" s="12"/>
      <c r="Y1927" s="12"/>
      <c r="Z1927" s="12"/>
    </row>
    <row r="1928" spans="1:26" ht="15.75" customHeight="1" x14ac:dyDescent="0.3">
      <c r="A1928" s="45"/>
      <c r="B1928" s="46"/>
      <c r="C1928" s="400"/>
      <c r="D1928" s="170"/>
      <c r="E1928" s="46"/>
      <c r="F1928" s="170"/>
      <c r="G1928" s="288"/>
      <c r="H1928" s="289"/>
      <c r="I1928" s="472"/>
      <c r="J1928" s="48"/>
      <c r="K1928" s="473"/>
      <c r="L1928" s="45"/>
      <c r="M1928" s="124"/>
      <c r="N1928" s="125"/>
      <c r="O1928" s="125"/>
      <c r="P1928" s="12"/>
      <c r="Q1928" s="12"/>
      <c r="R1928" s="12"/>
      <c r="S1928" s="151"/>
      <c r="T1928" s="12"/>
      <c r="U1928" s="12"/>
      <c r="V1928" s="12"/>
      <c r="W1928" s="12"/>
      <c r="X1928" s="12"/>
      <c r="Y1928" s="12"/>
      <c r="Z1928" s="12"/>
    </row>
    <row r="1929" spans="1:26" ht="15.75" customHeight="1" x14ac:dyDescent="0.3">
      <c r="A1929" s="45"/>
      <c r="B1929" s="46"/>
      <c r="C1929" s="400"/>
      <c r="D1929" s="170"/>
      <c r="E1929" s="46"/>
      <c r="F1929" s="170"/>
      <c r="G1929" s="288"/>
      <c r="H1929" s="289"/>
      <c r="I1929" s="472"/>
      <c r="J1929" s="48"/>
      <c r="K1929" s="473"/>
      <c r="L1929" s="45"/>
      <c r="M1929" s="124"/>
      <c r="N1929" s="125"/>
      <c r="O1929" s="125"/>
      <c r="P1929" s="12"/>
      <c r="Q1929" s="12"/>
      <c r="R1929" s="12"/>
      <c r="S1929" s="151"/>
      <c r="T1929" s="12"/>
      <c r="U1929" s="12"/>
      <c r="V1929" s="12"/>
      <c r="W1929" s="12"/>
      <c r="X1929" s="12"/>
      <c r="Y1929" s="12"/>
      <c r="Z1929" s="12"/>
    </row>
    <row r="1930" spans="1:26" ht="15.75" customHeight="1" x14ac:dyDescent="0.3">
      <c r="A1930" s="45"/>
      <c r="B1930" s="46"/>
      <c r="C1930" s="400"/>
      <c r="D1930" s="170"/>
      <c r="E1930" s="46"/>
      <c r="F1930" s="170"/>
      <c r="G1930" s="288"/>
      <c r="H1930" s="289"/>
      <c r="I1930" s="472"/>
      <c r="J1930" s="48"/>
      <c r="K1930" s="473"/>
      <c r="L1930" s="45"/>
      <c r="M1930" s="124"/>
      <c r="N1930" s="125"/>
      <c r="O1930" s="125"/>
      <c r="P1930" s="12"/>
      <c r="Q1930" s="12"/>
      <c r="R1930" s="12"/>
      <c r="S1930" s="151"/>
      <c r="T1930" s="12"/>
      <c r="U1930" s="12"/>
      <c r="V1930" s="12"/>
      <c r="W1930" s="12"/>
      <c r="X1930" s="12"/>
      <c r="Y1930" s="12"/>
      <c r="Z1930" s="12"/>
    </row>
    <row r="1931" spans="1:26" ht="15.75" customHeight="1" x14ac:dyDescent="0.3">
      <c r="A1931" s="45"/>
      <c r="B1931" s="46"/>
      <c r="C1931" s="400"/>
      <c r="D1931" s="170"/>
      <c r="E1931" s="46"/>
      <c r="F1931" s="170"/>
      <c r="G1931" s="288"/>
      <c r="H1931" s="289"/>
      <c r="I1931" s="472"/>
      <c r="J1931" s="48"/>
      <c r="K1931" s="473"/>
      <c r="L1931" s="45"/>
      <c r="M1931" s="124"/>
      <c r="N1931" s="125"/>
      <c r="O1931" s="125"/>
      <c r="P1931" s="12"/>
      <c r="Q1931" s="12"/>
      <c r="R1931" s="12"/>
      <c r="S1931" s="151"/>
      <c r="T1931" s="12"/>
      <c r="U1931" s="12"/>
      <c r="V1931" s="12"/>
      <c r="W1931" s="12"/>
      <c r="X1931" s="12"/>
      <c r="Y1931" s="12"/>
      <c r="Z1931" s="12"/>
    </row>
    <row r="1932" spans="1:26" ht="15.75" customHeight="1" x14ac:dyDescent="0.3">
      <c r="A1932" s="45"/>
      <c r="B1932" s="46"/>
      <c r="C1932" s="400"/>
      <c r="D1932" s="170"/>
      <c r="E1932" s="46"/>
      <c r="F1932" s="170"/>
      <c r="G1932" s="288"/>
      <c r="H1932" s="289"/>
      <c r="I1932" s="472"/>
      <c r="J1932" s="48"/>
      <c r="K1932" s="473"/>
      <c r="L1932" s="45"/>
      <c r="M1932" s="124"/>
      <c r="N1932" s="125"/>
      <c r="O1932" s="125"/>
      <c r="P1932" s="12"/>
      <c r="Q1932" s="12"/>
      <c r="R1932" s="12"/>
      <c r="S1932" s="151"/>
      <c r="T1932" s="12"/>
      <c r="U1932" s="12"/>
      <c r="V1932" s="12"/>
      <c r="W1932" s="12"/>
      <c r="X1932" s="12"/>
      <c r="Y1932" s="12"/>
      <c r="Z1932" s="12"/>
    </row>
    <row r="1933" spans="1:26" ht="15.75" customHeight="1" x14ac:dyDescent="0.3">
      <c r="A1933" s="45"/>
      <c r="B1933" s="46"/>
      <c r="C1933" s="400"/>
      <c r="D1933" s="170"/>
      <c r="E1933" s="46"/>
      <c r="F1933" s="170"/>
      <c r="G1933" s="288"/>
      <c r="H1933" s="289"/>
      <c r="I1933" s="472"/>
      <c r="J1933" s="48"/>
      <c r="K1933" s="473"/>
      <c r="L1933" s="45"/>
      <c r="M1933" s="124"/>
      <c r="N1933" s="125"/>
      <c r="O1933" s="125"/>
      <c r="P1933" s="12"/>
      <c r="Q1933" s="12"/>
      <c r="R1933" s="12"/>
      <c r="S1933" s="151"/>
      <c r="T1933" s="12"/>
      <c r="U1933" s="12"/>
      <c r="V1933" s="12"/>
      <c r="W1933" s="12"/>
      <c r="X1933" s="12"/>
      <c r="Y1933" s="12"/>
      <c r="Z1933" s="12"/>
    </row>
    <row r="1934" spans="1:26" ht="15.75" customHeight="1" x14ac:dyDescent="0.3">
      <c r="A1934" s="45"/>
      <c r="B1934" s="46"/>
      <c r="C1934" s="400"/>
      <c r="D1934" s="170"/>
      <c r="E1934" s="46"/>
      <c r="F1934" s="170"/>
      <c r="G1934" s="288"/>
      <c r="H1934" s="289"/>
      <c r="I1934" s="472"/>
      <c r="J1934" s="48"/>
      <c r="K1934" s="473"/>
      <c r="L1934" s="45"/>
      <c r="M1934" s="124"/>
      <c r="N1934" s="125"/>
      <c r="O1934" s="125"/>
      <c r="P1934" s="12"/>
      <c r="Q1934" s="12"/>
      <c r="R1934" s="12"/>
      <c r="S1934" s="151"/>
      <c r="T1934" s="12"/>
      <c r="U1934" s="12"/>
      <c r="V1934" s="12"/>
      <c r="W1934" s="12"/>
      <c r="X1934" s="12"/>
      <c r="Y1934" s="12"/>
      <c r="Z1934" s="12"/>
    </row>
    <row r="1935" spans="1:26" ht="15.75" customHeight="1" x14ac:dyDescent="0.3">
      <c r="A1935" s="45"/>
      <c r="B1935" s="46"/>
      <c r="C1935" s="400"/>
      <c r="D1935" s="170"/>
      <c r="E1935" s="46"/>
      <c r="F1935" s="170"/>
      <c r="G1935" s="288"/>
      <c r="H1935" s="289"/>
      <c r="I1935" s="472"/>
      <c r="J1935" s="48"/>
      <c r="K1935" s="473"/>
      <c r="L1935" s="45"/>
      <c r="M1935" s="124"/>
      <c r="N1935" s="125"/>
      <c r="O1935" s="125"/>
      <c r="P1935" s="12"/>
      <c r="Q1935" s="12"/>
      <c r="R1935" s="12"/>
      <c r="S1935" s="151"/>
      <c r="T1935" s="12"/>
      <c r="U1935" s="12"/>
      <c r="V1935" s="12"/>
      <c r="W1935" s="12"/>
      <c r="X1935" s="12"/>
      <c r="Y1935" s="12"/>
      <c r="Z1935" s="12"/>
    </row>
    <row r="1936" spans="1:26" ht="15.75" customHeight="1" x14ac:dyDescent="0.3">
      <c r="A1936" s="45"/>
      <c r="B1936" s="46"/>
      <c r="C1936" s="400"/>
      <c r="D1936" s="170"/>
      <c r="E1936" s="46"/>
      <c r="F1936" s="170"/>
      <c r="G1936" s="288"/>
      <c r="H1936" s="289"/>
      <c r="I1936" s="472"/>
      <c r="J1936" s="48"/>
      <c r="K1936" s="473"/>
      <c r="L1936" s="45"/>
      <c r="M1936" s="124"/>
      <c r="N1936" s="125"/>
      <c r="O1936" s="125"/>
      <c r="P1936" s="12"/>
      <c r="Q1936" s="12"/>
      <c r="R1936" s="12"/>
      <c r="S1936" s="151"/>
      <c r="T1936" s="12"/>
      <c r="U1936" s="12"/>
      <c r="V1936" s="12"/>
      <c r="W1936" s="12"/>
      <c r="X1936" s="12"/>
      <c r="Y1936" s="12"/>
      <c r="Z1936" s="12"/>
    </row>
    <row r="1937" spans="1:26" ht="15.75" customHeight="1" x14ac:dyDescent="0.3">
      <c r="A1937" s="45"/>
      <c r="B1937" s="46"/>
      <c r="C1937" s="400"/>
      <c r="D1937" s="170"/>
      <c r="E1937" s="46"/>
      <c r="F1937" s="170"/>
      <c r="G1937" s="288"/>
      <c r="H1937" s="289"/>
      <c r="I1937" s="472"/>
      <c r="J1937" s="48"/>
      <c r="K1937" s="473"/>
      <c r="L1937" s="45"/>
      <c r="M1937" s="124"/>
      <c r="N1937" s="125"/>
      <c r="O1937" s="125"/>
      <c r="P1937" s="12"/>
      <c r="Q1937" s="12"/>
      <c r="R1937" s="12"/>
      <c r="S1937" s="151"/>
      <c r="T1937" s="12"/>
      <c r="U1937" s="12"/>
      <c r="V1937" s="12"/>
      <c r="W1937" s="12"/>
      <c r="X1937" s="12"/>
      <c r="Y1937" s="12"/>
      <c r="Z1937" s="12"/>
    </row>
    <row r="1938" spans="1:26" ht="15.75" customHeight="1" x14ac:dyDescent="0.3">
      <c r="A1938" s="45"/>
      <c r="B1938" s="46"/>
      <c r="C1938" s="400"/>
      <c r="D1938" s="170"/>
      <c r="E1938" s="46"/>
      <c r="F1938" s="170"/>
      <c r="G1938" s="288"/>
      <c r="H1938" s="289"/>
      <c r="I1938" s="472"/>
      <c r="J1938" s="48"/>
      <c r="K1938" s="473"/>
      <c r="L1938" s="45"/>
      <c r="M1938" s="124"/>
      <c r="N1938" s="125"/>
      <c r="O1938" s="125"/>
      <c r="P1938" s="12"/>
      <c r="Q1938" s="12"/>
      <c r="R1938" s="12"/>
      <c r="S1938" s="151"/>
      <c r="T1938" s="12"/>
      <c r="U1938" s="12"/>
      <c r="V1938" s="12"/>
      <c r="W1938" s="12"/>
      <c r="X1938" s="12"/>
      <c r="Y1938" s="12"/>
      <c r="Z1938" s="12"/>
    </row>
    <row r="1939" spans="1:26" ht="15.75" customHeight="1" x14ac:dyDescent="0.3">
      <c r="A1939" s="45"/>
      <c r="B1939" s="46"/>
      <c r="C1939" s="400"/>
      <c r="D1939" s="170"/>
      <c r="E1939" s="46"/>
      <c r="F1939" s="170"/>
      <c r="G1939" s="288"/>
      <c r="H1939" s="289"/>
      <c r="I1939" s="472"/>
      <c r="J1939" s="48"/>
      <c r="K1939" s="473"/>
      <c r="L1939" s="45"/>
      <c r="M1939" s="124"/>
      <c r="N1939" s="125"/>
      <c r="O1939" s="125"/>
      <c r="P1939" s="12"/>
      <c r="Q1939" s="12"/>
      <c r="R1939" s="12"/>
      <c r="S1939" s="151"/>
      <c r="T1939" s="12"/>
      <c r="U1939" s="12"/>
      <c r="V1939" s="12"/>
      <c r="W1939" s="12"/>
      <c r="X1939" s="12"/>
      <c r="Y1939" s="12"/>
      <c r="Z1939" s="12"/>
    </row>
    <row r="1940" spans="1:26" ht="15.75" customHeight="1" x14ac:dyDescent="0.3">
      <c r="A1940" s="45"/>
      <c r="B1940" s="46"/>
      <c r="C1940" s="400"/>
      <c r="D1940" s="170"/>
      <c r="E1940" s="46"/>
      <c r="F1940" s="170"/>
      <c r="G1940" s="288"/>
      <c r="H1940" s="289"/>
      <c r="I1940" s="472"/>
      <c r="J1940" s="48"/>
      <c r="K1940" s="473"/>
      <c r="L1940" s="45"/>
      <c r="M1940" s="124"/>
      <c r="N1940" s="125"/>
      <c r="O1940" s="125"/>
      <c r="P1940" s="12"/>
      <c r="Q1940" s="12"/>
      <c r="R1940" s="12"/>
      <c r="S1940" s="151"/>
      <c r="T1940" s="12"/>
      <c r="U1940" s="12"/>
      <c r="V1940" s="12"/>
      <c r="W1940" s="12"/>
      <c r="X1940" s="12"/>
      <c r="Y1940" s="12"/>
      <c r="Z1940" s="12"/>
    </row>
    <row r="1941" spans="1:26" ht="15.75" customHeight="1" x14ac:dyDescent="0.3">
      <c r="A1941" s="45"/>
      <c r="B1941" s="46"/>
      <c r="C1941" s="400"/>
      <c r="D1941" s="170"/>
      <c r="E1941" s="46"/>
      <c r="F1941" s="170"/>
      <c r="G1941" s="288"/>
      <c r="H1941" s="289"/>
      <c r="I1941" s="472"/>
      <c r="J1941" s="48"/>
      <c r="K1941" s="473"/>
      <c r="L1941" s="45"/>
      <c r="M1941" s="124"/>
      <c r="N1941" s="125"/>
      <c r="O1941" s="125"/>
      <c r="P1941" s="12"/>
      <c r="Q1941" s="12"/>
      <c r="R1941" s="12"/>
      <c r="S1941" s="151"/>
      <c r="T1941" s="12"/>
      <c r="U1941" s="12"/>
      <c r="V1941" s="12"/>
      <c r="W1941" s="12"/>
      <c r="X1941" s="12"/>
      <c r="Y1941" s="12"/>
      <c r="Z1941" s="12"/>
    </row>
    <row r="1942" spans="1:26" ht="15.75" customHeight="1" x14ac:dyDescent="0.3">
      <c r="A1942" s="45"/>
      <c r="B1942" s="46"/>
      <c r="C1942" s="400"/>
      <c r="D1942" s="170"/>
      <c r="E1942" s="46"/>
      <c r="F1942" s="170"/>
      <c r="G1942" s="288"/>
      <c r="H1942" s="289"/>
      <c r="I1942" s="472"/>
      <c r="J1942" s="48"/>
      <c r="K1942" s="473"/>
      <c r="L1942" s="45"/>
      <c r="M1942" s="124"/>
      <c r="N1942" s="125"/>
      <c r="O1942" s="125"/>
      <c r="P1942" s="12"/>
      <c r="Q1942" s="12"/>
      <c r="R1942" s="12"/>
      <c r="S1942" s="151"/>
      <c r="T1942" s="12"/>
      <c r="U1942" s="12"/>
      <c r="V1942" s="12"/>
      <c r="W1942" s="12"/>
      <c r="X1942" s="12"/>
      <c r="Y1942" s="12"/>
      <c r="Z1942" s="12"/>
    </row>
    <row r="1943" spans="1:26" ht="15.75" customHeight="1" x14ac:dyDescent="0.3">
      <c r="A1943" s="45"/>
      <c r="B1943" s="46"/>
      <c r="C1943" s="400"/>
      <c r="D1943" s="170"/>
      <c r="E1943" s="46"/>
      <c r="F1943" s="170"/>
      <c r="G1943" s="288"/>
      <c r="H1943" s="289"/>
      <c r="I1943" s="472"/>
      <c r="J1943" s="48"/>
      <c r="K1943" s="473"/>
      <c r="L1943" s="45"/>
      <c r="M1943" s="124"/>
      <c r="N1943" s="125"/>
      <c r="O1943" s="125"/>
      <c r="P1943" s="12"/>
      <c r="Q1943" s="12"/>
      <c r="R1943" s="12"/>
      <c r="S1943" s="151"/>
      <c r="T1943" s="12"/>
      <c r="U1943" s="12"/>
      <c r="V1943" s="12"/>
      <c r="W1943" s="12"/>
      <c r="X1943" s="12"/>
      <c r="Y1943" s="12"/>
      <c r="Z1943" s="12"/>
    </row>
    <row r="1944" spans="1:26" ht="15.75" customHeight="1" x14ac:dyDescent="0.3">
      <c r="A1944" s="45"/>
      <c r="B1944" s="46"/>
      <c r="C1944" s="400"/>
      <c r="D1944" s="170"/>
      <c r="E1944" s="46"/>
      <c r="F1944" s="170"/>
      <c r="G1944" s="288"/>
      <c r="H1944" s="289"/>
      <c r="I1944" s="472"/>
      <c r="J1944" s="48"/>
      <c r="K1944" s="473"/>
      <c r="L1944" s="45"/>
      <c r="M1944" s="124"/>
      <c r="N1944" s="125"/>
      <c r="O1944" s="125"/>
      <c r="P1944" s="12"/>
      <c r="Q1944" s="12"/>
      <c r="R1944" s="12"/>
      <c r="S1944" s="151"/>
      <c r="T1944" s="12"/>
      <c r="U1944" s="12"/>
      <c r="V1944" s="12"/>
      <c r="W1944" s="12"/>
      <c r="X1944" s="12"/>
      <c r="Y1944" s="12"/>
      <c r="Z1944" s="12"/>
    </row>
    <row r="1945" spans="1:26" ht="15.75" customHeight="1" x14ac:dyDescent="0.3">
      <c r="A1945" s="45"/>
      <c r="B1945" s="46"/>
      <c r="C1945" s="400"/>
      <c r="D1945" s="170"/>
      <c r="E1945" s="46"/>
      <c r="F1945" s="170"/>
      <c r="G1945" s="288"/>
      <c r="H1945" s="289"/>
      <c r="I1945" s="472"/>
      <c r="J1945" s="48"/>
      <c r="K1945" s="473"/>
      <c r="L1945" s="45"/>
      <c r="M1945" s="124"/>
      <c r="N1945" s="125"/>
      <c r="O1945" s="125"/>
      <c r="P1945" s="12"/>
      <c r="Q1945" s="12"/>
      <c r="R1945" s="12"/>
      <c r="S1945" s="151"/>
      <c r="T1945" s="12"/>
      <c r="U1945" s="12"/>
      <c r="V1945" s="12"/>
      <c r="W1945" s="12"/>
      <c r="X1945" s="12"/>
      <c r="Y1945" s="12"/>
      <c r="Z1945" s="12"/>
    </row>
    <row r="1946" spans="1:26" ht="15.75" customHeight="1" x14ac:dyDescent="0.3">
      <c r="A1946" s="45"/>
      <c r="B1946" s="46"/>
      <c r="C1946" s="400"/>
      <c r="D1946" s="170"/>
      <c r="E1946" s="46"/>
      <c r="F1946" s="170"/>
      <c r="G1946" s="288"/>
      <c r="H1946" s="289"/>
      <c r="I1946" s="472"/>
      <c r="J1946" s="48"/>
      <c r="K1946" s="473"/>
      <c r="L1946" s="45"/>
      <c r="M1946" s="124"/>
      <c r="N1946" s="125"/>
      <c r="O1946" s="125"/>
      <c r="P1946" s="12"/>
      <c r="Q1946" s="12"/>
      <c r="R1946" s="12"/>
      <c r="S1946" s="151"/>
      <c r="T1946" s="12"/>
      <c r="U1946" s="12"/>
      <c r="V1946" s="12"/>
      <c r="W1946" s="12"/>
      <c r="X1946" s="12"/>
      <c r="Y1946" s="12"/>
      <c r="Z1946" s="12"/>
    </row>
    <row r="1947" spans="1:26" ht="15.75" customHeight="1" x14ac:dyDescent="0.3">
      <c r="A1947" s="45"/>
      <c r="B1947" s="46"/>
      <c r="C1947" s="400"/>
      <c r="D1947" s="170"/>
      <c r="E1947" s="46"/>
      <c r="F1947" s="170"/>
      <c r="G1947" s="288"/>
      <c r="H1947" s="289"/>
      <c r="I1947" s="472"/>
      <c r="J1947" s="48"/>
      <c r="K1947" s="473"/>
      <c r="L1947" s="45"/>
      <c r="M1947" s="124"/>
      <c r="N1947" s="125"/>
      <c r="O1947" s="125"/>
      <c r="P1947" s="12"/>
      <c r="Q1947" s="12"/>
      <c r="R1947" s="12"/>
      <c r="S1947" s="151"/>
      <c r="T1947" s="12"/>
      <c r="U1947" s="12"/>
      <c r="V1947" s="12"/>
      <c r="W1947" s="12"/>
      <c r="X1947" s="12"/>
      <c r="Y1947" s="12"/>
      <c r="Z1947" s="12"/>
    </row>
    <row r="1948" spans="1:26" ht="15.75" customHeight="1" x14ac:dyDescent="0.3">
      <c r="A1948" s="45"/>
      <c r="B1948" s="46"/>
      <c r="C1948" s="400"/>
      <c r="D1948" s="170"/>
      <c r="E1948" s="46"/>
      <c r="F1948" s="170"/>
      <c r="G1948" s="288"/>
      <c r="H1948" s="289"/>
      <c r="I1948" s="472"/>
      <c r="J1948" s="48"/>
      <c r="K1948" s="473"/>
      <c r="L1948" s="45"/>
      <c r="M1948" s="124"/>
      <c r="N1948" s="125"/>
      <c r="O1948" s="125"/>
      <c r="P1948" s="12"/>
      <c r="Q1948" s="12"/>
      <c r="R1948" s="12"/>
      <c r="S1948" s="151"/>
      <c r="T1948" s="12"/>
      <c r="U1948" s="12"/>
      <c r="V1948" s="12"/>
      <c r="W1948" s="12"/>
      <c r="X1948" s="12"/>
      <c r="Y1948" s="12"/>
      <c r="Z1948" s="12"/>
    </row>
    <row r="1949" spans="1:26" ht="15.75" customHeight="1" x14ac:dyDescent="0.3">
      <c r="A1949" s="45"/>
      <c r="B1949" s="46"/>
      <c r="C1949" s="400"/>
      <c r="D1949" s="170"/>
      <c r="E1949" s="46"/>
      <c r="F1949" s="170"/>
      <c r="G1949" s="288"/>
      <c r="H1949" s="289"/>
      <c r="I1949" s="472"/>
      <c r="J1949" s="48"/>
      <c r="K1949" s="473"/>
      <c r="L1949" s="45"/>
      <c r="M1949" s="124"/>
      <c r="N1949" s="125"/>
      <c r="O1949" s="125"/>
      <c r="P1949" s="12"/>
      <c r="Q1949" s="12"/>
      <c r="R1949" s="12"/>
      <c r="S1949" s="151"/>
      <c r="T1949" s="12"/>
      <c r="U1949" s="12"/>
      <c r="V1949" s="12"/>
      <c r="W1949" s="12"/>
      <c r="X1949" s="12"/>
      <c r="Y1949" s="12"/>
      <c r="Z1949" s="12"/>
    </row>
    <row r="1950" spans="1:26" ht="15.75" customHeight="1" x14ac:dyDescent="0.3">
      <c r="A1950" s="45"/>
      <c r="B1950" s="46"/>
      <c r="C1950" s="400"/>
      <c r="D1950" s="170"/>
      <c r="E1950" s="46"/>
      <c r="F1950" s="170"/>
      <c r="G1950" s="288"/>
      <c r="H1950" s="289"/>
      <c r="I1950" s="472"/>
      <c r="J1950" s="48"/>
      <c r="K1950" s="473"/>
      <c r="L1950" s="45"/>
      <c r="M1950" s="124"/>
      <c r="N1950" s="125"/>
      <c r="O1950" s="125"/>
      <c r="P1950" s="12"/>
      <c r="Q1950" s="12"/>
      <c r="R1950" s="12"/>
      <c r="S1950" s="151"/>
      <c r="T1950" s="12"/>
      <c r="U1950" s="12"/>
      <c r="V1950" s="12"/>
      <c r="W1950" s="12"/>
      <c r="X1950" s="12"/>
      <c r="Y1950" s="12"/>
      <c r="Z1950" s="12"/>
    </row>
    <row r="1951" spans="1:26" ht="15.75" customHeight="1" x14ac:dyDescent="0.3">
      <c r="A1951" s="45"/>
      <c r="B1951" s="46"/>
      <c r="C1951" s="400"/>
      <c r="D1951" s="170"/>
      <c r="E1951" s="46"/>
      <c r="F1951" s="170"/>
      <c r="G1951" s="288"/>
      <c r="H1951" s="289"/>
      <c r="I1951" s="472"/>
      <c r="J1951" s="48"/>
      <c r="K1951" s="473"/>
      <c r="L1951" s="45"/>
      <c r="M1951" s="124"/>
      <c r="N1951" s="125"/>
      <c r="O1951" s="125"/>
      <c r="P1951" s="12"/>
      <c r="Q1951" s="12"/>
      <c r="R1951" s="12"/>
      <c r="S1951" s="151"/>
      <c r="T1951" s="12"/>
      <c r="U1951" s="12"/>
      <c r="V1951" s="12"/>
      <c r="W1951" s="12"/>
      <c r="X1951" s="12"/>
      <c r="Y1951" s="12"/>
      <c r="Z1951" s="12"/>
    </row>
    <row r="1952" spans="1:26" ht="15.75" customHeight="1" x14ac:dyDescent="0.3">
      <c r="A1952" s="45"/>
      <c r="B1952" s="46"/>
      <c r="C1952" s="400"/>
      <c r="D1952" s="170"/>
      <c r="E1952" s="46"/>
      <c r="F1952" s="170"/>
      <c r="G1952" s="288"/>
      <c r="H1952" s="289"/>
      <c r="I1952" s="472"/>
      <c r="J1952" s="48"/>
      <c r="K1952" s="473"/>
      <c r="L1952" s="45"/>
      <c r="M1952" s="124"/>
      <c r="N1952" s="125"/>
      <c r="O1952" s="125"/>
      <c r="P1952" s="12"/>
      <c r="Q1952" s="12"/>
      <c r="R1952" s="12"/>
      <c r="S1952" s="151"/>
      <c r="T1952" s="12"/>
      <c r="U1952" s="12"/>
      <c r="V1952" s="12"/>
      <c r="W1952" s="12"/>
      <c r="X1952" s="12"/>
      <c r="Y1952" s="12"/>
      <c r="Z1952" s="12"/>
    </row>
    <row r="1953" spans="1:26" ht="15.75" customHeight="1" x14ac:dyDescent="0.3">
      <c r="A1953" s="45"/>
      <c r="B1953" s="46"/>
      <c r="C1953" s="400"/>
      <c r="D1953" s="170"/>
      <c r="E1953" s="46"/>
      <c r="F1953" s="170"/>
      <c r="G1953" s="288"/>
      <c r="H1953" s="289"/>
      <c r="I1953" s="472"/>
      <c r="J1953" s="48"/>
      <c r="K1953" s="473"/>
      <c r="L1953" s="45"/>
      <c r="M1953" s="124"/>
      <c r="N1953" s="125"/>
      <c r="O1953" s="125"/>
      <c r="P1953" s="12"/>
      <c r="Q1953" s="12"/>
      <c r="R1953" s="12"/>
      <c r="S1953" s="151"/>
      <c r="T1953" s="12"/>
      <c r="U1953" s="12"/>
      <c r="V1953" s="12"/>
      <c r="W1953" s="12"/>
      <c r="X1953" s="12"/>
      <c r="Y1953" s="12"/>
      <c r="Z1953" s="12"/>
    </row>
    <row r="1954" spans="1:26" ht="15.75" customHeight="1" x14ac:dyDescent="0.3">
      <c r="A1954" s="45"/>
      <c r="B1954" s="46"/>
      <c r="C1954" s="400"/>
      <c r="D1954" s="170"/>
      <c r="E1954" s="46"/>
      <c r="F1954" s="170"/>
      <c r="G1954" s="288"/>
      <c r="H1954" s="289"/>
      <c r="I1954" s="472"/>
      <c r="J1954" s="48"/>
      <c r="K1954" s="473"/>
      <c r="L1954" s="45"/>
      <c r="M1954" s="124"/>
      <c r="N1954" s="125"/>
      <c r="O1954" s="125"/>
      <c r="P1954" s="12"/>
      <c r="Q1954" s="12"/>
      <c r="R1954" s="12"/>
      <c r="S1954" s="151"/>
      <c r="T1954" s="12"/>
      <c r="U1954" s="12"/>
      <c r="V1954" s="12"/>
      <c r="W1954" s="12"/>
      <c r="X1954" s="12"/>
      <c r="Y1954" s="12"/>
      <c r="Z1954" s="12"/>
    </row>
    <row r="1955" spans="1:26" ht="15.75" customHeight="1" x14ac:dyDescent="0.3">
      <c r="A1955" s="45"/>
      <c r="B1955" s="46"/>
      <c r="C1955" s="400"/>
      <c r="D1955" s="170"/>
      <c r="E1955" s="46"/>
      <c r="F1955" s="170"/>
      <c r="G1955" s="288"/>
      <c r="H1955" s="289"/>
      <c r="I1955" s="472"/>
      <c r="J1955" s="48"/>
      <c r="K1955" s="473"/>
      <c r="L1955" s="45"/>
      <c r="M1955" s="124"/>
      <c r="N1955" s="125"/>
      <c r="O1955" s="125"/>
      <c r="P1955" s="12"/>
      <c r="Q1955" s="12"/>
      <c r="R1955" s="12"/>
      <c r="S1955" s="151"/>
      <c r="T1955" s="12"/>
      <c r="U1955" s="12"/>
      <c r="V1955" s="12"/>
      <c r="W1955" s="12"/>
      <c r="X1955" s="12"/>
      <c r="Y1955" s="12"/>
      <c r="Z1955" s="12"/>
    </row>
    <row r="1956" spans="1:26" ht="15.75" customHeight="1" x14ac:dyDescent="0.3">
      <c r="A1956" s="45"/>
      <c r="B1956" s="46"/>
      <c r="C1956" s="400"/>
      <c r="D1956" s="170"/>
      <c r="E1956" s="46"/>
      <c r="F1956" s="170"/>
      <c r="G1956" s="288"/>
      <c r="H1956" s="289"/>
      <c r="I1956" s="472"/>
      <c r="J1956" s="48"/>
      <c r="K1956" s="473"/>
      <c r="L1956" s="45"/>
      <c r="M1956" s="124"/>
      <c r="N1956" s="125"/>
      <c r="O1956" s="125"/>
      <c r="P1956" s="12"/>
      <c r="Q1956" s="12"/>
      <c r="R1956" s="12"/>
      <c r="S1956" s="151"/>
      <c r="T1956" s="12"/>
      <c r="U1956" s="12"/>
      <c r="V1956" s="12"/>
      <c r="W1956" s="12"/>
      <c r="X1956" s="12"/>
      <c r="Y1956" s="12"/>
      <c r="Z1956" s="12"/>
    </row>
    <row r="1957" spans="1:26" ht="15.75" customHeight="1" x14ac:dyDescent="0.3">
      <c r="A1957" s="45"/>
      <c r="B1957" s="46"/>
      <c r="C1957" s="400"/>
      <c r="D1957" s="170"/>
      <c r="E1957" s="46"/>
      <c r="F1957" s="170"/>
      <c r="G1957" s="288"/>
      <c r="H1957" s="289"/>
      <c r="I1957" s="472"/>
      <c r="J1957" s="48"/>
      <c r="K1957" s="473"/>
      <c r="L1957" s="45"/>
      <c r="M1957" s="124"/>
      <c r="N1957" s="125"/>
      <c r="O1957" s="125"/>
      <c r="P1957" s="12"/>
      <c r="Q1957" s="12"/>
      <c r="R1957" s="12"/>
      <c r="S1957" s="151"/>
      <c r="T1957" s="12"/>
      <c r="U1957" s="12"/>
      <c r="V1957" s="12"/>
      <c r="W1957" s="12"/>
      <c r="X1957" s="12"/>
      <c r="Y1957" s="12"/>
      <c r="Z1957" s="12"/>
    </row>
    <row r="1958" spans="1:26" ht="15.75" customHeight="1" x14ac:dyDescent="0.3">
      <c r="A1958" s="45"/>
      <c r="B1958" s="46"/>
      <c r="C1958" s="400"/>
      <c r="D1958" s="170"/>
      <c r="E1958" s="46"/>
      <c r="F1958" s="170"/>
      <c r="G1958" s="288"/>
      <c r="H1958" s="289"/>
      <c r="I1958" s="472"/>
      <c r="J1958" s="48"/>
      <c r="K1958" s="473"/>
      <c r="L1958" s="45"/>
      <c r="M1958" s="124"/>
      <c r="N1958" s="125"/>
      <c r="O1958" s="125"/>
      <c r="P1958" s="12"/>
      <c r="Q1958" s="12"/>
      <c r="R1958" s="12"/>
      <c r="S1958" s="151"/>
      <c r="T1958" s="12"/>
      <c r="U1958" s="12"/>
      <c r="V1958" s="12"/>
      <c r="W1958" s="12"/>
      <c r="X1958" s="12"/>
      <c r="Y1958" s="12"/>
      <c r="Z1958" s="12"/>
    </row>
    <row r="1959" spans="1:26" ht="15.75" customHeight="1" x14ac:dyDescent="0.3">
      <c r="A1959" s="45"/>
      <c r="B1959" s="46"/>
      <c r="C1959" s="400"/>
      <c r="D1959" s="170"/>
      <c r="E1959" s="46"/>
      <c r="F1959" s="170"/>
      <c r="G1959" s="288"/>
      <c r="H1959" s="289"/>
      <c r="I1959" s="472"/>
      <c r="J1959" s="48"/>
      <c r="K1959" s="473"/>
      <c r="L1959" s="45"/>
      <c r="M1959" s="124"/>
      <c r="N1959" s="125"/>
      <c r="O1959" s="125"/>
      <c r="P1959" s="12"/>
      <c r="Q1959" s="12"/>
      <c r="R1959" s="12"/>
      <c r="S1959" s="151"/>
      <c r="T1959" s="12"/>
      <c r="U1959" s="12"/>
      <c r="V1959" s="12"/>
      <c r="W1959" s="12"/>
      <c r="X1959" s="12"/>
      <c r="Y1959" s="12"/>
      <c r="Z1959" s="12"/>
    </row>
    <row r="1960" spans="1:26" ht="15.75" customHeight="1" x14ac:dyDescent="0.3">
      <c r="A1960" s="45"/>
      <c r="B1960" s="46"/>
      <c r="C1960" s="400"/>
      <c r="D1960" s="170"/>
      <c r="E1960" s="46"/>
      <c r="F1960" s="170"/>
      <c r="G1960" s="288"/>
      <c r="H1960" s="289"/>
      <c r="I1960" s="472"/>
      <c r="J1960" s="48"/>
      <c r="K1960" s="473"/>
      <c r="L1960" s="45"/>
      <c r="M1960" s="124"/>
      <c r="N1960" s="125"/>
      <c r="O1960" s="125"/>
      <c r="P1960" s="12"/>
      <c r="Q1960" s="12"/>
      <c r="R1960" s="12"/>
      <c r="S1960" s="151"/>
      <c r="T1960" s="12"/>
      <c r="U1960" s="12"/>
      <c r="V1960" s="12"/>
      <c r="W1960" s="12"/>
      <c r="X1960" s="12"/>
      <c r="Y1960" s="12"/>
      <c r="Z1960" s="12"/>
    </row>
    <row r="1961" spans="1:26" ht="15.75" customHeight="1" x14ac:dyDescent="0.3">
      <c r="A1961" s="45"/>
      <c r="B1961" s="46"/>
      <c r="C1961" s="400"/>
      <c r="D1961" s="170"/>
      <c r="E1961" s="46"/>
      <c r="F1961" s="170"/>
      <c r="G1961" s="288"/>
      <c r="H1961" s="289"/>
      <c r="I1961" s="472"/>
      <c r="J1961" s="48"/>
      <c r="K1961" s="473"/>
      <c r="L1961" s="45"/>
      <c r="M1961" s="124"/>
      <c r="N1961" s="125"/>
      <c r="O1961" s="125"/>
      <c r="P1961" s="12"/>
      <c r="Q1961" s="12"/>
      <c r="R1961" s="12"/>
      <c r="S1961" s="151"/>
      <c r="T1961" s="12"/>
      <c r="U1961" s="12"/>
      <c r="V1961" s="12"/>
      <c r="W1961" s="12"/>
      <c r="X1961" s="12"/>
      <c r="Y1961" s="12"/>
      <c r="Z1961" s="12"/>
    </row>
    <row r="1962" spans="1:26" ht="15.75" customHeight="1" x14ac:dyDescent="0.3">
      <c r="A1962" s="45"/>
      <c r="B1962" s="46"/>
      <c r="C1962" s="400"/>
      <c r="D1962" s="170"/>
      <c r="E1962" s="46"/>
      <c r="F1962" s="170"/>
      <c r="G1962" s="288"/>
      <c r="H1962" s="289"/>
      <c r="I1962" s="472"/>
      <c r="J1962" s="48"/>
      <c r="K1962" s="473"/>
      <c r="L1962" s="45"/>
      <c r="M1962" s="124"/>
      <c r="N1962" s="125"/>
      <c r="O1962" s="125"/>
      <c r="P1962" s="12"/>
      <c r="Q1962" s="12"/>
      <c r="R1962" s="12"/>
      <c r="S1962" s="151"/>
      <c r="T1962" s="12"/>
      <c r="U1962" s="12"/>
      <c r="V1962" s="12"/>
      <c r="W1962" s="12"/>
      <c r="X1962" s="12"/>
      <c r="Y1962" s="12"/>
      <c r="Z1962" s="12"/>
    </row>
    <row r="1963" spans="1:26" ht="15.75" customHeight="1" x14ac:dyDescent="0.3">
      <c r="A1963" s="45"/>
      <c r="B1963" s="46"/>
      <c r="C1963" s="400"/>
      <c r="D1963" s="170"/>
      <c r="E1963" s="46"/>
      <c r="F1963" s="170"/>
      <c r="G1963" s="288"/>
      <c r="H1963" s="289"/>
      <c r="I1963" s="472"/>
      <c r="J1963" s="48"/>
      <c r="K1963" s="473"/>
      <c r="L1963" s="45"/>
      <c r="M1963" s="124"/>
      <c r="N1963" s="125"/>
      <c r="O1963" s="125"/>
      <c r="P1963" s="12"/>
      <c r="Q1963" s="12"/>
      <c r="R1963" s="12"/>
      <c r="S1963" s="151"/>
      <c r="T1963" s="12"/>
      <c r="U1963" s="12"/>
      <c r="V1963" s="12"/>
      <c r="W1963" s="12"/>
      <c r="X1963" s="12"/>
      <c r="Y1963" s="12"/>
      <c r="Z1963" s="12"/>
    </row>
    <row r="1964" spans="1:26" ht="15.75" customHeight="1" x14ac:dyDescent="0.3">
      <c r="A1964" s="45"/>
      <c r="B1964" s="46"/>
      <c r="C1964" s="400"/>
      <c r="D1964" s="170"/>
      <c r="E1964" s="46"/>
      <c r="F1964" s="170"/>
      <c r="G1964" s="288"/>
      <c r="H1964" s="289"/>
      <c r="I1964" s="472"/>
      <c r="J1964" s="48"/>
      <c r="K1964" s="473"/>
      <c r="L1964" s="45"/>
      <c r="M1964" s="124"/>
      <c r="N1964" s="125"/>
      <c r="O1964" s="125"/>
      <c r="P1964" s="12"/>
      <c r="Q1964" s="12"/>
      <c r="R1964" s="12"/>
      <c r="S1964" s="151"/>
      <c r="T1964" s="12"/>
      <c r="U1964" s="12"/>
      <c r="V1964" s="12"/>
      <c r="W1964" s="12"/>
      <c r="X1964" s="12"/>
      <c r="Y1964" s="12"/>
      <c r="Z1964" s="12"/>
    </row>
    <row r="1965" spans="1:26" ht="15.75" customHeight="1" x14ac:dyDescent="0.3">
      <c r="A1965" s="45"/>
      <c r="B1965" s="46"/>
      <c r="C1965" s="400"/>
      <c r="D1965" s="170"/>
      <c r="E1965" s="46"/>
      <c r="F1965" s="170"/>
      <c r="G1965" s="288"/>
      <c r="H1965" s="289"/>
      <c r="I1965" s="472"/>
      <c r="J1965" s="48"/>
      <c r="K1965" s="473"/>
      <c r="L1965" s="45"/>
      <c r="M1965" s="124"/>
      <c r="N1965" s="125"/>
      <c r="O1965" s="125"/>
      <c r="P1965" s="12"/>
      <c r="Q1965" s="12"/>
      <c r="R1965" s="12"/>
      <c r="S1965" s="151"/>
      <c r="T1965" s="12"/>
      <c r="U1965" s="12"/>
      <c r="V1965" s="12"/>
      <c r="W1965" s="12"/>
      <c r="X1965" s="12"/>
      <c r="Y1965" s="12"/>
      <c r="Z1965" s="12"/>
    </row>
    <row r="1966" spans="1:26" ht="15.75" customHeight="1" x14ac:dyDescent="0.3">
      <c r="A1966" s="45"/>
      <c r="B1966" s="46"/>
      <c r="C1966" s="400"/>
      <c r="D1966" s="170"/>
      <c r="E1966" s="46"/>
      <c r="F1966" s="170"/>
      <c r="G1966" s="288"/>
      <c r="H1966" s="289"/>
      <c r="I1966" s="472"/>
      <c r="J1966" s="48"/>
      <c r="K1966" s="473"/>
      <c r="L1966" s="45"/>
      <c r="M1966" s="124"/>
      <c r="N1966" s="125"/>
      <c r="O1966" s="125"/>
      <c r="P1966" s="12"/>
      <c r="Q1966" s="12"/>
      <c r="R1966" s="12"/>
      <c r="S1966" s="151"/>
      <c r="T1966" s="12"/>
      <c r="U1966" s="12"/>
      <c r="V1966" s="12"/>
      <c r="W1966" s="12"/>
      <c r="X1966" s="12"/>
      <c r="Y1966" s="12"/>
      <c r="Z1966" s="12"/>
    </row>
    <row r="1967" spans="1:26" ht="15.75" customHeight="1" x14ac:dyDescent="0.3">
      <c r="A1967" s="45"/>
      <c r="B1967" s="46"/>
      <c r="C1967" s="400"/>
      <c r="D1967" s="170"/>
      <c r="E1967" s="46"/>
      <c r="F1967" s="170"/>
      <c r="G1967" s="288"/>
      <c r="H1967" s="289"/>
      <c r="I1967" s="472"/>
      <c r="J1967" s="48"/>
      <c r="K1967" s="473"/>
      <c r="L1967" s="45"/>
      <c r="M1967" s="124"/>
      <c r="N1967" s="125"/>
      <c r="O1967" s="125"/>
      <c r="P1967" s="12"/>
      <c r="Q1967" s="12"/>
      <c r="R1967" s="12"/>
      <c r="S1967" s="151"/>
      <c r="T1967" s="12"/>
      <c r="U1967" s="12"/>
      <c r="V1967" s="12"/>
      <c r="W1967" s="12"/>
      <c r="X1967" s="12"/>
      <c r="Y1967" s="12"/>
      <c r="Z1967" s="12"/>
    </row>
    <row r="1968" spans="1:26" ht="15.75" customHeight="1" x14ac:dyDescent="0.3">
      <c r="A1968" s="45"/>
      <c r="B1968" s="46"/>
      <c r="C1968" s="400"/>
      <c r="D1968" s="170"/>
      <c r="E1968" s="46"/>
      <c r="F1968" s="170"/>
      <c r="G1968" s="288"/>
      <c r="H1968" s="289"/>
      <c r="I1968" s="472"/>
      <c r="J1968" s="48"/>
      <c r="K1968" s="473"/>
      <c r="L1968" s="45"/>
      <c r="M1968" s="124"/>
      <c r="N1968" s="125"/>
      <c r="O1968" s="125"/>
      <c r="P1968" s="12"/>
      <c r="Q1968" s="12"/>
      <c r="R1968" s="12"/>
      <c r="S1968" s="151"/>
      <c r="T1968" s="12"/>
      <c r="U1968" s="12"/>
      <c r="V1968" s="12"/>
      <c r="W1968" s="12"/>
      <c r="X1968" s="12"/>
      <c r="Y1968" s="12"/>
      <c r="Z1968" s="12"/>
    </row>
    <row r="1969" spans="1:26" ht="15.75" customHeight="1" x14ac:dyDescent="0.3">
      <c r="A1969" s="45"/>
      <c r="B1969" s="46"/>
      <c r="C1969" s="400"/>
      <c r="D1969" s="170"/>
      <c r="E1969" s="46"/>
      <c r="F1969" s="170"/>
      <c r="G1969" s="288"/>
      <c r="H1969" s="289"/>
      <c r="I1969" s="472"/>
      <c r="J1969" s="48"/>
      <c r="K1969" s="473"/>
      <c r="L1969" s="45"/>
      <c r="M1969" s="124"/>
      <c r="N1969" s="125"/>
      <c r="O1969" s="125"/>
      <c r="P1969" s="12"/>
      <c r="Q1969" s="12"/>
      <c r="R1969" s="12"/>
      <c r="S1969" s="151"/>
      <c r="T1969" s="12"/>
      <c r="U1969" s="12"/>
      <c r="V1969" s="12"/>
      <c r="W1969" s="12"/>
      <c r="X1969" s="12"/>
      <c r="Y1969" s="12"/>
      <c r="Z1969" s="12"/>
    </row>
    <row r="1970" spans="1:26" ht="15.75" customHeight="1" x14ac:dyDescent="0.3">
      <c r="A1970" s="45"/>
      <c r="B1970" s="46"/>
      <c r="C1970" s="400"/>
      <c r="D1970" s="170"/>
      <c r="E1970" s="46"/>
      <c r="F1970" s="170"/>
      <c r="G1970" s="288"/>
      <c r="H1970" s="289"/>
      <c r="I1970" s="472"/>
      <c r="J1970" s="48"/>
      <c r="K1970" s="473"/>
      <c r="L1970" s="45"/>
      <c r="M1970" s="124"/>
      <c r="N1970" s="125"/>
      <c r="O1970" s="125"/>
      <c r="P1970" s="12"/>
      <c r="Q1970" s="12"/>
      <c r="R1970" s="12"/>
      <c r="S1970" s="151"/>
      <c r="T1970" s="12"/>
      <c r="U1970" s="12"/>
      <c r="V1970" s="12"/>
      <c r="W1970" s="12"/>
      <c r="X1970" s="12"/>
      <c r="Y1970" s="12"/>
      <c r="Z1970" s="12"/>
    </row>
    <row r="1971" spans="1:26" ht="15.75" customHeight="1" x14ac:dyDescent="0.3">
      <c r="A1971" s="45"/>
      <c r="B1971" s="46"/>
      <c r="C1971" s="400"/>
      <c r="D1971" s="170"/>
      <c r="E1971" s="46"/>
      <c r="F1971" s="170"/>
      <c r="G1971" s="288"/>
      <c r="H1971" s="289"/>
      <c r="I1971" s="472"/>
      <c r="J1971" s="48"/>
      <c r="K1971" s="473"/>
      <c r="L1971" s="45"/>
      <c r="M1971" s="124"/>
      <c r="N1971" s="125"/>
      <c r="O1971" s="125"/>
      <c r="P1971" s="12"/>
      <c r="Q1971" s="12"/>
      <c r="R1971" s="12"/>
      <c r="S1971" s="151"/>
      <c r="T1971" s="12"/>
      <c r="U1971" s="12"/>
      <c r="V1971" s="12"/>
      <c r="W1971" s="12"/>
      <c r="X1971" s="12"/>
      <c r="Y1971" s="12"/>
      <c r="Z1971" s="12"/>
    </row>
    <row r="1972" spans="1:26" ht="15.75" customHeight="1" x14ac:dyDescent="0.3">
      <c r="A1972" s="45"/>
      <c r="B1972" s="46"/>
      <c r="C1972" s="400"/>
      <c r="D1972" s="170"/>
      <c r="E1972" s="46"/>
      <c r="F1972" s="170"/>
      <c r="G1972" s="288"/>
      <c r="H1972" s="289"/>
      <c r="I1972" s="472"/>
      <c r="J1972" s="48"/>
      <c r="K1972" s="473"/>
      <c r="L1972" s="45"/>
      <c r="M1972" s="124"/>
      <c r="N1972" s="125"/>
      <c r="O1972" s="125"/>
      <c r="P1972" s="12"/>
      <c r="Q1972" s="12"/>
      <c r="R1972" s="12"/>
      <c r="S1972" s="151"/>
      <c r="T1972" s="12"/>
      <c r="U1972" s="12"/>
      <c r="V1972" s="12"/>
      <c r="W1972" s="12"/>
      <c r="X1972" s="12"/>
      <c r="Y1972" s="12"/>
      <c r="Z1972" s="12"/>
    </row>
    <row r="1973" spans="1:26" ht="15.75" customHeight="1" x14ac:dyDescent="0.3">
      <c r="A1973" s="45"/>
      <c r="B1973" s="46"/>
      <c r="C1973" s="400"/>
      <c r="D1973" s="170"/>
      <c r="E1973" s="46"/>
      <c r="F1973" s="170"/>
      <c r="G1973" s="288"/>
      <c r="H1973" s="289"/>
      <c r="I1973" s="472"/>
      <c r="J1973" s="48"/>
      <c r="K1973" s="473"/>
      <c r="L1973" s="45"/>
      <c r="M1973" s="124"/>
      <c r="N1973" s="125"/>
      <c r="O1973" s="125"/>
      <c r="P1973" s="12"/>
      <c r="Q1973" s="12"/>
      <c r="R1973" s="12"/>
      <c r="S1973" s="151"/>
      <c r="T1973" s="12"/>
      <c r="U1973" s="12"/>
      <c r="V1973" s="12"/>
      <c r="W1973" s="12"/>
      <c r="X1973" s="12"/>
      <c r="Y1973" s="12"/>
      <c r="Z1973" s="12"/>
    </row>
    <row r="1974" spans="1:26" ht="15.75" customHeight="1" x14ac:dyDescent="0.3">
      <c r="A1974" s="45"/>
      <c r="B1974" s="46"/>
      <c r="C1974" s="400"/>
      <c r="D1974" s="170"/>
      <c r="E1974" s="46"/>
      <c r="F1974" s="170"/>
      <c r="G1974" s="288"/>
      <c r="H1974" s="289"/>
      <c r="I1974" s="472"/>
      <c r="J1974" s="48"/>
      <c r="K1974" s="473"/>
      <c r="L1974" s="45"/>
      <c r="M1974" s="124"/>
      <c r="N1974" s="125"/>
      <c r="O1974" s="125"/>
      <c r="P1974" s="12"/>
      <c r="Q1974" s="12"/>
      <c r="R1974" s="12"/>
      <c r="S1974" s="151"/>
      <c r="T1974" s="12"/>
      <c r="U1974" s="12"/>
      <c r="V1974" s="12"/>
      <c r="W1974" s="12"/>
      <c r="X1974" s="12"/>
      <c r="Y1974" s="12"/>
      <c r="Z1974" s="12"/>
    </row>
    <row r="1975" spans="1:26" ht="15.75" customHeight="1" x14ac:dyDescent="0.3">
      <c r="A1975" s="45"/>
      <c r="B1975" s="46"/>
      <c r="C1975" s="400"/>
      <c r="D1975" s="170"/>
      <c r="E1975" s="46"/>
      <c r="F1975" s="170"/>
      <c r="G1975" s="288"/>
      <c r="H1975" s="289"/>
      <c r="I1975" s="472"/>
      <c r="J1975" s="48"/>
      <c r="K1975" s="473"/>
      <c r="L1975" s="45"/>
      <c r="M1975" s="124"/>
      <c r="N1975" s="125"/>
      <c r="O1975" s="125"/>
      <c r="P1975" s="12"/>
      <c r="Q1975" s="12"/>
      <c r="R1975" s="12"/>
      <c r="S1975" s="151"/>
      <c r="T1975" s="12"/>
      <c r="U1975" s="12"/>
      <c r="V1975" s="12"/>
      <c r="W1975" s="12"/>
      <c r="X1975" s="12"/>
      <c r="Y1975" s="12"/>
      <c r="Z1975" s="12"/>
    </row>
    <row r="1976" spans="1:26" ht="15.75" customHeight="1" x14ac:dyDescent="0.3">
      <c r="A1976" s="45"/>
      <c r="B1976" s="46"/>
      <c r="C1976" s="400"/>
      <c r="D1976" s="170"/>
      <c r="E1976" s="46"/>
      <c r="F1976" s="170"/>
      <c r="G1976" s="288"/>
      <c r="H1976" s="289"/>
      <c r="I1976" s="472"/>
      <c r="J1976" s="48"/>
      <c r="K1976" s="473"/>
      <c r="L1976" s="45"/>
      <c r="M1976" s="124"/>
      <c r="N1976" s="125"/>
      <c r="O1976" s="125"/>
      <c r="P1976" s="12"/>
      <c r="Q1976" s="12"/>
      <c r="R1976" s="12"/>
      <c r="S1976" s="151"/>
      <c r="T1976" s="12"/>
      <c r="U1976" s="12"/>
      <c r="V1976" s="12"/>
      <c r="W1976" s="12"/>
      <c r="X1976" s="12"/>
      <c r="Y1976" s="12"/>
      <c r="Z1976" s="12"/>
    </row>
    <row r="1977" spans="1:26" ht="15.75" customHeight="1" x14ac:dyDescent="0.3">
      <c r="A1977" s="45"/>
      <c r="B1977" s="46"/>
      <c r="C1977" s="400"/>
      <c r="D1977" s="170"/>
      <c r="E1977" s="46"/>
      <c r="F1977" s="170"/>
      <c r="G1977" s="288"/>
      <c r="H1977" s="289"/>
      <c r="I1977" s="472"/>
      <c r="J1977" s="48"/>
      <c r="K1977" s="473"/>
      <c r="L1977" s="45"/>
      <c r="M1977" s="124"/>
      <c r="N1977" s="125"/>
      <c r="O1977" s="125"/>
      <c r="P1977" s="12"/>
      <c r="Q1977" s="12"/>
      <c r="R1977" s="12"/>
      <c r="S1977" s="151"/>
      <c r="T1977" s="12"/>
      <c r="U1977" s="12"/>
      <c r="V1977" s="12"/>
      <c r="W1977" s="12"/>
      <c r="X1977" s="12"/>
      <c r="Y1977" s="12"/>
      <c r="Z1977" s="12"/>
    </row>
    <row r="1978" spans="1:26" ht="15.75" customHeight="1" x14ac:dyDescent="0.3">
      <c r="A1978" s="45"/>
      <c r="B1978" s="46"/>
      <c r="C1978" s="400"/>
      <c r="D1978" s="170"/>
      <c r="E1978" s="46"/>
      <c r="F1978" s="170"/>
      <c r="G1978" s="288"/>
      <c r="H1978" s="289"/>
      <c r="I1978" s="472"/>
      <c r="J1978" s="48"/>
      <c r="K1978" s="473"/>
      <c r="L1978" s="45"/>
      <c r="M1978" s="124"/>
      <c r="N1978" s="125"/>
      <c r="O1978" s="125"/>
      <c r="P1978" s="12"/>
      <c r="Q1978" s="12"/>
      <c r="R1978" s="12"/>
      <c r="S1978" s="151"/>
      <c r="T1978" s="12"/>
      <c r="U1978" s="12"/>
      <c r="V1978" s="12"/>
      <c r="W1978" s="12"/>
      <c r="X1978" s="12"/>
      <c r="Y1978" s="12"/>
      <c r="Z1978" s="12"/>
    </row>
    <row r="1979" spans="1:26" ht="15.75" customHeight="1" x14ac:dyDescent="0.3">
      <c r="A1979" s="45"/>
      <c r="B1979" s="46"/>
      <c r="C1979" s="400"/>
      <c r="D1979" s="170"/>
      <c r="E1979" s="46"/>
      <c r="F1979" s="170"/>
      <c r="G1979" s="288"/>
      <c r="H1979" s="289"/>
      <c r="I1979" s="472"/>
      <c r="J1979" s="48"/>
      <c r="K1979" s="473"/>
      <c r="L1979" s="45"/>
      <c r="M1979" s="124"/>
      <c r="N1979" s="125"/>
      <c r="O1979" s="125"/>
      <c r="P1979" s="12"/>
      <c r="Q1979" s="12"/>
      <c r="R1979" s="12"/>
      <c r="S1979" s="151"/>
      <c r="T1979" s="12"/>
      <c r="U1979" s="12"/>
      <c r="V1979" s="12"/>
      <c r="W1979" s="12"/>
      <c r="X1979" s="12"/>
      <c r="Y1979" s="12"/>
      <c r="Z1979" s="12"/>
    </row>
    <row r="1980" spans="1:26" ht="15.75" customHeight="1" x14ac:dyDescent="0.3">
      <c r="A1980" s="45"/>
      <c r="B1980" s="46"/>
      <c r="C1980" s="400"/>
      <c r="D1980" s="170"/>
      <c r="E1980" s="46"/>
      <c r="F1980" s="170"/>
      <c r="G1980" s="288"/>
      <c r="H1980" s="289"/>
      <c r="I1980" s="472"/>
      <c r="J1980" s="48"/>
      <c r="K1980" s="473"/>
      <c r="L1980" s="45"/>
      <c r="M1980" s="124"/>
      <c r="N1980" s="125"/>
      <c r="O1980" s="125"/>
      <c r="P1980" s="12"/>
      <c r="Q1980" s="12"/>
      <c r="R1980" s="12"/>
      <c r="S1980" s="151"/>
      <c r="T1980" s="12"/>
      <c r="U1980" s="12"/>
      <c r="V1980" s="12"/>
      <c r="W1980" s="12"/>
      <c r="X1980" s="12"/>
      <c r="Y1980" s="12"/>
      <c r="Z1980" s="12"/>
    </row>
    <row r="1981" spans="1:26" ht="15.75" customHeight="1" x14ac:dyDescent="0.3">
      <c r="A1981" s="45"/>
      <c r="B1981" s="46"/>
      <c r="C1981" s="400"/>
      <c r="D1981" s="170"/>
      <c r="E1981" s="46"/>
      <c r="F1981" s="170"/>
      <c r="G1981" s="288"/>
      <c r="H1981" s="289"/>
      <c r="I1981" s="472"/>
      <c r="J1981" s="48"/>
      <c r="K1981" s="473"/>
      <c r="L1981" s="45"/>
      <c r="M1981" s="124"/>
      <c r="N1981" s="125"/>
      <c r="O1981" s="125"/>
      <c r="P1981" s="12"/>
      <c r="Q1981" s="12"/>
      <c r="R1981" s="12"/>
      <c r="S1981" s="151"/>
      <c r="T1981" s="12"/>
      <c r="U1981" s="12"/>
      <c r="V1981" s="12"/>
      <c r="W1981" s="12"/>
      <c r="X1981" s="12"/>
      <c r="Y1981" s="12"/>
      <c r="Z1981" s="12"/>
    </row>
    <row r="1982" spans="1:26" ht="15.75" customHeight="1" x14ac:dyDescent="0.3">
      <c r="A1982" s="45"/>
      <c r="B1982" s="46"/>
      <c r="C1982" s="400"/>
      <c r="D1982" s="170"/>
      <c r="E1982" s="46"/>
      <c r="F1982" s="170"/>
      <c r="G1982" s="288"/>
      <c r="H1982" s="289"/>
      <c r="I1982" s="472"/>
      <c r="J1982" s="48"/>
      <c r="K1982" s="473"/>
      <c r="L1982" s="45"/>
      <c r="M1982" s="124"/>
      <c r="N1982" s="125"/>
      <c r="O1982" s="125"/>
      <c r="P1982" s="12"/>
      <c r="Q1982" s="12"/>
      <c r="R1982" s="12"/>
      <c r="S1982" s="151"/>
      <c r="T1982" s="12"/>
      <c r="U1982" s="12"/>
      <c r="V1982" s="12"/>
      <c r="W1982" s="12"/>
      <c r="X1982" s="12"/>
      <c r="Y1982" s="12"/>
      <c r="Z1982" s="12"/>
    </row>
    <row r="1983" spans="1:26" ht="15.75" customHeight="1" x14ac:dyDescent="0.3">
      <c r="A1983" s="45"/>
      <c r="B1983" s="46"/>
      <c r="C1983" s="400"/>
      <c r="D1983" s="170"/>
      <c r="E1983" s="46"/>
      <c r="F1983" s="170"/>
      <c r="G1983" s="288"/>
      <c r="H1983" s="289"/>
      <c r="I1983" s="472"/>
      <c r="J1983" s="48"/>
      <c r="K1983" s="473"/>
      <c r="L1983" s="45"/>
      <c r="M1983" s="124"/>
      <c r="N1983" s="125"/>
      <c r="O1983" s="125"/>
      <c r="P1983" s="12"/>
      <c r="Q1983" s="12"/>
      <c r="R1983" s="12"/>
      <c r="S1983" s="151"/>
      <c r="T1983" s="12"/>
      <c r="U1983" s="12"/>
      <c r="V1983" s="12"/>
      <c r="W1983" s="12"/>
      <c r="X1983" s="12"/>
      <c r="Y1983" s="12"/>
      <c r="Z1983" s="12"/>
    </row>
    <row r="1984" spans="1:26" ht="15.75" customHeight="1" x14ac:dyDescent="0.3">
      <c r="A1984" s="45"/>
      <c r="B1984" s="46"/>
      <c r="C1984" s="400"/>
      <c r="D1984" s="170"/>
      <c r="E1984" s="46"/>
      <c r="F1984" s="170"/>
      <c r="G1984" s="288"/>
      <c r="H1984" s="289"/>
      <c r="I1984" s="472"/>
      <c r="J1984" s="48"/>
      <c r="K1984" s="473"/>
      <c r="L1984" s="45"/>
      <c r="M1984" s="124"/>
      <c r="N1984" s="125"/>
      <c r="O1984" s="125"/>
      <c r="P1984" s="12"/>
      <c r="Q1984" s="12"/>
      <c r="R1984" s="12"/>
      <c r="S1984" s="151"/>
      <c r="T1984" s="12"/>
      <c r="U1984" s="12"/>
      <c r="V1984" s="12"/>
      <c r="W1984" s="12"/>
      <c r="X1984" s="12"/>
      <c r="Y1984" s="12"/>
      <c r="Z1984" s="12"/>
    </row>
    <row r="1985" spans="1:26" ht="15.75" customHeight="1" x14ac:dyDescent="0.3">
      <c r="A1985" s="45"/>
      <c r="B1985" s="46"/>
      <c r="C1985" s="400"/>
      <c r="D1985" s="170"/>
      <c r="E1985" s="46"/>
      <c r="F1985" s="170"/>
      <c r="G1985" s="288"/>
      <c r="H1985" s="289"/>
      <c r="I1985" s="472"/>
      <c r="J1985" s="48"/>
      <c r="K1985" s="473"/>
      <c r="L1985" s="45"/>
      <c r="M1985" s="124"/>
      <c r="N1985" s="125"/>
      <c r="O1985" s="125"/>
      <c r="P1985" s="12"/>
      <c r="Q1985" s="12"/>
      <c r="R1985" s="12"/>
      <c r="S1985" s="151"/>
      <c r="T1985" s="12"/>
      <c r="U1985" s="12"/>
      <c r="V1985" s="12"/>
      <c r="W1985" s="12"/>
      <c r="X1985" s="12"/>
      <c r="Y1985" s="12"/>
      <c r="Z1985" s="12"/>
    </row>
    <row r="1986" spans="1:26" ht="15.75" customHeight="1" x14ac:dyDescent="0.3">
      <c r="A1986" s="45"/>
      <c r="B1986" s="46"/>
      <c r="C1986" s="400"/>
      <c r="D1986" s="170"/>
      <c r="E1986" s="46"/>
      <c r="F1986" s="170"/>
      <c r="G1986" s="288"/>
      <c r="H1986" s="289"/>
      <c r="I1986" s="472"/>
      <c r="J1986" s="48"/>
      <c r="K1986" s="473"/>
      <c r="L1986" s="45"/>
      <c r="M1986" s="124"/>
      <c r="N1986" s="125"/>
      <c r="O1986" s="125"/>
      <c r="P1986" s="12"/>
      <c r="Q1986" s="12"/>
      <c r="R1986" s="12"/>
      <c r="S1986" s="151"/>
      <c r="T1986" s="12"/>
      <c r="U1986" s="12"/>
      <c r="V1986" s="12"/>
      <c r="W1986" s="12"/>
      <c r="X1986" s="12"/>
      <c r="Y1986" s="12"/>
      <c r="Z1986" s="12"/>
    </row>
    <row r="1987" spans="1:26" ht="15.75" customHeight="1" x14ac:dyDescent="0.3">
      <c r="A1987" s="45"/>
      <c r="B1987" s="46"/>
      <c r="C1987" s="400"/>
      <c r="D1987" s="170"/>
      <c r="E1987" s="46"/>
      <c r="F1987" s="170"/>
      <c r="G1987" s="288"/>
      <c r="H1987" s="289"/>
      <c r="I1987" s="472"/>
      <c r="J1987" s="48"/>
      <c r="K1987" s="473"/>
      <c r="L1987" s="45"/>
      <c r="M1987" s="124"/>
      <c r="N1987" s="125"/>
      <c r="O1987" s="125"/>
      <c r="P1987" s="12"/>
      <c r="Q1987" s="12"/>
      <c r="R1987" s="12"/>
      <c r="S1987" s="151"/>
      <c r="T1987" s="12"/>
      <c r="U1987" s="12"/>
      <c r="V1987" s="12"/>
      <c r="W1987" s="12"/>
      <c r="X1987" s="12"/>
      <c r="Y1987" s="12"/>
      <c r="Z1987" s="12"/>
    </row>
    <row r="1988" spans="1:26" ht="15.75" customHeight="1" x14ac:dyDescent="0.3">
      <c r="A1988" s="45"/>
      <c r="B1988" s="46"/>
      <c r="C1988" s="400"/>
      <c r="D1988" s="170"/>
      <c r="E1988" s="46"/>
      <c r="F1988" s="170"/>
      <c r="G1988" s="288"/>
      <c r="H1988" s="289"/>
      <c r="I1988" s="472"/>
      <c r="J1988" s="48"/>
      <c r="K1988" s="473"/>
      <c r="L1988" s="45"/>
      <c r="M1988" s="124"/>
      <c r="N1988" s="125"/>
      <c r="O1988" s="125"/>
      <c r="P1988" s="12"/>
      <c r="Q1988" s="12"/>
      <c r="R1988" s="12"/>
      <c r="S1988" s="151"/>
      <c r="T1988" s="12"/>
      <c r="U1988" s="12"/>
      <c r="V1988" s="12"/>
      <c r="W1988" s="12"/>
      <c r="X1988" s="12"/>
      <c r="Y1988" s="12"/>
      <c r="Z1988" s="12"/>
    </row>
    <row r="1989" spans="1:26" ht="15.75" customHeight="1" x14ac:dyDescent="0.3">
      <c r="A1989" s="45"/>
      <c r="B1989" s="46"/>
      <c r="C1989" s="400"/>
      <c r="D1989" s="170"/>
      <c r="E1989" s="46"/>
      <c r="F1989" s="170"/>
      <c r="G1989" s="288"/>
      <c r="H1989" s="289"/>
      <c r="I1989" s="472"/>
      <c r="J1989" s="48"/>
      <c r="K1989" s="473"/>
      <c r="L1989" s="45"/>
      <c r="M1989" s="124"/>
      <c r="N1989" s="125"/>
      <c r="O1989" s="125"/>
      <c r="P1989" s="12"/>
      <c r="Q1989" s="12"/>
      <c r="R1989" s="12"/>
      <c r="S1989" s="151"/>
      <c r="T1989" s="12"/>
      <c r="U1989" s="12"/>
      <c r="V1989" s="12"/>
      <c r="W1989" s="12"/>
      <c r="X1989" s="12"/>
      <c r="Y1989" s="12"/>
      <c r="Z1989" s="12"/>
    </row>
    <row r="1990" spans="1:26" ht="15.75" customHeight="1" x14ac:dyDescent="0.3">
      <c r="A1990" s="45"/>
      <c r="B1990" s="46"/>
      <c r="C1990" s="400"/>
      <c r="D1990" s="170"/>
      <c r="E1990" s="46"/>
      <c r="F1990" s="170"/>
      <c r="G1990" s="288"/>
      <c r="H1990" s="289"/>
      <c r="I1990" s="472"/>
      <c r="J1990" s="48"/>
      <c r="K1990" s="473"/>
      <c r="L1990" s="45"/>
      <c r="M1990" s="124"/>
      <c r="N1990" s="125"/>
      <c r="O1990" s="125"/>
      <c r="P1990" s="12"/>
      <c r="Q1990" s="12"/>
      <c r="R1990" s="12"/>
      <c r="S1990" s="151"/>
      <c r="T1990" s="12"/>
      <c r="U1990" s="12"/>
      <c r="V1990" s="12"/>
      <c r="W1990" s="12"/>
      <c r="X1990" s="12"/>
      <c r="Y1990" s="12"/>
      <c r="Z1990" s="12"/>
    </row>
    <row r="1991" spans="1:26" ht="15.75" customHeight="1" x14ac:dyDescent="0.3">
      <c r="A1991" s="45"/>
      <c r="B1991" s="46"/>
      <c r="C1991" s="400"/>
      <c r="D1991" s="170"/>
      <c r="E1991" s="46"/>
      <c r="F1991" s="170"/>
      <c r="G1991" s="288"/>
      <c r="H1991" s="289"/>
      <c r="I1991" s="472"/>
      <c r="J1991" s="48"/>
      <c r="K1991" s="473"/>
      <c r="L1991" s="45"/>
      <c r="M1991" s="124"/>
      <c r="N1991" s="125"/>
      <c r="O1991" s="125"/>
      <c r="P1991" s="12"/>
      <c r="Q1991" s="12"/>
      <c r="R1991" s="12"/>
      <c r="S1991" s="151"/>
      <c r="T1991" s="12"/>
      <c r="U1991" s="12"/>
      <c r="V1991" s="12"/>
      <c r="W1991" s="12"/>
      <c r="X1991" s="12"/>
      <c r="Y1991" s="12"/>
      <c r="Z1991" s="12"/>
    </row>
    <row r="1992" spans="1:26" ht="15.75" customHeight="1" x14ac:dyDescent="0.3">
      <c r="A1992" s="45"/>
      <c r="B1992" s="46"/>
      <c r="C1992" s="400"/>
      <c r="D1992" s="170"/>
      <c r="E1992" s="46"/>
      <c r="F1992" s="170"/>
      <c r="G1992" s="288"/>
      <c r="H1992" s="289"/>
      <c r="I1992" s="472"/>
      <c r="J1992" s="48"/>
      <c r="K1992" s="473"/>
      <c r="L1992" s="45"/>
      <c r="M1992" s="124"/>
      <c r="N1992" s="125"/>
      <c r="O1992" s="125"/>
      <c r="P1992" s="12"/>
      <c r="Q1992" s="12"/>
      <c r="R1992" s="12"/>
      <c r="S1992" s="151"/>
      <c r="T1992" s="12"/>
      <c r="U1992" s="12"/>
      <c r="V1992" s="12"/>
      <c r="W1992" s="12"/>
      <c r="X1992" s="12"/>
      <c r="Y1992" s="12"/>
      <c r="Z1992" s="12"/>
    </row>
    <row r="1993" spans="1:26" ht="15.75" customHeight="1" x14ac:dyDescent="0.3">
      <c r="A1993" s="45"/>
      <c r="B1993" s="46"/>
      <c r="C1993" s="400"/>
      <c r="D1993" s="170"/>
      <c r="E1993" s="46"/>
      <c r="F1993" s="170"/>
      <c r="G1993" s="288"/>
      <c r="H1993" s="289"/>
      <c r="I1993" s="472"/>
      <c r="J1993" s="48"/>
      <c r="K1993" s="473"/>
      <c r="L1993" s="45"/>
      <c r="M1993" s="124"/>
      <c r="N1993" s="125"/>
      <c r="O1993" s="125"/>
      <c r="P1993" s="12"/>
      <c r="Q1993" s="12"/>
      <c r="R1993" s="12"/>
      <c r="S1993" s="151"/>
      <c r="T1993" s="12"/>
      <c r="U1993" s="12"/>
      <c r="V1993" s="12"/>
      <c r="W1993" s="12"/>
      <c r="X1993" s="12"/>
      <c r="Y1993" s="12"/>
      <c r="Z1993" s="12"/>
    </row>
    <row r="1994" spans="1:26" ht="15.75" customHeight="1" x14ac:dyDescent="0.3">
      <c r="A1994" s="45"/>
      <c r="B1994" s="46"/>
      <c r="C1994" s="400"/>
      <c r="D1994" s="170"/>
      <c r="E1994" s="46"/>
      <c r="F1994" s="170"/>
      <c r="G1994" s="288"/>
      <c r="H1994" s="289"/>
      <c r="I1994" s="472"/>
      <c r="J1994" s="48"/>
      <c r="K1994" s="473"/>
      <c r="L1994" s="45"/>
      <c r="M1994" s="124"/>
      <c r="N1994" s="125"/>
      <c r="O1994" s="125"/>
      <c r="P1994" s="12"/>
      <c r="Q1994" s="12"/>
      <c r="R1994" s="12"/>
      <c r="S1994" s="151"/>
      <c r="T1994" s="12"/>
      <c r="U1994" s="12"/>
      <c r="V1994" s="12"/>
      <c r="W1994" s="12"/>
      <c r="X1994" s="12"/>
      <c r="Y1994" s="12"/>
      <c r="Z1994" s="12"/>
    </row>
    <row r="1995" spans="1:26" ht="15.75" customHeight="1" x14ac:dyDescent="0.3">
      <c r="A1995" s="45"/>
      <c r="B1995" s="46"/>
      <c r="C1995" s="400"/>
      <c r="D1995" s="170"/>
      <c r="E1995" s="46"/>
      <c r="F1995" s="170"/>
      <c r="G1995" s="288"/>
      <c r="H1995" s="289"/>
      <c r="I1995" s="472"/>
      <c r="J1995" s="48"/>
      <c r="K1995" s="473"/>
      <c r="L1995" s="45"/>
      <c r="M1995" s="124"/>
      <c r="N1995" s="125"/>
      <c r="O1995" s="125"/>
      <c r="P1995" s="12"/>
      <c r="Q1995" s="12"/>
      <c r="R1995" s="12"/>
      <c r="S1995" s="151"/>
      <c r="T1995" s="12"/>
      <c r="U1995" s="12"/>
      <c r="V1995" s="12"/>
      <c r="W1995" s="12"/>
      <c r="X1995" s="12"/>
      <c r="Y1995" s="12"/>
      <c r="Z1995" s="12"/>
    </row>
    <row r="1996" spans="1:26" ht="15.75" customHeight="1" x14ac:dyDescent="0.3">
      <c r="A1996" s="45"/>
      <c r="B1996" s="46"/>
      <c r="C1996" s="400"/>
      <c r="D1996" s="170"/>
      <c r="E1996" s="46"/>
      <c r="F1996" s="170"/>
      <c r="G1996" s="288"/>
      <c r="H1996" s="289"/>
      <c r="I1996" s="472"/>
      <c r="J1996" s="48"/>
      <c r="K1996" s="473"/>
      <c r="L1996" s="45"/>
      <c r="M1996" s="124"/>
      <c r="N1996" s="125"/>
      <c r="O1996" s="125"/>
      <c r="P1996" s="12"/>
      <c r="Q1996" s="12"/>
      <c r="R1996" s="12"/>
      <c r="S1996" s="151"/>
      <c r="T1996" s="12"/>
      <c r="U1996" s="12"/>
      <c r="V1996" s="12"/>
      <c r="W1996" s="12"/>
      <c r="X1996" s="12"/>
      <c r="Y1996" s="12"/>
      <c r="Z1996" s="12"/>
    </row>
    <row r="1997" spans="1:26" ht="15.75" customHeight="1" x14ac:dyDescent="0.3">
      <c r="A1997" s="45"/>
      <c r="B1997" s="46"/>
      <c r="C1997" s="400"/>
      <c r="D1997" s="170"/>
      <c r="E1997" s="46"/>
      <c r="F1997" s="170"/>
      <c r="G1997" s="288"/>
      <c r="H1997" s="289"/>
      <c r="I1997" s="472"/>
      <c r="J1997" s="48"/>
      <c r="K1997" s="473"/>
      <c r="L1997" s="45"/>
      <c r="M1997" s="124"/>
      <c r="N1997" s="125"/>
      <c r="O1997" s="125"/>
      <c r="P1997" s="12"/>
      <c r="Q1997" s="12"/>
      <c r="R1997" s="12"/>
      <c r="S1997" s="151"/>
      <c r="T1997" s="12"/>
      <c r="U1997" s="12"/>
      <c r="V1997" s="12"/>
      <c r="W1997" s="12"/>
      <c r="X1997" s="12"/>
      <c r="Y1997" s="12"/>
      <c r="Z1997" s="12"/>
    </row>
    <row r="1998" spans="1:26" ht="15.75" customHeight="1" x14ac:dyDescent="0.3">
      <c r="A1998" s="45"/>
      <c r="B1998" s="46"/>
      <c r="C1998" s="400"/>
      <c r="D1998" s="170"/>
      <c r="E1998" s="46"/>
      <c r="F1998" s="170"/>
      <c r="G1998" s="288"/>
      <c r="H1998" s="289"/>
      <c r="I1998" s="472"/>
      <c r="J1998" s="48"/>
      <c r="K1998" s="473"/>
      <c r="L1998" s="45"/>
      <c r="M1998" s="124"/>
      <c r="N1998" s="125"/>
      <c r="O1998" s="125"/>
      <c r="P1998" s="12"/>
      <c r="Q1998" s="12"/>
      <c r="R1998" s="12"/>
      <c r="S1998" s="151"/>
      <c r="T1998" s="12"/>
      <c r="U1998" s="12"/>
      <c r="V1998" s="12"/>
      <c r="W1998" s="12"/>
      <c r="X1998" s="12"/>
      <c r="Y1998" s="12"/>
      <c r="Z1998" s="12"/>
    </row>
    <row r="1999" spans="1:26" ht="15.75" customHeight="1" x14ac:dyDescent="0.3">
      <c r="A1999" s="45"/>
      <c r="B1999" s="46"/>
      <c r="C1999" s="400"/>
      <c r="D1999" s="170"/>
      <c r="E1999" s="46"/>
      <c r="F1999" s="170"/>
      <c r="G1999" s="288"/>
      <c r="H1999" s="289"/>
      <c r="I1999" s="472"/>
      <c r="J1999" s="48"/>
      <c r="K1999" s="473"/>
      <c r="L1999" s="45"/>
      <c r="M1999" s="124"/>
      <c r="N1999" s="125"/>
      <c r="O1999" s="125"/>
      <c r="P1999" s="12"/>
      <c r="Q1999" s="12"/>
      <c r="R1999" s="12"/>
      <c r="S1999" s="151"/>
      <c r="T1999" s="12"/>
      <c r="U1999" s="12"/>
      <c r="V1999" s="12"/>
      <c r="W1999" s="12"/>
      <c r="X1999" s="12"/>
      <c r="Y1999" s="12"/>
      <c r="Z1999" s="12"/>
    </row>
    <row r="2000" spans="1:26" ht="15.75" customHeight="1" x14ac:dyDescent="0.3">
      <c r="A2000" s="45"/>
      <c r="B2000" s="46"/>
      <c r="C2000" s="400"/>
      <c r="D2000" s="170"/>
      <c r="E2000" s="46"/>
      <c r="F2000" s="170"/>
      <c r="G2000" s="288"/>
      <c r="H2000" s="289"/>
      <c r="I2000" s="472"/>
      <c r="J2000" s="48"/>
      <c r="K2000" s="473"/>
      <c r="L2000" s="45"/>
      <c r="M2000" s="124"/>
      <c r="N2000" s="125"/>
      <c r="O2000" s="125"/>
      <c r="P2000" s="12"/>
      <c r="Q2000" s="12"/>
      <c r="R2000" s="12"/>
      <c r="S2000" s="151"/>
      <c r="T2000" s="12"/>
      <c r="U2000" s="12"/>
      <c r="V2000" s="12"/>
      <c r="W2000" s="12"/>
      <c r="X2000" s="12"/>
      <c r="Y2000" s="12"/>
      <c r="Z2000" s="12"/>
    </row>
    <row r="2001" spans="1:26" ht="15.75" customHeight="1" x14ac:dyDescent="0.3">
      <c r="A2001" s="45"/>
      <c r="B2001" s="46"/>
      <c r="C2001" s="400"/>
      <c r="D2001" s="170"/>
      <c r="E2001" s="46"/>
      <c r="F2001" s="170"/>
      <c r="G2001" s="288"/>
      <c r="H2001" s="289"/>
      <c r="I2001" s="472"/>
      <c r="J2001" s="48"/>
      <c r="K2001" s="473"/>
      <c r="L2001" s="45"/>
      <c r="M2001" s="124"/>
      <c r="N2001" s="125"/>
      <c r="O2001" s="125"/>
      <c r="P2001" s="12"/>
      <c r="Q2001" s="12"/>
      <c r="R2001" s="12"/>
      <c r="S2001" s="151"/>
      <c r="T2001" s="12"/>
      <c r="U2001" s="12"/>
      <c r="V2001" s="12"/>
      <c r="W2001" s="12"/>
      <c r="X2001" s="12"/>
      <c r="Y2001" s="12"/>
      <c r="Z2001" s="12"/>
    </row>
    <row r="2002" spans="1:26" ht="15.75" customHeight="1" x14ac:dyDescent="0.3">
      <c r="A2002" s="45"/>
      <c r="B2002" s="46"/>
      <c r="C2002" s="400"/>
      <c r="D2002" s="170"/>
      <c r="E2002" s="46"/>
      <c r="F2002" s="170"/>
      <c r="G2002" s="288"/>
      <c r="H2002" s="289"/>
      <c r="I2002" s="472"/>
      <c r="J2002" s="48"/>
      <c r="K2002" s="473"/>
      <c r="L2002" s="45"/>
      <c r="M2002" s="124"/>
      <c r="N2002" s="125"/>
      <c r="O2002" s="125"/>
      <c r="P2002" s="12"/>
      <c r="Q2002" s="12"/>
      <c r="R2002" s="12"/>
      <c r="S2002" s="151"/>
      <c r="T2002" s="12"/>
      <c r="U2002" s="12"/>
      <c r="V2002" s="12"/>
      <c r="W2002" s="12"/>
      <c r="X2002" s="12"/>
      <c r="Y2002" s="12"/>
      <c r="Z2002" s="12"/>
    </row>
    <row r="2003" spans="1:26" ht="15.75" customHeight="1" x14ac:dyDescent="0.3">
      <c r="A2003" s="45"/>
      <c r="B2003" s="46"/>
      <c r="C2003" s="400"/>
      <c r="D2003" s="170"/>
      <c r="E2003" s="46"/>
      <c r="F2003" s="170"/>
      <c r="G2003" s="288"/>
      <c r="H2003" s="289"/>
      <c r="I2003" s="472"/>
      <c r="J2003" s="48"/>
      <c r="K2003" s="473"/>
      <c r="L2003" s="45"/>
      <c r="M2003" s="124"/>
      <c r="N2003" s="125"/>
      <c r="O2003" s="125"/>
      <c r="P2003" s="12"/>
      <c r="Q2003" s="12"/>
      <c r="R2003" s="12"/>
      <c r="S2003" s="151"/>
      <c r="T2003" s="12"/>
      <c r="U2003" s="12"/>
      <c r="V2003" s="12"/>
      <c r="W2003" s="12"/>
      <c r="X2003" s="12"/>
      <c r="Y2003" s="12"/>
      <c r="Z2003" s="12"/>
    </row>
    <row r="2004" spans="1:26" ht="15.75" customHeight="1" x14ac:dyDescent="0.3">
      <c r="A2004" s="45"/>
      <c r="B2004" s="46"/>
      <c r="C2004" s="400"/>
      <c r="D2004" s="170"/>
      <c r="E2004" s="46"/>
      <c r="F2004" s="170"/>
      <c r="G2004" s="288"/>
      <c r="H2004" s="289"/>
      <c r="I2004" s="472"/>
      <c r="J2004" s="48"/>
      <c r="K2004" s="473"/>
      <c r="L2004" s="45"/>
      <c r="M2004" s="124"/>
      <c r="N2004" s="125"/>
      <c r="O2004" s="125"/>
      <c r="P2004" s="12"/>
      <c r="Q2004" s="12"/>
      <c r="R2004" s="12"/>
      <c r="S2004" s="151"/>
      <c r="T2004" s="12"/>
      <c r="U2004" s="12"/>
      <c r="V2004" s="12"/>
      <c r="W2004" s="12"/>
      <c r="X2004" s="12"/>
      <c r="Y2004" s="12"/>
      <c r="Z2004" s="12"/>
    </row>
    <row r="2005" spans="1:26" ht="15.75" customHeight="1" x14ac:dyDescent="0.3">
      <c r="A2005" s="45"/>
      <c r="B2005" s="46"/>
      <c r="C2005" s="400"/>
      <c r="D2005" s="170"/>
      <c r="E2005" s="46"/>
      <c r="F2005" s="170"/>
      <c r="G2005" s="288"/>
      <c r="H2005" s="289"/>
      <c r="I2005" s="472"/>
      <c r="J2005" s="48"/>
      <c r="K2005" s="473"/>
      <c r="L2005" s="45"/>
      <c r="M2005" s="124"/>
      <c r="N2005" s="125"/>
      <c r="O2005" s="125"/>
      <c r="P2005" s="12"/>
      <c r="Q2005" s="12"/>
      <c r="R2005" s="12"/>
      <c r="S2005" s="151"/>
      <c r="T2005" s="12"/>
      <c r="U2005" s="12"/>
      <c r="V2005" s="12"/>
      <c r="W2005" s="12"/>
      <c r="X2005" s="12"/>
      <c r="Y2005" s="12"/>
      <c r="Z2005" s="12"/>
    </row>
    <row r="2006" spans="1:26" ht="15.75" customHeight="1" x14ac:dyDescent="0.3">
      <c r="A2006" s="45"/>
      <c r="B2006" s="46"/>
      <c r="C2006" s="400"/>
      <c r="D2006" s="170"/>
      <c r="E2006" s="46"/>
      <c r="F2006" s="170"/>
      <c r="G2006" s="288"/>
      <c r="H2006" s="289"/>
      <c r="I2006" s="472"/>
      <c r="J2006" s="48"/>
      <c r="K2006" s="473"/>
      <c r="L2006" s="45"/>
      <c r="M2006" s="124"/>
      <c r="N2006" s="125"/>
      <c r="O2006" s="125"/>
      <c r="P2006" s="12"/>
      <c r="Q2006" s="12"/>
      <c r="R2006" s="12"/>
      <c r="S2006" s="151"/>
      <c r="T2006" s="12"/>
      <c r="U2006" s="12"/>
      <c r="V2006" s="12"/>
      <c r="W2006" s="12"/>
      <c r="X2006" s="12"/>
      <c r="Y2006" s="12"/>
      <c r="Z2006" s="12"/>
    </row>
    <row r="2007" spans="1:26" ht="15.75" customHeight="1" x14ac:dyDescent="0.3">
      <c r="A2007" s="45"/>
      <c r="B2007" s="46"/>
      <c r="C2007" s="400"/>
      <c r="D2007" s="170"/>
      <c r="E2007" s="46"/>
      <c r="F2007" s="170"/>
      <c r="G2007" s="288"/>
      <c r="H2007" s="289"/>
      <c r="I2007" s="472"/>
      <c r="J2007" s="48"/>
      <c r="K2007" s="473"/>
      <c r="L2007" s="45"/>
      <c r="M2007" s="124"/>
      <c r="N2007" s="125"/>
      <c r="O2007" s="125"/>
      <c r="P2007" s="12"/>
      <c r="Q2007" s="12"/>
      <c r="R2007" s="12"/>
      <c r="S2007" s="151"/>
      <c r="T2007" s="12"/>
      <c r="U2007" s="12"/>
      <c r="V2007" s="12"/>
      <c r="W2007" s="12"/>
      <c r="X2007" s="12"/>
      <c r="Y2007" s="12"/>
      <c r="Z2007" s="12"/>
    </row>
    <row r="2008" spans="1:26" ht="15.75" customHeight="1" x14ac:dyDescent="0.3">
      <c r="A2008" s="45"/>
      <c r="B2008" s="46"/>
      <c r="C2008" s="400"/>
      <c r="D2008" s="170"/>
      <c r="E2008" s="46"/>
      <c r="F2008" s="170"/>
      <c r="G2008" s="288"/>
      <c r="H2008" s="289"/>
      <c r="I2008" s="472"/>
      <c r="J2008" s="48"/>
      <c r="K2008" s="473"/>
      <c r="L2008" s="45"/>
      <c r="M2008" s="124"/>
      <c r="N2008" s="125"/>
      <c r="O2008" s="125"/>
      <c r="P2008" s="12"/>
      <c r="Q2008" s="12"/>
      <c r="R2008" s="12"/>
      <c r="S2008" s="151"/>
      <c r="T2008" s="12"/>
      <c r="U2008" s="12"/>
      <c r="V2008" s="12"/>
      <c r="W2008" s="12"/>
      <c r="X2008" s="12"/>
      <c r="Y2008" s="12"/>
      <c r="Z2008" s="12"/>
    </row>
    <row r="2009" spans="1:26" ht="15.75" customHeight="1" x14ac:dyDescent="0.3">
      <c r="A2009" s="45"/>
      <c r="B2009" s="46"/>
      <c r="C2009" s="400"/>
      <c r="D2009" s="170"/>
      <c r="E2009" s="46"/>
      <c r="F2009" s="170"/>
      <c r="G2009" s="288"/>
      <c r="H2009" s="289"/>
      <c r="I2009" s="472"/>
      <c r="J2009" s="48"/>
      <c r="K2009" s="473"/>
      <c r="L2009" s="45"/>
      <c r="M2009" s="124"/>
      <c r="N2009" s="125"/>
      <c r="O2009" s="125"/>
      <c r="P2009" s="12"/>
      <c r="Q2009" s="12"/>
      <c r="R2009" s="12"/>
      <c r="S2009" s="151"/>
      <c r="T2009" s="12"/>
      <c r="U2009" s="12"/>
      <c r="V2009" s="12"/>
      <c r="W2009" s="12"/>
      <c r="X2009" s="12"/>
      <c r="Y2009" s="12"/>
      <c r="Z2009" s="12"/>
    </row>
    <row r="2010" spans="1:26" ht="15.75" customHeight="1" x14ac:dyDescent="0.3">
      <c r="A2010" s="45"/>
      <c r="B2010" s="46"/>
      <c r="C2010" s="400"/>
      <c r="D2010" s="170"/>
      <c r="E2010" s="46"/>
      <c r="F2010" s="170"/>
      <c r="G2010" s="288"/>
      <c r="H2010" s="289"/>
      <c r="I2010" s="472"/>
      <c r="J2010" s="48"/>
      <c r="K2010" s="473"/>
      <c r="L2010" s="45"/>
      <c r="M2010" s="124"/>
      <c r="N2010" s="125"/>
      <c r="O2010" s="125"/>
      <c r="P2010" s="12"/>
      <c r="Q2010" s="12"/>
      <c r="R2010" s="12"/>
      <c r="S2010" s="151"/>
      <c r="T2010" s="12"/>
      <c r="U2010" s="12"/>
      <c r="V2010" s="12"/>
      <c r="W2010" s="12"/>
      <c r="X2010" s="12"/>
      <c r="Y2010" s="12"/>
      <c r="Z2010" s="12"/>
    </row>
    <row r="2011" spans="1:26" ht="15.75" customHeight="1" x14ac:dyDescent="0.3">
      <c r="A2011" s="45"/>
      <c r="B2011" s="46"/>
      <c r="C2011" s="400"/>
      <c r="D2011" s="170"/>
      <c r="E2011" s="46"/>
      <c r="F2011" s="170"/>
      <c r="G2011" s="288"/>
      <c r="H2011" s="289"/>
      <c r="I2011" s="472"/>
      <c r="J2011" s="48"/>
      <c r="K2011" s="473"/>
      <c r="L2011" s="45"/>
      <c r="M2011" s="124"/>
      <c r="N2011" s="125"/>
      <c r="O2011" s="125"/>
      <c r="P2011" s="12"/>
      <c r="Q2011" s="12"/>
      <c r="R2011" s="12"/>
      <c r="S2011" s="151"/>
      <c r="T2011" s="12"/>
      <c r="U2011" s="12"/>
      <c r="V2011" s="12"/>
      <c r="W2011" s="12"/>
      <c r="X2011" s="12"/>
      <c r="Y2011" s="12"/>
      <c r="Z2011" s="12"/>
    </row>
    <row r="2012" spans="1:26" ht="15.75" customHeight="1" x14ac:dyDescent="0.3">
      <c r="A2012" s="45"/>
      <c r="B2012" s="46"/>
      <c r="C2012" s="400"/>
      <c r="D2012" s="170"/>
      <c r="E2012" s="46"/>
      <c r="F2012" s="170"/>
      <c r="G2012" s="288"/>
      <c r="H2012" s="289"/>
      <c r="I2012" s="472"/>
      <c r="J2012" s="48"/>
      <c r="K2012" s="473"/>
      <c r="L2012" s="45"/>
      <c r="M2012" s="124"/>
      <c r="N2012" s="125"/>
      <c r="O2012" s="125"/>
      <c r="P2012" s="12"/>
      <c r="Q2012" s="12"/>
      <c r="R2012" s="12"/>
      <c r="S2012" s="151"/>
      <c r="T2012" s="12"/>
      <c r="U2012" s="12"/>
      <c r="V2012" s="12"/>
      <c r="W2012" s="12"/>
      <c r="X2012" s="12"/>
      <c r="Y2012" s="12"/>
      <c r="Z2012" s="12"/>
    </row>
    <row r="2013" spans="1:26" ht="15.75" customHeight="1" x14ac:dyDescent="0.3">
      <c r="A2013" s="45"/>
      <c r="B2013" s="46"/>
      <c r="C2013" s="400"/>
      <c r="D2013" s="170"/>
      <c r="E2013" s="46"/>
      <c r="F2013" s="170"/>
      <c r="G2013" s="288"/>
      <c r="H2013" s="289"/>
      <c r="I2013" s="472"/>
      <c r="J2013" s="48"/>
      <c r="K2013" s="473"/>
      <c r="L2013" s="45"/>
      <c r="M2013" s="124"/>
      <c r="N2013" s="125"/>
      <c r="O2013" s="125"/>
      <c r="P2013" s="12"/>
      <c r="Q2013" s="12"/>
      <c r="R2013" s="12"/>
      <c r="S2013" s="151"/>
      <c r="T2013" s="12"/>
      <c r="U2013" s="12"/>
      <c r="V2013" s="12"/>
      <c r="W2013" s="12"/>
      <c r="X2013" s="12"/>
      <c r="Y2013" s="12"/>
      <c r="Z2013" s="12"/>
    </row>
    <row r="2014" spans="1:26" ht="15.75" customHeight="1" x14ac:dyDescent="0.3">
      <c r="A2014" s="45"/>
      <c r="B2014" s="46"/>
      <c r="C2014" s="400"/>
      <c r="D2014" s="170"/>
      <c r="E2014" s="46"/>
      <c r="F2014" s="170"/>
      <c r="G2014" s="288"/>
      <c r="H2014" s="289"/>
      <c r="I2014" s="472"/>
      <c r="J2014" s="48"/>
      <c r="K2014" s="473"/>
      <c r="L2014" s="45"/>
      <c r="M2014" s="124"/>
      <c r="N2014" s="125"/>
      <c r="O2014" s="125"/>
      <c r="P2014" s="12"/>
      <c r="Q2014" s="12"/>
      <c r="R2014" s="12"/>
      <c r="S2014" s="151"/>
      <c r="T2014" s="12"/>
      <c r="U2014" s="12"/>
      <c r="V2014" s="12"/>
      <c r="W2014" s="12"/>
      <c r="X2014" s="12"/>
      <c r="Y2014" s="12"/>
      <c r="Z2014" s="12"/>
    </row>
    <row r="2015" spans="1:26" ht="15.75" customHeight="1" x14ac:dyDescent="0.3">
      <c r="A2015" s="45"/>
      <c r="B2015" s="46"/>
      <c r="C2015" s="400"/>
      <c r="D2015" s="170"/>
      <c r="E2015" s="46"/>
      <c r="F2015" s="170"/>
      <c r="G2015" s="288"/>
      <c r="H2015" s="289"/>
      <c r="I2015" s="472"/>
      <c r="J2015" s="48"/>
      <c r="K2015" s="473"/>
      <c r="L2015" s="45"/>
      <c r="M2015" s="124"/>
      <c r="N2015" s="125"/>
      <c r="O2015" s="125"/>
      <c r="P2015" s="12"/>
      <c r="Q2015" s="12"/>
      <c r="R2015" s="12"/>
      <c r="S2015" s="151"/>
      <c r="T2015" s="12"/>
      <c r="U2015" s="12"/>
      <c r="V2015" s="12"/>
      <c r="W2015" s="12"/>
      <c r="X2015" s="12"/>
      <c r="Y2015" s="12"/>
      <c r="Z2015" s="12"/>
    </row>
    <row r="2016" spans="1:26" ht="15.75" customHeight="1" x14ac:dyDescent="0.3">
      <c r="A2016" s="45"/>
      <c r="B2016" s="46"/>
      <c r="C2016" s="400"/>
      <c r="D2016" s="170"/>
      <c r="E2016" s="46"/>
      <c r="F2016" s="170"/>
      <c r="G2016" s="288"/>
      <c r="H2016" s="289"/>
      <c r="I2016" s="472"/>
      <c r="J2016" s="48"/>
      <c r="K2016" s="473"/>
      <c r="L2016" s="45"/>
      <c r="M2016" s="124"/>
      <c r="N2016" s="125"/>
      <c r="O2016" s="125"/>
      <c r="P2016" s="12"/>
      <c r="Q2016" s="12"/>
      <c r="R2016" s="12"/>
      <c r="S2016" s="151"/>
      <c r="T2016" s="12"/>
      <c r="U2016" s="12"/>
      <c r="V2016" s="12"/>
      <c r="W2016" s="12"/>
      <c r="X2016" s="12"/>
      <c r="Y2016" s="12"/>
      <c r="Z2016" s="12"/>
    </row>
    <row r="2017" spans="1:26" ht="15.75" customHeight="1" x14ac:dyDescent="0.3">
      <c r="A2017" s="45"/>
      <c r="B2017" s="46"/>
      <c r="C2017" s="400"/>
      <c r="D2017" s="170"/>
      <c r="E2017" s="46"/>
      <c r="F2017" s="170"/>
      <c r="G2017" s="288"/>
      <c r="H2017" s="289"/>
      <c r="I2017" s="472"/>
      <c r="J2017" s="48"/>
      <c r="K2017" s="473"/>
      <c r="L2017" s="45"/>
      <c r="M2017" s="124"/>
      <c r="N2017" s="125"/>
      <c r="O2017" s="125"/>
      <c r="P2017" s="12"/>
      <c r="Q2017" s="12"/>
      <c r="R2017" s="12"/>
      <c r="S2017" s="151"/>
      <c r="T2017" s="12"/>
      <c r="U2017" s="12"/>
      <c r="V2017" s="12"/>
      <c r="W2017" s="12"/>
      <c r="X2017" s="12"/>
      <c r="Y2017" s="12"/>
      <c r="Z2017" s="12"/>
    </row>
    <row r="2018" spans="1:26" ht="15.75" customHeight="1" x14ac:dyDescent="0.3">
      <c r="A2018" s="45"/>
      <c r="B2018" s="46"/>
      <c r="C2018" s="400"/>
      <c r="D2018" s="170"/>
      <c r="E2018" s="46"/>
      <c r="F2018" s="170"/>
      <c r="G2018" s="288"/>
      <c r="H2018" s="289"/>
      <c r="I2018" s="472"/>
      <c r="J2018" s="48"/>
      <c r="K2018" s="473"/>
      <c r="L2018" s="45"/>
      <c r="M2018" s="124"/>
      <c r="N2018" s="125"/>
      <c r="O2018" s="125"/>
      <c r="P2018" s="12"/>
      <c r="Q2018" s="12"/>
      <c r="R2018" s="12"/>
      <c r="S2018" s="151"/>
      <c r="T2018" s="12"/>
      <c r="U2018" s="12"/>
      <c r="V2018" s="12"/>
      <c r="W2018" s="12"/>
      <c r="X2018" s="12"/>
      <c r="Y2018" s="12"/>
      <c r="Z2018" s="12"/>
    </row>
    <row r="2019" spans="1:26" ht="15.75" customHeight="1" x14ac:dyDescent="0.3">
      <c r="A2019" s="45"/>
      <c r="B2019" s="46"/>
      <c r="C2019" s="400"/>
      <c r="D2019" s="170"/>
      <c r="E2019" s="46"/>
      <c r="F2019" s="170"/>
      <c r="G2019" s="288"/>
      <c r="H2019" s="289"/>
      <c r="I2019" s="472"/>
      <c r="J2019" s="48"/>
      <c r="K2019" s="473"/>
      <c r="L2019" s="45"/>
      <c r="M2019" s="124"/>
      <c r="N2019" s="125"/>
      <c r="O2019" s="125"/>
      <c r="P2019" s="12"/>
      <c r="Q2019" s="12"/>
      <c r="R2019" s="12"/>
      <c r="S2019" s="151"/>
      <c r="T2019" s="12"/>
      <c r="U2019" s="12"/>
      <c r="V2019" s="12"/>
      <c r="W2019" s="12"/>
      <c r="X2019" s="12"/>
      <c r="Y2019" s="12"/>
      <c r="Z2019" s="12"/>
    </row>
    <row r="2020" spans="1:26" ht="15.75" customHeight="1" x14ac:dyDescent="0.3">
      <c r="A2020" s="45"/>
      <c r="B2020" s="46"/>
      <c r="C2020" s="400"/>
      <c r="D2020" s="170"/>
      <c r="E2020" s="46"/>
      <c r="F2020" s="170"/>
      <c r="G2020" s="288"/>
      <c r="H2020" s="289"/>
      <c r="I2020" s="472"/>
      <c r="J2020" s="48"/>
      <c r="K2020" s="473"/>
      <c r="L2020" s="45"/>
      <c r="M2020" s="124"/>
      <c r="N2020" s="125"/>
      <c r="O2020" s="125"/>
      <c r="P2020" s="12"/>
      <c r="Q2020" s="12"/>
      <c r="R2020" s="12"/>
      <c r="S2020" s="151"/>
      <c r="T2020" s="12"/>
      <c r="U2020" s="12"/>
      <c r="V2020" s="12"/>
      <c r="W2020" s="12"/>
      <c r="X2020" s="12"/>
      <c r="Y2020" s="12"/>
      <c r="Z2020" s="12"/>
    </row>
    <row r="2021" spans="1:26" ht="15.75" customHeight="1" x14ac:dyDescent="0.3">
      <c r="A2021" s="45"/>
      <c r="B2021" s="46"/>
      <c r="C2021" s="400"/>
      <c r="D2021" s="170"/>
      <c r="E2021" s="46"/>
      <c r="F2021" s="170"/>
      <c r="G2021" s="288"/>
      <c r="H2021" s="289"/>
      <c r="I2021" s="472"/>
      <c r="J2021" s="48"/>
      <c r="K2021" s="473"/>
      <c r="L2021" s="45"/>
      <c r="M2021" s="124"/>
      <c r="N2021" s="125"/>
      <c r="O2021" s="125"/>
      <c r="P2021" s="12"/>
      <c r="Q2021" s="12"/>
      <c r="R2021" s="12"/>
      <c r="S2021" s="151"/>
      <c r="T2021" s="12"/>
      <c r="U2021" s="12"/>
      <c r="V2021" s="12"/>
      <c r="W2021" s="12"/>
      <c r="X2021" s="12"/>
      <c r="Y2021" s="12"/>
      <c r="Z2021" s="12"/>
    </row>
    <row r="2022" spans="1:26" ht="15.75" customHeight="1" x14ac:dyDescent="0.3">
      <c r="A2022" s="45"/>
      <c r="B2022" s="46"/>
      <c r="C2022" s="400"/>
      <c r="D2022" s="170"/>
      <c r="E2022" s="46"/>
      <c r="F2022" s="170"/>
      <c r="G2022" s="288"/>
      <c r="H2022" s="289"/>
      <c r="I2022" s="472"/>
      <c r="J2022" s="48"/>
      <c r="K2022" s="473"/>
      <c r="L2022" s="45"/>
      <c r="M2022" s="124"/>
      <c r="N2022" s="125"/>
      <c r="O2022" s="125"/>
      <c r="P2022" s="12"/>
      <c r="Q2022" s="12"/>
      <c r="R2022" s="12"/>
      <c r="S2022" s="151"/>
      <c r="T2022" s="12"/>
      <c r="U2022" s="12"/>
      <c r="V2022" s="12"/>
      <c r="W2022" s="12"/>
      <c r="X2022" s="12"/>
      <c r="Y2022" s="12"/>
      <c r="Z2022" s="12"/>
    </row>
    <row r="2023" spans="1:26" ht="15.75" customHeight="1" x14ac:dyDescent="0.3">
      <c r="A2023" s="45"/>
      <c r="B2023" s="46"/>
      <c r="C2023" s="400"/>
      <c r="D2023" s="170"/>
      <c r="E2023" s="46"/>
      <c r="F2023" s="170"/>
      <c r="G2023" s="288"/>
      <c r="H2023" s="289"/>
      <c r="I2023" s="472"/>
      <c r="J2023" s="48"/>
      <c r="K2023" s="473"/>
      <c r="L2023" s="45"/>
      <c r="M2023" s="124"/>
      <c r="N2023" s="125"/>
      <c r="O2023" s="125"/>
      <c r="P2023" s="12"/>
      <c r="Q2023" s="12"/>
      <c r="R2023" s="12"/>
      <c r="S2023" s="151"/>
      <c r="T2023" s="12"/>
      <c r="U2023" s="12"/>
      <c r="V2023" s="12"/>
      <c r="W2023" s="12"/>
      <c r="X2023" s="12"/>
      <c r="Y2023" s="12"/>
      <c r="Z2023" s="12"/>
    </row>
    <row r="2024" spans="1:26" ht="15.75" customHeight="1" x14ac:dyDescent="0.3">
      <c r="A2024" s="45"/>
      <c r="B2024" s="46"/>
      <c r="C2024" s="400"/>
      <c r="D2024" s="170"/>
      <c r="E2024" s="46"/>
      <c r="F2024" s="170"/>
      <c r="G2024" s="288"/>
      <c r="H2024" s="289"/>
      <c r="I2024" s="472"/>
      <c r="J2024" s="48"/>
      <c r="K2024" s="473"/>
      <c r="L2024" s="45"/>
      <c r="M2024" s="124"/>
      <c r="N2024" s="125"/>
      <c r="O2024" s="125"/>
      <c r="P2024" s="12"/>
      <c r="Q2024" s="12"/>
      <c r="R2024" s="12"/>
      <c r="S2024" s="151"/>
      <c r="T2024" s="12"/>
      <c r="U2024" s="12"/>
      <c r="V2024" s="12"/>
      <c r="W2024" s="12"/>
      <c r="X2024" s="12"/>
      <c r="Y2024" s="12"/>
      <c r="Z2024" s="12"/>
    </row>
    <row r="2025" spans="1:26" ht="15.75" customHeight="1" x14ac:dyDescent="0.3">
      <c r="A2025" s="3"/>
      <c r="B2025" s="167"/>
      <c r="C2025" s="94"/>
      <c r="D2025" s="12"/>
      <c r="E2025" s="167"/>
      <c r="F2025" s="12"/>
      <c r="G2025" s="331"/>
      <c r="H2025" s="474"/>
      <c r="I2025" s="475"/>
      <c r="J2025" s="476"/>
      <c r="K2025" s="5"/>
      <c r="L2025" s="3"/>
      <c r="M2025" s="6"/>
      <c r="N2025" s="9"/>
      <c r="O2025" s="9"/>
      <c r="P2025" s="12"/>
      <c r="Q2025" s="12"/>
      <c r="R2025" s="12"/>
      <c r="S2025" s="151"/>
      <c r="T2025" s="12"/>
      <c r="U2025" s="12"/>
      <c r="V2025" s="12"/>
      <c r="W2025" s="12"/>
      <c r="X2025" s="12"/>
      <c r="Y2025" s="12"/>
      <c r="Z2025" s="12"/>
    </row>
    <row r="2026" spans="1:26" ht="15.75" customHeight="1" x14ac:dyDescent="0.3">
      <c r="A2026" s="3"/>
      <c r="B2026" s="167"/>
      <c r="C2026" s="94"/>
      <c r="D2026" s="12"/>
      <c r="E2026" s="167"/>
      <c r="F2026" s="12"/>
      <c r="G2026" s="331"/>
      <c r="H2026" s="474"/>
      <c r="I2026" s="475"/>
      <c r="J2026" s="476"/>
      <c r="K2026" s="5"/>
      <c r="L2026" s="3"/>
      <c r="M2026" s="6"/>
      <c r="N2026" s="9"/>
      <c r="O2026" s="9"/>
      <c r="P2026" s="12"/>
      <c r="Q2026" s="12"/>
      <c r="R2026" s="12"/>
      <c r="S2026" s="151"/>
      <c r="T2026" s="12"/>
      <c r="U2026" s="12"/>
      <c r="V2026" s="12"/>
      <c r="W2026" s="12"/>
      <c r="X2026" s="12"/>
      <c r="Y2026" s="12"/>
      <c r="Z2026" s="12"/>
    </row>
    <row r="2027" spans="1:26" ht="15.75" customHeight="1" x14ac:dyDescent="0.3">
      <c r="A2027" s="3"/>
      <c r="B2027" s="167"/>
      <c r="C2027" s="94"/>
      <c r="D2027" s="12"/>
      <c r="E2027" s="167"/>
      <c r="F2027" s="12"/>
      <c r="G2027" s="331"/>
      <c r="H2027" s="474"/>
      <c r="I2027" s="475"/>
      <c r="J2027" s="476"/>
      <c r="K2027" s="5"/>
      <c r="L2027" s="3"/>
      <c r="M2027" s="6"/>
      <c r="N2027" s="9"/>
      <c r="O2027" s="9"/>
      <c r="P2027" s="12"/>
      <c r="Q2027" s="12"/>
      <c r="R2027" s="12"/>
      <c r="S2027" s="151"/>
      <c r="T2027" s="12"/>
      <c r="U2027" s="12"/>
      <c r="V2027" s="12"/>
      <c r="W2027" s="12"/>
      <c r="X2027" s="12"/>
      <c r="Y2027" s="12"/>
      <c r="Z2027" s="12"/>
    </row>
    <row r="2028" spans="1:26" ht="15.75" customHeight="1" x14ac:dyDescent="0.3">
      <c r="A2028" s="3"/>
      <c r="B2028" s="167"/>
      <c r="C2028" s="94"/>
      <c r="D2028" s="12"/>
      <c r="E2028" s="167"/>
      <c r="F2028" s="12"/>
      <c r="G2028" s="331"/>
      <c r="H2028" s="474"/>
      <c r="I2028" s="475"/>
      <c r="J2028" s="476"/>
      <c r="K2028" s="5"/>
      <c r="L2028" s="3"/>
      <c r="M2028" s="6"/>
      <c r="N2028" s="9"/>
      <c r="O2028" s="9"/>
      <c r="P2028" s="12"/>
      <c r="Q2028" s="12"/>
      <c r="R2028" s="12"/>
      <c r="S2028" s="151"/>
      <c r="T2028" s="12"/>
      <c r="U2028" s="12"/>
      <c r="V2028" s="12"/>
      <c r="W2028" s="12"/>
      <c r="X2028" s="12"/>
      <c r="Y2028" s="12"/>
      <c r="Z2028" s="12"/>
    </row>
    <row r="2029" spans="1:26" ht="15.75" customHeight="1" x14ac:dyDescent="0.3">
      <c r="A2029" s="3"/>
      <c r="B2029" s="167"/>
      <c r="C2029" s="94"/>
      <c r="D2029" s="12"/>
      <c r="E2029" s="167"/>
      <c r="F2029" s="12"/>
      <c r="G2029" s="331"/>
      <c r="H2029" s="474"/>
      <c r="I2029" s="475"/>
      <c r="J2029" s="476"/>
      <c r="K2029" s="5"/>
      <c r="L2029" s="3"/>
      <c r="M2029" s="6"/>
      <c r="N2029" s="9"/>
      <c r="O2029" s="9"/>
      <c r="P2029" s="12"/>
      <c r="Q2029" s="12"/>
      <c r="R2029" s="12"/>
      <c r="S2029" s="151"/>
      <c r="T2029" s="12"/>
      <c r="U2029" s="12"/>
      <c r="V2029" s="12"/>
      <c r="W2029" s="12"/>
      <c r="X2029" s="12"/>
      <c r="Y2029" s="12"/>
      <c r="Z2029" s="12"/>
    </row>
    <row r="2030" spans="1:26" ht="15.75" customHeight="1" x14ac:dyDescent="0.3">
      <c r="A2030" s="3"/>
      <c r="B2030" s="167"/>
      <c r="C2030" s="94"/>
      <c r="D2030" s="12"/>
      <c r="E2030" s="167"/>
      <c r="F2030" s="12"/>
      <c r="G2030" s="331"/>
      <c r="H2030" s="474"/>
      <c r="I2030" s="475"/>
      <c r="J2030" s="476"/>
      <c r="K2030" s="5"/>
      <c r="L2030" s="3"/>
      <c r="M2030" s="6"/>
      <c r="N2030" s="9"/>
      <c r="O2030" s="9"/>
      <c r="P2030" s="12"/>
      <c r="Q2030" s="12"/>
      <c r="R2030" s="12"/>
      <c r="S2030" s="151"/>
      <c r="T2030" s="12"/>
      <c r="U2030" s="12"/>
      <c r="V2030" s="12"/>
      <c r="W2030" s="12"/>
      <c r="X2030" s="12"/>
      <c r="Y2030" s="12"/>
      <c r="Z2030" s="12"/>
    </row>
    <row r="2031" spans="1:26" ht="15.75" customHeight="1" x14ac:dyDescent="0.3">
      <c r="A2031" s="3"/>
      <c r="B2031" s="167"/>
      <c r="C2031" s="94"/>
      <c r="D2031" s="12"/>
      <c r="E2031" s="167"/>
      <c r="F2031" s="12"/>
      <c r="G2031" s="331"/>
      <c r="H2031" s="474"/>
      <c r="I2031" s="475"/>
      <c r="J2031" s="476"/>
      <c r="K2031" s="5"/>
      <c r="L2031" s="3"/>
      <c r="M2031" s="6"/>
      <c r="N2031" s="9"/>
      <c r="O2031" s="9"/>
      <c r="P2031" s="12"/>
      <c r="Q2031" s="12"/>
      <c r="R2031" s="12"/>
      <c r="S2031" s="151"/>
      <c r="T2031" s="12"/>
      <c r="U2031" s="12"/>
      <c r="V2031" s="12"/>
      <c r="W2031" s="12"/>
      <c r="X2031" s="12"/>
      <c r="Y2031" s="12"/>
      <c r="Z2031" s="12"/>
    </row>
    <row r="2032" spans="1:26" ht="15.75" customHeight="1" x14ac:dyDescent="0.3">
      <c r="A2032" s="3"/>
      <c r="B2032" s="167"/>
      <c r="C2032" s="94"/>
      <c r="D2032" s="12"/>
      <c r="E2032" s="167"/>
      <c r="F2032" s="12"/>
      <c r="G2032" s="331"/>
      <c r="H2032" s="474"/>
      <c r="I2032" s="475"/>
      <c r="J2032" s="476"/>
      <c r="K2032" s="5"/>
      <c r="L2032" s="3"/>
      <c r="M2032" s="6"/>
      <c r="N2032" s="9"/>
      <c r="O2032" s="9"/>
      <c r="P2032" s="12"/>
      <c r="Q2032" s="12"/>
      <c r="R2032" s="12"/>
      <c r="S2032" s="151"/>
      <c r="T2032" s="12"/>
      <c r="U2032" s="12"/>
      <c r="V2032" s="12"/>
      <c r="W2032" s="12"/>
      <c r="X2032" s="12"/>
      <c r="Y2032" s="12"/>
      <c r="Z2032" s="12"/>
    </row>
    <row r="2033" spans="1:26" ht="15.75" customHeight="1" x14ac:dyDescent="0.3">
      <c r="A2033" s="3"/>
      <c r="B2033" s="167"/>
      <c r="C2033" s="94"/>
      <c r="D2033" s="12"/>
      <c r="E2033" s="167"/>
      <c r="F2033" s="12"/>
      <c r="G2033" s="331"/>
      <c r="H2033" s="474"/>
      <c r="I2033" s="475"/>
      <c r="J2033" s="476"/>
      <c r="K2033" s="5"/>
      <c r="L2033" s="3"/>
      <c r="M2033" s="6"/>
      <c r="N2033" s="9"/>
      <c r="O2033" s="9"/>
      <c r="P2033" s="12"/>
      <c r="Q2033" s="12"/>
      <c r="R2033" s="12"/>
      <c r="S2033" s="151"/>
      <c r="T2033" s="12"/>
      <c r="U2033" s="12"/>
      <c r="V2033" s="12"/>
      <c r="W2033" s="12"/>
      <c r="X2033" s="12"/>
      <c r="Y2033" s="12"/>
      <c r="Z2033" s="12"/>
    </row>
    <row r="2034" spans="1:26" ht="15.75" customHeight="1" x14ac:dyDescent="0.3">
      <c r="A2034" s="3"/>
      <c r="B2034" s="167"/>
      <c r="C2034" s="94"/>
      <c r="D2034" s="12"/>
      <c r="E2034" s="167"/>
      <c r="F2034" s="12"/>
      <c r="G2034" s="331"/>
      <c r="H2034" s="474"/>
      <c r="I2034" s="475"/>
      <c r="J2034" s="476"/>
      <c r="K2034" s="5"/>
      <c r="L2034" s="3"/>
      <c r="M2034" s="6"/>
      <c r="N2034" s="9"/>
      <c r="O2034" s="9"/>
      <c r="P2034" s="12"/>
      <c r="Q2034" s="12"/>
      <c r="R2034" s="12"/>
      <c r="S2034" s="151"/>
      <c r="T2034" s="12"/>
      <c r="U2034" s="12"/>
      <c r="V2034" s="12"/>
      <c r="W2034" s="12"/>
      <c r="X2034" s="12"/>
      <c r="Y2034" s="12"/>
      <c r="Z2034" s="12"/>
    </row>
    <row r="2035" spans="1:26" ht="15.75" customHeight="1" x14ac:dyDescent="0.3">
      <c r="A2035" s="3"/>
      <c r="B2035" s="167"/>
      <c r="C2035" s="94"/>
      <c r="D2035" s="12"/>
      <c r="E2035" s="167"/>
      <c r="F2035" s="12"/>
      <c r="G2035" s="331"/>
      <c r="H2035" s="474"/>
      <c r="I2035" s="475"/>
      <c r="J2035" s="476"/>
      <c r="K2035" s="5"/>
      <c r="L2035" s="3"/>
      <c r="M2035" s="6"/>
      <c r="N2035" s="9"/>
      <c r="O2035" s="9"/>
      <c r="P2035" s="12"/>
      <c r="Q2035" s="12"/>
      <c r="R2035" s="12"/>
      <c r="S2035" s="151"/>
      <c r="T2035" s="12"/>
      <c r="U2035" s="12"/>
      <c r="V2035" s="12"/>
      <c r="W2035" s="12"/>
      <c r="X2035" s="12"/>
      <c r="Y2035" s="12"/>
      <c r="Z2035" s="12"/>
    </row>
    <row r="2036" spans="1:26" ht="15.75" customHeight="1" x14ac:dyDescent="0.3">
      <c r="A2036" s="3"/>
      <c r="B2036" s="167"/>
      <c r="C2036" s="94"/>
      <c r="D2036" s="12"/>
      <c r="E2036" s="167"/>
      <c r="F2036" s="12"/>
      <c r="G2036" s="331"/>
      <c r="H2036" s="474"/>
      <c r="I2036" s="475"/>
      <c r="J2036" s="476"/>
      <c r="K2036" s="5"/>
      <c r="L2036" s="3"/>
      <c r="M2036" s="6"/>
      <c r="N2036" s="9"/>
      <c r="O2036" s="9"/>
      <c r="P2036" s="12"/>
      <c r="Q2036" s="12"/>
      <c r="R2036" s="12"/>
      <c r="S2036" s="151"/>
      <c r="T2036" s="12"/>
      <c r="U2036" s="12"/>
      <c r="V2036" s="12"/>
      <c r="W2036" s="12"/>
      <c r="X2036" s="12"/>
      <c r="Y2036" s="12"/>
      <c r="Z2036" s="12"/>
    </row>
    <row r="2037" spans="1:26" ht="15.75" customHeight="1" x14ac:dyDescent="0.3">
      <c r="A2037" s="3"/>
      <c r="B2037" s="167"/>
      <c r="C2037" s="94"/>
      <c r="D2037" s="12"/>
      <c r="E2037" s="167"/>
      <c r="F2037" s="12"/>
      <c r="G2037" s="331"/>
      <c r="H2037" s="474"/>
      <c r="I2037" s="475"/>
      <c r="J2037" s="476"/>
      <c r="K2037" s="5"/>
      <c r="L2037" s="3"/>
      <c r="M2037" s="6"/>
      <c r="N2037" s="9"/>
      <c r="O2037" s="9"/>
      <c r="P2037" s="12"/>
      <c r="Q2037" s="12"/>
      <c r="R2037" s="12"/>
      <c r="S2037" s="151"/>
      <c r="T2037" s="12"/>
      <c r="U2037" s="12"/>
      <c r="V2037" s="12"/>
      <c r="W2037" s="12"/>
      <c r="X2037" s="12"/>
      <c r="Y2037" s="12"/>
      <c r="Z2037" s="12"/>
    </row>
    <row r="2038" spans="1:26" ht="15.75" customHeight="1" x14ac:dyDescent="0.3">
      <c r="A2038" s="3"/>
      <c r="B2038" s="167"/>
      <c r="C2038" s="94"/>
      <c r="D2038" s="12"/>
      <c r="E2038" s="167"/>
      <c r="F2038" s="12"/>
      <c r="G2038" s="331"/>
      <c r="H2038" s="474"/>
      <c r="I2038" s="475"/>
      <c r="J2038" s="476"/>
      <c r="K2038" s="5"/>
      <c r="L2038" s="3"/>
      <c r="M2038" s="6"/>
      <c r="N2038" s="9"/>
      <c r="O2038" s="9"/>
      <c r="P2038" s="12"/>
      <c r="Q2038" s="12"/>
      <c r="R2038" s="12"/>
      <c r="S2038" s="151"/>
      <c r="T2038" s="12"/>
      <c r="U2038" s="12"/>
      <c r="V2038" s="12"/>
      <c r="W2038" s="12"/>
      <c r="X2038" s="12"/>
      <c r="Y2038" s="12"/>
      <c r="Z2038" s="12"/>
    </row>
    <row r="2039" spans="1:26" ht="15.75" customHeight="1" x14ac:dyDescent="0.3">
      <c r="A2039" s="3"/>
      <c r="B2039" s="167"/>
      <c r="C2039" s="94"/>
      <c r="D2039" s="12"/>
      <c r="E2039" s="167"/>
      <c r="F2039" s="12"/>
      <c r="G2039" s="331"/>
      <c r="H2039" s="474"/>
      <c r="I2039" s="475"/>
      <c r="J2039" s="476"/>
      <c r="K2039" s="5"/>
      <c r="L2039" s="3"/>
      <c r="M2039" s="6"/>
      <c r="N2039" s="9"/>
      <c r="O2039" s="9"/>
      <c r="P2039" s="12"/>
      <c r="Q2039" s="12"/>
      <c r="R2039" s="12"/>
      <c r="S2039" s="151"/>
      <c r="T2039" s="12"/>
      <c r="U2039" s="12"/>
      <c r="V2039" s="12"/>
      <c r="W2039" s="12"/>
      <c r="X2039" s="12"/>
      <c r="Y2039" s="12"/>
      <c r="Z2039" s="12"/>
    </row>
    <row r="2040" spans="1:26" ht="15.75" customHeight="1" x14ac:dyDescent="0.3">
      <c r="A2040" s="3"/>
      <c r="B2040" s="167"/>
      <c r="C2040" s="94"/>
      <c r="D2040" s="12"/>
      <c r="E2040" s="167"/>
      <c r="F2040" s="12"/>
      <c r="G2040" s="331"/>
      <c r="H2040" s="474"/>
      <c r="I2040" s="475"/>
      <c r="J2040" s="476"/>
      <c r="K2040" s="5"/>
      <c r="L2040" s="3"/>
      <c r="M2040" s="6"/>
      <c r="N2040" s="9"/>
      <c r="O2040" s="9"/>
      <c r="P2040" s="12"/>
      <c r="Q2040" s="12"/>
      <c r="R2040" s="12"/>
      <c r="S2040" s="151"/>
      <c r="T2040" s="12"/>
      <c r="U2040" s="12"/>
      <c r="V2040" s="12"/>
      <c r="W2040" s="12"/>
      <c r="X2040" s="12"/>
      <c r="Y2040" s="12"/>
      <c r="Z2040" s="12"/>
    </row>
    <row r="2041" spans="1:26" ht="15.75" customHeight="1" x14ac:dyDescent="0.3">
      <c r="A2041" s="3"/>
      <c r="B2041" s="167"/>
      <c r="C2041" s="94"/>
      <c r="D2041" s="12"/>
      <c r="E2041" s="167"/>
      <c r="F2041" s="12"/>
      <c r="G2041" s="331"/>
      <c r="H2041" s="474"/>
      <c r="I2041" s="475"/>
      <c r="J2041" s="476"/>
      <c r="K2041" s="5"/>
      <c r="L2041" s="3"/>
      <c r="M2041" s="6"/>
      <c r="N2041" s="9"/>
      <c r="O2041" s="9"/>
      <c r="P2041" s="12"/>
      <c r="Q2041" s="12"/>
      <c r="R2041" s="12"/>
      <c r="S2041" s="151"/>
      <c r="T2041" s="12"/>
      <c r="U2041" s="12"/>
      <c r="V2041" s="12"/>
      <c r="W2041" s="12"/>
      <c r="X2041" s="12"/>
      <c r="Y2041" s="12"/>
      <c r="Z2041" s="12"/>
    </row>
    <row r="2042" spans="1:26" ht="15.75" customHeight="1" x14ac:dyDescent="0.3">
      <c r="A2042" s="3"/>
      <c r="B2042" s="167"/>
      <c r="C2042" s="94"/>
      <c r="D2042" s="12"/>
      <c r="E2042" s="167"/>
      <c r="F2042" s="12"/>
      <c r="G2042" s="331"/>
      <c r="H2042" s="474"/>
      <c r="I2042" s="475"/>
      <c r="J2042" s="476"/>
      <c r="K2042" s="5"/>
      <c r="L2042" s="3"/>
      <c r="M2042" s="6"/>
      <c r="N2042" s="9"/>
      <c r="O2042" s="9"/>
      <c r="P2042" s="12"/>
      <c r="Q2042" s="12"/>
      <c r="R2042" s="12"/>
      <c r="S2042" s="151"/>
      <c r="T2042" s="12"/>
      <c r="U2042" s="12"/>
      <c r="V2042" s="12"/>
      <c r="W2042" s="12"/>
      <c r="X2042" s="12"/>
      <c r="Y2042" s="12"/>
      <c r="Z2042" s="12"/>
    </row>
    <row r="2043" spans="1:26" ht="15.75" customHeight="1" x14ac:dyDescent="0.3">
      <c r="A2043" s="3"/>
      <c r="B2043" s="167"/>
      <c r="C2043" s="94"/>
      <c r="D2043" s="12"/>
      <c r="E2043" s="167"/>
      <c r="F2043" s="12"/>
      <c r="G2043" s="331"/>
      <c r="H2043" s="474"/>
      <c r="I2043" s="475"/>
      <c r="J2043" s="476"/>
      <c r="K2043" s="5"/>
      <c r="L2043" s="3"/>
      <c r="M2043" s="6"/>
      <c r="N2043" s="9"/>
      <c r="O2043" s="9"/>
      <c r="P2043" s="12"/>
      <c r="Q2043" s="12"/>
      <c r="R2043" s="12"/>
      <c r="S2043" s="151"/>
      <c r="T2043" s="12"/>
      <c r="U2043" s="12"/>
      <c r="V2043" s="12"/>
      <c r="W2043" s="12"/>
      <c r="X2043" s="12"/>
      <c r="Y2043" s="12"/>
      <c r="Z2043" s="12"/>
    </row>
    <row r="2044" spans="1:26" ht="15.75" customHeight="1" x14ac:dyDescent="0.3">
      <c r="A2044" s="3"/>
      <c r="B2044" s="167"/>
      <c r="C2044" s="94"/>
      <c r="D2044" s="12"/>
      <c r="E2044" s="167"/>
      <c r="F2044" s="12"/>
      <c r="G2044" s="331"/>
      <c r="H2044" s="474"/>
      <c r="I2044" s="475"/>
      <c r="J2044" s="476"/>
      <c r="K2044" s="5"/>
      <c r="L2044" s="3"/>
      <c r="M2044" s="6"/>
      <c r="N2044" s="9"/>
      <c r="O2044" s="9"/>
      <c r="P2044" s="12"/>
      <c r="Q2044" s="12"/>
      <c r="R2044" s="12"/>
      <c r="S2044" s="151"/>
      <c r="T2044" s="12"/>
      <c r="U2044" s="12"/>
      <c r="V2044" s="12"/>
      <c r="W2044" s="12"/>
      <c r="X2044" s="12"/>
      <c r="Y2044" s="12"/>
      <c r="Z2044" s="12"/>
    </row>
    <row r="2045" spans="1:26" ht="15.75" customHeight="1" x14ac:dyDescent="0.3">
      <c r="A2045" s="3"/>
      <c r="B2045" s="167"/>
      <c r="C2045" s="94"/>
      <c r="D2045" s="12"/>
      <c r="E2045" s="167"/>
      <c r="F2045" s="12"/>
      <c r="G2045" s="331"/>
      <c r="H2045" s="474"/>
      <c r="I2045" s="475"/>
      <c r="J2045" s="476"/>
      <c r="K2045" s="5"/>
      <c r="L2045" s="3"/>
      <c r="M2045" s="6"/>
      <c r="N2045" s="9"/>
      <c r="O2045" s="9"/>
      <c r="P2045" s="12"/>
      <c r="Q2045" s="12"/>
      <c r="R2045" s="12"/>
      <c r="S2045" s="151"/>
      <c r="T2045" s="12"/>
      <c r="U2045" s="12"/>
      <c r="V2045" s="12"/>
      <c r="W2045" s="12"/>
      <c r="X2045" s="12"/>
      <c r="Y2045" s="12"/>
      <c r="Z2045" s="12"/>
    </row>
    <row r="2046" spans="1:26" ht="15.75" customHeight="1" x14ac:dyDescent="0.3">
      <c r="A2046" s="3"/>
      <c r="B2046" s="167"/>
      <c r="C2046" s="94"/>
      <c r="D2046" s="12"/>
      <c r="E2046" s="167"/>
      <c r="F2046" s="12"/>
      <c r="G2046" s="331"/>
      <c r="H2046" s="474"/>
      <c r="I2046" s="475"/>
      <c r="J2046" s="476"/>
      <c r="K2046" s="5"/>
      <c r="L2046" s="3"/>
      <c r="M2046" s="6"/>
      <c r="N2046" s="9"/>
      <c r="O2046" s="9"/>
      <c r="P2046" s="12"/>
      <c r="Q2046" s="12"/>
      <c r="R2046" s="12"/>
      <c r="S2046" s="151"/>
      <c r="T2046" s="12"/>
      <c r="U2046" s="12"/>
      <c r="V2046" s="12"/>
      <c r="W2046" s="12"/>
      <c r="X2046" s="12"/>
      <c r="Y2046" s="12"/>
      <c r="Z2046" s="12"/>
    </row>
    <row r="2047" spans="1:26" ht="15.75" customHeight="1" x14ac:dyDescent="0.3">
      <c r="A2047" s="3"/>
      <c r="B2047" s="167"/>
      <c r="C2047" s="94"/>
      <c r="D2047" s="12"/>
      <c r="E2047" s="167"/>
      <c r="F2047" s="12"/>
      <c r="G2047" s="331"/>
      <c r="H2047" s="474"/>
      <c r="I2047" s="475"/>
      <c r="J2047" s="476"/>
      <c r="K2047" s="5"/>
      <c r="L2047" s="3"/>
      <c r="M2047" s="6"/>
      <c r="N2047" s="9"/>
      <c r="O2047" s="9"/>
      <c r="P2047" s="12"/>
      <c r="Q2047" s="12"/>
      <c r="R2047" s="12"/>
      <c r="S2047" s="151"/>
      <c r="T2047" s="12"/>
      <c r="U2047" s="12"/>
      <c r="V2047" s="12"/>
      <c r="W2047" s="12"/>
      <c r="X2047" s="12"/>
      <c r="Y2047" s="12"/>
      <c r="Z2047" s="12"/>
    </row>
    <row r="2048" spans="1:26" ht="15.75" customHeight="1" x14ac:dyDescent="0.3">
      <c r="A2048" s="3"/>
      <c r="B2048" s="167"/>
      <c r="C2048" s="94"/>
      <c r="D2048" s="12"/>
      <c r="E2048" s="167"/>
      <c r="F2048" s="12"/>
      <c r="G2048" s="331"/>
      <c r="H2048" s="474"/>
      <c r="I2048" s="475"/>
      <c r="J2048" s="476"/>
      <c r="K2048" s="5"/>
      <c r="L2048" s="3"/>
      <c r="M2048" s="6"/>
      <c r="N2048" s="9"/>
      <c r="O2048" s="9"/>
      <c r="P2048" s="12"/>
      <c r="Q2048" s="12"/>
      <c r="R2048" s="12"/>
      <c r="S2048" s="151"/>
      <c r="T2048" s="12"/>
      <c r="U2048" s="12"/>
      <c r="V2048" s="12"/>
      <c r="W2048" s="12"/>
      <c r="X2048" s="12"/>
      <c r="Y2048" s="12"/>
      <c r="Z2048" s="12"/>
    </row>
    <row r="2049" spans="1:26" ht="15.75" customHeight="1" x14ac:dyDescent="0.3">
      <c r="A2049" s="3"/>
      <c r="B2049" s="167"/>
      <c r="C2049" s="94"/>
      <c r="D2049" s="12"/>
      <c r="E2049" s="167"/>
      <c r="F2049" s="12"/>
      <c r="G2049" s="331"/>
      <c r="H2049" s="474"/>
      <c r="I2049" s="475"/>
      <c r="J2049" s="476"/>
      <c r="K2049" s="5"/>
      <c r="L2049" s="3"/>
      <c r="M2049" s="6"/>
      <c r="N2049" s="9"/>
      <c r="O2049" s="9"/>
      <c r="P2049" s="12"/>
      <c r="Q2049" s="12"/>
      <c r="R2049" s="12"/>
      <c r="S2049" s="151"/>
      <c r="T2049" s="12"/>
      <c r="U2049" s="12"/>
      <c r="V2049" s="12"/>
      <c r="W2049" s="12"/>
      <c r="X2049" s="12"/>
      <c r="Y2049" s="12"/>
      <c r="Z2049" s="12"/>
    </row>
    <row r="2050" spans="1:26" ht="15.75" customHeight="1" x14ac:dyDescent="0.3">
      <c r="A2050" s="3"/>
      <c r="B2050" s="167"/>
      <c r="C2050" s="94"/>
      <c r="D2050" s="12"/>
      <c r="E2050" s="167"/>
      <c r="F2050" s="12"/>
      <c r="G2050" s="331"/>
      <c r="H2050" s="474"/>
      <c r="I2050" s="475"/>
      <c r="J2050" s="476"/>
      <c r="K2050" s="5"/>
      <c r="L2050" s="3"/>
      <c r="M2050" s="6"/>
      <c r="N2050" s="9"/>
      <c r="O2050" s="9"/>
      <c r="P2050" s="12"/>
      <c r="Q2050" s="12"/>
      <c r="R2050" s="12"/>
      <c r="S2050" s="151"/>
      <c r="T2050" s="12"/>
      <c r="U2050" s="12"/>
      <c r="V2050" s="12"/>
      <c r="W2050" s="12"/>
      <c r="X2050" s="12"/>
      <c r="Y2050" s="12"/>
      <c r="Z2050" s="12"/>
    </row>
    <row r="2051" spans="1:26" ht="15.75" customHeight="1" x14ac:dyDescent="0.3">
      <c r="A2051" s="3"/>
      <c r="B2051" s="167"/>
      <c r="C2051" s="94"/>
      <c r="D2051" s="12"/>
      <c r="E2051" s="167"/>
      <c r="F2051" s="12"/>
      <c r="G2051" s="331"/>
      <c r="H2051" s="474"/>
      <c r="I2051" s="475"/>
      <c r="J2051" s="476"/>
      <c r="K2051" s="5"/>
      <c r="L2051" s="3"/>
      <c r="M2051" s="6"/>
      <c r="N2051" s="9"/>
      <c r="O2051" s="9"/>
      <c r="P2051" s="12"/>
      <c r="Q2051" s="12"/>
      <c r="R2051" s="12"/>
      <c r="S2051" s="151"/>
      <c r="T2051" s="12"/>
      <c r="U2051" s="12"/>
      <c r="V2051" s="12"/>
      <c r="W2051" s="12"/>
      <c r="X2051" s="12"/>
      <c r="Y2051" s="12"/>
      <c r="Z2051" s="12"/>
    </row>
    <row r="2052" spans="1:26" ht="15.75" customHeight="1" x14ac:dyDescent="0.3">
      <c r="A2052" s="3"/>
      <c r="B2052" s="167"/>
      <c r="C2052" s="94"/>
      <c r="D2052" s="12"/>
      <c r="E2052" s="167"/>
      <c r="F2052" s="12"/>
      <c r="G2052" s="331"/>
      <c r="H2052" s="474"/>
      <c r="I2052" s="475"/>
      <c r="J2052" s="476"/>
      <c r="K2052" s="5"/>
      <c r="L2052" s="3"/>
      <c r="M2052" s="6"/>
      <c r="N2052" s="9"/>
      <c r="O2052" s="9"/>
      <c r="P2052" s="12"/>
      <c r="Q2052" s="12"/>
      <c r="R2052" s="12"/>
      <c r="S2052" s="151"/>
      <c r="T2052" s="12"/>
      <c r="U2052" s="12"/>
      <c r="V2052" s="12"/>
      <c r="W2052" s="12"/>
      <c r="X2052" s="12"/>
      <c r="Y2052" s="12"/>
      <c r="Z2052" s="12"/>
    </row>
    <row r="2053" spans="1:26" ht="15.75" customHeight="1" x14ac:dyDescent="0.3">
      <c r="A2053" s="3"/>
      <c r="B2053" s="167"/>
      <c r="C2053" s="94"/>
      <c r="D2053" s="12"/>
      <c r="E2053" s="167"/>
      <c r="F2053" s="12"/>
      <c r="G2053" s="331"/>
      <c r="H2053" s="474"/>
      <c r="I2053" s="475"/>
      <c r="J2053" s="476"/>
      <c r="K2053" s="5"/>
      <c r="L2053" s="3"/>
      <c r="M2053" s="6"/>
      <c r="N2053" s="9"/>
      <c r="O2053" s="9"/>
      <c r="P2053" s="12"/>
      <c r="Q2053" s="12"/>
      <c r="R2053" s="12"/>
      <c r="S2053" s="151"/>
      <c r="T2053" s="12"/>
      <c r="U2053" s="12"/>
      <c r="V2053" s="12"/>
      <c r="W2053" s="12"/>
      <c r="X2053" s="12"/>
      <c r="Y2053" s="12"/>
      <c r="Z2053" s="12"/>
    </row>
    <row r="2054" spans="1:26" ht="15.75" customHeight="1" x14ac:dyDescent="0.3">
      <c r="A2054" s="3"/>
      <c r="B2054" s="167"/>
      <c r="C2054" s="94"/>
      <c r="D2054" s="12"/>
      <c r="E2054" s="167"/>
      <c r="F2054" s="12"/>
      <c r="G2054" s="331"/>
      <c r="H2054" s="474"/>
      <c r="I2054" s="475"/>
      <c r="J2054" s="476"/>
      <c r="K2054" s="5"/>
      <c r="L2054" s="3"/>
      <c r="M2054" s="6"/>
      <c r="N2054" s="9"/>
      <c r="O2054" s="9"/>
      <c r="P2054" s="12"/>
      <c r="Q2054" s="12"/>
      <c r="R2054" s="12"/>
      <c r="S2054" s="151"/>
      <c r="T2054" s="12"/>
      <c r="U2054" s="12"/>
      <c r="V2054" s="12"/>
      <c r="W2054" s="12"/>
      <c r="X2054" s="12"/>
      <c r="Y2054" s="12"/>
      <c r="Z2054" s="12"/>
    </row>
    <row r="2055" spans="1:26" ht="15.75" customHeight="1" x14ac:dyDescent="0.3">
      <c r="A2055" s="3"/>
      <c r="B2055" s="167"/>
      <c r="C2055" s="94"/>
      <c r="D2055" s="12"/>
      <c r="E2055" s="167"/>
      <c r="F2055" s="12"/>
      <c r="G2055" s="331"/>
      <c r="H2055" s="474"/>
      <c r="I2055" s="475"/>
      <c r="J2055" s="476"/>
      <c r="K2055" s="5"/>
      <c r="L2055" s="3"/>
      <c r="M2055" s="6"/>
      <c r="N2055" s="9"/>
      <c r="O2055" s="9"/>
      <c r="P2055" s="12"/>
      <c r="Q2055" s="12"/>
      <c r="R2055" s="12"/>
      <c r="S2055" s="151"/>
      <c r="T2055" s="12"/>
      <c r="U2055" s="12"/>
      <c r="V2055" s="12"/>
      <c r="W2055" s="12"/>
      <c r="X2055" s="12"/>
      <c r="Y2055" s="12"/>
      <c r="Z2055" s="12"/>
    </row>
    <row r="2056" spans="1:26" ht="15.75" customHeight="1" x14ac:dyDescent="0.3">
      <c r="A2056" s="3"/>
      <c r="B2056" s="167"/>
      <c r="C2056" s="94"/>
      <c r="D2056" s="12"/>
      <c r="E2056" s="167"/>
      <c r="F2056" s="12"/>
      <c r="G2056" s="331"/>
      <c r="H2056" s="474"/>
      <c r="I2056" s="475"/>
      <c r="J2056" s="476"/>
      <c r="K2056" s="5"/>
      <c r="L2056" s="3"/>
      <c r="M2056" s="6"/>
      <c r="N2056" s="9"/>
      <c r="O2056" s="9"/>
      <c r="P2056" s="12"/>
      <c r="Q2056" s="12"/>
      <c r="R2056" s="12"/>
      <c r="S2056" s="151"/>
      <c r="T2056" s="12"/>
      <c r="U2056" s="12"/>
      <c r="V2056" s="12"/>
      <c r="W2056" s="12"/>
      <c r="X2056" s="12"/>
      <c r="Y2056" s="12"/>
      <c r="Z2056" s="12"/>
    </row>
    <row r="2057" spans="1:26" ht="15.75" customHeight="1" x14ac:dyDescent="0.3">
      <c r="A2057" s="3"/>
      <c r="B2057" s="167"/>
      <c r="C2057" s="94"/>
      <c r="D2057" s="12"/>
      <c r="E2057" s="167"/>
      <c r="F2057" s="12"/>
      <c r="G2057" s="331"/>
      <c r="H2057" s="474"/>
      <c r="I2057" s="475"/>
      <c r="J2057" s="476"/>
      <c r="K2057" s="5"/>
      <c r="L2057" s="3"/>
      <c r="M2057" s="6"/>
      <c r="N2057" s="9"/>
      <c r="O2057" s="9"/>
      <c r="P2057" s="12"/>
      <c r="Q2057" s="12"/>
      <c r="R2057" s="12"/>
      <c r="S2057" s="151"/>
      <c r="T2057" s="12"/>
      <c r="U2057" s="12"/>
      <c r="V2057" s="12"/>
      <c r="W2057" s="12"/>
      <c r="X2057" s="12"/>
      <c r="Y2057" s="12"/>
      <c r="Z2057" s="12"/>
    </row>
    <row r="2058" spans="1:26" ht="15.75" customHeight="1" x14ac:dyDescent="0.3">
      <c r="A2058" s="3"/>
      <c r="B2058" s="167"/>
      <c r="C2058" s="94"/>
      <c r="D2058" s="12"/>
      <c r="E2058" s="167"/>
      <c r="F2058" s="12"/>
      <c r="G2058" s="331"/>
      <c r="H2058" s="474"/>
      <c r="I2058" s="475"/>
      <c r="J2058" s="476"/>
      <c r="K2058" s="5"/>
      <c r="L2058" s="3"/>
      <c r="M2058" s="6"/>
      <c r="N2058" s="9"/>
      <c r="O2058" s="9"/>
      <c r="P2058" s="12"/>
      <c r="Q2058" s="12"/>
      <c r="R2058" s="12"/>
      <c r="S2058" s="151"/>
      <c r="T2058" s="12"/>
      <c r="U2058" s="12"/>
      <c r="V2058" s="12"/>
      <c r="W2058" s="12"/>
      <c r="X2058" s="12"/>
      <c r="Y2058" s="12"/>
      <c r="Z2058" s="12"/>
    </row>
    <row r="2059" spans="1:26" ht="15.75" customHeight="1" x14ac:dyDescent="0.3">
      <c r="A2059" s="3"/>
      <c r="B2059" s="167"/>
      <c r="C2059" s="94"/>
      <c r="D2059" s="12"/>
      <c r="E2059" s="167"/>
      <c r="F2059" s="12"/>
      <c r="G2059" s="331"/>
      <c r="H2059" s="474"/>
      <c r="I2059" s="475"/>
      <c r="J2059" s="476"/>
      <c r="K2059" s="5"/>
      <c r="L2059" s="3"/>
      <c r="M2059" s="6"/>
      <c r="N2059" s="9"/>
      <c r="O2059" s="9"/>
      <c r="P2059" s="12"/>
      <c r="Q2059" s="12"/>
      <c r="R2059" s="12"/>
      <c r="S2059" s="151"/>
      <c r="T2059" s="12"/>
      <c r="U2059" s="12"/>
      <c r="V2059" s="12"/>
      <c r="W2059" s="12"/>
      <c r="X2059" s="12"/>
      <c r="Y2059" s="12"/>
      <c r="Z2059" s="12"/>
    </row>
    <row r="2060" spans="1:26" ht="15.75" customHeight="1" x14ac:dyDescent="0.3">
      <c r="A2060" s="3"/>
      <c r="B2060" s="167"/>
      <c r="C2060" s="94"/>
      <c r="D2060" s="12"/>
      <c r="E2060" s="167"/>
      <c r="F2060" s="12"/>
      <c r="G2060" s="331"/>
      <c r="H2060" s="474"/>
      <c r="I2060" s="475"/>
      <c r="J2060" s="476"/>
      <c r="K2060" s="5"/>
      <c r="L2060" s="3"/>
      <c r="M2060" s="6"/>
      <c r="N2060" s="9"/>
      <c r="O2060" s="9"/>
      <c r="P2060" s="12"/>
      <c r="Q2060" s="12"/>
      <c r="R2060" s="12"/>
      <c r="S2060" s="151"/>
      <c r="T2060" s="12"/>
      <c r="U2060" s="12"/>
      <c r="V2060" s="12"/>
      <c r="W2060" s="12"/>
      <c r="X2060" s="12"/>
      <c r="Y2060" s="12"/>
      <c r="Z2060" s="12"/>
    </row>
    <row r="2061" spans="1:26" ht="15.75" customHeight="1" x14ac:dyDescent="0.3">
      <c r="A2061" s="3"/>
      <c r="B2061" s="167"/>
      <c r="C2061" s="94"/>
      <c r="D2061" s="12"/>
      <c r="E2061" s="167"/>
      <c r="F2061" s="12"/>
      <c r="G2061" s="331"/>
      <c r="H2061" s="474"/>
      <c r="I2061" s="475"/>
      <c r="J2061" s="476"/>
      <c r="K2061" s="5"/>
      <c r="L2061" s="3"/>
      <c r="M2061" s="6"/>
      <c r="N2061" s="9"/>
      <c r="O2061" s="9"/>
      <c r="P2061" s="12"/>
      <c r="Q2061" s="12"/>
      <c r="R2061" s="12"/>
      <c r="S2061" s="151"/>
      <c r="T2061" s="12"/>
      <c r="U2061" s="12"/>
      <c r="V2061" s="12"/>
      <c r="W2061" s="12"/>
      <c r="X2061" s="12"/>
      <c r="Y2061" s="12"/>
      <c r="Z2061" s="12"/>
    </row>
    <row r="2062" spans="1:26" ht="15.75" customHeight="1" x14ac:dyDescent="0.3">
      <c r="A2062" s="3"/>
      <c r="B2062" s="167"/>
      <c r="C2062" s="94"/>
      <c r="D2062" s="12"/>
      <c r="E2062" s="167"/>
      <c r="F2062" s="12"/>
      <c r="G2062" s="331"/>
      <c r="H2062" s="474"/>
      <c r="I2062" s="475"/>
      <c r="J2062" s="476"/>
      <c r="K2062" s="5"/>
      <c r="L2062" s="3"/>
      <c r="M2062" s="6"/>
      <c r="N2062" s="9"/>
      <c r="O2062" s="9"/>
      <c r="P2062" s="12"/>
      <c r="Q2062" s="12"/>
      <c r="R2062" s="12"/>
      <c r="S2062" s="151"/>
      <c r="T2062" s="12"/>
      <c r="U2062" s="12"/>
      <c r="V2062" s="12"/>
      <c r="W2062" s="12"/>
      <c r="X2062" s="12"/>
      <c r="Y2062" s="12"/>
      <c r="Z2062" s="12"/>
    </row>
    <row r="2063" spans="1:26" ht="15.75" customHeight="1" x14ac:dyDescent="0.3">
      <c r="A2063" s="3"/>
      <c r="B2063" s="167"/>
      <c r="C2063" s="94"/>
      <c r="D2063" s="12"/>
      <c r="E2063" s="167"/>
      <c r="F2063" s="12"/>
      <c r="G2063" s="331"/>
      <c r="H2063" s="474"/>
      <c r="I2063" s="475"/>
      <c r="J2063" s="476"/>
      <c r="K2063" s="5"/>
      <c r="L2063" s="3"/>
      <c r="M2063" s="6"/>
      <c r="N2063" s="9"/>
      <c r="O2063" s="9"/>
      <c r="P2063" s="12"/>
      <c r="Q2063" s="12"/>
      <c r="R2063" s="12"/>
      <c r="S2063" s="151"/>
      <c r="T2063" s="12"/>
      <c r="U2063" s="12"/>
      <c r="V2063" s="12"/>
      <c r="W2063" s="12"/>
      <c r="X2063" s="12"/>
      <c r="Y2063" s="12"/>
      <c r="Z2063" s="12"/>
    </row>
    <row r="2064" spans="1:26" ht="15.75" customHeight="1" x14ac:dyDescent="0.3">
      <c r="A2064" s="3"/>
      <c r="B2064" s="167"/>
      <c r="C2064" s="94"/>
      <c r="D2064" s="12"/>
      <c r="E2064" s="167"/>
      <c r="F2064" s="12"/>
      <c r="G2064" s="331"/>
      <c r="H2064" s="474"/>
      <c r="I2064" s="475"/>
      <c r="J2064" s="476"/>
      <c r="K2064" s="5"/>
      <c r="L2064" s="3"/>
      <c r="M2064" s="6"/>
      <c r="N2064" s="9"/>
      <c r="O2064" s="9"/>
      <c r="P2064" s="12"/>
      <c r="Q2064" s="12"/>
      <c r="R2064" s="12"/>
      <c r="S2064" s="151"/>
      <c r="T2064" s="12"/>
      <c r="U2064" s="12"/>
      <c r="V2064" s="12"/>
      <c r="W2064" s="12"/>
      <c r="X2064" s="12"/>
      <c r="Y2064" s="12"/>
      <c r="Z2064" s="12"/>
    </row>
    <row r="2065" spans="1:26" ht="15.75" customHeight="1" x14ac:dyDescent="0.3">
      <c r="A2065" s="3"/>
      <c r="B2065" s="167"/>
      <c r="C2065" s="94"/>
      <c r="D2065" s="12"/>
      <c r="E2065" s="167"/>
      <c r="F2065" s="12"/>
      <c r="G2065" s="331"/>
      <c r="H2065" s="474"/>
      <c r="I2065" s="475"/>
      <c r="J2065" s="476"/>
      <c r="K2065" s="5"/>
      <c r="L2065" s="3"/>
      <c r="M2065" s="6"/>
      <c r="N2065" s="9"/>
      <c r="O2065" s="9"/>
      <c r="P2065" s="12"/>
      <c r="Q2065" s="12"/>
      <c r="R2065" s="12"/>
      <c r="S2065" s="151"/>
      <c r="T2065" s="12"/>
      <c r="U2065" s="12"/>
      <c r="V2065" s="12"/>
      <c r="W2065" s="12"/>
      <c r="X2065" s="12"/>
      <c r="Y2065" s="12"/>
      <c r="Z2065" s="12"/>
    </row>
    <row r="2066" spans="1:26" ht="15.75" customHeight="1" x14ac:dyDescent="0.3">
      <c r="A2066" s="3"/>
      <c r="B2066" s="167"/>
      <c r="C2066" s="94"/>
      <c r="D2066" s="12"/>
      <c r="E2066" s="167"/>
      <c r="F2066" s="12"/>
      <c r="G2066" s="331"/>
      <c r="H2066" s="474"/>
      <c r="I2066" s="475"/>
      <c r="J2066" s="476"/>
      <c r="K2066" s="5"/>
      <c r="L2066" s="3"/>
      <c r="M2066" s="6"/>
      <c r="N2066" s="9"/>
      <c r="O2066" s="9"/>
      <c r="P2066" s="12"/>
      <c r="Q2066" s="12"/>
      <c r="R2066" s="12"/>
      <c r="S2066" s="151"/>
      <c r="T2066" s="12"/>
      <c r="U2066" s="12"/>
      <c r="V2066" s="12"/>
      <c r="W2066" s="12"/>
      <c r="X2066" s="12"/>
      <c r="Y2066" s="12"/>
      <c r="Z2066" s="12"/>
    </row>
    <row r="2067" spans="1:26" ht="15.75" customHeight="1" x14ac:dyDescent="0.3">
      <c r="A2067" s="3"/>
      <c r="B2067" s="167"/>
      <c r="C2067" s="94"/>
      <c r="D2067" s="12"/>
      <c r="E2067" s="167"/>
      <c r="F2067" s="12"/>
      <c r="G2067" s="331"/>
      <c r="H2067" s="474"/>
      <c r="I2067" s="475"/>
      <c r="J2067" s="476"/>
      <c r="K2067" s="5"/>
      <c r="L2067" s="3"/>
      <c r="M2067" s="6"/>
      <c r="N2067" s="9"/>
      <c r="O2067" s="9"/>
      <c r="P2067" s="12"/>
      <c r="Q2067" s="12"/>
      <c r="R2067" s="12"/>
      <c r="S2067" s="151"/>
      <c r="T2067" s="12"/>
      <c r="U2067" s="12"/>
      <c r="V2067" s="12"/>
      <c r="W2067" s="12"/>
      <c r="X2067" s="12"/>
      <c r="Y2067" s="12"/>
      <c r="Z2067" s="12"/>
    </row>
    <row r="2068" spans="1:26" ht="15.75" customHeight="1" x14ac:dyDescent="0.3">
      <c r="A2068" s="3"/>
      <c r="B2068" s="167"/>
      <c r="C2068" s="94"/>
      <c r="D2068" s="12"/>
      <c r="E2068" s="167"/>
      <c r="F2068" s="12"/>
      <c r="G2068" s="331"/>
      <c r="H2068" s="474"/>
      <c r="I2068" s="475"/>
      <c r="J2068" s="476"/>
      <c r="K2068" s="5"/>
      <c r="L2068" s="3"/>
      <c r="M2068" s="6"/>
      <c r="N2068" s="9"/>
      <c r="O2068" s="9"/>
      <c r="P2068" s="12"/>
      <c r="Q2068" s="12"/>
      <c r="R2068" s="12"/>
      <c r="S2068" s="151"/>
      <c r="T2068" s="12"/>
      <c r="U2068" s="12"/>
      <c r="V2068" s="12"/>
      <c r="W2068" s="12"/>
      <c r="X2068" s="12"/>
      <c r="Y2068" s="12"/>
      <c r="Z2068" s="12"/>
    </row>
    <row r="2069" spans="1:26" ht="15.75" customHeight="1" x14ac:dyDescent="0.3">
      <c r="A2069" s="3"/>
      <c r="B2069" s="167"/>
      <c r="C2069" s="94"/>
      <c r="D2069" s="12"/>
      <c r="E2069" s="167"/>
      <c r="F2069" s="12"/>
      <c r="G2069" s="331"/>
      <c r="H2069" s="474"/>
      <c r="I2069" s="475"/>
      <c r="J2069" s="476"/>
      <c r="K2069" s="5"/>
      <c r="L2069" s="3"/>
      <c r="M2069" s="6"/>
      <c r="N2069" s="9"/>
      <c r="O2069" s="9"/>
      <c r="P2069" s="12"/>
      <c r="Q2069" s="12"/>
      <c r="R2069" s="12"/>
      <c r="S2069" s="151"/>
      <c r="T2069" s="12"/>
      <c r="U2069" s="12"/>
      <c r="V2069" s="12"/>
      <c r="W2069" s="12"/>
      <c r="X2069" s="12"/>
      <c r="Y2069" s="12"/>
      <c r="Z2069" s="12"/>
    </row>
    <row r="2070" spans="1:26" ht="15.75" customHeight="1" x14ac:dyDescent="0.3">
      <c r="A2070" s="3"/>
      <c r="B2070" s="167"/>
      <c r="C2070" s="94"/>
      <c r="D2070" s="12"/>
      <c r="E2070" s="167"/>
      <c r="F2070" s="12"/>
      <c r="G2070" s="331"/>
      <c r="H2070" s="474"/>
      <c r="I2070" s="475"/>
      <c r="J2070" s="476"/>
      <c r="K2070" s="5"/>
      <c r="L2070" s="3"/>
      <c r="M2070" s="6"/>
      <c r="N2070" s="9"/>
      <c r="O2070" s="9"/>
      <c r="P2070" s="12"/>
      <c r="Q2070" s="12"/>
      <c r="R2070" s="12"/>
      <c r="S2070" s="151"/>
      <c r="T2070" s="12"/>
      <c r="U2070" s="12"/>
      <c r="V2070" s="12"/>
      <c r="W2070" s="12"/>
      <c r="X2070" s="12"/>
      <c r="Y2070" s="12"/>
      <c r="Z2070" s="12"/>
    </row>
    <row r="2071" spans="1:26" ht="15.75" customHeight="1" x14ac:dyDescent="0.3">
      <c r="A2071" s="3"/>
      <c r="B2071" s="167"/>
      <c r="C2071" s="94"/>
      <c r="D2071" s="12"/>
      <c r="E2071" s="167"/>
      <c r="F2071" s="12"/>
      <c r="G2071" s="331"/>
      <c r="H2071" s="474"/>
      <c r="I2071" s="475"/>
      <c r="J2071" s="476"/>
      <c r="K2071" s="5"/>
      <c r="L2071" s="3"/>
      <c r="M2071" s="6"/>
      <c r="N2071" s="9"/>
      <c r="O2071" s="9"/>
      <c r="P2071" s="12"/>
      <c r="Q2071" s="12"/>
      <c r="R2071" s="12"/>
      <c r="S2071" s="151"/>
      <c r="T2071" s="12"/>
      <c r="U2071" s="12"/>
      <c r="V2071" s="12"/>
      <c r="W2071" s="12"/>
      <c r="X2071" s="12"/>
      <c r="Y2071" s="12"/>
      <c r="Z2071" s="12"/>
    </row>
    <row r="2072" spans="1:26" ht="15.75" customHeight="1" x14ac:dyDescent="0.3">
      <c r="A2072" s="3"/>
      <c r="B2072" s="167"/>
      <c r="C2072" s="94"/>
      <c r="D2072" s="12"/>
      <c r="E2072" s="167"/>
      <c r="F2072" s="12"/>
      <c r="G2072" s="331"/>
      <c r="H2072" s="474"/>
      <c r="I2072" s="475"/>
      <c r="J2072" s="476"/>
      <c r="K2072" s="5"/>
      <c r="L2072" s="3"/>
      <c r="M2072" s="6"/>
      <c r="N2072" s="9"/>
      <c r="O2072" s="9"/>
      <c r="P2072" s="12"/>
      <c r="Q2072" s="12"/>
      <c r="R2072" s="12"/>
      <c r="S2072" s="151"/>
      <c r="T2072" s="12"/>
      <c r="U2072" s="12"/>
      <c r="V2072" s="12"/>
      <c r="W2072" s="12"/>
      <c r="X2072" s="12"/>
      <c r="Y2072" s="12"/>
      <c r="Z2072" s="12"/>
    </row>
    <row r="2073" spans="1:26" ht="15.75" customHeight="1" x14ac:dyDescent="0.3">
      <c r="A2073" s="3"/>
      <c r="B2073" s="167"/>
      <c r="C2073" s="94"/>
      <c r="D2073" s="12"/>
      <c r="E2073" s="167"/>
      <c r="F2073" s="12"/>
      <c r="G2073" s="331"/>
      <c r="H2073" s="474"/>
      <c r="I2073" s="475"/>
      <c r="J2073" s="476"/>
      <c r="K2073" s="5"/>
      <c r="L2073" s="3"/>
      <c r="M2073" s="6"/>
      <c r="N2073" s="9"/>
      <c r="O2073" s="9"/>
      <c r="P2073" s="12"/>
      <c r="Q2073" s="12"/>
      <c r="R2073" s="12"/>
      <c r="S2073" s="151"/>
      <c r="T2073" s="12"/>
      <c r="U2073" s="12"/>
      <c r="V2073" s="12"/>
      <c r="W2073" s="12"/>
      <c r="X2073" s="12"/>
      <c r="Y2073" s="12"/>
      <c r="Z2073" s="12"/>
    </row>
    <row r="2074" spans="1:26" ht="15.75" customHeight="1" x14ac:dyDescent="0.3">
      <c r="A2074" s="3"/>
      <c r="B2074" s="167"/>
      <c r="C2074" s="94"/>
      <c r="D2074" s="12"/>
      <c r="E2074" s="167"/>
      <c r="F2074" s="12"/>
      <c r="G2074" s="331"/>
      <c r="H2074" s="474"/>
      <c r="I2074" s="475"/>
      <c r="J2074" s="476"/>
      <c r="K2074" s="5"/>
      <c r="L2074" s="3"/>
      <c r="M2074" s="6"/>
      <c r="N2074" s="9"/>
      <c r="O2074" s="9"/>
      <c r="P2074" s="12"/>
      <c r="Q2074" s="12"/>
      <c r="R2074" s="12"/>
      <c r="S2074" s="151"/>
      <c r="T2074" s="12"/>
      <c r="U2074" s="12"/>
      <c r="V2074" s="12"/>
      <c r="W2074" s="12"/>
      <c r="X2074" s="12"/>
      <c r="Y2074" s="12"/>
      <c r="Z2074" s="12"/>
    </row>
    <row r="2075" spans="1:26" ht="15.75" customHeight="1" x14ac:dyDescent="0.3">
      <c r="A2075" s="3"/>
      <c r="B2075" s="167"/>
      <c r="C2075" s="94"/>
      <c r="D2075" s="12"/>
      <c r="E2075" s="167"/>
      <c r="F2075" s="12"/>
      <c r="G2075" s="331"/>
      <c r="H2075" s="474"/>
      <c r="I2075" s="475"/>
      <c r="J2075" s="476"/>
      <c r="K2075" s="5"/>
      <c r="L2075" s="3"/>
      <c r="M2075" s="6"/>
      <c r="N2075" s="9"/>
      <c r="O2075" s="9"/>
      <c r="P2075" s="12"/>
      <c r="Q2075" s="12"/>
      <c r="R2075" s="12"/>
      <c r="S2075" s="151"/>
      <c r="T2075" s="12"/>
      <c r="U2075" s="12"/>
      <c r="V2075" s="12"/>
      <c r="W2075" s="12"/>
      <c r="X2075" s="12"/>
      <c r="Y2075" s="12"/>
      <c r="Z2075" s="12"/>
    </row>
    <row r="2076" spans="1:26" ht="15.75" customHeight="1" x14ac:dyDescent="0.3">
      <c r="A2076" s="3"/>
      <c r="B2076" s="167"/>
      <c r="C2076" s="94"/>
      <c r="D2076" s="12"/>
      <c r="E2076" s="167"/>
      <c r="F2076" s="12"/>
      <c r="G2076" s="331"/>
      <c r="H2076" s="474"/>
      <c r="I2076" s="475"/>
      <c r="J2076" s="476"/>
      <c r="K2076" s="5"/>
      <c r="L2076" s="3"/>
      <c r="M2076" s="6"/>
      <c r="N2076" s="9"/>
      <c r="O2076" s="9"/>
      <c r="P2076" s="12"/>
      <c r="Q2076" s="12"/>
      <c r="R2076" s="12"/>
      <c r="S2076" s="151"/>
      <c r="T2076" s="12"/>
      <c r="U2076" s="12"/>
      <c r="V2076" s="12"/>
      <c r="W2076" s="12"/>
      <c r="X2076" s="12"/>
      <c r="Y2076" s="12"/>
      <c r="Z2076" s="12"/>
    </row>
    <row r="2077" spans="1:26" ht="15.75" customHeight="1" x14ac:dyDescent="0.3">
      <c r="A2077" s="3"/>
      <c r="B2077" s="167"/>
      <c r="C2077" s="94"/>
      <c r="D2077" s="12"/>
      <c r="E2077" s="167"/>
      <c r="F2077" s="12"/>
      <c r="G2077" s="331"/>
      <c r="H2077" s="474"/>
      <c r="I2077" s="475"/>
      <c r="J2077" s="476"/>
      <c r="K2077" s="5"/>
      <c r="L2077" s="3"/>
      <c r="M2077" s="6"/>
      <c r="N2077" s="9"/>
      <c r="O2077" s="9"/>
      <c r="P2077" s="12"/>
      <c r="Q2077" s="12"/>
      <c r="R2077" s="12"/>
      <c r="S2077" s="151"/>
      <c r="T2077" s="12"/>
      <c r="U2077" s="12"/>
      <c r="V2077" s="12"/>
      <c r="W2077" s="12"/>
      <c r="X2077" s="12"/>
      <c r="Y2077" s="12"/>
      <c r="Z2077" s="12"/>
    </row>
    <row r="2078" spans="1:26" ht="15.75" customHeight="1" x14ac:dyDescent="0.3">
      <c r="A2078" s="3"/>
      <c r="B2078" s="167"/>
      <c r="C2078" s="94"/>
      <c r="D2078" s="12"/>
      <c r="E2078" s="167"/>
      <c r="F2078" s="12"/>
      <c r="G2078" s="331"/>
      <c r="H2078" s="474"/>
      <c r="I2078" s="475"/>
      <c r="J2078" s="476"/>
      <c r="K2078" s="5"/>
      <c r="L2078" s="3"/>
      <c r="M2078" s="6"/>
      <c r="N2078" s="9"/>
      <c r="O2078" s="9"/>
      <c r="P2078" s="12"/>
      <c r="Q2078" s="12"/>
      <c r="R2078" s="12"/>
      <c r="S2078" s="151"/>
      <c r="T2078" s="12"/>
      <c r="U2078" s="12"/>
      <c r="V2078" s="12"/>
      <c r="W2078" s="12"/>
      <c r="X2078" s="12"/>
      <c r="Y2078" s="12"/>
      <c r="Z2078" s="12"/>
    </row>
    <row r="2079" spans="1:26" ht="15.75" customHeight="1" x14ac:dyDescent="0.3">
      <c r="A2079" s="3"/>
      <c r="B2079" s="167"/>
      <c r="C2079" s="94"/>
      <c r="D2079" s="12"/>
      <c r="E2079" s="167"/>
      <c r="F2079" s="12"/>
      <c r="G2079" s="331"/>
      <c r="H2079" s="474"/>
      <c r="I2079" s="475"/>
      <c r="J2079" s="476"/>
      <c r="K2079" s="5"/>
      <c r="L2079" s="3"/>
      <c r="M2079" s="6"/>
      <c r="N2079" s="9"/>
      <c r="O2079" s="9"/>
      <c r="P2079" s="12"/>
      <c r="Q2079" s="12"/>
      <c r="R2079" s="12"/>
      <c r="S2079" s="151"/>
      <c r="T2079" s="12"/>
      <c r="U2079" s="12"/>
      <c r="V2079" s="12"/>
      <c r="W2079" s="12"/>
      <c r="X2079" s="12"/>
      <c r="Y2079" s="12"/>
      <c r="Z2079" s="12"/>
    </row>
    <row r="2080" spans="1:26" ht="15.75" customHeight="1" x14ac:dyDescent="0.3">
      <c r="A2080" s="3"/>
      <c r="B2080" s="167"/>
      <c r="C2080" s="94"/>
      <c r="D2080" s="12"/>
      <c r="E2080" s="167"/>
      <c r="F2080" s="12"/>
      <c r="G2080" s="331"/>
      <c r="H2080" s="474"/>
      <c r="I2080" s="475"/>
      <c r="J2080" s="476"/>
      <c r="K2080" s="5"/>
      <c r="L2080" s="3"/>
      <c r="M2080" s="6"/>
      <c r="N2080" s="9"/>
      <c r="O2080" s="9"/>
      <c r="P2080" s="12"/>
      <c r="Q2080" s="12"/>
      <c r="R2080" s="12"/>
      <c r="S2080" s="151"/>
      <c r="T2080" s="12"/>
      <c r="U2080" s="12"/>
      <c r="V2080" s="12"/>
      <c r="W2080" s="12"/>
      <c r="X2080" s="12"/>
      <c r="Y2080" s="12"/>
      <c r="Z2080" s="12"/>
    </row>
    <row r="2081" spans="1:26" ht="15.75" customHeight="1" x14ac:dyDescent="0.3">
      <c r="A2081" s="3"/>
      <c r="B2081" s="167"/>
      <c r="C2081" s="94"/>
      <c r="D2081" s="12"/>
      <c r="E2081" s="167"/>
      <c r="F2081" s="12"/>
      <c r="G2081" s="331"/>
      <c r="H2081" s="474"/>
      <c r="I2081" s="475"/>
      <c r="J2081" s="476"/>
      <c r="K2081" s="5"/>
      <c r="L2081" s="3"/>
      <c r="M2081" s="6"/>
      <c r="N2081" s="9"/>
      <c r="O2081" s="9"/>
      <c r="P2081" s="12"/>
      <c r="Q2081" s="12"/>
      <c r="R2081" s="12"/>
      <c r="S2081" s="151"/>
      <c r="T2081" s="12"/>
      <c r="U2081" s="12"/>
      <c r="V2081" s="12"/>
      <c r="W2081" s="12"/>
      <c r="X2081" s="12"/>
      <c r="Y2081" s="12"/>
      <c r="Z2081" s="12"/>
    </row>
    <row r="2082" spans="1:26" ht="15.75" customHeight="1" x14ac:dyDescent="0.3">
      <c r="A2082" s="3"/>
      <c r="B2082" s="167"/>
      <c r="C2082" s="94"/>
      <c r="D2082" s="12"/>
      <c r="E2082" s="167"/>
      <c r="F2082" s="12"/>
      <c r="G2082" s="331"/>
      <c r="H2082" s="474"/>
      <c r="I2082" s="475"/>
      <c r="J2082" s="476"/>
      <c r="K2082" s="5"/>
      <c r="L2082" s="3"/>
      <c r="M2082" s="6"/>
      <c r="N2082" s="9"/>
      <c r="O2082" s="9"/>
      <c r="P2082" s="12"/>
      <c r="Q2082" s="12"/>
      <c r="R2082" s="12"/>
      <c r="S2082" s="151"/>
      <c r="T2082" s="12"/>
      <c r="U2082" s="12"/>
      <c r="V2082" s="12"/>
      <c r="W2082" s="12"/>
      <c r="X2082" s="12"/>
      <c r="Y2082" s="12"/>
      <c r="Z2082" s="12"/>
    </row>
    <row r="2083" spans="1:26" ht="15.75" customHeight="1" x14ac:dyDescent="0.3">
      <c r="A2083" s="3"/>
      <c r="B2083" s="167"/>
      <c r="C2083" s="94"/>
      <c r="D2083" s="12"/>
      <c r="E2083" s="167"/>
      <c r="F2083" s="12"/>
      <c r="G2083" s="331"/>
      <c r="H2083" s="474"/>
      <c r="I2083" s="475"/>
      <c r="J2083" s="476"/>
      <c r="K2083" s="5"/>
      <c r="L2083" s="3"/>
      <c r="M2083" s="6"/>
      <c r="N2083" s="9"/>
      <c r="O2083" s="9"/>
      <c r="P2083" s="12"/>
      <c r="Q2083" s="12"/>
      <c r="R2083" s="12"/>
      <c r="S2083" s="151"/>
      <c r="T2083" s="12"/>
      <c r="U2083" s="12"/>
      <c r="V2083" s="12"/>
      <c r="W2083" s="12"/>
      <c r="X2083" s="12"/>
      <c r="Y2083" s="12"/>
      <c r="Z2083" s="12"/>
    </row>
    <row r="2084" spans="1:26" ht="15.75" customHeight="1" x14ac:dyDescent="0.3">
      <c r="A2084" s="3"/>
      <c r="B2084" s="167"/>
      <c r="C2084" s="94"/>
      <c r="D2084" s="12"/>
      <c r="E2084" s="167"/>
      <c r="F2084" s="12"/>
      <c r="G2084" s="331"/>
      <c r="H2084" s="474"/>
      <c r="I2084" s="475"/>
      <c r="J2084" s="476"/>
      <c r="K2084" s="5"/>
      <c r="L2084" s="3"/>
      <c r="M2084" s="6"/>
      <c r="N2084" s="9"/>
      <c r="O2084" s="9"/>
      <c r="P2084" s="12"/>
      <c r="Q2084" s="12"/>
      <c r="R2084" s="12"/>
      <c r="S2084" s="151"/>
      <c r="T2084" s="12"/>
      <c r="U2084" s="12"/>
      <c r="V2084" s="12"/>
      <c r="W2084" s="12"/>
      <c r="X2084" s="12"/>
      <c r="Y2084" s="12"/>
      <c r="Z2084" s="12"/>
    </row>
    <row r="2085" spans="1:26" ht="15.75" customHeight="1" x14ac:dyDescent="0.3">
      <c r="A2085" s="3"/>
      <c r="B2085" s="167"/>
      <c r="C2085" s="94"/>
      <c r="D2085" s="12"/>
      <c r="E2085" s="167"/>
      <c r="F2085" s="12"/>
      <c r="G2085" s="331"/>
      <c r="H2085" s="474"/>
      <c r="I2085" s="475"/>
      <c r="J2085" s="476"/>
      <c r="K2085" s="5"/>
      <c r="L2085" s="3"/>
      <c r="M2085" s="6"/>
      <c r="N2085" s="9"/>
      <c r="O2085" s="9"/>
      <c r="P2085" s="12"/>
      <c r="Q2085" s="12"/>
      <c r="R2085" s="12"/>
      <c r="S2085" s="151"/>
      <c r="T2085" s="12"/>
      <c r="U2085" s="12"/>
      <c r="V2085" s="12"/>
      <c r="W2085" s="12"/>
      <c r="X2085" s="12"/>
      <c r="Y2085" s="12"/>
      <c r="Z2085" s="12"/>
    </row>
    <row r="2086" spans="1:26" ht="15.75" customHeight="1" x14ac:dyDescent="0.3">
      <c r="A2086" s="3"/>
      <c r="B2086" s="167"/>
      <c r="C2086" s="94"/>
      <c r="D2086" s="12"/>
      <c r="E2086" s="167"/>
      <c r="F2086" s="12"/>
      <c r="G2086" s="331"/>
      <c r="H2086" s="474"/>
      <c r="I2086" s="475"/>
      <c r="J2086" s="476"/>
      <c r="K2086" s="5"/>
      <c r="L2086" s="3"/>
      <c r="M2086" s="6"/>
      <c r="N2086" s="9"/>
      <c r="O2086" s="9"/>
      <c r="P2086" s="12"/>
      <c r="Q2086" s="12"/>
      <c r="R2086" s="12"/>
      <c r="S2086" s="151"/>
      <c r="T2086" s="12"/>
      <c r="U2086" s="12"/>
      <c r="V2086" s="12"/>
      <c r="W2086" s="12"/>
      <c r="X2086" s="12"/>
      <c r="Y2086" s="12"/>
      <c r="Z2086" s="12"/>
    </row>
    <row r="2087" spans="1:26" ht="15.75" customHeight="1" x14ac:dyDescent="0.3">
      <c r="A2087" s="3"/>
      <c r="B2087" s="167"/>
      <c r="C2087" s="94"/>
      <c r="D2087" s="12"/>
      <c r="E2087" s="167"/>
      <c r="F2087" s="12"/>
      <c r="G2087" s="331"/>
      <c r="H2087" s="474"/>
      <c r="I2087" s="475"/>
      <c r="J2087" s="476"/>
      <c r="K2087" s="5"/>
      <c r="L2087" s="3"/>
      <c r="M2087" s="6"/>
      <c r="N2087" s="9"/>
      <c r="O2087" s="9"/>
      <c r="P2087" s="12"/>
      <c r="Q2087" s="12"/>
      <c r="R2087" s="12"/>
      <c r="S2087" s="151"/>
      <c r="T2087" s="12"/>
      <c r="U2087" s="12"/>
      <c r="V2087" s="12"/>
      <c r="W2087" s="12"/>
      <c r="X2087" s="12"/>
      <c r="Y2087" s="12"/>
      <c r="Z2087" s="12"/>
    </row>
    <row r="2088" spans="1:26" ht="15.75" customHeight="1" x14ac:dyDescent="0.3">
      <c r="A2088" s="3"/>
      <c r="B2088" s="167"/>
      <c r="C2088" s="94"/>
      <c r="D2088" s="12"/>
      <c r="E2088" s="167"/>
      <c r="F2088" s="12"/>
      <c r="G2088" s="331"/>
      <c r="H2088" s="474"/>
      <c r="I2088" s="475"/>
      <c r="J2088" s="476"/>
      <c r="K2088" s="5"/>
      <c r="L2088" s="3"/>
      <c r="M2088" s="6"/>
      <c r="N2088" s="9"/>
      <c r="O2088" s="9"/>
      <c r="P2088" s="12"/>
      <c r="Q2088" s="12"/>
      <c r="R2088" s="12"/>
      <c r="S2088" s="151"/>
      <c r="T2088" s="12"/>
      <c r="U2088" s="12"/>
      <c r="V2088" s="12"/>
      <c r="W2088" s="12"/>
      <c r="X2088" s="12"/>
      <c r="Y2088" s="12"/>
      <c r="Z2088" s="12"/>
    </row>
    <row r="2089" spans="1:26" ht="15.75" customHeight="1" x14ac:dyDescent="0.3">
      <c r="A2089" s="3"/>
      <c r="B2089" s="167"/>
      <c r="C2089" s="94"/>
      <c r="D2089" s="12"/>
      <c r="E2089" s="167"/>
      <c r="F2089" s="12"/>
      <c r="G2089" s="331"/>
      <c r="H2089" s="474"/>
      <c r="I2089" s="475"/>
      <c r="J2089" s="476"/>
      <c r="K2089" s="5"/>
      <c r="L2089" s="3"/>
      <c r="M2089" s="6"/>
      <c r="N2089" s="9"/>
      <c r="O2089" s="9"/>
      <c r="P2089" s="12"/>
      <c r="Q2089" s="12"/>
      <c r="R2089" s="12"/>
      <c r="S2089" s="151"/>
      <c r="T2089" s="12"/>
      <c r="U2089" s="12"/>
      <c r="V2089" s="12"/>
      <c r="W2089" s="12"/>
      <c r="X2089" s="12"/>
      <c r="Y2089" s="12"/>
      <c r="Z2089" s="12"/>
    </row>
    <row r="2090" spans="1:26" ht="15.75" customHeight="1" x14ac:dyDescent="0.3">
      <c r="A2090" s="3"/>
      <c r="B2090" s="167"/>
      <c r="C2090" s="94"/>
      <c r="D2090" s="12"/>
      <c r="E2090" s="167"/>
      <c r="F2090" s="12"/>
      <c r="G2090" s="331"/>
      <c r="H2090" s="474"/>
      <c r="I2090" s="475"/>
      <c r="J2090" s="476"/>
      <c r="K2090" s="5"/>
      <c r="L2090" s="3"/>
      <c r="M2090" s="6"/>
      <c r="N2090" s="9"/>
      <c r="O2090" s="9"/>
      <c r="P2090" s="12"/>
      <c r="Q2090" s="12"/>
      <c r="R2090" s="12"/>
      <c r="S2090" s="151"/>
      <c r="T2090" s="12"/>
      <c r="U2090" s="12"/>
      <c r="V2090" s="12"/>
      <c r="W2090" s="12"/>
      <c r="X2090" s="12"/>
      <c r="Y2090" s="12"/>
      <c r="Z2090" s="12"/>
    </row>
    <row r="2091" spans="1:26" ht="15.75" customHeight="1" x14ac:dyDescent="0.3">
      <c r="A2091" s="3"/>
      <c r="B2091" s="167"/>
      <c r="C2091" s="94"/>
      <c r="D2091" s="12"/>
      <c r="E2091" s="167"/>
      <c r="F2091" s="12"/>
      <c r="G2091" s="331"/>
      <c r="H2091" s="474"/>
      <c r="I2091" s="475"/>
      <c r="J2091" s="476"/>
      <c r="K2091" s="5"/>
      <c r="L2091" s="3"/>
      <c r="M2091" s="6"/>
      <c r="N2091" s="9"/>
      <c r="O2091" s="9"/>
      <c r="P2091" s="12"/>
      <c r="Q2091" s="12"/>
      <c r="R2091" s="12"/>
      <c r="S2091" s="151"/>
      <c r="T2091" s="12"/>
      <c r="U2091" s="12"/>
      <c r="V2091" s="12"/>
      <c r="W2091" s="12"/>
      <c r="X2091" s="12"/>
      <c r="Y2091" s="12"/>
      <c r="Z2091" s="12"/>
    </row>
    <row r="2092" spans="1:26" ht="15.75" customHeight="1" x14ac:dyDescent="0.3">
      <c r="A2092" s="3"/>
      <c r="B2092" s="167"/>
      <c r="C2092" s="94"/>
      <c r="D2092" s="12"/>
      <c r="E2092" s="167"/>
      <c r="F2092" s="12"/>
      <c r="G2092" s="331"/>
      <c r="H2092" s="474"/>
      <c r="I2092" s="475"/>
      <c r="J2092" s="476"/>
      <c r="K2092" s="5"/>
      <c r="L2092" s="3"/>
      <c r="M2092" s="6"/>
      <c r="N2092" s="9"/>
      <c r="O2092" s="9"/>
      <c r="P2092" s="12"/>
      <c r="Q2092" s="12"/>
      <c r="R2092" s="12"/>
      <c r="S2092" s="151"/>
      <c r="T2092" s="12"/>
      <c r="U2092" s="12"/>
      <c r="V2092" s="12"/>
      <c r="W2092" s="12"/>
      <c r="X2092" s="12"/>
      <c r="Y2092" s="12"/>
      <c r="Z2092" s="12"/>
    </row>
    <row r="2093" spans="1:26" ht="15.75" customHeight="1" x14ac:dyDescent="0.3">
      <c r="A2093" s="3"/>
      <c r="B2093" s="167"/>
      <c r="C2093" s="94"/>
      <c r="D2093" s="12"/>
      <c r="E2093" s="167"/>
      <c r="F2093" s="12"/>
      <c r="G2093" s="331"/>
      <c r="H2093" s="474"/>
      <c r="I2093" s="475"/>
      <c r="J2093" s="476"/>
      <c r="K2093" s="5"/>
      <c r="L2093" s="3"/>
      <c r="M2093" s="6"/>
      <c r="N2093" s="9"/>
      <c r="O2093" s="9"/>
      <c r="P2093" s="12"/>
      <c r="Q2093" s="12"/>
      <c r="R2093" s="12"/>
      <c r="S2093" s="151"/>
      <c r="T2093" s="12"/>
      <c r="U2093" s="12"/>
      <c r="V2093" s="12"/>
      <c r="W2093" s="12"/>
      <c r="X2093" s="12"/>
      <c r="Y2093" s="12"/>
      <c r="Z2093" s="12"/>
    </row>
    <row r="2094" spans="1:26" ht="15.75" customHeight="1" x14ac:dyDescent="0.3">
      <c r="A2094" s="3"/>
      <c r="B2094" s="167"/>
      <c r="C2094" s="94"/>
      <c r="D2094" s="12"/>
      <c r="E2094" s="167"/>
      <c r="F2094" s="12"/>
      <c r="G2094" s="331"/>
      <c r="H2094" s="474"/>
      <c r="I2094" s="475"/>
      <c r="J2094" s="476"/>
      <c r="K2094" s="5"/>
      <c r="L2094" s="3"/>
      <c r="M2094" s="6"/>
      <c r="N2094" s="9"/>
      <c r="O2094" s="9"/>
      <c r="P2094" s="12"/>
      <c r="Q2094" s="12"/>
      <c r="R2094" s="12"/>
      <c r="S2094" s="151"/>
      <c r="T2094" s="12"/>
      <c r="U2094" s="12"/>
      <c r="V2094" s="12"/>
      <c r="W2094" s="12"/>
      <c r="X2094" s="12"/>
      <c r="Y2094" s="12"/>
      <c r="Z2094" s="12"/>
    </row>
    <row r="2095" spans="1:26" ht="15.75" customHeight="1" x14ac:dyDescent="0.3">
      <c r="A2095" s="3"/>
      <c r="B2095" s="167"/>
      <c r="C2095" s="94"/>
      <c r="D2095" s="12"/>
      <c r="E2095" s="167"/>
      <c r="F2095" s="12"/>
      <c r="G2095" s="331"/>
      <c r="H2095" s="474"/>
      <c r="I2095" s="475"/>
      <c r="J2095" s="476"/>
      <c r="K2095" s="5"/>
      <c r="L2095" s="3"/>
      <c r="M2095" s="6"/>
      <c r="N2095" s="9"/>
      <c r="O2095" s="9"/>
      <c r="P2095" s="12"/>
      <c r="Q2095" s="12"/>
      <c r="R2095" s="12"/>
      <c r="S2095" s="151"/>
      <c r="T2095" s="12"/>
      <c r="U2095" s="12"/>
      <c r="V2095" s="12"/>
      <c r="W2095" s="12"/>
      <c r="X2095" s="12"/>
      <c r="Y2095" s="12"/>
      <c r="Z2095" s="12"/>
    </row>
    <row r="2096" spans="1:26" ht="15.75" customHeight="1" x14ac:dyDescent="0.3">
      <c r="A2096" s="3"/>
      <c r="B2096" s="167"/>
      <c r="C2096" s="94"/>
      <c r="D2096" s="12"/>
      <c r="E2096" s="167"/>
      <c r="F2096" s="12"/>
      <c r="G2096" s="331"/>
      <c r="H2096" s="474"/>
      <c r="I2096" s="475"/>
      <c r="J2096" s="476"/>
      <c r="K2096" s="5"/>
      <c r="L2096" s="3"/>
      <c r="M2096" s="6"/>
      <c r="N2096" s="9"/>
      <c r="O2096" s="9"/>
      <c r="P2096" s="12"/>
      <c r="Q2096" s="12"/>
      <c r="R2096" s="12"/>
      <c r="S2096" s="151"/>
      <c r="T2096" s="12"/>
      <c r="U2096" s="12"/>
      <c r="V2096" s="12"/>
      <c r="W2096" s="12"/>
      <c r="X2096" s="12"/>
      <c r="Y2096" s="12"/>
      <c r="Z2096" s="12"/>
    </row>
    <row r="2097" spans="1:26" ht="15.75" customHeight="1" x14ac:dyDescent="0.3">
      <c r="A2097" s="3"/>
      <c r="B2097" s="167"/>
      <c r="C2097" s="94"/>
      <c r="D2097" s="12"/>
      <c r="E2097" s="167"/>
      <c r="F2097" s="12"/>
      <c r="G2097" s="331"/>
      <c r="H2097" s="474"/>
      <c r="I2097" s="475"/>
      <c r="J2097" s="476"/>
      <c r="K2097" s="5"/>
      <c r="L2097" s="3"/>
      <c r="M2097" s="6"/>
      <c r="N2097" s="9"/>
      <c r="O2097" s="9"/>
      <c r="P2097" s="12"/>
      <c r="Q2097" s="12"/>
      <c r="R2097" s="12"/>
      <c r="S2097" s="151"/>
      <c r="T2097" s="12"/>
      <c r="U2097" s="12"/>
      <c r="V2097" s="12"/>
      <c r="W2097" s="12"/>
      <c r="X2097" s="12"/>
      <c r="Y2097" s="12"/>
      <c r="Z2097" s="12"/>
    </row>
    <row r="2098" spans="1:26" ht="15.75" customHeight="1" x14ac:dyDescent="0.3">
      <c r="A2098" s="3"/>
      <c r="B2098" s="167"/>
      <c r="C2098" s="94"/>
      <c r="D2098" s="12"/>
      <c r="E2098" s="167"/>
      <c r="F2098" s="12"/>
      <c r="G2098" s="331"/>
      <c r="H2098" s="474"/>
      <c r="I2098" s="475"/>
      <c r="J2098" s="476"/>
      <c r="K2098" s="5"/>
      <c r="L2098" s="3"/>
      <c r="M2098" s="6"/>
      <c r="N2098" s="9"/>
      <c r="O2098" s="9"/>
      <c r="P2098" s="12"/>
      <c r="Q2098" s="12"/>
      <c r="R2098" s="12"/>
      <c r="S2098" s="151"/>
      <c r="T2098" s="12"/>
      <c r="U2098" s="12"/>
      <c r="V2098" s="12"/>
      <c r="W2098" s="12"/>
      <c r="X2098" s="12"/>
      <c r="Y2098" s="12"/>
      <c r="Z2098" s="12"/>
    </row>
    <row r="2099" spans="1:26" ht="15.75" customHeight="1" x14ac:dyDescent="0.3">
      <c r="A2099" s="3"/>
      <c r="B2099" s="167"/>
      <c r="C2099" s="94"/>
      <c r="D2099" s="12"/>
      <c r="E2099" s="167"/>
      <c r="F2099" s="12"/>
      <c r="G2099" s="331"/>
      <c r="H2099" s="474"/>
      <c r="I2099" s="475"/>
      <c r="J2099" s="476"/>
      <c r="K2099" s="5"/>
      <c r="L2099" s="3"/>
      <c r="M2099" s="6"/>
      <c r="N2099" s="9"/>
      <c r="O2099" s="9"/>
      <c r="P2099" s="12"/>
      <c r="Q2099" s="12"/>
      <c r="R2099" s="12"/>
      <c r="S2099" s="151"/>
      <c r="T2099" s="12"/>
      <c r="U2099" s="12"/>
      <c r="V2099" s="12"/>
      <c r="W2099" s="12"/>
      <c r="X2099" s="12"/>
      <c r="Y2099" s="12"/>
      <c r="Z2099" s="12"/>
    </row>
    <row r="2100" spans="1:26" ht="15.75" customHeight="1" x14ac:dyDescent="0.3">
      <c r="A2100" s="3"/>
      <c r="B2100" s="167"/>
      <c r="C2100" s="94"/>
      <c r="D2100" s="12"/>
      <c r="E2100" s="167"/>
      <c r="F2100" s="12"/>
      <c r="G2100" s="331"/>
      <c r="H2100" s="474"/>
      <c r="I2100" s="475"/>
      <c r="J2100" s="476"/>
      <c r="K2100" s="5"/>
      <c r="L2100" s="3"/>
      <c r="M2100" s="6"/>
      <c r="N2100" s="9"/>
      <c r="O2100" s="9"/>
      <c r="P2100" s="12"/>
      <c r="Q2100" s="12"/>
      <c r="R2100" s="12"/>
      <c r="S2100" s="151"/>
      <c r="T2100" s="12"/>
      <c r="U2100" s="12"/>
      <c r="V2100" s="12"/>
      <c r="W2100" s="12"/>
      <c r="X2100" s="12"/>
      <c r="Y2100" s="12"/>
      <c r="Z2100" s="12"/>
    </row>
    <row r="2101" spans="1:26" ht="15.75" customHeight="1" x14ac:dyDescent="0.3">
      <c r="A2101" s="3"/>
      <c r="B2101" s="167"/>
      <c r="C2101" s="94"/>
      <c r="D2101" s="12"/>
      <c r="E2101" s="167"/>
      <c r="F2101" s="12"/>
      <c r="G2101" s="331"/>
      <c r="H2101" s="474"/>
      <c r="I2101" s="475"/>
      <c r="J2101" s="476"/>
      <c r="K2101" s="5"/>
      <c r="L2101" s="3"/>
      <c r="M2101" s="6"/>
      <c r="N2101" s="9"/>
      <c r="O2101" s="9"/>
      <c r="P2101" s="12"/>
      <c r="Q2101" s="12"/>
      <c r="R2101" s="12"/>
      <c r="S2101" s="151"/>
      <c r="T2101" s="12"/>
      <c r="U2101" s="12"/>
      <c r="V2101" s="12"/>
      <c r="W2101" s="12"/>
      <c r="X2101" s="12"/>
      <c r="Y2101" s="12"/>
      <c r="Z2101" s="12"/>
    </row>
    <row r="2102" spans="1:26" ht="15.75" customHeight="1" x14ac:dyDescent="0.3">
      <c r="A2102" s="3"/>
      <c r="B2102" s="167"/>
      <c r="C2102" s="94"/>
      <c r="D2102" s="12"/>
      <c r="E2102" s="167"/>
      <c r="F2102" s="12"/>
      <c r="G2102" s="331"/>
      <c r="H2102" s="474"/>
      <c r="I2102" s="475"/>
      <c r="J2102" s="476"/>
      <c r="K2102" s="5"/>
      <c r="L2102" s="3"/>
      <c r="M2102" s="6"/>
      <c r="N2102" s="9"/>
      <c r="O2102" s="9"/>
      <c r="P2102" s="12"/>
      <c r="Q2102" s="12"/>
      <c r="R2102" s="12"/>
      <c r="S2102" s="151"/>
      <c r="T2102" s="12"/>
      <c r="U2102" s="12"/>
      <c r="V2102" s="12"/>
      <c r="W2102" s="12"/>
      <c r="X2102" s="12"/>
      <c r="Y2102" s="12"/>
      <c r="Z2102" s="12"/>
    </row>
    <row r="2103" spans="1:26" ht="15.75" customHeight="1" x14ac:dyDescent="0.3">
      <c r="A2103" s="3"/>
      <c r="B2103" s="167"/>
      <c r="C2103" s="94"/>
      <c r="D2103" s="12"/>
      <c r="E2103" s="167"/>
      <c r="F2103" s="12"/>
      <c r="G2103" s="331"/>
      <c r="H2103" s="474"/>
      <c r="I2103" s="475"/>
      <c r="J2103" s="476"/>
      <c r="K2103" s="5"/>
      <c r="L2103" s="3"/>
      <c r="M2103" s="6"/>
      <c r="N2103" s="9"/>
      <c r="O2103" s="9"/>
      <c r="P2103" s="12"/>
      <c r="Q2103" s="12"/>
      <c r="R2103" s="12"/>
      <c r="S2103" s="151"/>
      <c r="T2103" s="12"/>
      <c r="U2103" s="12"/>
      <c r="V2103" s="12"/>
      <c r="W2103" s="12"/>
      <c r="X2103" s="12"/>
      <c r="Y2103" s="12"/>
      <c r="Z2103" s="12"/>
    </row>
    <row r="2104" spans="1:26" ht="15.75" customHeight="1" x14ac:dyDescent="0.3">
      <c r="A2104" s="3"/>
      <c r="B2104" s="167"/>
      <c r="C2104" s="94"/>
      <c r="D2104" s="12"/>
      <c r="E2104" s="167"/>
      <c r="F2104" s="12"/>
      <c r="G2104" s="331"/>
      <c r="H2104" s="474"/>
      <c r="I2104" s="475"/>
      <c r="J2104" s="476"/>
      <c r="K2104" s="5"/>
      <c r="L2104" s="3"/>
      <c r="M2104" s="6"/>
      <c r="N2104" s="9"/>
      <c r="O2104" s="9"/>
      <c r="P2104" s="12"/>
      <c r="Q2104" s="12"/>
      <c r="R2104" s="12"/>
      <c r="S2104" s="151"/>
      <c r="T2104" s="12"/>
      <c r="U2104" s="12"/>
      <c r="V2104" s="12"/>
      <c r="W2104" s="12"/>
      <c r="X2104" s="12"/>
      <c r="Y2104" s="12"/>
      <c r="Z2104" s="12"/>
    </row>
    <row r="2105" spans="1:26" ht="15.75" customHeight="1" x14ac:dyDescent="0.3">
      <c r="A2105" s="3"/>
      <c r="B2105" s="167"/>
      <c r="C2105" s="94"/>
      <c r="D2105" s="12"/>
      <c r="E2105" s="167"/>
      <c r="F2105" s="12"/>
      <c r="G2105" s="331"/>
      <c r="H2105" s="474"/>
      <c r="I2105" s="475"/>
      <c r="J2105" s="476"/>
      <c r="K2105" s="5"/>
      <c r="L2105" s="3"/>
      <c r="M2105" s="6"/>
      <c r="N2105" s="9"/>
      <c r="O2105" s="9"/>
      <c r="P2105" s="12"/>
      <c r="Q2105" s="12"/>
      <c r="R2105" s="12"/>
      <c r="S2105" s="151"/>
      <c r="T2105" s="12"/>
      <c r="U2105" s="12"/>
      <c r="V2105" s="12"/>
      <c r="W2105" s="12"/>
      <c r="X2105" s="12"/>
      <c r="Y2105" s="12"/>
      <c r="Z2105" s="12"/>
    </row>
    <row r="2106" spans="1:26" ht="15.75" customHeight="1" x14ac:dyDescent="0.3">
      <c r="A2106" s="3"/>
      <c r="B2106" s="167"/>
      <c r="C2106" s="94"/>
      <c r="D2106" s="12"/>
      <c r="E2106" s="167"/>
      <c r="F2106" s="12"/>
      <c r="G2106" s="331"/>
      <c r="H2106" s="474"/>
      <c r="I2106" s="475"/>
      <c r="J2106" s="476"/>
      <c r="K2106" s="5"/>
      <c r="L2106" s="3"/>
      <c r="M2106" s="6"/>
      <c r="N2106" s="9"/>
      <c r="O2106" s="9"/>
      <c r="P2106" s="12"/>
      <c r="Q2106" s="12"/>
      <c r="R2106" s="12"/>
      <c r="S2106" s="151"/>
      <c r="T2106" s="12"/>
      <c r="U2106" s="12"/>
      <c r="V2106" s="12"/>
      <c r="W2106" s="12"/>
      <c r="X2106" s="12"/>
      <c r="Y2106" s="12"/>
      <c r="Z2106" s="12"/>
    </row>
    <row r="2107" spans="1:26" ht="15.75" customHeight="1" x14ac:dyDescent="0.3">
      <c r="A2107" s="3"/>
      <c r="B2107" s="167"/>
      <c r="C2107" s="94"/>
      <c r="D2107" s="12"/>
      <c r="E2107" s="167"/>
      <c r="F2107" s="12"/>
      <c r="G2107" s="331"/>
      <c r="H2107" s="474"/>
      <c r="I2107" s="475"/>
      <c r="J2107" s="476"/>
      <c r="K2107" s="5"/>
      <c r="L2107" s="3"/>
      <c r="M2107" s="6"/>
      <c r="N2107" s="9"/>
      <c r="O2107" s="9"/>
      <c r="P2107" s="12"/>
      <c r="Q2107" s="12"/>
      <c r="R2107" s="12"/>
      <c r="S2107" s="151"/>
      <c r="T2107" s="12"/>
      <c r="U2107" s="12"/>
      <c r="V2107" s="12"/>
      <c r="W2107" s="12"/>
      <c r="X2107" s="12"/>
      <c r="Y2107" s="12"/>
      <c r="Z2107" s="12"/>
    </row>
    <row r="2108" spans="1:26" ht="15.75" customHeight="1" x14ac:dyDescent="0.3">
      <c r="A2108" s="3"/>
      <c r="B2108" s="167"/>
      <c r="C2108" s="94"/>
      <c r="D2108" s="12"/>
      <c r="E2108" s="167"/>
      <c r="F2108" s="12"/>
      <c r="G2108" s="331"/>
      <c r="H2108" s="474"/>
      <c r="I2108" s="475"/>
      <c r="J2108" s="476"/>
      <c r="K2108" s="5"/>
      <c r="L2108" s="3"/>
      <c r="M2108" s="6"/>
      <c r="N2108" s="9"/>
      <c r="O2108" s="9"/>
      <c r="P2108" s="12"/>
      <c r="Q2108" s="12"/>
      <c r="R2108" s="12"/>
      <c r="S2108" s="151"/>
      <c r="T2108" s="12"/>
      <c r="U2108" s="12"/>
      <c r="V2108" s="12"/>
      <c r="W2108" s="12"/>
      <c r="X2108" s="12"/>
      <c r="Y2108" s="12"/>
      <c r="Z2108" s="12"/>
    </row>
    <row r="2109" spans="1:26" ht="15.75" customHeight="1" x14ac:dyDescent="0.3">
      <c r="A2109" s="3"/>
      <c r="B2109" s="167"/>
      <c r="C2109" s="94"/>
      <c r="D2109" s="12"/>
      <c r="E2109" s="167"/>
      <c r="F2109" s="12"/>
      <c r="G2109" s="331"/>
      <c r="H2109" s="474"/>
      <c r="I2109" s="475"/>
      <c r="J2109" s="476"/>
      <c r="K2109" s="5"/>
      <c r="L2109" s="3"/>
      <c r="M2109" s="6"/>
      <c r="N2109" s="9"/>
      <c r="O2109" s="9"/>
      <c r="P2109" s="12"/>
      <c r="Q2109" s="12"/>
      <c r="R2109" s="12"/>
      <c r="S2109" s="151"/>
      <c r="T2109" s="12"/>
      <c r="U2109" s="12"/>
      <c r="V2109" s="12"/>
      <c r="W2109" s="12"/>
      <c r="X2109" s="12"/>
      <c r="Y2109" s="12"/>
      <c r="Z2109" s="12"/>
    </row>
    <row r="2110" spans="1:26" ht="15.75" customHeight="1" x14ac:dyDescent="0.3">
      <c r="A2110" s="3"/>
      <c r="B2110" s="167"/>
      <c r="C2110" s="94"/>
      <c r="D2110" s="12"/>
      <c r="E2110" s="167"/>
      <c r="F2110" s="12"/>
      <c r="G2110" s="331"/>
      <c r="H2110" s="474"/>
      <c r="I2110" s="475"/>
      <c r="J2110" s="476"/>
      <c r="K2110" s="5"/>
      <c r="L2110" s="3"/>
      <c r="M2110" s="6"/>
      <c r="N2110" s="9"/>
      <c r="O2110" s="9"/>
      <c r="P2110" s="12"/>
      <c r="Q2110" s="12"/>
      <c r="R2110" s="12"/>
      <c r="S2110" s="151"/>
      <c r="T2110" s="12"/>
      <c r="U2110" s="12"/>
      <c r="V2110" s="12"/>
      <c r="W2110" s="12"/>
      <c r="X2110" s="12"/>
      <c r="Y2110" s="12"/>
      <c r="Z2110" s="12"/>
    </row>
    <row r="2111" spans="1:26" ht="15.75" customHeight="1" x14ac:dyDescent="0.3">
      <c r="A2111" s="3"/>
      <c r="B2111" s="167"/>
      <c r="C2111" s="94"/>
      <c r="D2111" s="12"/>
      <c r="E2111" s="167"/>
      <c r="F2111" s="12"/>
      <c r="G2111" s="331"/>
      <c r="H2111" s="474"/>
      <c r="I2111" s="475"/>
      <c r="J2111" s="476"/>
      <c r="K2111" s="5"/>
      <c r="L2111" s="3"/>
      <c r="M2111" s="6"/>
      <c r="N2111" s="9"/>
      <c r="O2111" s="9"/>
      <c r="P2111" s="12"/>
      <c r="Q2111" s="12"/>
      <c r="R2111" s="12"/>
      <c r="S2111" s="151"/>
      <c r="T2111" s="12"/>
      <c r="U2111" s="12"/>
      <c r="V2111" s="12"/>
      <c r="W2111" s="12"/>
      <c r="X2111" s="12"/>
      <c r="Y2111" s="12"/>
      <c r="Z2111" s="12"/>
    </row>
    <row r="2112" spans="1:26" ht="15.75" customHeight="1" x14ac:dyDescent="0.3">
      <c r="A2112" s="3"/>
      <c r="B2112" s="167"/>
      <c r="C2112" s="94"/>
      <c r="D2112" s="12"/>
      <c r="E2112" s="167"/>
      <c r="F2112" s="12"/>
      <c r="G2112" s="331"/>
      <c r="H2112" s="474"/>
      <c r="I2112" s="475"/>
      <c r="J2112" s="476"/>
      <c r="K2112" s="5"/>
      <c r="L2112" s="3"/>
      <c r="M2112" s="6"/>
      <c r="N2112" s="9"/>
      <c r="O2112" s="9"/>
      <c r="P2112" s="12"/>
      <c r="Q2112" s="12"/>
      <c r="R2112" s="12"/>
      <c r="S2112" s="151"/>
      <c r="T2112" s="12"/>
      <c r="U2112" s="12"/>
      <c r="V2112" s="12"/>
      <c r="W2112" s="12"/>
      <c r="X2112" s="12"/>
      <c r="Y2112" s="12"/>
      <c r="Z2112" s="12"/>
    </row>
    <row r="2113" spans="1:26" ht="15.75" customHeight="1" x14ac:dyDescent="0.3">
      <c r="A2113" s="3"/>
      <c r="B2113" s="167"/>
      <c r="C2113" s="94"/>
      <c r="D2113" s="12"/>
      <c r="E2113" s="167"/>
      <c r="F2113" s="12"/>
      <c r="G2113" s="331"/>
      <c r="H2113" s="474"/>
      <c r="I2113" s="475"/>
      <c r="J2113" s="476"/>
      <c r="K2113" s="5"/>
      <c r="L2113" s="3"/>
      <c r="M2113" s="6"/>
      <c r="N2113" s="9"/>
      <c r="O2113" s="9"/>
      <c r="P2113" s="12"/>
      <c r="Q2113" s="12"/>
      <c r="R2113" s="12"/>
      <c r="S2113" s="151"/>
      <c r="T2113" s="12"/>
      <c r="U2113" s="12"/>
      <c r="V2113" s="12"/>
      <c r="W2113" s="12"/>
      <c r="X2113" s="12"/>
      <c r="Y2113" s="12"/>
      <c r="Z2113" s="12"/>
    </row>
    <row r="2114" spans="1:26" ht="15.75" customHeight="1" x14ac:dyDescent="0.3">
      <c r="A2114" s="3"/>
      <c r="B2114" s="167"/>
      <c r="C2114" s="94"/>
      <c r="D2114" s="12"/>
      <c r="E2114" s="167"/>
      <c r="F2114" s="12"/>
      <c r="G2114" s="331"/>
      <c r="H2114" s="474"/>
      <c r="I2114" s="475"/>
      <c r="J2114" s="476"/>
      <c r="K2114" s="5"/>
      <c r="L2114" s="3"/>
      <c r="M2114" s="6"/>
      <c r="N2114" s="9"/>
      <c r="O2114" s="9"/>
      <c r="P2114" s="12"/>
      <c r="Q2114" s="12"/>
      <c r="R2114" s="12"/>
      <c r="S2114" s="151"/>
      <c r="T2114" s="12"/>
      <c r="U2114" s="12"/>
      <c r="V2114" s="12"/>
      <c r="W2114" s="12"/>
      <c r="X2114" s="12"/>
      <c r="Y2114" s="12"/>
      <c r="Z2114" s="12"/>
    </row>
    <row r="2115" spans="1:26" ht="15.75" customHeight="1" x14ac:dyDescent="0.3">
      <c r="A2115" s="3"/>
      <c r="B2115" s="167"/>
      <c r="C2115" s="94"/>
      <c r="D2115" s="12"/>
      <c r="E2115" s="167"/>
      <c r="F2115" s="12"/>
      <c r="G2115" s="331"/>
      <c r="H2115" s="474"/>
      <c r="I2115" s="475"/>
      <c r="J2115" s="476"/>
      <c r="K2115" s="5"/>
      <c r="L2115" s="3"/>
      <c r="M2115" s="6"/>
      <c r="N2115" s="9"/>
      <c r="O2115" s="9"/>
      <c r="P2115" s="12"/>
      <c r="Q2115" s="12"/>
      <c r="R2115" s="12"/>
      <c r="S2115" s="151"/>
      <c r="T2115" s="12"/>
      <c r="U2115" s="12"/>
      <c r="V2115" s="12"/>
      <c r="W2115" s="12"/>
      <c r="X2115" s="12"/>
      <c r="Y2115" s="12"/>
      <c r="Z2115" s="12"/>
    </row>
    <row r="2116" spans="1:26" ht="15.75" customHeight="1" x14ac:dyDescent="0.3">
      <c r="A2116" s="3"/>
      <c r="B2116" s="167"/>
      <c r="C2116" s="94"/>
      <c r="D2116" s="12"/>
      <c r="E2116" s="167"/>
      <c r="F2116" s="12"/>
      <c r="G2116" s="331"/>
      <c r="H2116" s="474"/>
      <c r="I2116" s="475"/>
      <c r="J2116" s="476"/>
      <c r="K2116" s="5"/>
      <c r="L2116" s="3"/>
      <c r="M2116" s="6"/>
      <c r="N2116" s="9"/>
      <c r="O2116" s="9"/>
      <c r="P2116" s="12"/>
      <c r="Q2116" s="12"/>
      <c r="R2116" s="12"/>
      <c r="S2116" s="151"/>
      <c r="T2116" s="12"/>
      <c r="U2116" s="12"/>
      <c r="V2116" s="12"/>
      <c r="W2116" s="12"/>
      <c r="X2116" s="12"/>
      <c r="Y2116" s="12"/>
      <c r="Z2116" s="12"/>
    </row>
    <row r="2117" spans="1:26" ht="15.75" customHeight="1" x14ac:dyDescent="0.3">
      <c r="A2117" s="3"/>
      <c r="B2117" s="167"/>
      <c r="C2117" s="94"/>
      <c r="D2117" s="12"/>
      <c r="E2117" s="167"/>
      <c r="F2117" s="12"/>
      <c r="G2117" s="331"/>
      <c r="H2117" s="474"/>
      <c r="I2117" s="475"/>
      <c r="J2117" s="476"/>
      <c r="K2117" s="5"/>
      <c r="L2117" s="3"/>
      <c r="M2117" s="6"/>
      <c r="N2117" s="9"/>
      <c r="O2117" s="9"/>
      <c r="P2117" s="12"/>
      <c r="Q2117" s="12"/>
      <c r="R2117" s="12"/>
      <c r="S2117" s="151"/>
      <c r="T2117" s="12"/>
      <c r="U2117" s="12"/>
      <c r="V2117" s="12"/>
      <c r="W2117" s="12"/>
      <c r="X2117" s="12"/>
      <c r="Y2117" s="12"/>
      <c r="Z2117" s="12"/>
    </row>
    <row r="2118" spans="1:26" ht="15.75" customHeight="1" x14ac:dyDescent="0.3">
      <c r="A2118" s="3"/>
      <c r="B2118" s="167"/>
      <c r="C2118" s="94"/>
      <c r="D2118" s="12"/>
      <c r="E2118" s="167"/>
      <c r="F2118" s="12"/>
      <c r="G2118" s="331"/>
      <c r="H2118" s="474"/>
      <c r="I2118" s="475"/>
      <c r="J2118" s="476"/>
      <c r="K2118" s="5"/>
      <c r="L2118" s="3"/>
      <c r="M2118" s="6"/>
      <c r="N2118" s="9"/>
      <c r="O2118" s="9"/>
      <c r="P2118" s="12"/>
      <c r="Q2118" s="12"/>
      <c r="R2118" s="12"/>
      <c r="S2118" s="151"/>
      <c r="T2118" s="12"/>
      <c r="U2118" s="12"/>
      <c r="V2118" s="12"/>
      <c r="W2118" s="12"/>
      <c r="X2118" s="12"/>
      <c r="Y2118" s="12"/>
      <c r="Z2118" s="12"/>
    </row>
    <row r="2119" spans="1:26" ht="15.75" customHeight="1" x14ac:dyDescent="0.3">
      <c r="A2119" s="3"/>
      <c r="B2119" s="167"/>
      <c r="C2119" s="94"/>
      <c r="D2119" s="12"/>
      <c r="E2119" s="167"/>
      <c r="F2119" s="12"/>
      <c r="G2119" s="331"/>
      <c r="H2119" s="474"/>
      <c r="I2119" s="475"/>
      <c r="J2119" s="476"/>
      <c r="K2119" s="5"/>
      <c r="L2119" s="3"/>
      <c r="M2119" s="6"/>
      <c r="N2119" s="9"/>
      <c r="O2119" s="9"/>
      <c r="P2119" s="12"/>
      <c r="Q2119" s="12"/>
      <c r="R2119" s="12"/>
      <c r="S2119" s="151"/>
      <c r="T2119" s="12"/>
      <c r="U2119" s="12"/>
      <c r="V2119" s="12"/>
      <c r="W2119" s="12"/>
      <c r="X2119" s="12"/>
      <c r="Y2119" s="12"/>
      <c r="Z2119" s="12"/>
    </row>
    <row r="2120" spans="1:26" ht="15.75" customHeight="1" x14ac:dyDescent="0.3">
      <c r="A2120" s="3"/>
      <c r="B2120" s="167"/>
      <c r="C2120" s="94"/>
      <c r="D2120" s="12"/>
      <c r="E2120" s="167"/>
      <c r="F2120" s="12"/>
      <c r="G2120" s="331"/>
      <c r="H2120" s="474"/>
      <c r="I2120" s="475"/>
      <c r="J2120" s="476"/>
      <c r="K2120" s="5"/>
      <c r="L2120" s="3"/>
      <c r="M2120" s="6"/>
      <c r="N2120" s="9"/>
      <c r="O2120" s="9"/>
      <c r="P2120" s="12"/>
      <c r="Q2120" s="12"/>
      <c r="R2120" s="12"/>
      <c r="S2120" s="151"/>
      <c r="T2120" s="12"/>
      <c r="U2120" s="12"/>
      <c r="V2120" s="12"/>
      <c r="W2120" s="12"/>
      <c r="X2120" s="12"/>
      <c r="Y2120" s="12"/>
      <c r="Z2120" s="12"/>
    </row>
    <row r="2121" spans="1:26" ht="15.75" customHeight="1" x14ac:dyDescent="0.3">
      <c r="A2121" s="3"/>
      <c r="B2121" s="167"/>
      <c r="C2121" s="94"/>
      <c r="D2121" s="12"/>
      <c r="E2121" s="167"/>
      <c r="F2121" s="12"/>
      <c r="G2121" s="331"/>
      <c r="H2121" s="474"/>
      <c r="I2121" s="475"/>
      <c r="J2121" s="476"/>
      <c r="K2121" s="5"/>
      <c r="L2121" s="3"/>
      <c r="M2121" s="6"/>
      <c r="N2121" s="9"/>
      <c r="O2121" s="9"/>
      <c r="P2121" s="12"/>
      <c r="Q2121" s="12"/>
      <c r="R2121" s="12"/>
      <c r="S2121" s="151"/>
      <c r="T2121" s="12"/>
      <c r="U2121" s="12"/>
      <c r="V2121" s="12"/>
      <c r="W2121" s="12"/>
      <c r="X2121" s="12"/>
      <c r="Y2121" s="12"/>
      <c r="Z2121" s="12"/>
    </row>
    <row r="2122" spans="1:26" ht="15.75" customHeight="1" x14ac:dyDescent="0.3">
      <c r="A2122" s="3"/>
      <c r="B2122" s="167"/>
      <c r="C2122" s="94"/>
      <c r="D2122" s="12"/>
      <c r="E2122" s="167"/>
      <c r="F2122" s="12"/>
      <c r="G2122" s="331"/>
      <c r="H2122" s="474"/>
      <c r="I2122" s="475"/>
      <c r="J2122" s="476"/>
      <c r="K2122" s="5"/>
      <c r="L2122" s="3"/>
      <c r="M2122" s="6"/>
      <c r="N2122" s="9"/>
      <c r="O2122" s="9"/>
      <c r="P2122" s="12"/>
      <c r="Q2122" s="12"/>
      <c r="R2122" s="12"/>
      <c r="S2122" s="151"/>
      <c r="T2122" s="12"/>
      <c r="U2122" s="12"/>
      <c r="V2122" s="12"/>
      <c r="W2122" s="12"/>
      <c r="X2122" s="12"/>
      <c r="Y2122" s="12"/>
      <c r="Z2122" s="12"/>
    </row>
    <row r="2123" spans="1:26" ht="15.75" customHeight="1" x14ac:dyDescent="0.3">
      <c r="A2123" s="3"/>
      <c r="B2123" s="167"/>
      <c r="C2123" s="94"/>
      <c r="D2123" s="12"/>
      <c r="E2123" s="167"/>
      <c r="F2123" s="12"/>
      <c r="G2123" s="331"/>
      <c r="H2123" s="474"/>
      <c r="I2123" s="475"/>
      <c r="J2123" s="476"/>
      <c r="K2123" s="5"/>
      <c r="L2123" s="3"/>
      <c r="M2123" s="6"/>
      <c r="N2123" s="9"/>
      <c r="O2123" s="9"/>
      <c r="P2123" s="12"/>
      <c r="Q2123" s="12"/>
      <c r="R2123" s="12"/>
      <c r="S2123" s="151"/>
      <c r="T2123" s="12"/>
      <c r="U2123" s="12"/>
      <c r="V2123" s="12"/>
      <c r="W2123" s="12"/>
      <c r="X2123" s="12"/>
      <c r="Y2123" s="12"/>
      <c r="Z2123" s="12"/>
    </row>
    <row r="2124" spans="1:26" ht="15.75" customHeight="1" x14ac:dyDescent="0.3">
      <c r="A2124" s="3"/>
      <c r="B2124" s="167"/>
      <c r="C2124" s="94"/>
      <c r="D2124" s="12"/>
      <c r="E2124" s="167"/>
      <c r="F2124" s="12"/>
      <c r="G2124" s="331"/>
      <c r="H2124" s="474"/>
      <c r="I2124" s="475"/>
      <c r="J2124" s="476"/>
      <c r="K2124" s="5"/>
      <c r="L2124" s="3"/>
      <c r="M2124" s="6"/>
      <c r="N2124" s="9"/>
      <c r="O2124" s="9"/>
      <c r="P2124" s="12"/>
      <c r="Q2124" s="12"/>
      <c r="R2124" s="12"/>
      <c r="S2124" s="151"/>
      <c r="T2124" s="12"/>
      <c r="U2124" s="12"/>
      <c r="V2124" s="12"/>
      <c r="W2124" s="12"/>
      <c r="X2124" s="12"/>
      <c r="Y2124" s="12"/>
      <c r="Z2124" s="12"/>
    </row>
    <row r="2125" spans="1:26" ht="15.75" customHeight="1" x14ac:dyDescent="0.3">
      <c r="A2125" s="3"/>
      <c r="B2125" s="167"/>
      <c r="C2125" s="94"/>
      <c r="D2125" s="12"/>
      <c r="E2125" s="167"/>
      <c r="F2125" s="12"/>
      <c r="G2125" s="331"/>
      <c r="H2125" s="474"/>
      <c r="I2125" s="475"/>
      <c r="J2125" s="476"/>
      <c r="K2125" s="5"/>
      <c r="L2125" s="3"/>
      <c r="M2125" s="6"/>
      <c r="N2125" s="9"/>
      <c r="O2125" s="9"/>
      <c r="P2125" s="12"/>
      <c r="Q2125" s="12"/>
      <c r="R2125" s="12"/>
      <c r="S2125" s="151"/>
      <c r="T2125" s="12"/>
      <c r="U2125" s="12"/>
      <c r="V2125" s="12"/>
      <c r="W2125" s="12"/>
      <c r="X2125" s="12"/>
      <c r="Y2125" s="12"/>
      <c r="Z2125" s="12"/>
    </row>
    <row r="2126" spans="1:26" ht="15.75" customHeight="1" x14ac:dyDescent="0.3">
      <c r="A2126" s="3"/>
      <c r="B2126" s="167"/>
      <c r="C2126" s="94"/>
      <c r="D2126" s="12"/>
      <c r="E2126" s="167"/>
      <c r="F2126" s="12"/>
      <c r="G2126" s="331"/>
      <c r="H2126" s="474"/>
      <c r="I2126" s="475"/>
      <c r="J2126" s="476"/>
      <c r="K2126" s="5"/>
      <c r="L2126" s="3"/>
      <c r="M2126" s="6"/>
      <c r="N2126" s="9"/>
      <c r="O2126" s="9"/>
      <c r="P2126" s="12"/>
      <c r="Q2126" s="12"/>
      <c r="R2126" s="12"/>
      <c r="S2126" s="151"/>
      <c r="T2126" s="12"/>
      <c r="U2126" s="12"/>
      <c r="V2126" s="12"/>
      <c r="W2126" s="12"/>
      <c r="X2126" s="12"/>
      <c r="Y2126" s="12"/>
      <c r="Z2126" s="12"/>
    </row>
    <row r="2127" spans="1:26" ht="15.75" customHeight="1" x14ac:dyDescent="0.3">
      <c r="A2127" s="3"/>
      <c r="B2127" s="167"/>
      <c r="C2127" s="94"/>
      <c r="D2127" s="12"/>
      <c r="E2127" s="167"/>
      <c r="F2127" s="12"/>
      <c r="G2127" s="331"/>
      <c r="H2127" s="474"/>
      <c r="I2127" s="475"/>
      <c r="J2127" s="476"/>
      <c r="K2127" s="5"/>
      <c r="L2127" s="3"/>
      <c r="M2127" s="6"/>
      <c r="N2127" s="9"/>
      <c r="O2127" s="9"/>
      <c r="P2127" s="12"/>
      <c r="Q2127" s="12"/>
      <c r="R2127" s="12"/>
      <c r="S2127" s="151"/>
      <c r="T2127" s="12"/>
      <c r="U2127" s="12"/>
      <c r="V2127" s="12"/>
      <c r="W2127" s="12"/>
      <c r="X2127" s="12"/>
      <c r="Y2127" s="12"/>
      <c r="Z2127" s="12"/>
    </row>
    <row r="2128" spans="1:26" ht="15.75" customHeight="1" x14ac:dyDescent="0.3">
      <c r="A2128" s="3"/>
      <c r="B2128" s="167"/>
      <c r="C2128" s="94"/>
      <c r="D2128" s="12"/>
      <c r="E2128" s="167"/>
      <c r="F2128" s="12"/>
      <c r="G2128" s="331"/>
      <c r="H2128" s="474"/>
      <c r="I2128" s="475"/>
      <c r="J2128" s="476"/>
      <c r="K2128" s="5"/>
      <c r="L2128" s="3"/>
      <c r="M2128" s="6"/>
      <c r="N2128" s="9"/>
      <c r="O2128" s="9"/>
      <c r="P2128" s="12"/>
      <c r="Q2128" s="12"/>
      <c r="R2128" s="12"/>
      <c r="S2128" s="151"/>
      <c r="T2128" s="12"/>
      <c r="U2128" s="12"/>
      <c r="V2128" s="12"/>
      <c r="W2128" s="12"/>
      <c r="X2128" s="12"/>
      <c r="Y2128" s="12"/>
      <c r="Z2128" s="12"/>
    </row>
    <row r="2129" spans="1:26" ht="15.75" customHeight="1" x14ac:dyDescent="0.3">
      <c r="A2129" s="3"/>
      <c r="B2129" s="167"/>
      <c r="C2129" s="94"/>
      <c r="D2129" s="12"/>
      <c r="E2129" s="167"/>
      <c r="F2129" s="12"/>
      <c r="G2129" s="331"/>
      <c r="H2129" s="474"/>
      <c r="I2129" s="475"/>
      <c r="J2129" s="476"/>
      <c r="K2129" s="5"/>
      <c r="L2129" s="3"/>
      <c r="M2129" s="6"/>
      <c r="N2129" s="9"/>
      <c r="O2129" s="9"/>
      <c r="P2129" s="12"/>
      <c r="Q2129" s="12"/>
      <c r="R2129" s="12"/>
      <c r="S2129" s="151"/>
      <c r="T2129" s="12"/>
      <c r="U2129" s="12"/>
      <c r="V2129" s="12"/>
      <c r="W2129" s="12"/>
      <c r="X2129" s="12"/>
      <c r="Y2129" s="12"/>
      <c r="Z2129" s="12"/>
    </row>
    <row r="2130" spans="1:26" ht="15.75" customHeight="1" x14ac:dyDescent="0.3">
      <c r="A2130" s="3"/>
      <c r="B2130" s="167"/>
      <c r="C2130" s="94"/>
      <c r="D2130" s="12"/>
      <c r="E2130" s="167"/>
      <c r="F2130" s="12"/>
      <c r="G2130" s="331"/>
      <c r="H2130" s="474"/>
      <c r="I2130" s="475"/>
      <c r="J2130" s="476"/>
      <c r="K2130" s="5"/>
      <c r="L2130" s="3"/>
      <c r="M2130" s="6"/>
      <c r="N2130" s="9"/>
      <c r="O2130" s="9"/>
      <c r="P2130" s="12"/>
      <c r="Q2130" s="12"/>
      <c r="R2130" s="12"/>
      <c r="S2130" s="151"/>
      <c r="T2130" s="12"/>
      <c r="U2130" s="12"/>
      <c r="V2130" s="12"/>
      <c r="W2130" s="12"/>
      <c r="X2130" s="12"/>
      <c r="Y2130" s="12"/>
      <c r="Z2130" s="12"/>
    </row>
    <row r="2131" spans="1:26" ht="15.75" customHeight="1" x14ac:dyDescent="0.3">
      <c r="A2131" s="3"/>
      <c r="B2131" s="167"/>
      <c r="C2131" s="94"/>
      <c r="D2131" s="12"/>
      <c r="E2131" s="167"/>
      <c r="F2131" s="12"/>
      <c r="G2131" s="331"/>
      <c r="H2131" s="474"/>
      <c r="I2131" s="475"/>
      <c r="J2131" s="476"/>
      <c r="K2131" s="5"/>
      <c r="L2131" s="3"/>
      <c r="M2131" s="6"/>
      <c r="N2131" s="9"/>
      <c r="O2131" s="9"/>
      <c r="P2131" s="12"/>
      <c r="Q2131" s="12"/>
      <c r="R2131" s="12"/>
      <c r="S2131" s="151"/>
      <c r="T2131" s="12"/>
      <c r="U2131" s="12"/>
      <c r="V2131" s="12"/>
      <c r="W2131" s="12"/>
      <c r="X2131" s="12"/>
      <c r="Y2131" s="12"/>
      <c r="Z2131" s="12"/>
    </row>
    <row r="2132" spans="1:26" ht="15.75" customHeight="1" x14ac:dyDescent="0.3">
      <c r="A2132" s="3"/>
      <c r="B2132" s="167"/>
      <c r="C2132" s="94"/>
      <c r="D2132" s="12"/>
      <c r="E2132" s="167"/>
      <c r="F2132" s="12"/>
      <c r="G2132" s="331"/>
      <c r="H2132" s="474"/>
      <c r="I2132" s="475"/>
      <c r="J2132" s="476"/>
      <c r="K2132" s="5"/>
      <c r="L2132" s="3"/>
      <c r="M2132" s="6"/>
      <c r="N2132" s="9"/>
      <c r="O2132" s="9"/>
      <c r="P2132" s="12"/>
      <c r="Q2132" s="12"/>
      <c r="R2132" s="12"/>
      <c r="S2132" s="151"/>
      <c r="T2132" s="12"/>
      <c r="U2132" s="12"/>
      <c r="V2132" s="12"/>
      <c r="W2132" s="12"/>
      <c r="X2132" s="12"/>
      <c r="Y2132" s="12"/>
      <c r="Z2132" s="12"/>
    </row>
    <row r="2133" spans="1:26" ht="15.75" customHeight="1" x14ac:dyDescent="0.3">
      <c r="A2133" s="3"/>
      <c r="B2133" s="167"/>
      <c r="C2133" s="94"/>
      <c r="D2133" s="12"/>
      <c r="E2133" s="167"/>
      <c r="F2133" s="12"/>
      <c r="G2133" s="331"/>
      <c r="H2133" s="474"/>
      <c r="I2133" s="475"/>
      <c r="J2133" s="476"/>
      <c r="K2133" s="5"/>
      <c r="L2133" s="3"/>
      <c r="M2133" s="6"/>
      <c r="N2133" s="9"/>
      <c r="O2133" s="9"/>
      <c r="P2133" s="12"/>
      <c r="Q2133" s="12"/>
      <c r="R2133" s="12"/>
      <c r="S2133" s="151"/>
      <c r="T2133" s="12"/>
      <c r="U2133" s="12"/>
      <c r="V2133" s="12"/>
      <c r="W2133" s="12"/>
      <c r="X2133" s="12"/>
      <c r="Y2133" s="12"/>
      <c r="Z2133" s="12"/>
    </row>
    <row r="2134" spans="1:26" ht="15.75" customHeight="1" x14ac:dyDescent="0.3">
      <c r="A2134" s="3"/>
      <c r="B2134" s="167"/>
      <c r="C2134" s="94"/>
      <c r="D2134" s="12"/>
      <c r="E2134" s="167"/>
      <c r="F2134" s="12"/>
      <c r="G2134" s="331"/>
      <c r="H2134" s="474"/>
      <c r="I2134" s="475"/>
      <c r="J2134" s="476"/>
      <c r="K2134" s="5"/>
      <c r="L2134" s="3"/>
      <c r="M2134" s="6"/>
      <c r="N2134" s="9"/>
      <c r="O2134" s="9"/>
      <c r="P2134" s="12"/>
      <c r="Q2134" s="12"/>
      <c r="R2134" s="12"/>
      <c r="S2134" s="151"/>
      <c r="T2134" s="12"/>
      <c r="U2134" s="12"/>
      <c r="V2134" s="12"/>
      <c r="W2134" s="12"/>
      <c r="X2134" s="12"/>
      <c r="Y2134" s="12"/>
      <c r="Z2134" s="12"/>
    </row>
    <row r="2135" spans="1:26" ht="15.75" customHeight="1" x14ac:dyDescent="0.3">
      <c r="A2135" s="3"/>
      <c r="B2135" s="167"/>
      <c r="C2135" s="94"/>
      <c r="D2135" s="12"/>
      <c r="E2135" s="167"/>
      <c r="F2135" s="12"/>
      <c r="G2135" s="331"/>
      <c r="H2135" s="474"/>
      <c r="I2135" s="475"/>
      <c r="J2135" s="476"/>
      <c r="K2135" s="5"/>
      <c r="L2135" s="3"/>
      <c r="M2135" s="6"/>
      <c r="N2135" s="9"/>
      <c r="O2135" s="9"/>
      <c r="P2135" s="12"/>
      <c r="Q2135" s="12"/>
      <c r="R2135" s="12"/>
      <c r="S2135" s="151"/>
      <c r="T2135" s="12"/>
      <c r="U2135" s="12"/>
      <c r="V2135" s="12"/>
      <c r="W2135" s="12"/>
      <c r="X2135" s="12"/>
      <c r="Y2135" s="12"/>
      <c r="Z2135" s="12"/>
    </row>
    <row r="2136" spans="1:26" ht="15.75" customHeight="1" x14ac:dyDescent="0.3">
      <c r="A2136" s="3"/>
      <c r="B2136" s="167"/>
      <c r="C2136" s="94"/>
      <c r="D2136" s="12"/>
      <c r="E2136" s="167"/>
      <c r="F2136" s="12"/>
      <c r="G2136" s="331"/>
      <c r="H2136" s="474"/>
      <c r="I2136" s="475"/>
      <c r="J2136" s="476"/>
      <c r="K2136" s="5"/>
      <c r="L2136" s="3"/>
      <c r="M2136" s="6"/>
      <c r="N2136" s="9"/>
      <c r="O2136" s="9"/>
      <c r="P2136" s="12"/>
      <c r="Q2136" s="12"/>
      <c r="R2136" s="12"/>
      <c r="S2136" s="151"/>
      <c r="T2136" s="12"/>
      <c r="U2136" s="12"/>
      <c r="V2136" s="12"/>
      <c r="W2136" s="12"/>
      <c r="X2136" s="12"/>
      <c r="Y2136" s="12"/>
      <c r="Z2136" s="12"/>
    </row>
    <row r="2137" spans="1:26" ht="15.75" customHeight="1" x14ac:dyDescent="0.3">
      <c r="A2137" s="3"/>
      <c r="B2137" s="167"/>
      <c r="C2137" s="94"/>
      <c r="D2137" s="12"/>
      <c r="E2137" s="167"/>
      <c r="F2137" s="12"/>
      <c r="G2137" s="331"/>
      <c r="H2137" s="474"/>
      <c r="I2137" s="475"/>
      <c r="J2137" s="476"/>
      <c r="K2137" s="5"/>
      <c r="L2137" s="3"/>
      <c r="M2137" s="6"/>
      <c r="N2137" s="9"/>
      <c r="O2137" s="9"/>
      <c r="P2137" s="12"/>
      <c r="Q2137" s="12"/>
      <c r="R2137" s="12"/>
      <c r="S2137" s="151"/>
      <c r="T2137" s="12"/>
      <c r="U2137" s="12"/>
      <c r="V2137" s="12"/>
      <c r="W2137" s="12"/>
      <c r="X2137" s="12"/>
      <c r="Y2137" s="12"/>
      <c r="Z2137" s="12"/>
    </row>
    <row r="2138" spans="1:26" ht="15.75" customHeight="1" x14ac:dyDescent="0.3">
      <c r="A2138" s="3"/>
      <c r="B2138" s="167"/>
      <c r="C2138" s="94"/>
      <c r="D2138" s="12"/>
      <c r="E2138" s="167"/>
      <c r="F2138" s="12"/>
      <c r="G2138" s="331"/>
      <c r="H2138" s="474"/>
      <c r="I2138" s="475"/>
      <c r="J2138" s="476"/>
      <c r="K2138" s="5"/>
      <c r="L2138" s="3"/>
      <c r="M2138" s="6"/>
      <c r="N2138" s="9"/>
      <c r="O2138" s="9"/>
      <c r="P2138" s="12"/>
      <c r="Q2138" s="12"/>
      <c r="R2138" s="12"/>
      <c r="S2138" s="151"/>
      <c r="T2138" s="12"/>
      <c r="U2138" s="12"/>
      <c r="V2138" s="12"/>
      <c r="W2138" s="12"/>
      <c r="X2138" s="12"/>
      <c r="Y2138" s="12"/>
      <c r="Z2138" s="12"/>
    </row>
    <row r="2139" spans="1:26" ht="15.75" customHeight="1" x14ac:dyDescent="0.3">
      <c r="A2139" s="3"/>
      <c r="B2139" s="167"/>
      <c r="C2139" s="94"/>
      <c r="D2139" s="12"/>
      <c r="E2139" s="167"/>
      <c r="F2139" s="12"/>
      <c r="G2139" s="331"/>
      <c r="H2139" s="474"/>
      <c r="I2139" s="475"/>
      <c r="J2139" s="476"/>
      <c r="K2139" s="5"/>
      <c r="L2139" s="3"/>
      <c r="M2139" s="6"/>
      <c r="N2139" s="9"/>
      <c r="O2139" s="9"/>
      <c r="P2139" s="12"/>
      <c r="Q2139" s="12"/>
      <c r="R2139" s="12"/>
      <c r="S2139" s="151"/>
      <c r="T2139" s="12"/>
      <c r="U2139" s="12"/>
      <c r="V2139" s="12"/>
      <c r="W2139" s="12"/>
      <c r="X2139" s="12"/>
      <c r="Y2139" s="12"/>
      <c r="Z2139" s="12"/>
    </row>
    <row r="2140" spans="1:26" ht="15.75" customHeight="1" x14ac:dyDescent="0.3">
      <c r="A2140" s="3"/>
      <c r="B2140" s="167"/>
      <c r="C2140" s="94"/>
      <c r="D2140" s="12"/>
      <c r="E2140" s="167"/>
      <c r="F2140" s="12"/>
      <c r="G2140" s="331"/>
      <c r="H2140" s="474"/>
      <c r="I2140" s="475"/>
      <c r="J2140" s="476"/>
      <c r="K2140" s="5"/>
      <c r="L2140" s="3"/>
      <c r="M2140" s="6"/>
      <c r="N2140" s="9"/>
      <c r="O2140" s="9"/>
      <c r="P2140" s="12"/>
      <c r="Q2140" s="12"/>
      <c r="R2140" s="12"/>
      <c r="S2140" s="151"/>
      <c r="T2140" s="12"/>
      <c r="U2140" s="12"/>
      <c r="V2140" s="12"/>
      <c r="W2140" s="12"/>
      <c r="X2140" s="12"/>
      <c r="Y2140" s="12"/>
      <c r="Z2140" s="12"/>
    </row>
    <row r="2141" spans="1:26" ht="15.75" customHeight="1" x14ac:dyDescent="0.3">
      <c r="A2141" s="3"/>
      <c r="B2141" s="167"/>
      <c r="C2141" s="94"/>
      <c r="D2141" s="12"/>
      <c r="E2141" s="167"/>
      <c r="F2141" s="12"/>
      <c r="G2141" s="331"/>
      <c r="H2141" s="474"/>
      <c r="I2141" s="475"/>
      <c r="J2141" s="476"/>
      <c r="K2141" s="5"/>
      <c r="L2141" s="3"/>
      <c r="M2141" s="6"/>
      <c r="N2141" s="9"/>
      <c r="O2141" s="9"/>
      <c r="P2141" s="12"/>
      <c r="Q2141" s="12"/>
      <c r="R2141" s="12"/>
      <c r="S2141" s="151"/>
      <c r="T2141" s="12"/>
      <c r="U2141" s="12"/>
      <c r="V2141" s="12"/>
      <c r="W2141" s="12"/>
      <c r="X2141" s="12"/>
      <c r="Y2141" s="12"/>
      <c r="Z2141" s="12"/>
    </row>
    <row r="2142" spans="1:26" ht="15.75" customHeight="1" x14ac:dyDescent="0.3">
      <c r="A2142" s="3"/>
      <c r="B2142" s="167"/>
      <c r="C2142" s="94"/>
      <c r="D2142" s="12"/>
      <c r="E2142" s="167"/>
      <c r="F2142" s="12"/>
      <c r="G2142" s="331"/>
      <c r="H2142" s="474"/>
      <c r="I2142" s="475"/>
      <c r="J2142" s="476"/>
      <c r="K2142" s="5"/>
      <c r="L2142" s="3"/>
      <c r="M2142" s="6"/>
      <c r="N2142" s="9"/>
      <c r="O2142" s="9"/>
      <c r="P2142" s="12"/>
      <c r="Q2142" s="12"/>
      <c r="R2142" s="12"/>
      <c r="S2142" s="151"/>
      <c r="T2142" s="12"/>
      <c r="U2142" s="12"/>
      <c r="V2142" s="12"/>
      <c r="W2142" s="12"/>
      <c r="X2142" s="12"/>
      <c r="Y2142" s="12"/>
      <c r="Z2142" s="12"/>
    </row>
    <row r="2143" spans="1:26" ht="15.75" customHeight="1" x14ac:dyDescent="0.3">
      <c r="A2143" s="3"/>
      <c r="B2143" s="167"/>
      <c r="C2143" s="94"/>
      <c r="D2143" s="12"/>
      <c r="E2143" s="167"/>
      <c r="F2143" s="12"/>
      <c r="G2143" s="331"/>
      <c r="H2143" s="474"/>
      <c r="I2143" s="475"/>
      <c r="J2143" s="476"/>
      <c r="K2143" s="5"/>
      <c r="L2143" s="3"/>
      <c r="M2143" s="6"/>
      <c r="N2143" s="9"/>
      <c r="O2143" s="9"/>
      <c r="P2143" s="12"/>
      <c r="Q2143" s="12"/>
      <c r="R2143" s="12"/>
      <c r="S2143" s="151"/>
      <c r="T2143" s="12"/>
      <c r="U2143" s="12"/>
      <c r="V2143" s="12"/>
      <c r="W2143" s="12"/>
      <c r="X2143" s="12"/>
      <c r="Y2143" s="12"/>
      <c r="Z2143" s="12"/>
    </row>
    <row r="2144" spans="1:26" ht="15.75" customHeight="1" x14ac:dyDescent="0.3">
      <c r="A2144" s="3"/>
      <c r="B2144" s="167"/>
      <c r="C2144" s="94"/>
      <c r="D2144" s="12"/>
      <c r="E2144" s="167"/>
      <c r="F2144" s="12"/>
      <c r="G2144" s="331"/>
      <c r="H2144" s="474"/>
      <c r="I2144" s="475"/>
      <c r="J2144" s="476"/>
      <c r="K2144" s="5"/>
      <c r="L2144" s="3"/>
      <c r="M2144" s="6"/>
      <c r="N2144" s="9"/>
      <c r="O2144" s="9"/>
      <c r="P2144" s="12"/>
      <c r="Q2144" s="12"/>
      <c r="R2144" s="12"/>
      <c r="S2144" s="151"/>
      <c r="T2144" s="12"/>
      <c r="U2144" s="12"/>
      <c r="V2144" s="12"/>
      <c r="W2144" s="12"/>
      <c r="X2144" s="12"/>
      <c r="Y2144" s="12"/>
      <c r="Z2144" s="12"/>
    </row>
    <row r="2145" spans="1:26" ht="15.75" customHeight="1" x14ac:dyDescent="0.3">
      <c r="A2145" s="3"/>
      <c r="B2145" s="167"/>
      <c r="C2145" s="94"/>
      <c r="D2145" s="12"/>
      <c r="E2145" s="167"/>
      <c r="F2145" s="12"/>
      <c r="G2145" s="331"/>
      <c r="H2145" s="474"/>
      <c r="I2145" s="475"/>
      <c r="J2145" s="476"/>
      <c r="K2145" s="5"/>
      <c r="L2145" s="3"/>
      <c r="M2145" s="6"/>
      <c r="N2145" s="9"/>
      <c r="O2145" s="9"/>
      <c r="P2145" s="12"/>
      <c r="Q2145" s="12"/>
      <c r="R2145" s="12"/>
      <c r="S2145" s="151"/>
      <c r="T2145" s="12"/>
      <c r="U2145" s="12"/>
      <c r="V2145" s="12"/>
      <c r="W2145" s="12"/>
      <c r="X2145" s="12"/>
      <c r="Y2145" s="12"/>
      <c r="Z2145" s="12"/>
    </row>
    <row r="2146" spans="1:26" ht="15.75" customHeight="1" x14ac:dyDescent="0.3">
      <c r="A2146" s="3"/>
      <c r="B2146" s="167"/>
      <c r="C2146" s="94"/>
      <c r="D2146" s="12"/>
      <c r="E2146" s="167"/>
      <c r="F2146" s="12"/>
      <c r="G2146" s="331"/>
      <c r="H2146" s="474"/>
      <c r="I2146" s="475"/>
      <c r="J2146" s="476"/>
      <c r="K2146" s="5"/>
      <c r="L2146" s="3"/>
      <c r="M2146" s="6"/>
      <c r="N2146" s="9"/>
      <c r="O2146" s="9"/>
      <c r="P2146" s="12"/>
      <c r="Q2146" s="12"/>
      <c r="R2146" s="12"/>
      <c r="S2146" s="151"/>
      <c r="T2146" s="12"/>
      <c r="U2146" s="12"/>
      <c r="V2146" s="12"/>
      <c r="W2146" s="12"/>
      <c r="X2146" s="12"/>
      <c r="Y2146" s="12"/>
      <c r="Z2146" s="12"/>
    </row>
    <row r="2147" spans="1:26" ht="15.75" customHeight="1" x14ac:dyDescent="0.3">
      <c r="A2147" s="3"/>
      <c r="B2147" s="167"/>
      <c r="C2147" s="94"/>
      <c r="D2147" s="12"/>
      <c r="E2147" s="167"/>
      <c r="F2147" s="12"/>
      <c r="G2147" s="331"/>
      <c r="H2147" s="474"/>
      <c r="I2147" s="475"/>
      <c r="J2147" s="476"/>
      <c r="K2147" s="5"/>
      <c r="L2147" s="3"/>
      <c r="M2147" s="6"/>
      <c r="N2147" s="9"/>
      <c r="O2147" s="9"/>
      <c r="P2147" s="12"/>
      <c r="Q2147" s="12"/>
      <c r="R2147" s="12"/>
      <c r="S2147" s="151"/>
      <c r="T2147" s="12"/>
      <c r="U2147" s="12"/>
      <c r="V2147" s="12"/>
      <c r="W2147" s="12"/>
      <c r="X2147" s="12"/>
      <c r="Y2147" s="12"/>
      <c r="Z2147" s="12"/>
    </row>
    <row r="2148" spans="1:26" ht="15.75" customHeight="1" x14ac:dyDescent="0.3">
      <c r="A2148" s="3"/>
      <c r="B2148" s="167"/>
      <c r="C2148" s="94"/>
      <c r="D2148" s="12"/>
      <c r="E2148" s="167"/>
      <c r="F2148" s="12"/>
      <c r="G2148" s="331"/>
      <c r="H2148" s="474"/>
      <c r="I2148" s="475"/>
      <c r="J2148" s="476"/>
      <c r="K2148" s="5"/>
      <c r="L2148" s="3"/>
      <c r="M2148" s="6"/>
      <c r="N2148" s="9"/>
      <c r="O2148" s="9"/>
      <c r="P2148" s="12"/>
      <c r="Q2148" s="12"/>
      <c r="R2148" s="12"/>
      <c r="S2148" s="151"/>
      <c r="T2148" s="12"/>
      <c r="U2148" s="12"/>
      <c r="V2148" s="12"/>
      <c r="W2148" s="12"/>
      <c r="X2148" s="12"/>
      <c r="Y2148" s="12"/>
      <c r="Z2148" s="12"/>
    </row>
    <row r="2149" spans="1:26" ht="15.75" customHeight="1" x14ac:dyDescent="0.3">
      <c r="A2149" s="3"/>
      <c r="B2149" s="167"/>
      <c r="C2149" s="94"/>
      <c r="D2149" s="12"/>
      <c r="E2149" s="167"/>
      <c r="F2149" s="12"/>
      <c r="G2149" s="331"/>
      <c r="H2149" s="474"/>
      <c r="I2149" s="475"/>
      <c r="J2149" s="476"/>
      <c r="K2149" s="5"/>
      <c r="L2149" s="3"/>
      <c r="M2149" s="6"/>
      <c r="N2149" s="9"/>
      <c r="O2149" s="9"/>
      <c r="P2149" s="12"/>
      <c r="Q2149" s="12"/>
      <c r="R2149" s="12"/>
      <c r="S2149" s="151"/>
      <c r="T2149" s="12"/>
      <c r="U2149" s="12"/>
      <c r="V2149" s="12"/>
      <c r="W2149" s="12"/>
      <c r="X2149" s="12"/>
      <c r="Y2149" s="12"/>
      <c r="Z2149" s="12"/>
    </row>
    <row r="2150" spans="1:26" ht="15.75" customHeight="1" x14ac:dyDescent="0.3">
      <c r="A2150" s="3"/>
      <c r="B2150" s="167"/>
      <c r="C2150" s="94"/>
      <c r="D2150" s="12"/>
      <c r="E2150" s="167"/>
      <c r="F2150" s="12"/>
      <c r="G2150" s="331"/>
      <c r="H2150" s="474"/>
      <c r="I2150" s="475"/>
      <c r="J2150" s="476"/>
      <c r="K2150" s="5"/>
      <c r="L2150" s="3"/>
      <c r="M2150" s="6"/>
      <c r="N2150" s="9"/>
      <c r="O2150" s="9"/>
      <c r="P2150" s="12"/>
      <c r="Q2150" s="12"/>
      <c r="R2150" s="12"/>
      <c r="S2150" s="151"/>
      <c r="T2150" s="12"/>
      <c r="U2150" s="12"/>
      <c r="V2150" s="12"/>
      <c r="W2150" s="12"/>
      <c r="X2150" s="12"/>
      <c r="Y2150" s="12"/>
      <c r="Z2150" s="12"/>
    </row>
    <row r="2151" spans="1:26" ht="15.75" customHeight="1" x14ac:dyDescent="0.3">
      <c r="A2151" s="3"/>
      <c r="B2151" s="167"/>
      <c r="C2151" s="94"/>
      <c r="D2151" s="12"/>
      <c r="E2151" s="167"/>
      <c r="F2151" s="12"/>
      <c r="G2151" s="331"/>
      <c r="H2151" s="474"/>
      <c r="I2151" s="475"/>
      <c r="J2151" s="476"/>
      <c r="K2151" s="5"/>
      <c r="L2151" s="3"/>
      <c r="M2151" s="6"/>
      <c r="N2151" s="9"/>
      <c r="O2151" s="9"/>
      <c r="P2151" s="12"/>
      <c r="Q2151" s="12"/>
      <c r="R2151" s="12"/>
      <c r="S2151" s="151"/>
      <c r="T2151" s="12"/>
      <c r="U2151" s="12"/>
      <c r="V2151" s="12"/>
      <c r="W2151" s="12"/>
      <c r="X2151" s="12"/>
      <c r="Y2151" s="12"/>
      <c r="Z2151" s="12"/>
    </row>
    <row r="2152" spans="1:26" ht="15.75" customHeight="1" x14ac:dyDescent="0.3">
      <c r="A2152" s="3"/>
      <c r="B2152" s="167"/>
      <c r="C2152" s="94"/>
      <c r="D2152" s="12"/>
      <c r="E2152" s="167"/>
      <c r="F2152" s="12"/>
      <c r="G2152" s="331"/>
      <c r="H2152" s="474"/>
      <c r="I2152" s="475"/>
      <c r="J2152" s="476"/>
      <c r="K2152" s="5"/>
      <c r="L2152" s="3"/>
      <c r="M2152" s="6"/>
      <c r="N2152" s="9"/>
      <c r="O2152" s="9"/>
      <c r="P2152" s="12"/>
      <c r="Q2152" s="12"/>
      <c r="R2152" s="12"/>
      <c r="S2152" s="151"/>
      <c r="T2152" s="12"/>
      <c r="U2152" s="12"/>
      <c r="V2152" s="12"/>
      <c r="W2152" s="12"/>
      <c r="X2152" s="12"/>
      <c r="Y2152" s="12"/>
      <c r="Z2152" s="12"/>
    </row>
    <row r="2153" spans="1:26" ht="15.75" customHeight="1" x14ac:dyDescent="0.3">
      <c r="A2153" s="3"/>
      <c r="B2153" s="167"/>
      <c r="C2153" s="94"/>
      <c r="D2153" s="12"/>
      <c r="E2153" s="167"/>
      <c r="F2153" s="12"/>
      <c r="G2153" s="331"/>
      <c r="H2153" s="474"/>
      <c r="I2153" s="475"/>
      <c r="J2153" s="476"/>
      <c r="K2153" s="5"/>
      <c r="L2153" s="3"/>
      <c r="M2153" s="6"/>
      <c r="N2153" s="9"/>
      <c r="O2153" s="9"/>
      <c r="P2153" s="12"/>
      <c r="Q2153" s="12"/>
      <c r="R2153" s="12"/>
      <c r="S2153" s="151"/>
      <c r="T2153" s="12"/>
      <c r="U2153" s="12"/>
      <c r="V2153" s="12"/>
      <c r="W2153" s="12"/>
      <c r="X2153" s="12"/>
      <c r="Y2153" s="12"/>
      <c r="Z2153" s="12"/>
    </row>
    <row r="2154" spans="1:26" ht="15.75" customHeight="1" x14ac:dyDescent="0.3">
      <c r="A2154" s="3"/>
      <c r="B2154" s="167"/>
      <c r="C2154" s="94"/>
      <c r="D2154" s="12"/>
      <c r="E2154" s="167"/>
      <c r="F2154" s="12"/>
      <c r="G2154" s="331"/>
      <c r="H2154" s="474"/>
      <c r="I2154" s="475"/>
      <c r="J2154" s="476"/>
      <c r="K2154" s="5"/>
      <c r="L2154" s="3"/>
      <c r="M2154" s="6"/>
      <c r="N2154" s="9"/>
      <c r="O2154" s="9"/>
      <c r="P2154" s="12"/>
      <c r="Q2154" s="12"/>
      <c r="R2154" s="12"/>
      <c r="S2154" s="151"/>
      <c r="T2154" s="12"/>
      <c r="U2154" s="12"/>
      <c r="V2154" s="12"/>
      <c r="W2154" s="12"/>
      <c r="X2154" s="12"/>
      <c r="Y2154" s="12"/>
      <c r="Z2154" s="12"/>
    </row>
    <row r="2155" spans="1:26" ht="15.75" customHeight="1" x14ac:dyDescent="0.3">
      <c r="A2155" s="3"/>
      <c r="B2155" s="167"/>
      <c r="C2155" s="94"/>
      <c r="D2155" s="12"/>
      <c r="E2155" s="167"/>
      <c r="F2155" s="12"/>
      <c r="G2155" s="331"/>
      <c r="H2155" s="474"/>
      <c r="I2155" s="475"/>
      <c r="J2155" s="476"/>
      <c r="K2155" s="5"/>
      <c r="L2155" s="3"/>
      <c r="M2155" s="6"/>
      <c r="N2155" s="9"/>
      <c r="O2155" s="9"/>
      <c r="P2155" s="12"/>
      <c r="Q2155" s="12"/>
      <c r="R2155" s="12"/>
      <c r="S2155" s="151"/>
      <c r="T2155" s="12"/>
      <c r="U2155" s="12"/>
      <c r="V2155" s="12"/>
      <c r="W2155" s="12"/>
      <c r="X2155" s="12"/>
      <c r="Y2155" s="12"/>
      <c r="Z2155" s="12"/>
    </row>
    <row r="2156" spans="1:26" ht="15.75" customHeight="1" x14ac:dyDescent="0.3">
      <c r="A2156" s="3"/>
      <c r="B2156" s="167"/>
      <c r="C2156" s="94"/>
      <c r="D2156" s="12"/>
      <c r="E2156" s="167"/>
      <c r="F2156" s="12"/>
      <c r="G2156" s="331"/>
      <c r="H2156" s="474"/>
      <c r="I2156" s="475"/>
      <c r="J2156" s="476"/>
      <c r="K2156" s="5"/>
      <c r="L2156" s="3"/>
      <c r="M2156" s="6"/>
      <c r="N2156" s="9"/>
      <c r="O2156" s="9"/>
      <c r="P2156" s="12"/>
      <c r="Q2156" s="12"/>
      <c r="R2156" s="12"/>
      <c r="S2156" s="151"/>
      <c r="T2156" s="12"/>
      <c r="U2156" s="12"/>
      <c r="V2156" s="12"/>
      <c r="W2156" s="12"/>
      <c r="X2156" s="12"/>
      <c r="Y2156" s="12"/>
      <c r="Z2156" s="12"/>
    </row>
    <row r="2157" spans="1:26" ht="15.75" customHeight="1" x14ac:dyDescent="0.3">
      <c r="A2157" s="3"/>
      <c r="B2157" s="167"/>
      <c r="C2157" s="94"/>
      <c r="D2157" s="12"/>
      <c r="E2157" s="167"/>
      <c r="F2157" s="12"/>
      <c r="G2157" s="331"/>
      <c r="H2157" s="474"/>
      <c r="I2157" s="475"/>
      <c r="J2157" s="476"/>
      <c r="K2157" s="5"/>
      <c r="L2157" s="3"/>
      <c r="M2157" s="6"/>
      <c r="N2157" s="9"/>
      <c r="O2157" s="9"/>
      <c r="P2157" s="12"/>
      <c r="Q2157" s="12"/>
      <c r="R2157" s="12"/>
      <c r="S2157" s="151"/>
      <c r="T2157" s="12"/>
      <c r="U2157" s="12"/>
      <c r="V2157" s="12"/>
      <c r="W2157" s="12"/>
      <c r="X2157" s="12"/>
      <c r="Y2157" s="12"/>
      <c r="Z2157" s="12"/>
    </row>
    <row r="2158" spans="1:26" ht="15.75" customHeight="1" x14ac:dyDescent="0.3">
      <c r="A2158" s="3"/>
      <c r="B2158" s="167"/>
      <c r="C2158" s="94"/>
      <c r="D2158" s="12"/>
      <c r="E2158" s="167"/>
      <c r="F2158" s="12"/>
      <c r="G2158" s="331"/>
      <c r="H2158" s="474"/>
      <c r="I2158" s="475"/>
      <c r="J2158" s="476"/>
      <c r="K2158" s="5"/>
      <c r="L2158" s="3"/>
      <c r="M2158" s="6"/>
      <c r="N2158" s="9"/>
      <c r="O2158" s="9"/>
      <c r="P2158" s="12"/>
      <c r="Q2158" s="12"/>
      <c r="R2158" s="12"/>
      <c r="S2158" s="151"/>
      <c r="T2158" s="12"/>
      <c r="U2158" s="12"/>
      <c r="V2158" s="12"/>
      <c r="W2158" s="12"/>
      <c r="X2158" s="12"/>
      <c r="Y2158" s="12"/>
      <c r="Z2158" s="12"/>
    </row>
    <row r="2159" spans="1:26" ht="15.75" customHeight="1" x14ac:dyDescent="0.3">
      <c r="A2159" s="3"/>
      <c r="B2159" s="167"/>
      <c r="C2159" s="94"/>
      <c r="D2159" s="12"/>
      <c r="E2159" s="167"/>
      <c r="F2159" s="12"/>
      <c r="G2159" s="331"/>
      <c r="H2159" s="474"/>
      <c r="I2159" s="475"/>
      <c r="J2159" s="476"/>
      <c r="K2159" s="5"/>
      <c r="L2159" s="3"/>
      <c r="M2159" s="6"/>
      <c r="N2159" s="9"/>
      <c r="O2159" s="9"/>
      <c r="P2159" s="12"/>
      <c r="Q2159" s="12"/>
      <c r="R2159" s="12"/>
      <c r="S2159" s="151"/>
      <c r="T2159" s="12"/>
      <c r="U2159" s="12"/>
      <c r="V2159" s="12"/>
      <c r="W2159" s="12"/>
      <c r="X2159" s="12"/>
      <c r="Y2159" s="12"/>
      <c r="Z2159" s="12"/>
    </row>
    <row r="2160" spans="1:26" ht="15.75" customHeight="1" x14ac:dyDescent="0.3">
      <c r="A2160" s="3"/>
      <c r="B2160" s="167"/>
      <c r="C2160" s="94"/>
      <c r="D2160" s="12"/>
      <c r="E2160" s="167"/>
      <c r="F2160" s="12"/>
      <c r="G2160" s="331"/>
      <c r="H2160" s="474"/>
      <c r="I2160" s="475"/>
      <c r="J2160" s="476"/>
      <c r="K2160" s="5"/>
      <c r="L2160" s="3"/>
      <c r="M2160" s="6"/>
      <c r="N2160" s="9"/>
      <c r="O2160" s="9"/>
      <c r="P2160" s="12"/>
      <c r="Q2160" s="12"/>
      <c r="R2160" s="12"/>
      <c r="S2160" s="151"/>
      <c r="T2160" s="12"/>
      <c r="U2160" s="12"/>
      <c r="V2160" s="12"/>
      <c r="W2160" s="12"/>
      <c r="X2160" s="12"/>
      <c r="Y2160" s="12"/>
      <c r="Z2160" s="12"/>
    </row>
    <row r="2161" spans="1:26" ht="15.75" customHeight="1" x14ac:dyDescent="0.3">
      <c r="A2161" s="3"/>
      <c r="B2161" s="167"/>
      <c r="C2161" s="94"/>
      <c r="D2161" s="12"/>
      <c r="E2161" s="167"/>
      <c r="F2161" s="12"/>
      <c r="G2161" s="331"/>
      <c r="H2161" s="474"/>
      <c r="I2161" s="475"/>
      <c r="J2161" s="476"/>
      <c r="K2161" s="5"/>
      <c r="L2161" s="3"/>
      <c r="M2161" s="6"/>
      <c r="N2161" s="9"/>
      <c r="O2161" s="9"/>
      <c r="P2161" s="12"/>
      <c r="Q2161" s="12"/>
      <c r="R2161" s="12"/>
      <c r="S2161" s="151"/>
      <c r="T2161" s="12"/>
      <c r="U2161" s="12"/>
      <c r="V2161" s="12"/>
      <c r="W2161" s="12"/>
      <c r="X2161" s="12"/>
      <c r="Y2161" s="12"/>
      <c r="Z2161" s="12"/>
    </row>
    <row r="2162" spans="1:26" ht="15.75" customHeight="1" x14ac:dyDescent="0.3">
      <c r="A2162" s="3"/>
      <c r="B2162" s="167"/>
      <c r="C2162" s="94"/>
      <c r="D2162" s="12"/>
      <c r="E2162" s="167"/>
      <c r="F2162" s="12"/>
      <c r="G2162" s="331"/>
      <c r="H2162" s="474"/>
      <c r="I2162" s="475"/>
      <c r="J2162" s="476"/>
      <c r="K2162" s="5"/>
      <c r="L2162" s="3"/>
      <c r="M2162" s="6"/>
      <c r="N2162" s="9"/>
      <c r="O2162" s="9"/>
      <c r="P2162" s="12"/>
      <c r="Q2162" s="12"/>
      <c r="R2162" s="12"/>
      <c r="S2162" s="151"/>
      <c r="T2162" s="12"/>
      <c r="U2162" s="12"/>
      <c r="V2162" s="12"/>
      <c r="W2162" s="12"/>
      <c r="X2162" s="12"/>
      <c r="Y2162" s="12"/>
      <c r="Z2162" s="12"/>
    </row>
    <row r="2163" spans="1:26" ht="15.75" customHeight="1" x14ac:dyDescent="0.3">
      <c r="A2163" s="3"/>
      <c r="B2163" s="167"/>
      <c r="C2163" s="94"/>
      <c r="D2163" s="12"/>
      <c r="E2163" s="167"/>
      <c r="F2163" s="12"/>
      <c r="G2163" s="331"/>
      <c r="H2163" s="474"/>
      <c r="I2163" s="475"/>
      <c r="J2163" s="476"/>
      <c r="K2163" s="5"/>
      <c r="L2163" s="3"/>
      <c r="M2163" s="6"/>
      <c r="N2163" s="9"/>
      <c r="O2163" s="9"/>
      <c r="P2163" s="12"/>
      <c r="Q2163" s="12"/>
      <c r="R2163" s="12"/>
      <c r="S2163" s="151"/>
      <c r="T2163" s="12"/>
      <c r="U2163" s="12"/>
      <c r="V2163" s="12"/>
      <c r="W2163" s="12"/>
      <c r="X2163" s="12"/>
      <c r="Y2163" s="12"/>
      <c r="Z2163" s="12"/>
    </row>
    <row r="2164" spans="1:26" ht="15.75" customHeight="1" x14ac:dyDescent="0.3">
      <c r="A2164" s="3"/>
      <c r="B2164" s="167"/>
      <c r="C2164" s="94"/>
      <c r="D2164" s="12"/>
      <c r="E2164" s="167"/>
      <c r="F2164" s="12"/>
      <c r="G2164" s="331"/>
      <c r="H2164" s="474"/>
      <c r="I2164" s="475"/>
      <c r="J2164" s="476"/>
      <c r="K2164" s="5"/>
      <c r="L2164" s="3"/>
      <c r="M2164" s="6"/>
      <c r="N2164" s="9"/>
      <c r="O2164" s="9"/>
      <c r="P2164" s="12"/>
      <c r="Q2164" s="12"/>
      <c r="R2164" s="12"/>
      <c r="S2164" s="151"/>
      <c r="T2164" s="12"/>
      <c r="U2164" s="12"/>
      <c r="V2164" s="12"/>
      <c r="W2164" s="12"/>
      <c r="X2164" s="12"/>
      <c r="Y2164" s="12"/>
      <c r="Z2164" s="12"/>
    </row>
    <row r="2165" spans="1:26" ht="15.75" customHeight="1" x14ac:dyDescent="0.3">
      <c r="A2165" s="3"/>
      <c r="B2165" s="167"/>
      <c r="C2165" s="94"/>
      <c r="D2165" s="12"/>
      <c r="E2165" s="167"/>
      <c r="F2165" s="12"/>
      <c r="G2165" s="331"/>
      <c r="H2165" s="474"/>
      <c r="I2165" s="475"/>
      <c r="J2165" s="476"/>
      <c r="K2165" s="5"/>
      <c r="L2165" s="3"/>
      <c r="M2165" s="6"/>
      <c r="N2165" s="9"/>
      <c r="O2165" s="9"/>
      <c r="P2165" s="12"/>
      <c r="Q2165" s="12"/>
      <c r="R2165" s="12"/>
      <c r="S2165" s="151"/>
      <c r="T2165" s="12"/>
      <c r="U2165" s="12"/>
      <c r="V2165" s="12"/>
      <c r="W2165" s="12"/>
      <c r="X2165" s="12"/>
      <c r="Y2165" s="12"/>
      <c r="Z2165" s="12"/>
    </row>
    <row r="2166" spans="1:26" ht="15.75" customHeight="1" x14ac:dyDescent="0.3">
      <c r="A2166" s="3"/>
      <c r="B2166" s="167"/>
      <c r="C2166" s="94"/>
      <c r="D2166" s="12"/>
      <c r="E2166" s="167"/>
      <c r="F2166" s="12"/>
      <c r="G2166" s="331"/>
      <c r="H2166" s="474"/>
      <c r="I2166" s="475"/>
      <c r="J2166" s="476"/>
      <c r="K2166" s="5"/>
      <c r="L2166" s="3"/>
      <c r="M2166" s="6"/>
      <c r="N2166" s="9"/>
      <c r="O2166" s="9"/>
      <c r="P2166" s="12"/>
      <c r="Q2166" s="12"/>
      <c r="R2166" s="12"/>
      <c r="S2166" s="151"/>
      <c r="T2166" s="12"/>
      <c r="U2166" s="12"/>
      <c r="V2166" s="12"/>
      <c r="W2166" s="12"/>
      <c r="X2166" s="12"/>
      <c r="Y2166" s="12"/>
      <c r="Z2166" s="12"/>
    </row>
    <row r="2167" spans="1:26" ht="15.75" customHeight="1" x14ac:dyDescent="0.3">
      <c r="A2167" s="3"/>
      <c r="B2167" s="167"/>
      <c r="C2167" s="94"/>
      <c r="D2167" s="12"/>
      <c r="E2167" s="167"/>
      <c r="F2167" s="12"/>
      <c r="G2167" s="331"/>
      <c r="H2167" s="474"/>
      <c r="I2167" s="475"/>
      <c r="J2167" s="476"/>
      <c r="K2167" s="5"/>
      <c r="L2167" s="3"/>
      <c r="M2167" s="6"/>
      <c r="N2167" s="9"/>
      <c r="O2167" s="9"/>
      <c r="P2167" s="12"/>
      <c r="Q2167" s="12"/>
      <c r="R2167" s="12"/>
      <c r="S2167" s="151"/>
      <c r="T2167" s="12"/>
      <c r="U2167" s="12"/>
      <c r="V2167" s="12"/>
      <c r="W2167" s="12"/>
      <c r="X2167" s="12"/>
      <c r="Y2167" s="12"/>
      <c r="Z2167" s="12"/>
    </row>
    <row r="2168" spans="1:26" ht="15.75" customHeight="1" x14ac:dyDescent="0.3">
      <c r="A2168" s="3"/>
      <c r="B2168" s="167"/>
      <c r="C2168" s="94"/>
      <c r="D2168" s="12"/>
      <c r="E2168" s="167"/>
      <c r="F2168" s="12"/>
      <c r="G2168" s="331"/>
      <c r="H2168" s="474"/>
      <c r="I2168" s="475"/>
      <c r="J2168" s="476"/>
      <c r="K2168" s="5"/>
      <c r="L2168" s="3"/>
      <c r="M2168" s="6"/>
      <c r="N2168" s="9"/>
      <c r="O2168" s="9"/>
      <c r="P2168" s="12"/>
      <c r="Q2168" s="12"/>
      <c r="R2168" s="12"/>
      <c r="S2168" s="151"/>
      <c r="T2168" s="12"/>
      <c r="U2168" s="12"/>
      <c r="V2168" s="12"/>
      <c r="W2168" s="12"/>
      <c r="X2168" s="12"/>
      <c r="Y2168" s="12"/>
      <c r="Z2168" s="12"/>
    </row>
    <row r="2169" spans="1:26" ht="15.75" customHeight="1" x14ac:dyDescent="0.3">
      <c r="A2169" s="3"/>
      <c r="B2169" s="167"/>
      <c r="C2169" s="94"/>
      <c r="D2169" s="12"/>
      <c r="E2169" s="167"/>
      <c r="F2169" s="12"/>
      <c r="G2169" s="331"/>
      <c r="H2169" s="474"/>
      <c r="I2169" s="475"/>
      <c r="J2169" s="476"/>
      <c r="K2169" s="5"/>
      <c r="L2169" s="3"/>
      <c r="M2169" s="6"/>
      <c r="N2169" s="9"/>
      <c r="O2169" s="9"/>
      <c r="P2169" s="12"/>
      <c r="Q2169" s="12"/>
      <c r="R2169" s="12"/>
      <c r="S2169" s="151"/>
      <c r="T2169" s="12"/>
      <c r="U2169" s="12"/>
      <c r="V2169" s="12"/>
      <c r="W2169" s="12"/>
      <c r="X2169" s="12"/>
      <c r="Y2169" s="12"/>
      <c r="Z2169" s="12"/>
    </row>
    <row r="2170" spans="1:26" ht="15.75" customHeight="1" x14ac:dyDescent="0.3">
      <c r="A2170" s="3"/>
      <c r="B2170" s="167"/>
      <c r="C2170" s="94"/>
      <c r="D2170" s="12"/>
      <c r="E2170" s="167"/>
      <c r="F2170" s="12"/>
      <c r="G2170" s="331"/>
      <c r="H2170" s="474"/>
      <c r="I2170" s="475"/>
      <c r="J2170" s="476"/>
      <c r="K2170" s="5"/>
      <c r="L2170" s="3"/>
      <c r="M2170" s="6"/>
      <c r="N2170" s="9"/>
      <c r="O2170" s="9"/>
      <c r="P2170" s="12"/>
      <c r="Q2170" s="12"/>
      <c r="R2170" s="12"/>
      <c r="S2170" s="151"/>
      <c r="T2170" s="12"/>
      <c r="U2170" s="12"/>
      <c r="V2170" s="12"/>
      <c r="W2170" s="12"/>
      <c r="X2170" s="12"/>
      <c r="Y2170" s="12"/>
      <c r="Z2170" s="12"/>
    </row>
    <row r="2171" spans="1:26" ht="15.75" customHeight="1" x14ac:dyDescent="0.3">
      <c r="A2171" s="3"/>
      <c r="B2171" s="167"/>
      <c r="C2171" s="94"/>
      <c r="D2171" s="12"/>
      <c r="E2171" s="167"/>
      <c r="F2171" s="12"/>
      <c r="G2171" s="331"/>
      <c r="H2171" s="474"/>
      <c r="I2171" s="475"/>
      <c r="J2171" s="476"/>
      <c r="K2171" s="5"/>
      <c r="L2171" s="3"/>
      <c r="M2171" s="6"/>
      <c r="N2171" s="9"/>
      <c r="O2171" s="9"/>
      <c r="P2171" s="12"/>
      <c r="Q2171" s="12"/>
      <c r="R2171" s="12"/>
      <c r="S2171" s="151"/>
      <c r="T2171" s="12"/>
      <c r="U2171" s="12"/>
      <c r="V2171" s="12"/>
      <c r="W2171" s="12"/>
      <c r="X2171" s="12"/>
      <c r="Y2171" s="12"/>
      <c r="Z2171" s="12"/>
    </row>
    <row r="2172" spans="1:26" ht="15.75" customHeight="1" x14ac:dyDescent="0.3">
      <c r="A2172" s="3"/>
      <c r="B2172" s="167"/>
      <c r="C2172" s="94"/>
      <c r="D2172" s="12"/>
      <c r="E2172" s="167"/>
      <c r="F2172" s="12"/>
      <c r="G2172" s="331"/>
      <c r="H2172" s="474"/>
      <c r="I2172" s="475"/>
      <c r="J2172" s="476"/>
      <c r="K2172" s="5"/>
      <c r="L2172" s="3"/>
      <c r="M2172" s="6"/>
      <c r="N2172" s="9"/>
      <c r="O2172" s="9"/>
      <c r="P2172" s="12"/>
      <c r="Q2172" s="12"/>
      <c r="R2172" s="12"/>
      <c r="S2172" s="151"/>
      <c r="T2172" s="12"/>
      <c r="U2172" s="12"/>
      <c r="V2172" s="12"/>
      <c r="W2172" s="12"/>
      <c r="X2172" s="12"/>
      <c r="Y2172" s="12"/>
      <c r="Z2172" s="12"/>
    </row>
    <row r="2173" spans="1:26" ht="15.75" customHeight="1" x14ac:dyDescent="0.3">
      <c r="A2173" s="3"/>
      <c r="B2173" s="167"/>
      <c r="C2173" s="94"/>
      <c r="D2173" s="12"/>
      <c r="E2173" s="167"/>
      <c r="F2173" s="12"/>
      <c r="G2173" s="331"/>
      <c r="H2173" s="474"/>
      <c r="I2173" s="475"/>
      <c r="J2173" s="476"/>
      <c r="K2173" s="5"/>
      <c r="L2173" s="3"/>
      <c r="M2173" s="6"/>
      <c r="N2173" s="9"/>
      <c r="O2173" s="9"/>
      <c r="P2173" s="12"/>
      <c r="Q2173" s="12"/>
      <c r="R2173" s="12"/>
      <c r="S2173" s="151"/>
      <c r="T2173" s="12"/>
      <c r="U2173" s="12"/>
      <c r="V2173" s="12"/>
      <c r="W2173" s="12"/>
      <c r="X2173" s="12"/>
      <c r="Y2173" s="12"/>
      <c r="Z2173" s="12"/>
    </row>
    <row r="2174" spans="1:26" ht="15.75" customHeight="1" x14ac:dyDescent="0.3">
      <c r="A2174" s="3"/>
      <c r="B2174" s="167"/>
      <c r="C2174" s="94"/>
      <c r="D2174" s="12"/>
      <c r="E2174" s="167"/>
      <c r="F2174" s="12"/>
      <c r="G2174" s="331"/>
      <c r="H2174" s="474"/>
      <c r="I2174" s="475"/>
      <c r="J2174" s="476"/>
      <c r="K2174" s="5"/>
      <c r="L2174" s="3"/>
      <c r="M2174" s="6"/>
      <c r="N2174" s="9"/>
      <c r="O2174" s="9"/>
      <c r="P2174" s="12"/>
      <c r="Q2174" s="12"/>
      <c r="R2174" s="12"/>
      <c r="S2174" s="151"/>
      <c r="T2174" s="12"/>
      <c r="U2174" s="12"/>
      <c r="V2174" s="12"/>
      <c r="W2174" s="12"/>
      <c r="X2174" s="12"/>
      <c r="Y2174" s="12"/>
      <c r="Z2174" s="12"/>
    </row>
    <row r="2175" spans="1:26" ht="15.75" customHeight="1" x14ac:dyDescent="0.3">
      <c r="A2175" s="3"/>
      <c r="B2175" s="167"/>
      <c r="C2175" s="94"/>
      <c r="D2175" s="12"/>
      <c r="E2175" s="167"/>
      <c r="F2175" s="12"/>
      <c r="G2175" s="331"/>
      <c r="H2175" s="474"/>
      <c r="I2175" s="475"/>
      <c r="J2175" s="476"/>
      <c r="K2175" s="5"/>
      <c r="L2175" s="3"/>
      <c r="M2175" s="6"/>
      <c r="N2175" s="9"/>
      <c r="O2175" s="9"/>
      <c r="P2175" s="12"/>
      <c r="Q2175" s="12"/>
      <c r="R2175" s="12"/>
      <c r="S2175" s="151"/>
      <c r="T2175" s="12"/>
      <c r="U2175" s="12"/>
      <c r="V2175" s="12"/>
      <c r="W2175" s="12"/>
      <c r="X2175" s="12"/>
      <c r="Y2175" s="12"/>
      <c r="Z2175" s="12"/>
    </row>
    <row r="2176" spans="1:26" ht="15.75" customHeight="1" x14ac:dyDescent="0.3">
      <c r="A2176" s="3"/>
      <c r="B2176" s="167"/>
      <c r="C2176" s="94"/>
      <c r="D2176" s="12"/>
      <c r="E2176" s="167"/>
      <c r="F2176" s="12"/>
      <c r="G2176" s="331"/>
      <c r="H2176" s="474"/>
      <c r="I2176" s="475"/>
      <c r="J2176" s="476"/>
      <c r="K2176" s="5"/>
      <c r="L2176" s="3"/>
      <c r="M2176" s="6"/>
      <c r="N2176" s="9"/>
      <c r="O2176" s="9"/>
      <c r="P2176" s="12"/>
      <c r="Q2176" s="12"/>
      <c r="R2176" s="12"/>
      <c r="S2176" s="151"/>
      <c r="T2176" s="12"/>
      <c r="U2176" s="12"/>
      <c r="V2176" s="12"/>
      <c r="W2176" s="12"/>
      <c r="X2176" s="12"/>
      <c r="Y2176" s="12"/>
      <c r="Z2176" s="12"/>
    </row>
    <row r="2177" spans="1:26" ht="15.75" customHeight="1" x14ac:dyDescent="0.3">
      <c r="A2177" s="3"/>
      <c r="B2177" s="167"/>
      <c r="C2177" s="94"/>
      <c r="D2177" s="12"/>
      <c r="E2177" s="167"/>
      <c r="F2177" s="12"/>
      <c r="G2177" s="331"/>
      <c r="H2177" s="474"/>
      <c r="I2177" s="475"/>
      <c r="J2177" s="476"/>
      <c r="K2177" s="5"/>
      <c r="L2177" s="3"/>
      <c r="M2177" s="6"/>
      <c r="N2177" s="9"/>
      <c r="O2177" s="9"/>
      <c r="P2177" s="12"/>
      <c r="Q2177" s="12"/>
      <c r="R2177" s="12"/>
      <c r="S2177" s="151"/>
      <c r="T2177" s="12"/>
      <c r="U2177" s="12"/>
      <c r="V2177" s="12"/>
      <c r="W2177" s="12"/>
      <c r="X2177" s="12"/>
      <c r="Y2177" s="12"/>
      <c r="Z2177" s="12"/>
    </row>
    <row r="2178" spans="1:26" ht="15.75" customHeight="1" x14ac:dyDescent="0.3">
      <c r="A2178" s="3"/>
      <c r="B2178" s="167"/>
      <c r="C2178" s="94"/>
      <c r="D2178" s="12"/>
      <c r="E2178" s="167"/>
      <c r="F2178" s="12"/>
      <c r="G2178" s="331"/>
      <c r="H2178" s="474"/>
      <c r="I2178" s="475"/>
      <c r="J2178" s="476"/>
      <c r="K2178" s="5"/>
      <c r="L2178" s="3"/>
      <c r="M2178" s="6"/>
      <c r="N2178" s="9"/>
      <c r="O2178" s="9"/>
      <c r="P2178" s="12"/>
      <c r="Q2178" s="12"/>
      <c r="R2178" s="12"/>
      <c r="S2178" s="151"/>
      <c r="T2178" s="12"/>
      <c r="U2178" s="12"/>
      <c r="V2178" s="12"/>
      <c r="W2178" s="12"/>
      <c r="X2178" s="12"/>
      <c r="Y2178" s="12"/>
      <c r="Z2178" s="12"/>
    </row>
    <row r="2179" spans="1:26" ht="15.75" customHeight="1" x14ac:dyDescent="0.3">
      <c r="A2179" s="3"/>
      <c r="B2179" s="167"/>
      <c r="C2179" s="94"/>
      <c r="D2179" s="12"/>
      <c r="E2179" s="167"/>
      <c r="F2179" s="12"/>
      <c r="G2179" s="331"/>
      <c r="H2179" s="474"/>
      <c r="I2179" s="475"/>
      <c r="J2179" s="476"/>
      <c r="K2179" s="5"/>
      <c r="L2179" s="3"/>
      <c r="M2179" s="6"/>
      <c r="N2179" s="9"/>
      <c r="O2179" s="9"/>
      <c r="P2179" s="12"/>
      <c r="Q2179" s="12"/>
      <c r="R2179" s="12"/>
      <c r="S2179" s="151"/>
      <c r="T2179" s="12"/>
      <c r="U2179" s="12"/>
      <c r="V2179" s="12"/>
      <c r="W2179" s="12"/>
      <c r="X2179" s="12"/>
      <c r="Y2179" s="12"/>
      <c r="Z2179" s="12"/>
    </row>
    <row r="2180" spans="1:26" ht="15.75" customHeight="1" x14ac:dyDescent="0.3">
      <c r="A2180" s="3"/>
      <c r="B2180" s="167"/>
      <c r="C2180" s="94"/>
      <c r="D2180" s="12"/>
      <c r="E2180" s="167"/>
      <c r="F2180" s="12"/>
      <c r="G2180" s="331"/>
      <c r="H2180" s="474"/>
      <c r="I2180" s="475"/>
      <c r="J2180" s="476"/>
      <c r="K2180" s="5"/>
      <c r="L2180" s="3"/>
      <c r="M2180" s="6"/>
      <c r="N2180" s="9"/>
      <c r="O2180" s="9"/>
      <c r="P2180" s="12"/>
      <c r="Q2180" s="12"/>
      <c r="R2180" s="12"/>
      <c r="S2180" s="151"/>
      <c r="T2180" s="12"/>
      <c r="U2180" s="12"/>
      <c r="V2180" s="12"/>
      <c r="W2180" s="12"/>
      <c r="X2180" s="12"/>
      <c r="Y2180" s="12"/>
      <c r="Z2180" s="12"/>
    </row>
    <row r="2181" spans="1:26" ht="15.75" customHeight="1" x14ac:dyDescent="0.3">
      <c r="A2181" s="3"/>
      <c r="B2181" s="167"/>
      <c r="C2181" s="94"/>
      <c r="D2181" s="12"/>
      <c r="E2181" s="167"/>
      <c r="F2181" s="12"/>
      <c r="G2181" s="331"/>
      <c r="H2181" s="474"/>
      <c r="I2181" s="475"/>
      <c r="J2181" s="476"/>
      <c r="K2181" s="5"/>
      <c r="L2181" s="3"/>
      <c r="M2181" s="6"/>
      <c r="N2181" s="9"/>
      <c r="O2181" s="9"/>
      <c r="P2181" s="12"/>
      <c r="Q2181" s="12"/>
      <c r="R2181" s="12"/>
      <c r="S2181" s="151"/>
      <c r="T2181" s="12"/>
      <c r="U2181" s="12"/>
      <c r="V2181" s="12"/>
      <c r="W2181" s="12"/>
      <c r="X2181" s="12"/>
      <c r="Y2181" s="12"/>
      <c r="Z2181" s="12"/>
    </row>
    <row r="2182" spans="1:26" ht="15.75" customHeight="1" x14ac:dyDescent="0.3">
      <c r="A2182" s="3"/>
      <c r="B2182" s="167"/>
      <c r="C2182" s="94"/>
      <c r="D2182" s="12"/>
      <c r="E2182" s="167"/>
      <c r="F2182" s="12"/>
      <c r="G2182" s="331"/>
      <c r="H2182" s="474"/>
      <c r="I2182" s="475"/>
      <c r="J2182" s="476"/>
      <c r="K2182" s="5"/>
      <c r="L2182" s="3"/>
      <c r="M2182" s="6"/>
      <c r="N2182" s="9"/>
      <c r="O2182" s="9"/>
      <c r="P2182" s="12"/>
      <c r="Q2182" s="12"/>
      <c r="R2182" s="12"/>
      <c r="S2182" s="151"/>
      <c r="T2182" s="12"/>
      <c r="U2182" s="12"/>
      <c r="V2182" s="12"/>
      <c r="W2182" s="12"/>
      <c r="X2182" s="12"/>
      <c r="Y2182" s="12"/>
      <c r="Z2182" s="12"/>
    </row>
    <row r="2183" spans="1:26" ht="15.75" customHeight="1" x14ac:dyDescent="0.3">
      <c r="A2183" s="3"/>
      <c r="B2183" s="167"/>
      <c r="C2183" s="94"/>
      <c r="D2183" s="12"/>
      <c r="E2183" s="167"/>
      <c r="F2183" s="12"/>
      <c r="G2183" s="331"/>
      <c r="H2183" s="474"/>
      <c r="I2183" s="475"/>
      <c r="J2183" s="476"/>
      <c r="K2183" s="5"/>
      <c r="L2183" s="3"/>
      <c r="M2183" s="6"/>
      <c r="N2183" s="9"/>
      <c r="O2183" s="9"/>
      <c r="P2183" s="12"/>
      <c r="Q2183" s="12"/>
      <c r="R2183" s="12"/>
      <c r="S2183" s="151"/>
      <c r="T2183" s="12"/>
      <c r="U2183" s="12"/>
      <c r="V2183" s="12"/>
      <c r="W2183" s="12"/>
      <c r="X2183" s="12"/>
      <c r="Y2183" s="12"/>
      <c r="Z2183" s="12"/>
    </row>
    <row r="2184" spans="1:26" ht="15.75" customHeight="1" x14ac:dyDescent="0.3">
      <c r="A2184" s="3"/>
      <c r="B2184" s="167"/>
      <c r="C2184" s="94"/>
      <c r="D2184" s="12"/>
      <c r="E2184" s="167"/>
      <c r="F2184" s="12"/>
      <c r="G2184" s="331"/>
      <c r="H2184" s="474"/>
      <c r="I2184" s="475"/>
      <c r="J2184" s="476"/>
      <c r="K2184" s="5"/>
      <c r="L2184" s="3"/>
      <c r="M2184" s="6"/>
      <c r="N2184" s="9"/>
      <c r="O2184" s="9"/>
      <c r="P2184" s="12"/>
      <c r="Q2184" s="12"/>
      <c r="R2184" s="12"/>
      <c r="S2184" s="151"/>
      <c r="T2184" s="12"/>
      <c r="U2184" s="12"/>
      <c r="V2184" s="12"/>
      <c r="W2184" s="12"/>
      <c r="X2184" s="12"/>
      <c r="Y2184" s="12"/>
      <c r="Z2184" s="12"/>
    </row>
    <row r="2185" spans="1:26" ht="15.75" customHeight="1" x14ac:dyDescent="0.3">
      <c r="A2185" s="3"/>
      <c r="B2185" s="167"/>
      <c r="C2185" s="94"/>
      <c r="D2185" s="12"/>
      <c r="E2185" s="167"/>
      <c r="F2185" s="12"/>
      <c r="G2185" s="331"/>
      <c r="H2185" s="474"/>
      <c r="I2185" s="475"/>
      <c r="J2185" s="476"/>
      <c r="K2185" s="5"/>
      <c r="L2185" s="3"/>
      <c r="M2185" s="6"/>
      <c r="N2185" s="9"/>
      <c r="O2185" s="9"/>
      <c r="P2185" s="12"/>
      <c r="Q2185" s="12"/>
      <c r="R2185" s="12"/>
      <c r="S2185" s="151"/>
      <c r="T2185" s="12"/>
      <c r="U2185" s="12"/>
      <c r="V2185" s="12"/>
      <c r="W2185" s="12"/>
      <c r="X2185" s="12"/>
      <c r="Y2185" s="12"/>
      <c r="Z2185" s="12"/>
    </row>
    <row r="2186" spans="1:26" ht="15.75" customHeight="1" x14ac:dyDescent="0.3">
      <c r="A2186" s="3"/>
      <c r="B2186" s="167"/>
      <c r="C2186" s="94"/>
      <c r="D2186" s="12"/>
      <c r="E2186" s="167"/>
      <c r="F2186" s="12"/>
      <c r="G2186" s="331"/>
      <c r="H2186" s="474"/>
      <c r="I2186" s="475"/>
      <c r="J2186" s="476"/>
      <c r="K2186" s="5"/>
      <c r="L2186" s="3"/>
      <c r="M2186" s="6"/>
      <c r="N2186" s="9"/>
      <c r="O2186" s="9"/>
      <c r="P2186" s="12"/>
      <c r="Q2186" s="12"/>
      <c r="R2186" s="12"/>
      <c r="S2186" s="151"/>
      <c r="T2186" s="12"/>
      <c r="U2186" s="12"/>
      <c r="V2186" s="12"/>
      <c r="W2186" s="12"/>
      <c r="X2186" s="12"/>
      <c r="Y2186" s="12"/>
      <c r="Z2186" s="12"/>
    </row>
    <row r="2187" spans="1:26" ht="15.75" customHeight="1" x14ac:dyDescent="0.3">
      <c r="A2187" s="3"/>
      <c r="B2187" s="167"/>
      <c r="C2187" s="94"/>
      <c r="D2187" s="12"/>
      <c r="E2187" s="167"/>
      <c r="F2187" s="12"/>
      <c r="G2187" s="331"/>
      <c r="H2187" s="474"/>
      <c r="I2187" s="475"/>
      <c r="J2187" s="476"/>
      <c r="K2187" s="5"/>
      <c r="L2187" s="3"/>
      <c r="M2187" s="6"/>
      <c r="N2187" s="9"/>
      <c r="O2187" s="9"/>
      <c r="P2187" s="12"/>
      <c r="Q2187" s="12"/>
      <c r="R2187" s="12"/>
      <c r="S2187" s="151"/>
      <c r="T2187" s="12"/>
      <c r="U2187" s="12"/>
      <c r="V2187" s="12"/>
      <c r="W2187" s="12"/>
      <c r="X2187" s="12"/>
      <c r="Y2187" s="12"/>
      <c r="Z2187" s="12"/>
    </row>
    <row r="2188" spans="1:26" ht="15.75" customHeight="1" x14ac:dyDescent="0.3">
      <c r="A2188" s="3"/>
      <c r="B2188" s="167"/>
      <c r="C2188" s="94"/>
      <c r="D2188" s="12"/>
      <c r="E2188" s="167"/>
      <c r="F2188" s="12"/>
      <c r="G2188" s="331"/>
      <c r="H2188" s="474"/>
      <c r="I2188" s="475"/>
      <c r="J2188" s="476"/>
      <c r="K2188" s="5"/>
      <c r="L2188" s="3"/>
      <c r="M2188" s="6"/>
      <c r="N2188" s="9"/>
      <c r="O2188" s="9"/>
      <c r="P2188" s="12"/>
      <c r="Q2188" s="12"/>
      <c r="R2188" s="12"/>
      <c r="S2188" s="151"/>
      <c r="T2188" s="12"/>
      <c r="U2188" s="12"/>
      <c r="V2188" s="12"/>
      <c r="W2188" s="12"/>
      <c r="X2188" s="12"/>
      <c r="Y2188" s="12"/>
      <c r="Z2188" s="12"/>
    </row>
    <row r="2189" spans="1:26" ht="15.75" customHeight="1" x14ac:dyDescent="0.3">
      <c r="A2189" s="3"/>
      <c r="B2189" s="167"/>
      <c r="C2189" s="94"/>
      <c r="D2189" s="12"/>
      <c r="E2189" s="167"/>
      <c r="F2189" s="12"/>
      <c r="G2189" s="331"/>
      <c r="H2189" s="474"/>
      <c r="I2189" s="475"/>
      <c r="J2189" s="476"/>
      <c r="K2189" s="5"/>
      <c r="L2189" s="3"/>
      <c r="M2189" s="6"/>
      <c r="N2189" s="9"/>
      <c r="O2189" s="9"/>
      <c r="P2189" s="12"/>
      <c r="Q2189" s="12"/>
      <c r="R2189" s="12"/>
      <c r="S2189" s="151"/>
      <c r="T2189" s="12"/>
      <c r="U2189" s="12"/>
      <c r="V2189" s="12"/>
      <c r="W2189" s="12"/>
      <c r="X2189" s="12"/>
      <c r="Y2189" s="12"/>
      <c r="Z2189" s="12"/>
    </row>
    <row r="2190" spans="1:26" ht="15.75" customHeight="1" x14ac:dyDescent="0.3">
      <c r="A2190" s="3"/>
      <c r="B2190" s="167"/>
      <c r="C2190" s="94"/>
      <c r="D2190" s="12"/>
      <c r="E2190" s="167"/>
      <c r="F2190" s="12"/>
      <c r="G2190" s="331"/>
      <c r="H2190" s="474"/>
      <c r="I2190" s="475"/>
      <c r="J2190" s="476"/>
      <c r="K2190" s="5"/>
      <c r="L2190" s="3"/>
      <c r="M2190" s="6"/>
      <c r="N2190" s="9"/>
      <c r="O2190" s="9"/>
      <c r="P2190" s="12"/>
      <c r="Q2190" s="12"/>
      <c r="R2190" s="12"/>
      <c r="S2190" s="151"/>
      <c r="T2190" s="12"/>
      <c r="U2190" s="12"/>
      <c r="V2190" s="12"/>
      <c r="W2190" s="12"/>
      <c r="X2190" s="12"/>
      <c r="Y2190" s="12"/>
      <c r="Z2190" s="12"/>
    </row>
    <row r="2191" spans="1:26" ht="15.75" customHeight="1" x14ac:dyDescent="0.3">
      <c r="A2191" s="3"/>
      <c r="B2191" s="167"/>
      <c r="C2191" s="94"/>
      <c r="D2191" s="12"/>
      <c r="E2191" s="167"/>
      <c r="F2191" s="12"/>
      <c r="G2191" s="331"/>
      <c r="H2191" s="474"/>
      <c r="I2191" s="475"/>
      <c r="J2191" s="476"/>
      <c r="K2191" s="5"/>
      <c r="L2191" s="3"/>
      <c r="M2191" s="6"/>
      <c r="N2191" s="9"/>
      <c r="O2191" s="9"/>
      <c r="P2191" s="12"/>
      <c r="Q2191" s="12"/>
      <c r="R2191" s="12"/>
      <c r="S2191" s="151"/>
      <c r="T2191" s="12"/>
      <c r="U2191" s="12"/>
      <c r="V2191" s="12"/>
      <c r="W2191" s="12"/>
      <c r="X2191" s="12"/>
      <c r="Y2191" s="12"/>
      <c r="Z2191" s="12"/>
    </row>
    <row r="2192" spans="1:26" ht="15.75" customHeight="1" x14ac:dyDescent="0.3">
      <c r="A2192" s="3"/>
      <c r="B2192" s="167"/>
      <c r="C2192" s="94"/>
      <c r="D2192" s="12"/>
      <c r="E2192" s="167"/>
      <c r="F2192" s="12"/>
      <c r="G2192" s="331"/>
      <c r="H2192" s="474"/>
      <c r="I2192" s="475"/>
      <c r="J2192" s="476"/>
      <c r="K2192" s="5"/>
      <c r="L2192" s="3"/>
      <c r="M2192" s="6"/>
      <c r="N2192" s="9"/>
      <c r="O2192" s="9"/>
      <c r="P2192" s="12"/>
      <c r="Q2192" s="12"/>
      <c r="R2192" s="12"/>
      <c r="S2192" s="151"/>
      <c r="T2192" s="12"/>
      <c r="U2192" s="12"/>
      <c r="V2192" s="12"/>
      <c r="W2192" s="12"/>
      <c r="X2192" s="12"/>
      <c r="Y2192" s="12"/>
      <c r="Z2192" s="12"/>
    </row>
    <row r="2193" spans="1:26" ht="15.75" customHeight="1" x14ac:dyDescent="0.3">
      <c r="A2193" s="3"/>
      <c r="B2193" s="167"/>
      <c r="C2193" s="94"/>
      <c r="D2193" s="12"/>
      <c r="E2193" s="167"/>
      <c r="F2193" s="12"/>
      <c r="G2193" s="331"/>
      <c r="H2193" s="474"/>
      <c r="I2193" s="475"/>
      <c r="J2193" s="476"/>
      <c r="K2193" s="5"/>
      <c r="L2193" s="3"/>
      <c r="M2193" s="6"/>
      <c r="N2193" s="9"/>
      <c r="O2193" s="9"/>
      <c r="P2193" s="12"/>
      <c r="Q2193" s="12"/>
      <c r="R2193" s="12"/>
      <c r="S2193" s="151"/>
      <c r="T2193" s="12"/>
      <c r="U2193" s="12"/>
      <c r="V2193" s="12"/>
      <c r="W2193" s="12"/>
      <c r="X2193" s="12"/>
      <c r="Y2193" s="12"/>
      <c r="Z2193" s="12"/>
    </row>
    <row r="2194" spans="1:26" ht="15.75" customHeight="1" x14ac:dyDescent="0.3">
      <c r="A2194" s="3"/>
      <c r="B2194" s="167"/>
      <c r="C2194" s="94"/>
      <c r="D2194" s="12"/>
      <c r="E2194" s="167"/>
      <c r="F2194" s="12"/>
      <c r="G2194" s="331"/>
      <c r="H2194" s="474"/>
      <c r="I2194" s="475"/>
      <c r="J2194" s="476"/>
      <c r="K2194" s="5"/>
      <c r="L2194" s="3"/>
      <c r="M2194" s="6"/>
      <c r="N2194" s="9"/>
      <c r="O2194" s="9"/>
      <c r="P2194" s="12"/>
      <c r="Q2194" s="12"/>
      <c r="R2194" s="12"/>
      <c r="S2194" s="151"/>
      <c r="T2194" s="12"/>
      <c r="U2194" s="12"/>
      <c r="V2194" s="12"/>
      <c r="W2194" s="12"/>
      <c r="X2194" s="12"/>
      <c r="Y2194" s="12"/>
      <c r="Z2194" s="12"/>
    </row>
    <row r="2195" spans="1:26" ht="15.75" customHeight="1" x14ac:dyDescent="0.3">
      <c r="A2195" s="3"/>
      <c r="B2195" s="167"/>
      <c r="C2195" s="94"/>
      <c r="D2195" s="12"/>
      <c r="E2195" s="167"/>
      <c r="F2195" s="12"/>
      <c r="G2195" s="331"/>
      <c r="H2195" s="474"/>
      <c r="I2195" s="475"/>
      <c r="J2195" s="476"/>
      <c r="K2195" s="5"/>
      <c r="L2195" s="3"/>
      <c r="M2195" s="6"/>
      <c r="N2195" s="9"/>
      <c r="O2195" s="9"/>
      <c r="P2195" s="12"/>
      <c r="Q2195" s="12"/>
      <c r="R2195" s="12"/>
      <c r="S2195" s="151"/>
      <c r="T2195" s="12"/>
      <c r="U2195" s="12"/>
      <c r="V2195" s="12"/>
      <c r="W2195" s="12"/>
      <c r="X2195" s="12"/>
      <c r="Y2195" s="12"/>
      <c r="Z2195" s="12"/>
    </row>
    <row r="2196" spans="1:26" ht="15.75" customHeight="1" x14ac:dyDescent="0.3">
      <c r="A2196" s="3"/>
      <c r="B2196" s="167"/>
      <c r="C2196" s="94"/>
      <c r="D2196" s="12"/>
      <c r="E2196" s="167"/>
      <c r="F2196" s="12"/>
      <c r="G2196" s="331"/>
      <c r="H2196" s="474"/>
      <c r="I2196" s="475"/>
      <c r="J2196" s="476"/>
      <c r="K2196" s="5"/>
      <c r="L2196" s="3"/>
      <c r="M2196" s="6"/>
      <c r="N2196" s="9"/>
      <c r="O2196" s="9"/>
      <c r="P2196" s="12"/>
      <c r="Q2196" s="12"/>
      <c r="R2196" s="12"/>
      <c r="S2196" s="151"/>
      <c r="T2196" s="12"/>
      <c r="U2196" s="12"/>
      <c r="V2196" s="12"/>
      <c r="W2196" s="12"/>
      <c r="X2196" s="12"/>
      <c r="Y2196" s="12"/>
      <c r="Z2196" s="12"/>
    </row>
    <row r="2197" spans="1:26" ht="15.75" customHeight="1" x14ac:dyDescent="0.3">
      <c r="A2197" s="3"/>
      <c r="B2197" s="167"/>
      <c r="C2197" s="94"/>
      <c r="D2197" s="12"/>
      <c r="E2197" s="167"/>
      <c r="F2197" s="12"/>
      <c r="G2197" s="331"/>
      <c r="H2197" s="474"/>
      <c r="I2197" s="475"/>
      <c r="J2197" s="476"/>
      <c r="K2197" s="5"/>
      <c r="L2197" s="3"/>
      <c r="M2197" s="6"/>
      <c r="N2197" s="9"/>
      <c r="O2197" s="9"/>
      <c r="P2197" s="12"/>
      <c r="Q2197" s="12"/>
      <c r="R2197" s="12"/>
      <c r="S2197" s="151"/>
      <c r="T2197" s="12"/>
      <c r="U2197" s="12"/>
      <c r="V2197" s="12"/>
      <c r="W2197" s="12"/>
      <c r="X2197" s="12"/>
      <c r="Y2197" s="12"/>
      <c r="Z2197" s="12"/>
    </row>
    <row r="2198" spans="1:26" ht="15.75" customHeight="1" x14ac:dyDescent="0.3">
      <c r="A2198" s="3"/>
      <c r="B2198" s="167"/>
      <c r="C2198" s="94"/>
      <c r="D2198" s="12"/>
      <c r="E2198" s="167"/>
      <c r="F2198" s="12"/>
      <c r="G2198" s="331"/>
      <c r="H2198" s="474"/>
      <c r="I2198" s="475"/>
      <c r="J2198" s="476"/>
      <c r="K2198" s="5"/>
      <c r="L2198" s="3"/>
      <c r="M2198" s="6"/>
      <c r="N2198" s="9"/>
      <c r="O2198" s="9"/>
      <c r="P2198" s="12"/>
      <c r="Q2198" s="12"/>
      <c r="R2198" s="12"/>
      <c r="S2198" s="151"/>
      <c r="T2198" s="12"/>
      <c r="U2198" s="12"/>
      <c r="V2198" s="12"/>
      <c r="W2198" s="12"/>
      <c r="X2198" s="12"/>
      <c r="Y2198" s="12"/>
      <c r="Z2198" s="12"/>
    </row>
    <row r="2199" spans="1:26" ht="15.75" customHeight="1" x14ac:dyDescent="0.3">
      <c r="A2199" s="3"/>
      <c r="B2199" s="167"/>
      <c r="C2199" s="94"/>
      <c r="D2199" s="12"/>
      <c r="E2199" s="167"/>
      <c r="F2199" s="12"/>
      <c r="G2199" s="331"/>
      <c r="H2199" s="474"/>
      <c r="I2199" s="475"/>
      <c r="J2199" s="476"/>
      <c r="K2199" s="5"/>
      <c r="L2199" s="3"/>
      <c r="M2199" s="6"/>
      <c r="N2199" s="9"/>
      <c r="O2199" s="9"/>
      <c r="P2199" s="12"/>
      <c r="Q2199" s="12"/>
      <c r="R2199" s="12"/>
      <c r="S2199" s="151"/>
      <c r="T2199" s="12"/>
      <c r="U2199" s="12"/>
      <c r="V2199" s="12"/>
      <c r="W2199" s="12"/>
      <c r="X2199" s="12"/>
      <c r="Y2199" s="12"/>
      <c r="Z2199" s="12"/>
    </row>
    <row r="2200" spans="1:26" ht="15.75" customHeight="1" x14ac:dyDescent="0.3">
      <c r="A2200" s="3"/>
      <c r="B2200" s="167"/>
      <c r="C2200" s="94"/>
      <c r="D2200" s="12"/>
      <c r="E2200" s="167"/>
      <c r="F2200" s="12"/>
      <c r="G2200" s="331"/>
      <c r="H2200" s="474"/>
      <c r="I2200" s="475"/>
      <c r="J2200" s="476"/>
      <c r="K2200" s="5"/>
      <c r="L2200" s="3"/>
      <c r="M2200" s="6"/>
      <c r="N2200" s="9"/>
      <c r="O2200" s="9"/>
      <c r="P2200" s="12"/>
      <c r="Q2200" s="12"/>
      <c r="R2200" s="12"/>
      <c r="S2200" s="151"/>
      <c r="T2200" s="12"/>
      <c r="U2200" s="12"/>
      <c r="V2200" s="12"/>
      <c r="W2200" s="12"/>
      <c r="X2200" s="12"/>
      <c r="Y2200" s="12"/>
      <c r="Z2200" s="12"/>
    </row>
    <row r="2201" spans="1:26" ht="15.75" customHeight="1" x14ac:dyDescent="0.3">
      <c r="A2201" s="3"/>
      <c r="B2201" s="167"/>
      <c r="C2201" s="94"/>
      <c r="D2201" s="12"/>
      <c r="E2201" s="167"/>
      <c r="F2201" s="12"/>
      <c r="G2201" s="331"/>
      <c r="H2201" s="474"/>
      <c r="I2201" s="475"/>
      <c r="J2201" s="476"/>
      <c r="K2201" s="5"/>
      <c r="L2201" s="3"/>
      <c r="M2201" s="6"/>
      <c r="N2201" s="9"/>
      <c r="O2201" s="9"/>
      <c r="P2201" s="12"/>
      <c r="Q2201" s="12"/>
      <c r="R2201" s="12"/>
      <c r="S2201" s="151"/>
      <c r="T2201" s="12"/>
      <c r="U2201" s="12"/>
      <c r="V2201" s="12"/>
      <c r="W2201" s="12"/>
      <c r="X2201" s="12"/>
      <c r="Y2201" s="12"/>
      <c r="Z2201" s="12"/>
    </row>
    <row r="2202" spans="1:26" ht="15.75" customHeight="1" x14ac:dyDescent="0.3">
      <c r="A2202" s="3"/>
      <c r="B2202" s="167"/>
      <c r="C2202" s="94"/>
      <c r="D2202" s="12"/>
      <c r="E2202" s="167"/>
      <c r="F2202" s="12"/>
      <c r="G2202" s="331"/>
      <c r="H2202" s="474"/>
      <c r="I2202" s="475"/>
      <c r="J2202" s="476"/>
      <c r="K2202" s="5"/>
      <c r="L2202" s="3"/>
      <c r="M2202" s="6"/>
      <c r="N2202" s="9"/>
      <c r="O2202" s="9"/>
      <c r="P2202" s="12"/>
      <c r="Q2202" s="12"/>
      <c r="R2202" s="12"/>
      <c r="S2202" s="151"/>
      <c r="T2202" s="12"/>
      <c r="U2202" s="12"/>
      <c r="V2202" s="12"/>
      <c r="W2202" s="12"/>
      <c r="X2202" s="12"/>
      <c r="Y2202" s="12"/>
      <c r="Z2202" s="12"/>
    </row>
    <row r="2203" spans="1:26" ht="15.75" customHeight="1" x14ac:dyDescent="0.3">
      <c r="A2203" s="3"/>
      <c r="B2203" s="167"/>
      <c r="C2203" s="94"/>
      <c r="D2203" s="12"/>
      <c r="E2203" s="167"/>
      <c r="F2203" s="12"/>
      <c r="G2203" s="331"/>
      <c r="H2203" s="474"/>
      <c r="I2203" s="475"/>
      <c r="J2203" s="476"/>
      <c r="K2203" s="5"/>
      <c r="L2203" s="3"/>
      <c r="M2203" s="6"/>
      <c r="N2203" s="9"/>
      <c r="O2203" s="9"/>
      <c r="P2203" s="12"/>
      <c r="Q2203" s="12"/>
      <c r="R2203" s="12"/>
      <c r="S2203" s="151"/>
      <c r="T2203" s="12"/>
      <c r="U2203" s="12"/>
      <c r="V2203" s="12"/>
      <c r="W2203" s="12"/>
      <c r="X2203" s="12"/>
      <c r="Y2203" s="12"/>
      <c r="Z2203" s="12"/>
    </row>
    <row r="2204" spans="1:26" ht="15.75" customHeight="1" x14ac:dyDescent="0.3">
      <c r="A2204" s="3"/>
      <c r="B2204" s="167"/>
      <c r="C2204" s="94"/>
      <c r="D2204" s="12"/>
      <c r="E2204" s="167"/>
      <c r="F2204" s="12"/>
      <c r="G2204" s="331"/>
      <c r="H2204" s="474"/>
      <c r="I2204" s="475"/>
      <c r="J2204" s="476"/>
      <c r="K2204" s="5"/>
      <c r="L2204" s="3"/>
      <c r="M2204" s="6"/>
      <c r="N2204" s="9"/>
      <c r="O2204" s="9"/>
      <c r="P2204" s="12"/>
      <c r="Q2204" s="12"/>
      <c r="R2204" s="12"/>
      <c r="S2204" s="151"/>
      <c r="T2204" s="12"/>
      <c r="U2204" s="12"/>
      <c r="V2204" s="12"/>
      <c r="W2204" s="12"/>
      <c r="X2204" s="12"/>
      <c r="Y2204" s="12"/>
      <c r="Z2204" s="12"/>
    </row>
    <row r="2205" spans="1:26" ht="15.75" customHeight="1" x14ac:dyDescent="0.3">
      <c r="A2205" s="3"/>
      <c r="B2205" s="167"/>
      <c r="C2205" s="94"/>
      <c r="D2205" s="12"/>
      <c r="E2205" s="167"/>
      <c r="F2205" s="12"/>
      <c r="G2205" s="331"/>
      <c r="H2205" s="474"/>
      <c r="I2205" s="475"/>
      <c r="J2205" s="476"/>
      <c r="K2205" s="5"/>
      <c r="L2205" s="3"/>
      <c r="M2205" s="6"/>
      <c r="N2205" s="9"/>
      <c r="O2205" s="9"/>
      <c r="P2205" s="12"/>
      <c r="Q2205" s="12"/>
      <c r="R2205" s="12"/>
      <c r="S2205" s="151"/>
      <c r="T2205" s="12"/>
      <c r="U2205" s="12"/>
      <c r="V2205" s="12"/>
      <c r="W2205" s="12"/>
      <c r="X2205" s="12"/>
      <c r="Y2205" s="12"/>
      <c r="Z2205" s="12"/>
    </row>
    <row r="2206" spans="1:26" ht="15.75" customHeight="1" x14ac:dyDescent="0.3">
      <c r="A2206" s="3"/>
      <c r="B2206" s="167"/>
      <c r="C2206" s="94"/>
      <c r="D2206" s="12"/>
      <c r="E2206" s="167"/>
      <c r="F2206" s="12"/>
      <c r="G2206" s="331"/>
      <c r="H2206" s="474"/>
      <c r="I2206" s="475"/>
      <c r="J2206" s="476"/>
      <c r="K2206" s="5"/>
      <c r="L2206" s="3"/>
      <c r="M2206" s="6"/>
      <c r="N2206" s="9"/>
      <c r="O2206" s="9"/>
      <c r="P2206" s="12"/>
      <c r="Q2206" s="12"/>
      <c r="R2206" s="12"/>
      <c r="S2206" s="151"/>
      <c r="T2206" s="12"/>
      <c r="U2206" s="12"/>
      <c r="V2206" s="12"/>
      <c r="W2206" s="12"/>
      <c r="X2206" s="12"/>
      <c r="Y2206" s="12"/>
      <c r="Z2206" s="12"/>
    </row>
    <row r="2207" spans="1:26" ht="15.75" customHeight="1" x14ac:dyDescent="0.3">
      <c r="A2207" s="3"/>
      <c r="B2207" s="167"/>
      <c r="C2207" s="94"/>
      <c r="D2207" s="12"/>
      <c r="E2207" s="167"/>
      <c r="F2207" s="12"/>
      <c r="G2207" s="331"/>
      <c r="H2207" s="474"/>
      <c r="I2207" s="475"/>
      <c r="J2207" s="476"/>
      <c r="K2207" s="5"/>
      <c r="L2207" s="3"/>
      <c r="M2207" s="6"/>
      <c r="N2207" s="9"/>
      <c r="O2207" s="9"/>
      <c r="P2207" s="12"/>
      <c r="Q2207" s="12"/>
      <c r="R2207" s="12"/>
      <c r="S2207" s="151"/>
      <c r="T2207" s="12"/>
      <c r="U2207" s="12"/>
      <c r="V2207" s="12"/>
      <c r="W2207" s="12"/>
      <c r="X2207" s="12"/>
      <c r="Y2207" s="12"/>
      <c r="Z2207" s="12"/>
    </row>
    <row r="2208" spans="1:26" ht="15.75" customHeight="1" x14ac:dyDescent="0.3">
      <c r="A2208" s="3"/>
      <c r="B2208" s="167"/>
      <c r="C2208" s="94"/>
      <c r="D2208" s="12"/>
      <c r="E2208" s="167"/>
      <c r="F2208" s="12"/>
      <c r="G2208" s="331"/>
      <c r="H2208" s="474"/>
      <c r="I2208" s="475"/>
      <c r="J2208" s="476"/>
      <c r="K2208" s="5"/>
      <c r="L2208" s="3"/>
      <c r="M2208" s="6"/>
      <c r="N2208" s="9"/>
      <c r="O2208" s="9"/>
      <c r="P2208" s="12"/>
      <c r="Q2208" s="12"/>
      <c r="R2208" s="12"/>
      <c r="S2208" s="151"/>
      <c r="T2208" s="12"/>
      <c r="U2208" s="12"/>
      <c r="V2208" s="12"/>
      <c r="W2208" s="12"/>
      <c r="X2208" s="12"/>
      <c r="Y2208" s="12"/>
      <c r="Z2208" s="12"/>
    </row>
    <row r="2209" spans="1:26" ht="15.75" customHeight="1" x14ac:dyDescent="0.3">
      <c r="A2209" s="3"/>
      <c r="B2209" s="167"/>
      <c r="C2209" s="94"/>
      <c r="D2209" s="12"/>
      <c r="E2209" s="167"/>
      <c r="F2209" s="12"/>
      <c r="G2209" s="331"/>
      <c r="H2209" s="474"/>
      <c r="I2209" s="475"/>
      <c r="J2209" s="476"/>
      <c r="K2209" s="5"/>
      <c r="L2209" s="3"/>
      <c r="M2209" s="6"/>
      <c r="N2209" s="9"/>
      <c r="O2209" s="9"/>
      <c r="P2209" s="12"/>
      <c r="Q2209" s="12"/>
      <c r="R2209" s="12"/>
      <c r="S2209" s="151"/>
      <c r="T2209" s="12"/>
      <c r="U2209" s="12"/>
      <c r="V2209" s="12"/>
      <c r="W2209" s="12"/>
      <c r="X2209" s="12"/>
      <c r="Y2209" s="12"/>
      <c r="Z2209" s="12"/>
    </row>
    <row r="2210" spans="1:26" ht="15.75" customHeight="1" x14ac:dyDescent="0.3">
      <c r="A2210" s="3"/>
      <c r="B2210" s="167"/>
      <c r="C2210" s="94"/>
      <c r="D2210" s="12"/>
      <c r="E2210" s="167"/>
      <c r="F2210" s="12"/>
      <c r="G2210" s="331"/>
      <c r="H2210" s="474"/>
      <c r="I2210" s="475"/>
      <c r="J2210" s="476"/>
      <c r="K2210" s="5"/>
      <c r="L2210" s="3"/>
      <c r="M2210" s="6"/>
      <c r="N2210" s="9"/>
      <c r="O2210" s="9"/>
      <c r="P2210" s="12"/>
      <c r="Q2210" s="12"/>
      <c r="R2210" s="12"/>
      <c r="S2210" s="151"/>
      <c r="T2210" s="12"/>
      <c r="U2210" s="12"/>
      <c r="V2210" s="12"/>
      <c r="W2210" s="12"/>
      <c r="X2210" s="12"/>
      <c r="Y2210" s="12"/>
      <c r="Z2210" s="12"/>
    </row>
    <row r="2211" spans="1:26" ht="15.75" customHeight="1" x14ac:dyDescent="0.3">
      <c r="A2211" s="3"/>
      <c r="B2211" s="167"/>
      <c r="C2211" s="94"/>
      <c r="D2211" s="12"/>
      <c r="E2211" s="167"/>
      <c r="F2211" s="12"/>
      <c r="G2211" s="331"/>
      <c r="H2211" s="474"/>
      <c r="I2211" s="475"/>
      <c r="J2211" s="476"/>
      <c r="K2211" s="5"/>
      <c r="L2211" s="3"/>
      <c r="M2211" s="6"/>
      <c r="N2211" s="9"/>
      <c r="O2211" s="9"/>
      <c r="P2211" s="12"/>
      <c r="Q2211" s="12"/>
      <c r="R2211" s="12"/>
      <c r="S2211" s="151"/>
      <c r="T2211" s="12"/>
      <c r="U2211" s="12"/>
      <c r="V2211" s="12"/>
      <c r="W2211" s="12"/>
      <c r="X2211" s="12"/>
      <c r="Y2211" s="12"/>
      <c r="Z2211" s="12"/>
    </row>
    <row r="2212" spans="1:26" ht="15.75" customHeight="1" x14ac:dyDescent="0.3">
      <c r="A2212" s="3"/>
      <c r="B2212" s="167"/>
      <c r="C2212" s="94"/>
      <c r="D2212" s="12"/>
      <c r="E2212" s="167"/>
      <c r="F2212" s="12"/>
      <c r="G2212" s="331"/>
      <c r="H2212" s="474"/>
      <c r="I2212" s="475"/>
      <c r="J2212" s="476"/>
      <c r="K2212" s="5"/>
      <c r="L2212" s="3"/>
      <c r="M2212" s="6"/>
      <c r="N2212" s="9"/>
      <c r="O2212" s="9"/>
      <c r="P2212" s="12"/>
      <c r="Q2212" s="12"/>
      <c r="R2212" s="12"/>
      <c r="S2212" s="151"/>
      <c r="T2212" s="12"/>
      <c r="U2212" s="12"/>
      <c r="V2212" s="12"/>
      <c r="W2212" s="12"/>
      <c r="X2212" s="12"/>
      <c r="Y2212" s="12"/>
      <c r="Z2212" s="12"/>
    </row>
    <row r="2213" spans="1:26" ht="15.75" customHeight="1" x14ac:dyDescent="0.3">
      <c r="A2213" s="3"/>
      <c r="B2213" s="167"/>
      <c r="C2213" s="94"/>
      <c r="D2213" s="12"/>
      <c r="E2213" s="167"/>
      <c r="F2213" s="12"/>
      <c r="G2213" s="331"/>
      <c r="H2213" s="474"/>
      <c r="I2213" s="475"/>
      <c r="J2213" s="476"/>
      <c r="K2213" s="5"/>
      <c r="L2213" s="3"/>
      <c r="M2213" s="6"/>
      <c r="N2213" s="9"/>
      <c r="O2213" s="9"/>
      <c r="P2213" s="12"/>
      <c r="Q2213" s="12"/>
      <c r="R2213" s="12"/>
      <c r="S2213" s="151"/>
      <c r="T2213" s="12"/>
      <c r="U2213" s="12"/>
      <c r="V2213" s="12"/>
      <c r="W2213" s="12"/>
      <c r="X2213" s="12"/>
      <c r="Y2213" s="12"/>
      <c r="Z2213" s="12"/>
    </row>
    <row r="2214" spans="1:26" ht="15.75" customHeight="1" x14ac:dyDescent="0.3">
      <c r="A2214" s="3"/>
      <c r="B2214" s="167"/>
      <c r="C2214" s="94"/>
      <c r="D2214" s="12"/>
      <c r="E2214" s="167"/>
      <c r="F2214" s="12"/>
      <c r="G2214" s="331"/>
      <c r="H2214" s="474"/>
      <c r="I2214" s="475"/>
      <c r="J2214" s="476"/>
      <c r="K2214" s="5"/>
      <c r="L2214" s="3"/>
      <c r="M2214" s="6"/>
      <c r="N2214" s="9"/>
      <c r="O2214" s="9"/>
      <c r="P2214" s="12"/>
      <c r="Q2214" s="12"/>
      <c r="R2214" s="12"/>
      <c r="S2214" s="151"/>
      <c r="T2214" s="12"/>
      <c r="U2214" s="12"/>
      <c r="V2214" s="12"/>
      <c r="W2214" s="12"/>
      <c r="X2214" s="12"/>
      <c r="Y2214" s="12"/>
      <c r="Z2214" s="12"/>
    </row>
    <row r="2215" spans="1:26" ht="15.75" customHeight="1" x14ac:dyDescent="0.3">
      <c r="A2215" s="3"/>
      <c r="B2215" s="167"/>
      <c r="C2215" s="94"/>
      <c r="D2215" s="12"/>
      <c r="E2215" s="167"/>
      <c r="F2215" s="12"/>
      <c r="G2215" s="331"/>
      <c r="H2215" s="474"/>
      <c r="I2215" s="475"/>
      <c r="J2215" s="476"/>
      <c r="K2215" s="5"/>
      <c r="L2215" s="3"/>
      <c r="M2215" s="6"/>
      <c r="N2215" s="9"/>
      <c r="O2215" s="9"/>
      <c r="P2215" s="12"/>
      <c r="Q2215" s="12"/>
      <c r="R2215" s="12"/>
      <c r="S2215" s="151"/>
      <c r="T2215" s="12"/>
      <c r="U2215" s="12"/>
      <c r="V2215" s="12"/>
      <c r="W2215" s="12"/>
      <c r="X2215" s="12"/>
      <c r="Y2215" s="12"/>
      <c r="Z2215" s="12"/>
    </row>
    <row r="2216" spans="1:26" ht="15.75" customHeight="1" x14ac:dyDescent="0.3">
      <c r="A2216" s="3"/>
      <c r="B2216" s="167"/>
      <c r="C2216" s="94"/>
      <c r="D2216" s="12"/>
      <c r="E2216" s="167"/>
      <c r="F2216" s="12"/>
      <c r="G2216" s="331"/>
      <c r="H2216" s="474"/>
      <c r="I2216" s="475"/>
      <c r="J2216" s="476"/>
      <c r="K2216" s="5"/>
      <c r="L2216" s="3"/>
      <c r="M2216" s="6"/>
      <c r="N2216" s="9"/>
      <c r="O2216" s="9"/>
      <c r="P2216" s="12"/>
      <c r="Q2216" s="12"/>
      <c r="R2216" s="12"/>
      <c r="S2216" s="151"/>
      <c r="T2216" s="12"/>
      <c r="U2216" s="12"/>
      <c r="V2216" s="12"/>
      <c r="W2216" s="12"/>
      <c r="X2216" s="12"/>
      <c r="Y2216" s="12"/>
      <c r="Z2216" s="12"/>
    </row>
    <row r="2217" spans="1:26" ht="15.75" customHeight="1" x14ac:dyDescent="0.3">
      <c r="A2217" s="3"/>
      <c r="B2217" s="167"/>
      <c r="C2217" s="94"/>
      <c r="D2217" s="12"/>
      <c r="E2217" s="167"/>
      <c r="F2217" s="12"/>
      <c r="G2217" s="331"/>
      <c r="H2217" s="474"/>
      <c r="I2217" s="475"/>
      <c r="J2217" s="476"/>
      <c r="K2217" s="5"/>
      <c r="L2217" s="3"/>
      <c r="M2217" s="6"/>
      <c r="N2217" s="9"/>
      <c r="O2217" s="9"/>
      <c r="P2217" s="12"/>
      <c r="Q2217" s="12"/>
      <c r="R2217" s="12"/>
      <c r="S2217" s="151"/>
      <c r="T2217" s="12"/>
      <c r="U2217" s="12"/>
      <c r="V2217" s="12"/>
      <c r="W2217" s="12"/>
      <c r="X2217" s="12"/>
      <c r="Y2217" s="12"/>
      <c r="Z2217" s="12"/>
    </row>
    <row r="2218" spans="1:26" ht="15.75" customHeight="1" x14ac:dyDescent="0.3">
      <c r="A2218" s="3"/>
      <c r="B2218" s="167"/>
      <c r="C2218" s="94"/>
      <c r="D2218" s="12"/>
      <c r="E2218" s="167"/>
      <c r="F2218" s="12"/>
      <c r="G2218" s="331"/>
      <c r="H2218" s="474"/>
      <c r="I2218" s="475"/>
      <c r="J2218" s="476"/>
      <c r="K2218" s="5"/>
      <c r="L2218" s="3"/>
      <c r="M2218" s="6"/>
      <c r="N2218" s="9"/>
      <c r="O2218" s="9"/>
      <c r="P2218" s="12"/>
      <c r="Q2218" s="12"/>
      <c r="R2218" s="12"/>
      <c r="S2218" s="151"/>
      <c r="T2218" s="12"/>
      <c r="U2218" s="12"/>
      <c r="V2218" s="12"/>
      <c r="W2218" s="12"/>
      <c r="X2218" s="12"/>
      <c r="Y2218" s="12"/>
      <c r="Z2218" s="12"/>
    </row>
    <row r="2219" spans="1:26" ht="15.75" customHeight="1" x14ac:dyDescent="0.3">
      <c r="A2219" s="3"/>
      <c r="B2219" s="167"/>
      <c r="C2219" s="94"/>
      <c r="D2219" s="12"/>
      <c r="E2219" s="167"/>
      <c r="F2219" s="12"/>
      <c r="G2219" s="331"/>
      <c r="H2219" s="474"/>
      <c r="I2219" s="475"/>
      <c r="J2219" s="476"/>
      <c r="K2219" s="5"/>
      <c r="L2219" s="3"/>
      <c r="M2219" s="6"/>
      <c r="N2219" s="9"/>
      <c r="O2219" s="9"/>
      <c r="P2219" s="12"/>
      <c r="Q2219" s="12"/>
      <c r="R2219" s="12"/>
      <c r="S2219" s="151"/>
      <c r="T2219" s="12"/>
      <c r="U2219" s="12"/>
      <c r="V2219" s="12"/>
      <c r="W2219" s="12"/>
      <c r="X2219" s="12"/>
      <c r="Y2219" s="12"/>
      <c r="Z2219" s="12"/>
    </row>
    <row r="2220" spans="1:26" ht="15.75" customHeight="1" x14ac:dyDescent="0.3">
      <c r="A2220" s="3"/>
      <c r="B2220" s="167"/>
      <c r="C2220" s="94"/>
      <c r="D2220" s="12"/>
      <c r="E2220" s="167"/>
      <c r="F2220" s="12"/>
      <c r="G2220" s="331"/>
      <c r="H2220" s="474"/>
      <c r="I2220" s="475"/>
      <c r="J2220" s="476"/>
      <c r="K2220" s="5"/>
      <c r="L2220" s="3"/>
      <c r="M2220" s="6"/>
      <c r="N2220" s="9"/>
      <c r="O2220" s="9"/>
      <c r="P2220" s="12"/>
      <c r="Q2220" s="12"/>
      <c r="R2220" s="12"/>
      <c r="S2220" s="151"/>
      <c r="T2220" s="12"/>
      <c r="U2220" s="12"/>
      <c r="V2220" s="12"/>
      <c r="W2220" s="12"/>
      <c r="X2220" s="12"/>
      <c r="Y2220" s="12"/>
      <c r="Z2220" s="12"/>
    </row>
    <row r="2221" spans="1:26" ht="15.75" customHeight="1" x14ac:dyDescent="0.3">
      <c r="A2221" s="3"/>
      <c r="B2221" s="167"/>
      <c r="C2221" s="94"/>
      <c r="D2221" s="12"/>
      <c r="E2221" s="167"/>
      <c r="F2221" s="12"/>
      <c r="G2221" s="331"/>
      <c r="H2221" s="474"/>
      <c r="I2221" s="475"/>
      <c r="J2221" s="476"/>
      <c r="K2221" s="5"/>
      <c r="L2221" s="3"/>
      <c r="M2221" s="6"/>
      <c r="N2221" s="9"/>
      <c r="O2221" s="9"/>
      <c r="P2221" s="12"/>
      <c r="Q2221" s="12"/>
      <c r="R2221" s="12"/>
      <c r="S2221" s="151"/>
      <c r="T2221" s="12"/>
      <c r="U2221" s="12"/>
      <c r="V2221" s="12"/>
      <c r="W2221" s="12"/>
      <c r="X2221" s="12"/>
      <c r="Y2221" s="12"/>
      <c r="Z2221" s="12"/>
    </row>
    <row r="2222" spans="1:26" ht="15.75" customHeight="1" x14ac:dyDescent="0.3">
      <c r="A2222" s="3"/>
      <c r="B2222" s="167"/>
      <c r="C2222" s="94"/>
      <c r="D2222" s="12"/>
      <c r="E2222" s="167"/>
      <c r="F2222" s="12"/>
      <c r="G2222" s="331"/>
      <c r="H2222" s="474"/>
      <c r="I2222" s="475"/>
      <c r="J2222" s="476"/>
      <c r="K2222" s="5"/>
      <c r="L2222" s="3"/>
      <c r="M2222" s="6"/>
      <c r="N2222" s="9"/>
      <c r="O2222" s="9"/>
      <c r="P2222" s="12"/>
      <c r="Q2222" s="12"/>
      <c r="R2222" s="12"/>
      <c r="S2222" s="151"/>
      <c r="T2222" s="12"/>
      <c r="U2222" s="12"/>
      <c r="V2222" s="12"/>
      <c r="W2222" s="12"/>
      <c r="X2222" s="12"/>
      <c r="Y2222" s="12"/>
      <c r="Z2222" s="12"/>
    </row>
    <row r="2223" spans="1:26" ht="15.75" customHeight="1" x14ac:dyDescent="0.3">
      <c r="A2223" s="3"/>
      <c r="B2223" s="167"/>
      <c r="C2223" s="94"/>
      <c r="D2223" s="12"/>
      <c r="E2223" s="167"/>
      <c r="F2223" s="12"/>
      <c r="G2223" s="331"/>
      <c r="H2223" s="474"/>
      <c r="I2223" s="475"/>
      <c r="J2223" s="476"/>
      <c r="K2223" s="5"/>
      <c r="L2223" s="3"/>
      <c r="M2223" s="6"/>
      <c r="N2223" s="9"/>
      <c r="O2223" s="9"/>
      <c r="P2223" s="12"/>
      <c r="Q2223" s="12"/>
      <c r="R2223" s="12"/>
      <c r="S2223" s="151"/>
      <c r="T2223" s="12"/>
      <c r="U2223" s="12"/>
      <c r="V2223" s="12"/>
      <c r="W2223" s="12"/>
      <c r="X2223" s="12"/>
      <c r="Y2223" s="12"/>
      <c r="Z2223" s="12"/>
    </row>
    <row r="2224" spans="1:26" ht="15.75" customHeight="1" x14ac:dyDescent="0.3">
      <c r="A2224" s="3"/>
      <c r="B2224" s="167"/>
      <c r="C2224" s="94"/>
      <c r="D2224" s="12"/>
      <c r="E2224" s="167"/>
      <c r="F2224" s="12"/>
      <c r="G2224" s="331"/>
      <c r="H2224" s="474"/>
      <c r="I2224" s="475"/>
      <c r="J2224" s="476"/>
      <c r="K2224" s="5"/>
      <c r="L2224" s="3"/>
      <c r="M2224" s="6"/>
      <c r="N2224" s="9"/>
      <c r="O2224" s="9"/>
      <c r="P2224" s="12"/>
      <c r="Q2224" s="12"/>
      <c r="R2224" s="12"/>
      <c r="S2224" s="151"/>
      <c r="T2224" s="12"/>
      <c r="U2224" s="12"/>
      <c r="V2224" s="12"/>
      <c r="W2224" s="12"/>
      <c r="X2224" s="12"/>
      <c r="Y2224" s="12"/>
      <c r="Z2224" s="12"/>
    </row>
    <row r="2225" spans="1:26" ht="15.75" customHeight="1" x14ac:dyDescent="0.3">
      <c r="A2225" s="3"/>
      <c r="B2225" s="167"/>
      <c r="C2225" s="94"/>
      <c r="D2225" s="12"/>
      <c r="E2225" s="167"/>
      <c r="F2225" s="12"/>
      <c r="G2225" s="331"/>
      <c r="H2225" s="474"/>
      <c r="I2225" s="475"/>
      <c r="J2225" s="476"/>
      <c r="K2225" s="5"/>
      <c r="L2225" s="3"/>
      <c r="M2225" s="6"/>
      <c r="N2225" s="9"/>
      <c r="O2225" s="9"/>
      <c r="P2225" s="12"/>
      <c r="Q2225" s="12"/>
      <c r="R2225" s="12"/>
      <c r="S2225" s="151"/>
      <c r="T2225" s="12"/>
      <c r="U2225" s="12"/>
      <c r="V2225" s="12"/>
      <c r="W2225" s="12"/>
      <c r="X2225" s="12"/>
      <c r="Y2225" s="12"/>
      <c r="Z2225" s="12"/>
    </row>
    <row r="2226" spans="1:26" ht="15.75" customHeight="1" x14ac:dyDescent="0.3">
      <c r="A2226" s="3"/>
      <c r="B2226" s="167"/>
      <c r="C2226" s="94"/>
      <c r="D2226" s="12"/>
      <c r="E2226" s="167"/>
      <c r="F2226" s="12"/>
      <c r="G2226" s="331"/>
      <c r="H2226" s="474"/>
      <c r="I2226" s="475"/>
      <c r="J2226" s="476"/>
      <c r="K2226" s="5"/>
      <c r="L2226" s="3"/>
      <c r="M2226" s="6"/>
      <c r="N2226" s="9"/>
      <c r="O2226" s="9"/>
      <c r="P2226" s="12"/>
      <c r="Q2226" s="12"/>
      <c r="R2226" s="12"/>
      <c r="S2226" s="151"/>
      <c r="T2226" s="12"/>
      <c r="U2226" s="12"/>
      <c r="V2226" s="12"/>
      <c r="W2226" s="12"/>
      <c r="X2226" s="12"/>
      <c r="Y2226" s="12"/>
      <c r="Z2226" s="12"/>
    </row>
    <row r="2227" spans="1:26" ht="15.75" customHeight="1" x14ac:dyDescent="0.3">
      <c r="A2227" s="3"/>
      <c r="B2227" s="167"/>
      <c r="C2227" s="94"/>
      <c r="D2227" s="12"/>
      <c r="E2227" s="167"/>
      <c r="F2227" s="12"/>
      <c r="G2227" s="331"/>
      <c r="H2227" s="474"/>
      <c r="I2227" s="475"/>
      <c r="J2227" s="476"/>
      <c r="K2227" s="5"/>
      <c r="L2227" s="3"/>
      <c r="M2227" s="6"/>
      <c r="N2227" s="9"/>
      <c r="O2227" s="9"/>
      <c r="P2227" s="12"/>
      <c r="Q2227" s="12"/>
      <c r="R2227" s="12"/>
      <c r="S2227" s="151"/>
      <c r="T2227" s="12"/>
      <c r="U2227" s="12"/>
      <c r="V2227" s="12"/>
      <c r="W2227" s="12"/>
      <c r="X2227" s="12"/>
      <c r="Y2227" s="12"/>
      <c r="Z2227" s="12"/>
    </row>
    <row r="2228" spans="1:26" ht="15.75" customHeight="1" x14ac:dyDescent="0.3">
      <c r="A2228" s="3"/>
      <c r="B2228" s="167"/>
      <c r="C2228" s="94"/>
      <c r="D2228" s="12"/>
      <c r="E2228" s="167"/>
      <c r="F2228" s="12"/>
      <c r="G2228" s="331"/>
      <c r="H2228" s="474"/>
      <c r="I2228" s="475"/>
      <c r="J2228" s="476"/>
      <c r="K2228" s="5"/>
      <c r="L2228" s="3"/>
      <c r="M2228" s="6"/>
      <c r="N2228" s="9"/>
      <c r="O2228" s="9"/>
      <c r="P2228" s="12"/>
      <c r="Q2228" s="12"/>
      <c r="R2228" s="12"/>
      <c r="S2228" s="151"/>
      <c r="T2228" s="12"/>
      <c r="U2228" s="12"/>
      <c r="V2228" s="12"/>
      <c r="W2228" s="12"/>
      <c r="X2228" s="12"/>
      <c r="Y2228" s="12"/>
      <c r="Z2228" s="12"/>
    </row>
    <row r="2229" spans="1:26" ht="15.75" customHeight="1" x14ac:dyDescent="0.3">
      <c r="A2229" s="3"/>
      <c r="B2229" s="167"/>
      <c r="C2229" s="94"/>
      <c r="D2229" s="12"/>
      <c r="E2229" s="167"/>
      <c r="F2229" s="12"/>
      <c r="G2229" s="331"/>
      <c r="H2229" s="474"/>
      <c r="I2229" s="475"/>
      <c r="J2229" s="476"/>
      <c r="K2229" s="5"/>
      <c r="L2229" s="3"/>
      <c r="M2229" s="6"/>
      <c r="N2229" s="9"/>
      <c r="O2229" s="9"/>
      <c r="P2229" s="12"/>
      <c r="Q2229" s="12"/>
      <c r="R2229" s="12"/>
      <c r="S2229" s="151"/>
      <c r="T2229" s="12"/>
      <c r="U2229" s="12"/>
      <c r="V2229" s="12"/>
      <c r="W2229" s="12"/>
      <c r="X2229" s="12"/>
      <c r="Y2229" s="12"/>
      <c r="Z2229" s="12"/>
    </row>
    <row r="2230" spans="1:26" ht="15.75" customHeight="1" x14ac:dyDescent="0.3">
      <c r="A2230" s="3"/>
      <c r="B2230" s="167"/>
      <c r="C2230" s="94"/>
      <c r="D2230" s="12"/>
      <c r="E2230" s="167"/>
      <c r="F2230" s="12"/>
      <c r="G2230" s="331"/>
      <c r="H2230" s="474"/>
      <c r="I2230" s="475"/>
      <c r="J2230" s="476"/>
      <c r="K2230" s="5"/>
      <c r="L2230" s="3"/>
      <c r="M2230" s="6"/>
      <c r="N2230" s="9"/>
      <c r="O2230" s="9"/>
      <c r="P2230" s="12"/>
      <c r="Q2230" s="12"/>
      <c r="R2230" s="12"/>
      <c r="S2230" s="151"/>
      <c r="T2230" s="12"/>
      <c r="U2230" s="12"/>
      <c r="V2230" s="12"/>
      <c r="W2230" s="12"/>
      <c r="X2230" s="12"/>
      <c r="Y2230" s="12"/>
      <c r="Z2230" s="12"/>
    </row>
    <row r="2231" spans="1:26" ht="15.75" customHeight="1" x14ac:dyDescent="0.3">
      <c r="A2231" s="3"/>
      <c r="B2231" s="167"/>
      <c r="C2231" s="94"/>
      <c r="D2231" s="12"/>
      <c r="E2231" s="167"/>
      <c r="F2231" s="12"/>
      <c r="G2231" s="331"/>
      <c r="H2231" s="474"/>
      <c r="I2231" s="475"/>
      <c r="J2231" s="476"/>
      <c r="K2231" s="5"/>
      <c r="L2231" s="3"/>
      <c r="M2231" s="6"/>
      <c r="N2231" s="9"/>
      <c r="O2231" s="9"/>
      <c r="P2231" s="12"/>
      <c r="Q2231" s="12"/>
      <c r="R2231" s="12"/>
      <c r="S2231" s="151"/>
      <c r="T2231" s="12"/>
      <c r="U2231" s="12"/>
      <c r="V2231" s="12"/>
      <c r="W2231" s="12"/>
      <c r="X2231" s="12"/>
      <c r="Y2231" s="12"/>
      <c r="Z2231" s="12"/>
    </row>
    <row r="2232" spans="1:26" ht="15.75" customHeight="1" x14ac:dyDescent="0.3">
      <c r="A2232" s="3"/>
      <c r="B2232" s="167"/>
      <c r="C2232" s="94"/>
      <c r="D2232" s="12"/>
      <c r="E2232" s="167"/>
      <c r="F2232" s="12"/>
      <c r="G2232" s="331"/>
      <c r="H2232" s="474"/>
      <c r="I2232" s="475"/>
      <c r="J2232" s="476"/>
      <c r="K2232" s="5"/>
      <c r="L2232" s="3"/>
      <c r="M2232" s="6"/>
      <c r="N2232" s="9"/>
      <c r="O2232" s="9"/>
      <c r="P2232" s="12"/>
      <c r="Q2232" s="12"/>
      <c r="R2232" s="12"/>
      <c r="S2232" s="151"/>
      <c r="T2232" s="12"/>
      <c r="U2232" s="12"/>
      <c r="V2232" s="12"/>
      <c r="W2232" s="12"/>
      <c r="X2232" s="12"/>
      <c r="Y2232" s="12"/>
      <c r="Z2232" s="12"/>
    </row>
    <row r="2233" spans="1:26" ht="15.75" customHeight="1" x14ac:dyDescent="0.3">
      <c r="A2233" s="3"/>
      <c r="B2233" s="167"/>
      <c r="C2233" s="94"/>
      <c r="D2233" s="12"/>
      <c r="E2233" s="167"/>
      <c r="F2233" s="12"/>
      <c r="G2233" s="331"/>
      <c r="H2233" s="474"/>
      <c r="I2233" s="475"/>
      <c r="J2233" s="476"/>
      <c r="K2233" s="5"/>
      <c r="L2233" s="3"/>
      <c r="M2233" s="6"/>
      <c r="N2233" s="9"/>
      <c r="O2233" s="9"/>
      <c r="P2233" s="12"/>
      <c r="Q2233" s="12"/>
      <c r="R2233" s="12"/>
      <c r="S2233" s="151"/>
      <c r="T2233" s="12"/>
      <c r="U2233" s="12"/>
      <c r="V2233" s="12"/>
      <c r="W2233" s="12"/>
      <c r="X2233" s="12"/>
      <c r="Y2233" s="12"/>
      <c r="Z2233" s="12"/>
    </row>
    <row r="2234" spans="1:26" ht="15.75" customHeight="1" x14ac:dyDescent="0.3">
      <c r="A2234" s="3"/>
      <c r="B2234" s="167"/>
      <c r="C2234" s="94"/>
      <c r="D2234" s="12"/>
      <c r="E2234" s="167"/>
      <c r="F2234" s="12"/>
      <c r="G2234" s="331"/>
      <c r="H2234" s="474"/>
      <c r="I2234" s="475"/>
      <c r="J2234" s="476"/>
      <c r="K2234" s="5"/>
      <c r="L2234" s="3"/>
      <c r="M2234" s="6"/>
      <c r="N2234" s="9"/>
      <c r="O2234" s="9"/>
      <c r="P2234" s="12"/>
      <c r="Q2234" s="12"/>
      <c r="R2234" s="12"/>
      <c r="S2234" s="151"/>
      <c r="T2234" s="12"/>
      <c r="U2234" s="12"/>
      <c r="V2234" s="12"/>
      <c r="W2234" s="12"/>
      <c r="X2234" s="12"/>
      <c r="Y2234" s="12"/>
      <c r="Z2234" s="12"/>
    </row>
    <row r="2235" spans="1:26" ht="15.75" customHeight="1" x14ac:dyDescent="0.3">
      <c r="A2235" s="3"/>
      <c r="B2235" s="167"/>
      <c r="C2235" s="94"/>
      <c r="D2235" s="12"/>
      <c r="E2235" s="167"/>
      <c r="F2235" s="12"/>
      <c r="G2235" s="331"/>
      <c r="H2235" s="474"/>
      <c r="I2235" s="475"/>
      <c r="J2235" s="476"/>
      <c r="K2235" s="5"/>
      <c r="L2235" s="3"/>
      <c r="M2235" s="6"/>
      <c r="N2235" s="9"/>
      <c r="O2235" s="9"/>
      <c r="P2235" s="12"/>
      <c r="Q2235" s="12"/>
      <c r="R2235" s="12"/>
      <c r="S2235" s="151"/>
      <c r="T2235" s="12"/>
      <c r="U2235" s="12"/>
      <c r="V2235" s="12"/>
      <c r="W2235" s="12"/>
      <c r="X2235" s="12"/>
      <c r="Y2235" s="12"/>
      <c r="Z2235" s="12"/>
    </row>
    <row r="2236" spans="1:26" ht="15.75" customHeight="1" x14ac:dyDescent="0.3">
      <c r="A2236" s="3"/>
      <c r="B2236" s="167"/>
      <c r="C2236" s="94"/>
      <c r="D2236" s="12"/>
      <c r="E2236" s="167"/>
      <c r="F2236" s="12"/>
      <c r="G2236" s="331"/>
      <c r="H2236" s="474"/>
      <c r="I2236" s="475"/>
      <c r="J2236" s="476"/>
      <c r="K2236" s="5"/>
      <c r="L2236" s="3"/>
      <c r="M2236" s="6"/>
      <c r="N2236" s="9"/>
      <c r="O2236" s="9"/>
      <c r="P2236" s="12"/>
      <c r="Q2236" s="12"/>
      <c r="R2236" s="12"/>
      <c r="S2236" s="151"/>
      <c r="T2236" s="12"/>
      <c r="U2236" s="12"/>
      <c r="V2236" s="12"/>
      <c r="W2236" s="12"/>
      <c r="X2236" s="12"/>
      <c r="Y2236" s="12"/>
      <c r="Z2236" s="12"/>
    </row>
    <row r="2237" spans="1:26" ht="15.75" customHeight="1" x14ac:dyDescent="0.3">
      <c r="A2237" s="3"/>
      <c r="B2237" s="167"/>
      <c r="C2237" s="94"/>
      <c r="D2237" s="12"/>
      <c r="E2237" s="167"/>
      <c r="F2237" s="12"/>
      <c r="G2237" s="331"/>
      <c r="H2237" s="474"/>
      <c r="I2237" s="475"/>
      <c r="J2237" s="476"/>
      <c r="K2237" s="5"/>
      <c r="L2237" s="3"/>
      <c r="M2237" s="6"/>
      <c r="N2237" s="9"/>
      <c r="O2237" s="9"/>
      <c r="P2237" s="12"/>
      <c r="Q2237" s="12"/>
      <c r="R2237" s="12"/>
      <c r="S2237" s="151"/>
      <c r="T2237" s="12"/>
      <c r="U2237" s="12"/>
      <c r="V2237" s="12"/>
      <c r="W2237" s="12"/>
      <c r="X2237" s="12"/>
      <c r="Y2237" s="12"/>
      <c r="Z2237" s="12"/>
    </row>
    <row r="2238" spans="1:26" ht="15.75" customHeight="1" x14ac:dyDescent="0.3">
      <c r="A2238" s="3"/>
      <c r="B2238" s="167"/>
      <c r="C2238" s="94"/>
      <c r="D2238" s="12"/>
      <c r="E2238" s="167"/>
      <c r="F2238" s="12"/>
      <c r="G2238" s="331"/>
      <c r="H2238" s="474"/>
      <c r="I2238" s="475"/>
      <c r="J2238" s="476"/>
      <c r="K2238" s="5"/>
      <c r="L2238" s="3"/>
      <c r="M2238" s="6"/>
      <c r="N2238" s="9"/>
      <c r="O2238" s="9"/>
      <c r="P2238" s="12"/>
      <c r="Q2238" s="12"/>
      <c r="R2238" s="12"/>
      <c r="S2238" s="151"/>
      <c r="T2238" s="12"/>
      <c r="U2238" s="12"/>
      <c r="V2238" s="12"/>
      <c r="W2238" s="12"/>
      <c r="X2238" s="12"/>
      <c r="Y2238" s="12"/>
      <c r="Z2238" s="12"/>
    </row>
    <row r="2239" spans="1:26" ht="15.75" customHeight="1" x14ac:dyDescent="0.3">
      <c r="A2239" s="3"/>
      <c r="B2239" s="167"/>
      <c r="C2239" s="94"/>
      <c r="D2239" s="12"/>
      <c r="E2239" s="167"/>
      <c r="F2239" s="12"/>
      <c r="G2239" s="331"/>
      <c r="H2239" s="474"/>
      <c r="I2239" s="475"/>
      <c r="J2239" s="476"/>
      <c r="K2239" s="5"/>
      <c r="L2239" s="3"/>
      <c r="M2239" s="6"/>
      <c r="N2239" s="9"/>
      <c r="O2239" s="9"/>
      <c r="P2239" s="12"/>
      <c r="Q2239" s="12"/>
      <c r="R2239" s="12"/>
      <c r="S2239" s="151"/>
      <c r="T2239" s="12"/>
      <c r="U2239" s="12"/>
      <c r="V2239" s="12"/>
      <c r="W2239" s="12"/>
      <c r="X2239" s="12"/>
      <c r="Y2239" s="12"/>
      <c r="Z2239" s="12"/>
    </row>
    <row r="2240" spans="1:26" ht="15.75" customHeight="1" x14ac:dyDescent="0.3">
      <c r="A2240" s="3"/>
      <c r="B2240" s="167"/>
      <c r="C2240" s="94"/>
      <c r="D2240" s="12"/>
      <c r="E2240" s="167"/>
      <c r="F2240" s="12"/>
      <c r="G2240" s="331"/>
      <c r="H2240" s="474"/>
      <c r="I2240" s="475"/>
      <c r="J2240" s="476"/>
      <c r="K2240" s="5"/>
      <c r="L2240" s="3"/>
      <c r="M2240" s="6"/>
      <c r="N2240" s="9"/>
      <c r="O2240" s="9"/>
      <c r="P2240" s="12"/>
      <c r="Q2240" s="12"/>
      <c r="R2240" s="12"/>
      <c r="S2240" s="151"/>
      <c r="T2240" s="12"/>
      <c r="U2240" s="12"/>
      <c r="V2240" s="12"/>
      <c r="W2240" s="12"/>
      <c r="X2240" s="12"/>
      <c r="Y2240" s="12"/>
      <c r="Z2240" s="12"/>
    </row>
    <row r="2241" spans="1:26" ht="15.75" customHeight="1" x14ac:dyDescent="0.3">
      <c r="A2241" s="3"/>
      <c r="B2241" s="167"/>
      <c r="C2241" s="94"/>
      <c r="D2241" s="12"/>
      <c r="E2241" s="167"/>
      <c r="F2241" s="12"/>
      <c r="G2241" s="331"/>
      <c r="H2241" s="474"/>
      <c r="I2241" s="475"/>
      <c r="J2241" s="476"/>
      <c r="K2241" s="5"/>
      <c r="L2241" s="3"/>
      <c r="M2241" s="6"/>
      <c r="N2241" s="9"/>
      <c r="O2241" s="9"/>
      <c r="P2241" s="12"/>
      <c r="Q2241" s="12"/>
      <c r="R2241" s="12"/>
      <c r="S2241" s="151"/>
      <c r="T2241" s="12"/>
      <c r="U2241" s="12"/>
      <c r="V2241" s="12"/>
      <c r="W2241" s="12"/>
      <c r="X2241" s="12"/>
      <c r="Y2241" s="12"/>
      <c r="Z2241" s="12"/>
    </row>
    <row r="2242" spans="1:26" ht="15.75" customHeight="1" x14ac:dyDescent="0.3">
      <c r="A2242" s="3"/>
      <c r="B2242" s="167"/>
      <c r="C2242" s="94"/>
      <c r="D2242" s="12"/>
      <c r="E2242" s="167"/>
      <c r="F2242" s="12"/>
      <c r="G2242" s="331"/>
      <c r="H2242" s="474"/>
      <c r="I2242" s="475"/>
      <c r="J2242" s="476"/>
      <c r="K2242" s="5"/>
      <c r="L2242" s="3"/>
      <c r="M2242" s="6"/>
      <c r="N2242" s="9"/>
      <c r="O2242" s="9"/>
      <c r="P2242" s="12"/>
      <c r="Q2242" s="12"/>
      <c r="R2242" s="12"/>
      <c r="S2242" s="151"/>
      <c r="T2242" s="12"/>
      <c r="U2242" s="12"/>
      <c r="V2242" s="12"/>
      <c r="W2242" s="12"/>
      <c r="X2242" s="12"/>
      <c r="Y2242" s="12"/>
      <c r="Z2242" s="12"/>
    </row>
    <row r="2243" spans="1:26" ht="15.75" customHeight="1" x14ac:dyDescent="0.3">
      <c r="A2243" s="3"/>
      <c r="B2243" s="167"/>
      <c r="C2243" s="94"/>
      <c r="D2243" s="12"/>
      <c r="E2243" s="167"/>
      <c r="F2243" s="12"/>
      <c r="G2243" s="331"/>
      <c r="H2243" s="474"/>
      <c r="I2243" s="475"/>
      <c r="J2243" s="476"/>
      <c r="K2243" s="5"/>
      <c r="L2243" s="3"/>
      <c r="M2243" s="6"/>
      <c r="N2243" s="9"/>
      <c r="O2243" s="9"/>
      <c r="P2243" s="12"/>
      <c r="Q2243" s="12"/>
      <c r="R2243" s="12"/>
      <c r="S2243" s="151"/>
      <c r="T2243" s="12"/>
      <c r="U2243" s="12"/>
      <c r="V2243" s="12"/>
      <c r="W2243" s="12"/>
      <c r="X2243" s="12"/>
      <c r="Y2243" s="12"/>
      <c r="Z2243" s="12"/>
    </row>
    <row r="2244" spans="1:26" ht="15.75" customHeight="1" x14ac:dyDescent="0.3">
      <c r="A2244" s="3"/>
      <c r="B2244" s="167"/>
      <c r="C2244" s="94"/>
      <c r="D2244" s="12"/>
      <c r="E2244" s="167"/>
      <c r="F2244" s="12"/>
      <c r="G2244" s="331"/>
      <c r="H2244" s="474"/>
      <c r="I2244" s="475"/>
      <c r="J2244" s="476"/>
      <c r="K2244" s="5"/>
      <c r="L2244" s="3"/>
      <c r="M2244" s="6"/>
      <c r="N2244" s="9"/>
      <c r="O2244" s="9"/>
      <c r="P2244" s="12"/>
      <c r="Q2244" s="12"/>
      <c r="R2244" s="12"/>
      <c r="S2244" s="151"/>
      <c r="T2244" s="12"/>
      <c r="U2244" s="12"/>
      <c r="V2244" s="12"/>
      <c r="W2244" s="12"/>
      <c r="X2244" s="12"/>
      <c r="Y2244" s="12"/>
      <c r="Z2244" s="12"/>
    </row>
    <row r="2245" spans="1:26" ht="15.75" customHeight="1" x14ac:dyDescent="0.3">
      <c r="A2245" s="3"/>
      <c r="B2245" s="167"/>
      <c r="C2245" s="94"/>
      <c r="D2245" s="12"/>
      <c r="E2245" s="167"/>
      <c r="F2245" s="12"/>
      <c r="G2245" s="331"/>
      <c r="H2245" s="474"/>
      <c r="I2245" s="475"/>
      <c r="J2245" s="476"/>
      <c r="K2245" s="5"/>
      <c r="L2245" s="3"/>
      <c r="M2245" s="6"/>
      <c r="N2245" s="9"/>
      <c r="O2245" s="9"/>
      <c r="P2245" s="12"/>
      <c r="Q2245" s="12"/>
      <c r="R2245" s="12"/>
      <c r="S2245" s="151"/>
      <c r="T2245" s="12"/>
      <c r="U2245" s="12"/>
      <c r="V2245" s="12"/>
      <c r="W2245" s="12"/>
      <c r="X2245" s="12"/>
      <c r="Y2245" s="12"/>
      <c r="Z2245" s="12"/>
    </row>
    <row r="2246" spans="1:26" ht="15.75" customHeight="1" x14ac:dyDescent="0.3">
      <c r="A2246" s="3"/>
      <c r="B2246" s="167"/>
      <c r="C2246" s="94"/>
      <c r="D2246" s="12"/>
      <c r="E2246" s="167"/>
      <c r="F2246" s="12"/>
      <c r="G2246" s="331"/>
      <c r="H2246" s="474"/>
      <c r="I2246" s="475"/>
      <c r="J2246" s="476"/>
      <c r="K2246" s="5"/>
      <c r="L2246" s="3"/>
      <c r="M2246" s="6"/>
      <c r="N2246" s="9"/>
      <c r="O2246" s="9"/>
      <c r="P2246" s="12"/>
      <c r="Q2246" s="12"/>
      <c r="R2246" s="12"/>
      <c r="S2246" s="151"/>
      <c r="T2246" s="12"/>
      <c r="U2246" s="12"/>
      <c r="V2246" s="12"/>
      <c r="W2246" s="12"/>
      <c r="X2246" s="12"/>
      <c r="Y2246" s="12"/>
      <c r="Z2246" s="12"/>
    </row>
    <row r="2247" spans="1:26" ht="15.75" customHeight="1" x14ac:dyDescent="0.3">
      <c r="A2247" s="3"/>
      <c r="B2247" s="167"/>
      <c r="C2247" s="94"/>
      <c r="D2247" s="12"/>
      <c r="E2247" s="167"/>
      <c r="F2247" s="12"/>
      <c r="G2247" s="331"/>
      <c r="H2247" s="474"/>
      <c r="I2247" s="475"/>
      <c r="J2247" s="476"/>
      <c r="K2247" s="5"/>
      <c r="L2247" s="3"/>
      <c r="M2247" s="6"/>
      <c r="N2247" s="9"/>
      <c r="O2247" s="9"/>
      <c r="P2247" s="12"/>
      <c r="Q2247" s="12"/>
      <c r="R2247" s="12"/>
      <c r="S2247" s="151"/>
      <c r="T2247" s="12"/>
      <c r="U2247" s="12"/>
      <c r="V2247" s="12"/>
      <c r="W2247" s="12"/>
      <c r="X2247" s="12"/>
      <c r="Y2247" s="12"/>
      <c r="Z2247" s="12"/>
    </row>
    <row r="2248" spans="1:26" ht="15.75" customHeight="1" x14ac:dyDescent="0.3">
      <c r="A2248" s="3"/>
      <c r="B2248" s="167"/>
      <c r="C2248" s="94"/>
      <c r="D2248" s="12"/>
      <c r="E2248" s="167"/>
      <c r="F2248" s="12"/>
      <c r="G2248" s="331"/>
      <c r="H2248" s="474"/>
      <c r="I2248" s="475"/>
      <c r="J2248" s="476"/>
      <c r="K2248" s="5"/>
      <c r="L2248" s="3"/>
      <c r="M2248" s="6"/>
      <c r="N2248" s="9"/>
      <c r="O2248" s="9"/>
      <c r="P2248" s="12"/>
      <c r="Q2248" s="12"/>
      <c r="R2248" s="12"/>
      <c r="S2248" s="151"/>
      <c r="T2248" s="12"/>
      <c r="U2248" s="12"/>
      <c r="V2248" s="12"/>
      <c r="W2248" s="12"/>
      <c r="X2248" s="12"/>
      <c r="Y2248" s="12"/>
      <c r="Z2248" s="12"/>
    </row>
    <row r="2249" spans="1:26" ht="15.75" customHeight="1" x14ac:dyDescent="0.3">
      <c r="A2249" s="3"/>
      <c r="B2249" s="167"/>
      <c r="C2249" s="94"/>
      <c r="D2249" s="12"/>
      <c r="E2249" s="167"/>
      <c r="F2249" s="12"/>
      <c r="G2249" s="331"/>
      <c r="H2249" s="474"/>
      <c r="I2249" s="475"/>
      <c r="J2249" s="476"/>
      <c r="K2249" s="5"/>
      <c r="L2249" s="3"/>
      <c r="M2249" s="6"/>
      <c r="N2249" s="9"/>
      <c r="O2249" s="9"/>
      <c r="P2249" s="12"/>
      <c r="Q2249" s="12"/>
      <c r="R2249" s="12"/>
      <c r="S2249" s="151"/>
      <c r="T2249" s="12"/>
      <c r="U2249" s="12"/>
      <c r="V2249" s="12"/>
      <c r="W2249" s="12"/>
      <c r="X2249" s="12"/>
      <c r="Y2249" s="12"/>
      <c r="Z2249" s="12"/>
    </row>
    <row r="2250" spans="1:26" ht="15.75" customHeight="1" x14ac:dyDescent="0.3">
      <c r="A2250" s="3"/>
      <c r="B2250" s="167"/>
      <c r="C2250" s="94"/>
      <c r="D2250" s="12"/>
      <c r="E2250" s="167"/>
      <c r="F2250" s="12"/>
      <c r="G2250" s="331"/>
      <c r="H2250" s="474"/>
      <c r="I2250" s="475"/>
      <c r="J2250" s="476"/>
      <c r="K2250" s="5"/>
      <c r="L2250" s="3"/>
      <c r="M2250" s="6"/>
      <c r="N2250" s="9"/>
      <c r="O2250" s="9"/>
      <c r="P2250" s="12"/>
      <c r="Q2250" s="12"/>
      <c r="R2250" s="12"/>
      <c r="S2250" s="151"/>
      <c r="T2250" s="12"/>
      <c r="U2250" s="12"/>
      <c r="V2250" s="12"/>
      <c r="W2250" s="12"/>
      <c r="X2250" s="12"/>
      <c r="Y2250" s="12"/>
      <c r="Z2250" s="12"/>
    </row>
    <row r="2251" spans="1:26" ht="15.75" customHeight="1" x14ac:dyDescent="0.3">
      <c r="A2251" s="3"/>
      <c r="B2251" s="167"/>
      <c r="C2251" s="94"/>
      <c r="D2251" s="12"/>
      <c r="E2251" s="167"/>
      <c r="F2251" s="12"/>
      <c r="G2251" s="331"/>
      <c r="H2251" s="474"/>
      <c r="I2251" s="475"/>
      <c r="J2251" s="476"/>
      <c r="K2251" s="5"/>
      <c r="L2251" s="3"/>
      <c r="M2251" s="6"/>
      <c r="N2251" s="9"/>
      <c r="O2251" s="9"/>
      <c r="P2251" s="12"/>
      <c r="Q2251" s="12"/>
      <c r="R2251" s="12"/>
      <c r="S2251" s="151"/>
      <c r="T2251" s="12"/>
      <c r="U2251" s="12"/>
      <c r="V2251" s="12"/>
      <c r="W2251" s="12"/>
      <c r="X2251" s="12"/>
      <c r="Y2251" s="12"/>
      <c r="Z2251" s="12"/>
    </row>
    <row r="2252" spans="1:26" ht="15.75" customHeight="1" x14ac:dyDescent="0.3">
      <c r="A2252" s="3"/>
      <c r="B2252" s="167"/>
      <c r="C2252" s="94"/>
      <c r="D2252" s="12"/>
      <c r="E2252" s="167"/>
      <c r="F2252" s="12"/>
      <c r="G2252" s="331"/>
      <c r="H2252" s="474"/>
      <c r="I2252" s="475"/>
      <c r="J2252" s="476"/>
      <c r="K2252" s="5"/>
      <c r="L2252" s="3"/>
      <c r="M2252" s="6"/>
      <c r="N2252" s="9"/>
      <c r="O2252" s="9"/>
      <c r="P2252" s="12"/>
      <c r="Q2252" s="12"/>
      <c r="R2252" s="12"/>
      <c r="S2252" s="151"/>
      <c r="T2252" s="12"/>
      <c r="U2252" s="12"/>
      <c r="V2252" s="12"/>
      <c r="W2252" s="12"/>
      <c r="X2252" s="12"/>
      <c r="Y2252" s="12"/>
      <c r="Z2252" s="12"/>
    </row>
    <row r="2253" spans="1:26" ht="15.75" customHeight="1" x14ac:dyDescent="0.3">
      <c r="A2253" s="3"/>
      <c r="B2253" s="167"/>
      <c r="C2253" s="94"/>
      <c r="D2253" s="12"/>
      <c r="E2253" s="167"/>
      <c r="F2253" s="12"/>
      <c r="G2253" s="331"/>
      <c r="H2253" s="474"/>
      <c r="I2253" s="475"/>
      <c r="J2253" s="476"/>
      <c r="K2253" s="5"/>
      <c r="L2253" s="3"/>
      <c r="M2253" s="6"/>
      <c r="N2253" s="9"/>
      <c r="O2253" s="9"/>
      <c r="P2253" s="12"/>
      <c r="Q2253" s="12"/>
      <c r="R2253" s="12"/>
      <c r="S2253" s="151"/>
      <c r="T2253" s="12"/>
      <c r="U2253" s="12"/>
      <c r="V2253" s="12"/>
      <c r="W2253" s="12"/>
      <c r="X2253" s="12"/>
      <c r="Y2253" s="12"/>
      <c r="Z2253" s="12"/>
    </row>
    <row r="2254" spans="1:26" ht="15.75" customHeight="1" x14ac:dyDescent="0.3">
      <c r="A2254" s="3"/>
      <c r="B2254" s="167"/>
      <c r="C2254" s="94"/>
      <c r="D2254" s="12"/>
      <c r="E2254" s="167"/>
      <c r="F2254" s="12"/>
      <c r="G2254" s="331"/>
      <c r="H2254" s="474"/>
      <c r="I2254" s="475"/>
      <c r="J2254" s="476"/>
      <c r="K2254" s="5"/>
      <c r="L2254" s="3"/>
      <c r="M2254" s="6"/>
      <c r="N2254" s="9"/>
      <c r="O2254" s="9"/>
      <c r="P2254" s="12"/>
      <c r="Q2254" s="12"/>
      <c r="R2254" s="12"/>
      <c r="S2254" s="151"/>
      <c r="T2254" s="12"/>
      <c r="U2254" s="12"/>
      <c r="V2254" s="12"/>
      <c r="W2254" s="12"/>
      <c r="X2254" s="12"/>
      <c r="Y2254" s="12"/>
      <c r="Z2254" s="12"/>
    </row>
    <row r="2255" spans="1:26" ht="15.75" customHeight="1" x14ac:dyDescent="0.3">
      <c r="A2255" s="3"/>
      <c r="B2255" s="167"/>
      <c r="C2255" s="94"/>
      <c r="D2255" s="12"/>
      <c r="E2255" s="167"/>
      <c r="F2255" s="12"/>
      <c r="G2255" s="331"/>
      <c r="H2255" s="474"/>
      <c r="I2255" s="475"/>
      <c r="J2255" s="476"/>
      <c r="K2255" s="5"/>
      <c r="L2255" s="3"/>
      <c r="M2255" s="6"/>
      <c r="N2255" s="9"/>
      <c r="O2255" s="9"/>
      <c r="P2255" s="12"/>
      <c r="Q2255" s="12"/>
      <c r="R2255" s="12"/>
      <c r="S2255" s="151"/>
      <c r="T2255" s="12"/>
      <c r="U2255" s="12"/>
      <c r="V2255" s="12"/>
      <c r="W2255" s="12"/>
      <c r="X2255" s="12"/>
      <c r="Y2255" s="12"/>
      <c r="Z2255" s="12"/>
    </row>
    <row r="2256" spans="1:26" ht="15.75" customHeight="1" x14ac:dyDescent="0.3">
      <c r="A2256" s="3"/>
      <c r="B2256" s="167"/>
      <c r="C2256" s="94"/>
      <c r="D2256" s="12"/>
      <c r="E2256" s="167"/>
      <c r="F2256" s="12"/>
      <c r="G2256" s="331"/>
      <c r="H2256" s="474"/>
      <c r="I2256" s="475"/>
      <c r="J2256" s="476"/>
      <c r="K2256" s="5"/>
      <c r="L2256" s="3"/>
      <c r="M2256" s="6"/>
      <c r="N2256" s="9"/>
      <c r="O2256" s="9"/>
      <c r="P2256" s="12"/>
      <c r="Q2256" s="12"/>
      <c r="R2256" s="12"/>
      <c r="S2256" s="151"/>
      <c r="T2256" s="12"/>
      <c r="U2256" s="12"/>
      <c r="V2256" s="12"/>
      <c r="W2256" s="12"/>
      <c r="X2256" s="12"/>
      <c r="Y2256" s="12"/>
      <c r="Z2256" s="12"/>
    </row>
    <row r="2257" spans="1:26" ht="15.75" customHeight="1" x14ac:dyDescent="0.3">
      <c r="A2257" s="3"/>
      <c r="B2257" s="167"/>
      <c r="C2257" s="94"/>
      <c r="D2257" s="12"/>
      <c r="E2257" s="167"/>
      <c r="F2257" s="12"/>
      <c r="G2257" s="331"/>
      <c r="H2257" s="474"/>
      <c r="I2257" s="475"/>
      <c r="J2257" s="476"/>
      <c r="K2257" s="5"/>
      <c r="L2257" s="3"/>
      <c r="M2257" s="6"/>
      <c r="N2257" s="9"/>
      <c r="O2257" s="9"/>
      <c r="P2257" s="12"/>
      <c r="Q2257" s="12"/>
      <c r="R2257" s="12"/>
      <c r="S2257" s="151"/>
      <c r="T2257" s="12"/>
      <c r="U2257" s="12"/>
      <c r="V2257" s="12"/>
      <c r="W2257" s="12"/>
      <c r="X2257" s="12"/>
      <c r="Y2257" s="12"/>
      <c r="Z2257" s="12"/>
    </row>
    <row r="2258" spans="1:26" ht="15.75" customHeight="1" x14ac:dyDescent="0.3">
      <c r="A2258" s="3"/>
      <c r="B2258" s="167"/>
      <c r="C2258" s="94"/>
      <c r="D2258" s="12"/>
      <c r="E2258" s="167"/>
      <c r="F2258" s="12"/>
      <c r="G2258" s="331"/>
      <c r="H2258" s="474"/>
      <c r="I2258" s="475"/>
      <c r="J2258" s="476"/>
      <c r="K2258" s="5"/>
      <c r="L2258" s="3"/>
      <c r="M2258" s="6"/>
      <c r="N2258" s="9"/>
      <c r="O2258" s="9"/>
      <c r="P2258" s="12"/>
      <c r="Q2258" s="12"/>
      <c r="R2258" s="12"/>
      <c r="S2258" s="151"/>
      <c r="T2258" s="12"/>
      <c r="U2258" s="12"/>
      <c r="V2258" s="12"/>
      <c r="W2258" s="12"/>
      <c r="X2258" s="12"/>
      <c r="Y2258" s="12"/>
      <c r="Z2258" s="12"/>
    </row>
    <row r="2259" spans="1:26" ht="15.75" customHeight="1" x14ac:dyDescent="0.3">
      <c r="A2259" s="3"/>
      <c r="B2259" s="167"/>
      <c r="C2259" s="94"/>
      <c r="D2259" s="12"/>
      <c r="E2259" s="167"/>
      <c r="F2259" s="12"/>
      <c r="G2259" s="331"/>
      <c r="H2259" s="474"/>
      <c r="I2259" s="475"/>
      <c r="J2259" s="476"/>
      <c r="K2259" s="5"/>
      <c r="L2259" s="3"/>
      <c r="M2259" s="6"/>
      <c r="N2259" s="9"/>
      <c r="O2259" s="9"/>
      <c r="P2259" s="12"/>
      <c r="Q2259" s="12"/>
      <c r="R2259" s="12"/>
      <c r="S2259" s="151"/>
      <c r="T2259" s="12"/>
      <c r="U2259" s="12"/>
      <c r="V2259" s="12"/>
      <c r="W2259" s="12"/>
      <c r="X2259" s="12"/>
      <c r="Y2259" s="12"/>
      <c r="Z2259" s="12"/>
    </row>
    <row r="2260" spans="1:26" ht="15.75" customHeight="1" x14ac:dyDescent="0.3">
      <c r="A2260" s="3"/>
      <c r="B2260" s="167"/>
      <c r="C2260" s="94"/>
      <c r="D2260" s="12"/>
      <c r="E2260" s="167"/>
      <c r="F2260" s="12"/>
      <c r="G2260" s="331"/>
      <c r="H2260" s="474"/>
      <c r="I2260" s="475"/>
      <c r="J2260" s="476"/>
      <c r="K2260" s="5"/>
      <c r="L2260" s="3"/>
      <c r="M2260" s="6"/>
      <c r="N2260" s="9"/>
      <c r="O2260" s="9"/>
      <c r="P2260" s="12"/>
      <c r="Q2260" s="12"/>
      <c r="R2260" s="12"/>
      <c r="S2260" s="151"/>
      <c r="T2260" s="12"/>
      <c r="U2260" s="12"/>
      <c r="V2260" s="12"/>
      <c r="W2260" s="12"/>
      <c r="X2260" s="12"/>
      <c r="Y2260" s="12"/>
      <c r="Z2260" s="12"/>
    </row>
    <row r="2261" spans="1:26" ht="15.75" customHeight="1" x14ac:dyDescent="0.3">
      <c r="A2261" s="3"/>
      <c r="B2261" s="167"/>
      <c r="C2261" s="94"/>
      <c r="D2261" s="12"/>
      <c r="E2261" s="167"/>
      <c r="F2261" s="12"/>
      <c r="G2261" s="331"/>
      <c r="H2261" s="474"/>
      <c r="I2261" s="475"/>
      <c r="J2261" s="476"/>
      <c r="K2261" s="5"/>
      <c r="L2261" s="3"/>
      <c r="M2261" s="6"/>
      <c r="N2261" s="9"/>
      <c r="O2261" s="9"/>
      <c r="P2261" s="12"/>
      <c r="Q2261" s="12"/>
      <c r="R2261" s="12"/>
      <c r="S2261" s="151"/>
      <c r="T2261" s="12"/>
      <c r="U2261" s="12"/>
      <c r="V2261" s="12"/>
      <c r="W2261" s="12"/>
      <c r="X2261" s="12"/>
      <c r="Y2261" s="12"/>
      <c r="Z2261" s="12"/>
    </row>
    <row r="2262" spans="1:26" ht="15.75" customHeight="1" x14ac:dyDescent="0.3">
      <c r="A2262" s="3"/>
      <c r="B2262" s="167"/>
      <c r="C2262" s="94"/>
      <c r="D2262" s="12"/>
      <c r="E2262" s="167"/>
      <c r="F2262" s="12"/>
      <c r="G2262" s="331"/>
      <c r="H2262" s="474"/>
      <c r="I2262" s="475"/>
      <c r="J2262" s="476"/>
      <c r="K2262" s="5"/>
      <c r="L2262" s="3"/>
      <c r="M2262" s="6"/>
      <c r="N2262" s="9"/>
      <c r="O2262" s="9"/>
      <c r="P2262" s="12"/>
      <c r="Q2262" s="12"/>
      <c r="R2262" s="12"/>
      <c r="S2262" s="151"/>
      <c r="T2262" s="12"/>
      <c r="U2262" s="12"/>
      <c r="V2262" s="12"/>
      <c r="W2262" s="12"/>
      <c r="X2262" s="12"/>
      <c r="Y2262" s="12"/>
      <c r="Z2262" s="12"/>
    </row>
    <row r="2263" spans="1:26" ht="15.75" customHeight="1" x14ac:dyDescent="0.3">
      <c r="A2263" s="3"/>
      <c r="B2263" s="167"/>
      <c r="C2263" s="94"/>
      <c r="D2263" s="12"/>
      <c r="E2263" s="167"/>
      <c r="F2263" s="12"/>
      <c r="G2263" s="331"/>
      <c r="H2263" s="474"/>
      <c r="I2263" s="475"/>
      <c r="J2263" s="476"/>
      <c r="K2263" s="5"/>
      <c r="L2263" s="3"/>
      <c r="M2263" s="6"/>
      <c r="N2263" s="9"/>
      <c r="O2263" s="9"/>
      <c r="P2263" s="12"/>
      <c r="Q2263" s="12"/>
      <c r="R2263" s="12"/>
      <c r="S2263" s="151"/>
      <c r="T2263" s="12"/>
      <c r="U2263" s="12"/>
      <c r="V2263" s="12"/>
      <c r="W2263" s="12"/>
      <c r="X2263" s="12"/>
      <c r="Y2263" s="12"/>
      <c r="Z2263" s="12"/>
    </row>
    <row r="2264" spans="1:26" ht="15.75" customHeight="1" x14ac:dyDescent="0.3">
      <c r="A2264" s="3"/>
      <c r="B2264" s="167"/>
      <c r="C2264" s="94"/>
      <c r="D2264" s="12"/>
      <c r="E2264" s="167"/>
      <c r="F2264" s="12"/>
      <c r="G2264" s="331"/>
      <c r="H2264" s="474"/>
      <c r="I2264" s="475"/>
      <c r="J2264" s="476"/>
      <c r="K2264" s="5"/>
      <c r="L2264" s="3"/>
      <c r="M2264" s="6"/>
      <c r="N2264" s="9"/>
      <c r="O2264" s="9"/>
      <c r="P2264" s="12"/>
      <c r="Q2264" s="12"/>
      <c r="R2264" s="12"/>
      <c r="S2264" s="151"/>
      <c r="T2264" s="12"/>
      <c r="U2264" s="12"/>
      <c r="V2264" s="12"/>
      <c r="W2264" s="12"/>
      <c r="X2264" s="12"/>
      <c r="Y2264" s="12"/>
      <c r="Z2264" s="12"/>
    </row>
    <row r="2265" spans="1:26" ht="15.75" customHeight="1" x14ac:dyDescent="0.3">
      <c r="A2265" s="3"/>
      <c r="B2265" s="167"/>
      <c r="C2265" s="94"/>
      <c r="D2265" s="12"/>
      <c r="E2265" s="167"/>
      <c r="F2265" s="12"/>
      <c r="G2265" s="331"/>
      <c r="H2265" s="474"/>
      <c r="I2265" s="475"/>
      <c r="J2265" s="476"/>
      <c r="K2265" s="5"/>
      <c r="L2265" s="3"/>
      <c r="M2265" s="6"/>
      <c r="N2265" s="9"/>
      <c r="O2265" s="9"/>
      <c r="P2265" s="12"/>
      <c r="Q2265" s="12"/>
      <c r="R2265" s="12"/>
      <c r="S2265" s="151"/>
      <c r="T2265" s="12"/>
      <c r="U2265" s="12"/>
      <c r="V2265" s="12"/>
      <c r="W2265" s="12"/>
      <c r="X2265" s="12"/>
      <c r="Y2265" s="12"/>
      <c r="Z2265" s="12"/>
    </row>
    <row r="2266" spans="1:26" ht="15.75" customHeight="1" x14ac:dyDescent="0.3">
      <c r="A2266" s="3"/>
      <c r="B2266" s="167"/>
      <c r="C2266" s="94"/>
      <c r="D2266" s="12"/>
      <c r="E2266" s="167"/>
      <c r="F2266" s="12"/>
      <c r="G2266" s="331"/>
      <c r="H2266" s="474"/>
      <c r="I2266" s="475"/>
      <c r="J2266" s="476"/>
      <c r="K2266" s="5"/>
      <c r="L2266" s="3"/>
      <c r="M2266" s="6"/>
      <c r="N2266" s="9"/>
      <c r="O2266" s="9"/>
      <c r="P2266" s="12"/>
      <c r="Q2266" s="12"/>
      <c r="R2266" s="12"/>
      <c r="S2266" s="151"/>
      <c r="T2266" s="12"/>
      <c r="U2266" s="12"/>
      <c r="V2266" s="12"/>
      <c r="W2266" s="12"/>
      <c r="X2266" s="12"/>
      <c r="Y2266" s="12"/>
      <c r="Z2266" s="12"/>
    </row>
    <row r="2267" spans="1:26" ht="15.75" customHeight="1" x14ac:dyDescent="0.3">
      <c r="A2267" s="3"/>
      <c r="B2267" s="167"/>
      <c r="C2267" s="94"/>
      <c r="D2267" s="12"/>
      <c r="E2267" s="167"/>
      <c r="F2267" s="12"/>
      <c r="G2267" s="331"/>
      <c r="H2267" s="474"/>
      <c r="I2267" s="475"/>
      <c r="J2267" s="476"/>
      <c r="K2267" s="5"/>
      <c r="L2267" s="3"/>
      <c r="M2267" s="6"/>
      <c r="N2267" s="9"/>
      <c r="O2267" s="9"/>
      <c r="P2267" s="12"/>
      <c r="Q2267" s="12"/>
      <c r="R2267" s="12"/>
      <c r="S2267" s="151"/>
      <c r="T2267" s="12"/>
      <c r="U2267" s="12"/>
      <c r="V2267" s="12"/>
      <c r="W2267" s="12"/>
      <c r="X2267" s="12"/>
      <c r="Y2267" s="12"/>
      <c r="Z2267" s="12"/>
    </row>
    <row r="2268" spans="1:26" ht="15.75" customHeight="1" x14ac:dyDescent="0.3">
      <c r="A2268" s="3"/>
      <c r="B2268" s="167"/>
      <c r="C2268" s="94"/>
      <c r="D2268" s="12"/>
      <c r="E2268" s="167"/>
      <c r="F2268" s="12"/>
      <c r="G2268" s="331"/>
      <c r="H2268" s="474"/>
      <c r="I2268" s="475"/>
      <c r="J2268" s="476"/>
      <c r="K2268" s="5"/>
      <c r="L2268" s="3"/>
      <c r="M2268" s="6"/>
      <c r="N2268" s="9"/>
      <c r="O2268" s="9"/>
      <c r="P2268" s="12"/>
      <c r="Q2268" s="12"/>
      <c r="R2268" s="12"/>
      <c r="S2268" s="151"/>
      <c r="T2268" s="12"/>
      <c r="U2268" s="12"/>
      <c r="V2268" s="12"/>
      <c r="W2268" s="12"/>
      <c r="X2268" s="12"/>
      <c r="Y2268" s="12"/>
      <c r="Z2268" s="12"/>
    </row>
    <row r="2269" spans="1:26" ht="15.75" customHeight="1" x14ac:dyDescent="0.3">
      <c r="A2269" s="3"/>
      <c r="B2269" s="167"/>
      <c r="C2269" s="94"/>
      <c r="D2269" s="12"/>
      <c r="E2269" s="167"/>
      <c r="F2269" s="12"/>
      <c r="G2269" s="331"/>
      <c r="H2269" s="474"/>
      <c r="I2269" s="475"/>
      <c r="J2269" s="476"/>
      <c r="K2269" s="5"/>
      <c r="L2269" s="3"/>
      <c r="M2269" s="6"/>
      <c r="N2269" s="9"/>
      <c r="O2269" s="9"/>
      <c r="P2269" s="12"/>
      <c r="Q2269" s="12"/>
      <c r="R2269" s="12"/>
      <c r="S2269" s="151"/>
      <c r="T2269" s="12"/>
      <c r="U2269" s="12"/>
      <c r="V2269" s="12"/>
      <c r="W2269" s="12"/>
      <c r="X2269" s="12"/>
      <c r="Y2269" s="12"/>
      <c r="Z2269" s="12"/>
    </row>
    <row r="2270" spans="1:26" ht="15.75" customHeight="1" x14ac:dyDescent="0.3">
      <c r="A2270" s="3"/>
      <c r="B2270" s="167"/>
      <c r="C2270" s="94"/>
      <c r="D2270" s="12"/>
      <c r="E2270" s="167"/>
      <c r="F2270" s="12"/>
      <c r="G2270" s="331"/>
      <c r="H2270" s="474"/>
      <c r="I2270" s="475"/>
      <c r="J2270" s="476"/>
      <c r="K2270" s="5"/>
      <c r="L2270" s="3"/>
      <c r="M2270" s="6"/>
      <c r="N2270" s="9"/>
      <c r="O2270" s="9"/>
      <c r="P2270" s="12"/>
      <c r="Q2270" s="12"/>
      <c r="R2270" s="12"/>
      <c r="S2270" s="151"/>
      <c r="T2270" s="12"/>
      <c r="U2270" s="12"/>
      <c r="V2270" s="12"/>
      <c r="W2270" s="12"/>
      <c r="X2270" s="12"/>
      <c r="Y2270" s="12"/>
      <c r="Z2270" s="12"/>
    </row>
    <row r="2271" spans="1:26" ht="15.75" customHeight="1" x14ac:dyDescent="0.3">
      <c r="A2271" s="3"/>
      <c r="B2271" s="167"/>
      <c r="C2271" s="94"/>
      <c r="D2271" s="12"/>
      <c r="E2271" s="167"/>
      <c r="F2271" s="12"/>
      <c r="G2271" s="331"/>
      <c r="H2271" s="474"/>
      <c r="I2271" s="475"/>
      <c r="J2271" s="476"/>
      <c r="K2271" s="5"/>
      <c r="L2271" s="3"/>
      <c r="M2271" s="6"/>
      <c r="N2271" s="9"/>
      <c r="O2271" s="9"/>
      <c r="P2271" s="12"/>
      <c r="Q2271" s="12"/>
      <c r="R2271" s="12"/>
      <c r="S2271" s="151"/>
      <c r="T2271" s="12"/>
      <c r="U2271" s="12"/>
      <c r="V2271" s="12"/>
      <c r="W2271" s="12"/>
      <c r="X2271" s="12"/>
      <c r="Y2271" s="12"/>
      <c r="Z2271" s="12"/>
    </row>
    <row r="2272" spans="1:26" ht="15.75" customHeight="1" x14ac:dyDescent="0.3">
      <c r="A2272" s="3"/>
      <c r="B2272" s="167"/>
      <c r="C2272" s="94"/>
      <c r="D2272" s="12"/>
      <c r="E2272" s="167"/>
      <c r="F2272" s="12"/>
      <c r="G2272" s="331"/>
      <c r="H2272" s="474"/>
      <c r="I2272" s="475"/>
      <c r="J2272" s="476"/>
      <c r="K2272" s="5"/>
      <c r="L2272" s="3"/>
      <c r="M2272" s="6"/>
      <c r="N2272" s="9"/>
      <c r="O2272" s="9"/>
      <c r="P2272" s="12"/>
      <c r="Q2272" s="12"/>
      <c r="R2272" s="12"/>
      <c r="S2272" s="151"/>
      <c r="T2272" s="12"/>
      <c r="U2272" s="12"/>
      <c r="V2272" s="12"/>
      <c r="W2272" s="12"/>
      <c r="X2272" s="12"/>
      <c r="Y2272" s="12"/>
      <c r="Z2272" s="12"/>
    </row>
    <row r="2273" spans="1:26" ht="15.75" customHeight="1" x14ac:dyDescent="0.3">
      <c r="A2273" s="3"/>
      <c r="B2273" s="167"/>
      <c r="C2273" s="94"/>
      <c r="D2273" s="12"/>
      <c r="E2273" s="167"/>
      <c r="F2273" s="12"/>
      <c r="G2273" s="331"/>
      <c r="H2273" s="474"/>
      <c r="I2273" s="475"/>
      <c r="J2273" s="476"/>
      <c r="K2273" s="5"/>
      <c r="L2273" s="3"/>
      <c r="M2273" s="6"/>
      <c r="N2273" s="9"/>
      <c r="O2273" s="9"/>
      <c r="P2273" s="12"/>
      <c r="Q2273" s="12"/>
      <c r="R2273" s="12"/>
      <c r="S2273" s="151"/>
      <c r="T2273" s="12"/>
      <c r="U2273" s="12"/>
      <c r="V2273" s="12"/>
      <c r="W2273" s="12"/>
      <c r="X2273" s="12"/>
      <c r="Y2273" s="12"/>
      <c r="Z2273" s="12"/>
    </row>
    <row r="2274" spans="1:26" ht="15.75" customHeight="1" x14ac:dyDescent="0.3">
      <c r="A2274" s="3"/>
      <c r="B2274" s="167"/>
      <c r="C2274" s="94"/>
      <c r="D2274" s="12"/>
      <c r="E2274" s="167"/>
      <c r="F2274" s="12"/>
      <c r="G2274" s="331"/>
      <c r="H2274" s="474"/>
      <c r="I2274" s="475"/>
      <c r="J2274" s="476"/>
      <c r="K2274" s="5"/>
      <c r="L2274" s="3"/>
      <c r="M2274" s="6"/>
      <c r="N2274" s="9"/>
      <c r="O2274" s="9"/>
      <c r="P2274" s="12"/>
      <c r="Q2274" s="12"/>
      <c r="R2274" s="12"/>
      <c r="S2274" s="151"/>
      <c r="T2274" s="12"/>
      <c r="U2274" s="12"/>
      <c r="V2274" s="12"/>
      <c r="W2274" s="12"/>
      <c r="X2274" s="12"/>
      <c r="Y2274" s="12"/>
      <c r="Z2274" s="12"/>
    </row>
    <row r="2275" spans="1:26" ht="15.75" customHeight="1" x14ac:dyDescent="0.3">
      <c r="A2275" s="3"/>
      <c r="B2275" s="167"/>
      <c r="C2275" s="94"/>
      <c r="D2275" s="12"/>
      <c r="E2275" s="167"/>
      <c r="F2275" s="12"/>
      <c r="G2275" s="331"/>
      <c r="H2275" s="474"/>
      <c r="I2275" s="475"/>
      <c r="J2275" s="476"/>
      <c r="K2275" s="5"/>
      <c r="L2275" s="3"/>
      <c r="M2275" s="6"/>
      <c r="N2275" s="9"/>
      <c r="O2275" s="9"/>
      <c r="P2275" s="12"/>
      <c r="Q2275" s="12"/>
      <c r="R2275" s="12"/>
      <c r="S2275" s="151"/>
      <c r="T2275" s="12"/>
      <c r="U2275" s="12"/>
      <c r="V2275" s="12"/>
      <c r="W2275" s="12"/>
      <c r="X2275" s="12"/>
      <c r="Y2275" s="12"/>
      <c r="Z2275" s="12"/>
    </row>
    <row r="2276" spans="1:26" ht="15.75" customHeight="1" x14ac:dyDescent="0.3">
      <c r="A2276" s="3"/>
      <c r="B2276" s="167"/>
      <c r="C2276" s="94"/>
      <c r="D2276" s="12"/>
      <c r="E2276" s="167"/>
      <c r="F2276" s="12"/>
      <c r="G2276" s="331"/>
      <c r="H2276" s="474"/>
      <c r="I2276" s="475"/>
      <c r="J2276" s="476"/>
      <c r="K2276" s="5"/>
      <c r="L2276" s="3"/>
      <c r="M2276" s="6"/>
      <c r="N2276" s="9"/>
      <c r="O2276" s="9"/>
      <c r="P2276" s="12"/>
      <c r="Q2276" s="12"/>
      <c r="R2276" s="12"/>
      <c r="S2276" s="151"/>
      <c r="T2276" s="12"/>
      <c r="U2276" s="12"/>
      <c r="V2276" s="12"/>
      <c r="W2276" s="12"/>
      <c r="X2276" s="12"/>
      <c r="Y2276" s="12"/>
      <c r="Z2276" s="12"/>
    </row>
    <row r="2277" spans="1:26" ht="15.75" customHeight="1" x14ac:dyDescent="0.3">
      <c r="A2277" s="3"/>
      <c r="B2277" s="167"/>
      <c r="C2277" s="94"/>
      <c r="D2277" s="12"/>
      <c r="E2277" s="167"/>
      <c r="F2277" s="12"/>
      <c r="G2277" s="331"/>
      <c r="H2277" s="474"/>
      <c r="I2277" s="475"/>
      <c r="J2277" s="476"/>
      <c r="K2277" s="5"/>
      <c r="L2277" s="3"/>
      <c r="M2277" s="6"/>
      <c r="N2277" s="9"/>
      <c r="O2277" s="9"/>
      <c r="P2277" s="12"/>
      <c r="Q2277" s="12"/>
      <c r="R2277" s="12"/>
      <c r="S2277" s="151"/>
      <c r="T2277" s="12"/>
      <c r="U2277" s="12"/>
      <c r="V2277" s="12"/>
      <c r="W2277" s="12"/>
      <c r="X2277" s="12"/>
      <c r="Y2277" s="12"/>
      <c r="Z2277" s="12"/>
    </row>
    <row r="2278" spans="1:26" ht="15.75" customHeight="1" x14ac:dyDescent="0.3">
      <c r="A2278" s="3"/>
      <c r="B2278" s="167"/>
      <c r="C2278" s="94"/>
      <c r="D2278" s="12"/>
      <c r="E2278" s="167"/>
      <c r="F2278" s="12"/>
      <c r="G2278" s="331"/>
      <c r="H2278" s="474"/>
      <c r="I2278" s="475"/>
      <c r="J2278" s="476"/>
      <c r="K2278" s="5"/>
      <c r="L2278" s="3"/>
      <c r="M2278" s="6"/>
      <c r="N2278" s="9"/>
      <c r="O2278" s="9"/>
      <c r="P2278" s="12"/>
      <c r="Q2278" s="12"/>
      <c r="R2278" s="12"/>
      <c r="S2278" s="151"/>
      <c r="T2278" s="12"/>
      <c r="U2278" s="12"/>
      <c r="V2278" s="12"/>
      <c r="W2278" s="12"/>
      <c r="X2278" s="12"/>
      <c r="Y2278" s="12"/>
      <c r="Z2278" s="12"/>
    </row>
    <row r="2279" spans="1:26" ht="15.75" customHeight="1" x14ac:dyDescent="0.3">
      <c r="A2279" s="3"/>
      <c r="B2279" s="167"/>
      <c r="C2279" s="94"/>
      <c r="D2279" s="12"/>
      <c r="E2279" s="167"/>
      <c r="F2279" s="12"/>
      <c r="G2279" s="331"/>
      <c r="H2279" s="474"/>
      <c r="I2279" s="475"/>
      <c r="J2279" s="476"/>
      <c r="K2279" s="5"/>
      <c r="L2279" s="3"/>
      <c r="M2279" s="6"/>
      <c r="N2279" s="9"/>
      <c r="O2279" s="9"/>
      <c r="P2279" s="12"/>
      <c r="Q2279" s="12"/>
      <c r="R2279" s="12"/>
      <c r="S2279" s="151"/>
      <c r="T2279" s="12"/>
      <c r="U2279" s="12"/>
      <c r="V2279" s="12"/>
      <c r="W2279" s="12"/>
      <c r="X2279" s="12"/>
      <c r="Y2279" s="12"/>
      <c r="Z2279" s="12"/>
    </row>
    <row r="2280" spans="1:26" ht="15.75" customHeight="1" x14ac:dyDescent="0.3">
      <c r="A2280" s="3"/>
      <c r="B2280" s="167"/>
      <c r="C2280" s="94"/>
      <c r="D2280" s="12"/>
      <c r="E2280" s="167"/>
      <c r="F2280" s="12"/>
      <c r="G2280" s="331"/>
      <c r="H2280" s="474"/>
      <c r="I2280" s="475"/>
      <c r="J2280" s="476"/>
      <c r="K2280" s="5"/>
      <c r="L2280" s="3"/>
      <c r="M2280" s="6"/>
      <c r="N2280" s="9"/>
      <c r="O2280" s="9"/>
      <c r="P2280" s="12"/>
      <c r="Q2280" s="12"/>
      <c r="R2280" s="12"/>
      <c r="S2280" s="151"/>
      <c r="T2280" s="12"/>
      <c r="U2280" s="12"/>
      <c r="V2280" s="12"/>
      <c r="W2280" s="12"/>
      <c r="X2280" s="12"/>
      <c r="Y2280" s="12"/>
      <c r="Z2280" s="12"/>
    </row>
    <row r="2281" spans="1:26" ht="15.75" customHeight="1" x14ac:dyDescent="0.3">
      <c r="A2281" s="3"/>
      <c r="B2281" s="167"/>
      <c r="C2281" s="94"/>
      <c r="D2281" s="12"/>
      <c r="E2281" s="167"/>
      <c r="F2281" s="12"/>
      <c r="G2281" s="331"/>
      <c r="H2281" s="474"/>
      <c r="I2281" s="475"/>
      <c r="J2281" s="476"/>
      <c r="K2281" s="5"/>
      <c r="L2281" s="3"/>
      <c r="M2281" s="6"/>
      <c r="N2281" s="9"/>
      <c r="O2281" s="9"/>
      <c r="P2281" s="12"/>
      <c r="Q2281" s="12"/>
      <c r="R2281" s="12"/>
      <c r="S2281" s="151"/>
      <c r="T2281" s="12"/>
      <c r="U2281" s="12"/>
      <c r="V2281" s="12"/>
      <c r="W2281" s="12"/>
      <c r="X2281" s="12"/>
      <c r="Y2281" s="12"/>
      <c r="Z2281" s="12"/>
    </row>
    <row r="2282" spans="1:26" ht="15.75" customHeight="1" x14ac:dyDescent="0.3">
      <c r="A2282" s="3"/>
      <c r="B2282" s="167"/>
      <c r="C2282" s="94"/>
      <c r="D2282" s="12"/>
      <c r="E2282" s="167"/>
      <c r="F2282" s="12"/>
      <c r="G2282" s="331"/>
      <c r="H2282" s="474"/>
      <c r="I2282" s="475"/>
      <c r="J2282" s="476"/>
      <c r="K2282" s="5"/>
      <c r="L2282" s="3"/>
      <c r="M2282" s="6"/>
      <c r="N2282" s="9"/>
      <c r="O2282" s="9"/>
      <c r="P2282" s="12"/>
      <c r="Q2282" s="12"/>
      <c r="R2282" s="12"/>
      <c r="S2282" s="151"/>
      <c r="T2282" s="12"/>
      <c r="U2282" s="12"/>
      <c r="V2282" s="12"/>
      <c r="W2282" s="12"/>
      <c r="X2282" s="12"/>
      <c r="Y2282" s="12"/>
      <c r="Z2282" s="12"/>
    </row>
    <row r="2283" spans="1:26" ht="15.75" customHeight="1" x14ac:dyDescent="0.3">
      <c r="A2283" s="3"/>
      <c r="B2283" s="167"/>
      <c r="C2283" s="94"/>
      <c r="D2283" s="12"/>
      <c r="E2283" s="167"/>
      <c r="F2283" s="12"/>
      <c r="G2283" s="331"/>
      <c r="H2283" s="474"/>
      <c r="I2283" s="475"/>
      <c r="J2283" s="476"/>
      <c r="K2283" s="5"/>
      <c r="L2283" s="3"/>
      <c r="M2283" s="6"/>
      <c r="N2283" s="9"/>
      <c r="O2283" s="9"/>
      <c r="P2283" s="12"/>
      <c r="Q2283" s="12"/>
      <c r="R2283" s="12"/>
      <c r="S2283" s="151"/>
      <c r="T2283" s="12"/>
      <c r="U2283" s="12"/>
      <c r="V2283" s="12"/>
      <c r="W2283" s="12"/>
      <c r="X2283" s="12"/>
      <c r="Y2283" s="12"/>
      <c r="Z2283" s="12"/>
    </row>
    <row r="2284" spans="1:26" ht="15.75" customHeight="1" x14ac:dyDescent="0.3">
      <c r="A2284" s="3"/>
      <c r="B2284" s="167"/>
      <c r="C2284" s="94"/>
      <c r="D2284" s="12"/>
      <c r="E2284" s="167"/>
      <c r="F2284" s="12"/>
      <c r="G2284" s="331"/>
      <c r="H2284" s="474"/>
      <c r="I2284" s="475"/>
      <c r="J2284" s="476"/>
      <c r="K2284" s="5"/>
      <c r="L2284" s="3"/>
      <c r="M2284" s="6"/>
      <c r="N2284" s="9"/>
      <c r="O2284" s="9"/>
      <c r="P2284" s="12"/>
      <c r="Q2284" s="12"/>
      <c r="R2284" s="12"/>
      <c r="S2284" s="151"/>
      <c r="T2284" s="12"/>
      <c r="U2284" s="12"/>
      <c r="V2284" s="12"/>
      <c r="W2284" s="12"/>
      <c r="X2284" s="12"/>
      <c r="Y2284" s="12"/>
      <c r="Z2284" s="12"/>
    </row>
    <row r="2285" spans="1:26" ht="15.75" customHeight="1" x14ac:dyDescent="0.3">
      <c r="A2285" s="3"/>
      <c r="B2285" s="167"/>
      <c r="C2285" s="94"/>
      <c r="D2285" s="12"/>
      <c r="E2285" s="167"/>
      <c r="F2285" s="12"/>
      <c r="G2285" s="331"/>
      <c r="H2285" s="474"/>
      <c r="I2285" s="475"/>
      <c r="J2285" s="476"/>
      <c r="K2285" s="5"/>
      <c r="L2285" s="3"/>
      <c r="M2285" s="6"/>
      <c r="N2285" s="9"/>
      <c r="O2285" s="9"/>
      <c r="P2285" s="12"/>
      <c r="Q2285" s="12"/>
      <c r="R2285" s="12"/>
      <c r="S2285" s="151"/>
      <c r="T2285" s="12"/>
      <c r="U2285" s="12"/>
      <c r="V2285" s="12"/>
      <c r="W2285" s="12"/>
      <c r="X2285" s="12"/>
      <c r="Y2285" s="12"/>
      <c r="Z2285" s="12"/>
    </row>
    <row r="2286" spans="1:26" ht="15.75" customHeight="1" x14ac:dyDescent="0.3">
      <c r="A2286" s="3"/>
      <c r="B2286" s="167"/>
      <c r="C2286" s="94"/>
      <c r="D2286" s="12"/>
      <c r="E2286" s="167"/>
      <c r="F2286" s="12"/>
      <c r="G2286" s="331"/>
      <c r="H2286" s="474"/>
      <c r="I2286" s="475"/>
      <c r="J2286" s="476"/>
      <c r="K2286" s="5"/>
      <c r="L2286" s="3"/>
      <c r="M2286" s="6"/>
      <c r="N2286" s="9"/>
      <c r="O2286" s="9"/>
      <c r="P2286" s="12"/>
      <c r="Q2286" s="12"/>
      <c r="R2286" s="12"/>
      <c r="S2286" s="151"/>
      <c r="T2286" s="12"/>
      <c r="U2286" s="12"/>
      <c r="V2286" s="12"/>
      <c r="W2286" s="12"/>
      <c r="X2286" s="12"/>
      <c r="Y2286" s="12"/>
      <c r="Z2286" s="12"/>
    </row>
    <row r="2287" spans="1:26" ht="15.75" customHeight="1" x14ac:dyDescent="0.3">
      <c r="A2287" s="3"/>
      <c r="B2287" s="167"/>
      <c r="C2287" s="94"/>
      <c r="D2287" s="12"/>
      <c r="E2287" s="167"/>
      <c r="F2287" s="12"/>
      <c r="G2287" s="331"/>
      <c r="H2287" s="474"/>
      <c r="I2287" s="475"/>
      <c r="J2287" s="476"/>
      <c r="K2287" s="5"/>
      <c r="L2287" s="3"/>
      <c r="M2287" s="6"/>
      <c r="N2287" s="9"/>
      <c r="O2287" s="9"/>
      <c r="P2287" s="12"/>
      <c r="Q2287" s="12"/>
      <c r="R2287" s="12"/>
      <c r="S2287" s="151"/>
      <c r="T2287" s="12"/>
      <c r="U2287" s="12"/>
      <c r="V2287" s="12"/>
      <c r="W2287" s="12"/>
      <c r="X2287" s="12"/>
      <c r="Y2287" s="12"/>
      <c r="Z2287" s="12"/>
    </row>
    <row r="2288" spans="1:26" ht="15.75" customHeight="1" x14ac:dyDescent="0.3">
      <c r="A2288" s="3"/>
      <c r="B2288" s="167"/>
      <c r="C2288" s="94"/>
      <c r="D2288" s="12"/>
      <c r="E2288" s="167"/>
      <c r="F2288" s="12"/>
      <c r="G2288" s="331"/>
      <c r="H2288" s="474"/>
      <c r="I2288" s="475"/>
      <c r="J2288" s="476"/>
      <c r="K2288" s="5"/>
      <c r="L2288" s="3"/>
      <c r="M2288" s="6"/>
      <c r="N2288" s="9"/>
      <c r="O2288" s="9"/>
      <c r="P2288" s="12"/>
      <c r="Q2288" s="12"/>
      <c r="R2288" s="12"/>
      <c r="S2288" s="151"/>
      <c r="T2288" s="12"/>
      <c r="U2288" s="12"/>
      <c r="V2288" s="12"/>
      <c r="W2288" s="12"/>
      <c r="X2288" s="12"/>
      <c r="Y2288" s="12"/>
      <c r="Z2288" s="12"/>
    </row>
    <row r="2289" spans="1:26" ht="15.75" customHeight="1" x14ac:dyDescent="0.3">
      <c r="A2289" s="3"/>
      <c r="B2289" s="167"/>
      <c r="C2289" s="94"/>
      <c r="D2289" s="12"/>
      <c r="E2289" s="167"/>
      <c r="F2289" s="12"/>
      <c r="G2289" s="331"/>
      <c r="H2289" s="474"/>
      <c r="I2289" s="475"/>
      <c r="J2289" s="476"/>
      <c r="K2289" s="5"/>
      <c r="L2289" s="3"/>
      <c r="M2289" s="6"/>
      <c r="N2289" s="9"/>
      <c r="O2289" s="9"/>
      <c r="P2289" s="12"/>
      <c r="Q2289" s="12"/>
      <c r="R2289" s="12"/>
      <c r="S2289" s="151"/>
      <c r="T2289" s="12"/>
      <c r="U2289" s="12"/>
      <c r="V2289" s="12"/>
      <c r="W2289" s="12"/>
      <c r="X2289" s="12"/>
      <c r="Y2289" s="12"/>
      <c r="Z2289" s="12"/>
    </row>
    <row r="2290" spans="1:26" ht="15.75" customHeight="1" x14ac:dyDescent="0.3">
      <c r="A2290" s="3"/>
      <c r="B2290" s="167"/>
      <c r="C2290" s="94"/>
      <c r="D2290" s="12"/>
      <c r="E2290" s="167"/>
      <c r="F2290" s="12"/>
      <c r="G2290" s="331"/>
      <c r="H2290" s="474"/>
      <c r="I2290" s="475"/>
      <c r="J2290" s="476"/>
      <c r="K2290" s="5"/>
      <c r="L2290" s="3"/>
      <c r="M2290" s="6"/>
      <c r="N2290" s="9"/>
      <c r="O2290" s="9"/>
      <c r="P2290" s="12"/>
      <c r="Q2290" s="12"/>
      <c r="R2290" s="12"/>
      <c r="S2290" s="151"/>
      <c r="T2290" s="12"/>
      <c r="U2290" s="12"/>
      <c r="V2290" s="12"/>
      <c r="W2290" s="12"/>
      <c r="X2290" s="12"/>
      <c r="Y2290" s="12"/>
      <c r="Z2290" s="12"/>
    </row>
    <row r="2291" spans="1:26" ht="15.75" customHeight="1" x14ac:dyDescent="0.3">
      <c r="A2291" s="3"/>
      <c r="B2291" s="167"/>
      <c r="C2291" s="94"/>
      <c r="D2291" s="12"/>
      <c r="E2291" s="167"/>
      <c r="F2291" s="12"/>
      <c r="G2291" s="331"/>
      <c r="H2291" s="474"/>
      <c r="I2291" s="475"/>
      <c r="J2291" s="476"/>
      <c r="K2291" s="5"/>
      <c r="L2291" s="3"/>
      <c r="M2291" s="6"/>
      <c r="N2291" s="9"/>
      <c r="O2291" s="9"/>
      <c r="P2291" s="12"/>
      <c r="Q2291" s="12"/>
      <c r="R2291" s="12"/>
      <c r="S2291" s="151"/>
      <c r="T2291" s="12"/>
      <c r="U2291" s="12"/>
      <c r="V2291" s="12"/>
      <c r="W2291" s="12"/>
      <c r="X2291" s="12"/>
      <c r="Y2291" s="12"/>
      <c r="Z2291" s="12"/>
    </row>
    <row r="2292" spans="1:26" ht="15.75" customHeight="1" x14ac:dyDescent="0.3">
      <c r="A2292" s="3"/>
      <c r="B2292" s="167"/>
      <c r="C2292" s="94"/>
      <c r="D2292" s="12"/>
      <c r="E2292" s="167"/>
      <c r="F2292" s="12"/>
      <c r="G2292" s="331"/>
      <c r="H2292" s="474"/>
      <c r="I2292" s="475"/>
      <c r="J2292" s="476"/>
      <c r="K2292" s="5"/>
      <c r="L2292" s="3"/>
      <c r="M2292" s="6"/>
      <c r="N2292" s="9"/>
      <c r="O2292" s="9"/>
      <c r="P2292" s="12"/>
      <c r="Q2292" s="12"/>
      <c r="R2292" s="12"/>
      <c r="S2292" s="151"/>
      <c r="T2292" s="12"/>
      <c r="U2292" s="12"/>
      <c r="V2292" s="12"/>
      <c r="W2292" s="12"/>
      <c r="X2292" s="12"/>
      <c r="Y2292" s="12"/>
      <c r="Z2292" s="12"/>
    </row>
    <row r="2293" spans="1:26" ht="15.75" customHeight="1" x14ac:dyDescent="0.3">
      <c r="A2293" s="3"/>
      <c r="B2293" s="167"/>
      <c r="C2293" s="94"/>
      <c r="D2293" s="12"/>
      <c r="E2293" s="167"/>
      <c r="F2293" s="12"/>
      <c r="G2293" s="331"/>
      <c r="H2293" s="474"/>
      <c r="I2293" s="475"/>
      <c r="J2293" s="476"/>
      <c r="K2293" s="5"/>
      <c r="L2293" s="3"/>
      <c r="M2293" s="6"/>
      <c r="N2293" s="9"/>
      <c r="O2293" s="9"/>
      <c r="P2293" s="12"/>
      <c r="Q2293" s="12"/>
      <c r="R2293" s="12"/>
      <c r="S2293" s="151"/>
      <c r="T2293" s="12"/>
      <c r="U2293" s="12"/>
      <c r="V2293" s="12"/>
      <c r="W2293" s="12"/>
      <c r="X2293" s="12"/>
      <c r="Y2293" s="12"/>
      <c r="Z2293" s="12"/>
    </row>
    <row r="2294" spans="1:26" ht="15.75" customHeight="1" x14ac:dyDescent="0.3">
      <c r="A2294" s="3"/>
      <c r="B2294" s="167"/>
      <c r="C2294" s="94"/>
      <c r="D2294" s="12"/>
      <c r="E2294" s="167"/>
      <c r="F2294" s="12"/>
      <c r="G2294" s="331"/>
      <c r="H2294" s="474"/>
      <c r="I2294" s="475"/>
      <c r="J2294" s="476"/>
      <c r="K2294" s="5"/>
      <c r="L2294" s="3"/>
      <c r="M2294" s="6"/>
      <c r="N2294" s="9"/>
      <c r="O2294" s="9"/>
      <c r="P2294" s="12"/>
      <c r="Q2294" s="12"/>
      <c r="R2294" s="12"/>
      <c r="S2294" s="151"/>
      <c r="T2294" s="12"/>
      <c r="U2294" s="12"/>
      <c r="V2294" s="12"/>
      <c r="W2294" s="12"/>
      <c r="X2294" s="12"/>
      <c r="Y2294" s="12"/>
      <c r="Z2294" s="12"/>
    </row>
    <row r="2295" spans="1:26" ht="15.75" customHeight="1" x14ac:dyDescent="0.3">
      <c r="A2295" s="3"/>
      <c r="B2295" s="167"/>
      <c r="C2295" s="94"/>
      <c r="D2295" s="12"/>
      <c r="E2295" s="167"/>
      <c r="F2295" s="12"/>
      <c r="G2295" s="331"/>
      <c r="H2295" s="474"/>
      <c r="I2295" s="475"/>
      <c r="J2295" s="476"/>
      <c r="K2295" s="5"/>
      <c r="L2295" s="3"/>
      <c r="M2295" s="6"/>
      <c r="N2295" s="9"/>
      <c r="O2295" s="9"/>
      <c r="P2295" s="12"/>
      <c r="Q2295" s="12"/>
      <c r="R2295" s="12"/>
      <c r="S2295" s="151"/>
      <c r="T2295" s="12"/>
      <c r="U2295" s="12"/>
      <c r="V2295" s="12"/>
      <c r="W2295" s="12"/>
      <c r="X2295" s="12"/>
      <c r="Y2295" s="12"/>
      <c r="Z2295" s="12"/>
    </row>
    <row r="2296" spans="1:26" ht="15.75" customHeight="1" x14ac:dyDescent="0.3">
      <c r="A2296" s="3"/>
      <c r="B2296" s="167"/>
      <c r="C2296" s="94"/>
      <c r="D2296" s="12"/>
      <c r="E2296" s="167"/>
      <c r="F2296" s="12"/>
      <c r="G2296" s="331"/>
      <c r="H2296" s="474"/>
      <c r="I2296" s="475"/>
      <c r="J2296" s="476"/>
      <c r="K2296" s="5"/>
      <c r="L2296" s="3"/>
      <c r="M2296" s="6"/>
      <c r="N2296" s="9"/>
      <c r="O2296" s="9"/>
      <c r="P2296" s="12"/>
      <c r="Q2296" s="12"/>
      <c r="R2296" s="12"/>
      <c r="S2296" s="151"/>
      <c r="T2296" s="12"/>
      <c r="U2296" s="12"/>
      <c r="V2296" s="12"/>
      <c r="W2296" s="12"/>
      <c r="X2296" s="12"/>
      <c r="Y2296" s="12"/>
      <c r="Z2296" s="12"/>
    </row>
    <row r="2297" spans="1:26" ht="15.75" customHeight="1" x14ac:dyDescent="0.3">
      <c r="A2297" s="3"/>
      <c r="B2297" s="167"/>
      <c r="C2297" s="94"/>
      <c r="D2297" s="12"/>
      <c r="E2297" s="167"/>
      <c r="F2297" s="12"/>
      <c r="G2297" s="331"/>
      <c r="H2297" s="474"/>
      <c r="I2297" s="475"/>
      <c r="J2297" s="476"/>
      <c r="K2297" s="5"/>
      <c r="L2297" s="3"/>
      <c r="M2297" s="6"/>
      <c r="N2297" s="9"/>
      <c r="O2297" s="9"/>
      <c r="P2297" s="12"/>
      <c r="Q2297" s="12"/>
      <c r="R2297" s="12"/>
      <c r="S2297" s="151"/>
      <c r="T2297" s="12"/>
      <c r="U2297" s="12"/>
      <c r="V2297" s="12"/>
      <c r="W2297" s="12"/>
      <c r="X2297" s="12"/>
      <c r="Y2297" s="12"/>
      <c r="Z2297" s="12"/>
    </row>
    <row r="2298" spans="1:26" ht="15.75" customHeight="1" x14ac:dyDescent="0.3">
      <c r="A2298" s="3"/>
      <c r="B2298" s="167"/>
      <c r="C2298" s="94"/>
      <c r="D2298" s="12"/>
      <c r="E2298" s="167"/>
      <c r="F2298" s="12"/>
      <c r="G2298" s="331"/>
      <c r="H2298" s="474"/>
      <c r="I2298" s="475"/>
      <c r="J2298" s="476"/>
      <c r="K2298" s="5"/>
      <c r="L2298" s="3"/>
      <c r="M2298" s="6"/>
      <c r="N2298" s="9"/>
      <c r="O2298" s="9"/>
      <c r="P2298" s="12"/>
      <c r="Q2298" s="12"/>
      <c r="R2298" s="12"/>
      <c r="S2298" s="151"/>
      <c r="T2298" s="12"/>
      <c r="U2298" s="12"/>
      <c r="V2298" s="12"/>
      <c r="W2298" s="12"/>
      <c r="X2298" s="12"/>
      <c r="Y2298" s="12"/>
      <c r="Z2298" s="12"/>
    </row>
    <row r="2299" spans="1:26" ht="15.75" customHeight="1" x14ac:dyDescent="0.3">
      <c r="A2299" s="3"/>
      <c r="B2299" s="167"/>
      <c r="C2299" s="94"/>
      <c r="D2299" s="12"/>
      <c r="E2299" s="167"/>
      <c r="F2299" s="12"/>
      <c r="G2299" s="331"/>
      <c r="H2299" s="474"/>
      <c r="I2299" s="475"/>
      <c r="J2299" s="476"/>
      <c r="K2299" s="5"/>
      <c r="L2299" s="3"/>
      <c r="M2299" s="6"/>
      <c r="N2299" s="9"/>
      <c r="O2299" s="9"/>
      <c r="P2299" s="12"/>
      <c r="Q2299" s="12"/>
      <c r="R2299" s="12"/>
      <c r="S2299" s="151"/>
      <c r="T2299" s="12"/>
      <c r="U2299" s="12"/>
      <c r="V2299" s="12"/>
      <c r="W2299" s="12"/>
      <c r="X2299" s="12"/>
      <c r="Y2299" s="12"/>
      <c r="Z2299" s="12"/>
    </row>
    <row r="2300" spans="1:26" ht="15.75" customHeight="1" x14ac:dyDescent="0.3">
      <c r="A2300" s="3"/>
      <c r="B2300" s="167"/>
      <c r="C2300" s="94"/>
      <c r="D2300" s="12"/>
      <c r="E2300" s="167"/>
      <c r="F2300" s="12"/>
      <c r="G2300" s="331"/>
      <c r="H2300" s="474"/>
      <c r="I2300" s="475"/>
      <c r="J2300" s="476"/>
      <c r="K2300" s="5"/>
      <c r="L2300" s="3"/>
      <c r="M2300" s="6"/>
      <c r="N2300" s="9"/>
      <c r="O2300" s="9"/>
      <c r="P2300" s="12"/>
      <c r="Q2300" s="12"/>
      <c r="R2300" s="12"/>
      <c r="S2300" s="151"/>
      <c r="T2300" s="12"/>
      <c r="U2300" s="12"/>
      <c r="V2300" s="12"/>
      <c r="W2300" s="12"/>
      <c r="X2300" s="12"/>
      <c r="Y2300" s="12"/>
      <c r="Z2300" s="12"/>
    </row>
    <row r="2301" spans="1:26" ht="15.75" customHeight="1" x14ac:dyDescent="0.3">
      <c r="A2301" s="3"/>
      <c r="B2301" s="167"/>
      <c r="C2301" s="94"/>
      <c r="D2301" s="12"/>
      <c r="E2301" s="167"/>
      <c r="F2301" s="12"/>
      <c r="G2301" s="331"/>
      <c r="H2301" s="474"/>
      <c r="I2301" s="475"/>
      <c r="J2301" s="476"/>
      <c r="K2301" s="5"/>
      <c r="L2301" s="3"/>
      <c r="M2301" s="6"/>
      <c r="N2301" s="9"/>
      <c r="O2301" s="9"/>
      <c r="P2301" s="12"/>
      <c r="Q2301" s="12"/>
      <c r="R2301" s="12"/>
      <c r="S2301" s="151"/>
      <c r="T2301" s="12"/>
      <c r="U2301" s="12"/>
      <c r="V2301" s="12"/>
      <c r="W2301" s="12"/>
      <c r="X2301" s="12"/>
      <c r="Y2301" s="12"/>
      <c r="Z2301" s="12"/>
    </row>
    <row r="2302" spans="1:26" ht="15.75" customHeight="1" x14ac:dyDescent="0.3">
      <c r="A2302" s="3"/>
      <c r="B2302" s="167"/>
      <c r="C2302" s="94"/>
      <c r="D2302" s="12"/>
      <c r="E2302" s="167"/>
      <c r="F2302" s="12"/>
      <c r="G2302" s="331"/>
      <c r="H2302" s="474"/>
      <c r="I2302" s="475"/>
      <c r="J2302" s="476"/>
      <c r="K2302" s="5"/>
      <c r="L2302" s="3"/>
      <c r="M2302" s="6"/>
      <c r="N2302" s="9"/>
      <c r="O2302" s="9"/>
      <c r="P2302" s="12"/>
      <c r="Q2302" s="12"/>
      <c r="R2302" s="12"/>
      <c r="S2302" s="151"/>
      <c r="T2302" s="12"/>
      <c r="U2302" s="12"/>
      <c r="V2302" s="12"/>
      <c r="W2302" s="12"/>
      <c r="X2302" s="12"/>
      <c r="Y2302" s="12"/>
      <c r="Z2302" s="12"/>
    </row>
    <row r="2303" spans="1:26" ht="15.75" customHeight="1" x14ac:dyDescent="0.3">
      <c r="A2303" s="3"/>
      <c r="B2303" s="167"/>
      <c r="C2303" s="94"/>
      <c r="D2303" s="12"/>
      <c r="E2303" s="167"/>
      <c r="F2303" s="12"/>
      <c r="G2303" s="331"/>
      <c r="H2303" s="474"/>
      <c r="I2303" s="475"/>
      <c r="J2303" s="476"/>
      <c r="K2303" s="5"/>
      <c r="L2303" s="3"/>
      <c r="M2303" s="6"/>
      <c r="N2303" s="9"/>
      <c r="O2303" s="9"/>
      <c r="P2303" s="12"/>
      <c r="Q2303" s="12"/>
      <c r="R2303" s="12"/>
      <c r="S2303" s="151"/>
      <c r="T2303" s="12"/>
      <c r="U2303" s="12"/>
      <c r="V2303" s="12"/>
      <c r="W2303" s="12"/>
      <c r="X2303" s="12"/>
      <c r="Y2303" s="12"/>
      <c r="Z2303" s="12"/>
    </row>
    <row r="2304" spans="1:26" ht="15.75" customHeight="1" x14ac:dyDescent="0.3">
      <c r="A2304" s="3"/>
      <c r="B2304" s="167"/>
      <c r="C2304" s="94"/>
      <c r="D2304" s="12"/>
      <c r="E2304" s="167"/>
      <c r="F2304" s="12"/>
      <c r="G2304" s="331"/>
      <c r="H2304" s="474"/>
      <c r="I2304" s="475"/>
      <c r="J2304" s="476"/>
      <c r="K2304" s="5"/>
      <c r="L2304" s="3"/>
      <c r="M2304" s="6"/>
      <c r="N2304" s="9"/>
      <c r="O2304" s="9"/>
      <c r="P2304" s="12"/>
      <c r="Q2304" s="12"/>
      <c r="R2304" s="12"/>
      <c r="S2304" s="151"/>
      <c r="T2304" s="12"/>
      <c r="U2304" s="12"/>
      <c r="V2304" s="12"/>
      <c r="W2304" s="12"/>
      <c r="X2304" s="12"/>
      <c r="Y2304" s="12"/>
      <c r="Z2304" s="12"/>
    </row>
    <row r="2305" spans="1:26" ht="15.75" customHeight="1" x14ac:dyDescent="0.3">
      <c r="A2305" s="3"/>
      <c r="B2305" s="167"/>
      <c r="C2305" s="94"/>
      <c r="D2305" s="12"/>
      <c r="E2305" s="167"/>
      <c r="F2305" s="12"/>
      <c r="G2305" s="331"/>
      <c r="H2305" s="474"/>
      <c r="I2305" s="475"/>
      <c r="J2305" s="476"/>
      <c r="K2305" s="5"/>
      <c r="L2305" s="3"/>
      <c r="M2305" s="6"/>
      <c r="N2305" s="9"/>
      <c r="O2305" s="9"/>
      <c r="P2305" s="12"/>
      <c r="Q2305" s="12"/>
      <c r="R2305" s="12"/>
      <c r="S2305" s="151"/>
      <c r="T2305" s="12"/>
      <c r="U2305" s="12"/>
      <c r="V2305" s="12"/>
      <c r="W2305" s="12"/>
      <c r="X2305" s="12"/>
      <c r="Y2305" s="12"/>
      <c r="Z2305" s="12"/>
    </row>
    <row r="2306" spans="1:26" ht="15.75" customHeight="1" x14ac:dyDescent="0.3">
      <c r="A2306" s="3"/>
      <c r="B2306" s="167"/>
      <c r="C2306" s="94"/>
      <c r="D2306" s="12"/>
      <c r="E2306" s="167"/>
      <c r="F2306" s="12"/>
      <c r="G2306" s="331"/>
      <c r="H2306" s="474"/>
      <c r="I2306" s="475"/>
      <c r="J2306" s="476"/>
      <c r="K2306" s="5"/>
      <c r="L2306" s="3"/>
      <c r="M2306" s="6"/>
      <c r="N2306" s="9"/>
      <c r="O2306" s="9"/>
      <c r="P2306" s="12"/>
      <c r="Q2306" s="12"/>
      <c r="R2306" s="12"/>
      <c r="S2306" s="151"/>
      <c r="T2306" s="12"/>
      <c r="U2306" s="12"/>
      <c r="V2306" s="12"/>
      <c r="W2306" s="12"/>
      <c r="X2306" s="12"/>
      <c r="Y2306" s="12"/>
      <c r="Z2306" s="12"/>
    </row>
    <row r="2307" spans="1:26" ht="15.75" customHeight="1" x14ac:dyDescent="0.3">
      <c r="A2307" s="3"/>
      <c r="B2307" s="167"/>
      <c r="C2307" s="94"/>
      <c r="D2307" s="12"/>
      <c r="E2307" s="167"/>
      <c r="F2307" s="12"/>
      <c r="G2307" s="331"/>
      <c r="H2307" s="474"/>
      <c r="I2307" s="475"/>
      <c r="J2307" s="476"/>
      <c r="K2307" s="5"/>
      <c r="L2307" s="3"/>
      <c r="M2307" s="6"/>
      <c r="N2307" s="9"/>
      <c r="O2307" s="9"/>
      <c r="P2307" s="12"/>
      <c r="Q2307" s="12"/>
      <c r="R2307" s="12"/>
      <c r="S2307" s="151"/>
      <c r="T2307" s="12"/>
      <c r="U2307" s="12"/>
      <c r="V2307" s="12"/>
      <c r="W2307" s="12"/>
      <c r="X2307" s="12"/>
      <c r="Y2307" s="12"/>
      <c r="Z2307" s="12"/>
    </row>
    <row r="2308" spans="1:26" ht="15.75" customHeight="1" x14ac:dyDescent="0.3">
      <c r="A2308" s="3"/>
      <c r="B2308" s="167"/>
      <c r="C2308" s="94"/>
      <c r="D2308" s="12"/>
      <c r="E2308" s="167"/>
      <c r="F2308" s="12"/>
      <c r="G2308" s="331"/>
      <c r="H2308" s="474"/>
      <c r="I2308" s="475"/>
      <c r="J2308" s="476"/>
      <c r="K2308" s="5"/>
      <c r="L2308" s="3"/>
      <c r="M2308" s="6"/>
      <c r="N2308" s="9"/>
      <c r="O2308" s="9"/>
      <c r="P2308" s="12"/>
      <c r="Q2308" s="12"/>
      <c r="R2308" s="12"/>
      <c r="S2308" s="151"/>
      <c r="T2308" s="12"/>
      <c r="U2308" s="12"/>
      <c r="V2308" s="12"/>
      <c r="W2308" s="12"/>
      <c r="X2308" s="12"/>
      <c r="Y2308" s="12"/>
      <c r="Z2308" s="12"/>
    </row>
    <row r="2309" spans="1:26" ht="15.75" customHeight="1" x14ac:dyDescent="0.3">
      <c r="A2309" s="3"/>
      <c r="B2309" s="167"/>
      <c r="C2309" s="94"/>
      <c r="D2309" s="12"/>
      <c r="E2309" s="167"/>
      <c r="F2309" s="12"/>
      <c r="G2309" s="331"/>
      <c r="H2309" s="474"/>
      <c r="I2309" s="475"/>
      <c r="J2309" s="476"/>
      <c r="K2309" s="5"/>
      <c r="L2309" s="3"/>
      <c r="M2309" s="6"/>
      <c r="N2309" s="9"/>
      <c r="O2309" s="9"/>
      <c r="P2309" s="12"/>
      <c r="Q2309" s="12"/>
      <c r="R2309" s="12"/>
      <c r="S2309" s="151"/>
      <c r="T2309" s="12"/>
      <c r="U2309" s="12"/>
      <c r="V2309" s="12"/>
      <c r="W2309" s="12"/>
      <c r="X2309" s="12"/>
      <c r="Y2309" s="12"/>
      <c r="Z2309" s="12"/>
    </row>
    <row r="2310" spans="1:26" ht="15.75" customHeight="1" x14ac:dyDescent="0.3">
      <c r="A2310" s="3"/>
      <c r="B2310" s="167"/>
      <c r="C2310" s="94"/>
      <c r="D2310" s="12"/>
      <c r="E2310" s="167"/>
      <c r="F2310" s="12"/>
      <c r="G2310" s="331"/>
      <c r="H2310" s="474"/>
      <c r="I2310" s="475"/>
      <c r="J2310" s="476"/>
      <c r="K2310" s="5"/>
      <c r="L2310" s="3"/>
      <c r="M2310" s="6"/>
      <c r="N2310" s="9"/>
      <c r="O2310" s="9"/>
      <c r="P2310" s="12"/>
      <c r="Q2310" s="12"/>
      <c r="R2310" s="12"/>
      <c r="S2310" s="151"/>
      <c r="T2310" s="12"/>
      <c r="U2310" s="12"/>
      <c r="V2310" s="12"/>
      <c r="W2310" s="12"/>
      <c r="X2310" s="12"/>
      <c r="Y2310" s="12"/>
      <c r="Z2310" s="12"/>
    </row>
    <row r="2311" spans="1:26" ht="15.75" customHeight="1" x14ac:dyDescent="0.3">
      <c r="A2311" s="3"/>
      <c r="B2311" s="167"/>
      <c r="C2311" s="94"/>
      <c r="D2311" s="12"/>
      <c r="E2311" s="167"/>
      <c r="F2311" s="12"/>
      <c r="G2311" s="331"/>
      <c r="H2311" s="474"/>
      <c r="I2311" s="475"/>
      <c r="J2311" s="476"/>
      <c r="K2311" s="5"/>
      <c r="L2311" s="3"/>
      <c r="M2311" s="6"/>
      <c r="N2311" s="9"/>
      <c r="O2311" s="9"/>
      <c r="P2311" s="12"/>
      <c r="Q2311" s="12"/>
      <c r="R2311" s="12"/>
      <c r="S2311" s="151"/>
      <c r="T2311" s="12"/>
      <c r="U2311" s="12"/>
      <c r="V2311" s="12"/>
      <c r="W2311" s="12"/>
      <c r="X2311" s="12"/>
      <c r="Y2311" s="12"/>
      <c r="Z2311" s="12"/>
    </row>
    <row r="2312" spans="1:26" ht="15.75" customHeight="1" x14ac:dyDescent="0.3">
      <c r="A2312" s="3"/>
      <c r="B2312" s="167"/>
      <c r="C2312" s="94"/>
      <c r="D2312" s="12"/>
      <c r="E2312" s="167"/>
      <c r="F2312" s="12"/>
      <c r="G2312" s="331"/>
      <c r="H2312" s="474"/>
      <c r="I2312" s="475"/>
      <c r="J2312" s="476"/>
      <c r="K2312" s="5"/>
      <c r="L2312" s="3"/>
      <c r="M2312" s="6"/>
      <c r="N2312" s="9"/>
      <c r="O2312" s="9"/>
      <c r="P2312" s="12"/>
      <c r="Q2312" s="12"/>
      <c r="R2312" s="12"/>
      <c r="S2312" s="151"/>
      <c r="T2312" s="12"/>
      <c r="U2312" s="12"/>
      <c r="V2312" s="12"/>
      <c r="W2312" s="12"/>
      <c r="X2312" s="12"/>
      <c r="Y2312" s="12"/>
      <c r="Z2312" s="12"/>
    </row>
    <row r="2313" spans="1:26" ht="15.75" customHeight="1" x14ac:dyDescent="0.3">
      <c r="A2313" s="3"/>
      <c r="B2313" s="167"/>
      <c r="C2313" s="94"/>
      <c r="D2313" s="12"/>
      <c r="E2313" s="167"/>
      <c r="F2313" s="12"/>
      <c r="G2313" s="331"/>
      <c r="H2313" s="474"/>
      <c r="I2313" s="475"/>
      <c r="J2313" s="476"/>
      <c r="K2313" s="5"/>
      <c r="L2313" s="3"/>
      <c r="M2313" s="6"/>
      <c r="N2313" s="9"/>
      <c r="O2313" s="9"/>
      <c r="P2313" s="12"/>
      <c r="Q2313" s="12"/>
      <c r="R2313" s="12"/>
      <c r="S2313" s="151"/>
      <c r="T2313" s="12"/>
      <c r="U2313" s="12"/>
      <c r="V2313" s="12"/>
      <c r="W2313" s="12"/>
      <c r="X2313" s="12"/>
      <c r="Y2313" s="12"/>
      <c r="Z2313" s="12"/>
    </row>
    <row r="2314" spans="1:26" ht="15.75" customHeight="1" x14ac:dyDescent="0.3">
      <c r="A2314" s="3"/>
      <c r="B2314" s="167"/>
      <c r="C2314" s="94"/>
      <c r="D2314" s="12"/>
      <c r="E2314" s="167"/>
      <c r="F2314" s="12"/>
      <c r="G2314" s="331"/>
      <c r="H2314" s="474"/>
      <c r="I2314" s="475"/>
      <c r="J2314" s="476"/>
      <c r="K2314" s="5"/>
      <c r="L2314" s="3"/>
      <c r="M2314" s="6"/>
      <c r="N2314" s="9"/>
      <c r="O2314" s="9"/>
      <c r="P2314" s="12"/>
      <c r="Q2314" s="12"/>
      <c r="R2314" s="12"/>
      <c r="S2314" s="151"/>
      <c r="T2314" s="12"/>
      <c r="U2314" s="12"/>
      <c r="V2314" s="12"/>
      <c r="W2314" s="12"/>
      <c r="X2314" s="12"/>
      <c r="Y2314" s="12"/>
      <c r="Z2314" s="12"/>
    </row>
    <row r="2315" spans="1:26" ht="15.75" customHeight="1" x14ac:dyDescent="0.3">
      <c r="A2315" s="3"/>
      <c r="B2315" s="167"/>
      <c r="C2315" s="94"/>
      <c r="D2315" s="12"/>
      <c r="E2315" s="167"/>
      <c r="F2315" s="12"/>
      <c r="G2315" s="331"/>
      <c r="H2315" s="474"/>
      <c r="I2315" s="475"/>
      <c r="J2315" s="476"/>
      <c r="K2315" s="5"/>
      <c r="L2315" s="3"/>
      <c r="M2315" s="6"/>
      <c r="N2315" s="9"/>
      <c r="O2315" s="9"/>
      <c r="P2315" s="12"/>
      <c r="Q2315" s="12"/>
      <c r="R2315" s="12"/>
      <c r="S2315" s="151"/>
      <c r="T2315" s="12"/>
      <c r="U2315" s="12"/>
      <c r="V2315" s="12"/>
      <c r="W2315" s="12"/>
      <c r="X2315" s="12"/>
      <c r="Y2315" s="12"/>
      <c r="Z2315" s="12"/>
    </row>
    <row r="2316" spans="1:26" ht="15.75" customHeight="1" x14ac:dyDescent="0.3">
      <c r="A2316" s="3"/>
      <c r="B2316" s="167"/>
      <c r="C2316" s="94"/>
      <c r="D2316" s="12"/>
      <c r="E2316" s="167"/>
      <c r="F2316" s="12"/>
      <c r="G2316" s="331"/>
      <c r="H2316" s="474"/>
      <c r="I2316" s="475"/>
      <c r="J2316" s="476"/>
      <c r="K2316" s="5"/>
      <c r="L2316" s="3"/>
      <c r="M2316" s="6"/>
      <c r="N2316" s="9"/>
      <c r="O2316" s="9"/>
      <c r="P2316" s="12"/>
      <c r="Q2316" s="12"/>
      <c r="R2316" s="12"/>
      <c r="S2316" s="151"/>
      <c r="T2316" s="12"/>
      <c r="U2316" s="12"/>
      <c r="V2316" s="12"/>
      <c r="W2316" s="12"/>
      <c r="X2316" s="12"/>
      <c r="Y2316" s="12"/>
      <c r="Z2316" s="12"/>
    </row>
    <row r="2317" spans="1:26" ht="15.75" customHeight="1" x14ac:dyDescent="0.3">
      <c r="A2317" s="3"/>
      <c r="B2317" s="167"/>
      <c r="C2317" s="94"/>
      <c r="D2317" s="12"/>
      <c r="E2317" s="167"/>
      <c r="F2317" s="12"/>
      <c r="G2317" s="331"/>
      <c r="H2317" s="474"/>
      <c r="I2317" s="475"/>
      <c r="J2317" s="476"/>
      <c r="K2317" s="5"/>
      <c r="L2317" s="3"/>
      <c r="M2317" s="6"/>
      <c r="N2317" s="9"/>
      <c r="O2317" s="9"/>
      <c r="P2317" s="12"/>
      <c r="Q2317" s="12"/>
      <c r="R2317" s="12"/>
      <c r="S2317" s="151"/>
      <c r="T2317" s="12"/>
      <c r="U2317" s="12"/>
      <c r="V2317" s="12"/>
      <c r="W2317" s="12"/>
      <c r="X2317" s="12"/>
      <c r="Y2317" s="12"/>
      <c r="Z2317" s="12"/>
    </row>
    <row r="2318" spans="1:26" ht="15.75" customHeight="1" x14ac:dyDescent="0.3">
      <c r="A2318" s="3"/>
      <c r="B2318" s="167"/>
      <c r="C2318" s="94"/>
      <c r="D2318" s="12"/>
      <c r="E2318" s="167"/>
      <c r="F2318" s="12"/>
      <c r="G2318" s="331"/>
      <c r="H2318" s="474"/>
      <c r="I2318" s="475"/>
      <c r="J2318" s="476"/>
      <c r="K2318" s="5"/>
      <c r="L2318" s="3"/>
      <c r="M2318" s="6"/>
      <c r="N2318" s="9"/>
      <c r="O2318" s="9"/>
      <c r="P2318" s="12"/>
      <c r="Q2318" s="12"/>
      <c r="R2318" s="12"/>
      <c r="S2318" s="151"/>
      <c r="T2318" s="12"/>
      <c r="U2318" s="12"/>
      <c r="V2318" s="12"/>
      <c r="W2318" s="12"/>
      <c r="X2318" s="12"/>
      <c r="Y2318" s="12"/>
      <c r="Z2318" s="12"/>
    </row>
    <row r="2319" spans="1:26" ht="15.75" customHeight="1" x14ac:dyDescent="0.3">
      <c r="A2319" s="3"/>
      <c r="B2319" s="167"/>
      <c r="C2319" s="94"/>
      <c r="D2319" s="12"/>
      <c r="E2319" s="167"/>
      <c r="F2319" s="12"/>
      <c r="G2319" s="331"/>
      <c r="H2319" s="474"/>
      <c r="I2319" s="475"/>
      <c r="J2319" s="476"/>
      <c r="K2319" s="5"/>
      <c r="L2319" s="3"/>
      <c r="M2319" s="6"/>
      <c r="N2319" s="9"/>
      <c r="O2319" s="9"/>
      <c r="P2319" s="12"/>
      <c r="Q2319" s="12"/>
      <c r="R2319" s="12"/>
      <c r="S2319" s="151"/>
      <c r="T2319" s="12"/>
      <c r="U2319" s="12"/>
      <c r="V2319" s="12"/>
      <c r="W2319" s="12"/>
      <c r="X2319" s="12"/>
      <c r="Y2319" s="12"/>
      <c r="Z2319" s="12"/>
    </row>
    <row r="2320" spans="1:26" ht="15.75" customHeight="1" x14ac:dyDescent="0.3">
      <c r="A2320" s="3"/>
      <c r="B2320" s="167"/>
      <c r="C2320" s="94"/>
      <c r="D2320" s="12"/>
      <c r="E2320" s="167"/>
      <c r="F2320" s="12"/>
      <c r="G2320" s="331"/>
      <c r="H2320" s="474"/>
      <c r="I2320" s="475"/>
      <c r="J2320" s="476"/>
      <c r="K2320" s="5"/>
      <c r="L2320" s="3"/>
      <c r="M2320" s="6"/>
      <c r="N2320" s="9"/>
      <c r="O2320" s="9"/>
      <c r="P2320" s="12"/>
      <c r="Q2320" s="12"/>
      <c r="R2320" s="12"/>
      <c r="S2320" s="151"/>
      <c r="T2320" s="12"/>
      <c r="U2320" s="12"/>
      <c r="V2320" s="12"/>
      <c r="W2320" s="12"/>
      <c r="X2320" s="12"/>
      <c r="Y2320" s="12"/>
      <c r="Z2320" s="12"/>
    </row>
    <row r="2321" spans="1:26" ht="15.75" customHeight="1" x14ac:dyDescent="0.3">
      <c r="A2321" s="3"/>
      <c r="B2321" s="167"/>
      <c r="C2321" s="94"/>
      <c r="D2321" s="12"/>
      <c r="E2321" s="167"/>
      <c r="F2321" s="12"/>
      <c r="G2321" s="331"/>
      <c r="H2321" s="474"/>
      <c r="I2321" s="475"/>
      <c r="J2321" s="476"/>
      <c r="K2321" s="5"/>
      <c r="L2321" s="3"/>
      <c r="M2321" s="6"/>
      <c r="N2321" s="9"/>
      <c r="O2321" s="9"/>
      <c r="P2321" s="12"/>
      <c r="Q2321" s="12"/>
      <c r="R2321" s="12"/>
      <c r="S2321" s="151"/>
      <c r="T2321" s="12"/>
      <c r="U2321" s="12"/>
      <c r="V2321" s="12"/>
      <c r="W2321" s="12"/>
      <c r="X2321" s="12"/>
      <c r="Y2321" s="12"/>
      <c r="Z2321" s="12"/>
    </row>
    <row r="2322" spans="1:26" ht="15.75" customHeight="1" x14ac:dyDescent="0.3">
      <c r="A2322" s="3"/>
      <c r="B2322" s="167"/>
      <c r="C2322" s="94"/>
      <c r="D2322" s="12"/>
      <c r="E2322" s="167"/>
      <c r="F2322" s="12"/>
      <c r="G2322" s="331"/>
      <c r="H2322" s="474"/>
      <c r="I2322" s="475"/>
      <c r="J2322" s="476"/>
      <c r="K2322" s="5"/>
      <c r="L2322" s="3"/>
      <c r="M2322" s="6"/>
      <c r="N2322" s="9"/>
      <c r="O2322" s="9"/>
      <c r="P2322" s="12"/>
      <c r="Q2322" s="12"/>
      <c r="R2322" s="12"/>
      <c r="S2322" s="151"/>
      <c r="T2322" s="12"/>
      <c r="U2322" s="12"/>
      <c r="V2322" s="12"/>
      <c r="W2322" s="12"/>
      <c r="X2322" s="12"/>
      <c r="Y2322" s="12"/>
      <c r="Z2322" s="12"/>
    </row>
    <row r="2323" spans="1:26" ht="15.75" customHeight="1" x14ac:dyDescent="0.3">
      <c r="A2323" s="3"/>
      <c r="B2323" s="167"/>
      <c r="C2323" s="94"/>
      <c r="D2323" s="12"/>
      <c r="E2323" s="167"/>
      <c r="F2323" s="12"/>
      <c r="G2323" s="331"/>
      <c r="H2323" s="474"/>
      <c r="I2323" s="475"/>
      <c r="J2323" s="476"/>
      <c r="K2323" s="5"/>
      <c r="L2323" s="3"/>
      <c r="M2323" s="6"/>
      <c r="N2323" s="9"/>
      <c r="O2323" s="9"/>
      <c r="P2323" s="12"/>
      <c r="Q2323" s="12"/>
      <c r="R2323" s="12"/>
      <c r="S2323" s="151"/>
      <c r="T2323" s="12"/>
      <c r="U2323" s="12"/>
      <c r="V2323" s="12"/>
      <c r="W2323" s="12"/>
      <c r="X2323" s="12"/>
      <c r="Y2323" s="12"/>
      <c r="Z2323" s="12"/>
    </row>
    <row r="2324" spans="1:26" ht="15.75" customHeight="1" x14ac:dyDescent="0.3">
      <c r="A2324" s="3"/>
      <c r="B2324" s="167"/>
      <c r="C2324" s="94"/>
      <c r="D2324" s="12"/>
      <c r="E2324" s="167"/>
      <c r="F2324" s="12"/>
      <c r="G2324" s="331"/>
      <c r="H2324" s="474"/>
      <c r="I2324" s="475"/>
      <c r="J2324" s="476"/>
      <c r="K2324" s="5"/>
      <c r="L2324" s="3"/>
      <c r="M2324" s="6"/>
      <c r="N2324" s="9"/>
      <c r="O2324" s="9"/>
      <c r="P2324" s="12"/>
      <c r="Q2324" s="12"/>
      <c r="R2324" s="12"/>
      <c r="S2324" s="151"/>
      <c r="T2324" s="12"/>
      <c r="U2324" s="12"/>
      <c r="V2324" s="12"/>
      <c r="W2324" s="12"/>
      <c r="X2324" s="12"/>
      <c r="Y2324" s="12"/>
      <c r="Z2324" s="12"/>
    </row>
    <row r="2325" spans="1:26" ht="15.75" customHeight="1" x14ac:dyDescent="0.3">
      <c r="A2325" s="3"/>
      <c r="B2325" s="167"/>
      <c r="C2325" s="94"/>
      <c r="D2325" s="12"/>
      <c r="E2325" s="167"/>
      <c r="F2325" s="12"/>
      <c r="G2325" s="331"/>
      <c r="H2325" s="474"/>
      <c r="I2325" s="475"/>
      <c r="J2325" s="476"/>
      <c r="K2325" s="5"/>
      <c r="L2325" s="3"/>
      <c r="M2325" s="6"/>
      <c r="N2325" s="9"/>
      <c r="O2325" s="9"/>
      <c r="P2325" s="12"/>
      <c r="Q2325" s="12"/>
      <c r="R2325" s="12"/>
      <c r="S2325" s="151"/>
      <c r="T2325" s="12"/>
      <c r="U2325" s="12"/>
      <c r="V2325" s="12"/>
      <c r="W2325" s="12"/>
      <c r="X2325" s="12"/>
      <c r="Y2325" s="12"/>
      <c r="Z2325" s="12"/>
    </row>
    <row r="2326" spans="1:26" ht="15.75" customHeight="1" x14ac:dyDescent="0.3">
      <c r="A2326" s="3"/>
      <c r="B2326" s="167"/>
      <c r="C2326" s="94"/>
      <c r="D2326" s="12"/>
      <c r="E2326" s="167"/>
      <c r="F2326" s="12"/>
      <c r="G2326" s="331"/>
      <c r="H2326" s="474"/>
      <c r="I2326" s="475"/>
      <c r="J2326" s="476"/>
      <c r="K2326" s="5"/>
      <c r="L2326" s="3"/>
      <c r="M2326" s="6"/>
      <c r="N2326" s="9"/>
      <c r="O2326" s="9"/>
      <c r="P2326" s="12"/>
      <c r="Q2326" s="12"/>
      <c r="R2326" s="12"/>
      <c r="S2326" s="151"/>
      <c r="T2326" s="12"/>
      <c r="U2326" s="12"/>
      <c r="V2326" s="12"/>
      <c r="W2326" s="12"/>
      <c r="X2326" s="12"/>
      <c r="Y2326" s="12"/>
      <c r="Z2326" s="12"/>
    </row>
    <row r="2327" spans="1:26" ht="15.75" customHeight="1" x14ac:dyDescent="0.3">
      <c r="A2327" s="3"/>
      <c r="B2327" s="167"/>
      <c r="C2327" s="94"/>
      <c r="D2327" s="12"/>
      <c r="E2327" s="167"/>
      <c r="F2327" s="12"/>
      <c r="G2327" s="331"/>
      <c r="H2327" s="474"/>
      <c r="I2327" s="475"/>
      <c r="J2327" s="476"/>
      <c r="K2327" s="5"/>
      <c r="L2327" s="3"/>
      <c r="M2327" s="6"/>
      <c r="N2327" s="9"/>
      <c r="O2327" s="9"/>
      <c r="P2327" s="12"/>
      <c r="Q2327" s="12"/>
      <c r="R2327" s="12"/>
      <c r="S2327" s="151"/>
      <c r="T2327" s="12"/>
      <c r="U2327" s="12"/>
      <c r="V2327" s="12"/>
      <c r="W2327" s="12"/>
      <c r="X2327" s="12"/>
      <c r="Y2327" s="12"/>
      <c r="Z2327" s="12"/>
    </row>
    <row r="2328" spans="1:26" ht="15.75" customHeight="1" x14ac:dyDescent="0.3">
      <c r="A2328" s="3"/>
      <c r="B2328" s="167"/>
      <c r="C2328" s="94"/>
      <c r="D2328" s="12"/>
      <c r="E2328" s="167"/>
      <c r="F2328" s="12"/>
      <c r="G2328" s="331"/>
      <c r="H2328" s="474"/>
      <c r="I2328" s="475"/>
      <c r="J2328" s="476"/>
      <c r="K2328" s="5"/>
      <c r="L2328" s="3"/>
      <c r="M2328" s="6"/>
      <c r="N2328" s="9"/>
      <c r="O2328" s="9"/>
      <c r="P2328" s="12"/>
      <c r="Q2328" s="12"/>
      <c r="R2328" s="12"/>
      <c r="S2328" s="151"/>
      <c r="T2328" s="12"/>
      <c r="U2328" s="12"/>
      <c r="V2328" s="12"/>
      <c r="W2328" s="12"/>
      <c r="X2328" s="12"/>
      <c r="Y2328" s="12"/>
      <c r="Z2328" s="12"/>
    </row>
    <row r="2329" spans="1:26" ht="15.75" customHeight="1" x14ac:dyDescent="0.3">
      <c r="A2329" s="3"/>
      <c r="B2329" s="167"/>
      <c r="C2329" s="94"/>
      <c r="D2329" s="12"/>
      <c r="E2329" s="167"/>
      <c r="F2329" s="12"/>
      <c r="G2329" s="331"/>
      <c r="H2329" s="474"/>
      <c r="I2329" s="475"/>
      <c r="J2329" s="476"/>
      <c r="K2329" s="5"/>
      <c r="L2329" s="3"/>
      <c r="M2329" s="6"/>
      <c r="N2329" s="9"/>
      <c r="O2329" s="9"/>
      <c r="P2329" s="12"/>
      <c r="Q2329" s="12"/>
      <c r="R2329" s="12"/>
      <c r="S2329" s="151"/>
      <c r="T2329" s="12"/>
      <c r="U2329" s="12"/>
      <c r="V2329" s="12"/>
      <c r="W2329" s="12"/>
      <c r="X2329" s="12"/>
      <c r="Y2329" s="12"/>
      <c r="Z2329" s="12"/>
    </row>
    <row r="2330" spans="1:26" ht="15.75" customHeight="1" x14ac:dyDescent="0.3">
      <c r="A2330" s="3"/>
      <c r="B2330" s="167"/>
      <c r="C2330" s="94"/>
      <c r="D2330" s="12"/>
      <c r="E2330" s="167"/>
      <c r="F2330" s="12"/>
      <c r="G2330" s="331"/>
      <c r="H2330" s="474"/>
      <c r="I2330" s="475"/>
      <c r="J2330" s="476"/>
      <c r="K2330" s="5"/>
      <c r="L2330" s="3"/>
      <c r="M2330" s="6"/>
      <c r="N2330" s="9"/>
      <c r="O2330" s="9"/>
      <c r="P2330" s="12"/>
      <c r="Q2330" s="12"/>
      <c r="R2330" s="12"/>
      <c r="S2330" s="151"/>
      <c r="T2330" s="12"/>
      <c r="U2330" s="12"/>
      <c r="V2330" s="12"/>
      <c r="W2330" s="12"/>
      <c r="X2330" s="12"/>
      <c r="Y2330" s="12"/>
      <c r="Z2330" s="12"/>
    </row>
    <row r="2331" spans="1:26" ht="15.75" customHeight="1" x14ac:dyDescent="0.3">
      <c r="A2331" s="3"/>
      <c r="B2331" s="167"/>
      <c r="C2331" s="94"/>
      <c r="D2331" s="12"/>
      <c r="E2331" s="167"/>
      <c r="F2331" s="12"/>
      <c r="G2331" s="331"/>
      <c r="H2331" s="474"/>
      <c r="I2331" s="475"/>
      <c r="J2331" s="476"/>
      <c r="K2331" s="5"/>
      <c r="L2331" s="3"/>
      <c r="M2331" s="6"/>
      <c r="N2331" s="9"/>
      <c r="O2331" s="9"/>
      <c r="P2331" s="12"/>
      <c r="Q2331" s="12"/>
      <c r="R2331" s="12"/>
      <c r="S2331" s="151"/>
      <c r="T2331" s="12"/>
      <c r="U2331" s="12"/>
      <c r="V2331" s="12"/>
      <c r="W2331" s="12"/>
      <c r="X2331" s="12"/>
      <c r="Y2331" s="12"/>
      <c r="Z2331" s="12"/>
    </row>
    <row r="2332" spans="1:26" ht="15.75" customHeight="1" x14ac:dyDescent="0.3">
      <c r="A2332" s="3"/>
      <c r="B2332" s="167"/>
      <c r="C2332" s="94"/>
      <c r="D2332" s="12"/>
      <c r="E2332" s="167"/>
      <c r="F2332" s="12"/>
      <c r="G2332" s="331"/>
      <c r="H2332" s="474"/>
      <c r="I2332" s="475"/>
      <c r="J2332" s="476"/>
      <c r="K2332" s="5"/>
      <c r="L2332" s="3"/>
      <c r="M2332" s="6"/>
      <c r="N2332" s="9"/>
      <c r="O2332" s="9"/>
      <c r="P2332" s="12"/>
      <c r="Q2332" s="12"/>
      <c r="R2332" s="12"/>
      <c r="S2332" s="151"/>
      <c r="T2332" s="12"/>
      <c r="U2332" s="12"/>
      <c r="V2332" s="12"/>
      <c r="W2332" s="12"/>
      <c r="X2332" s="12"/>
      <c r="Y2332" s="12"/>
      <c r="Z2332" s="12"/>
    </row>
    <row r="2333" spans="1:26" ht="15.75" customHeight="1" x14ac:dyDescent="0.3">
      <c r="A2333" s="3"/>
      <c r="B2333" s="167"/>
      <c r="C2333" s="94"/>
      <c r="D2333" s="12"/>
      <c r="E2333" s="167"/>
      <c r="F2333" s="12"/>
      <c r="G2333" s="331"/>
      <c r="H2333" s="474"/>
      <c r="I2333" s="475"/>
      <c r="J2333" s="476"/>
      <c r="K2333" s="5"/>
      <c r="L2333" s="3"/>
      <c r="M2333" s="6"/>
      <c r="N2333" s="9"/>
      <c r="O2333" s="9"/>
      <c r="P2333" s="12"/>
      <c r="Q2333" s="12"/>
      <c r="R2333" s="12"/>
      <c r="S2333" s="151"/>
      <c r="T2333" s="12"/>
      <c r="U2333" s="12"/>
      <c r="V2333" s="12"/>
      <c r="W2333" s="12"/>
      <c r="X2333" s="12"/>
      <c r="Y2333" s="12"/>
      <c r="Z2333" s="12"/>
    </row>
    <row r="2334" spans="1:26" ht="15.75" customHeight="1" x14ac:dyDescent="0.3">
      <c r="A2334" s="3"/>
      <c r="B2334" s="167"/>
      <c r="C2334" s="94"/>
      <c r="D2334" s="12"/>
      <c r="E2334" s="167"/>
      <c r="F2334" s="12"/>
      <c r="G2334" s="331"/>
      <c r="H2334" s="474"/>
      <c r="I2334" s="475"/>
      <c r="J2334" s="476"/>
      <c r="K2334" s="5"/>
      <c r="L2334" s="3"/>
      <c r="M2334" s="6"/>
      <c r="N2334" s="9"/>
      <c r="O2334" s="9"/>
      <c r="P2334" s="12"/>
      <c r="Q2334" s="12"/>
      <c r="R2334" s="12"/>
      <c r="S2334" s="151"/>
      <c r="T2334" s="12"/>
      <c r="U2334" s="12"/>
      <c r="V2334" s="12"/>
      <c r="W2334" s="12"/>
      <c r="X2334" s="12"/>
      <c r="Y2334" s="12"/>
      <c r="Z2334" s="12"/>
    </row>
    <row r="2335" spans="1:26" ht="15.75" customHeight="1" x14ac:dyDescent="0.3">
      <c r="A2335" s="3"/>
      <c r="B2335" s="167"/>
      <c r="C2335" s="94"/>
      <c r="D2335" s="12"/>
      <c r="E2335" s="167"/>
      <c r="F2335" s="12"/>
      <c r="G2335" s="331"/>
      <c r="H2335" s="474"/>
      <c r="I2335" s="475"/>
      <c r="J2335" s="476"/>
      <c r="K2335" s="5"/>
      <c r="L2335" s="3"/>
      <c r="M2335" s="6"/>
      <c r="N2335" s="9"/>
      <c r="O2335" s="9"/>
      <c r="P2335" s="12"/>
      <c r="Q2335" s="12"/>
      <c r="R2335" s="12"/>
      <c r="S2335" s="151"/>
      <c r="T2335" s="12"/>
      <c r="U2335" s="12"/>
      <c r="V2335" s="12"/>
      <c r="W2335" s="12"/>
      <c r="X2335" s="12"/>
      <c r="Y2335" s="12"/>
      <c r="Z2335" s="12"/>
    </row>
    <row r="2336" spans="1:26" ht="15.75" customHeight="1" x14ac:dyDescent="0.3">
      <c r="A2336" s="3"/>
      <c r="B2336" s="167"/>
      <c r="C2336" s="94"/>
      <c r="D2336" s="12"/>
      <c r="E2336" s="167"/>
      <c r="F2336" s="12"/>
      <c r="G2336" s="331"/>
      <c r="H2336" s="474"/>
      <c r="I2336" s="475"/>
      <c r="J2336" s="476"/>
      <c r="K2336" s="5"/>
      <c r="L2336" s="3"/>
      <c r="M2336" s="6"/>
      <c r="N2336" s="9"/>
      <c r="O2336" s="9"/>
      <c r="P2336" s="12"/>
      <c r="Q2336" s="12"/>
      <c r="R2336" s="12"/>
      <c r="S2336" s="151"/>
      <c r="T2336" s="12"/>
      <c r="U2336" s="12"/>
      <c r="V2336" s="12"/>
      <c r="W2336" s="12"/>
      <c r="X2336" s="12"/>
      <c r="Y2336" s="12"/>
      <c r="Z2336" s="12"/>
    </row>
    <row r="2337" spans="1:26" ht="15.75" customHeight="1" x14ac:dyDescent="0.3">
      <c r="A2337" s="3"/>
      <c r="B2337" s="167"/>
      <c r="C2337" s="94"/>
      <c r="D2337" s="12"/>
      <c r="E2337" s="167"/>
      <c r="F2337" s="12"/>
      <c r="G2337" s="331"/>
      <c r="H2337" s="474"/>
      <c r="I2337" s="475"/>
      <c r="J2337" s="476"/>
      <c r="K2337" s="5"/>
      <c r="L2337" s="3"/>
      <c r="M2337" s="6"/>
      <c r="N2337" s="9"/>
      <c r="O2337" s="9"/>
      <c r="P2337" s="12"/>
      <c r="Q2337" s="12"/>
      <c r="R2337" s="12"/>
      <c r="S2337" s="151"/>
      <c r="T2337" s="12"/>
      <c r="U2337" s="12"/>
      <c r="V2337" s="12"/>
      <c r="W2337" s="12"/>
      <c r="X2337" s="12"/>
      <c r="Y2337" s="12"/>
      <c r="Z2337" s="12"/>
    </row>
    <row r="2338" spans="1:26" ht="15.75" customHeight="1" x14ac:dyDescent="0.3">
      <c r="A2338" s="3"/>
      <c r="B2338" s="167"/>
      <c r="C2338" s="94"/>
      <c r="D2338" s="12"/>
      <c r="E2338" s="167"/>
      <c r="F2338" s="12"/>
      <c r="G2338" s="331"/>
      <c r="H2338" s="474"/>
      <c r="I2338" s="475"/>
      <c r="J2338" s="476"/>
      <c r="K2338" s="5"/>
      <c r="L2338" s="3"/>
      <c r="M2338" s="6"/>
      <c r="N2338" s="9"/>
      <c r="O2338" s="9"/>
      <c r="P2338" s="12"/>
      <c r="Q2338" s="12"/>
      <c r="R2338" s="12"/>
      <c r="S2338" s="151"/>
      <c r="T2338" s="12"/>
      <c r="U2338" s="12"/>
      <c r="V2338" s="12"/>
      <c r="W2338" s="12"/>
      <c r="X2338" s="12"/>
      <c r="Y2338" s="12"/>
      <c r="Z2338" s="12"/>
    </row>
    <row r="2339" spans="1:26" ht="15.75" customHeight="1" x14ac:dyDescent="0.3">
      <c r="A2339" s="3"/>
      <c r="B2339" s="167"/>
      <c r="C2339" s="94"/>
      <c r="D2339" s="12"/>
      <c r="E2339" s="167"/>
      <c r="F2339" s="12"/>
      <c r="G2339" s="331"/>
      <c r="H2339" s="474"/>
      <c r="I2339" s="475"/>
      <c r="J2339" s="476"/>
      <c r="K2339" s="5"/>
      <c r="L2339" s="3"/>
      <c r="M2339" s="6"/>
      <c r="N2339" s="9"/>
      <c r="O2339" s="9"/>
      <c r="P2339" s="12"/>
      <c r="Q2339" s="12"/>
      <c r="R2339" s="12"/>
      <c r="S2339" s="151"/>
      <c r="T2339" s="12"/>
      <c r="U2339" s="12"/>
      <c r="V2339" s="12"/>
      <c r="W2339" s="12"/>
      <c r="X2339" s="12"/>
      <c r="Y2339" s="12"/>
      <c r="Z2339" s="12"/>
    </row>
    <row r="2340" spans="1:26" ht="15.75" customHeight="1" x14ac:dyDescent="0.3">
      <c r="A2340" s="3"/>
      <c r="B2340" s="167"/>
      <c r="C2340" s="94"/>
      <c r="D2340" s="12"/>
      <c r="E2340" s="167"/>
      <c r="F2340" s="12"/>
      <c r="G2340" s="331"/>
      <c r="H2340" s="474"/>
      <c r="I2340" s="475"/>
      <c r="J2340" s="476"/>
      <c r="K2340" s="5"/>
      <c r="L2340" s="3"/>
      <c r="M2340" s="6"/>
      <c r="N2340" s="9"/>
      <c r="O2340" s="9"/>
      <c r="P2340" s="12"/>
      <c r="Q2340" s="12"/>
      <c r="R2340" s="12"/>
      <c r="S2340" s="151"/>
      <c r="T2340" s="12"/>
      <c r="U2340" s="12"/>
      <c r="V2340" s="12"/>
      <c r="W2340" s="12"/>
      <c r="X2340" s="12"/>
      <c r="Y2340" s="12"/>
      <c r="Z2340" s="12"/>
    </row>
    <row r="2341" spans="1:26" ht="15.75" customHeight="1" x14ac:dyDescent="0.3">
      <c r="A2341" s="3"/>
      <c r="B2341" s="167"/>
      <c r="C2341" s="94"/>
      <c r="D2341" s="12"/>
      <c r="E2341" s="167"/>
      <c r="F2341" s="12"/>
      <c r="G2341" s="331"/>
      <c r="H2341" s="474"/>
      <c r="I2341" s="475"/>
      <c r="J2341" s="476"/>
      <c r="K2341" s="5"/>
      <c r="L2341" s="3"/>
      <c r="M2341" s="6"/>
      <c r="N2341" s="9"/>
      <c r="O2341" s="9"/>
      <c r="P2341" s="12"/>
      <c r="Q2341" s="12"/>
      <c r="R2341" s="12"/>
      <c r="S2341" s="151"/>
      <c r="T2341" s="12"/>
      <c r="U2341" s="12"/>
      <c r="V2341" s="12"/>
      <c r="W2341" s="12"/>
      <c r="X2341" s="12"/>
      <c r="Y2341" s="12"/>
      <c r="Z2341" s="12"/>
    </row>
    <row r="2342" spans="1:26" ht="15.75" customHeight="1" x14ac:dyDescent="0.3">
      <c r="A2342" s="3"/>
      <c r="B2342" s="167"/>
      <c r="C2342" s="94"/>
      <c r="D2342" s="12"/>
      <c r="E2342" s="167"/>
      <c r="F2342" s="12"/>
      <c r="G2342" s="331"/>
      <c r="H2342" s="474"/>
      <c r="I2342" s="475"/>
      <c r="J2342" s="476"/>
      <c r="K2342" s="5"/>
      <c r="L2342" s="3"/>
      <c r="M2342" s="6"/>
      <c r="N2342" s="9"/>
      <c r="O2342" s="9"/>
      <c r="P2342" s="12"/>
      <c r="Q2342" s="12"/>
      <c r="R2342" s="12"/>
      <c r="S2342" s="151"/>
      <c r="T2342" s="12"/>
      <c r="U2342" s="12"/>
      <c r="V2342" s="12"/>
      <c r="W2342" s="12"/>
      <c r="X2342" s="12"/>
      <c r="Y2342" s="12"/>
      <c r="Z2342" s="12"/>
    </row>
    <row r="2343" spans="1:26" ht="15.75" customHeight="1" x14ac:dyDescent="0.3">
      <c r="A2343" s="3"/>
      <c r="B2343" s="167"/>
      <c r="C2343" s="94"/>
      <c r="D2343" s="12"/>
      <c r="E2343" s="167"/>
      <c r="F2343" s="12"/>
      <c r="G2343" s="331"/>
      <c r="H2343" s="474"/>
      <c r="I2343" s="475"/>
      <c r="J2343" s="476"/>
      <c r="K2343" s="5"/>
      <c r="L2343" s="3"/>
      <c r="M2343" s="6"/>
      <c r="N2343" s="9"/>
      <c r="O2343" s="9"/>
      <c r="P2343" s="12"/>
      <c r="Q2343" s="12"/>
      <c r="R2343" s="12"/>
      <c r="S2343" s="151"/>
      <c r="T2343" s="12"/>
      <c r="U2343" s="12"/>
      <c r="V2343" s="12"/>
      <c r="W2343" s="12"/>
      <c r="X2343" s="12"/>
      <c r="Y2343" s="12"/>
      <c r="Z2343" s="12"/>
    </row>
    <row r="2344" spans="1:26" ht="15.75" customHeight="1" x14ac:dyDescent="0.3">
      <c r="A2344" s="3"/>
      <c r="B2344" s="167"/>
      <c r="C2344" s="94"/>
      <c r="D2344" s="12"/>
      <c r="E2344" s="167"/>
      <c r="F2344" s="12"/>
      <c r="G2344" s="331"/>
      <c r="H2344" s="474"/>
      <c r="I2344" s="475"/>
      <c r="J2344" s="476"/>
      <c r="K2344" s="5"/>
      <c r="L2344" s="3"/>
      <c r="M2344" s="6"/>
      <c r="N2344" s="9"/>
      <c r="O2344" s="9"/>
      <c r="P2344" s="12"/>
      <c r="Q2344" s="12"/>
      <c r="R2344" s="12"/>
      <c r="S2344" s="151"/>
      <c r="T2344" s="12"/>
      <c r="U2344" s="12"/>
      <c r="V2344" s="12"/>
      <c r="W2344" s="12"/>
      <c r="X2344" s="12"/>
      <c r="Y2344" s="12"/>
      <c r="Z2344" s="12"/>
    </row>
    <row r="2345" spans="1:26" ht="15.75" customHeight="1" x14ac:dyDescent="0.3">
      <c r="A2345" s="3"/>
      <c r="B2345" s="167"/>
      <c r="C2345" s="94"/>
      <c r="D2345" s="12"/>
      <c r="E2345" s="167"/>
      <c r="F2345" s="12"/>
      <c r="G2345" s="331"/>
      <c r="H2345" s="474"/>
      <c r="I2345" s="475"/>
      <c r="J2345" s="476"/>
      <c r="K2345" s="5"/>
      <c r="L2345" s="3"/>
      <c r="M2345" s="6"/>
      <c r="N2345" s="9"/>
      <c r="O2345" s="9"/>
      <c r="P2345" s="12"/>
      <c r="Q2345" s="12"/>
      <c r="R2345" s="12"/>
      <c r="S2345" s="151"/>
      <c r="T2345" s="12"/>
      <c r="U2345" s="12"/>
      <c r="V2345" s="12"/>
      <c r="W2345" s="12"/>
      <c r="X2345" s="12"/>
      <c r="Y2345" s="12"/>
      <c r="Z2345" s="12"/>
    </row>
    <row r="2346" spans="1:26" ht="15.75" customHeight="1" x14ac:dyDescent="0.3">
      <c r="A2346" s="3"/>
      <c r="B2346" s="167"/>
      <c r="C2346" s="94"/>
      <c r="D2346" s="12"/>
      <c r="E2346" s="167"/>
      <c r="F2346" s="12"/>
      <c r="G2346" s="331"/>
      <c r="H2346" s="474"/>
      <c r="I2346" s="475"/>
      <c r="J2346" s="476"/>
      <c r="K2346" s="5"/>
      <c r="L2346" s="3"/>
      <c r="M2346" s="6"/>
      <c r="N2346" s="9"/>
      <c r="O2346" s="9"/>
      <c r="P2346" s="12"/>
      <c r="Q2346" s="12"/>
      <c r="R2346" s="12"/>
      <c r="S2346" s="151"/>
      <c r="T2346" s="12"/>
      <c r="U2346" s="12"/>
      <c r="V2346" s="12"/>
      <c r="W2346" s="12"/>
      <c r="X2346" s="12"/>
      <c r="Y2346" s="12"/>
      <c r="Z2346" s="12"/>
    </row>
    <row r="2347" spans="1:26" ht="15.75" customHeight="1" x14ac:dyDescent="0.3">
      <c r="A2347" s="3"/>
      <c r="B2347" s="167"/>
      <c r="C2347" s="94"/>
      <c r="D2347" s="12"/>
      <c r="E2347" s="167"/>
      <c r="F2347" s="12"/>
      <c r="G2347" s="331"/>
      <c r="H2347" s="474"/>
      <c r="I2347" s="475"/>
      <c r="J2347" s="476"/>
      <c r="K2347" s="5"/>
      <c r="L2347" s="3"/>
      <c r="M2347" s="6"/>
      <c r="N2347" s="9"/>
      <c r="O2347" s="9"/>
      <c r="P2347" s="12"/>
      <c r="Q2347" s="12"/>
      <c r="R2347" s="12"/>
      <c r="S2347" s="151"/>
      <c r="T2347" s="12"/>
      <c r="U2347" s="12"/>
      <c r="V2347" s="12"/>
      <c r="W2347" s="12"/>
      <c r="X2347" s="12"/>
      <c r="Y2347" s="12"/>
      <c r="Z2347" s="12"/>
    </row>
    <row r="2348" spans="1:26" ht="15.75" customHeight="1" x14ac:dyDescent="0.3">
      <c r="A2348" s="3"/>
      <c r="B2348" s="167"/>
      <c r="C2348" s="94"/>
      <c r="D2348" s="12"/>
      <c r="E2348" s="167"/>
      <c r="F2348" s="12"/>
      <c r="G2348" s="331"/>
      <c r="H2348" s="474"/>
      <c r="I2348" s="475"/>
      <c r="J2348" s="476"/>
      <c r="K2348" s="5"/>
      <c r="L2348" s="3"/>
      <c r="M2348" s="6"/>
      <c r="N2348" s="9"/>
      <c r="O2348" s="9"/>
      <c r="P2348" s="12"/>
      <c r="Q2348" s="12"/>
      <c r="R2348" s="12"/>
      <c r="S2348" s="151"/>
      <c r="T2348" s="12"/>
      <c r="U2348" s="12"/>
      <c r="V2348" s="12"/>
      <c r="W2348" s="12"/>
      <c r="X2348" s="12"/>
      <c r="Y2348" s="12"/>
      <c r="Z2348" s="12"/>
    </row>
    <row r="2349" spans="1:26" ht="15.75" customHeight="1" x14ac:dyDescent="0.3">
      <c r="A2349" s="3"/>
      <c r="B2349" s="167"/>
      <c r="C2349" s="94"/>
      <c r="D2349" s="12"/>
      <c r="E2349" s="167"/>
      <c r="F2349" s="12"/>
      <c r="G2349" s="331"/>
      <c r="H2349" s="474"/>
      <c r="I2349" s="475"/>
      <c r="J2349" s="476"/>
      <c r="K2349" s="5"/>
      <c r="L2349" s="3"/>
      <c r="M2349" s="6"/>
      <c r="N2349" s="9"/>
      <c r="O2349" s="9"/>
      <c r="P2349" s="12"/>
      <c r="Q2349" s="12"/>
      <c r="R2349" s="12"/>
      <c r="S2349" s="151"/>
      <c r="T2349" s="12"/>
      <c r="U2349" s="12"/>
      <c r="V2349" s="12"/>
      <c r="W2349" s="12"/>
      <c r="X2349" s="12"/>
      <c r="Y2349" s="12"/>
      <c r="Z2349" s="12"/>
    </row>
    <row r="2350" spans="1:26" ht="15.75" customHeight="1" x14ac:dyDescent="0.3">
      <c r="A2350" s="3"/>
      <c r="B2350" s="167"/>
      <c r="C2350" s="94"/>
      <c r="D2350" s="12"/>
      <c r="E2350" s="167"/>
      <c r="F2350" s="12"/>
      <c r="G2350" s="331"/>
      <c r="H2350" s="474"/>
      <c r="I2350" s="475"/>
      <c r="J2350" s="476"/>
      <c r="K2350" s="5"/>
      <c r="L2350" s="3"/>
      <c r="M2350" s="6"/>
      <c r="N2350" s="9"/>
      <c r="O2350" s="9"/>
      <c r="P2350" s="12"/>
      <c r="Q2350" s="12"/>
      <c r="R2350" s="12"/>
      <c r="S2350" s="151"/>
      <c r="T2350" s="12"/>
      <c r="U2350" s="12"/>
      <c r="V2350" s="12"/>
      <c r="W2350" s="12"/>
      <c r="X2350" s="12"/>
      <c r="Y2350" s="12"/>
      <c r="Z2350" s="12"/>
    </row>
    <row r="2351" spans="1:26" ht="15.75" customHeight="1" x14ac:dyDescent="0.3">
      <c r="A2351" s="3"/>
      <c r="B2351" s="167"/>
      <c r="C2351" s="94"/>
      <c r="D2351" s="12"/>
      <c r="E2351" s="167"/>
      <c r="F2351" s="12"/>
      <c r="G2351" s="331"/>
      <c r="H2351" s="474"/>
      <c r="I2351" s="475"/>
      <c r="J2351" s="476"/>
      <c r="K2351" s="5"/>
      <c r="L2351" s="3"/>
      <c r="M2351" s="6"/>
      <c r="N2351" s="9"/>
      <c r="O2351" s="9"/>
      <c r="P2351" s="12"/>
      <c r="Q2351" s="12"/>
      <c r="R2351" s="12"/>
      <c r="S2351" s="151"/>
      <c r="T2351" s="12"/>
      <c r="U2351" s="12"/>
      <c r="V2351" s="12"/>
      <c r="W2351" s="12"/>
      <c r="X2351" s="12"/>
      <c r="Y2351" s="12"/>
      <c r="Z2351" s="12"/>
    </row>
    <row r="2352" spans="1:26" ht="15.75" customHeight="1" x14ac:dyDescent="0.3">
      <c r="A2352" s="3"/>
      <c r="B2352" s="167"/>
      <c r="C2352" s="94"/>
      <c r="D2352" s="12"/>
      <c r="E2352" s="167"/>
      <c r="F2352" s="12"/>
      <c r="G2352" s="331"/>
      <c r="H2352" s="474"/>
      <c r="I2352" s="475"/>
      <c r="J2352" s="476"/>
      <c r="K2352" s="5"/>
      <c r="L2352" s="3"/>
      <c r="M2352" s="6"/>
      <c r="N2352" s="9"/>
      <c r="O2352" s="9"/>
      <c r="P2352" s="12"/>
      <c r="Q2352" s="12"/>
      <c r="R2352" s="12"/>
      <c r="S2352" s="151"/>
      <c r="T2352" s="12"/>
      <c r="U2352" s="12"/>
      <c r="V2352" s="12"/>
      <c r="W2352" s="12"/>
      <c r="X2352" s="12"/>
      <c r="Y2352" s="12"/>
      <c r="Z2352" s="12"/>
    </row>
    <row r="2353" spans="1:26" ht="15.75" customHeight="1" x14ac:dyDescent="0.3">
      <c r="A2353" s="3"/>
      <c r="B2353" s="167"/>
      <c r="C2353" s="94"/>
      <c r="D2353" s="12"/>
      <c r="E2353" s="167"/>
      <c r="F2353" s="12"/>
      <c r="G2353" s="331"/>
      <c r="H2353" s="474"/>
      <c r="I2353" s="475"/>
      <c r="J2353" s="476"/>
      <c r="K2353" s="5"/>
      <c r="L2353" s="3"/>
      <c r="M2353" s="6"/>
      <c r="N2353" s="9"/>
      <c r="O2353" s="9"/>
      <c r="P2353" s="12"/>
      <c r="Q2353" s="12"/>
      <c r="R2353" s="12"/>
      <c r="S2353" s="151"/>
      <c r="T2353" s="12"/>
      <c r="U2353" s="12"/>
      <c r="V2353" s="12"/>
      <c r="W2353" s="12"/>
      <c r="X2353" s="12"/>
      <c r="Y2353" s="12"/>
      <c r="Z2353" s="12"/>
    </row>
    <row r="2354" spans="1:26" ht="15.75" customHeight="1" x14ac:dyDescent="0.3">
      <c r="A2354" s="3"/>
      <c r="B2354" s="167"/>
      <c r="C2354" s="94"/>
      <c r="D2354" s="12"/>
      <c r="E2354" s="167"/>
      <c r="F2354" s="12"/>
      <c r="G2354" s="331"/>
      <c r="H2354" s="474"/>
      <c r="I2354" s="475"/>
      <c r="J2354" s="476"/>
      <c r="K2354" s="5"/>
      <c r="L2354" s="3"/>
      <c r="M2354" s="6"/>
      <c r="N2354" s="9"/>
      <c r="O2354" s="9"/>
      <c r="P2354" s="12"/>
      <c r="Q2354" s="12"/>
      <c r="R2354" s="12"/>
      <c r="S2354" s="151"/>
      <c r="T2354" s="12"/>
      <c r="U2354" s="12"/>
      <c r="V2354" s="12"/>
      <c r="W2354" s="12"/>
      <c r="X2354" s="12"/>
      <c r="Y2354" s="12"/>
      <c r="Z2354" s="12"/>
    </row>
    <row r="2355" spans="1:26" ht="15.75" customHeight="1" x14ac:dyDescent="0.3">
      <c r="A2355" s="3"/>
      <c r="B2355" s="167"/>
      <c r="C2355" s="94"/>
      <c r="D2355" s="12"/>
      <c r="E2355" s="167"/>
      <c r="F2355" s="12"/>
      <c r="G2355" s="331"/>
      <c r="H2355" s="474"/>
      <c r="I2355" s="475"/>
      <c r="J2355" s="476"/>
      <c r="K2355" s="5"/>
      <c r="L2355" s="3"/>
      <c r="M2355" s="6"/>
      <c r="N2355" s="9"/>
      <c r="O2355" s="9"/>
      <c r="P2355" s="12"/>
      <c r="Q2355" s="12"/>
      <c r="R2355" s="12"/>
      <c r="S2355" s="151"/>
      <c r="T2355" s="12"/>
      <c r="U2355" s="12"/>
      <c r="V2355" s="12"/>
      <c r="W2355" s="12"/>
      <c r="X2355" s="12"/>
      <c r="Y2355" s="12"/>
      <c r="Z2355" s="12"/>
    </row>
    <row r="2356" spans="1:26" ht="15.75" customHeight="1" x14ac:dyDescent="0.3">
      <c r="A2356" s="3"/>
      <c r="B2356" s="167"/>
      <c r="C2356" s="94"/>
      <c r="D2356" s="12"/>
      <c r="E2356" s="167"/>
      <c r="F2356" s="12"/>
      <c r="G2356" s="331"/>
      <c r="H2356" s="474"/>
      <c r="I2356" s="475"/>
      <c r="J2356" s="476"/>
      <c r="K2356" s="5"/>
      <c r="L2356" s="3"/>
      <c r="M2356" s="6"/>
      <c r="N2356" s="9"/>
      <c r="O2356" s="9"/>
      <c r="P2356" s="12"/>
      <c r="Q2356" s="12"/>
      <c r="R2356" s="12"/>
      <c r="S2356" s="151"/>
      <c r="T2356" s="12"/>
      <c r="U2356" s="12"/>
      <c r="V2356" s="12"/>
      <c r="W2356" s="12"/>
      <c r="X2356" s="12"/>
      <c r="Y2356" s="12"/>
      <c r="Z2356" s="12"/>
    </row>
    <row r="2357" spans="1:26" ht="15.75" customHeight="1" x14ac:dyDescent="0.3">
      <c r="A2357" s="3"/>
      <c r="B2357" s="167"/>
      <c r="C2357" s="94"/>
      <c r="D2357" s="12"/>
      <c r="E2357" s="167"/>
      <c r="F2357" s="12"/>
      <c r="G2357" s="331"/>
      <c r="H2357" s="474"/>
      <c r="I2357" s="475"/>
      <c r="J2357" s="476"/>
      <c r="K2357" s="5"/>
      <c r="L2357" s="3"/>
      <c r="M2357" s="6"/>
      <c r="N2357" s="9"/>
      <c r="O2357" s="9"/>
      <c r="P2357" s="12"/>
      <c r="Q2357" s="12"/>
      <c r="R2357" s="12"/>
      <c r="S2357" s="151"/>
      <c r="T2357" s="12"/>
      <c r="U2357" s="12"/>
      <c r="V2357" s="12"/>
      <c r="W2357" s="12"/>
      <c r="X2357" s="12"/>
      <c r="Y2357" s="12"/>
      <c r="Z2357" s="12"/>
    </row>
    <row r="2358" spans="1:26" ht="15.75" customHeight="1" x14ac:dyDescent="0.3">
      <c r="A2358" s="3"/>
      <c r="B2358" s="167"/>
      <c r="C2358" s="94"/>
      <c r="D2358" s="12"/>
      <c r="E2358" s="167"/>
      <c r="F2358" s="12"/>
      <c r="G2358" s="331"/>
      <c r="H2358" s="474"/>
      <c r="I2358" s="475"/>
      <c r="J2358" s="476"/>
      <c r="K2358" s="5"/>
      <c r="L2358" s="3"/>
      <c r="M2358" s="6"/>
      <c r="N2358" s="9"/>
      <c r="O2358" s="9"/>
      <c r="P2358" s="12"/>
      <c r="Q2358" s="12"/>
      <c r="R2358" s="12"/>
      <c r="S2358" s="151"/>
      <c r="T2358" s="12"/>
      <c r="U2358" s="12"/>
      <c r="V2358" s="12"/>
      <c r="W2358" s="12"/>
      <c r="X2358" s="12"/>
      <c r="Y2358" s="12"/>
      <c r="Z2358" s="12"/>
    </row>
    <row r="2359" spans="1:26" ht="15.75" customHeight="1" x14ac:dyDescent="0.3">
      <c r="A2359" s="3"/>
      <c r="B2359" s="167"/>
      <c r="C2359" s="94"/>
      <c r="D2359" s="12"/>
      <c r="E2359" s="167"/>
      <c r="F2359" s="12"/>
      <c r="G2359" s="331"/>
      <c r="H2359" s="474"/>
      <c r="I2359" s="475"/>
      <c r="J2359" s="476"/>
      <c r="K2359" s="5"/>
      <c r="L2359" s="3"/>
      <c r="M2359" s="6"/>
      <c r="N2359" s="9"/>
      <c r="O2359" s="9"/>
      <c r="P2359" s="12"/>
      <c r="Q2359" s="12"/>
      <c r="R2359" s="12"/>
      <c r="S2359" s="151"/>
      <c r="T2359" s="12"/>
      <c r="U2359" s="12"/>
      <c r="V2359" s="12"/>
      <c r="W2359" s="12"/>
      <c r="X2359" s="12"/>
      <c r="Y2359" s="12"/>
      <c r="Z2359" s="12"/>
    </row>
    <row r="2360" spans="1:26" ht="15.75" customHeight="1" x14ac:dyDescent="0.3">
      <c r="A2360" s="3"/>
      <c r="B2360" s="167"/>
      <c r="C2360" s="94"/>
      <c r="D2360" s="12"/>
      <c r="E2360" s="167"/>
      <c r="F2360" s="12"/>
      <c r="G2360" s="331"/>
      <c r="H2360" s="474"/>
      <c r="I2360" s="475"/>
      <c r="J2360" s="476"/>
      <c r="K2360" s="5"/>
      <c r="L2360" s="3"/>
      <c r="M2360" s="6"/>
      <c r="N2360" s="9"/>
      <c r="O2360" s="9"/>
      <c r="P2360" s="12"/>
      <c r="Q2360" s="12"/>
      <c r="R2360" s="12"/>
      <c r="S2360" s="151"/>
      <c r="T2360" s="12"/>
      <c r="U2360" s="12"/>
      <c r="V2360" s="12"/>
      <c r="W2360" s="12"/>
      <c r="X2360" s="12"/>
      <c r="Y2360" s="12"/>
      <c r="Z2360" s="12"/>
    </row>
    <row r="2361" spans="1:26" ht="15.75" customHeight="1" x14ac:dyDescent="0.3">
      <c r="A2361" s="3"/>
      <c r="B2361" s="167"/>
      <c r="C2361" s="94"/>
      <c r="D2361" s="12"/>
      <c r="E2361" s="167"/>
      <c r="F2361" s="12"/>
      <c r="G2361" s="331"/>
      <c r="H2361" s="474"/>
      <c r="I2361" s="475"/>
      <c r="J2361" s="476"/>
      <c r="K2361" s="5"/>
      <c r="L2361" s="3"/>
      <c r="M2361" s="6"/>
      <c r="N2361" s="9"/>
      <c r="O2361" s="9"/>
      <c r="P2361" s="12"/>
      <c r="Q2361" s="12"/>
      <c r="R2361" s="12"/>
      <c r="S2361" s="151"/>
      <c r="T2361" s="12"/>
      <c r="U2361" s="12"/>
      <c r="V2361" s="12"/>
      <c r="W2361" s="12"/>
      <c r="X2361" s="12"/>
      <c r="Y2361" s="12"/>
      <c r="Z2361" s="12"/>
    </row>
    <row r="2362" spans="1:26" ht="15.75" customHeight="1" x14ac:dyDescent="0.3">
      <c r="A2362" s="3"/>
      <c r="B2362" s="167"/>
      <c r="C2362" s="94"/>
      <c r="D2362" s="12"/>
      <c r="E2362" s="167"/>
      <c r="F2362" s="12"/>
      <c r="G2362" s="331"/>
      <c r="H2362" s="474"/>
      <c r="I2362" s="475"/>
      <c r="J2362" s="476"/>
      <c r="K2362" s="5"/>
      <c r="L2362" s="3"/>
      <c r="M2362" s="6"/>
      <c r="N2362" s="9"/>
      <c r="O2362" s="9"/>
      <c r="P2362" s="12"/>
      <c r="Q2362" s="12"/>
      <c r="R2362" s="12"/>
      <c r="S2362" s="151"/>
      <c r="T2362" s="12"/>
      <c r="U2362" s="12"/>
      <c r="V2362" s="12"/>
      <c r="W2362" s="12"/>
      <c r="X2362" s="12"/>
      <c r="Y2362" s="12"/>
      <c r="Z2362" s="12"/>
    </row>
    <row r="2363" spans="1:26" ht="15.75" customHeight="1" x14ac:dyDescent="0.3">
      <c r="A2363" s="3"/>
      <c r="B2363" s="167"/>
      <c r="C2363" s="94"/>
      <c r="D2363" s="12"/>
      <c r="E2363" s="167"/>
      <c r="F2363" s="12"/>
      <c r="G2363" s="331"/>
      <c r="H2363" s="474"/>
      <c r="I2363" s="475"/>
      <c r="J2363" s="476"/>
      <c r="K2363" s="5"/>
      <c r="L2363" s="3"/>
      <c r="M2363" s="6"/>
      <c r="N2363" s="9"/>
      <c r="O2363" s="9"/>
      <c r="P2363" s="12"/>
      <c r="Q2363" s="12"/>
      <c r="R2363" s="12"/>
      <c r="S2363" s="151"/>
      <c r="T2363" s="12"/>
      <c r="U2363" s="12"/>
      <c r="V2363" s="12"/>
      <c r="W2363" s="12"/>
      <c r="X2363" s="12"/>
      <c r="Y2363" s="12"/>
      <c r="Z2363" s="12"/>
    </row>
    <row r="2364" spans="1:26" ht="15.75" customHeight="1" x14ac:dyDescent="0.3">
      <c r="A2364" s="3"/>
      <c r="B2364" s="167"/>
      <c r="C2364" s="94"/>
      <c r="D2364" s="12"/>
      <c r="E2364" s="167"/>
      <c r="F2364" s="12"/>
      <c r="G2364" s="331"/>
      <c r="H2364" s="474"/>
      <c r="I2364" s="475"/>
      <c r="J2364" s="476"/>
      <c r="K2364" s="5"/>
      <c r="L2364" s="3"/>
      <c r="M2364" s="6"/>
      <c r="N2364" s="9"/>
      <c r="O2364" s="9"/>
      <c r="P2364" s="12"/>
      <c r="Q2364" s="12"/>
      <c r="R2364" s="12"/>
      <c r="S2364" s="151"/>
      <c r="T2364" s="12"/>
      <c r="U2364" s="12"/>
      <c r="V2364" s="12"/>
      <c r="W2364" s="12"/>
      <c r="X2364" s="12"/>
      <c r="Y2364" s="12"/>
      <c r="Z2364" s="12"/>
    </row>
    <row r="2365" spans="1:26" ht="15.75" customHeight="1" x14ac:dyDescent="0.3">
      <c r="A2365" s="3"/>
      <c r="B2365" s="167"/>
      <c r="C2365" s="94"/>
      <c r="D2365" s="12"/>
      <c r="E2365" s="167"/>
      <c r="F2365" s="12"/>
      <c r="G2365" s="331"/>
      <c r="H2365" s="474"/>
      <c r="I2365" s="475"/>
      <c r="J2365" s="476"/>
      <c r="K2365" s="5"/>
      <c r="L2365" s="3"/>
      <c r="M2365" s="6"/>
      <c r="N2365" s="9"/>
      <c r="O2365" s="9"/>
      <c r="P2365" s="12"/>
      <c r="Q2365" s="12"/>
      <c r="R2365" s="12"/>
      <c r="S2365" s="151"/>
      <c r="T2365" s="12"/>
      <c r="U2365" s="12"/>
      <c r="V2365" s="12"/>
      <c r="W2365" s="12"/>
      <c r="X2365" s="12"/>
      <c r="Y2365" s="12"/>
      <c r="Z2365" s="12"/>
    </row>
    <row r="2366" spans="1:26" ht="15.75" customHeight="1" x14ac:dyDescent="0.3">
      <c r="A2366" s="3"/>
      <c r="B2366" s="167"/>
      <c r="C2366" s="94"/>
      <c r="D2366" s="12"/>
      <c r="E2366" s="167"/>
      <c r="F2366" s="12"/>
      <c r="G2366" s="331"/>
      <c r="H2366" s="474"/>
      <c r="I2366" s="475"/>
      <c r="J2366" s="476"/>
      <c r="K2366" s="5"/>
      <c r="L2366" s="3"/>
      <c r="M2366" s="6"/>
      <c r="N2366" s="9"/>
      <c r="O2366" s="9"/>
      <c r="P2366" s="12"/>
      <c r="Q2366" s="12"/>
      <c r="R2366" s="12"/>
      <c r="S2366" s="151"/>
      <c r="T2366" s="12"/>
      <c r="U2366" s="12"/>
      <c r="V2366" s="12"/>
      <c r="W2366" s="12"/>
      <c r="X2366" s="12"/>
      <c r="Y2366" s="12"/>
      <c r="Z2366" s="12"/>
    </row>
    <row r="2367" spans="1:26" ht="15.75" customHeight="1" x14ac:dyDescent="0.3">
      <c r="A2367" s="3"/>
      <c r="B2367" s="167"/>
      <c r="C2367" s="94"/>
      <c r="D2367" s="12"/>
      <c r="E2367" s="167"/>
      <c r="F2367" s="12"/>
      <c r="G2367" s="331"/>
      <c r="H2367" s="474"/>
      <c r="I2367" s="475"/>
      <c r="J2367" s="476"/>
      <c r="K2367" s="5"/>
      <c r="L2367" s="3"/>
      <c r="M2367" s="6"/>
      <c r="N2367" s="9"/>
      <c r="O2367" s="9"/>
      <c r="P2367" s="12"/>
      <c r="Q2367" s="12"/>
      <c r="R2367" s="12"/>
      <c r="S2367" s="151"/>
      <c r="T2367" s="12"/>
      <c r="U2367" s="12"/>
      <c r="V2367" s="12"/>
      <c r="W2367" s="12"/>
      <c r="X2367" s="12"/>
      <c r="Y2367" s="12"/>
      <c r="Z2367" s="12"/>
    </row>
    <row r="2368" spans="1:26" ht="15.75" customHeight="1" x14ac:dyDescent="0.3">
      <c r="A2368" s="3"/>
      <c r="B2368" s="167"/>
      <c r="C2368" s="94"/>
      <c r="D2368" s="12"/>
      <c r="E2368" s="167"/>
      <c r="F2368" s="12"/>
      <c r="G2368" s="331"/>
      <c r="H2368" s="474"/>
      <c r="I2368" s="475"/>
      <c r="J2368" s="476"/>
      <c r="K2368" s="5"/>
      <c r="L2368" s="3"/>
      <c r="M2368" s="6"/>
      <c r="N2368" s="9"/>
      <c r="O2368" s="9"/>
      <c r="P2368" s="12"/>
      <c r="Q2368" s="12"/>
      <c r="R2368" s="12"/>
      <c r="S2368" s="151"/>
      <c r="T2368" s="12"/>
      <c r="U2368" s="12"/>
      <c r="V2368" s="12"/>
      <c r="W2368" s="12"/>
      <c r="X2368" s="12"/>
      <c r="Y2368" s="12"/>
      <c r="Z2368" s="12"/>
    </row>
    <row r="2369" spans="1:26" ht="15.75" customHeight="1" x14ac:dyDescent="0.3">
      <c r="A2369" s="3"/>
      <c r="B2369" s="167"/>
      <c r="C2369" s="94"/>
      <c r="D2369" s="12"/>
      <c r="E2369" s="167"/>
      <c r="F2369" s="12"/>
      <c r="G2369" s="331"/>
      <c r="H2369" s="474"/>
      <c r="I2369" s="475"/>
      <c r="J2369" s="476"/>
      <c r="K2369" s="5"/>
      <c r="L2369" s="3"/>
      <c r="M2369" s="6"/>
      <c r="N2369" s="9"/>
      <c r="O2369" s="9"/>
      <c r="P2369" s="12"/>
      <c r="Q2369" s="12"/>
      <c r="R2369" s="12"/>
      <c r="S2369" s="151"/>
      <c r="T2369" s="12"/>
      <c r="U2369" s="12"/>
      <c r="V2369" s="12"/>
      <c r="W2369" s="12"/>
      <c r="X2369" s="12"/>
      <c r="Y2369" s="12"/>
      <c r="Z2369" s="12"/>
    </row>
    <row r="2370" spans="1:26" ht="15.75" customHeight="1" x14ac:dyDescent="0.3">
      <c r="A2370" s="3"/>
      <c r="B2370" s="167"/>
      <c r="C2370" s="94"/>
      <c r="D2370" s="12"/>
      <c r="E2370" s="167"/>
      <c r="F2370" s="12"/>
      <c r="G2370" s="331"/>
      <c r="H2370" s="474"/>
      <c r="I2370" s="475"/>
      <c r="J2370" s="476"/>
      <c r="K2370" s="5"/>
      <c r="L2370" s="3"/>
      <c r="M2370" s="6"/>
      <c r="N2370" s="9"/>
      <c r="O2370" s="9"/>
      <c r="P2370" s="12"/>
      <c r="Q2370" s="12"/>
      <c r="R2370" s="12"/>
      <c r="S2370" s="151"/>
      <c r="T2370" s="12"/>
      <c r="U2370" s="12"/>
      <c r="V2370" s="12"/>
      <c r="W2370" s="12"/>
      <c r="X2370" s="12"/>
      <c r="Y2370" s="12"/>
      <c r="Z2370" s="12"/>
    </row>
    <row r="2371" spans="1:26" ht="15.75" customHeight="1" x14ac:dyDescent="0.3">
      <c r="A2371" s="3"/>
      <c r="B2371" s="167"/>
      <c r="C2371" s="94"/>
      <c r="D2371" s="12"/>
      <c r="E2371" s="167"/>
      <c r="F2371" s="12"/>
      <c r="G2371" s="331"/>
      <c r="H2371" s="474"/>
      <c r="I2371" s="475"/>
      <c r="J2371" s="476"/>
      <c r="K2371" s="5"/>
      <c r="L2371" s="3"/>
      <c r="M2371" s="6"/>
      <c r="N2371" s="9"/>
      <c r="O2371" s="9"/>
      <c r="P2371" s="12"/>
      <c r="Q2371" s="12"/>
      <c r="R2371" s="12"/>
      <c r="S2371" s="151"/>
      <c r="T2371" s="12"/>
      <c r="U2371" s="12"/>
      <c r="V2371" s="12"/>
      <c r="W2371" s="12"/>
      <c r="X2371" s="12"/>
      <c r="Y2371" s="12"/>
      <c r="Z2371" s="12"/>
    </row>
    <row r="2372" spans="1:26" ht="15.75" customHeight="1" x14ac:dyDescent="0.3">
      <c r="A2372" s="3"/>
      <c r="B2372" s="167"/>
      <c r="C2372" s="94"/>
      <c r="D2372" s="12"/>
      <c r="E2372" s="167"/>
      <c r="F2372" s="12"/>
      <c r="G2372" s="331"/>
      <c r="H2372" s="474"/>
      <c r="I2372" s="475"/>
      <c r="J2372" s="476"/>
      <c r="K2372" s="5"/>
      <c r="L2372" s="3"/>
      <c r="M2372" s="6"/>
      <c r="N2372" s="9"/>
      <c r="O2372" s="9"/>
      <c r="P2372" s="12"/>
      <c r="Q2372" s="12"/>
      <c r="R2372" s="12"/>
      <c r="S2372" s="151"/>
      <c r="T2372" s="12"/>
      <c r="U2372" s="12"/>
      <c r="V2372" s="12"/>
      <c r="W2372" s="12"/>
      <c r="X2372" s="12"/>
      <c r="Y2372" s="12"/>
      <c r="Z2372" s="12"/>
    </row>
    <row r="2373" spans="1:26" ht="15.75" customHeight="1" x14ac:dyDescent="0.3">
      <c r="A2373" s="3"/>
      <c r="B2373" s="167"/>
      <c r="C2373" s="94"/>
      <c r="D2373" s="12"/>
      <c r="E2373" s="167"/>
      <c r="F2373" s="12"/>
      <c r="G2373" s="331"/>
      <c r="H2373" s="474"/>
      <c r="I2373" s="475"/>
      <c r="J2373" s="476"/>
      <c r="K2373" s="5"/>
      <c r="L2373" s="3"/>
      <c r="M2373" s="6"/>
      <c r="N2373" s="9"/>
      <c r="O2373" s="9"/>
      <c r="P2373" s="12"/>
      <c r="Q2373" s="12"/>
      <c r="R2373" s="12"/>
      <c r="S2373" s="151"/>
      <c r="T2373" s="12"/>
      <c r="U2373" s="12"/>
      <c r="V2373" s="12"/>
      <c r="W2373" s="12"/>
      <c r="X2373" s="12"/>
      <c r="Y2373" s="12"/>
      <c r="Z2373" s="12"/>
    </row>
    <row r="2374" spans="1:26" ht="15.75" customHeight="1" x14ac:dyDescent="0.3">
      <c r="A2374" s="3"/>
      <c r="B2374" s="167"/>
      <c r="C2374" s="94"/>
      <c r="D2374" s="12"/>
      <c r="E2374" s="167"/>
      <c r="F2374" s="12"/>
      <c r="G2374" s="331"/>
      <c r="H2374" s="474"/>
      <c r="I2374" s="475"/>
      <c r="J2374" s="476"/>
      <c r="K2374" s="5"/>
      <c r="L2374" s="3"/>
      <c r="M2374" s="6"/>
      <c r="N2374" s="9"/>
      <c r="O2374" s="9"/>
      <c r="P2374" s="12"/>
      <c r="Q2374" s="12"/>
      <c r="R2374" s="12"/>
      <c r="S2374" s="151"/>
      <c r="T2374" s="12"/>
      <c r="U2374" s="12"/>
      <c r="V2374" s="12"/>
      <c r="W2374" s="12"/>
      <c r="X2374" s="12"/>
      <c r="Y2374" s="12"/>
      <c r="Z2374" s="12"/>
    </row>
    <row r="2375" spans="1:26" ht="15.75" customHeight="1" x14ac:dyDescent="0.3">
      <c r="A2375" s="3"/>
      <c r="B2375" s="167"/>
      <c r="C2375" s="94"/>
      <c r="D2375" s="12"/>
      <c r="E2375" s="167"/>
      <c r="F2375" s="12"/>
      <c r="G2375" s="331"/>
      <c r="H2375" s="474"/>
      <c r="I2375" s="475"/>
      <c r="J2375" s="476"/>
      <c r="K2375" s="5"/>
      <c r="L2375" s="3"/>
      <c r="M2375" s="6"/>
      <c r="N2375" s="9"/>
      <c r="O2375" s="9"/>
      <c r="P2375" s="12"/>
      <c r="Q2375" s="12"/>
      <c r="R2375" s="12"/>
      <c r="S2375" s="151"/>
      <c r="T2375" s="12"/>
      <c r="U2375" s="12"/>
      <c r="V2375" s="12"/>
      <c r="W2375" s="12"/>
      <c r="X2375" s="12"/>
      <c r="Y2375" s="12"/>
      <c r="Z2375" s="12"/>
    </row>
    <row r="2376" spans="1:26" ht="15.75" customHeight="1" x14ac:dyDescent="0.3">
      <c r="A2376" s="3"/>
      <c r="B2376" s="167"/>
      <c r="C2376" s="94"/>
      <c r="D2376" s="12"/>
      <c r="E2376" s="167"/>
      <c r="F2376" s="12"/>
      <c r="G2376" s="331"/>
      <c r="H2376" s="474"/>
      <c r="I2376" s="475"/>
      <c r="J2376" s="476"/>
      <c r="K2376" s="5"/>
      <c r="L2376" s="3"/>
      <c r="M2376" s="6"/>
      <c r="N2376" s="9"/>
      <c r="O2376" s="9"/>
      <c r="P2376" s="12"/>
      <c r="Q2376" s="12"/>
      <c r="R2376" s="12"/>
      <c r="S2376" s="151"/>
      <c r="T2376" s="12"/>
      <c r="U2376" s="12"/>
      <c r="V2376" s="12"/>
      <c r="W2376" s="12"/>
      <c r="X2376" s="12"/>
      <c r="Y2376" s="12"/>
      <c r="Z2376" s="12"/>
    </row>
    <row r="2377" spans="1:26" ht="15.75" customHeight="1" x14ac:dyDescent="0.3">
      <c r="A2377" s="3"/>
      <c r="B2377" s="167"/>
      <c r="C2377" s="94"/>
      <c r="D2377" s="12"/>
      <c r="E2377" s="167"/>
      <c r="F2377" s="12"/>
      <c r="G2377" s="331"/>
      <c r="H2377" s="474"/>
      <c r="I2377" s="475"/>
      <c r="J2377" s="476"/>
      <c r="K2377" s="5"/>
      <c r="L2377" s="3"/>
      <c r="M2377" s="6"/>
      <c r="N2377" s="9"/>
      <c r="O2377" s="9"/>
      <c r="P2377" s="12"/>
      <c r="Q2377" s="12"/>
      <c r="R2377" s="12"/>
      <c r="S2377" s="151"/>
      <c r="T2377" s="12"/>
      <c r="U2377" s="12"/>
      <c r="V2377" s="12"/>
      <c r="W2377" s="12"/>
      <c r="X2377" s="12"/>
      <c r="Y2377" s="12"/>
      <c r="Z2377" s="12"/>
    </row>
    <row r="2378" spans="1:26" ht="15.75" customHeight="1" x14ac:dyDescent="0.3">
      <c r="A2378" s="3"/>
      <c r="B2378" s="167"/>
      <c r="C2378" s="94"/>
      <c r="D2378" s="12"/>
      <c r="E2378" s="167"/>
      <c r="F2378" s="12"/>
      <c r="G2378" s="331"/>
      <c r="H2378" s="474"/>
      <c r="I2378" s="475"/>
      <c r="J2378" s="476"/>
      <c r="K2378" s="5"/>
      <c r="L2378" s="3"/>
      <c r="M2378" s="6"/>
      <c r="N2378" s="9"/>
      <c r="O2378" s="9"/>
      <c r="P2378" s="12"/>
      <c r="Q2378" s="12"/>
      <c r="R2378" s="12"/>
      <c r="S2378" s="151"/>
      <c r="T2378" s="12"/>
      <c r="U2378" s="12"/>
      <c r="V2378" s="12"/>
      <c r="W2378" s="12"/>
      <c r="X2378" s="12"/>
      <c r="Y2378" s="12"/>
      <c r="Z2378" s="12"/>
    </row>
    <row r="2379" spans="1:26" ht="15.75" customHeight="1" x14ac:dyDescent="0.3">
      <c r="A2379" s="3"/>
      <c r="B2379" s="167"/>
      <c r="C2379" s="94"/>
      <c r="D2379" s="12"/>
      <c r="E2379" s="167"/>
      <c r="F2379" s="12"/>
      <c r="G2379" s="331"/>
      <c r="H2379" s="474"/>
      <c r="I2379" s="475"/>
      <c r="J2379" s="476"/>
      <c r="K2379" s="5"/>
      <c r="L2379" s="3"/>
      <c r="M2379" s="6"/>
      <c r="N2379" s="9"/>
      <c r="O2379" s="9"/>
      <c r="P2379" s="12"/>
      <c r="Q2379" s="12"/>
      <c r="R2379" s="12"/>
      <c r="S2379" s="151"/>
      <c r="T2379" s="12"/>
      <c r="U2379" s="12"/>
      <c r="V2379" s="12"/>
      <c r="W2379" s="12"/>
      <c r="X2379" s="12"/>
      <c r="Y2379" s="12"/>
      <c r="Z2379" s="12"/>
    </row>
    <row r="2380" spans="1:26" ht="15.75" customHeight="1" x14ac:dyDescent="0.3">
      <c r="A2380" s="3"/>
      <c r="B2380" s="167"/>
      <c r="C2380" s="94"/>
      <c r="D2380" s="12"/>
      <c r="E2380" s="167"/>
      <c r="F2380" s="12"/>
      <c r="G2380" s="331"/>
      <c r="H2380" s="474"/>
      <c r="I2380" s="475"/>
      <c r="J2380" s="476"/>
      <c r="K2380" s="5"/>
      <c r="L2380" s="3"/>
      <c r="M2380" s="6"/>
      <c r="N2380" s="9"/>
      <c r="O2380" s="9"/>
      <c r="P2380" s="12"/>
      <c r="Q2380" s="12"/>
      <c r="R2380" s="12"/>
      <c r="S2380" s="151"/>
      <c r="T2380" s="12"/>
      <c r="U2380" s="12"/>
      <c r="V2380" s="12"/>
      <c r="W2380" s="12"/>
      <c r="X2380" s="12"/>
      <c r="Y2380" s="12"/>
      <c r="Z2380" s="12"/>
    </row>
    <row r="2381" spans="1:26" ht="15.75" customHeight="1" x14ac:dyDescent="0.3">
      <c r="A2381" s="3"/>
      <c r="B2381" s="167"/>
      <c r="C2381" s="94"/>
      <c r="D2381" s="12"/>
      <c r="E2381" s="167"/>
      <c r="F2381" s="12"/>
      <c r="G2381" s="331"/>
      <c r="H2381" s="474"/>
      <c r="I2381" s="475"/>
      <c r="J2381" s="476"/>
      <c r="K2381" s="5"/>
      <c r="L2381" s="3"/>
      <c r="M2381" s="6"/>
      <c r="N2381" s="9"/>
      <c r="O2381" s="9"/>
      <c r="P2381" s="12"/>
      <c r="Q2381" s="12"/>
      <c r="R2381" s="12"/>
      <c r="S2381" s="151"/>
      <c r="T2381" s="12"/>
      <c r="U2381" s="12"/>
      <c r="V2381" s="12"/>
      <c r="W2381" s="12"/>
      <c r="X2381" s="12"/>
      <c r="Y2381" s="12"/>
      <c r="Z2381" s="12"/>
    </row>
    <row r="2382" spans="1:26" ht="15.75" customHeight="1" x14ac:dyDescent="0.3">
      <c r="A2382" s="3"/>
      <c r="B2382" s="167"/>
      <c r="C2382" s="94"/>
      <c r="D2382" s="12"/>
      <c r="E2382" s="167"/>
      <c r="F2382" s="12"/>
      <c r="G2382" s="331"/>
      <c r="H2382" s="474"/>
      <c r="I2382" s="475"/>
      <c r="J2382" s="476"/>
      <c r="K2382" s="5"/>
      <c r="L2382" s="3"/>
      <c r="M2382" s="6"/>
      <c r="N2382" s="9"/>
      <c r="O2382" s="9"/>
      <c r="P2382" s="12"/>
      <c r="Q2382" s="12"/>
      <c r="R2382" s="12"/>
      <c r="S2382" s="151"/>
      <c r="T2382" s="12"/>
      <c r="U2382" s="12"/>
      <c r="V2382" s="12"/>
      <c r="W2382" s="12"/>
      <c r="X2382" s="12"/>
      <c r="Y2382" s="12"/>
      <c r="Z2382" s="12"/>
    </row>
    <row r="2383" spans="1:26" ht="15.75" customHeight="1" x14ac:dyDescent="0.3">
      <c r="A2383" s="3"/>
      <c r="B2383" s="167"/>
      <c r="C2383" s="94"/>
      <c r="D2383" s="12"/>
      <c r="E2383" s="167"/>
      <c r="F2383" s="12"/>
      <c r="G2383" s="331"/>
      <c r="H2383" s="474"/>
      <c r="I2383" s="475"/>
      <c r="J2383" s="476"/>
      <c r="K2383" s="5"/>
      <c r="L2383" s="3"/>
      <c r="M2383" s="6"/>
      <c r="N2383" s="9"/>
      <c r="O2383" s="9"/>
      <c r="P2383" s="12"/>
      <c r="Q2383" s="12"/>
      <c r="R2383" s="12"/>
      <c r="S2383" s="151"/>
      <c r="T2383" s="12"/>
      <c r="U2383" s="12"/>
      <c r="V2383" s="12"/>
      <c r="W2383" s="12"/>
      <c r="X2383" s="12"/>
      <c r="Y2383" s="12"/>
      <c r="Z2383" s="12"/>
    </row>
    <row r="2384" spans="1:26" ht="15.75" customHeight="1" x14ac:dyDescent="0.3">
      <c r="A2384" s="3"/>
      <c r="B2384" s="167"/>
      <c r="C2384" s="94"/>
      <c r="D2384" s="12"/>
      <c r="E2384" s="167"/>
      <c r="F2384" s="12"/>
      <c r="G2384" s="331"/>
      <c r="H2384" s="474"/>
      <c r="I2384" s="475"/>
      <c r="J2384" s="476"/>
      <c r="K2384" s="5"/>
      <c r="L2384" s="3"/>
      <c r="M2384" s="6"/>
      <c r="N2384" s="9"/>
      <c r="O2384" s="9"/>
      <c r="P2384" s="12"/>
      <c r="Q2384" s="12"/>
      <c r="R2384" s="12"/>
      <c r="S2384" s="151"/>
      <c r="T2384" s="12"/>
      <c r="U2384" s="12"/>
      <c r="V2384" s="12"/>
      <c r="W2384" s="12"/>
      <c r="X2384" s="12"/>
      <c r="Y2384" s="12"/>
      <c r="Z2384" s="12"/>
    </row>
    <row r="2385" spans="1:26" ht="15.75" customHeight="1" x14ac:dyDescent="0.3">
      <c r="A2385" s="3"/>
      <c r="B2385" s="167"/>
      <c r="C2385" s="94"/>
      <c r="D2385" s="12"/>
      <c r="E2385" s="167"/>
      <c r="F2385" s="12"/>
      <c r="G2385" s="331"/>
      <c r="H2385" s="474"/>
      <c r="I2385" s="475"/>
      <c r="J2385" s="476"/>
      <c r="K2385" s="5"/>
      <c r="L2385" s="3"/>
      <c r="M2385" s="6"/>
      <c r="N2385" s="9"/>
      <c r="O2385" s="9"/>
      <c r="P2385" s="12"/>
      <c r="Q2385" s="12"/>
      <c r="R2385" s="12"/>
      <c r="S2385" s="151"/>
      <c r="T2385" s="12"/>
      <c r="U2385" s="12"/>
      <c r="V2385" s="12"/>
      <c r="W2385" s="12"/>
      <c r="X2385" s="12"/>
      <c r="Y2385" s="12"/>
      <c r="Z2385" s="12"/>
    </row>
    <row r="2386" spans="1:26" ht="15.75" customHeight="1" x14ac:dyDescent="0.3">
      <c r="A2386" s="3"/>
      <c r="B2386" s="167"/>
      <c r="C2386" s="94"/>
      <c r="D2386" s="12"/>
      <c r="E2386" s="167"/>
      <c r="F2386" s="12"/>
      <c r="G2386" s="331"/>
      <c r="H2386" s="474"/>
      <c r="I2386" s="475"/>
      <c r="J2386" s="476"/>
      <c r="K2386" s="5"/>
      <c r="L2386" s="3"/>
      <c r="M2386" s="6"/>
      <c r="N2386" s="9"/>
      <c r="O2386" s="9"/>
      <c r="P2386" s="12"/>
      <c r="Q2386" s="12"/>
      <c r="R2386" s="12"/>
      <c r="S2386" s="151"/>
      <c r="T2386" s="12"/>
      <c r="U2386" s="12"/>
      <c r="V2386" s="12"/>
      <c r="W2386" s="12"/>
      <c r="X2386" s="12"/>
      <c r="Y2386" s="12"/>
      <c r="Z2386" s="12"/>
    </row>
    <row r="2387" spans="1:26" ht="15.75" customHeight="1" x14ac:dyDescent="0.3">
      <c r="A2387" s="3"/>
      <c r="B2387" s="167"/>
      <c r="C2387" s="94"/>
      <c r="D2387" s="12"/>
      <c r="E2387" s="167"/>
      <c r="F2387" s="12"/>
      <c r="G2387" s="331"/>
      <c r="H2387" s="474"/>
      <c r="I2387" s="475"/>
      <c r="J2387" s="476"/>
      <c r="K2387" s="5"/>
      <c r="L2387" s="3"/>
      <c r="M2387" s="6"/>
      <c r="N2387" s="9"/>
      <c r="O2387" s="9"/>
      <c r="P2387" s="12"/>
      <c r="Q2387" s="12"/>
      <c r="R2387" s="12"/>
      <c r="S2387" s="151"/>
      <c r="T2387" s="12"/>
      <c r="U2387" s="12"/>
      <c r="V2387" s="12"/>
      <c r="W2387" s="12"/>
      <c r="X2387" s="12"/>
      <c r="Y2387" s="12"/>
      <c r="Z2387" s="12"/>
    </row>
    <row r="2388" spans="1:26" ht="15.75" customHeight="1" x14ac:dyDescent="0.3">
      <c r="A2388" s="3"/>
      <c r="B2388" s="167"/>
      <c r="C2388" s="94"/>
      <c r="D2388" s="12"/>
      <c r="E2388" s="167"/>
      <c r="F2388" s="12"/>
      <c r="G2388" s="331"/>
      <c r="H2388" s="474"/>
      <c r="I2388" s="475"/>
      <c r="J2388" s="476"/>
      <c r="K2388" s="5"/>
      <c r="L2388" s="3"/>
      <c r="M2388" s="6"/>
      <c r="N2388" s="9"/>
      <c r="O2388" s="9"/>
      <c r="P2388" s="12"/>
      <c r="Q2388" s="12"/>
      <c r="R2388" s="12"/>
      <c r="S2388" s="151"/>
      <c r="T2388" s="12"/>
      <c r="U2388" s="12"/>
      <c r="V2388" s="12"/>
      <c r="W2388" s="12"/>
      <c r="X2388" s="12"/>
      <c r="Y2388" s="12"/>
      <c r="Z2388" s="12"/>
    </row>
    <row r="2389" spans="1:26" ht="15.75" customHeight="1" x14ac:dyDescent="0.3">
      <c r="A2389" s="3"/>
      <c r="B2389" s="167"/>
      <c r="C2389" s="94"/>
      <c r="D2389" s="12"/>
      <c r="E2389" s="167"/>
      <c r="F2389" s="12"/>
      <c r="G2389" s="331"/>
      <c r="H2389" s="474"/>
      <c r="I2389" s="475"/>
      <c r="J2389" s="476"/>
      <c r="K2389" s="5"/>
      <c r="L2389" s="3"/>
      <c r="M2389" s="6"/>
      <c r="N2389" s="9"/>
      <c r="O2389" s="9"/>
      <c r="P2389" s="12"/>
      <c r="Q2389" s="12"/>
      <c r="R2389" s="12"/>
      <c r="S2389" s="151"/>
      <c r="T2389" s="12"/>
      <c r="U2389" s="12"/>
      <c r="V2389" s="12"/>
      <c r="W2389" s="12"/>
      <c r="X2389" s="12"/>
      <c r="Y2389" s="12"/>
      <c r="Z2389" s="12"/>
    </row>
    <row r="2390" spans="1:26" ht="15.75" customHeight="1" x14ac:dyDescent="0.3">
      <c r="A2390" s="3"/>
      <c r="B2390" s="167"/>
      <c r="C2390" s="94"/>
      <c r="D2390" s="12"/>
      <c r="E2390" s="167"/>
      <c r="F2390" s="12"/>
      <c r="G2390" s="331"/>
      <c r="H2390" s="474"/>
      <c r="I2390" s="475"/>
      <c r="J2390" s="476"/>
      <c r="K2390" s="5"/>
      <c r="L2390" s="3"/>
      <c r="M2390" s="6"/>
      <c r="N2390" s="9"/>
      <c r="O2390" s="9"/>
      <c r="P2390" s="12"/>
      <c r="Q2390" s="12"/>
      <c r="R2390" s="12"/>
      <c r="S2390" s="151"/>
      <c r="T2390" s="12"/>
      <c r="U2390" s="12"/>
      <c r="V2390" s="12"/>
      <c r="W2390" s="12"/>
      <c r="X2390" s="12"/>
      <c r="Y2390" s="12"/>
      <c r="Z2390" s="12"/>
    </row>
    <row r="2391" spans="1:26" ht="15.75" customHeight="1" x14ac:dyDescent="0.3">
      <c r="A2391" s="3"/>
      <c r="B2391" s="167"/>
      <c r="C2391" s="94"/>
      <c r="D2391" s="12"/>
      <c r="E2391" s="167"/>
      <c r="F2391" s="12"/>
      <c r="G2391" s="331"/>
      <c r="H2391" s="474"/>
      <c r="I2391" s="475"/>
      <c r="J2391" s="476"/>
      <c r="K2391" s="5"/>
      <c r="L2391" s="3"/>
      <c r="M2391" s="6"/>
      <c r="N2391" s="9"/>
      <c r="O2391" s="9"/>
      <c r="P2391" s="12"/>
      <c r="Q2391" s="12"/>
      <c r="R2391" s="12"/>
      <c r="S2391" s="151"/>
      <c r="T2391" s="12"/>
      <c r="U2391" s="12"/>
      <c r="V2391" s="12"/>
      <c r="W2391" s="12"/>
      <c r="X2391" s="12"/>
      <c r="Y2391" s="12"/>
      <c r="Z2391" s="12"/>
    </row>
    <row r="2392" spans="1:26" ht="15.75" customHeight="1" x14ac:dyDescent="0.3">
      <c r="A2392" s="3"/>
      <c r="B2392" s="167"/>
      <c r="C2392" s="94"/>
      <c r="D2392" s="12"/>
      <c r="E2392" s="167"/>
      <c r="F2392" s="12"/>
      <c r="G2392" s="331"/>
      <c r="H2392" s="474"/>
      <c r="I2392" s="475"/>
      <c r="J2392" s="476"/>
      <c r="K2392" s="5"/>
      <c r="L2392" s="3"/>
      <c r="M2392" s="6"/>
      <c r="N2392" s="9"/>
      <c r="O2392" s="9"/>
      <c r="P2392" s="12"/>
      <c r="Q2392" s="12"/>
      <c r="R2392" s="12"/>
      <c r="S2392" s="151"/>
      <c r="T2392" s="12"/>
      <c r="U2392" s="12"/>
      <c r="V2392" s="12"/>
      <c r="W2392" s="12"/>
      <c r="X2392" s="12"/>
      <c r="Y2392" s="12"/>
      <c r="Z2392" s="12"/>
    </row>
    <row r="2393" spans="1:26" ht="15.75" customHeight="1" x14ac:dyDescent="0.3">
      <c r="A2393" s="3"/>
      <c r="B2393" s="167"/>
      <c r="C2393" s="94"/>
      <c r="D2393" s="12"/>
      <c r="E2393" s="167"/>
      <c r="F2393" s="12"/>
      <c r="G2393" s="331"/>
      <c r="H2393" s="474"/>
      <c r="I2393" s="475"/>
      <c r="J2393" s="476"/>
      <c r="K2393" s="5"/>
      <c r="L2393" s="3"/>
      <c r="M2393" s="6"/>
      <c r="N2393" s="9"/>
      <c r="O2393" s="9"/>
      <c r="P2393" s="12"/>
      <c r="Q2393" s="12"/>
      <c r="R2393" s="12"/>
      <c r="S2393" s="151"/>
      <c r="T2393" s="12"/>
      <c r="U2393" s="12"/>
      <c r="V2393" s="12"/>
      <c r="W2393" s="12"/>
      <c r="X2393" s="12"/>
      <c r="Y2393" s="12"/>
      <c r="Z2393" s="12"/>
    </row>
    <row r="2394" spans="1:26" ht="15.75" customHeight="1" x14ac:dyDescent="0.3">
      <c r="A2394" s="3"/>
      <c r="B2394" s="167"/>
      <c r="C2394" s="94"/>
      <c r="D2394" s="12"/>
      <c r="E2394" s="167"/>
      <c r="F2394" s="12"/>
      <c r="G2394" s="331"/>
      <c r="H2394" s="474"/>
      <c r="I2394" s="475"/>
      <c r="J2394" s="476"/>
      <c r="K2394" s="5"/>
      <c r="L2394" s="3"/>
      <c r="M2394" s="6"/>
      <c r="N2394" s="9"/>
      <c r="O2394" s="9"/>
      <c r="P2394" s="12"/>
      <c r="Q2394" s="12"/>
      <c r="R2394" s="12"/>
      <c r="S2394" s="151"/>
      <c r="T2394" s="12"/>
      <c r="U2394" s="12"/>
      <c r="V2394" s="12"/>
      <c r="W2394" s="12"/>
      <c r="X2394" s="12"/>
      <c r="Y2394" s="12"/>
      <c r="Z2394" s="12"/>
    </row>
    <row r="2395" spans="1:26" ht="15.75" customHeight="1" x14ac:dyDescent="0.3">
      <c r="A2395" s="3"/>
      <c r="B2395" s="167"/>
      <c r="C2395" s="94"/>
      <c r="D2395" s="12"/>
      <c r="E2395" s="167"/>
      <c r="F2395" s="12"/>
      <c r="G2395" s="331"/>
      <c r="H2395" s="474"/>
      <c r="I2395" s="475"/>
      <c r="J2395" s="476"/>
      <c r="K2395" s="5"/>
      <c r="L2395" s="3"/>
      <c r="M2395" s="6"/>
      <c r="N2395" s="9"/>
      <c r="O2395" s="9"/>
      <c r="P2395" s="12"/>
      <c r="Q2395" s="12"/>
      <c r="R2395" s="12"/>
      <c r="S2395" s="151"/>
      <c r="T2395" s="12"/>
      <c r="U2395" s="12"/>
      <c r="V2395" s="12"/>
      <c r="W2395" s="12"/>
      <c r="X2395" s="12"/>
      <c r="Y2395" s="12"/>
      <c r="Z2395" s="12"/>
    </row>
    <row r="2396" spans="1:26" ht="15.75" customHeight="1" x14ac:dyDescent="0.3">
      <c r="A2396" s="3"/>
      <c r="B2396" s="167"/>
      <c r="C2396" s="94"/>
      <c r="D2396" s="12"/>
      <c r="E2396" s="167"/>
      <c r="F2396" s="12"/>
      <c r="G2396" s="331"/>
      <c r="H2396" s="474"/>
      <c r="I2396" s="475"/>
      <c r="J2396" s="476"/>
      <c r="K2396" s="5"/>
      <c r="L2396" s="3"/>
      <c r="M2396" s="6"/>
      <c r="N2396" s="9"/>
      <c r="O2396" s="9"/>
      <c r="P2396" s="12"/>
      <c r="Q2396" s="12"/>
      <c r="R2396" s="12"/>
      <c r="S2396" s="151"/>
      <c r="T2396" s="12"/>
      <c r="U2396" s="12"/>
      <c r="V2396" s="12"/>
      <c r="W2396" s="12"/>
      <c r="X2396" s="12"/>
      <c r="Y2396" s="12"/>
      <c r="Z2396" s="12"/>
    </row>
    <row r="2397" spans="1:26" ht="15.75" customHeight="1" x14ac:dyDescent="0.3">
      <c r="A2397" s="3"/>
      <c r="B2397" s="167"/>
      <c r="C2397" s="94"/>
      <c r="D2397" s="12"/>
      <c r="E2397" s="167"/>
      <c r="F2397" s="12"/>
      <c r="G2397" s="331"/>
      <c r="H2397" s="474"/>
      <c r="I2397" s="475"/>
      <c r="J2397" s="476"/>
      <c r="K2397" s="5"/>
      <c r="L2397" s="3"/>
      <c r="M2397" s="6"/>
      <c r="N2397" s="9"/>
      <c r="O2397" s="9"/>
      <c r="P2397" s="12"/>
      <c r="Q2397" s="12"/>
      <c r="R2397" s="12"/>
      <c r="S2397" s="151"/>
      <c r="T2397" s="12"/>
      <c r="U2397" s="12"/>
      <c r="V2397" s="12"/>
      <c r="W2397" s="12"/>
      <c r="X2397" s="12"/>
      <c r="Y2397" s="12"/>
      <c r="Z2397" s="12"/>
    </row>
    <row r="2398" spans="1:26" ht="15.75" customHeight="1" x14ac:dyDescent="0.3">
      <c r="A2398" s="3"/>
      <c r="B2398" s="167"/>
      <c r="C2398" s="94"/>
      <c r="D2398" s="12"/>
      <c r="E2398" s="167"/>
      <c r="F2398" s="12"/>
      <c r="G2398" s="331"/>
      <c r="H2398" s="474"/>
      <c r="I2398" s="475"/>
      <c r="J2398" s="476"/>
      <c r="K2398" s="5"/>
      <c r="L2398" s="3"/>
      <c r="M2398" s="6"/>
      <c r="N2398" s="9"/>
      <c r="O2398" s="9"/>
      <c r="P2398" s="12"/>
      <c r="Q2398" s="12"/>
      <c r="R2398" s="12"/>
      <c r="S2398" s="151"/>
      <c r="T2398" s="12"/>
      <c r="U2398" s="12"/>
      <c r="V2398" s="12"/>
      <c r="W2398" s="12"/>
      <c r="X2398" s="12"/>
      <c r="Y2398" s="12"/>
      <c r="Z2398" s="12"/>
    </row>
    <row r="2399" spans="1:26" ht="15.75" customHeight="1" x14ac:dyDescent="0.3">
      <c r="A2399" s="3"/>
      <c r="B2399" s="167"/>
      <c r="C2399" s="94"/>
      <c r="D2399" s="12"/>
      <c r="E2399" s="167"/>
      <c r="F2399" s="12"/>
      <c r="G2399" s="331"/>
      <c r="H2399" s="474"/>
      <c r="I2399" s="475"/>
      <c r="J2399" s="476"/>
      <c r="K2399" s="5"/>
      <c r="L2399" s="3"/>
      <c r="M2399" s="6"/>
      <c r="N2399" s="9"/>
      <c r="O2399" s="9"/>
      <c r="P2399" s="12"/>
      <c r="Q2399" s="12"/>
      <c r="R2399" s="12"/>
      <c r="S2399" s="151"/>
      <c r="T2399" s="12"/>
      <c r="U2399" s="12"/>
      <c r="V2399" s="12"/>
      <c r="W2399" s="12"/>
      <c r="X2399" s="12"/>
      <c r="Y2399" s="12"/>
      <c r="Z2399" s="12"/>
    </row>
    <row r="2400" spans="1:26" ht="15.75" customHeight="1" x14ac:dyDescent="0.3">
      <c r="A2400" s="3"/>
      <c r="B2400" s="167"/>
      <c r="C2400" s="94"/>
      <c r="D2400" s="12"/>
      <c r="E2400" s="167"/>
      <c r="F2400" s="12"/>
      <c r="G2400" s="331"/>
      <c r="H2400" s="474"/>
      <c r="I2400" s="475"/>
      <c r="J2400" s="476"/>
      <c r="K2400" s="5"/>
      <c r="L2400" s="3"/>
      <c r="M2400" s="6"/>
      <c r="N2400" s="9"/>
      <c r="O2400" s="9"/>
      <c r="P2400" s="12"/>
      <c r="Q2400" s="12"/>
      <c r="R2400" s="12"/>
      <c r="S2400" s="151"/>
      <c r="T2400" s="12"/>
      <c r="U2400" s="12"/>
      <c r="V2400" s="12"/>
      <c r="W2400" s="12"/>
      <c r="X2400" s="12"/>
      <c r="Y2400" s="12"/>
      <c r="Z2400" s="12"/>
    </row>
    <row r="2401" spans="1:26" ht="15.75" customHeight="1" x14ac:dyDescent="0.3">
      <c r="A2401" s="3"/>
      <c r="B2401" s="167"/>
      <c r="C2401" s="94"/>
      <c r="D2401" s="12"/>
      <c r="E2401" s="167"/>
      <c r="F2401" s="12"/>
      <c r="G2401" s="331"/>
      <c r="H2401" s="474"/>
      <c r="I2401" s="475"/>
      <c r="J2401" s="476"/>
      <c r="K2401" s="5"/>
      <c r="L2401" s="3"/>
      <c r="M2401" s="6"/>
      <c r="N2401" s="9"/>
      <c r="O2401" s="9"/>
      <c r="P2401" s="12"/>
      <c r="Q2401" s="12"/>
      <c r="R2401" s="12"/>
      <c r="S2401" s="151"/>
      <c r="T2401" s="12"/>
      <c r="U2401" s="12"/>
      <c r="V2401" s="12"/>
      <c r="W2401" s="12"/>
      <c r="X2401" s="12"/>
      <c r="Y2401" s="12"/>
      <c r="Z2401" s="12"/>
    </row>
    <row r="2402" spans="1:26" ht="15.75" customHeight="1" x14ac:dyDescent="0.3">
      <c r="A2402" s="3"/>
      <c r="B2402" s="167"/>
      <c r="C2402" s="94"/>
      <c r="D2402" s="12"/>
      <c r="E2402" s="167"/>
      <c r="F2402" s="12"/>
      <c r="G2402" s="331"/>
      <c r="H2402" s="474"/>
      <c r="I2402" s="475"/>
      <c r="J2402" s="476"/>
      <c r="K2402" s="5"/>
      <c r="L2402" s="3"/>
      <c r="M2402" s="6"/>
      <c r="N2402" s="9"/>
      <c r="O2402" s="9"/>
      <c r="P2402" s="12"/>
      <c r="Q2402" s="12"/>
      <c r="R2402" s="12"/>
      <c r="S2402" s="151"/>
      <c r="T2402" s="12"/>
      <c r="U2402" s="12"/>
      <c r="V2402" s="12"/>
      <c r="W2402" s="12"/>
      <c r="X2402" s="12"/>
      <c r="Y2402" s="12"/>
      <c r="Z2402" s="12"/>
    </row>
    <row r="2403" spans="1:26" ht="15.75" customHeight="1" x14ac:dyDescent="0.3">
      <c r="A2403" s="3"/>
      <c r="B2403" s="167"/>
      <c r="C2403" s="94"/>
      <c r="D2403" s="12"/>
      <c r="E2403" s="167"/>
      <c r="F2403" s="12"/>
      <c r="G2403" s="331"/>
      <c r="H2403" s="474"/>
      <c r="I2403" s="475"/>
      <c r="J2403" s="476"/>
      <c r="K2403" s="5"/>
      <c r="L2403" s="3"/>
      <c r="M2403" s="6"/>
      <c r="N2403" s="9"/>
      <c r="O2403" s="9"/>
      <c r="P2403" s="12"/>
      <c r="Q2403" s="12"/>
      <c r="R2403" s="12"/>
      <c r="S2403" s="151"/>
      <c r="T2403" s="12"/>
      <c r="U2403" s="12"/>
      <c r="V2403" s="12"/>
      <c r="W2403" s="12"/>
      <c r="X2403" s="12"/>
      <c r="Y2403" s="12"/>
      <c r="Z2403" s="12"/>
    </row>
    <row r="2404" spans="1:26" ht="15.75" customHeight="1" x14ac:dyDescent="0.3">
      <c r="A2404" s="3"/>
      <c r="B2404" s="167"/>
      <c r="C2404" s="94"/>
      <c r="D2404" s="12"/>
      <c r="E2404" s="167"/>
      <c r="F2404" s="12"/>
      <c r="G2404" s="331"/>
      <c r="H2404" s="474"/>
      <c r="I2404" s="475"/>
      <c r="J2404" s="476"/>
      <c r="K2404" s="5"/>
      <c r="L2404" s="3"/>
      <c r="M2404" s="6"/>
      <c r="N2404" s="9"/>
      <c r="O2404" s="9"/>
      <c r="P2404" s="12"/>
      <c r="Q2404" s="12"/>
      <c r="R2404" s="12"/>
      <c r="S2404" s="151"/>
      <c r="T2404" s="12"/>
      <c r="U2404" s="12"/>
      <c r="V2404" s="12"/>
      <c r="W2404" s="12"/>
      <c r="X2404" s="12"/>
      <c r="Y2404" s="12"/>
      <c r="Z2404" s="12"/>
    </row>
    <row r="2405" spans="1:26" ht="15.75" customHeight="1" x14ac:dyDescent="0.3">
      <c r="A2405" s="3"/>
      <c r="B2405" s="167"/>
      <c r="C2405" s="94"/>
      <c r="D2405" s="12"/>
      <c r="E2405" s="167"/>
      <c r="F2405" s="12"/>
      <c r="G2405" s="331"/>
      <c r="H2405" s="474"/>
      <c r="I2405" s="475"/>
      <c r="J2405" s="476"/>
      <c r="K2405" s="5"/>
      <c r="L2405" s="3"/>
      <c r="M2405" s="6"/>
      <c r="N2405" s="9"/>
      <c r="O2405" s="9"/>
      <c r="P2405" s="12"/>
      <c r="Q2405" s="12"/>
      <c r="R2405" s="12"/>
      <c r="S2405" s="151"/>
      <c r="T2405" s="12"/>
      <c r="U2405" s="12"/>
      <c r="V2405" s="12"/>
      <c r="W2405" s="12"/>
      <c r="X2405" s="12"/>
      <c r="Y2405" s="12"/>
      <c r="Z2405" s="12"/>
    </row>
    <row r="2406" spans="1:26" ht="15.75" customHeight="1" x14ac:dyDescent="0.3">
      <c r="A2406" s="3"/>
      <c r="B2406" s="167"/>
      <c r="C2406" s="94"/>
      <c r="D2406" s="12"/>
      <c r="E2406" s="167"/>
      <c r="F2406" s="12"/>
      <c r="G2406" s="331"/>
      <c r="H2406" s="474"/>
      <c r="I2406" s="475"/>
      <c r="J2406" s="476"/>
      <c r="K2406" s="5"/>
      <c r="L2406" s="3"/>
      <c r="M2406" s="6"/>
      <c r="N2406" s="9"/>
      <c r="O2406" s="9"/>
      <c r="P2406" s="12"/>
      <c r="Q2406" s="12"/>
      <c r="R2406" s="12"/>
      <c r="S2406" s="151"/>
      <c r="T2406" s="12"/>
      <c r="U2406" s="12"/>
      <c r="V2406" s="12"/>
      <c r="W2406" s="12"/>
      <c r="X2406" s="12"/>
      <c r="Y2406" s="12"/>
      <c r="Z2406" s="12"/>
    </row>
    <row r="2407" spans="1:26" ht="15.75" customHeight="1" x14ac:dyDescent="0.3">
      <c r="A2407" s="3"/>
      <c r="B2407" s="167"/>
      <c r="C2407" s="94"/>
      <c r="D2407" s="12"/>
      <c r="E2407" s="167"/>
      <c r="F2407" s="12"/>
      <c r="G2407" s="331"/>
      <c r="H2407" s="474"/>
      <c r="I2407" s="475"/>
      <c r="J2407" s="476"/>
      <c r="K2407" s="5"/>
      <c r="L2407" s="3"/>
      <c r="M2407" s="6"/>
      <c r="N2407" s="9"/>
      <c r="O2407" s="9"/>
      <c r="P2407" s="12"/>
      <c r="Q2407" s="12"/>
      <c r="R2407" s="12"/>
      <c r="S2407" s="151"/>
      <c r="T2407" s="12"/>
      <c r="U2407" s="12"/>
      <c r="V2407" s="12"/>
      <c r="W2407" s="12"/>
      <c r="X2407" s="12"/>
      <c r="Y2407" s="12"/>
      <c r="Z2407" s="12"/>
    </row>
    <row r="2408" spans="1:26" ht="15.75" customHeight="1" x14ac:dyDescent="0.3">
      <c r="A2408" s="3"/>
      <c r="B2408" s="167"/>
      <c r="C2408" s="94"/>
      <c r="D2408" s="12"/>
      <c r="E2408" s="167"/>
      <c r="F2408" s="12"/>
      <c r="G2408" s="331"/>
      <c r="H2408" s="474"/>
      <c r="I2408" s="475"/>
      <c r="J2408" s="476"/>
      <c r="K2408" s="5"/>
      <c r="L2408" s="3"/>
      <c r="M2408" s="6"/>
      <c r="N2408" s="9"/>
      <c r="O2408" s="9"/>
      <c r="P2408" s="12"/>
      <c r="Q2408" s="12"/>
      <c r="R2408" s="12"/>
      <c r="S2408" s="151"/>
      <c r="T2408" s="12"/>
      <c r="U2408" s="12"/>
      <c r="V2408" s="12"/>
      <c r="W2408" s="12"/>
      <c r="X2408" s="12"/>
      <c r="Y2408" s="12"/>
      <c r="Z2408" s="12"/>
    </row>
    <row r="2409" spans="1:26" ht="15.75" customHeight="1" x14ac:dyDescent="0.3">
      <c r="A2409" s="3"/>
      <c r="B2409" s="167"/>
      <c r="C2409" s="94"/>
      <c r="D2409" s="12"/>
      <c r="E2409" s="167"/>
      <c r="F2409" s="12"/>
      <c r="G2409" s="331"/>
      <c r="H2409" s="474"/>
      <c r="I2409" s="475"/>
      <c r="J2409" s="476"/>
      <c r="K2409" s="5"/>
      <c r="L2409" s="3"/>
      <c r="M2409" s="6"/>
      <c r="N2409" s="9"/>
      <c r="O2409" s="9"/>
      <c r="P2409" s="12"/>
      <c r="Q2409" s="12"/>
      <c r="R2409" s="12"/>
      <c r="S2409" s="151"/>
      <c r="T2409" s="12"/>
      <c r="U2409" s="12"/>
      <c r="V2409" s="12"/>
      <c r="W2409" s="12"/>
      <c r="X2409" s="12"/>
      <c r="Y2409" s="12"/>
      <c r="Z2409" s="12"/>
    </row>
    <row r="2410" spans="1:26" ht="15.75" customHeight="1" x14ac:dyDescent="0.3">
      <c r="A2410" s="3"/>
      <c r="B2410" s="167"/>
      <c r="C2410" s="94"/>
      <c r="D2410" s="12"/>
      <c r="E2410" s="167"/>
      <c r="F2410" s="12"/>
      <c r="G2410" s="331"/>
      <c r="H2410" s="474"/>
      <c r="I2410" s="475"/>
      <c r="J2410" s="476"/>
      <c r="K2410" s="5"/>
      <c r="L2410" s="3"/>
      <c r="M2410" s="6"/>
      <c r="N2410" s="9"/>
      <c r="O2410" s="9"/>
      <c r="P2410" s="12"/>
      <c r="Q2410" s="12"/>
      <c r="R2410" s="12"/>
      <c r="S2410" s="151"/>
      <c r="T2410" s="12"/>
      <c r="U2410" s="12"/>
      <c r="V2410" s="12"/>
      <c r="W2410" s="12"/>
      <c r="X2410" s="12"/>
      <c r="Y2410" s="12"/>
      <c r="Z2410" s="12"/>
    </row>
    <row r="2411" spans="1:26" ht="15.75" customHeight="1" x14ac:dyDescent="0.3">
      <c r="A2411" s="3"/>
      <c r="B2411" s="167"/>
      <c r="C2411" s="94"/>
      <c r="D2411" s="12"/>
      <c r="E2411" s="167"/>
      <c r="F2411" s="12"/>
      <c r="G2411" s="331"/>
      <c r="H2411" s="474"/>
      <c r="I2411" s="475"/>
      <c r="J2411" s="476"/>
      <c r="K2411" s="5"/>
      <c r="L2411" s="3"/>
      <c r="M2411" s="6"/>
      <c r="N2411" s="9"/>
      <c r="O2411" s="9"/>
      <c r="P2411" s="12"/>
      <c r="Q2411" s="12"/>
      <c r="R2411" s="12"/>
      <c r="S2411" s="151"/>
      <c r="T2411" s="12"/>
      <c r="U2411" s="12"/>
      <c r="V2411" s="12"/>
      <c r="W2411" s="12"/>
      <c r="X2411" s="12"/>
      <c r="Y2411" s="12"/>
      <c r="Z2411" s="12"/>
    </row>
    <row r="2412" spans="1:26" ht="15.75" customHeight="1" x14ac:dyDescent="0.3">
      <c r="A2412" s="3"/>
      <c r="B2412" s="167"/>
      <c r="C2412" s="94"/>
      <c r="D2412" s="12"/>
      <c r="E2412" s="167"/>
      <c r="F2412" s="12"/>
      <c r="G2412" s="331"/>
      <c r="H2412" s="474"/>
      <c r="I2412" s="475"/>
      <c r="J2412" s="476"/>
      <c r="K2412" s="5"/>
      <c r="L2412" s="3"/>
      <c r="M2412" s="6"/>
      <c r="N2412" s="9"/>
      <c r="O2412" s="9"/>
      <c r="P2412" s="12"/>
      <c r="Q2412" s="12"/>
      <c r="R2412" s="12"/>
      <c r="S2412" s="151"/>
      <c r="T2412" s="12"/>
      <c r="U2412" s="12"/>
      <c r="V2412" s="12"/>
      <c r="W2412" s="12"/>
      <c r="X2412" s="12"/>
      <c r="Y2412" s="12"/>
      <c r="Z2412" s="12"/>
    </row>
    <row r="2413" spans="1:26" ht="15.75" customHeight="1" x14ac:dyDescent="0.3">
      <c r="A2413" s="3"/>
      <c r="B2413" s="167"/>
      <c r="C2413" s="94"/>
      <c r="D2413" s="12"/>
      <c r="E2413" s="167"/>
      <c r="F2413" s="12"/>
      <c r="G2413" s="331"/>
      <c r="H2413" s="474"/>
      <c r="I2413" s="475"/>
      <c r="J2413" s="476"/>
      <c r="K2413" s="5"/>
      <c r="L2413" s="3"/>
      <c r="M2413" s="6"/>
      <c r="N2413" s="9"/>
      <c r="O2413" s="9"/>
      <c r="P2413" s="12"/>
      <c r="Q2413" s="12"/>
      <c r="R2413" s="12"/>
      <c r="S2413" s="151"/>
      <c r="T2413" s="12"/>
      <c r="U2413" s="12"/>
      <c r="V2413" s="12"/>
      <c r="W2413" s="12"/>
      <c r="X2413" s="12"/>
      <c r="Y2413" s="12"/>
      <c r="Z2413" s="12"/>
    </row>
    <row r="2414" spans="1:26" ht="15.75" customHeight="1" x14ac:dyDescent="0.3">
      <c r="A2414" s="3"/>
      <c r="B2414" s="167"/>
      <c r="C2414" s="94"/>
      <c r="D2414" s="12"/>
      <c r="E2414" s="167"/>
      <c r="F2414" s="12"/>
      <c r="G2414" s="331"/>
      <c r="H2414" s="474"/>
      <c r="I2414" s="475"/>
      <c r="J2414" s="476"/>
      <c r="K2414" s="5"/>
      <c r="L2414" s="3"/>
      <c r="M2414" s="6"/>
      <c r="N2414" s="9"/>
      <c r="O2414" s="9"/>
      <c r="P2414" s="12"/>
      <c r="Q2414" s="12"/>
      <c r="R2414" s="12"/>
      <c r="S2414" s="151"/>
      <c r="T2414" s="12"/>
      <c r="U2414" s="12"/>
      <c r="V2414" s="12"/>
      <c r="W2414" s="12"/>
      <c r="X2414" s="12"/>
      <c r="Y2414" s="12"/>
      <c r="Z2414" s="12"/>
    </row>
    <row r="2415" spans="1:26" ht="15.75" customHeight="1" x14ac:dyDescent="0.3">
      <c r="A2415" s="3"/>
      <c r="B2415" s="167"/>
      <c r="C2415" s="94"/>
      <c r="D2415" s="12"/>
      <c r="E2415" s="167"/>
      <c r="F2415" s="12"/>
      <c r="G2415" s="331"/>
      <c r="H2415" s="474"/>
      <c r="I2415" s="475"/>
      <c r="J2415" s="476"/>
      <c r="K2415" s="5"/>
      <c r="L2415" s="3"/>
      <c r="M2415" s="6"/>
      <c r="N2415" s="9"/>
      <c r="O2415" s="9"/>
      <c r="P2415" s="12"/>
      <c r="Q2415" s="12"/>
      <c r="R2415" s="12"/>
      <c r="S2415" s="151"/>
      <c r="T2415" s="12"/>
      <c r="U2415" s="12"/>
      <c r="V2415" s="12"/>
      <c r="W2415" s="12"/>
      <c r="X2415" s="12"/>
      <c r="Y2415" s="12"/>
      <c r="Z2415" s="12"/>
    </row>
    <row r="2416" spans="1:26" ht="15.75" customHeight="1" x14ac:dyDescent="0.3">
      <c r="A2416" s="3"/>
      <c r="B2416" s="167"/>
      <c r="C2416" s="94"/>
      <c r="D2416" s="12"/>
      <c r="E2416" s="167"/>
      <c r="F2416" s="12"/>
      <c r="G2416" s="331"/>
      <c r="H2416" s="474"/>
      <c r="I2416" s="475"/>
      <c r="J2416" s="476"/>
      <c r="K2416" s="5"/>
      <c r="L2416" s="3"/>
      <c r="M2416" s="6"/>
      <c r="N2416" s="9"/>
      <c r="O2416" s="9"/>
      <c r="P2416" s="12"/>
      <c r="Q2416" s="12"/>
      <c r="R2416" s="12"/>
      <c r="S2416" s="151"/>
      <c r="T2416" s="12"/>
      <c r="U2416" s="12"/>
      <c r="V2416" s="12"/>
      <c r="W2416" s="12"/>
      <c r="X2416" s="12"/>
      <c r="Y2416" s="12"/>
      <c r="Z2416" s="12"/>
    </row>
    <row r="2417" spans="1:26" ht="15.75" customHeight="1" x14ac:dyDescent="0.3">
      <c r="A2417" s="3"/>
      <c r="B2417" s="167"/>
      <c r="C2417" s="94"/>
      <c r="D2417" s="12"/>
      <c r="E2417" s="167"/>
      <c r="F2417" s="12"/>
      <c r="G2417" s="331"/>
      <c r="H2417" s="474"/>
      <c r="I2417" s="475"/>
      <c r="J2417" s="476"/>
      <c r="K2417" s="5"/>
      <c r="L2417" s="3"/>
      <c r="M2417" s="6"/>
      <c r="N2417" s="9"/>
      <c r="O2417" s="9"/>
      <c r="P2417" s="12"/>
      <c r="Q2417" s="12"/>
      <c r="R2417" s="12"/>
      <c r="S2417" s="151"/>
      <c r="T2417" s="12"/>
      <c r="U2417" s="12"/>
      <c r="V2417" s="12"/>
      <c r="W2417" s="12"/>
      <c r="X2417" s="12"/>
      <c r="Y2417" s="12"/>
      <c r="Z2417" s="12"/>
    </row>
    <row r="2418" spans="1:26" ht="15.75" customHeight="1" x14ac:dyDescent="0.3">
      <c r="A2418" s="3"/>
      <c r="B2418" s="167"/>
      <c r="C2418" s="94"/>
      <c r="D2418" s="12"/>
      <c r="E2418" s="167"/>
      <c r="F2418" s="12"/>
      <c r="G2418" s="331"/>
      <c r="H2418" s="474"/>
      <c r="I2418" s="475"/>
      <c r="J2418" s="476"/>
      <c r="K2418" s="5"/>
      <c r="L2418" s="3"/>
      <c r="M2418" s="6"/>
      <c r="N2418" s="9"/>
      <c r="O2418" s="9"/>
      <c r="P2418" s="12"/>
      <c r="Q2418" s="12"/>
      <c r="R2418" s="12"/>
      <c r="S2418" s="151"/>
      <c r="T2418" s="12"/>
      <c r="U2418" s="12"/>
      <c r="V2418" s="12"/>
      <c r="W2418" s="12"/>
      <c r="X2418" s="12"/>
      <c r="Y2418" s="12"/>
      <c r="Z2418" s="12"/>
    </row>
    <row r="2419" spans="1:26" ht="15.75" customHeight="1" x14ac:dyDescent="0.3">
      <c r="A2419" s="3"/>
      <c r="B2419" s="167"/>
      <c r="C2419" s="94"/>
      <c r="D2419" s="12"/>
      <c r="E2419" s="167"/>
      <c r="F2419" s="12"/>
      <c r="G2419" s="331"/>
      <c r="H2419" s="474"/>
      <c r="I2419" s="475"/>
      <c r="J2419" s="476"/>
      <c r="K2419" s="5"/>
      <c r="L2419" s="3"/>
      <c r="M2419" s="6"/>
      <c r="N2419" s="9"/>
      <c r="O2419" s="9"/>
      <c r="P2419" s="12"/>
      <c r="Q2419" s="12"/>
      <c r="R2419" s="12"/>
      <c r="S2419" s="151"/>
      <c r="T2419" s="12"/>
      <c r="U2419" s="12"/>
      <c r="V2419" s="12"/>
      <c r="W2419" s="12"/>
      <c r="X2419" s="12"/>
      <c r="Y2419" s="12"/>
      <c r="Z2419" s="12"/>
    </row>
    <row r="2420" spans="1:26" ht="15.75" customHeight="1" x14ac:dyDescent="0.3">
      <c r="A2420" s="3"/>
      <c r="B2420" s="167"/>
      <c r="C2420" s="94"/>
      <c r="D2420" s="12"/>
      <c r="E2420" s="167"/>
      <c r="F2420" s="12"/>
      <c r="G2420" s="331"/>
      <c r="H2420" s="474"/>
      <c r="I2420" s="475"/>
      <c r="J2420" s="476"/>
      <c r="K2420" s="5"/>
      <c r="L2420" s="3"/>
      <c r="M2420" s="6"/>
      <c r="N2420" s="9"/>
      <c r="O2420" s="9"/>
      <c r="P2420" s="12"/>
      <c r="Q2420" s="12"/>
      <c r="R2420" s="12"/>
      <c r="S2420" s="151"/>
      <c r="T2420" s="12"/>
      <c r="U2420" s="12"/>
      <c r="V2420" s="12"/>
      <c r="W2420" s="12"/>
      <c r="X2420" s="12"/>
      <c r="Y2420" s="12"/>
      <c r="Z2420" s="12"/>
    </row>
    <row r="2421" spans="1:26" ht="15.75" customHeight="1" x14ac:dyDescent="0.3">
      <c r="A2421" s="3"/>
      <c r="B2421" s="167"/>
      <c r="C2421" s="94"/>
      <c r="D2421" s="12"/>
      <c r="E2421" s="167"/>
      <c r="F2421" s="12"/>
      <c r="G2421" s="331"/>
      <c r="H2421" s="474"/>
      <c r="I2421" s="475"/>
      <c r="J2421" s="476"/>
      <c r="K2421" s="5"/>
      <c r="L2421" s="3"/>
      <c r="M2421" s="6"/>
      <c r="N2421" s="9"/>
      <c r="O2421" s="9"/>
      <c r="P2421" s="12"/>
      <c r="Q2421" s="12"/>
      <c r="R2421" s="12"/>
      <c r="S2421" s="151"/>
      <c r="T2421" s="12"/>
      <c r="U2421" s="12"/>
      <c r="V2421" s="12"/>
      <c r="W2421" s="12"/>
      <c r="X2421" s="12"/>
      <c r="Y2421" s="12"/>
      <c r="Z2421" s="12"/>
    </row>
    <row r="2422" spans="1:26" ht="15.75" customHeight="1" x14ac:dyDescent="0.3">
      <c r="A2422" s="3"/>
      <c r="B2422" s="167"/>
      <c r="C2422" s="94"/>
      <c r="D2422" s="12"/>
      <c r="E2422" s="167"/>
      <c r="F2422" s="12"/>
      <c r="G2422" s="331"/>
      <c r="H2422" s="474"/>
      <c r="I2422" s="475"/>
      <c r="J2422" s="476"/>
      <c r="K2422" s="5"/>
      <c r="L2422" s="3"/>
      <c r="M2422" s="6"/>
      <c r="N2422" s="9"/>
      <c r="O2422" s="9"/>
      <c r="P2422" s="12"/>
      <c r="Q2422" s="12"/>
      <c r="R2422" s="12"/>
      <c r="S2422" s="151"/>
      <c r="T2422" s="12"/>
      <c r="U2422" s="12"/>
      <c r="V2422" s="12"/>
      <c r="W2422" s="12"/>
      <c r="X2422" s="12"/>
      <c r="Y2422" s="12"/>
      <c r="Z2422" s="12"/>
    </row>
    <row r="2423" spans="1:26" ht="15.75" customHeight="1" x14ac:dyDescent="0.3">
      <c r="A2423" s="3"/>
      <c r="B2423" s="167"/>
      <c r="C2423" s="94"/>
      <c r="D2423" s="12"/>
      <c r="E2423" s="167"/>
      <c r="F2423" s="12"/>
      <c r="G2423" s="331"/>
      <c r="H2423" s="474"/>
      <c r="I2423" s="475"/>
      <c r="J2423" s="476"/>
      <c r="K2423" s="5"/>
      <c r="L2423" s="3"/>
      <c r="M2423" s="6"/>
      <c r="N2423" s="9"/>
      <c r="O2423" s="9"/>
      <c r="P2423" s="12"/>
      <c r="Q2423" s="12"/>
      <c r="R2423" s="12"/>
      <c r="S2423" s="151"/>
      <c r="T2423" s="12"/>
      <c r="U2423" s="12"/>
      <c r="V2423" s="12"/>
      <c r="W2423" s="12"/>
      <c r="X2423" s="12"/>
      <c r="Y2423" s="12"/>
      <c r="Z2423" s="12"/>
    </row>
    <row r="2424" spans="1:26" ht="15.75" customHeight="1" x14ac:dyDescent="0.3">
      <c r="A2424" s="3"/>
      <c r="B2424" s="167"/>
      <c r="C2424" s="94"/>
      <c r="D2424" s="12"/>
      <c r="E2424" s="167"/>
      <c r="F2424" s="12"/>
      <c r="G2424" s="331"/>
      <c r="H2424" s="474"/>
      <c r="I2424" s="475"/>
      <c r="J2424" s="476"/>
      <c r="K2424" s="5"/>
      <c r="L2424" s="3"/>
      <c r="M2424" s="6"/>
      <c r="N2424" s="9"/>
      <c r="O2424" s="9"/>
      <c r="P2424" s="12"/>
      <c r="Q2424" s="12"/>
      <c r="R2424" s="12"/>
      <c r="S2424" s="151"/>
      <c r="T2424" s="12"/>
      <c r="U2424" s="12"/>
      <c r="V2424" s="12"/>
      <c r="W2424" s="12"/>
      <c r="X2424" s="12"/>
      <c r="Y2424" s="12"/>
      <c r="Z2424" s="12"/>
    </row>
    <row r="2425" spans="1:26" ht="15.75" customHeight="1" x14ac:dyDescent="0.3">
      <c r="A2425" s="3"/>
      <c r="B2425" s="167"/>
      <c r="C2425" s="94"/>
      <c r="D2425" s="12"/>
      <c r="E2425" s="167"/>
      <c r="F2425" s="12"/>
      <c r="G2425" s="331"/>
      <c r="H2425" s="474"/>
      <c r="I2425" s="475"/>
      <c r="J2425" s="476"/>
      <c r="K2425" s="5"/>
      <c r="L2425" s="3"/>
      <c r="M2425" s="6"/>
      <c r="N2425" s="9"/>
      <c r="O2425" s="9"/>
      <c r="P2425" s="12"/>
      <c r="Q2425" s="12"/>
      <c r="R2425" s="12"/>
      <c r="S2425" s="151"/>
      <c r="T2425" s="12"/>
      <c r="U2425" s="12"/>
      <c r="V2425" s="12"/>
      <c r="W2425" s="12"/>
      <c r="X2425" s="12"/>
      <c r="Y2425" s="12"/>
      <c r="Z2425" s="12"/>
    </row>
    <row r="2426" spans="1:26" ht="15.75" customHeight="1" x14ac:dyDescent="0.3">
      <c r="A2426" s="3"/>
      <c r="B2426" s="167"/>
      <c r="C2426" s="94"/>
      <c r="D2426" s="12"/>
      <c r="E2426" s="167"/>
      <c r="F2426" s="12"/>
      <c r="G2426" s="331"/>
      <c r="H2426" s="474"/>
      <c r="I2426" s="475"/>
      <c r="J2426" s="476"/>
      <c r="K2426" s="5"/>
      <c r="L2426" s="3"/>
      <c r="M2426" s="6"/>
      <c r="N2426" s="9"/>
      <c r="O2426" s="9"/>
      <c r="P2426" s="12"/>
      <c r="Q2426" s="12"/>
      <c r="R2426" s="12"/>
      <c r="S2426" s="151"/>
      <c r="T2426" s="12"/>
      <c r="U2426" s="12"/>
      <c r="V2426" s="12"/>
      <c r="W2426" s="12"/>
      <c r="X2426" s="12"/>
      <c r="Y2426" s="12"/>
      <c r="Z2426" s="12"/>
    </row>
    <row r="2427" spans="1:26" ht="15.75" customHeight="1" x14ac:dyDescent="0.3">
      <c r="A2427" s="3"/>
      <c r="B2427" s="167"/>
      <c r="C2427" s="94"/>
      <c r="D2427" s="12"/>
      <c r="E2427" s="167"/>
      <c r="F2427" s="12"/>
      <c r="G2427" s="331"/>
      <c r="H2427" s="474"/>
      <c r="I2427" s="475"/>
      <c r="J2427" s="476"/>
      <c r="K2427" s="5"/>
      <c r="L2427" s="3"/>
      <c r="M2427" s="6"/>
      <c r="N2427" s="9"/>
      <c r="O2427" s="9"/>
      <c r="P2427" s="12"/>
      <c r="Q2427" s="12"/>
      <c r="R2427" s="12"/>
      <c r="S2427" s="151"/>
      <c r="T2427" s="12"/>
      <c r="U2427" s="12"/>
      <c r="V2427" s="12"/>
      <c r="W2427" s="12"/>
      <c r="X2427" s="12"/>
      <c r="Y2427" s="12"/>
      <c r="Z2427" s="12"/>
    </row>
    <row r="2428" spans="1:26" ht="15.75" customHeight="1" x14ac:dyDescent="0.3">
      <c r="A2428" s="3"/>
      <c r="B2428" s="167"/>
      <c r="C2428" s="94"/>
      <c r="D2428" s="12"/>
      <c r="E2428" s="167"/>
      <c r="F2428" s="12"/>
      <c r="G2428" s="331"/>
      <c r="H2428" s="474"/>
      <c r="I2428" s="475"/>
      <c r="J2428" s="476"/>
      <c r="K2428" s="5"/>
      <c r="L2428" s="3"/>
      <c r="M2428" s="6"/>
      <c r="N2428" s="9"/>
      <c r="O2428" s="9"/>
      <c r="P2428" s="12"/>
      <c r="Q2428" s="12"/>
      <c r="R2428" s="12"/>
      <c r="S2428" s="151"/>
      <c r="T2428" s="12"/>
      <c r="U2428" s="12"/>
      <c r="V2428" s="12"/>
      <c r="W2428" s="12"/>
      <c r="X2428" s="12"/>
      <c r="Y2428" s="12"/>
      <c r="Z2428" s="12"/>
    </row>
    <row r="2429" spans="1:26" ht="15.75" customHeight="1" x14ac:dyDescent="0.3">
      <c r="A2429" s="3"/>
      <c r="B2429" s="167"/>
      <c r="C2429" s="94"/>
      <c r="D2429" s="12"/>
      <c r="E2429" s="167"/>
      <c r="F2429" s="12"/>
      <c r="G2429" s="331"/>
      <c r="H2429" s="474"/>
      <c r="I2429" s="475"/>
      <c r="J2429" s="476"/>
      <c r="K2429" s="5"/>
      <c r="L2429" s="3"/>
      <c r="M2429" s="6"/>
      <c r="N2429" s="9"/>
      <c r="O2429" s="9"/>
      <c r="P2429" s="12"/>
      <c r="Q2429" s="12"/>
      <c r="R2429" s="12"/>
      <c r="S2429" s="151"/>
      <c r="T2429" s="12"/>
      <c r="U2429" s="12"/>
      <c r="V2429" s="12"/>
      <c r="W2429" s="12"/>
      <c r="X2429" s="12"/>
      <c r="Y2429" s="12"/>
      <c r="Z2429" s="12"/>
    </row>
    <row r="2430" spans="1:26" ht="15.75" customHeight="1" x14ac:dyDescent="0.3">
      <c r="A2430" s="3"/>
      <c r="B2430" s="167"/>
      <c r="C2430" s="94"/>
      <c r="D2430" s="12"/>
      <c r="E2430" s="167"/>
      <c r="F2430" s="12"/>
      <c r="G2430" s="331"/>
      <c r="H2430" s="474"/>
      <c r="I2430" s="475"/>
      <c r="J2430" s="476"/>
      <c r="K2430" s="5"/>
      <c r="L2430" s="3"/>
      <c r="M2430" s="6"/>
      <c r="N2430" s="9"/>
      <c r="O2430" s="9"/>
      <c r="P2430" s="12"/>
      <c r="Q2430" s="12"/>
      <c r="R2430" s="12"/>
      <c r="S2430" s="151"/>
      <c r="T2430" s="12"/>
      <c r="U2430" s="12"/>
      <c r="V2430" s="12"/>
      <c r="W2430" s="12"/>
      <c r="X2430" s="12"/>
      <c r="Y2430" s="12"/>
      <c r="Z2430" s="12"/>
    </row>
    <row r="2431" spans="1:26" ht="15.75" customHeight="1" x14ac:dyDescent="0.3">
      <c r="A2431" s="3"/>
      <c r="B2431" s="167"/>
      <c r="C2431" s="94"/>
      <c r="D2431" s="12"/>
      <c r="E2431" s="167"/>
      <c r="F2431" s="12"/>
      <c r="G2431" s="331"/>
      <c r="H2431" s="474"/>
      <c r="I2431" s="475"/>
      <c r="J2431" s="476"/>
      <c r="K2431" s="5"/>
      <c r="L2431" s="3"/>
      <c r="M2431" s="6"/>
      <c r="N2431" s="9"/>
      <c r="O2431" s="9"/>
      <c r="P2431" s="12"/>
      <c r="Q2431" s="12"/>
      <c r="R2431" s="12"/>
      <c r="S2431" s="151"/>
      <c r="T2431" s="12"/>
      <c r="U2431" s="12"/>
      <c r="V2431" s="12"/>
      <c r="W2431" s="12"/>
      <c r="X2431" s="12"/>
      <c r="Y2431" s="12"/>
      <c r="Z2431" s="12"/>
    </row>
    <row r="2432" spans="1:26" ht="15.75" customHeight="1" x14ac:dyDescent="0.3">
      <c r="A2432" s="3"/>
      <c r="B2432" s="167"/>
      <c r="C2432" s="94"/>
      <c r="D2432" s="12"/>
      <c r="E2432" s="167"/>
      <c r="F2432" s="12"/>
      <c r="G2432" s="331"/>
      <c r="H2432" s="474"/>
      <c r="I2432" s="475"/>
      <c r="J2432" s="476"/>
      <c r="K2432" s="5"/>
      <c r="L2432" s="3"/>
      <c r="M2432" s="6"/>
      <c r="N2432" s="9"/>
      <c r="O2432" s="9"/>
      <c r="P2432" s="12"/>
      <c r="Q2432" s="12"/>
      <c r="R2432" s="12"/>
      <c r="S2432" s="151"/>
      <c r="T2432" s="12"/>
      <c r="U2432" s="12"/>
      <c r="V2432" s="12"/>
      <c r="W2432" s="12"/>
      <c r="X2432" s="12"/>
      <c r="Y2432" s="12"/>
      <c r="Z2432" s="12"/>
    </row>
    <row r="2433" spans="1:26" ht="15.75" customHeight="1" x14ac:dyDescent="0.3">
      <c r="A2433" s="3"/>
      <c r="B2433" s="167"/>
      <c r="C2433" s="94"/>
      <c r="D2433" s="12"/>
      <c r="E2433" s="167"/>
      <c r="F2433" s="12"/>
      <c r="G2433" s="331"/>
      <c r="H2433" s="474"/>
      <c r="I2433" s="475"/>
      <c r="J2433" s="476"/>
      <c r="K2433" s="5"/>
      <c r="L2433" s="3"/>
      <c r="M2433" s="6"/>
      <c r="N2433" s="9"/>
      <c r="O2433" s="9"/>
      <c r="P2433" s="12"/>
      <c r="Q2433" s="12"/>
      <c r="R2433" s="12"/>
      <c r="S2433" s="151"/>
      <c r="T2433" s="12"/>
      <c r="U2433" s="12"/>
      <c r="V2433" s="12"/>
      <c r="W2433" s="12"/>
      <c r="X2433" s="12"/>
      <c r="Y2433" s="12"/>
      <c r="Z2433" s="12"/>
    </row>
    <row r="2434" spans="1:26" ht="15.75" customHeight="1" x14ac:dyDescent="0.3">
      <c r="A2434" s="3"/>
      <c r="B2434" s="167"/>
      <c r="C2434" s="94"/>
      <c r="D2434" s="12"/>
      <c r="E2434" s="167"/>
      <c r="F2434" s="12"/>
      <c r="G2434" s="331"/>
      <c r="H2434" s="474"/>
      <c r="I2434" s="475"/>
      <c r="J2434" s="476"/>
      <c r="K2434" s="5"/>
      <c r="L2434" s="3"/>
      <c r="M2434" s="6"/>
      <c r="N2434" s="9"/>
      <c r="O2434" s="9"/>
      <c r="P2434" s="12"/>
      <c r="Q2434" s="12"/>
      <c r="R2434" s="12"/>
      <c r="S2434" s="151"/>
      <c r="T2434" s="12"/>
      <c r="U2434" s="12"/>
      <c r="V2434" s="12"/>
      <c r="W2434" s="12"/>
      <c r="X2434" s="12"/>
      <c r="Y2434" s="12"/>
      <c r="Z2434" s="12"/>
    </row>
    <row r="2435" spans="1:26" ht="15.75" customHeight="1" x14ac:dyDescent="0.3">
      <c r="A2435" s="3"/>
      <c r="B2435" s="167"/>
      <c r="C2435" s="94"/>
      <c r="D2435" s="12"/>
      <c r="E2435" s="167"/>
      <c r="F2435" s="12"/>
      <c r="G2435" s="331"/>
      <c r="H2435" s="474"/>
      <c r="I2435" s="475"/>
      <c r="J2435" s="476"/>
      <c r="K2435" s="5"/>
      <c r="L2435" s="3"/>
      <c r="M2435" s="6"/>
      <c r="N2435" s="9"/>
      <c r="O2435" s="9"/>
      <c r="P2435" s="12"/>
      <c r="Q2435" s="12"/>
      <c r="R2435" s="12"/>
      <c r="S2435" s="151"/>
      <c r="T2435" s="12"/>
      <c r="U2435" s="12"/>
      <c r="V2435" s="12"/>
      <c r="W2435" s="12"/>
      <c r="X2435" s="12"/>
      <c r="Y2435" s="12"/>
      <c r="Z2435" s="12"/>
    </row>
    <row r="2436" spans="1:26" ht="15.75" customHeight="1" x14ac:dyDescent="0.3">
      <c r="A2436" s="3"/>
      <c r="B2436" s="167"/>
      <c r="C2436" s="94"/>
      <c r="D2436" s="12"/>
      <c r="E2436" s="167"/>
      <c r="F2436" s="12"/>
      <c r="G2436" s="331"/>
      <c r="H2436" s="474"/>
      <c r="I2436" s="475"/>
      <c r="J2436" s="476"/>
      <c r="K2436" s="5"/>
      <c r="L2436" s="3"/>
      <c r="M2436" s="6"/>
      <c r="N2436" s="9"/>
      <c r="O2436" s="9"/>
      <c r="P2436" s="12"/>
      <c r="Q2436" s="12"/>
      <c r="R2436" s="12"/>
      <c r="S2436" s="151"/>
      <c r="T2436" s="12"/>
      <c r="U2436" s="12"/>
      <c r="V2436" s="12"/>
      <c r="W2436" s="12"/>
      <c r="X2436" s="12"/>
      <c r="Y2436" s="12"/>
      <c r="Z2436" s="12"/>
    </row>
    <row r="2437" spans="1:26" ht="15.75" customHeight="1" x14ac:dyDescent="0.3">
      <c r="A2437" s="3"/>
      <c r="B2437" s="167"/>
      <c r="C2437" s="94"/>
      <c r="D2437" s="12"/>
      <c r="E2437" s="167"/>
      <c r="F2437" s="12"/>
      <c r="G2437" s="331"/>
      <c r="H2437" s="474"/>
      <c r="I2437" s="475"/>
      <c r="J2437" s="476"/>
      <c r="K2437" s="5"/>
      <c r="L2437" s="3"/>
      <c r="M2437" s="6"/>
      <c r="N2437" s="9"/>
      <c r="O2437" s="9"/>
      <c r="P2437" s="12"/>
      <c r="Q2437" s="12"/>
      <c r="R2437" s="12"/>
      <c r="S2437" s="151"/>
      <c r="T2437" s="12"/>
      <c r="U2437" s="12"/>
      <c r="V2437" s="12"/>
      <c r="W2437" s="12"/>
      <c r="X2437" s="12"/>
      <c r="Y2437" s="12"/>
      <c r="Z2437" s="12"/>
    </row>
    <row r="2438" spans="1:26" ht="15.75" customHeight="1" x14ac:dyDescent="0.3">
      <c r="A2438" s="3"/>
      <c r="B2438" s="167"/>
      <c r="C2438" s="94"/>
      <c r="D2438" s="12"/>
      <c r="E2438" s="167"/>
      <c r="F2438" s="12"/>
      <c r="G2438" s="331"/>
      <c r="H2438" s="474"/>
      <c r="I2438" s="475"/>
      <c r="J2438" s="476"/>
      <c r="K2438" s="5"/>
      <c r="L2438" s="3"/>
      <c r="M2438" s="6"/>
      <c r="N2438" s="9"/>
      <c r="O2438" s="9"/>
      <c r="P2438" s="12"/>
      <c r="Q2438" s="12"/>
      <c r="R2438" s="12"/>
      <c r="S2438" s="151"/>
      <c r="T2438" s="12"/>
      <c r="U2438" s="12"/>
      <c r="V2438" s="12"/>
      <c r="W2438" s="12"/>
      <c r="X2438" s="12"/>
      <c r="Y2438" s="12"/>
      <c r="Z2438" s="12"/>
    </row>
    <row r="2439" spans="1:26" ht="15.75" customHeight="1" x14ac:dyDescent="0.3">
      <c r="A2439" s="3"/>
      <c r="B2439" s="167"/>
      <c r="C2439" s="94"/>
      <c r="D2439" s="12"/>
      <c r="E2439" s="167"/>
      <c r="F2439" s="12"/>
      <c r="G2439" s="331"/>
      <c r="H2439" s="474"/>
      <c r="I2439" s="475"/>
      <c r="J2439" s="476"/>
      <c r="K2439" s="5"/>
      <c r="L2439" s="3"/>
      <c r="M2439" s="6"/>
      <c r="N2439" s="9"/>
      <c r="O2439" s="9"/>
      <c r="P2439" s="12"/>
      <c r="Q2439" s="12"/>
      <c r="R2439" s="12"/>
      <c r="S2439" s="151"/>
      <c r="T2439" s="12"/>
      <c r="U2439" s="12"/>
      <c r="V2439" s="12"/>
      <c r="W2439" s="12"/>
      <c r="X2439" s="12"/>
      <c r="Y2439" s="12"/>
      <c r="Z2439" s="12"/>
    </row>
    <row r="2440" spans="1:26" ht="15.75" customHeight="1" x14ac:dyDescent="0.3">
      <c r="A2440" s="3"/>
      <c r="B2440" s="167"/>
      <c r="C2440" s="94"/>
      <c r="D2440" s="12"/>
      <c r="E2440" s="167"/>
      <c r="F2440" s="12"/>
      <c r="G2440" s="331"/>
      <c r="H2440" s="474"/>
      <c r="I2440" s="475"/>
      <c r="J2440" s="476"/>
      <c r="K2440" s="5"/>
      <c r="L2440" s="3"/>
      <c r="M2440" s="6"/>
      <c r="N2440" s="9"/>
      <c r="O2440" s="9"/>
      <c r="P2440" s="12"/>
      <c r="Q2440" s="12"/>
      <c r="R2440" s="12"/>
      <c r="S2440" s="151"/>
      <c r="T2440" s="12"/>
      <c r="U2440" s="12"/>
      <c r="V2440" s="12"/>
      <c r="W2440" s="12"/>
      <c r="X2440" s="12"/>
      <c r="Y2440" s="12"/>
      <c r="Z2440" s="12"/>
    </row>
    <row r="2441" spans="1:26" ht="15.75" customHeight="1" x14ac:dyDescent="0.3">
      <c r="A2441" s="3"/>
      <c r="B2441" s="167"/>
      <c r="C2441" s="94"/>
      <c r="D2441" s="12"/>
      <c r="E2441" s="167"/>
      <c r="F2441" s="12"/>
      <c r="G2441" s="331"/>
      <c r="H2441" s="474"/>
      <c r="I2441" s="475"/>
      <c r="J2441" s="476"/>
      <c r="K2441" s="5"/>
      <c r="L2441" s="3"/>
      <c r="M2441" s="6"/>
      <c r="N2441" s="9"/>
      <c r="O2441" s="9"/>
      <c r="P2441" s="12"/>
      <c r="Q2441" s="12"/>
      <c r="R2441" s="12"/>
      <c r="S2441" s="151"/>
      <c r="T2441" s="12"/>
      <c r="U2441" s="12"/>
      <c r="V2441" s="12"/>
      <c r="W2441" s="12"/>
      <c r="X2441" s="12"/>
      <c r="Y2441" s="12"/>
      <c r="Z2441" s="12"/>
    </row>
    <row r="2442" spans="1:26" ht="15.75" customHeight="1" x14ac:dyDescent="0.3">
      <c r="A2442" s="3"/>
      <c r="B2442" s="167"/>
      <c r="C2442" s="94"/>
      <c r="D2442" s="12"/>
      <c r="E2442" s="167"/>
      <c r="F2442" s="12"/>
      <c r="G2442" s="331"/>
      <c r="H2442" s="474"/>
      <c r="I2442" s="475"/>
      <c r="J2442" s="476"/>
      <c r="K2442" s="5"/>
      <c r="L2442" s="3"/>
      <c r="M2442" s="6"/>
      <c r="N2442" s="9"/>
      <c r="O2442" s="9"/>
      <c r="P2442" s="12"/>
      <c r="Q2442" s="12"/>
      <c r="R2442" s="12"/>
      <c r="S2442" s="151"/>
      <c r="T2442" s="12"/>
      <c r="U2442" s="12"/>
      <c r="V2442" s="12"/>
      <c r="W2442" s="12"/>
      <c r="X2442" s="12"/>
      <c r="Y2442" s="12"/>
      <c r="Z2442" s="12"/>
    </row>
    <row r="2443" spans="1:26" ht="15.75" customHeight="1" x14ac:dyDescent="0.3">
      <c r="A2443" s="3"/>
      <c r="B2443" s="167"/>
      <c r="C2443" s="94"/>
      <c r="D2443" s="12"/>
      <c r="E2443" s="167"/>
      <c r="F2443" s="12"/>
      <c r="G2443" s="331"/>
      <c r="H2443" s="474"/>
      <c r="I2443" s="475"/>
      <c r="J2443" s="476"/>
      <c r="K2443" s="5"/>
      <c r="L2443" s="3"/>
      <c r="M2443" s="6"/>
      <c r="N2443" s="9"/>
      <c r="O2443" s="9"/>
      <c r="P2443" s="12"/>
      <c r="Q2443" s="12"/>
      <c r="R2443" s="12"/>
      <c r="S2443" s="151"/>
      <c r="T2443" s="12"/>
      <c r="U2443" s="12"/>
      <c r="V2443" s="12"/>
      <c r="W2443" s="12"/>
      <c r="X2443" s="12"/>
      <c r="Y2443" s="12"/>
      <c r="Z2443" s="12"/>
    </row>
    <row r="2444" spans="1:26" ht="15.75" customHeight="1" x14ac:dyDescent="0.3">
      <c r="A2444" s="3"/>
      <c r="B2444" s="167"/>
      <c r="C2444" s="94"/>
      <c r="D2444" s="12"/>
      <c r="E2444" s="167"/>
      <c r="F2444" s="12"/>
      <c r="G2444" s="331"/>
      <c r="H2444" s="474"/>
      <c r="I2444" s="475"/>
      <c r="J2444" s="476"/>
      <c r="K2444" s="5"/>
      <c r="L2444" s="3"/>
      <c r="M2444" s="6"/>
      <c r="N2444" s="9"/>
      <c r="O2444" s="9"/>
      <c r="P2444" s="12"/>
      <c r="Q2444" s="12"/>
      <c r="R2444" s="12"/>
      <c r="S2444" s="151"/>
      <c r="T2444" s="12"/>
      <c r="U2444" s="12"/>
      <c r="V2444" s="12"/>
      <c r="W2444" s="12"/>
      <c r="X2444" s="12"/>
      <c r="Y2444" s="12"/>
      <c r="Z2444" s="12"/>
    </row>
    <row r="2445" spans="1:26" ht="15.75" customHeight="1" x14ac:dyDescent="0.3">
      <c r="A2445" s="3"/>
      <c r="B2445" s="167"/>
      <c r="C2445" s="94"/>
      <c r="D2445" s="12"/>
      <c r="E2445" s="167"/>
      <c r="F2445" s="12"/>
      <c r="G2445" s="331"/>
      <c r="H2445" s="474"/>
      <c r="I2445" s="475"/>
      <c r="J2445" s="476"/>
      <c r="K2445" s="5"/>
      <c r="L2445" s="3"/>
      <c r="M2445" s="6"/>
      <c r="N2445" s="9"/>
      <c r="O2445" s="9"/>
      <c r="P2445" s="12"/>
      <c r="Q2445" s="12"/>
      <c r="R2445" s="12"/>
      <c r="S2445" s="151"/>
      <c r="T2445" s="12"/>
      <c r="U2445" s="12"/>
      <c r="V2445" s="12"/>
      <c r="W2445" s="12"/>
      <c r="X2445" s="12"/>
      <c r="Y2445" s="12"/>
      <c r="Z2445" s="12"/>
    </row>
    <row r="2446" spans="1:26" ht="15.75" customHeight="1" x14ac:dyDescent="0.3">
      <c r="A2446" s="3"/>
      <c r="B2446" s="167"/>
      <c r="C2446" s="94"/>
      <c r="D2446" s="12"/>
      <c r="E2446" s="167"/>
      <c r="F2446" s="12"/>
      <c r="G2446" s="331"/>
      <c r="H2446" s="474"/>
      <c r="I2446" s="475"/>
      <c r="J2446" s="476"/>
      <c r="K2446" s="5"/>
      <c r="L2446" s="3"/>
      <c r="M2446" s="6"/>
      <c r="N2446" s="9"/>
      <c r="O2446" s="9"/>
      <c r="P2446" s="12"/>
      <c r="Q2446" s="12"/>
      <c r="R2446" s="12"/>
      <c r="S2446" s="151"/>
      <c r="T2446" s="12"/>
      <c r="U2446" s="12"/>
      <c r="V2446" s="12"/>
      <c r="W2446" s="12"/>
      <c r="X2446" s="12"/>
      <c r="Y2446" s="12"/>
      <c r="Z2446" s="12"/>
    </row>
    <row r="2447" spans="1:26" ht="15.75" customHeight="1" x14ac:dyDescent="0.3">
      <c r="A2447" s="3"/>
      <c r="B2447" s="167"/>
      <c r="C2447" s="94"/>
      <c r="D2447" s="12"/>
      <c r="E2447" s="167"/>
      <c r="F2447" s="12"/>
      <c r="G2447" s="331"/>
      <c r="H2447" s="474"/>
      <c r="I2447" s="475"/>
      <c r="J2447" s="476"/>
      <c r="K2447" s="5"/>
      <c r="L2447" s="3"/>
      <c r="M2447" s="6"/>
      <c r="N2447" s="9"/>
      <c r="O2447" s="9"/>
      <c r="P2447" s="12"/>
      <c r="Q2447" s="12"/>
      <c r="R2447" s="12"/>
      <c r="S2447" s="151"/>
      <c r="T2447" s="12"/>
      <c r="U2447" s="12"/>
      <c r="V2447" s="12"/>
      <c r="W2447" s="12"/>
      <c r="X2447" s="12"/>
      <c r="Y2447" s="12"/>
      <c r="Z2447" s="12"/>
    </row>
    <row r="2448" spans="1:26" ht="15.75" customHeight="1" x14ac:dyDescent="0.3">
      <c r="A2448" s="3"/>
      <c r="B2448" s="167"/>
      <c r="C2448" s="94"/>
      <c r="D2448" s="12"/>
      <c r="E2448" s="167"/>
      <c r="F2448" s="12"/>
      <c r="G2448" s="331"/>
      <c r="H2448" s="474"/>
      <c r="I2448" s="475"/>
      <c r="J2448" s="476"/>
      <c r="K2448" s="5"/>
      <c r="L2448" s="3"/>
      <c r="M2448" s="6"/>
      <c r="N2448" s="9"/>
      <c r="O2448" s="9"/>
      <c r="P2448" s="12"/>
      <c r="Q2448" s="12"/>
      <c r="R2448" s="12"/>
      <c r="S2448" s="151"/>
      <c r="T2448" s="12"/>
      <c r="U2448" s="12"/>
      <c r="V2448" s="12"/>
      <c r="W2448" s="12"/>
      <c r="X2448" s="12"/>
      <c r="Y2448" s="12"/>
      <c r="Z2448" s="12"/>
    </row>
    <row r="2449" spans="1:26" ht="15.75" customHeight="1" x14ac:dyDescent="0.3">
      <c r="A2449" s="3"/>
      <c r="B2449" s="167"/>
      <c r="C2449" s="94"/>
      <c r="D2449" s="12"/>
      <c r="E2449" s="167"/>
      <c r="F2449" s="12"/>
      <c r="G2449" s="331"/>
      <c r="H2449" s="474"/>
      <c r="I2449" s="475"/>
      <c r="J2449" s="476"/>
      <c r="K2449" s="5"/>
      <c r="L2449" s="3"/>
      <c r="M2449" s="6"/>
      <c r="N2449" s="9"/>
      <c r="O2449" s="9"/>
      <c r="P2449" s="12"/>
      <c r="Q2449" s="12"/>
      <c r="R2449" s="12"/>
      <c r="S2449" s="151"/>
      <c r="T2449" s="12"/>
      <c r="U2449" s="12"/>
      <c r="V2449" s="12"/>
      <c r="W2449" s="12"/>
      <c r="X2449" s="12"/>
      <c r="Y2449" s="12"/>
      <c r="Z2449" s="12"/>
    </row>
    <row r="2450" spans="1:26" ht="15.75" customHeight="1" x14ac:dyDescent="0.3">
      <c r="A2450" s="3"/>
      <c r="B2450" s="167"/>
      <c r="C2450" s="94"/>
      <c r="D2450" s="12"/>
      <c r="E2450" s="167"/>
      <c r="F2450" s="12"/>
      <c r="G2450" s="331"/>
      <c r="H2450" s="474"/>
      <c r="I2450" s="475"/>
      <c r="J2450" s="476"/>
      <c r="K2450" s="5"/>
      <c r="L2450" s="3"/>
      <c r="M2450" s="6"/>
      <c r="N2450" s="9"/>
      <c r="O2450" s="9"/>
      <c r="P2450" s="12"/>
      <c r="Q2450" s="12"/>
      <c r="R2450" s="12"/>
      <c r="S2450" s="151"/>
      <c r="T2450" s="12"/>
      <c r="U2450" s="12"/>
      <c r="V2450" s="12"/>
      <c r="W2450" s="12"/>
      <c r="X2450" s="12"/>
      <c r="Y2450" s="12"/>
      <c r="Z2450" s="12"/>
    </row>
    <row r="2451" spans="1:26" ht="15.75" customHeight="1" x14ac:dyDescent="0.3">
      <c r="A2451" s="3"/>
      <c r="B2451" s="167"/>
      <c r="C2451" s="94"/>
      <c r="D2451" s="12"/>
      <c r="E2451" s="167"/>
      <c r="F2451" s="12"/>
      <c r="G2451" s="331"/>
      <c r="H2451" s="474"/>
      <c r="I2451" s="475"/>
      <c r="J2451" s="476"/>
      <c r="K2451" s="5"/>
      <c r="L2451" s="3"/>
      <c r="M2451" s="6"/>
      <c r="N2451" s="9"/>
      <c r="O2451" s="9"/>
      <c r="P2451" s="12"/>
      <c r="Q2451" s="12"/>
      <c r="R2451" s="12"/>
      <c r="S2451" s="151"/>
      <c r="T2451" s="12"/>
      <c r="U2451" s="12"/>
      <c r="V2451" s="12"/>
      <c r="W2451" s="12"/>
      <c r="X2451" s="12"/>
      <c r="Y2451" s="12"/>
      <c r="Z2451" s="12"/>
    </row>
    <row r="2452" spans="1:26" ht="15.75" customHeight="1" x14ac:dyDescent="0.3">
      <c r="A2452" s="3"/>
      <c r="B2452" s="167"/>
      <c r="C2452" s="94"/>
      <c r="D2452" s="12"/>
      <c r="E2452" s="167"/>
      <c r="F2452" s="12"/>
      <c r="G2452" s="331"/>
      <c r="H2452" s="474"/>
      <c r="I2452" s="475"/>
      <c r="J2452" s="476"/>
      <c r="K2452" s="5"/>
      <c r="L2452" s="3"/>
      <c r="M2452" s="6"/>
      <c r="N2452" s="9"/>
      <c r="O2452" s="9"/>
      <c r="P2452" s="12"/>
      <c r="Q2452" s="12"/>
      <c r="R2452" s="12"/>
      <c r="S2452" s="151"/>
      <c r="T2452" s="12"/>
      <c r="U2452" s="12"/>
      <c r="V2452" s="12"/>
      <c r="W2452" s="12"/>
      <c r="X2452" s="12"/>
      <c r="Y2452" s="12"/>
      <c r="Z2452" s="12"/>
    </row>
    <row r="2453" spans="1:26" ht="15.75" customHeight="1" x14ac:dyDescent="0.3">
      <c r="A2453" s="3"/>
      <c r="B2453" s="167"/>
      <c r="C2453" s="94"/>
      <c r="D2453" s="12"/>
      <c r="E2453" s="167"/>
      <c r="F2453" s="12"/>
      <c r="G2453" s="331"/>
      <c r="H2453" s="474"/>
      <c r="I2453" s="475"/>
      <c r="J2453" s="476"/>
      <c r="K2453" s="5"/>
      <c r="L2453" s="3"/>
      <c r="M2453" s="6"/>
      <c r="N2453" s="9"/>
      <c r="O2453" s="9"/>
      <c r="P2453" s="12"/>
      <c r="Q2453" s="12"/>
      <c r="R2453" s="12"/>
      <c r="S2453" s="151"/>
      <c r="T2453" s="12"/>
      <c r="U2453" s="12"/>
      <c r="V2453" s="12"/>
      <c r="W2453" s="12"/>
      <c r="X2453" s="12"/>
      <c r="Y2453" s="12"/>
      <c r="Z2453" s="12"/>
    </row>
    <row r="2454" spans="1:26" ht="15.75" customHeight="1" x14ac:dyDescent="0.3">
      <c r="A2454" s="3"/>
      <c r="B2454" s="167"/>
      <c r="C2454" s="94"/>
      <c r="D2454" s="12"/>
      <c r="E2454" s="167"/>
      <c r="F2454" s="12"/>
      <c r="G2454" s="331"/>
      <c r="H2454" s="474"/>
      <c r="I2454" s="475"/>
      <c r="J2454" s="476"/>
      <c r="K2454" s="5"/>
      <c r="L2454" s="3"/>
      <c r="M2454" s="6"/>
      <c r="N2454" s="9"/>
      <c r="O2454" s="9"/>
      <c r="P2454" s="12"/>
      <c r="Q2454" s="12"/>
      <c r="R2454" s="12"/>
      <c r="S2454" s="151"/>
      <c r="T2454" s="12"/>
      <c r="U2454" s="12"/>
      <c r="V2454" s="12"/>
      <c r="W2454" s="12"/>
      <c r="X2454" s="12"/>
      <c r="Y2454" s="12"/>
      <c r="Z2454" s="12"/>
    </row>
    <row r="2455" spans="1:26" ht="15.75" customHeight="1" x14ac:dyDescent="0.3">
      <c r="A2455" s="3"/>
      <c r="B2455" s="167"/>
      <c r="C2455" s="94"/>
      <c r="D2455" s="12"/>
      <c r="E2455" s="167"/>
      <c r="F2455" s="12"/>
      <c r="G2455" s="331"/>
      <c r="H2455" s="474"/>
      <c r="I2455" s="475"/>
      <c r="J2455" s="476"/>
      <c r="K2455" s="5"/>
      <c r="L2455" s="3"/>
      <c r="M2455" s="6"/>
      <c r="N2455" s="9"/>
      <c r="O2455" s="9"/>
      <c r="P2455" s="12"/>
      <c r="Q2455" s="12"/>
      <c r="R2455" s="12"/>
      <c r="S2455" s="151"/>
      <c r="T2455" s="12"/>
      <c r="U2455" s="12"/>
      <c r="V2455" s="12"/>
      <c r="W2455" s="12"/>
      <c r="X2455" s="12"/>
      <c r="Y2455" s="12"/>
      <c r="Z2455" s="12"/>
    </row>
    <row r="2456" spans="1:26" ht="15.75" customHeight="1" x14ac:dyDescent="0.3">
      <c r="A2456" s="3"/>
      <c r="B2456" s="167"/>
      <c r="C2456" s="94"/>
      <c r="D2456" s="12"/>
      <c r="E2456" s="167"/>
      <c r="F2456" s="12"/>
      <c r="G2456" s="331"/>
      <c r="H2456" s="474"/>
      <c r="I2456" s="475"/>
      <c r="J2456" s="476"/>
      <c r="K2456" s="5"/>
      <c r="L2456" s="3"/>
      <c r="M2456" s="6"/>
      <c r="N2456" s="9"/>
      <c r="O2456" s="9"/>
      <c r="P2456" s="12"/>
      <c r="Q2456" s="12"/>
      <c r="R2456" s="12"/>
      <c r="S2456" s="151"/>
      <c r="T2456" s="12"/>
      <c r="U2456" s="12"/>
      <c r="V2456" s="12"/>
      <c r="W2456" s="12"/>
      <c r="X2456" s="12"/>
      <c r="Y2456" s="12"/>
      <c r="Z2456" s="12"/>
    </row>
    <row r="2457" spans="1:26" ht="15.75" customHeight="1" x14ac:dyDescent="0.3">
      <c r="A2457" s="3"/>
      <c r="B2457" s="167"/>
      <c r="C2457" s="94"/>
      <c r="D2457" s="12"/>
      <c r="E2457" s="167"/>
      <c r="F2457" s="12"/>
      <c r="G2457" s="331"/>
      <c r="H2457" s="474"/>
      <c r="I2457" s="475"/>
      <c r="J2457" s="476"/>
      <c r="K2457" s="5"/>
      <c r="L2457" s="3"/>
      <c r="M2457" s="6"/>
      <c r="N2457" s="9"/>
      <c r="O2457" s="9"/>
      <c r="P2457" s="12"/>
      <c r="Q2457" s="12"/>
      <c r="R2457" s="12"/>
      <c r="S2457" s="151"/>
      <c r="T2457" s="12"/>
      <c r="U2457" s="12"/>
      <c r="V2457" s="12"/>
      <c r="W2457" s="12"/>
      <c r="X2457" s="12"/>
      <c r="Y2457" s="12"/>
      <c r="Z2457" s="12"/>
    </row>
    <row r="2458" spans="1:26" ht="15.75" customHeight="1" x14ac:dyDescent="0.3">
      <c r="A2458" s="3"/>
      <c r="B2458" s="167"/>
      <c r="C2458" s="94"/>
      <c r="D2458" s="12"/>
      <c r="E2458" s="167"/>
      <c r="F2458" s="12"/>
      <c r="G2458" s="331"/>
      <c r="H2458" s="474"/>
      <c r="I2458" s="475"/>
      <c r="J2458" s="476"/>
      <c r="K2458" s="5"/>
      <c r="L2458" s="3"/>
      <c r="M2458" s="6"/>
      <c r="N2458" s="9"/>
      <c r="O2458" s="9"/>
      <c r="P2458" s="12"/>
      <c r="Q2458" s="12"/>
      <c r="R2458" s="12"/>
      <c r="S2458" s="151"/>
      <c r="T2458" s="12"/>
      <c r="U2458" s="12"/>
      <c r="V2458" s="12"/>
      <c r="W2458" s="12"/>
      <c r="X2458" s="12"/>
      <c r="Y2458" s="12"/>
      <c r="Z2458" s="12"/>
    </row>
    <row r="2459" spans="1:26" ht="15.75" customHeight="1" x14ac:dyDescent="0.3">
      <c r="A2459" s="3"/>
      <c r="B2459" s="167"/>
      <c r="C2459" s="94"/>
      <c r="D2459" s="12"/>
      <c r="E2459" s="167"/>
      <c r="F2459" s="12"/>
      <c r="G2459" s="331"/>
      <c r="H2459" s="474"/>
      <c r="I2459" s="475"/>
      <c r="J2459" s="476"/>
      <c r="K2459" s="5"/>
      <c r="L2459" s="3"/>
      <c r="M2459" s="6"/>
      <c r="N2459" s="9"/>
      <c r="O2459" s="9"/>
      <c r="P2459" s="12"/>
      <c r="Q2459" s="12"/>
      <c r="R2459" s="12"/>
      <c r="S2459" s="151"/>
      <c r="T2459" s="12"/>
      <c r="U2459" s="12"/>
      <c r="V2459" s="12"/>
      <c r="W2459" s="12"/>
      <c r="X2459" s="12"/>
      <c r="Y2459" s="12"/>
      <c r="Z2459" s="12"/>
    </row>
    <row r="2460" spans="1:26" ht="15.75" customHeight="1" x14ac:dyDescent="0.3">
      <c r="A2460" s="3"/>
      <c r="B2460" s="167"/>
      <c r="C2460" s="94"/>
      <c r="D2460" s="12"/>
      <c r="E2460" s="167"/>
      <c r="F2460" s="12"/>
      <c r="G2460" s="331"/>
      <c r="H2460" s="474"/>
      <c r="I2460" s="475"/>
      <c r="J2460" s="476"/>
      <c r="K2460" s="5"/>
      <c r="L2460" s="3"/>
      <c r="M2460" s="6"/>
      <c r="N2460" s="9"/>
      <c r="O2460" s="9"/>
      <c r="P2460" s="12"/>
      <c r="Q2460" s="12"/>
      <c r="R2460" s="12"/>
      <c r="S2460" s="151"/>
      <c r="T2460" s="12"/>
      <c r="U2460" s="12"/>
      <c r="V2460" s="12"/>
      <c r="W2460" s="12"/>
      <c r="X2460" s="12"/>
      <c r="Y2460" s="12"/>
      <c r="Z2460" s="12"/>
    </row>
    <row r="2461" spans="1:26" ht="15.75" customHeight="1" x14ac:dyDescent="0.3">
      <c r="A2461" s="3"/>
      <c r="B2461" s="167"/>
      <c r="C2461" s="94"/>
      <c r="D2461" s="12"/>
      <c r="E2461" s="167"/>
      <c r="F2461" s="12"/>
      <c r="G2461" s="331"/>
      <c r="H2461" s="474"/>
      <c r="I2461" s="475"/>
      <c r="J2461" s="476"/>
      <c r="K2461" s="5"/>
      <c r="L2461" s="3"/>
      <c r="M2461" s="6"/>
      <c r="N2461" s="9"/>
      <c r="O2461" s="9"/>
      <c r="P2461" s="12"/>
      <c r="Q2461" s="12"/>
      <c r="R2461" s="12"/>
      <c r="S2461" s="151"/>
      <c r="T2461" s="12"/>
      <c r="U2461" s="12"/>
      <c r="V2461" s="12"/>
      <c r="W2461" s="12"/>
      <c r="X2461" s="12"/>
      <c r="Y2461" s="12"/>
      <c r="Z2461" s="12"/>
    </row>
    <row r="2462" spans="1:26" ht="15.75" customHeight="1" x14ac:dyDescent="0.3">
      <c r="A2462" s="3"/>
      <c r="B2462" s="167"/>
      <c r="C2462" s="94"/>
      <c r="D2462" s="12"/>
      <c r="E2462" s="167"/>
      <c r="F2462" s="12"/>
      <c r="G2462" s="331"/>
      <c r="H2462" s="474"/>
      <c r="I2462" s="475"/>
      <c r="J2462" s="476"/>
      <c r="K2462" s="5"/>
      <c r="L2462" s="3"/>
      <c r="M2462" s="6"/>
      <c r="N2462" s="9"/>
      <c r="O2462" s="9"/>
      <c r="P2462" s="12"/>
      <c r="Q2462" s="12"/>
      <c r="R2462" s="12"/>
      <c r="S2462" s="151"/>
      <c r="T2462" s="12"/>
      <c r="U2462" s="12"/>
      <c r="V2462" s="12"/>
      <c r="W2462" s="12"/>
      <c r="X2462" s="12"/>
      <c r="Y2462" s="12"/>
      <c r="Z2462" s="12"/>
    </row>
    <row r="2463" spans="1:26" ht="15.75" customHeight="1" x14ac:dyDescent="0.3">
      <c r="A2463" s="3"/>
      <c r="B2463" s="167"/>
      <c r="C2463" s="94"/>
      <c r="D2463" s="12"/>
      <c r="E2463" s="167"/>
      <c r="F2463" s="12"/>
      <c r="G2463" s="331"/>
      <c r="H2463" s="474"/>
      <c r="I2463" s="475"/>
      <c r="J2463" s="476"/>
      <c r="K2463" s="5"/>
      <c r="L2463" s="3"/>
      <c r="M2463" s="6"/>
      <c r="N2463" s="9"/>
      <c r="O2463" s="9"/>
      <c r="P2463" s="12"/>
      <c r="Q2463" s="12"/>
      <c r="R2463" s="12"/>
      <c r="S2463" s="151"/>
      <c r="T2463" s="12"/>
      <c r="U2463" s="12"/>
      <c r="V2463" s="12"/>
      <c r="W2463" s="12"/>
      <c r="X2463" s="12"/>
      <c r="Y2463" s="12"/>
      <c r="Z2463" s="12"/>
    </row>
    <row r="2464" spans="1:26" ht="15.75" customHeight="1" x14ac:dyDescent="0.3">
      <c r="A2464" s="3"/>
      <c r="B2464" s="167"/>
      <c r="C2464" s="94"/>
      <c r="D2464" s="12"/>
      <c r="E2464" s="167"/>
      <c r="F2464" s="12"/>
      <c r="G2464" s="331"/>
      <c r="H2464" s="474"/>
      <c r="I2464" s="475"/>
      <c r="J2464" s="476"/>
      <c r="K2464" s="5"/>
      <c r="L2464" s="3"/>
      <c r="M2464" s="6"/>
      <c r="N2464" s="9"/>
      <c r="O2464" s="9"/>
      <c r="P2464" s="12"/>
      <c r="Q2464" s="12"/>
      <c r="R2464" s="12"/>
      <c r="S2464" s="151"/>
      <c r="T2464" s="12"/>
      <c r="U2464" s="12"/>
      <c r="V2464" s="12"/>
      <c r="W2464" s="12"/>
      <c r="X2464" s="12"/>
      <c r="Y2464" s="12"/>
      <c r="Z2464" s="12"/>
    </row>
    <row r="2465" spans="1:26" ht="15.75" customHeight="1" x14ac:dyDescent="0.3">
      <c r="A2465" s="3"/>
      <c r="B2465" s="167"/>
      <c r="C2465" s="94"/>
      <c r="D2465" s="12"/>
      <c r="E2465" s="167"/>
      <c r="F2465" s="12"/>
      <c r="G2465" s="331"/>
      <c r="H2465" s="474"/>
      <c r="I2465" s="475"/>
      <c r="J2465" s="476"/>
      <c r="K2465" s="5"/>
      <c r="L2465" s="3"/>
      <c r="M2465" s="6"/>
      <c r="N2465" s="9"/>
      <c r="O2465" s="9"/>
      <c r="P2465" s="12"/>
      <c r="Q2465" s="12"/>
      <c r="R2465" s="12"/>
      <c r="S2465" s="151"/>
      <c r="T2465" s="12"/>
      <c r="U2465" s="12"/>
      <c r="V2465" s="12"/>
      <c r="W2465" s="12"/>
      <c r="X2465" s="12"/>
      <c r="Y2465" s="12"/>
      <c r="Z2465" s="12"/>
    </row>
    <row r="2466" spans="1:26" ht="15.75" customHeight="1" x14ac:dyDescent="0.3">
      <c r="A2466" s="3"/>
      <c r="B2466" s="167"/>
      <c r="C2466" s="94"/>
      <c r="D2466" s="12"/>
      <c r="E2466" s="167"/>
      <c r="F2466" s="12"/>
      <c r="G2466" s="331"/>
      <c r="H2466" s="474"/>
      <c r="I2466" s="475"/>
      <c r="J2466" s="476"/>
      <c r="K2466" s="5"/>
      <c r="L2466" s="3"/>
      <c r="M2466" s="6"/>
      <c r="N2466" s="9"/>
      <c r="O2466" s="9"/>
      <c r="P2466" s="12"/>
      <c r="Q2466" s="12"/>
      <c r="R2466" s="12"/>
      <c r="S2466" s="151"/>
      <c r="T2466" s="12"/>
      <c r="U2466" s="12"/>
      <c r="V2466" s="12"/>
      <c r="W2466" s="12"/>
      <c r="X2466" s="12"/>
      <c r="Y2466" s="12"/>
      <c r="Z2466" s="12"/>
    </row>
    <row r="2467" spans="1:26" ht="15.75" customHeight="1" x14ac:dyDescent="0.3">
      <c r="A2467" s="3"/>
      <c r="B2467" s="167"/>
      <c r="C2467" s="94"/>
      <c r="D2467" s="12"/>
      <c r="E2467" s="167"/>
      <c r="F2467" s="12"/>
      <c r="G2467" s="331"/>
      <c r="H2467" s="474"/>
      <c r="I2467" s="475"/>
      <c r="J2467" s="476"/>
      <c r="K2467" s="5"/>
      <c r="L2467" s="3"/>
      <c r="M2467" s="6"/>
      <c r="N2467" s="9"/>
      <c r="O2467" s="9"/>
      <c r="P2467" s="12"/>
      <c r="Q2467" s="12"/>
      <c r="R2467" s="12"/>
      <c r="S2467" s="151"/>
      <c r="T2467" s="12"/>
      <c r="U2467" s="12"/>
      <c r="V2467" s="12"/>
      <c r="W2467" s="12"/>
      <c r="X2467" s="12"/>
      <c r="Y2467" s="12"/>
      <c r="Z2467" s="12"/>
    </row>
    <row r="2468" spans="1:26" ht="15.75" customHeight="1" x14ac:dyDescent="0.3">
      <c r="A2468" s="3"/>
      <c r="B2468" s="167"/>
      <c r="C2468" s="94"/>
      <c r="D2468" s="12"/>
      <c r="E2468" s="167"/>
      <c r="F2468" s="12"/>
      <c r="G2468" s="331"/>
      <c r="H2468" s="474"/>
      <c r="I2468" s="475"/>
      <c r="J2468" s="476"/>
      <c r="K2468" s="5"/>
      <c r="L2468" s="3"/>
      <c r="M2468" s="6"/>
      <c r="N2468" s="9"/>
      <c r="O2468" s="9"/>
      <c r="P2468" s="12"/>
      <c r="Q2468" s="12"/>
      <c r="R2468" s="12"/>
      <c r="S2468" s="151"/>
      <c r="T2468" s="12"/>
      <c r="U2468" s="12"/>
      <c r="V2468" s="12"/>
      <c r="W2468" s="12"/>
      <c r="X2468" s="12"/>
      <c r="Y2468" s="12"/>
      <c r="Z2468" s="12"/>
    </row>
    <row r="2469" spans="1:26" ht="15.75" customHeight="1" x14ac:dyDescent="0.3">
      <c r="A2469" s="3"/>
      <c r="B2469" s="167"/>
      <c r="C2469" s="94"/>
      <c r="D2469" s="12"/>
      <c r="E2469" s="167"/>
      <c r="F2469" s="12"/>
      <c r="G2469" s="331"/>
      <c r="H2469" s="474"/>
      <c r="I2469" s="475"/>
      <c r="J2469" s="476"/>
      <c r="K2469" s="5"/>
      <c r="L2469" s="3"/>
      <c r="M2469" s="6"/>
      <c r="N2469" s="9"/>
      <c r="O2469" s="9"/>
      <c r="P2469" s="12"/>
      <c r="Q2469" s="12"/>
      <c r="R2469" s="12"/>
      <c r="S2469" s="151"/>
      <c r="T2469" s="12"/>
      <c r="U2469" s="12"/>
      <c r="V2469" s="12"/>
      <c r="W2469" s="12"/>
      <c r="X2469" s="12"/>
      <c r="Y2469" s="12"/>
      <c r="Z2469" s="12"/>
    </row>
    <row r="2470" spans="1:26" ht="15.75" customHeight="1" x14ac:dyDescent="0.3">
      <c r="A2470" s="3"/>
      <c r="B2470" s="167"/>
      <c r="C2470" s="94"/>
      <c r="D2470" s="12"/>
      <c r="E2470" s="167"/>
      <c r="F2470" s="12"/>
      <c r="G2470" s="331"/>
      <c r="H2470" s="474"/>
      <c r="I2470" s="475"/>
      <c r="J2470" s="476"/>
      <c r="K2470" s="5"/>
      <c r="L2470" s="3"/>
      <c r="M2470" s="6"/>
      <c r="N2470" s="9"/>
      <c r="O2470" s="9"/>
      <c r="P2470" s="12"/>
      <c r="Q2470" s="12"/>
      <c r="R2470" s="12"/>
      <c r="S2470" s="151"/>
      <c r="T2470" s="12"/>
      <c r="U2470" s="12"/>
      <c r="V2470" s="12"/>
      <c r="W2470" s="12"/>
      <c r="X2470" s="12"/>
      <c r="Y2470" s="12"/>
      <c r="Z2470" s="12"/>
    </row>
    <row r="2471" spans="1:26" ht="15.75" customHeight="1" x14ac:dyDescent="0.3">
      <c r="A2471" s="3"/>
      <c r="B2471" s="167"/>
      <c r="C2471" s="94"/>
      <c r="D2471" s="12"/>
      <c r="E2471" s="167"/>
      <c r="F2471" s="12"/>
      <c r="G2471" s="331"/>
      <c r="H2471" s="474"/>
      <c r="I2471" s="475"/>
      <c r="J2471" s="476"/>
      <c r="K2471" s="5"/>
      <c r="L2471" s="3"/>
      <c r="M2471" s="6"/>
      <c r="N2471" s="9"/>
      <c r="O2471" s="9"/>
      <c r="P2471" s="12"/>
      <c r="Q2471" s="12"/>
      <c r="R2471" s="12"/>
      <c r="S2471" s="151"/>
      <c r="T2471" s="12"/>
      <c r="U2471" s="12"/>
      <c r="V2471" s="12"/>
      <c r="W2471" s="12"/>
      <c r="X2471" s="12"/>
      <c r="Y2471" s="12"/>
      <c r="Z2471" s="12"/>
    </row>
    <row r="2472" spans="1:26" ht="15.75" customHeight="1" x14ac:dyDescent="0.3">
      <c r="A2472" s="3"/>
      <c r="B2472" s="167"/>
      <c r="C2472" s="94"/>
      <c r="D2472" s="12"/>
      <c r="E2472" s="167"/>
      <c r="F2472" s="12"/>
      <c r="G2472" s="331"/>
      <c r="H2472" s="474"/>
      <c r="I2472" s="475"/>
      <c r="J2472" s="476"/>
      <c r="K2472" s="5"/>
      <c r="L2472" s="3"/>
      <c r="M2472" s="6"/>
      <c r="N2472" s="9"/>
      <c r="O2472" s="9"/>
      <c r="P2472" s="12"/>
      <c r="Q2472" s="12"/>
      <c r="R2472" s="12"/>
      <c r="S2472" s="151"/>
      <c r="T2472" s="12"/>
      <c r="U2472" s="12"/>
      <c r="V2472" s="12"/>
      <c r="W2472" s="12"/>
      <c r="X2472" s="12"/>
      <c r="Y2472" s="12"/>
      <c r="Z2472" s="12"/>
    </row>
    <row r="2473" spans="1:26" ht="15.75" customHeight="1" x14ac:dyDescent="0.3">
      <c r="A2473" s="3"/>
      <c r="B2473" s="167"/>
      <c r="C2473" s="94"/>
      <c r="D2473" s="12"/>
      <c r="E2473" s="167"/>
      <c r="F2473" s="12"/>
      <c r="G2473" s="331"/>
      <c r="H2473" s="474"/>
      <c r="I2473" s="475"/>
      <c r="J2473" s="476"/>
      <c r="K2473" s="5"/>
      <c r="L2473" s="3"/>
      <c r="M2473" s="6"/>
      <c r="N2473" s="9"/>
      <c r="O2473" s="9"/>
      <c r="P2473" s="12"/>
      <c r="Q2473" s="12"/>
      <c r="R2473" s="12"/>
      <c r="S2473" s="151"/>
      <c r="T2473" s="12"/>
      <c r="U2473" s="12"/>
      <c r="V2473" s="12"/>
      <c r="W2473" s="12"/>
      <c r="X2473" s="12"/>
      <c r="Y2473" s="12"/>
      <c r="Z2473" s="12"/>
    </row>
    <row r="2474" spans="1:26" ht="15.75" customHeight="1" x14ac:dyDescent="0.3">
      <c r="A2474" s="3"/>
      <c r="B2474" s="167"/>
      <c r="C2474" s="94"/>
      <c r="D2474" s="12"/>
      <c r="E2474" s="167"/>
      <c r="F2474" s="12"/>
      <c r="G2474" s="331"/>
      <c r="H2474" s="474"/>
      <c r="I2474" s="475"/>
      <c r="J2474" s="476"/>
      <c r="K2474" s="5"/>
      <c r="L2474" s="3"/>
      <c r="M2474" s="6"/>
      <c r="N2474" s="9"/>
      <c r="O2474" s="9"/>
      <c r="P2474" s="12"/>
      <c r="Q2474" s="12"/>
      <c r="R2474" s="12"/>
      <c r="S2474" s="151"/>
      <c r="T2474" s="12"/>
      <c r="U2474" s="12"/>
      <c r="V2474" s="12"/>
      <c r="W2474" s="12"/>
      <c r="X2474" s="12"/>
      <c r="Y2474" s="12"/>
      <c r="Z2474" s="12"/>
    </row>
    <row r="2475" spans="1:26" ht="15.75" customHeight="1" x14ac:dyDescent="0.3">
      <c r="A2475" s="3"/>
      <c r="B2475" s="167"/>
      <c r="C2475" s="94"/>
      <c r="D2475" s="12"/>
      <c r="E2475" s="167"/>
      <c r="F2475" s="12"/>
      <c r="G2475" s="331"/>
      <c r="H2475" s="474"/>
      <c r="I2475" s="475"/>
      <c r="J2475" s="476"/>
      <c r="K2475" s="5"/>
      <c r="L2475" s="3"/>
      <c r="M2475" s="6"/>
      <c r="N2475" s="9"/>
      <c r="O2475" s="9"/>
      <c r="P2475" s="12"/>
      <c r="Q2475" s="12"/>
      <c r="R2475" s="12"/>
      <c r="S2475" s="151"/>
      <c r="T2475" s="12"/>
      <c r="U2475" s="12"/>
      <c r="V2475" s="12"/>
      <c r="W2475" s="12"/>
      <c r="X2475" s="12"/>
      <c r="Y2475" s="12"/>
      <c r="Z2475" s="12"/>
    </row>
    <row r="2476" spans="1:26" ht="15.75" customHeight="1" x14ac:dyDescent="0.3">
      <c r="A2476" s="3"/>
      <c r="B2476" s="167"/>
      <c r="C2476" s="94"/>
      <c r="D2476" s="12"/>
      <c r="E2476" s="167"/>
      <c r="F2476" s="12"/>
      <c r="G2476" s="331"/>
      <c r="H2476" s="474"/>
      <c r="I2476" s="475"/>
      <c r="J2476" s="476"/>
      <c r="K2476" s="5"/>
      <c r="L2476" s="3"/>
      <c r="M2476" s="6"/>
      <c r="N2476" s="9"/>
      <c r="O2476" s="9"/>
      <c r="P2476" s="12"/>
      <c r="Q2476" s="12"/>
      <c r="R2476" s="12"/>
      <c r="S2476" s="151"/>
      <c r="T2476" s="12"/>
      <c r="U2476" s="12"/>
      <c r="V2476" s="12"/>
      <c r="W2476" s="12"/>
      <c r="X2476" s="12"/>
      <c r="Y2476" s="12"/>
      <c r="Z2476" s="12"/>
    </row>
    <row r="2477" spans="1:26" ht="15.75" customHeight="1" x14ac:dyDescent="0.3">
      <c r="A2477" s="3"/>
      <c r="B2477" s="167"/>
      <c r="C2477" s="94"/>
      <c r="D2477" s="12"/>
      <c r="E2477" s="167"/>
      <c r="F2477" s="12"/>
      <c r="G2477" s="331"/>
      <c r="H2477" s="474"/>
      <c r="I2477" s="475"/>
      <c r="J2477" s="476"/>
      <c r="K2477" s="5"/>
      <c r="L2477" s="3"/>
      <c r="M2477" s="6"/>
      <c r="N2477" s="9"/>
      <c r="O2477" s="9"/>
      <c r="P2477" s="12"/>
      <c r="Q2477" s="12"/>
      <c r="R2477" s="12"/>
      <c r="S2477" s="151"/>
      <c r="T2477" s="12"/>
      <c r="U2477" s="12"/>
      <c r="V2477" s="12"/>
      <c r="W2477" s="12"/>
      <c r="X2477" s="12"/>
      <c r="Y2477" s="12"/>
      <c r="Z2477" s="12"/>
    </row>
    <row r="2478" spans="1:26" ht="15.75" customHeight="1" x14ac:dyDescent="0.3">
      <c r="A2478" s="3"/>
      <c r="B2478" s="167"/>
      <c r="C2478" s="94"/>
      <c r="D2478" s="12"/>
      <c r="E2478" s="167"/>
      <c r="F2478" s="12"/>
      <c r="G2478" s="331"/>
      <c r="H2478" s="474"/>
      <c r="I2478" s="475"/>
      <c r="J2478" s="476"/>
      <c r="K2478" s="5"/>
      <c r="L2478" s="3"/>
      <c r="M2478" s="6"/>
      <c r="N2478" s="9"/>
      <c r="O2478" s="9"/>
      <c r="P2478" s="12"/>
      <c r="Q2478" s="12"/>
      <c r="R2478" s="12"/>
      <c r="S2478" s="151"/>
      <c r="T2478" s="12"/>
      <c r="U2478" s="12"/>
      <c r="V2478" s="12"/>
      <c r="W2478" s="12"/>
      <c r="X2478" s="12"/>
      <c r="Y2478" s="12"/>
      <c r="Z2478" s="12"/>
    </row>
    <row r="2479" spans="1:26" ht="15.75" customHeight="1" x14ac:dyDescent="0.3">
      <c r="A2479" s="3"/>
      <c r="B2479" s="167"/>
      <c r="C2479" s="94"/>
      <c r="D2479" s="12"/>
      <c r="E2479" s="167"/>
      <c r="F2479" s="12"/>
      <c r="G2479" s="331"/>
      <c r="H2479" s="474"/>
      <c r="I2479" s="475"/>
      <c r="J2479" s="476"/>
      <c r="K2479" s="5"/>
      <c r="L2479" s="3"/>
      <c r="M2479" s="6"/>
      <c r="N2479" s="9"/>
      <c r="O2479" s="9"/>
      <c r="P2479" s="12"/>
      <c r="Q2479" s="12"/>
      <c r="R2479" s="12"/>
      <c r="S2479" s="151"/>
      <c r="T2479" s="12"/>
      <c r="U2479" s="12"/>
      <c r="V2479" s="12"/>
      <c r="W2479" s="12"/>
      <c r="X2479" s="12"/>
      <c r="Y2479" s="12"/>
      <c r="Z2479" s="12"/>
    </row>
    <row r="2480" spans="1:26" ht="15.75" customHeight="1" x14ac:dyDescent="0.3">
      <c r="A2480" s="3"/>
      <c r="B2480" s="167"/>
      <c r="C2480" s="94"/>
      <c r="D2480" s="12"/>
      <c r="E2480" s="167"/>
      <c r="F2480" s="12"/>
      <c r="G2480" s="331"/>
      <c r="H2480" s="474"/>
      <c r="I2480" s="475"/>
      <c r="J2480" s="476"/>
      <c r="K2480" s="5"/>
      <c r="L2480" s="3"/>
      <c r="M2480" s="6"/>
      <c r="N2480" s="9"/>
      <c r="O2480" s="9"/>
      <c r="P2480" s="12"/>
      <c r="Q2480" s="12"/>
      <c r="R2480" s="12"/>
      <c r="S2480" s="151"/>
      <c r="T2480" s="12"/>
      <c r="U2480" s="12"/>
      <c r="V2480" s="12"/>
      <c r="W2480" s="12"/>
      <c r="X2480" s="12"/>
      <c r="Y2480" s="12"/>
      <c r="Z2480" s="12"/>
    </row>
    <row r="2481" spans="1:26" ht="15.75" customHeight="1" x14ac:dyDescent="0.3">
      <c r="A2481" s="3"/>
      <c r="B2481" s="167"/>
      <c r="C2481" s="94"/>
      <c r="D2481" s="12"/>
      <c r="E2481" s="167"/>
      <c r="F2481" s="12"/>
      <c r="G2481" s="331"/>
      <c r="H2481" s="474"/>
      <c r="I2481" s="475"/>
      <c r="J2481" s="476"/>
      <c r="K2481" s="5"/>
      <c r="L2481" s="3"/>
      <c r="M2481" s="6"/>
      <c r="N2481" s="9"/>
      <c r="O2481" s="9"/>
      <c r="P2481" s="12"/>
      <c r="Q2481" s="12"/>
      <c r="R2481" s="12"/>
      <c r="S2481" s="151"/>
      <c r="T2481" s="12"/>
      <c r="U2481" s="12"/>
      <c r="V2481" s="12"/>
      <c r="W2481" s="12"/>
      <c r="X2481" s="12"/>
      <c r="Y2481" s="12"/>
      <c r="Z2481" s="12"/>
    </row>
    <row r="2482" spans="1:26" ht="15.75" customHeight="1" x14ac:dyDescent="0.3">
      <c r="A2482" s="3"/>
      <c r="B2482" s="167"/>
      <c r="C2482" s="94"/>
      <c r="D2482" s="12"/>
      <c r="E2482" s="167"/>
      <c r="F2482" s="12"/>
      <c r="G2482" s="331"/>
      <c r="H2482" s="474"/>
      <c r="I2482" s="475"/>
      <c r="J2482" s="476"/>
      <c r="K2482" s="5"/>
      <c r="L2482" s="3"/>
      <c r="M2482" s="6"/>
      <c r="N2482" s="9"/>
      <c r="O2482" s="9"/>
      <c r="P2482" s="12"/>
      <c r="Q2482" s="12"/>
      <c r="R2482" s="12"/>
      <c r="S2482" s="151"/>
      <c r="T2482" s="12"/>
      <c r="U2482" s="12"/>
      <c r="V2482" s="12"/>
      <c r="W2482" s="12"/>
      <c r="X2482" s="12"/>
      <c r="Y2482" s="12"/>
      <c r="Z2482" s="12"/>
    </row>
    <row r="2483" spans="1:26" ht="15.75" customHeight="1" x14ac:dyDescent="0.3">
      <c r="A2483" s="3"/>
      <c r="B2483" s="167"/>
      <c r="C2483" s="94"/>
      <c r="D2483" s="12"/>
      <c r="E2483" s="167"/>
      <c r="F2483" s="12"/>
      <c r="G2483" s="331"/>
      <c r="H2483" s="474"/>
      <c r="I2483" s="475"/>
      <c r="J2483" s="476"/>
      <c r="K2483" s="5"/>
      <c r="L2483" s="3"/>
      <c r="M2483" s="6"/>
      <c r="N2483" s="9"/>
      <c r="O2483" s="9"/>
      <c r="P2483" s="12"/>
      <c r="Q2483" s="12"/>
      <c r="R2483" s="12"/>
      <c r="S2483" s="151"/>
      <c r="T2483" s="12"/>
      <c r="U2483" s="12"/>
      <c r="V2483" s="12"/>
      <c r="W2483" s="12"/>
      <c r="X2483" s="12"/>
      <c r="Y2483" s="12"/>
      <c r="Z2483" s="12"/>
    </row>
    <row r="2484" spans="1:26" ht="15.75" customHeight="1" x14ac:dyDescent="0.3">
      <c r="A2484" s="3"/>
      <c r="B2484" s="167"/>
      <c r="C2484" s="94"/>
      <c r="D2484" s="12"/>
      <c r="E2484" s="167"/>
      <c r="F2484" s="12"/>
      <c r="G2484" s="331"/>
      <c r="H2484" s="474"/>
      <c r="I2484" s="475"/>
      <c r="J2484" s="476"/>
      <c r="K2484" s="5"/>
      <c r="L2484" s="3"/>
      <c r="M2484" s="6"/>
      <c r="N2484" s="9"/>
      <c r="O2484" s="9"/>
      <c r="P2484" s="12"/>
      <c r="Q2484" s="12"/>
      <c r="R2484" s="12"/>
      <c r="S2484" s="151"/>
      <c r="T2484" s="12"/>
      <c r="U2484" s="12"/>
      <c r="V2484" s="12"/>
      <c r="W2484" s="12"/>
      <c r="X2484" s="12"/>
      <c r="Y2484" s="12"/>
      <c r="Z2484" s="12"/>
    </row>
    <row r="2485" spans="1:26" ht="15.75" customHeight="1" x14ac:dyDescent="0.3">
      <c r="A2485" s="3"/>
      <c r="B2485" s="167"/>
      <c r="C2485" s="94"/>
      <c r="D2485" s="12"/>
      <c r="E2485" s="167"/>
      <c r="F2485" s="12"/>
      <c r="G2485" s="331"/>
      <c r="H2485" s="474"/>
      <c r="I2485" s="475"/>
      <c r="J2485" s="476"/>
      <c r="K2485" s="5"/>
      <c r="L2485" s="3"/>
      <c r="M2485" s="6"/>
      <c r="N2485" s="9"/>
      <c r="O2485" s="9"/>
      <c r="P2485" s="12"/>
      <c r="Q2485" s="12"/>
      <c r="R2485" s="12"/>
      <c r="S2485" s="151"/>
      <c r="T2485" s="12"/>
      <c r="U2485" s="12"/>
      <c r="V2485" s="12"/>
      <c r="W2485" s="12"/>
      <c r="X2485" s="12"/>
      <c r="Y2485" s="12"/>
      <c r="Z2485" s="12"/>
    </row>
    <row r="2486" spans="1:26" ht="15.75" customHeight="1" x14ac:dyDescent="0.3">
      <c r="A2486" s="3"/>
      <c r="B2486" s="167"/>
      <c r="C2486" s="94"/>
      <c r="D2486" s="12"/>
      <c r="E2486" s="167"/>
      <c r="F2486" s="12"/>
      <c r="G2486" s="331"/>
      <c r="H2486" s="474"/>
      <c r="I2486" s="475"/>
      <c r="J2486" s="476"/>
      <c r="K2486" s="5"/>
      <c r="L2486" s="3"/>
      <c r="M2486" s="6"/>
      <c r="N2486" s="9"/>
      <c r="O2486" s="9"/>
      <c r="P2486" s="12"/>
      <c r="Q2486" s="12"/>
      <c r="R2486" s="12"/>
      <c r="S2486" s="151"/>
      <c r="T2486" s="12"/>
      <c r="U2486" s="12"/>
      <c r="V2486" s="12"/>
      <c r="W2486" s="12"/>
      <c r="X2486" s="12"/>
      <c r="Y2486" s="12"/>
      <c r="Z2486" s="12"/>
    </row>
    <row r="2487" spans="1:26" ht="15.75" customHeight="1" x14ac:dyDescent="0.3">
      <c r="A2487" s="3"/>
      <c r="B2487" s="167"/>
      <c r="C2487" s="94"/>
      <c r="D2487" s="12"/>
      <c r="E2487" s="167"/>
      <c r="F2487" s="12"/>
      <c r="G2487" s="331"/>
      <c r="H2487" s="474"/>
      <c r="I2487" s="475"/>
      <c r="J2487" s="476"/>
      <c r="K2487" s="5"/>
      <c r="L2487" s="3"/>
      <c r="M2487" s="6"/>
      <c r="N2487" s="9"/>
      <c r="O2487" s="9"/>
      <c r="P2487" s="12"/>
      <c r="Q2487" s="12"/>
      <c r="R2487" s="12"/>
      <c r="S2487" s="151"/>
      <c r="T2487" s="12"/>
      <c r="U2487" s="12"/>
      <c r="V2487" s="12"/>
      <c r="W2487" s="12"/>
      <c r="X2487" s="12"/>
      <c r="Y2487" s="12"/>
      <c r="Z2487" s="12"/>
    </row>
    <row r="2488" spans="1:26" ht="15.75" customHeight="1" x14ac:dyDescent="0.3">
      <c r="A2488" s="3"/>
      <c r="B2488" s="167"/>
      <c r="C2488" s="94"/>
      <c r="D2488" s="12"/>
      <c r="E2488" s="167"/>
      <c r="F2488" s="12"/>
      <c r="G2488" s="331"/>
      <c r="H2488" s="474"/>
      <c r="I2488" s="475"/>
      <c r="J2488" s="476"/>
      <c r="K2488" s="5"/>
      <c r="L2488" s="3"/>
      <c r="M2488" s="6"/>
      <c r="N2488" s="9"/>
      <c r="O2488" s="9"/>
      <c r="P2488" s="12"/>
      <c r="Q2488" s="12"/>
      <c r="R2488" s="12"/>
      <c r="S2488" s="151"/>
      <c r="T2488" s="12"/>
      <c r="U2488" s="12"/>
      <c r="V2488" s="12"/>
      <c r="W2488" s="12"/>
      <c r="X2488" s="12"/>
      <c r="Y2488" s="12"/>
      <c r="Z2488" s="12"/>
    </row>
    <row r="2489" spans="1:26" ht="15.75" customHeight="1" x14ac:dyDescent="0.3">
      <c r="A2489" s="3"/>
      <c r="B2489" s="167"/>
      <c r="C2489" s="94"/>
      <c r="D2489" s="12"/>
      <c r="E2489" s="167"/>
      <c r="F2489" s="12"/>
      <c r="G2489" s="331"/>
      <c r="H2489" s="474"/>
      <c r="I2489" s="475"/>
      <c r="J2489" s="476"/>
      <c r="K2489" s="5"/>
      <c r="L2489" s="3"/>
      <c r="M2489" s="6"/>
      <c r="N2489" s="9"/>
      <c r="O2489" s="9"/>
      <c r="P2489" s="12"/>
      <c r="Q2489" s="12"/>
      <c r="R2489" s="12"/>
      <c r="S2489" s="151"/>
      <c r="T2489" s="12"/>
      <c r="U2489" s="12"/>
      <c r="V2489" s="12"/>
      <c r="W2489" s="12"/>
      <c r="X2489" s="12"/>
      <c r="Y2489" s="12"/>
      <c r="Z2489" s="12"/>
    </row>
    <row r="2490" spans="1:26" ht="15.75" customHeight="1" x14ac:dyDescent="0.3">
      <c r="A2490" s="3"/>
      <c r="B2490" s="167"/>
      <c r="C2490" s="94"/>
      <c r="D2490" s="12"/>
      <c r="E2490" s="167"/>
      <c r="F2490" s="12"/>
      <c r="G2490" s="331"/>
      <c r="H2490" s="474"/>
      <c r="I2490" s="475"/>
      <c r="J2490" s="476"/>
      <c r="K2490" s="5"/>
      <c r="L2490" s="3"/>
      <c r="M2490" s="6"/>
      <c r="N2490" s="9"/>
      <c r="O2490" s="9"/>
      <c r="P2490" s="12"/>
      <c r="Q2490" s="12"/>
      <c r="R2490" s="12"/>
      <c r="S2490" s="151"/>
      <c r="T2490" s="12"/>
      <c r="U2490" s="12"/>
      <c r="V2490" s="12"/>
      <c r="W2490" s="12"/>
      <c r="X2490" s="12"/>
      <c r="Y2490" s="12"/>
      <c r="Z2490" s="12"/>
    </row>
    <row r="2491" spans="1:26" ht="15.75" customHeight="1" x14ac:dyDescent="0.3">
      <c r="A2491" s="3"/>
      <c r="B2491" s="167"/>
      <c r="C2491" s="94"/>
      <c r="D2491" s="12"/>
      <c r="E2491" s="167"/>
      <c r="F2491" s="12"/>
      <c r="G2491" s="331"/>
      <c r="H2491" s="474"/>
      <c r="I2491" s="475"/>
      <c r="J2491" s="476"/>
      <c r="K2491" s="5"/>
      <c r="L2491" s="3"/>
      <c r="M2491" s="6"/>
      <c r="N2491" s="9"/>
      <c r="O2491" s="9"/>
      <c r="P2491" s="12"/>
      <c r="Q2491" s="12"/>
      <c r="R2491" s="12"/>
      <c r="S2491" s="151"/>
      <c r="T2491" s="12"/>
      <c r="U2491" s="12"/>
      <c r="V2491" s="12"/>
      <c r="W2491" s="12"/>
      <c r="X2491" s="12"/>
      <c r="Y2491" s="12"/>
      <c r="Z2491" s="12"/>
    </row>
    <row r="2492" spans="1:26" ht="15.75" customHeight="1" x14ac:dyDescent="0.3">
      <c r="A2492" s="3"/>
      <c r="B2492" s="167"/>
      <c r="C2492" s="94"/>
      <c r="D2492" s="12"/>
      <c r="E2492" s="167"/>
      <c r="F2492" s="12"/>
      <c r="G2492" s="331"/>
      <c r="H2492" s="474"/>
      <c r="I2492" s="475"/>
      <c r="J2492" s="476"/>
      <c r="K2492" s="5"/>
      <c r="L2492" s="3"/>
      <c r="M2492" s="6"/>
      <c r="N2492" s="9"/>
      <c r="O2492" s="9"/>
      <c r="P2492" s="12"/>
      <c r="Q2492" s="12"/>
      <c r="R2492" s="12"/>
      <c r="S2492" s="151"/>
      <c r="T2492" s="12"/>
      <c r="U2492" s="12"/>
      <c r="V2492" s="12"/>
      <c r="W2492" s="12"/>
      <c r="X2492" s="12"/>
      <c r="Y2492" s="12"/>
      <c r="Z2492" s="12"/>
    </row>
    <row r="2493" spans="1:26" ht="15.75" customHeight="1" x14ac:dyDescent="0.3">
      <c r="A2493" s="3"/>
      <c r="B2493" s="167"/>
      <c r="C2493" s="94"/>
      <c r="D2493" s="12"/>
      <c r="E2493" s="167"/>
      <c r="F2493" s="12"/>
      <c r="G2493" s="331"/>
      <c r="H2493" s="474"/>
      <c r="I2493" s="475"/>
      <c r="J2493" s="476"/>
      <c r="K2493" s="5"/>
      <c r="L2493" s="3"/>
      <c r="M2493" s="6"/>
      <c r="N2493" s="9"/>
      <c r="O2493" s="9"/>
      <c r="P2493" s="12"/>
      <c r="Q2493" s="12"/>
      <c r="R2493" s="12"/>
      <c r="S2493" s="151"/>
      <c r="T2493" s="12"/>
      <c r="U2493" s="12"/>
      <c r="V2493" s="12"/>
      <c r="W2493" s="12"/>
      <c r="X2493" s="12"/>
      <c r="Y2493" s="12"/>
      <c r="Z2493" s="12"/>
    </row>
    <row r="2494" spans="1:26" ht="15.75" customHeight="1" x14ac:dyDescent="0.3">
      <c r="A2494" s="3"/>
      <c r="B2494" s="167"/>
      <c r="C2494" s="94"/>
      <c r="D2494" s="12"/>
      <c r="E2494" s="167"/>
      <c r="F2494" s="12"/>
      <c r="G2494" s="331"/>
      <c r="H2494" s="474"/>
      <c r="I2494" s="475"/>
      <c r="J2494" s="476"/>
      <c r="K2494" s="5"/>
      <c r="L2494" s="3"/>
      <c r="M2494" s="6"/>
      <c r="N2494" s="9"/>
      <c r="O2494" s="9"/>
      <c r="P2494" s="12"/>
      <c r="Q2494" s="12"/>
      <c r="R2494" s="12"/>
      <c r="S2494" s="151"/>
      <c r="T2494" s="12"/>
      <c r="U2494" s="12"/>
      <c r="V2494" s="12"/>
      <c r="W2494" s="12"/>
      <c r="X2494" s="12"/>
      <c r="Y2494" s="12"/>
      <c r="Z2494" s="12"/>
    </row>
    <row r="2495" spans="1:26" ht="15.75" customHeight="1" x14ac:dyDescent="0.3">
      <c r="A2495" s="3"/>
      <c r="B2495" s="167"/>
      <c r="C2495" s="94"/>
      <c r="D2495" s="12"/>
      <c r="E2495" s="167"/>
      <c r="F2495" s="12"/>
      <c r="G2495" s="331"/>
      <c r="H2495" s="474"/>
      <c r="I2495" s="475"/>
      <c r="J2495" s="476"/>
      <c r="K2495" s="5"/>
      <c r="L2495" s="3"/>
      <c r="M2495" s="6"/>
      <c r="N2495" s="9"/>
      <c r="O2495" s="9"/>
      <c r="P2495" s="12"/>
      <c r="Q2495" s="12"/>
      <c r="R2495" s="12"/>
      <c r="S2495" s="151"/>
      <c r="T2495" s="12"/>
      <c r="U2495" s="12"/>
      <c r="V2495" s="12"/>
      <c r="W2495" s="12"/>
      <c r="X2495" s="12"/>
      <c r="Y2495" s="12"/>
      <c r="Z2495" s="12"/>
    </row>
    <row r="2496" spans="1:26" ht="15.75" customHeight="1" x14ac:dyDescent="0.3">
      <c r="A2496" s="3"/>
      <c r="B2496" s="167"/>
      <c r="C2496" s="94"/>
      <c r="D2496" s="12"/>
      <c r="E2496" s="167"/>
      <c r="F2496" s="12"/>
      <c r="G2496" s="331"/>
      <c r="H2496" s="474"/>
      <c r="I2496" s="475"/>
      <c r="J2496" s="476"/>
      <c r="K2496" s="5"/>
      <c r="L2496" s="3"/>
      <c r="M2496" s="6"/>
      <c r="N2496" s="9"/>
      <c r="O2496" s="9"/>
      <c r="P2496" s="12"/>
      <c r="Q2496" s="12"/>
      <c r="R2496" s="12"/>
      <c r="S2496" s="151"/>
      <c r="T2496" s="12"/>
      <c r="U2496" s="12"/>
      <c r="V2496" s="12"/>
      <c r="W2496" s="12"/>
      <c r="X2496" s="12"/>
      <c r="Y2496" s="12"/>
      <c r="Z2496" s="12"/>
    </row>
    <row r="2497" spans="1:26" ht="15.75" customHeight="1" x14ac:dyDescent="0.3">
      <c r="A2497" s="3"/>
      <c r="B2497" s="167"/>
      <c r="C2497" s="94"/>
      <c r="D2497" s="12"/>
      <c r="E2497" s="167"/>
      <c r="F2497" s="12"/>
      <c r="G2497" s="331"/>
      <c r="H2497" s="474"/>
      <c r="I2497" s="475"/>
      <c r="J2497" s="476"/>
      <c r="K2497" s="5"/>
      <c r="L2497" s="3"/>
      <c r="M2497" s="6"/>
      <c r="N2497" s="9"/>
      <c r="O2497" s="9"/>
      <c r="P2497" s="12"/>
      <c r="Q2497" s="12"/>
      <c r="R2497" s="12"/>
      <c r="S2497" s="151"/>
      <c r="T2497" s="12"/>
      <c r="U2497" s="12"/>
      <c r="V2497" s="12"/>
      <c r="W2497" s="12"/>
      <c r="X2497" s="12"/>
      <c r="Y2497" s="12"/>
      <c r="Z2497" s="12"/>
    </row>
    <row r="2498" spans="1:26" ht="15.75" customHeight="1" x14ac:dyDescent="0.3">
      <c r="A2498" s="3"/>
      <c r="B2498" s="167"/>
      <c r="C2498" s="94"/>
      <c r="D2498" s="12"/>
      <c r="E2498" s="167"/>
      <c r="F2498" s="12"/>
      <c r="G2498" s="331"/>
      <c r="H2498" s="474"/>
      <c r="I2498" s="475"/>
      <c r="J2498" s="476"/>
      <c r="K2498" s="5"/>
      <c r="L2498" s="3"/>
      <c r="M2498" s="6"/>
      <c r="N2498" s="9"/>
      <c r="O2498" s="9"/>
      <c r="P2498" s="12"/>
      <c r="Q2498" s="12"/>
      <c r="R2498" s="12"/>
      <c r="S2498" s="151"/>
      <c r="T2498" s="12"/>
      <c r="U2498" s="12"/>
      <c r="V2498" s="12"/>
      <c r="W2498" s="12"/>
      <c r="X2498" s="12"/>
      <c r="Y2498" s="12"/>
      <c r="Z2498" s="12"/>
    </row>
    <row r="2499" spans="1:26" ht="15.75" customHeight="1" x14ac:dyDescent="0.3">
      <c r="A2499" s="3"/>
      <c r="B2499" s="167"/>
      <c r="C2499" s="94"/>
      <c r="D2499" s="12"/>
      <c r="E2499" s="167"/>
      <c r="F2499" s="12"/>
      <c r="G2499" s="331"/>
      <c r="H2499" s="474"/>
      <c r="I2499" s="475"/>
      <c r="J2499" s="476"/>
      <c r="K2499" s="5"/>
      <c r="L2499" s="3"/>
      <c r="M2499" s="6"/>
      <c r="N2499" s="9"/>
      <c r="O2499" s="9"/>
      <c r="P2499" s="12"/>
      <c r="Q2499" s="12"/>
      <c r="R2499" s="12"/>
      <c r="S2499" s="151"/>
      <c r="T2499" s="12"/>
      <c r="U2499" s="12"/>
      <c r="V2499" s="12"/>
      <c r="W2499" s="12"/>
      <c r="X2499" s="12"/>
      <c r="Y2499" s="12"/>
      <c r="Z2499" s="12"/>
    </row>
    <row r="2500" spans="1:26" ht="15.75" customHeight="1" x14ac:dyDescent="0.3">
      <c r="A2500" s="3"/>
      <c r="B2500" s="167"/>
      <c r="C2500" s="94"/>
      <c r="D2500" s="12"/>
      <c r="E2500" s="167"/>
      <c r="F2500" s="12"/>
      <c r="G2500" s="331"/>
      <c r="H2500" s="474"/>
      <c r="I2500" s="475"/>
      <c r="J2500" s="476"/>
      <c r="K2500" s="5"/>
      <c r="L2500" s="3"/>
      <c r="M2500" s="6"/>
      <c r="N2500" s="9"/>
      <c r="O2500" s="9"/>
      <c r="P2500" s="12"/>
      <c r="Q2500" s="12"/>
      <c r="R2500" s="12"/>
      <c r="S2500" s="151"/>
      <c r="T2500" s="12"/>
      <c r="U2500" s="12"/>
      <c r="V2500" s="12"/>
      <c r="W2500" s="12"/>
      <c r="X2500" s="12"/>
      <c r="Y2500" s="12"/>
      <c r="Z2500" s="12"/>
    </row>
    <row r="2501" spans="1:26" ht="15.75" customHeight="1" x14ac:dyDescent="0.3">
      <c r="A2501" s="3"/>
      <c r="B2501" s="167"/>
      <c r="C2501" s="94"/>
      <c r="D2501" s="12"/>
      <c r="E2501" s="167"/>
      <c r="F2501" s="12"/>
      <c r="G2501" s="331"/>
      <c r="H2501" s="474"/>
      <c r="I2501" s="475"/>
      <c r="J2501" s="476"/>
      <c r="K2501" s="5"/>
      <c r="L2501" s="3"/>
      <c r="M2501" s="6"/>
      <c r="N2501" s="9"/>
      <c r="O2501" s="9"/>
      <c r="P2501" s="12"/>
      <c r="Q2501" s="12"/>
      <c r="R2501" s="12"/>
      <c r="S2501" s="151"/>
      <c r="T2501" s="12"/>
      <c r="U2501" s="12"/>
      <c r="V2501" s="12"/>
      <c r="W2501" s="12"/>
      <c r="X2501" s="12"/>
      <c r="Y2501" s="12"/>
      <c r="Z2501" s="12"/>
    </row>
    <row r="2502" spans="1:26" ht="15.75" customHeight="1" x14ac:dyDescent="0.3">
      <c r="A2502" s="3"/>
      <c r="B2502" s="167"/>
      <c r="C2502" s="94"/>
      <c r="D2502" s="12"/>
      <c r="E2502" s="167"/>
      <c r="F2502" s="12"/>
      <c r="G2502" s="331"/>
      <c r="H2502" s="474"/>
      <c r="I2502" s="475"/>
      <c r="J2502" s="476"/>
      <c r="K2502" s="5"/>
      <c r="L2502" s="3"/>
      <c r="M2502" s="6"/>
      <c r="N2502" s="9"/>
      <c r="O2502" s="9"/>
      <c r="P2502" s="12"/>
      <c r="Q2502" s="12"/>
      <c r="R2502" s="12"/>
      <c r="S2502" s="151"/>
      <c r="T2502" s="12"/>
      <c r="U2502" s="12"/>
      <c r="V2502" s="12"/>
      <c r="W2502" s="12"/>
      <c r="X2502" s="12"/>
      <c r="Y2502" s="12"/>
      <c r="Z2502" s="12"/>
    </row>
    <row r="2503" spans="1:26" ht="15.75" customHeight="1" x14ac:dyDescent="0.3">
      <c r="A2503" s="3"/>
      <c r="B2503" s="167"/>
      <c r="C2503" s="94"/>
      <c r="D2503" s="12"/>
      <c r="E2503" s="167"/>
      <c r="F2503" s="12"/>
      <c r="G2503" s="331"/>
      <c r="H2503" s="474"/>
      <c r="I2503" s="475"/>
      <c r="J2503" s="476"/>
      <c r="K2503" s="5"/>
      <c r="L2503" s="3"/>
      <c r="M2503" s="6"/>
      <c r="N2503" s="9"/>
      <c r="O2503" s="9"/>
      <c r="P2503" s="12"/>
      <c r="Q2503" s="12"/>
      <c r="R2503" s="12"/>
      <c r="S2503" s="151"/>
      <c r="T2503" s="12"/>
      <c r="U2503" s="12"/>
      <c r="V2503" s="12"/>
      <c r="W2503" s="12"/>
      <c r="X2503" s="12"/>
      <c r="Y2503" s="12"/>
      <c r="Z2503" s="12"/>
    </row>
    <row r="2504" spans="1:26" ht="15.75" customHeight="1" x14ac:dyDescent="0.3">
      <c r="A2504" s="3"/>
      <c r="B2504" s="167"/>
      <c r="C2504" s="94"/>
      <c r="D2504" s="12"/>
      <c r="E2504" s="167"/>
      <c r="F2504" s="12"/>
      <c r="G2504" s="331"/>
      <c r="H2504" s="474"/>
      <c r="I2504" s="475"/>
      <c r="J2504" s="476"/>
      <c r="K2504" s="5"/>
      <c r="L2504" s="3"/>
      <c r="M2504" s="6"/>
      <c r="N2504" s="9"/>
      <c r="O2504" s="9"/>
      <c r="P2504" s="12"/>
      <c r="Q2504" s="12"/>
      <c r="R2504" s="12"/>
      <c r="S2504" s="151"/>
      <c r="T2504" s="12"/>
      <c r="U2504" s="12"/>
      <c r="V2504" s="12"/>
      <c r="W2504" s="12"/>
      <c r="X2504" s="12"/>
      <c r="Y2504" s="12"/>
      <c r="Z2504" s="12"/>
    </row>
    <row r="2505" spans="1:26" ht="15.75" customHeight="1" x14ac:dyDescent="0.3">
      <c r="A2505" s="3"/>
      <c r="B2505" s="167"/>
      <c r="C2505" s="94"/>
      <c r="D2505" s="12"/>
      <c r="E2505" s="167"/>
      <c r="F2505" s="12"/>
      <c r="G2505" s="331"/>
      <c r="H2505" s="474"/>
      <c r="I2505" s="475"/>
      <c r="J2505" s="476"/>
      <c r="K2505" s="5"/>
      <c r="L2505" s="3"/>
      <c r="M2505" s="6"/>
      <c r="N2505" s="9"/>
      <c r="O2505" s="9"/>
      <c r="P2505" s="12"/>
      <c r="Q2505" s="12"/>
      <c r="R2505" s="12"/>
      <c r="S2505" s="151"/>
      <c r="T2505" s="12"/>
      <c r="U2505" s="12"/>
      <c r="V2505" s="12"/>
      <c r="W2505" s="12"/>
      <c r="X2505" s="12"/>
      <c r="Y2505" s="12"/>
      <c r="Z2505" s="12"/>
    </row>
    <row r="2506" spans="1:26" ht="15.75" customHeight="1" x14ac:dyDescent="0.3">
      <c r="A2506" s="3"/>
      <c r="B2506" s="167"/>
      <c r="C2506" s="94"/>
      <c r="D2506" s="12"/>
      <c r="E2506" s="167"/>
      <c r="F2506" s="12"/>
      <c r="G2506" s="331"/>
      <c r="H2506" s="474"/>
      <c r="I2506" s="475"/>
      <c r="J2506" s="476"/>
      <c r="K2506" s="5"/>
      <c r="L2506" s="3"/>
      <c r="M2506" s="6"/>
      <c r="N2506" s="9"/>
      <c r="O2506" s="9"/>
      <c r="P2506" s="12"/>
      <c r="Q2506" s="12"/>
      <c r="R2506" s="12"/>
      <c r="S2506" s="151"/>
      <c r="T2506" s="12"/>
      <c r="U2506" s="12"/>
      <c r="V2506" s="12"/>
      <c r="W2506" s="12"/>
      <c r="X2506" s="12"/>
      <c r="Y2506" s="12"/>
      <c r="Z2506" s="12"/>
    </row>
    <row r="2507" spans="1:26" ht="15.75" customHeight="1" x14ac:dyDescent="0.3">
      <c r="A2507" s="3"/>
      <c r="B2507" s="167"/>
      <c r="C2507" s="94"/>
      <c r="D2507" s="12"/>
      <c r="E2507" s="167"/>
      <c r="F2507" s="12"/>
      <c r="G2507" s="331"/>
      <c r="H2507" s="474"/>
      <c r="I2507" s="475"/>
      <c r="J2507" s="476"/>
      <c r="K2507" s="5"/>
      <c r="L2507" s="3"/>
      <c r="M2507" s="6"/>
      <c r="N2507" s="9"/>
      <c r="O2507" s="9"/>
      <c r="P2507" s="12"/>
      <c r="Q2507" s="12"/>
      <c r="R2507" s="12"/>
      <c r="S2507" s="151"/>
      <c r="T2507" s="12"/>
      <c r="U2507" s="12"/>
      <c r="V2507" s="12"/>
      <c r="W2507" s="12"/>
      <c r="X2507" s="12"/>
      <c r="Y2507" s="12"/>
      <c r="Z2507" s="12"/>
    </row>
    <row r="2508" spans="1:26" ht="15.75" customHeight="1" x14ac:dyDescent="0.3">
      <c r="A2508" s="3"/>
      <c r="B2508" s="167"/>
      <c r="C2508" s="94"/>
      <c r="D2508" s="12"/>
      <c r="E2508" s="167"/>
      <c r="F2508" s="12"/>
      <c r="G2508" s="331"/>
      <c r="H2508" s="474"/>
      <c r="I2508" s="475"/>
      <c r="J2508" s="476"/>
      <c r="K2508" s="5"/>
      <c r="L2508" s="3"/>
      <c r="M2508" s="6"/>
      <c r="N2508" s="9"/>
      <c r="O2508" s="9"/>
      <c r="P2508" s="12"/>
      <c r="Q2508" s="12"/>
      <c r="R2508" s="12"/>
      <c r="S2508" s="151"/>
      <c r="T2508" s="12"/>
      <c r="U2508" s="12"/>
      <c r="V2508" s="12"/>
      <c r="W2508" s="12"/>
      <c r="X2508" s="12"/>
      <c r="Y2508" s="12"/>
      <c r="Z2508" s="12"/>
    </row>
    <row r="2509" spans="1:26" ht="15.75" customHeight="1" x14ac:dyDescent="0.3">
      <c r="A2509" s="3"/>
      <c r="B2509" s="167"/>
      <c r="C2509" s="94"/>
      <c r="D2509" s="12"/>
      <c r="E2509" s="167"/>
      <c r="F2509" s="12"/>
      <c r="G2509" s="331"/>
      <c r="H2509" s="474"/>
      <c r="I2509" s="475"/>
      <c r="J2509" s="476"/>
      <c r="K2509" s="5"/>
      <c r="L2509" s="3"/>
      <c r="M2509" s="6"/>
      <c r="N2509" s="9"/>
      <c r="O2509" s="9"/>
      <c r="P2509" s="12"/>
      <c r="Q2509" s="12"/>
      <c r="R2509" s="12"/>
      <c r="S2509" s="151"/>
      <c r="T2509" s="12"/>
      <c r="U2509" s="12"/>
      <c r="V2509" s="12"/>
      <c r="W2509" s="12"/>
      <c r="X2509" s="12"/>
      <c r="Y2509" s="12"/>
      <c r="Z2509" s="12"/>
    </row>
    <row r="2510" spans="1:26" ht="15.75" customHeight="1" x14ac:dyDescent="0.3">
      <c r="A2510" s="3"/>
      <c r="B2510" s="167"/>
      <c r="C2510" s="94"/>
      <c r="D2510" s="12"/>
      <c r="E2510" s="167"/>
      <c r="F2510" s="12"/>
      <c r="G2510" s="331"/>
      <c r="H2510" s="474"/>
      <c r="I2510" s="475"/>
      <c r="J2510" s="476"/>
      <c r="K2510" s="5"/>
      <c r="L2510" s="3"/>
      <c r="M2510" s="6"/>
      <c r="N2510" s="9"/>
      <c r="O2510" s="9"/>
      <c r="P2510" s="12"/>
      <c r="Q2510" s="12"/>
      <c r="R2510" s="12"/>
      <c r="S2510" s="151"/>
      <c r="T2510" s="12"/>
      <c r="U2510" s="12"/>
      <c r="V2510" s="12"/>
      <c r="W2510" s="12"/>
      <c r="X2510" s="12"/>
      <c r="Y2510" s="12"/>
      <c r="Z2510" s="12"/>
    </row>
    <row r="2511" spans="1:26" ht="15.75" customHeight="1" x14ac:dyDescent="0.3">
      <c r="A2511" s="3"/>
      <c r="B2511" s="167"/>
      <c r="C2511" s="94"/>
      <c r="D2511" s="12"/>
      <c r="E2511" s="167"/>
      <c r="F2511" s="12"/>
      <c r="G2511" s="331"/>
      <c r="H2511" s="474"/>
      <c r="I2511" s="475"/>
      <c r="J2511" s="476"/>
      <c r="K2511" s="5"/>
      <c r="L2511" s="3"/>
      <c r="M2511" s="6"/>
      <c r="N2511" s="9"/>
      <c r="O2511" s="9"/>
      <c r="P2511" s="12"/>
      <c r="Q2511" s="12"/>
      <c r="R2511" s="12"/>
      <c r="S2511" s="151"/>
      <c r="T2511" s="12"/>
      <c r="U2511" s="12"/>
      <c r="V2511" s="12"/>
      <c r="W2511" s="12"/>
      <c r="X2511" s="12"/>
      <c r="Y2511" s="12"/>
      <c r="Z2511" s="12"/>
    </row>
    <row r="2512" spans="1:26" ht="15.75" customHeight="1" x14ac:dyDescent="0.3">
      <c r="A2512" s="3"/>
      <c r="B2512" s="167"/>
      <c r="C2512" s="94"/>
      <c r="D2512" s="12"/>
      <c r="E2512" s="167"/>
      <c r="F2512" s="12"/>
      <c r="G2512" s="331"/>
      <c r="H2512" s="474"/>
      <c r="I2512" s="475"/>
      <c r="J2512" s="476"/>
      <c r="K2512" s="5"/>
      <c r="L2512" s="3"/>
      <c r="M2512" s="6"/>
      <c r="N2512" s="9"/>
      <c r="O2512" s="9"/>
      <c r="P2512" s="12"/>
      <c r="Q2512" s="12"/>
      <c r="R2512" s="12"/>
      <c r="S2512" s="151"/>
      <c r="T2512" s="12"/>
      <c r="U2512" s="12"/>
      <c r="V2512" s="12"/>
      <c r="W2512" s="12"/>
      <c r="X2512" s="12"/>
      <c r="Y2512" s="12"/>
      <c r="Z2512" s="12"/>
    </row>
    <row r="2513" spans="1:26" ht="15.75" customHeight="1" x14ac:dyDescent="0.3">
      <c r="A2513" s="3"/>
      <c r="B2513" s="167"/>
      <c r="C2513" s="94"/>
      <c r="D2513" s="12"/>
      <c r="E2513" s="167"/>
      <c r="F2513" s="12"/>
      <c r="G2513" s="331"/>
      <c r="H2513" s="474"/>
      <c r="I2513" s="475"/>
      <c r="J2513" s="476"/>
      <c r="K2513" s="5"/>
      <c r="L2513" s="3"/>
      <c r="M2513" s="6"/>
      <c r="N2513" s="9"/>
      <c r="O2513" s="9"/>
      <c r="P2513" s="12"/>
      <c r="Q2513" s="12"/>
      <c r="R2513" s="12"/>
      <c r="S2513" s="151"/>
      <c r="T2513" s="12"/>
      <c r="U2513" s="12"/>
      <c r="V2513" s="12"/>
      <c r="W2513" s="12"/>
      <c r="X2513" s="12"/>
      <c r="Y2513" s="12"/>
      <c r="Z2513" s="12"/>
    </row>
    <row r="2514" spans="1:26" ht="15.75" customHeight="1" x14ac:dyDescent="0.3">
      <c r="A2514" s="3"/>
      <c r="B2514" s="167"/>
      <c r="C2514" s="94"/>
      <c r="D2514" s="12"/>
      <c r="E2514" s="167"/>
      <c r="F2514" s="12"/>
      <c r="G2514" s="331"/>
      <c r="H2514" s="474"/>
      <c r="I2514" s="475"/>
      <c r="J2514" s="476"/>
      <c r="K2514" s="5"/>
      <c r="L2514" s="3"/>
      <c r="M2514" s="6"/>
      <c r="N2514" s="9"/>
      <c r="O2514" s="9"/>
      <c r="P2514" s="12"/>
      <c r="Q2514" s="12"/>
      <c r="R2514" s="12"/>
      <c r="S2514" s="151"/>
      <c r="T2514" s="12"/>
      <c r="U2514" s="12"/>
      <c r="V2514" s="12"/>
      <c r="W2514" s="12"/>
      <c r="X2514" s="12"/>
      <c r="Y2514" s="12"/>
      <c r="Z2514" s="12"/>
    </row>
    <row r="2515" spans="1:26" ht="15.75" customHeight="1" x14ac:dyDescent="0.3">
      <c r="A2515" s="3"/>
      <c r="B2515" s="167"/>
      <c r="C2515" s="94"/>
      <c r="D2515" s="12"/>
      <c r="E2515" s="167"/>
      <c r="F2515" s="12"/>
      <c r="G2515" s="331"/>
      <c r="H2515" s="474"/>
      <c r="I2515" s="475"/>
      <c r="J2515" s="476"/>
      <c r="K2515" s="5"/>
      <c r="L2515" s="3"/>
      <c r="M2515" s="6"/>
      <c r="N2515" s="9"/>
      <c r="O2515" s="9"/>
      <c r="P2515" s="12"/>
      <c r="Q2515" s="12"/>
      <c r="R2515" s="12"/>
      <c r="S2515" s="151"/>
      <c r="T2515" s="12"/>
      <c r="U2515" s="12"/>
      <c r="V2515" s="12"/>
      <c r="W2515" s="12"/>
      <c r="X2515" s="12"/>
      <c r="Y2515" s="12"/>
      <c r="Z2515" s="12"/>
    </row>
    <row r="2516" spans="1:26" ht="15.75" customHeight="1" x14ac:dyDescent="0.3">
      <c r="A2516" s="3"/>
      <c r="B2516" s="167"/>
      <c r="C2516" s="94"/>
      <c r="D2516" s="12"/>
      <c r="E2516" s="167"/>
      <c r="F2516" s="12"/>
      <c r="G2516" s="331"/>
      <c r="H2516" s="474"/>
      <c r="I2516" s="475"/>
      <c r="J2516" s="476"/>
      <c r="K2516" s="5"/>
      <c r="L2516" s="3"/>
      <c r="M2516" s="6"/>
      <c r="N2516" s="9"/>
      <c r="O2516" s="9"/>
      <c r="P2516" s="12"/>
      <c r="Q2516" s="12"/>
      <c r="R2516" s="12"/>
      <c r="S2516" s="151"/>
      <c r="T2516" s="12"/>
      <c r="U2516" s="12"/>
      <c r="V2516" s="12"/>
      <c r="W2516" s="12"/>
      <c r="X2516" s="12"/>
      <c r="Y2516" s="12"/>
      <c r="Z2516" s="12"/>
    </row>
    <row r="2517" spans="1:26" ht="15.75" customHeight="1" x14ac:dyDescent="0.3">
      <c r="A2517" s="3"/>
      <c r="B2517" s="167"/>
      <c r="C2517" s="94"/>
      <c r="D2517" s="12"/>
      <c r="E2517" s="167"/>
      <c r="F2517" s="12"/>
      <c r="G2517" s="331"/>
      <c r="H2517" s="474"/>
      <c r="I2517" s="475"/>
      <c r="J2517" s="476"/>
      <c r="K2517" s="5"/>
      <c r="L2517" s="3"/>
      <c r="M2517" s="6"/>
      <c r="N2517" s="9"/>
      <c r="O2517" s="9"/>
      <c r="P2517" s="12"/>
      <c r="Q2517" s="12"/>
      <c r="R2517" s="12"/>
      <c r="S2517" s="151"/>
      <c r="T2517" s="12"/>
      <c r="U2517" s="12"/>
      <c r="V2517" s="12"/>
      <c r="W2517" s="12"/>
      <c r="X2517" s="12"/>
      <c r="Y2517" s="12"/>
      <c r="Z2517" s="12"/>
    </row>
    <row r="2518" spans="1:26" ht="15.75" customHeight="1" x14ac:dyDescent="0.3">
      <c r="A2518" s="3"/>
      <c r="B2518" s="167"/>
      <c r="C2518" s="94"/>
      <c r="D2518" s="12"/>
      <c r="E2518" s="167"/>
      <c r="F2518" s="12"/>
      <c r="G2518" s="331"/>
      <c r="H2518" s="474"/>
      <c r="I2518" s="475"/>
      <c r="J2518" s="476"/>
      <c r="K2518" s="5"/>
      <c r="L2518" s="3"/>
      <c r="M2518" s="6"/>
      <c r="N2518" s="9"/>
      <c r="O2518" s="9"/>
      <c r="P2518" s="12"/>
      <c r="Q2518" s="12"/>
      <c r="R2518" s="12"/>
      <c r="S2518" s="151"/>
      <c r="T2518" s="12"/>
      <c r="U2518" s="12"/>
      <c r="V2518" s="12"/>
      <c r="W2518" s="12"/>
      <c r="X2518" s="12"/>
      <c r="Y2518" s="12"/>
      <c r="Z2518" s="12"/>
    </row>
    <row r="2519" spans="1:26" ht="15.75" customHeight="1" x14ac:dyDescent="0.3">
      <c r="A2519" s="3"/>
      <c r="B2519" s="167"/>
      <c r="C2519" s="94"/>
      <c r="D2519" s="12"/>
      <c r="E2519" s="167"/>
      <c r="F2519" s="12"/>
      <c r="G2519" s="331"/>
      <c r="H2519" s="474"/>
      <c r="I2519" s="475"/>
      <c r="J2519" s="476"/>
      <c r="K2519" s="5"/>
      <c r="L2519" s="3"/>
      <c r="M2519" s="6"/>
      <c r="N2519" s="9"/>
      <c r="O2519" s="9"/>
      <c r="P2519" s="12"/>
      <c r="Q2519" s="12"/>
      <c r="R2519" s="12"/>
      <c r="S2519" s="151"/>
      <c r="T2519" s="12"/>
      <c r="U2519" s="12"/>
      <c r="V2519" s="12"/>
      <c r="W2519" s="12"/>
      <c r="X2519" s="12"/>
      <c r="Y2519" s="12"/>
      <c r="Z2519" s="12"/>
    </row>
    <row r="2520" spans="1:26" ht="15.75" customHeight="1" x14ac:dyDescent="0.3">
      <c r="A2520" s="3"/>
      <c r="B2520" s="167"/>
      <c r="C2520" s="94"/>
      <c r="D2520" s="12"/>
      <c r="E2520" s="167"/>
      <c r="F2520" s="12"/>
      <c r="G2520" s="331"/>
      <c r="H2520" s="474"/>
      <c r="I2520" s="475"/>
      <c r="J2520" s="476"/>
      <c r="K2520" s="5"/>
      <c r="L2520" s="3"/>
      <c r="M2520" s="6"/>
      <c r="N2520" s="9"/>
      <c r="O2520" s="9"/>
      <c r="P2520" s="12"/>
      <c r="Q2520" s="12"/>
      <c r="R2520" s="12"/>
      <c r="S2520" s="151"/>
      <c r="T2520" s="12"/>
      <c r="U2520" s="12"/>
      <c r="V2520" s="12"/>
      <c r="W2520" s="12"/>
      <c r="X2520" s="12"/>
      <c r="Y2520" s="12"/>
      <c r="Z2520" s="12"/>
    </row>
    <row r="2521" spans="1:26" ht="15.75" customHeight="1" x14ac:dyDescent="0.3">
      <c r="A2521" s="3"/>
      <c r="B2521" s="167"/>
      <c r="C2521" s="94"/>
      <c r="D2521" s="12"/>
      <c r="E2521" s="167"/>
      <c r="F2521" s="12"/>
      <c r="G2521" s="331"/>
      <c r="H2521" s="474"/>
      <c r="I2521" s="475"/>
      <c r="J2521" s="476"/>
      <c r="K2521" s="5"/>
      <c r="L2521" s="3"/>
      <c r="M2521" s="6"/>
      <c r="N2521" s="9"/>
      <c r="O2521" s="9"/>
      <c r="P2521" s="12"/>
      <c r="Q2521" s="12"/>
      <c r="R2521" s="12"/>
      <c r="S2521" s="151"/>
      <c r="T2521" s="12"/>
      <c r="U2521" s="12"/>
      <c r="V2521" s="12"/>
      <c r="W2521" s="12"/>
      <c r="X2521" s="12"/>
      <c r="Y2521" s="12"/>
      <c r="Z2521" s="12"/>
    </row>
    <row r="2522" spans="1:26" ht="15.75" customHeight="1" x14ac:dyDescent="0.3">
      <c r="A2522" s="3"/>
      <c r="B2522" s="167"/>
      <c r="C2522" s="94"/>
      <c r="D2522" s="12"/>
      <c r="E2522" s="167"/>
      <c r="F2522" s="12"/>
      <c r="G2522" s="331"/>
      <c r="H2522" s="474"/>
      <c r="I2522" s="475"/>
      <c r="J2522" s="476"/>
      <c r="K2522" s="5"/>
      <c r="L2522" s="3"/>
      <c r="M2522" s="6"/>
      <c r="N2522" s="9"/>
      <c r="O2522" s="9"/>
      <c r="P2522" s="12"/>
      <c r="Q2522" s="12"/>
      <c r="R2522" s="12"/>
      <c r="S2522" s="151"/>
      <c r="T2522" s="12"/>
      <c r="U2522" s="12"/>
      <c r="V2522" s="12"/>
      <c r="W2522" s="12"/>
      <c r="X2522" s="12"/>
      <c r="Y2522" s="12"/>
      <c r="Z2522" s="12"/>
    </row>
    <row r="2523" spans="1:26" ht="15.75" customHeight="1" x14ac:dyDescent="0.3">
      <c r="A2523" s="3"/>
      <c r="B2523" s="167"/>
      <c r="C2523" s="94"/>
      <c r="D2523" s="12"/>
      <c r="E2523" s="167"/>
      <c r="F2523" s="12"/>
      <c r="G2523" s="331"/>
      <c r="H2523" s="474"/>
      <c r="I2523" s="475"/>
      <c r="J2523" s="476"/>
      <c r="K2523" s="5"/>
      <c r="L2523" s="3"/>
      <c r="M2523" s="6"/>
      <c r="N2523" s="9"/>
      <c r="O2523" s="9"/>
      <c r="P2523" s="12"/>
      <c r="Q2523" s="12"/>
      <c r="R2523" s="12"/>
      <c r="S2523" s="151"/>
      <c r="T2523" s="12"/>
      <c r="U2523" s="12"/>
      <c r="V2523" s="12"/>
      <c r="W2523" s="12"/>
      <c r="X2523" s="12"/>
      <c r="Y2523" s="12"/>
      <c r="Z2523" s="12"/>
    </row>
    <row r="2524" spans="1:26" ht="15.75" customHeight="1" x14ac:dyDescent="0.3">
      <c r="A2524" s="3"/>
      <c r="B2524" s="167"/>
      <c r="C2524" s="94"/>
      <c r="D2524" s="12"/>
      <c r="E2524" s="167"/>
      <c r="F2524" s="12"/>
      <c r="G2524" s="331"/>
      <c r="H2524" s="474"/>
      <c r="I2524" s="475"/>
      <c r="J2524" s="476"/>
      <c r="K2524" s="5"/>
      <c r="L2524" s="3"/>
      <c r="M2524" s="6"/>
      <c r="N2524" s="9"/>
      <c r="O2524" s="9"/>
      <c r="P2524" s="12"/>
      <c r="Q2524" s="12"/>
      <c r="R2524" s="12"/>
      <c r="S2524" s="151"/>
      <c r="T2524" s="12"/>
      <c r="U2524" s="12"/>
      <c r="V2524" s="12"/>
      <c r="W2524" s="12"/>
      <c r="X2524" s="12"/>
      <c r="Y2524" s="12"/>
      <c r="Z2524" s="12"/>
    </row>
    <row r="2525" spans="1:26" ht="15.75" customHeight="1" x14ac:dyDescent="0.3">
      <c r="A2525" s="3"/>
      <c r="B2525" s="167"/>
      <c r="C2525" s="94"/>
      <c r="D2525" s="12"/>
      <c r="E2525" s="167"/>
      <c r="F2525" s="12"/>
      <c r="G2525" s="331"/>
      <c r="H2525" s="474"/>
      <c r="I2525" s="475"/>
      <c r="J2525" s="476"/>
      <c r="K2525" s="5"/>
      <c r="L2525" s="3"/>
      <c r="M2525" s="6"/>
      <c r="N2525" s="9"/>
      <c r="O2525" s="9"/>
      <c r="P2525" s="12"/>
      <c r="Q2525" s="12"/>
      <c r="R2525" s="12"/>
      <c r="S2525" s="151"/>
      <c r="T2525" s="12"/>
      <c r="U2525" s="12"/>
      <c r="V2525" s="12"/>
      <c r="W2525" s="12"/>
      <c r="X2525" s="12"/>
      <c r="Y2525" s="12"/>
      <c r="Z2525" s="12"/>
    </row>
    <row r="2526" spans="1:26" ht="15.75" customHeight="1" x14ac:dyDescent="0.3">
      <c r="A2526" s="3"/>
      <c r="B2526" s="167"/>
      <c r="C2526" s="94"/>
      <c r="D2526" s="12"/>
      <c r="E2526" s="167"/>
      <c r="F2526" s="12"/>
      <c r="G2526" s="331"/>
      <c r="H2526" s="474"/>
      <c r="I2526" s="475"/>
      <c r="J2526" s="476"/>
      <c r="K2526" s="5"/>
      <c r="L2526" s="3"/>
      <c r="M2526" s="6"/>
      <c r="N2526" s="9"/>
      <c r="O2526" s="9"/>
      <c r="P2526" s="12"/>
      <c r="Q2526" s="12"/>
      <c r="R2526" s="12"/>
      <c r="S2526" s="151"/>
      <c r="T2526" s="12"/>
      <c r="U2526" s="12"/>
      <c r="V2526" s="12"/>
      <c r="W2526" s="12"/>
      <c r="X2526" s="12"/>
      <c r="Y2526" s="12"/>
      <c r="Z2526" s="12"/>
    </row>
    <row r="2527" spans="1:26" ht="15.75" customHeight="1" x14ac:dyDescent="0.3">
      <c r="A2527" s="3"/>
      <c r="B2527" s="167"/>
      <c r="C2527" s="94"/>
      <c r="D2527" s="12"/>
      <c r="E2527" s="167"/>
      <c r="F2527" s="12"/>
      <c r="G2527" s="331"/>
      <c r="H2527" s="474"/>
      <c r="I2527" s="475"/>
      <c r="J2527" s="476"/>
      <c r="K2527" s="5"/>
      <c r="L2527" s="3"/>
      <c r="M2527" s="6"/>
      <c r="N2527" s="9"/>
      <c r="O2527" s="9"/>
      <c r="P2527" s="12"/>
      <c r="Q2527" s="12"/>
      <c r="R2527" s="12"/>
      <c r="S2527" s="151"/>
      <c r="T2527" s="12"/>
      <c r="U2527" s="12"/>
      <c r="V2527" s="12"/>
      <c r="W2527" s="12"/>
      <c r="X2527" s="12"/>
      <c r="Y2527" s="12"/>
      <c r="Z2527" s="12"/>
    </row>
    <row r="2528" spans="1:26" ht="15.75" customHeight="1" x14ac:dyDescent="0.3">
      <c r="A2528" s="3"/>
      <c r="B2528" s="167"/>
      <c r="C2528" s="94"/>
      <c r="D2528" s="12"/>
      <c r="E2528" s="167"/>
      <c r="F2528" s="12"/>
      <c r="G2528" s="331"/>
      <c r="H2528" s="474"/>
      <c r="I2528" s="475"/>
      <c r="J2528" s="476"/>
      <c r="K2528" s="5"/>
      <c r="L2528" s="3"/>
      <c r="M2528" s="6"/>
      <c r="N2528" s="9"/>
      <c r="O2528" s="9"/>
      <c r="P2528" s="12"/>
      <c r="Q2528" s="12"/>
      <c r="R2528" s="12"/>
      <c r="S2528" s="151"/>
      <c r="T2528" s="12"/>
      <c r="U2528" s="12"/>
      <c r="V2528" s="12"/>
      <c r="W2528" s="12"/>
      <c r="X2528" s="12"/>
      <c r="Y2528" s="12"/>
      <c r="Z2528" s="12"/>
    </row>
    <row r="2529" spans="1:26" ht="15.75" customHeight="1" x14ac:dyDescent="0.3">
      <c r="A2529" s="3"/>
      <c r="B2529" s="167"/>
      <c r="C2529" s="94"/>
      <c r="D2529" s="12"/>
      <c r="E2529" s="167"/>
      <c r="F2529" s="12"/>
      <c r="G2529" s="331"/>
      <c r="H2529" s="474"/>
      <c r="I2529" s="475"/>
      <c r="J2529" s="476"/>
      <c r="K2529" s="5"/>
      <c r="L2529" s="3"/>
      <c r="M2529" s="6"/>
      <c r="N2529" s="9"/>
      <c r="O2529" s="9"/>
      <c r="P2529" s="12"/>
      <c r="Q2529" s="12"/>
      <c r="R2529" s="12"/>
      <c r="S2529" s="151"/>
      <c r="T2529" s="12"/>
      <c r="U2529" s="12"/>
      <c r="V2529" s="12"/>
      <c r="W2529" s="12"/>
      <c r="X2529" s="12"/>
      <c r="Y2529" s="12"/>
      <c r="Z2529" s="12"/>
    </row>
    <row r="2530" spans="1:26" ht="15.75" customHeight="1" x14ac:dyDescent="0.3">
      <c r="A2530" s="3"/>
      <c r="B2530" s="167"/>
      <c r="C2530" s="94"/>
      <c r="D2530" s="12"/>
      <c r="E2530" s="167"/>
      <c r="F2530" s="12"/>
      <c r="G2530" s="331"/>
      <c r="H2530" s="474"/>
      <c r="I2530" s="475"/>
      <c r="J2530" s="476"/>
      <c r="K2530" s="5"/>
      <c r="L2530" s="3"/>
      <c r="M2530" s="6"/>
      <c r="N2530" s="9"/>
      <c r="O2530" s="9"/>
      <c r="P2530" s="12"/>
      <c r="Q2530" s="12"/>
      <c r="R2530" s="12"/>
      <c r="S2530" s="151"/>
      <c r="T2530" s="12"/>
      <c r="U2530" s="12"/>
      <c r="V2530" s="12"/>
      <c r="W2530" s="12"/>
      <c r="X2530" s="12"/>
      <c r="Y2530" s="12"/>
      <c r="Z2530" s="12"/>
    </row>
    <row r="2531" spans="1:26" ht="15.75" customHeight="1" x14ac:dyDescent="0.3">
      <c r="A2531" s="3"/>
      <c r="B2531" s="167"/>
      <c r="C2531" s="94"/>
      <c r="D2531" s="12"/>
      <c r="E2531" s="167"/>
      <c r="F2531" s="12"/>
      <c r="G2531" s="331"/>
      <c r="H2531" s="474"/>
      <c r="I2531" s="475"/>
      <c r="J2531" s="476"/>
      <c r="K2531" s="5"/>
      <c r="L2531" s="3"/>
      <c r="M2531" s="6"/>
      <c r="N2531" s="9"/>
      <c r="O2531" s="9"/>
      <c r="P2531" s="12"/>
      <c r="Q2531" s="12"/>
      <c r="R2531" s="12"/>
      <c r="S2531" s="151"/>
      <c r="T2531" s="12"/>
      <c r="U2531" s="12"/>
      <c r="V2531" s="12"/>
      <c r="W2531" s="12"/>
      <c r="X2531" s="12"/>
      <c r="Y2531" s="12"/>
      <c r="Z2531" s="12"/>
    </row>
    <row r="2532" spans="1:26" ht="15.75" customHeight="1" x14ac:dyDescent="0.3">
      <c r="A2532" s="3"/>
      <c r="B2532" s="167"/>
      <c r="C2532" s="94"/>
      <c r="D2532" s="12"/>
      <c r="E2532" s="167"/>
      <c r="F2532" s="12"/>
      <c r="G2532" s="331"/>
      <c r="H2532" s="474"/>
      <c r="I2532" s="475"/>
      <c r="J2532" s="476"/>
      <c r="K2532" s="5"/>
      <c r="L2532" s="3"/>
      <c r="M2532" s="6"/>
      <c r="N2532" s="9"/>
      <c r="O2532" s="9"/>
      <c r="P2532" s="12"/>
      <c r="Q2532" s="12"/>
      <c r="R2532" s="12"/>
      <c r="S2532" s="151"/>
      <c r="T2532" s="12"/>
      <c r="U2532" s="12"/>
      <c r="V2532" s="12"/>
      <c r="W2532" s="12"/>
      <c r="X2532" s="12"/>
      <c r="Y2532" s="12"/>
      <c r="Z2532" s="12"/>
    </row>
    <row r="2533" spans="1:26" ht="15.75" customHeight="1" x14ac:dyDescent="0.3">
      <c r="A2533" s="3"/>
      <c r="B2533" s="167"/>
      <c r="C2533" s="94"/>
      <c r="D2533" s="12"/>
      <c r="E2533" s="167"/>
      <c r="F2533" s="12"/>
      <c r="G2533" s="331"/>
      <c r="H2533" s="474"/>
      <c r="I2533" s="475"/>
      <c r="J2533" s="476"/>
      <c r="K2533" s="5"/>
      <c r="L2533" s="3"/>
      <c r="M2533" s="6"/>
      <c r="N2533" s="9"/>
      <c r="O2533" s="9"/>
      <c r="P2533" s="12"/>
      <c r="Q2533" s="12"/>
      <c r="R2533" s="12"/>
      <c r="S2533" s="151"/>
      <c r="T2533" s="12"/>
      <c r="U2533" s="12"/>
      <c r="V2533" s="12"/>
      <c r="W2533" s="12"/>
      <c r="X2533" s="12"/>
      <c r="Y2533" s="12"/>
      <c r="Z2533" s="12"/>
    </row>
    <row r="2534" spans="1:26" ht="15.75" customHeight="1" x14ac:dyDescent="0.3">
      <c r="A2534" s="3"/>
      <c r="B2534" s="167"/>
      <c r="C2534" s="94"/>
      <c r="D2534" s="12"/>
      <c r="E2534" s="167"/>
      <c r="F2534" s="12"/>
      <c r="G2534" s="331"/>
      <c r="H2534" s="474"/>
      <c r="I2534" s="475"/>
      <c r="J2534" s="476"/>
      <c r="K2534" s="5"/>
      <c r="L2534" s="3"/>
      <c r="M2534" s="6"/>
      <c r="N2534" s="9"/>
      <c r="O2534" s="9"/>
      <c r="P2534" s="12"/>
      <c r="Q2534" s="12"/>
      <c r="R2534" s="12"/>
      <c r="S2534" s="151"/>
      <c r="T2534" s="12"/>
      <c r="U2534" s="12"/>
      <c r="V2534" s="12"/>
      <c r="W2534" s="12"/>
      <c r="X2534" s="12"/>
      <c r="Y2534" s="12"/>
      <c r="Z2534" s="12"/>
    </row>
    <row r="2535" spans="1:26" ht="15.75" customHeight="1" x14ac:dyDescent="0.3">
      <c r="A2535" s="3"/>
      <c r="B2535" s="167"/>
      <c r="C2535" s="94"/>
      <c r="D2535" s="12"/>
      <c r="E2535" s="167"/>
      <c r="F2535" s="12"/>
      <c r="G2535" s="331"/>
      <c r="H2535" s="474"/>
      <c r="I2535" s="475"/>
      <c r="J2535" s="476"/>
      <c r="K2535" s="5"/>
      <c r="L2535" s="3"/>
      <c r="M2535" s="6"/>
      <c r="N2535" s="9"/>
      <c r="O2535" s="9"/>
      <c r="P2535" s="12"/>
      <c r="Q2535" s="12"/>
      <c r="R2535" s="12"/>
      <c r="S2535" s="151"/>
      <c r="T2535" s="12"/>
      <c r="U2535" s="12"/>
      <c r="V2535" s="12"/>
      <c r="W2535" s="12"/>
      <c r="X2535" s="12"/>
      <c r="Y2535" s="12"/>
      <c r="Z2535" s="12"/>
    </row>
    <row r="2536" spans="1:26" ht="15.75" customHeight="1" x14ac:dyDescent="0.3">
      <c r="A2536" s="3"/>
      <c r="B2536" s="167"/>
      <c r="C2536" s="94"/>
      <c r="D2536" s="12"/>
      <c r="E2536" s="167"/>
      <c r="F2536" s="12"/>
      <c r="G2536" s="331"/>
      <c r="H2536" s="474"/>
      <c r="I2536" s="475"/>
      <c r="J2536" s="476"/>
      <c r="K2536" s="5"/>
      <c r="L2536" s="3"/>
      <c r="M2536" s="6"/>
      <c r="N2536" s="9"/>
      <c r="O2536" s="9"/>
      <c r="P2536" s="12"/>
      <c r="Q2536" s="12"/>
      <c r="R2536" s="12"/>
      <c r="S2536" s="151"/>
      <c r="T2536" s="12"/>
      <c r="U2536" s="12"/>
      <c r="V2536" s="12"/>
      <c r="W2536" s="12"/>
      <c r="X2536" s="12"/>
      <c r="Y2536" s="12"/>
      <c r="Z2536" s="12"/>
    </row>
    <row r="2537" spans="1:26" ht="15.75" customHeight="1" x14ac:dyDescent="0.3">
      <c r="A2537" s="3"/>
      <c r="B2537" s="167"/>
      <c r="C2537" s="94"/>
      <c r="D2537" s="12"/>
      <c r="E2537" s="167"/>
      <c r="F2537" s="12"/>
      <c r="G2537" s="331"/>
      <c r="H2537" s="474"/>
      <c r="I2537" s="475"/>
      <c r="J2537" s="476"/>
      <c r="K2537" s="5"/>
      <c r="L2537" s="3"/>
      <c r="M2537" s="6"/>
      <c r="N2537" s="9"/>
      <c r="O2537" s="9"/>
      <c r="P2537" s="12"/>
      <c r="Q2537" s="12"/>
      <c r="R2537" s="12"/>
      <c r="S2537" s="151"/>
      <c r="T2537" s="12"/>
      <c r="U2537" s="12"/>
      <c r="V2537" s="12"/>
      <c r="W2537" s="12"/>
      <c r="X2537" s="12"/>
      <c r="Y2537" s="12"/>
      <c r="Z2537" s="12"/>
    </row>
    <row r="2538" spans="1:26" ht="15.75" customHeight="1" x14ac:dyDescent="0.3">
      <c r="A2538" s="3"/>
      <c r="B2538" s="167"/>
      <c r="C2538" s="94"/>
      <c r="D2538" s="12"/>
      <c r="E2538" s="167"/>
      <c r="F2538" s="12"/>
      <c r="G2538" s="331"/>
      <c r="H2538" s="474"/>
      <c r="I2538" s="475"/>
      <c r="J2538" s="476"/>
      <c r="K2538" s="5"/>
      <c r="L2538" s="3"/>
      <c r="M2538" s="6"/>
      <c r="N2538" s="9"/>
      <c r="O2538" s="9"/>
      <c r="P2538" s="12"/>
      <c r="Q2538" s="12"/>
      <c r="R2538" s="12"/>
      <c r="S2538" s="151"/>
      <c r="T2538" s="12"/>
      <c r="U2538" s="12"/>
      <c r="V2538" s="12"/>
      <c r="W2538" s="12"/>
      <c r="X2538" s="12"/>
      <c r="Y2538" s="12"/>
      <c r="Z2538" s="12"/>
    </row>
    <row r="2539" spans="1:26" ht="15.75" customHeight="1" x14ac:dyDescent="0.3">
      <c r="A2539" s="3"/>
      <c r="B2539" s="167"/>
      <c r="C2539" s="94"/>
      <c r="D2539" s="12"/>
      <c r="E2539" s="167"/>
      <c r="F2539" s="12"/>
      <c r="G2539" s="331"/>
      <c r="H2539" s="474"/>
      <c r="I2539" s="475"/>
      <c r="J2539" s="476"/>
      <c r="K2539" s="5"/>
      <c r="L2539" s="3"/>
      <c r="M2539" s="6"/>
      <c r="N2539" s="9"/>
      <c r="O2539" s="9"/>
      <c r="P2539" s="12"/>
      <c r="Q2539" s="12"/>
      <c r="R2539" s="12"/>
      <c r="S2539" s="151"/>
      <c r="T2539" s="12"/>
      <c r="U2539" s="12"/>
      <c r="V2539" s="12"/>
      <c r="W2539" s="12"/>
      <c r="X2539" s="12"/>
      <c r="Y2539" s="12"/>
      <c r="Z2539" s="12"/>
    </row>
    <row r="2540" spans="1:26" ht="15.75" customHeight="1" x14ac:dyDescent="0.3">
      <c r="A2540" s="3"/>
      <c r="B2540" s="167"/>
      <c r="C2540" s="94"/>
      <c r="D2540" s="12"/>
      <c r="E2540" s="167"/>
      <c r="F2540" s="12"/>
      <c r="G2540" s="331"/>
      <c r="H2540" s="474"/>
      <c r="I2540" s="475"/>
      <c r="J2540" s="476"/>
      <c r="K2540" s="5"/>
      <c r="L2540" s="3"/>
      <c r="M2540" s="6"/>
      <c r="N2540" s="9"/>
      <c r="O2540" s="9"/>
      <c r="P2540" s="12"/>
      <c r="Q2540" s="12"/>
      <c r="R2540" s="12"/>
      <c r="S2540" s="151"/>
      <c r="T2540" s="12"/>
      <c r="U2540" s="12"/>
      <c r="V2540" s="12"/>
      <c r="W2540" s="12"/>
      <c r="X2540" s="12"/>
      <c r="Y2540" s="12"/>
      <c r="Z2540" s="12"/>
    </row>
    <row r="2541" spans="1:26" ht="15.75" customHeight="1" x14ac:dyDescent="0.3">
      <c r="A2541" s="3"/>
      <c r="B2541" s="167"/>
      <c r="C2541" s="94"/>
      <c r="D2541" s="12"/>
      <c r="E2541" s="167"/>
      <c r="F2541" s="12"/>
      <c r="G2541" s="331"/>
      <c r="H2541" s="474"/>
      <c r="I2541" s="475"/>
      <c r="J2541" s="476"/>
      <c r="K2541" s="5"/>
      <c r="L2541" s="3"/>
      <c r="M2541" s="6"/>
      <c r="N2541" s="9"/>
      <c r="O2541" s="9"/>
      <c r="P2541" s="12"/>
      <c r="Q2541" s="12"/>
      <c r="R2541" s="12"/>
      <c r="S2541" s="151"/>
      <c r="T2541" s="12"/>
      <c r="U2541" s="12"/>
      <c r="V2541" s="12"/>
      <c r="W2541" s="12"/>
      <c r="X2541" s="12"/>
      <c r="Y2541" s="12"/>
      <c r="Z2541" s="12"/>
    </row>
    <row r="2542" spans="1:26" ht="15.75" customHeight="1" x14ac:dyDescent="0.3">
      <c r="A2542" s="3"/>
      <c r="B2542" s="167"/>
      <c r="C2542" s="94"/>
      <c r="D2542" s="12"/>
      <c r="E2542" s="167"/>
      <c r="F2542" s="12"/>
      <c r="G2542" s="331"/>
      <c r="H2542" s="474"/>
      <c r="I2542" s="475"/>
      <c r="J2542" s="476"/>
      <c r="K2542" s="5"/>
      <c r="L2542" s="3"/>
      <c r="M2542" s="6"/>
      <c r="N2542" s="9"/>
      <c r="O2542" s="9"/>
      <c r="P2542" s="12"/>
      <c r="Q2542" s="12"/>
      <c r="R2542" s="12"/>
      <c r="S2542" s="151"/>
      <c r="T2542" s="12"/>
      <c r="U2542" s="12"/>
      <c r="V2542" s="12"/>
      <c r="W2542" s="12"/>
      <c r="X2542" s="12"/>
      <c r="Y2542" s="12"/>
      <c r="Z2542" s="12"/>
    </row>
    <row r="2543" spans="1:26" ht="15.75" customHeight="1" x14ac:dyDescent="0.3">
      <c r="A2543" s="3"/>
      <c r="B2543" s="167"/>
      <c r="C2543" s="94"/>
      <c r="D2543" s="12"/>
      <c r="E2543" s="167"/>
      <c r="F2543" s="12"/>
      <c r="G2543" s="331"/>
      <c r="H2543" s="474"/>
      <c r="I2543" s="475"/>
      <c r="J2543" s="476"/>
      <c r="K2543" s="5"/>
      <c r="L2543" s="3"/>
      <c r="M2543" s="6"/>
      <c r="N2543" s="9"/>
      <c r="O2543" s="9"/>
      <c r="P2543" s="12"/>
      <c r="Q2543" s="12"/>
      <c r="R2543" s="12"/>
      <c r="S2543" s="151"/>
      <c r="T2543" s="12"/>
      <c r="U2543" s="12"/>
      <c r="V2543" s="12"/>
      <c r="W2543" s="12"/>
      <c r="X2543" s="12"/>
      <c r="Y2543" s="12"/>
      <c r="Z2543" s="12"/>
    </row>
    <row r="2544" spans="1:26" ht="15.75" customHeight="1" x14ac:dyDescent="0.3">
      <c r="A2544" s="3"/>
      <c r="B2544" s="167"/>
      <c r="C2544" s="94"/>
      <c r="D2544" s="12"/>
      <c r="E2544" s="167"/>
      <c r="F2544" s="12"/>
      <c r="G2544" s="331"/>
      <c r="H2544" s="474"/>
      <c r="I2544" s="475"/>
      <c r="J2544" s="476"/>
      <c r="K2544" s="5"/>
      <c r="L2544" s="3"/>
      <c r="M2544" s="6"/>
      <c r="N2544" s="9"/>
      <c r="O2544" s="9"/>
      <c r="P2544" s="12"/>
      <c r="Q2544" s="12"/>
      <c r="R2544" s="12"/>
      <c r="S2544" s="151"/>
      <c r="T2544" s="12"/>
      <c r="U2544" s="12"/>
      <c r="V2544" s="12"/>
      <c r="W2544" s="12"/>
      <c r="X2544" s="12"/>
      <c r="Y2544" s="12"/>
      <c r="Z2544" s="12"/>
    </row>
    <row r="2545" spans="1:26" ht="15.75" customHeight="1" x14ac:dyDescent="0.3">
      <c r="A2545" s="3"/>
      <c r="B2545" s="167"/>
      <c r="C2545" s="94"/>
      <c r="D2545" s="12"/>
      <c r="E2545" s="167"/>
      <c r="F2545" s="12"/>
      <c r="G2545" s="331"/>
      <c r="H2545" s="474"/>
      <c r="I2545" s="475"/>
      <c r="J2545" s="476"/>
      <c r="K2545" s="5"/>
      <c r="L2545" s="3"/>
      <c r="M2545" s="6"/>
      <c r="N2545" s="9"/>
      <c r="O2545" s="9"/>
      <c r="P2545" s="12"/>
      <c r="Q2545" s="12"/>
      <c r="R2545" s="12"/>
      <c r="S2545" s="151"/>
      <c r="T2545" s="12"/>
      <c r="U2545" s="12"/>
      <c r="V2545" s="12"/>
      <c r="W2545" s="12"/>
      <c r="X2545" s="12"/>
      <c r="Y2545" s="12"/>
      <c r="Z2545" s="12"/>
    </row>
    <row r="2546" spans="1:26" ht="15.75" customHeight="1" x14ac:dyDescent="0.3">
      <c r="A2546" s="3"/>
      <c r="B2546" s="167"/>
      <c r="C2546" s="94"/>
      <c r="D2546" s="12"/>
      <c r="E2546" s="167"/>
      <c r="F2546" s="12"/>
      <c r="G2546" s="331"/>
      <c r="H2546" s="474"/>
      <c r="I2546" s="475"/>
      <c r="J2546" s="476"/>
      <c r="K2546" s="5"/>
      <c r="L2546" s="3"/>
      <c r="M2546" s="6"/>
      <c r="N2546" s="9"/>
      <c r="O2546" s="9"/>
      <c r="P2546" s="12"/>
      <c r="Q2546" s="12"/>
      <c r="R2546" s="12"/>
      <c r="S2546" s="151"/>
      <c r="T2546" s="12"/>
      <c r="U2546" s="12"/>
      <c r="V2546" s="12"/>
      <c r="W2546" s="12"/>
      <c r="X2546" s="12"/>
      <c r="Y2546" s="12"/>
      <c r="Z2546" s="12"/>
    </row>
    <row r="2547" spans="1:26" ht="15.75" customHeight="1" x14ac:dyDescent="0.3">
      <c r="A2547" s="3"/>
      <c r="B2547" s="167"/>
      <c r="C2547" s="94"/>
      <c r="D2547" s="12"/>
      <c r="E2547" s="167"/>
      <c r="F2547" s="12"/>
      <c r="G2547" s="331"/>
      <c r="H2547" s="474"/>
      <c r="I2547" s="475"/>
      <c r="J2547" s="476"/>
      <c r="K2547" s="5"/>
      <c r="L2547" s="3"/>
      <c r="M2547" s="6"/>
      <c r="N2547" s="9"/>
      <c r="O2547" s="9"/>
      <c r="P2547" s="12"/>
      <c r="Q2547" s="12"/>
      <c r="R2547" s="12"/>
      <c r="S2547" s="151"/>
      <c r="T2547" s="12"/>
      <c r="U2547" s="12"/>
      <c r="V2547" s="12"/>
      <c r="W2547" s="12"/>
      <c r="X2547" s="12"/>
      <c r="Y2547" s="12"/>
      <c r="Z2547" s="12"/>
    </row>
    <row r="2548" spans="1:26" ht="15.75" customHeight="1" x14ac:dyDescent="0.3">
      <c r="A2548" s="3"/>
      <c r="B2548" s="167"/>
      <c r="C2548" s="94"/>
      <c r="D2548" s="12"/>
      <c r="E2548" s="167"/>
      <c r="F2548" s="12"/>
      <c r="G2548" s="331"/>
      <c r="H2548" s="474"/>
      <c r="I2548" s="475"/>
      <c r="J2548" s="476"/>
      <c r="K2548" s="5"/>
      <c r="L2548" s="3"/>
      <c r="M2548" s="6"/>
      <c r="N2548" s="9"/>
      <c r="O2548" s="9"/>
      <c r="P2548" s="12"/>
      <c r="Q2548" s="12"/>
      <c r="R2548" s="12"/>
      <c r="S2548" s="151"/>
      <c r="T2548" s="12"/>
      <c r="U2548" s="12"/>
      <c r="V2548" s="12"/>
      <c r="W2548" s="12"/>
      <c r="X2548" s="12"/>
      <c r="Y2548" s="12"/>
      <c r="Z2548" s="12"/>
    </row>
    <row r="2549" spans="1:26" ht="15.75" customHeight="1" x14ac:dyDescent="0.3">
      <c r="A2549" s="3"/>
      <c r="B2549" s="167"/>
      <c r="C2549" s="94"/>
      <c r="D2549" s="12"/>
      <c r="E2549" s="167"/>
      <c r="F2549" s="12"/>
      <c r="G2549" s="331"/>
      <c r="H2549" s="474"/>
      <c r="I2549" s="475"/>
      <c r="J2549" s="476"/>
      <c r="K2549" s="5"/>
      <c r="L2549" s="3"/>
      <c r="M2549" s="6"/>
      <c r="N2549" s="9"/>
      <c r="O2549" s="9"/>
      <c r="P2549" s="12"/>
      <c r="Q2549" s="12"/>
      <c r="R2549" s="12"/>
      <c r="S2549" s="151"/>
      <c r="T2549" s="12"/>
      <c r="U2549" s="12"/>
      <c r="V2549" s="12"/>
      <c r="W2549" s="12"/>
      <c r="X2549" s="12"/>
      <c r="Y2549" s="12"/>
      <c r="Z2549" s="12"/>
    </row>
    <row r="2550" spans="1:26" ht="15.75" customHeight="1" x14ac:dyDescent="0.3">
      <c r="A2550" s="3"/>
      <c r="B2550" s="167"/>
      <c r="C2550" s="94"/>
      <c r="D2550" s="12"/>
      <c r="E2550" s="167"/>
      <c r="F2550" s="12"/>
      <c r="G2550" s="331"/>
      <c r="H2550" s="474"/>
      <c r="I2550" s="475"/>
      <c r="J2550" s="476"/>
      <c r="K2550" s="5"/>
      <c r="L2550" s="3"/>
      <c r="M2550" s="6"/>
      <c r="N2550" s="9"/>
      <c r="O2550" s="9"/>
      <c r="P2550" s="12"/>
      <c r="Q2550" s="12"/>
      <c r="R2550" s="12"/>
      <c r="S2550" s="151"/>
      <c r="T2550" s="12"/>
      <c r="U2550" s="12"/>
      <c r="V2550" s="12"/>
      <c r="W2550" s="12"/>
      <c r="X2550" s="12"/>
      <c r="Y2550" s="12"/>
      <c r="Z2550" s="12"/>
    </row>
    <row r="2551" spans="1:26" ht="15.75" customHeight="1" x14ac:dyDescent="0.3">
      <c r="A2551" s="3"/>
      <c r="B2551" s="167"/>
      <c r="C2551" s="94"/>
      <c r="D2551" s="12"/>
      <c r="E2551" s="167"/>
      <c r="F2551" s="12"/>
      <c r="G2551" s="331"/>
      <c r="H2551" s="474"/>
      <c r="I2551" s="475"/>
      <c r="J2551" s="476"/>
      <c r="K2551" s="5"/>
      <c r="L2551" s="3"/>
      <c r="M2551" s="6"/>
      <c r="N2551" s="9"/>
      <c r="O2551" s="9"/>
      <c r="P2551" s="12"/>
      <c r="Q2551" s="12"/>
      <c r="R2551" s="12"/>
      <c r="S2551" s="151"/>
      <c r="T2551" s="12"/>
      <c r="U2551" s="12"/>
      <c r="V2551" s="12"/>
      <c r="W2551" s="12"/>
      <c r="X2551" s="12"/>
      <c r="Y2551" s="12"/>
      <c r="Z2551" s="12"/>
    </row>
    <row r="2552" spans="1:26" ht="15.75" customHeight="1" x14ac:dyDescent="0.3">
      <c r="A2552" s="3"/>
      <c r="B2552" s="167"/>
      <c r="C2552" s="94"/>
      <c r="D2552" s="12"/>
      <c r="E2552" s="167"/>
      <c r="F2552" s="12"/>
      <c r="G2552" s="331"/>
      <c r="H2552" s="474"/>
      <c r="I2552" s="475"/>
      <c r="J2552" s="476"/>
      <c r="K2552" s="5"/>
      <c r="L2552" s="3"/>
      <c r="M2552" s="6"/>
      <c r="N2552" s="9"/>
      <c r="O2552" s="9"/>
      <c r="P2552" s="12"/>
      <c r="Q2552" s="12"/>
      <c r="R2552" s="12"/>
      <c r="S2552" s="151"/>
      <c r="T2552" s="12"/>
      <c r="U2552" s="12"/>
      <c r="V2552" s="12"/>
      <c r="W2552" s="12"/>
      <c r="X2552" s="12"/>
      <c r="Y2552" s="12"/>
      <c r="Z2552" s="12"/>
    </row>
    <row r="2553" spans="1:26" ht="15.75" customHeight="1" x14ac:dyDescent="0.3">
      <c r="A2553" s="3"/>
      <c r="B2553" s="167"/>
      <c r="C2553" s="94"/>
      <c r="D2553" s="12"/>
      <c r="E2553" s="167"/>
      <c r="F2553" s="12"/>
      <c r="G2553" s="331"/>
      <c r="H2553" s="474"/>
      <c r="I2553" s="475"/>
      <c r="J2553" s="476"/>
      <c r="K2553" s="5"/>
      <c r="L2553" s="3"/>
      <c r="M2553" s="6"/>
      <c r="N2553" s="9"/>
      <c r="O2553" s="9"/>
      <c r="P2553" s="12"/>
      <c r="Q2553" s="12"/>
      <c r="R2553" s="12"/>
      <c r="S2553" s="151"/>
      <c r="T2553" s="12"/>
      <c r="U2553" s="12"/>
      <c r="V2553" s="12"/>
      <c r="W2553" s="12"/>
      <c r="X2553" s="12"/>
      <c r="Y2553" s="12"/>
      <c r="Z2553" s="12"/>
    </row>
    <row r="2554" spans="1:26" ht="15.75" customHeight="1" x14ac:dyDescent="0.3">
      <c r="A2554" s="3"/>
      <c r="B2554" s="167"/>
      <c r="C2554" s="94"/>
      <c r="D2554" s="12"/>
      <c r="E2554" s="167"/>
      <c r="F2554" s="12"/>
      <c r="G2554" s="331"/>
      <c r="H2554" s="474"/>
      <c r="I2554" s="475"/>
      <c r="J2554" s="476"/>
      <c r="K2554" s="5"/>
      <c r="L2554" s="3"/>
      <c r="M2554" s="6"/>
      <c r="N2554" s="9"/>
      <c r="O2554" s="9"/>
      <c r="P2554" s="12"/>
      <c r="Q2554" s="12"/>
      <c r="R2554" s="12"/>
      <c r="S2554" s="151"/>
      <c r="T2554" s="12"/>
      <c r="U2554" s="12"/>
      <c r="V2554" s="12"/>
      <c r="W2554" s="12"/>
      <c r="X2554" s="12"/>
      <c r="Y2554" s="12"/>
      <c r="Z2554" s="12"/>
    </row>
    <row r="2555" spans="1:26" ht="15.75" customHeight="1" x14ac:dyDescent="0.3">
      <c r="A2555" s="3"/>
      <c r="B2555" s="167"/>
      <c r="C2555" s="94"/>
      <c r="D2555" s="12"/>
      <c r="E2555" s="167"/>
      <c r="F2555" s="12"/>
      <c r="G2555" s="331"/>
      <c r="H2555" s="474"/>
      <c r="I2555" s="475"/>
      <c r="J2555" s="476"/>
      <c r="K2555" s="5"/>
      <c r="L2555" s="3"/>
      <c r="M2555" s="6"/>
      <c r="N2555" s="9"/>
      <c r="O2555" s="9"/>
      <c r="P2555" s="12"/>
      <c r="Q2555" s="12"/>
      <c r="R2555" s="12"/>
      <c r="S2555" s="151"/>
      <c r="T2555" s="12"/>
      <c r="U2555" s="12"/>
      <c r="V2555" s="12"/>
      <c r="W2555" s="12"/>
      <c r="X2555" s="12"/>
      <c r="Y2555" s="12"/>
      <c r="Z2555" s="12"/>
    </row>
    <row r="2556" spans="1:26" ht="15.75" customHeight="1" x14ac:dyDescent="0.3">
      <c r="A2556" s="3"/>
      <c r="B2556" s="167"/>
      <c r="C2556" s="94"/>
      <c r="D2556" s="12"/>
      <c r="E2556" s="167"/>
      <c r="F2556" s="12"/>
      <c r="G2556" s="331"/>
      <c r="H2556" s="474"/>
      <c r="I2556" s="475"/>
      <c r="J2556" s="476"/>
      <c r="K2556" s="5"/>
      <c r="L2556" s="3"/>
      <c r="M2556" s="6"/>
      <c r="N2556" s="9"/>
      <c r="O2556" s="9"/>
      <c r="P2556" s="12"/>
      <c r="Q2556" s="12"/>
      <c r="R2556" s="12"/>
      <c r="S2556" s="151"/>
      <c r="T2556" s="12"/>
      <c r="U2556" s="12"/>
      <c r="V2556" s="12"/>
      <c r="W2556" s="12"/>
      <c r="X2556" s="12"/>
      <c r="Y2556" s="12"/>
      <c r="Z2556" s="12"/>
    </row>
    <row r="2557" spans="1:26" ht="15.75" customHeight="1" x14ac:dyDescent="0.3">
      <c r="A2557" s="3"/>
      <c r="B2557" s="167"/>
      <c r="C2557" s="94"/>
      <c r="D2557" s="12"/>
      <c r="E2557" s="167"/>
      <c r="F2557" s="12"/>
      <c r="G2557" s="331"/>
      <c r="H2557" s="474"/>
      <c r="I2557" s="475"/>
      <c r="J2557" s="476"/>
      <c r="K2557" s="5"/>
      <c r="L2557" s="3"/>
      <c r="M2557" s="6"/>
      <c r="N2557" s="9"/>
      <c r="O2557" s="9"/>
      <c r="P2557" s="12"/>
      <c r="Q2557" s="12"/>
      <c r="R2557" s="12"/>
      <c r="S2557" s="151"/>
      <c r="T2557" s="12"/>
      <c r="U2557" s="12"/>
      <c r="V2557" s="12"/>
      <c r="W2557" s="12"/>
      <c r="X2557" s="12"/>
      <c r="Y2557" s="12"/>
      <c r="Z2557" s="12"/>
    </row>
    <row r="2558" spans="1:26" ht="15.75" customHeight="1" x14ac:dyDescent="0.3">
      <c r="A2558" s="3"/>
      <c r="B2558" s="167"/>
      <c r="C2558" s="94"/>
      <c r="D2558" s="12"/>
      <c r="E2558" s="167"/>
      <c r="F2558" s="12"/>
      <c r="G2558" s="331"/>
      <c r="H2558" s="474"/>
      <c r="I2558" s="475"/>
      <c r="J2558" s="476"/>
      <c r="K2558" s="5"/>
      <c r="L2558" s="3"/>
      <c r="M2558" s="6"/>
      <c r="N2558" s="9"/>
      <c r="O2558" s="9"/>
      <c r="P2558" s="12"/>
      <c r="Q2558" s="12"/>
      <c r="R2558" s="12"/>
      <c r="S2558" s="151"/>
      <c r="T2558" s="12"/>
      <c r="U2558" s="12"/>
      <c r="V2558" s="12"/>
      <c r="W2558" s="12"/>
      <c r="X2558" s="12"/>
      <c r="Y2558" s="12"/>
      <c r="Z2558" s="12"/>
    </row>
    <row r="2559" spans="1:26" ht="15.75" customHeight="1" x14ac:dyDescent="0.3">
      <c r="A2559" s="3"/>
      <c r="B2559" s="167"/>
      <c r="C2559" s="94"/>
      <c r="D2559" s="12"/>
      <c r="E2559" s="167"/>
      <c r="F2559" s="12"/>
      <c r="G2559" s="331"/>
      <c r="H2559" s="474"/>
      <c r="I2559" s="475"/>
      <c r="J2559" s="476"/>
      <c r="K2559" s="5"/>
      <c r="L2559" s="3"/>
      <c r="M2559" s="6"/>
      <c r="N2559" s="9"/>
      <c r="O2559" s="9"/>
      <c r="P2559" s="12"/>
      <c r="Q2559" s="12"/>
      <c r="R2559" s="12"/>
      <c r="S2559" s="151"/>
      <c r="T2559" s="12"/>
      <c r="U2559" s="12"/>
      <c r="V2559" s="12"/>
      <c r="W2559" s="12"/>
      <c r="X2559" s="12"/>
      <c r="Y2559" s="12"/>
      <c r="Z2559" s="12"/>
    </row>
    <row r="2560" spans="1:26" ht="15.75" customHeight="1" x14ac:dyDescent="0.3">
      <c r="A2560" s="3"/>
      <c r="B2560" s="167"/>
      <c r="C2560" s="94"/>
      <c r="D2560" s="12"/>
      <c r="E2560" s="167"/>
      <c r="F2560" s="12"/>
      <c r="G2560" s="331"/>
      <c r="H2560" s="474"/>
      <c r="I2560" s="475"/>
      <c r="J2560" s="476"/>
      <c r="K2560" s="5"/>
      <c r="L2560" s="3"/>
      <c r="M2560" s="6"/>
      <c r="N2560" s="9"/>
      <c r="O2560" s="9"/>
      <c r="P2560" s="12"/>
      <c r="Q2560" s="12"/>
      <c r="R2560" s="12"/>
      <c r="S2560" s="151"/>
      <c r="T2560" s="12"/>
      <c r="U2560" s="12"/>
      <c r="V2560" s="12"/>
      <c r="W2560" s="12"/>
      <c r="X2560" s="12"/>
      <c r="Y2560" s="12"/>
      <c r="Z2560" s="12"/>
    </row>
    <row r="2561" spans="1:26" ht="15.75" customHeight="1" x14ac:dyDescent="0.3">
      <c r="A2561" s="3"/>
      <c r="B2561" s="167"/>
      <c r="C2561" s="94"/>
      <c r="D2561" s="12"/>
      <c r="E2561" s="167"/>
      <c r="F2561" s="12"/>
      <c r="G2561" s="331"/>
      <c r="H2561" s="474"/>
      <c r="I2561" s="475"/>
      <c r="J2561" s="476"/>
      <c r="K2561" s="5"/>
      <c r="L2561" s="3"/>
      <c r="M2561" s="6"/>
      <c r="N2561" s="9"/>
      <c r="O2561" s="9"/>
      <c r="P2561" s="12"/>
      <c r="Q2561" s="12"/>
      <c r="R2561" s="12"/>
      <c r="S2561" s="151"/>
      <c r="T2561" s="12"/>
      <c r="U2561" s="12"/>
      <c r="V2561" s="12"/>
      <c r="W2561" s="12"/>
      <c r="X2561" s="12"/>
      <c r="Y2561" s="12"/>
      <c r="Z2561" s="12"/>
    </row>
    <row r="2562" spans="1:26" ht="15.75" customHeight="1" x14ac:dyDescent="0.3">
      <c r="A2562" s="3"/>
      <c r="B2562" s="167"/>
      <c r="C2562" s="94"/>
      <c r="D2562" s="12"/>
      <c r="E2562" s="167"/>
      <c r="F2562" s="12"/>
      <c r="G2562" s="331"/>
      <c r="H2562" s="474"/>
      <c r="I2562" s="475"/>
      <c r="J2562" s="476"/>
      <c r="K2562" s="5"/>
      <c r="L2562" s="3"/>
      <c r="M2562" s="6"/>
      <c r="N2562" s="9"/>
      <c r="O2562" s="9"/>
      <c r="P2562" s="12"/>
      <c r="Q2562" s="12"/>
      <c r="R2562" s="12"/>
      <c r="S2562" s="151"/>
      <c r="T2562" s="12"/>
      <c r="U2562" s="12"/>
      <c r="V2562" s="12"/>
      <c r="W2562" s="12"/>
      <c r="X2562" s="12"/>
      <c r="Y2562" s="12"/>
      <c r="Z2562" s="12"/>
    </row>
    <row r="2563" spans="1:26" ht="15.75" customHeight="1" x14ac:dyDescent="0.3">
      <c r="A2563" s="3"/>
      <c r="B2563" s="167"/>
      <c r="C2563" s="94"/>
      <c r="D2563" s="12"/>
      <c r="E2563" s="167"/>
      <c r="F2563" s="12"/>
      <c r="G2563" s="331"/>
      <c r="H2563" s="474"/>
      <c r="I2563" s="475"/>
      <c r="J2563" s="476"/>
      <c r="K2563" s="5"/>
      <c r="L2563" s="3"/>
      <c r="M2563" s="6"/>
      <c r="N2563" s="9"/>
      <c r="O2563" s="9"/>
      <c r="P2563" s="12"/>
      <c r="Q2563" s="12"/>
      <c r="R2563" s="12"/>
      <c r="S2563" s="151"/>
      <c r="T2563" s="12"/>
      <c r="U2563" s="12"/>
      <c r="V2563" s="12"/>
      <c r="W2563" s="12"/>
      <c r="X2563" s="12"/>
      <c r="Y2563" s="12"/>
      <c r="Z2563" s="12"/>
    </row>
    <row r="2564" spans="1:26" ht="15.75" customHeight="1" x14ac:dyDescent="0.3">
      <c r="A2564" s="3"/>
      <c r="B2564" s="167"/>
      <c r="C2564" s="94"/>
      <c r="D2564" s="12"/>
      <c r="E2564" s="167"/>
      <c r="F2564" s="12"/>
      <c r="G2564" s="331"/>
      <c r="H2564" s="474"/>
      <c r="I2564" s="475"/>
      <c r="J2564" s="476"/>
      <c r="K2564" s="5"/>
      <c r="L2564" s="3"/>
      <c r="M2564" s="6"/>
      <c r="N2564" s="9"/>
      <c r="O2564" s="9"/>
      <c r="P2564" s="12"/>
      <c r="Q2564" s="12"/>
      <c r="R2564" s="12"/>
      <c r="S2564" s="151"/>
      <c r="T2564" s="12"/>
      <c r="U2564" s="12"/>
      <c r="V2564" s="12"/>
      <c r="W2564" s="12"/>
      <c r="X2564" s="12"/>
      <c r="Y2564" s="12"/>
      <c r="Z2564" s="12"/>
    </row>
    <row r="2565" spans="1:26" ht="15.75" customHeight="1" x14ac:dyDescent="0.3">
      <c r="A2565" s="3"/>
      <c r="B2565" s="167"/>
      <c r="C2565" s="94"/>
      <c r="D2565" s="12"/>
      <c r="E2565" s="167"/>
      <c r="F2565" s="12"/>
      <c r="G2565" s="331"/>
      <c r="H2565" s="474"/>
      <c r="I2565" s="475"/>
      <c r="J2565" s="476"/>
      <c r="K2565" s="5"/>
      <c r="L2565" s="3"/>
      <c r="M2565" s="6"/>
      <c r="N2565" s="9"/>
      <c r="O2565" s="9"/>
      <c r="P2565" s="12"/>
      <c r="Q2565" s="12"/>
      <c r="R2565" s="12"/>
      <c r="S2565" s="151"/>
      <c r="T2565" s="12"/>
      <c r="U2565" s="12"/>
      <c r="V2565" s="12"/>
      <c r="W2565" s="12"/>
      <c r="X2565" s="12"/>
      <c r="Y2565" s="12"/>
      <c r="Z2565" s="12"/>
    </row>
    <row r="2566" spans="1:26" ht="15.75" customHeight="1" x14ac:dyDescent="0.3">
      <c r="A2566" s="3"/>
      <c r="B2566" s="167"/>
      <c r="C2566" s="94"/>
      <c r="D2566" s="12"/>
      <c r="E2566" s="167"/>
      <c r="F2566" s="12"/>
      <c r="G2566" s="331"/>
      <c r="H2566" s="474"/>
      <c r="I2566" s="475"/>
      <c r="J2566" s="476"/>
      <c r="K2566" s="5"/>
      <c r="L2566" s="3"/>
      <c r="M2566" s="6"/>
      <c r="N2566" s="9"/>
      <c r="O2566" s="9"/>
      <c r="P2566" s="12"/>
      <c r="Q2566" s="12"/>
      <c r="R2566" s="12"/>
      <c r="S2566" s="151"/>
      <c r="T2566" s="12"/>
      <c r="U2566" s="12"/>
      <c r="V2566" s="12"/>
      <c r="W2566" s="12"/>
      <c r="X2566" s="12"/>
      <c r="Y2566" s="12"/>
      <c r="Z2566" s="12"/>
    </row>
    <row r="2567" spans="1:26" ht="15.75" customHeight="1" x14ac:dyDescent="0.3">
      <c r="A2567" s="3"/>
      <c r="B2567" s="167"/>
      <c r="C2567" s="94"/>
      <c r="D2567" s="12"/>
      <c r="E2567" s="167"/>
      <c r="F2567" s="12"/>
      <c r="G2567" s="331"/>
      <c r="H2567" s="474"/>
      <c r="I2567" s="475"/>
      <c r="J2567" s="476"/>
      <c r="K2567" s="5"/>
      <c r="L2567" s="3"/>
      <c r="M2567" s="6"/>
      <c r="N2567" s="9"/>
      <c r="O2567" s="9"/>
      <c r="P2567" s="12"/>
      <c r="Q2567" s="12"/>
      <c r="R2567" s="12"/>
      <c r="S2567" s="151"/>
      <c r="T2567" s="12"/>
      <c r="U2567" s="12"/>
      <c r="V2567" s="12"/>
      <c r="W2567" s="12"/>
      <c r="X2567" s="12"/>
      <c r="Y2567" s="12"/>
      <c r="Z2567" s="12"/>
    </row>
    <row r="2568" spans="1:26" ht="15.75" customHeight="1" x14ac:dyDescent="0.3">
      <c r="A2568" s="3"/>
      <c r="B2568" s="167"/>
      <c r="C2568" s="94"/>
      <c r="D2568" s="12"/>
      <c r="E2568" s="167"/>
      <c r="F2568" s="12"/>
      <c r="G2568" s="331"/>
      <c r="H2568" s="474"/>
      <c r="I2568" s="475"/>
      <c r="J2568" s="476"/>
      <c r="K2568" s="5"/>
      <c r="L2568" s="3"/>
      <c r="M2568" s="6"/>
      <c r="N2568" s="9"/>
      <c r="O2568" s="9"/>
      <c r="P2568" s="12"/>
      <c r="Q2568" s="12"/>
      <c r="R2568" s="12"/>
      <c r="S2568" s="151"/>
      <c r="T2568" s="12"/>
      <c r="U2568" s="12"/>
      <c r="V2568" s="12"/>
      <c r="W2568" s="12"/>
      <c r="X2568" s="12"/>
      <c r="Y2568" s="12"/>
      <c r="Z2568" s="12"/>
    </row>
    <row r="2569" spans="1:26" ht="15.75" customHeight="1" x14ac:dyDescent="0.3">
      <c r="A2569" s="3"/>
      <c r="B2569" s="167"/>
      <c r="C2569" s="94"/>
      <c r="D2569" s="12"/>
      <c r="E2569" s="167"/>
      <c r="F2569" s="12"/>
      <c r="G2569" s="331"/>
      <c r="H2569" s="474"/>
      <c r="I2569" s="475"/>
      <c r="J2569" s="476"/>
      <c r="K2569" s="5"/>
      <c r="L2569" s="3"/>
      <c r="M2569" s="6"/>
      <c r="N2569" s="9"/>
      <c r="O2569" s="9"/>
      <c r="P2569" s="12"/>
      <c r="Q2569" s="12"/>
      <c r="R2569" s="12"/>
      <c r="S2569" s="151"/>
      <c r="T2569" s="12"/>
      <c r="U2569" s="12"/>
      <c r="V2569" s="12"/>
      <c r="W2569" s="12"/>
      <c r="X2569" s="12"/>
      <c r="Y2569" s="12"/>
      <c r="Z2569" s="12"/>
    </row>
    <row r="2570" spans="1:26" ht="15.75" customHeight="1" x14ac:dyDescent="0.3">
      <c r="A2570" s="3"/>
      <c r="B2570" s="167"/>
      <c r="C2570" s="94"/>
      <c r="D2570" s="12"/>
      <c r="E2570" s="167"/>
      <c r="F2570" s="12"/>
      <c r="G2570" s="331"/>
      <c r="H2570" s="474"/>
      <c r="I2570" s="475"/>
      <c r="J2570" s="476"/>
      <c r="K2570" s="5"/>
      <c r="L2570" s="3"/>
      <c r="M2570" s="6"/>
      <c r="N2570" s="9"/>
      <c r="O2570" s="9"/>
      <c r="P2570" s="12"/>
      <c r="Q2570" s="12"/>
      <c r="R2570" s="12"/>
      <c r="S2570" s="151"/>
      <c r="T2570" s="12"/>
      <c r="U2570" s="12"/>
      <c r="V2570" s="12"/>
      <c r="W2570" s="12"/>
      <c r="X2570" s="12"/>
      <c r="Y2570" s="12"/>
      <c r="Z2570" s="12"/>
    </row>
    <row r="2571" spans="1:26" ht="15.75" customHeight="1" x14ac:dyDescent="0.3">
      <c r="A2571" s="3"/>
      <c r="B2571" s="167"/>
      <c r="C2571" s="94"/>
      <c r="D2571" s="12"/>
      <c r="E2571" s="167"/>
      <c r="F2571" s="12"/>
      <c r="G2571" s="331"/>
      <c r="H2571" s="474"/>
      <c r="I2571" s="475"/>
      <c r="J2571" s="476"/>
      <c r="K2571" s="5"/>
      <c r="L2571" s="3"/>
      <c r="M2571" s="6"/>
      <c r="N2571" s="9"/>
      <c r="O2571" s="9"/>
      <c r="P2571" s="12"/>
      <c r="Q2571" s="12"/>
      <c r="R2571" s="12"/>
      <c r="S2571" s="151"/>
      <c r="T2571" s="12"/>
      <c r="U2571" s="12"/>
      <c r="V2571" s="12"/>
      <c r="W2571" s="12"/>
      <c r="X2571" s="12"/>
      <c r="Y2571" s="12"/>
      <c r="Z2571" s="12"/>
    </row>
    <row r="2572" spans="1:26" ht="15.75" customHeight="1" x14ac:dyDescent="0.3">
      <c r="A2572" s="3"/>
      <c r="B2572" s="167"/>
      <c r="C2572" s="94"/>
      <c r="D2572" s="12"/>
      <c r="E2572" s="167"/>
      <c r="F2572" s="12"/>
      <c r="G2572" s="331"/>
      <c r="H2572" s="474"/>
      <c r="I2572" s="475"/>
      <c r="J2572" s="476"/>
      <c r="K2572" s="5"/>
      <c r="L2572" s="3"/>
      <c r="M2572" s="6"/>
      <c r="N2572" s="9"/>
      <c r="O2572" s="9"/>
      <c r="P2572" s="12"/>
      <c r="Q2572" s="12"/>
      <c r="R2572" s="12"/>
      <c r="S2572" s="151"/>
      <c r="T2572" s="12"/>
      <c r="U2572" s="12"/>
      <c r="V2572" s="12"/>
      <c r="W2572" s="12"/>
      <c r="X2572" s="12"/>
      <c r="Y2572" s="12"/>
      <c r="Z2572" s="12"/>
    </row>
    <row r="2573" spans="1:26" ht="15.75" customHeight="1" x14ac:dyDescent="0.3">
      <c r="A2573" s="3"/>
      <c r="B2573" s="167"/>
      <c r="C2573" s="94"/>
      <c r="D2573" s="12"/>
      <c r="E2573" s="167"/>
      <c r="F2573" s="12"/>
      <c r="G2573" s="331"/>
      <c r="H2573" s="474"/>
      <c r="I2573" s="475"/>
      <c r="J2573" s="476"/>
      <c r="K2573" s="5"/>
      <c r="L2573" s="3"/>
      <c r="M2573" s="6"/>
      <c r="N2573" s="9"/>
      <c r="O2573" s="9"/>
      <c r="P2573" s="12"/>
      <c r="Q2573" s="12"/>
      <c r="R2573" s="12"/>
      <c r="S2573" s="151"/>
      <c r="T2573" s="12"/>
      <c r="U2573" s="12"/>
      <c r="V2573" s="12"/>
      <c r="W2573" s="12"/>
      <c r="X2573" s="12"/>
      <c r="Y2573" s="12"/>
      <c r="Z2573" s="12"/>
    </row>
    <row r="2574" spans="1:26" ht="15.75" customHeight="1" x14ac:dyDescent="0.3">
      <c r="A2574" s="3"/>
      <c r="B2574" s="167"/>
      <c r="C2574" s="94"/>
      <c r="D2574" s="12"/>
      <c r="E2574" s="167"/>
      <c r="F2574" s="12"/>
      <c r="G2574" s="331"/>
      <c r="H2574" s="474"/>
      <c r="I2574" s="475"/>
      <c r="J2574" s="476"/>
      <c r="K2574" s="5"/>
      <c r="L2574" s="3"/>
      <c r="M2574" s="6"/>
      <c r="N2574" s="9"/>
      <c r="O2574" s="9"/>
      <c r="P2574" s="12"/>
      <c r="Q2574" s="12"/>
      <c r="R2574" s="12"/>
      <c r="S2574" s="151"/>
      <c r="T2574" s="12"/>
      <c r="U2574" s="12"/>
      <c r="V2574" s="12"/>
      <c r="W2574" s="12"/>
      <c r="X2574" s="12"/>
      <c r="Y2574" s="12"/>
      <c r="Z2574" s="12"/>
    </row>
    <row r="2575" spans="1:26" ht="15.75" customHeight="1" x14ac:dyDescent="0.3">
      <c r="A2575" s="3"/>
      <c r="B2575" s="167"/>
      <c r="C2575" s="94"/>
      <c r="D2575" s="12"/>
      <c r="E2575" s="167"/>
      <c r="F2575" s="12"/>
      <c r="G2575" s="331"/>
      <c r="H2575" s="474"/>
      <c r="I2575" s="475"/>
      <c r="J2575" s="476"/>
      <c r="K2575" s="5"/>
      <c r="L2575" s="3"/>
      <c r="M2575" s="6"/>
      <c r="N2575" s="9"/>
      <c r="O2575" s="9"/>
      <c r="P2575" s="12"/>
      <c r="Q2575" s="12"/>
      <c r="R2575" s="12"/>
      <c r="S2575" s="151"/>
      <c r="T2575" s="12"/>
      <c r="U2575" s="12"/>
      <c r="V2575" s="12"/>
      <c r="W2575" s="12"/>
      <c r="X2575" s="12"/>
      <c r="Y2575" s="12"/>
      <c r="Z2575" s="12"/>
    </row>
    <row r="2576" spans="1:26" ht="15.75" customHeight="1" x14ac:dyDescent="0.3">
      <c r="A2576" s="3"/>
      <c r="B2576" s="167"/>
      <c r="C2576" s="94"/>
      <c r="D2576" s="12"/>
      <c r="E2576" s="167"/>
      <c r="F2576" s="12"/>
      <c r="G2576" s="331"/>
      <c r="H2576" s="474"/>
      <c r="I2576" s="475"/>
      <c r="J2576" s="476"/>
      <c r="K2576" s="5"/>
      <c r="L2576" s="3"/>
      <c r="M2576" s="6"/>
      <c r="N2576" s="9"/>
      <c r="O2576" s="9"/>
      <c r="P2576" s="12"/>
      <c r="Q2576" s="12"/>
      <c r="R2576" s="12"/>
      <c r="S2576" s="151"/>
      <c r="T2576" s="12"/>
      <c r="U2576" s="12"/>
      <c r="V2576" s="12"/>
      <c r="W2576" s="12"/>
      <c r="X2576" s="12"/>
      <c r="Y2576" s="12"/>
      <c r="Z2576" s="12"/>
    </row>
    <row r="2577" spans="1:26" ht="15.75" customHeight="1" x14ac:dyDescent="0.3">
      <c r="A2577" s="3"/>
      <c r="B2577" s="167"/>
      <c r="C2577" s="94"/>
      <c r="D2577" s="12"/>
      <c r="E2577" s="167"/>
      <c r="F2577" s="12"/>
      <c r="G2577" s="331"/>
      <c r="H2577" s="474"/>
      <c r="I2577" s="475"/>
      <c r="J2577" s="476"/>
      <c r="K2577" s="5"/>
      <c r="L2577" s="3"/>
      <c r="M2577" s="6"/>
      <c r="N2577" s="9"/>
      <c r="O2577" s="9"/>
      <c r="P2577" s="12"/>
      <c r="Q2577" s="12"/>
      <c r="R2577" s="12"/>
      <c r="S2577" s="151"/>
      <c r="T2577" s="12"/>
      <c r="U2577" s="12"/>
      <c r="V2577" s="12"/>
      <c r="W2577" s="12"/>
      <c r="X2577" s="12"/>
      <c r="Y2577" s="12"/>
      <c r="Z2577" s="12"/>
    </row>
    <row r="2578" spans="1:26" ht="15.75" customHeight="1" x14ac:dyDescent="0.3">
      <c r="A2578" s="3"/>
      <c r="B2578" s="167"/>
      <c r="C2578" s="94"/>
      <c r="D2578" s="12"/>
      <c r="E2578" s="167"/>
      <c r="F2578" s="12"/>
      <c r="G2578" s="331"/>
      <c r="H2578" s="474"/>
      <c r="I2578" s="475"/>
      <c r="J2578" s="476"/>
      <c r="K2578" s="5"/>
      <c r="L2578" s="3"/>
      <c r="M2578" s="6"/>
      <c r="N2578" s="9"/>
      <c r="O2578" s="9"/>
      <c r="P2578" s="12"/>
      <c r="Q2578" s="12"/>
      <c r="R2578" s="12"/>
      <c r="S2578" s="151"/>
      <c r="T2578" s="12"/>
      <c r="U2578" s="12"/>
      <c r="V2578" s="12"/>
      <c r="W2578" s="12"/>
      <c r="X2578" s="12"/>
      <c r="Y2578" s="12"/>
      <c r="Z2578" s="12"/>
    </row>
    <row r="2579" spans="1:26" ht="15.75" customHeight="1" x14ac:dyDescent="0.3">
      <c r="A2579" s="3"/>
      <c r="B2579" s="167"/>
      <c r="C2579" s="94"/>
      <c r="D2579" s="12"/>
      <c r="E2579" s="167"/>
      <c r="F2579" s="12"/>
      <c r="G2579" s="331"/>
      <c r="H2579" s="474"/>
      <c r="I2579" s="475"/>
      <c r="J2579" s="476"/>
      <c r="K2579" s="5"/>
      <c r="L2579" s="3"/>
      <c r="M2579" s="6"/>
      <c r="N2579" s="9"/>
      <c r="O2579" s="9"/>
      <c r="P2579" s="12"/>
      <c r="Q2579" s="12"/>
      <c r="R2579" s="12"/>
      <c r="S2579" s="151"/>
      <c r="T2579" s="12"/>
      <c r="U2579" s="12"/>
      <c r="V2579" s="12"/>
      <c r="W2579" s="12"/>
      <c r="X2579" s="12"/>
      <c r="Y2579" s="12"/>
      <c r="Z2579" s="12"/>
    </row>
    <row r="2580" spans="1:26" ht="15.75" customHeight="1" x14ac:dyDescent="0.3">
      <c r="A2580" s="3"/>
      <c r="B2580" s="167"/>
      <c r="C2580" s="94"/>
      <c r="D2580" s="12"/>
      <c r="E2580" s="167"/>
      <c r="F2580" s="12"/>
      <c r="G2580" s="331"/>
      <c r="H2580" s="474"/>
      <c r="I2580" s="475"/>
      <c r="J2580" s="476"/>
      <c r="K2580" s="5"/>
      <c r="L2580" s="3"/>
      <c r="M2580" s="6"/>
      <c r="N2580" s="9"/>
      <c r="O2580" s="9"/>
      <c r="P2580" s="12"/>
      <c r="Q2580" s="12"/>
      <c r="R2580" s="12"/>
      <c r="S2580" s="151"/>
      <c r="T2580" s="12"/>
      <c r="U2580" s="12"/>
      <c r="V2580" s="12"/>
      <c r="W2580" s="12"/>
      <c r="X2580" s="12"/>
      <c r="Y2580" s="12"/>
      <c r="Z2580" s="12"/>
    </row>
    <row r="2581" spans="1:26" ht="15.75" customHeight="1" x14ac:dyDescent="0.3">
      <c r="A2581" s="3"/>
      <c r="B2581" s="167"/>
      <c r="C2581" s="94"/>
      <c r="D2581" s="12"/>
      <c r="E2581" s="167"/>
      <c r="F2581" s="12"/>
      <c r="G2581" s="331"/>
      <c r="H2581" s="474"/>
      <c r="I2581" s="475"/>
      <c r="J2581" s="476"/>
      <c r="K2581" s="5"/>
      <c r="L2581" s="3"/>
      <c r="M2581" s="6"/>
      <c r="N2581" s="9"/>
      <c r="O2581" s="9"/>
      <c r="P2581" s="12"/>
      <c r="Q2581" s="12"/>
      <c r="R2581" s="12"/>
      <c r="S2581" s="151"/>
      <c r="T2581" s="12"/>
      <c r="U2581" s="12"/>
      <c r="V2581" s="12"/>
      <c r="W2581" s="12"/>
      <c r="X2581" s="12"/>
      <c r="Y2581" s="12"/>
      <c r="Z2581" s="12"/>
    </row>
    <row r="2582" spans="1:26" ht="15.75" customHeight="1" x14ac:dyDescent="0.3">
      <c r="A2582" s="3"/>
      <c r="B2582" s="167"/>
      <c r="C2582" s="94"/>
      <c r="D2582" s="12"/>
      <c r="E2582" s="167"/>
      <c r="F2582" s="12"/>
      <c r="G2582" s="331"/>
      <c r="H2582" s="474"/>
      <c r="I2582" s="475"/>
      <c r="J2582" s="476"/>
      <c r="K2582" s="5"/>
      <c r="L2582" s="3"/>
      <c r="M2582" s="6"/>
      <c r="N2582" s="9"/>
      <c r="O2582" s="9"/>
      <c r="P2582" s="12"/>
      <c r="Q2582" s="12"/>
      <c r="R2582" s="12"/>
      <c r="S2582" s="151"/>
      <c r="T2582" s="12"/>
      <c r="U2582" s="12"/>
      <c r="V2582" s="12"/>
      <c r="W2582" s="12"/>
      <c r="X2582" s="12"/>
      <c r="Y2582" s="12"/>
      <c r="Z2582" s="12"/>
    </row>
    <row r="2583" spans="1:26" ht="15.75" customHeight="1" x14ac:dyDescent="0.3">
      <c r="A2583" s="3"/>
      <c r="B2583" s="167"/>
      <c r="C2583" s="94"/>
      <c r="D2583" s="12"/>
      <c r="E2583" s="167"/>
      <c r="F2583" s="12"/>
      <c r="G2583" s="331"/>
      <c r="H2583" s="474"/>
      <c r="I2583" s="475"/>
      <c r="J2583" s="476"/>
      <c r="K2583" s="5"/>
      <c r="L2583" s="3"/>
      <c r="M2583" s="6"/>
      <c r="N2583" s="9"/>
      <c r="O2583" s="9"/>
      <c r="P2583" s="12"/>
      <c r="Q2583" s="12"/>
      <c r="R2583" s="12"/>
      <c r="S2583" s="151"/>
      <c r="T2583" s="12"/>
      <c r="U2583" s="12"/>
      <c r="V2583" s="12"/>
      <c r="W2583" s="12"/>
      <c r="X2583" s="12"/>
      <c r="Y2583" s="12"/>
      <c r="Z2583" s="12"/>
    </row>
    <row r="2584" spans="1:26" ht="15.75" customHeight="1" x14ac:dyDescent="0.3">
      <c r="A2584" s="3"/>
      <c r="B2584" s="167"/>
      <c r="C2584" s="94"/>
      <c r="D2584" s="12"/>
      <c r="E2584" s="167"/>
      <c r="F2584" s="12"/>
      <c r="G2584" s="331"/>
      <c r="H2584" s="474"/>
      <c r="I2584" s="475"/>
      <c r="J2584" s="476"/>
      <c r="K2584" s="5"/>
      <c r="L2584" s="3"/>
      <c r="M2584" s="6"/>
      <c r="N2584" s="9"/>
      <c r="O2584" s="9"/>
      <c r="P2584" s="12"/>
      <c r="Q2584" s="12"/>
      <c r="R2584" s="12"/>
      <c r="S2584" s="151"/>
      <c r="T2584" s="12"/>
      <c r="U2584" s="12"/>
      <c r="V2584" s="12"/>
      <c r="W2584" s="12"/>
      <c r="X2584" s="12"/>
      <c r="Y2584" s="12"/>
      <c r="Z2584" s="12"/>
    </row>
    <row r="2585" spans="1:26" ht="15.75" customHeight="1" x14ac:dyDescent="0.3">
      <c r="A2585" s="3"/>
      <c r="B2585" s="167"/>
      <c r="C2585" s="94"/>
      <c r="D2585" s="12"/>
      <c r="E2585" s="167"/>
      <c r="F2585" s="12"/>
      <c r="G2585" s="331"/>
      <c r="H2585" s="474"/>
      <c r="I2585" s="475"/>
      <c r="J2585" s="476"/>
      <c r="K2585" s="5"/>
      <c r="L2585" s="3"/>
      <c r="M2585" s="6"/>
      <c r="N2585" s="9"/>
      <c r="O2585" s="9"/>
      <c r="P2585" s="12"/>
      <c r="Q2585" s="12"/>
      <c r="R2585" s="12"/>
      <c r="S2585" s="151"/>
      <c r="T2585" s="12"/>
      <c r="U2585" s="12"/>
      <c r="V2585" s="12"/>
      <c r="W2585" s="12"/>
      <c r="X2585" s="12"/>
      <c r="Y2585" s="12"/>
      <c r="Z2585" s="12"/>
    </row>
    <row r="2586" spans="1:26" ht="15.75" customHeight="1" x14ac:dyDescent="0.3">
      <c r="A2586" s="3"/>
      <c r="B2586" s="167"/>
      <c r="C2586" s="94"/>
      <c r="D2586" s="12"/>
      <c r="E2586" s="167"/>
      <c r="F2586" s="12"/>
      <c r="G2586" s="331"/>
      <c r="H2586" s="474"/>
      <c r="I2586" s="475"/>
      <c r="J2586" s="476"/>
      <c r="K2586" s="5"/>
      <c r="L2586" s="3"/>
      <c r="M2586" s="6"/>
      <c r="N2586" s="9"/>
      <c r="O2586" s="9"/>
      <c r="P2586" s="12"/>
      <c r="Q2586" s="12"/>
      <c r="R2586" s="12"/>
      <c r="S2586" s="151"/>
      <c r="T2586" s="12"/>
      <c r="U2586" s="12"/>
      <c r="V2586" s="12"/>
      <c r="W2586" s="12"/>
      <c r="X2586" s="12"/>
      <c r="Y2586" s="12"/>
      <c r="Z2586" s="12"/>
    </row>
    <row r="2587" spans="1:26" ht="15.75" customHeight="1" x14ac:dyDescent="0.3">
      <c r="A2587" s="3"/>
      <c r="B2587" s="167"/>
      <c r="C2587" s="94"/>
      <c r="D2587" s="12"/>
      <c r="E2587" s="167"/>
      <c r="F2587" s="12"/>
      <c r="G2587" s="331"/>
      <c r="H2587" s="474"/>
      <c r="I2587" s="475"/>
      <c r="J2587" s="476"/>
      <c r="K2587" s="5"/>
      <c r="L2587" s="3"/>
      <c r="M2587" s="6"/>
      <c r="N2587" s="9"/>
      <c r="O2587" s="9"/>
      <c r="P2587" s="12"/>
      <c r="Q2587" s="12"/>
      <c r="R2587" s="12"/>
      <c r="S2587" s="151"/>
      <c r="T2587" s="12"/>
      <c r="U2587" s="12"/>
      <c r="V2587" s="12"/>
      <c r="W2587" s="12"/>
      <c r="X2587" s="12"/>
      <c r="Y2587" s="12"/>
      <c r="Z2587" s="12"/>
    </row>
    <row r="2588" spans="1:26" ht="15.75" customHeight="1" x14ac:dyDescent="0.3">
      <c r="A2588" s="3"/>
      <c r="B2588" s="167"/>
      <c r="C2588" s="94"/>
      <c r="D2588" s="12"/>
      <c r="E2588" s="167"/>
      <c r="F2588" s="12"/>
      <c r="G2588" s="331"/>
      <c r="H2588" s="474"/>
      <c r="I2588" s="475"/>
      <c r="J2588" s="476"/>
      <c r="K2588" s="5"/>
      <c r="L2588" s="3"/>
      <c r="M2588" s="6"/>
      <c r="N2588" s="9"/>
      <c r="O2588" s="9"/>
      <c r="P2588" s="12"/>
      <c r="Q2588" s="12"/>
      <c r="R2588" s="12"/>
      <c r="S2588" s="151"/>
      <c r="T2588" s="12"/>
      <c r="U2588" s="12"/>
      <c r="V2588" s="12"/>
      <c r="W2588" s="12"/>
      <c r="X2588" s="12"/>
      <c r="Y2588" s="12"/>
      <c r="Z2588" s="12"/>
    </row>
    <row r="2589" spans="1:26" ht="15.75" customHeight="1" x14ac:dyDescent="0.3">
      <c r="A2589" s="3"/>
      <c r="B2589" s="167"/>
      <c r="C2589" s="94"/>
      <c r="D2589" s="12"/>
      <c r="E2589" s="167"/>
      <c r="F2589" s="12"/>
      <c r="G2589" s="331"/>
      <c r="H2589" s="474"/>
      <c r="I2589" s="475"/>
      <c r="J2589" s="476"/>
      <c r="K2589" s="5"/>
      <c r="L2589" s="3"/>
      <c r="M2589" s="6"/>
      <c r="N2589" s="9"/>
      <c r="O2589" s="9"/>
      <c r="P2589" s="12"/>
      <c r="Q2589" s="12"/>
      <c r="R2589" s="12"/>
      <c r="S2589" s="151"/>
      <c r="T2589" s="12"/>
      <c r="U2589" s="12"/>
      <c r="V2589" s="12"/>
      <c r="W2589" s="12"/>
      <c r="X2589" s="12"/>
      <c r="Y2589" s="12"/>
      <c r="Z2589" s="12"/>
    </row>
    <row r="2590" spans="1:26" ht="15.75" customHeight="1" x14ac:dyDescent="0.3">
      <c r="A2590" s="3"/>
      <c r="B2590" s="167"/>
      <c r="C2590" s="94"/>
      <c r="D2590" s="12"/>
      <c r="E2590" s="167"/>
      <c r="F2590" s="12"/>
      <c r="G2590" s="331"/>
      <c r="H2590" s="474"/>
      <c r="I2590" s="475"/>
      <c r="J2590" s="476"/>
      <c r="K2590" s="5"/>
      <c r="L2590" s="3"/>
      <c r="M2590" s="6"/>
      <c r="N2590" s="9"/>
      <c r="O2590" s="9"/>
      <c r="P2590" s="12"/>
      <c r="Q2590" s="12"/>
      <c r="R2590" s="12"/>
      <c r="S2590" s="151"/>
      <c r="T2590" s="12"/>
      <c r="U2590" s="12"/>
      <c r="V2590" s="12"/>
      <c r="W2590" s="12"/>
      <c r="X2590" s="12"/>
      <c r="Y2590" s="12"/>
      <c r="Z2590" s="12"/>
    </row>
    <row r="2591" spans="1:26" ht="15.75" customHeight="1" x14ac:dyDescent="0.3">
      <c r="A2591" s="3"/>
      <c r="B2591" s="167"/>
      <c r="C2591" s="94"/>
      <c r="D2591" s="12"/>
      <c r="E2591" s="167"/>
      <c r="F2591" s="12"/>
      <c r="G2591" s="331"/>
      <c r="H2591" s="474"/>
      <c r="I2591" s="475"/>
      <c r="J2591" s="476"/>
      <c r="K2591" s="5"/>
      <c r="L2591" s="3"/>
      <c r="M2591" s="6"/>
      <c r="N2591" s="9"/>
      <c r="O2591" s="9"/>
      <c r="P2591" s="12"/>
      <c r="Q2591" s="12"/>
      <c r="R2591" s="12"/>
      <c r="S2591" s="151"/>
      <c r="T2591" s="12"/>
      <c r="U2591" s="12"/>
      <c r="V2591" s="12"/>
      <c r="W2591" s="12"/>
      <c r="X2591" s="12"/>
      <c r="Y2591" s="12"/>
      <c r="Z2591" s="12"/>
    </row>
    <row r="2592" spans="1:26" ht="15.75" customHeight="1" x14ac:dyDescent="0.3">
      <c r="A2592" s="3"/>
      <c r="B2592" s="167"/>
      <c r="C2592" s="94"/>
      <c r="D2592" s="12"/>
      <c r="E2592" s="167"/>
      <c r="F2592" s="12"/>
      <c r="G2592" s="331"/>
      <c r="H2592" s="474"/>
      <c r="I2592" s="475"/>
      <c r="J2592" s="476"/>
      <c r="K2592" s="5"/>
      <c r="L2592" s="3"/>
      <c r="M2592" s="6"/>
      <c r="N2592" s="9"/>
      <c r="O2592" s="9"/>
      <c r="P2592" s="12"/>
      <c r="Q2592" s="12"/>
      <c r="R2592" s="12"/>
      <c r="S2592" s="151"/>
      <c r="T2592" s="12"/>
      <c r="U2592" s="12"/>
      <c r="V2592" s="12"/>
      <c r="W2592" s="12"/>
      <c r="X2592" s="12"/>
      <c r="Y2592" s="12"/>
      <c r="Z2592" s="12"/>
    </row>
    <row r="2593" spans="1:26" ht="15.75" customHeight="1" x14ac:dyDescent="0.3">
      <c r="A2593" s="3"/>
      <c r="B2593" s="167"/>
      <c r="C2593" s="94"/>
      <c r="D2593" s="12"/>
      <c r="E2593" s="167"/>
      <c r="F2593" s="12"/>
      <c r="G2593" s="331"/>
      <c r="H2593" s="474"/>
      <c r="I2593" s="475"/>
      <c r="J2593" s="476"/>
      <c r="K2593" s="5"/>
      <c r="L2593" s="3"/>
      <c r="M2593" s="6"/>
      <c r="N2593" s="9"/>
      <c r="O2593" s="9"/>
      <c r="P2593" s="12"/>
      <c r="Q2593" s="12"/>
      <c r="R2593" s="12"/>
      <c r="S2593" s="151"/>
      <c r="T2593" s="12"/>
      <c r="U2593" s="12"/>
      <c r="V2593" s="12"/>
      <c r="W2593" s="12"/>
      <c r="X2593" s="12"/>
      <c r="Y2593" s="12"/>
      <c r="Z2593" s="12"/>
    </row>
    <row r="2594" spans="1:26" ht="15.75" customHeight="1" x14ac:dyDescent="0.3">
      <c r="A2594" s="3"/>
      <c r="B2594" s="167"/>
      <c r="C2594" s="94"/>
      <c r="D2594" s="12"/>
      <c r="E2594" s="167"/>
      <c r="F2594" s="12"/>
      <c r="G2594" s="331"/>
      <c r="H2594" s="474"/>
      <c r="I2594" s="475"/>
      <c r="J2594" s="476"/>
      <c r="K2594" s="5"/>
      <c r="L2594" s="3"/>
      <c r="M2594" s="6"/>
      <c r="N2594" s="9"/>
      <c r="O2594" s="9"/>
      <c r="P2594" s="12"/>
      <c r="Q2594" s="12"/>
      <c r="R2594" s="12"/>
      <c r="S2594" s="151"/>
      <c r="T2594" s="12"/>
      <c r="U2594" s="12"/>
      <c r="V2594" s="12"/>
      <c r="W2594" s="12"/>
      <c r="X2594" s="12"/>
      <c r="Y2594" s="12"/>
      <c r="Z2594" s="12"/>
    </row>
    <row r="2595" spans="1:26" ht="15.75" customHeight="1" x14ac:dyDescent="0.3">
      <c r="A2595" s="3"/>
      <c r="B2595" s="167"/>
      <c r="C2595" s="94"/>
      <c r="D2595" s="12"/>
      <c r="E2595" s="167"/>
      <c r="F2595" s="12"/>
      <c r="G2595" s="331"/>
      <c r="H2595" s="474"/>
      <c r="I2595" s="475"/>
      <c r="J2595" s="476"/>
      <c r="K2595" s="5"/>
      <c r="L2595" s="3"/>
      <c r="M2595" s="6"/>
      <c r="N2595" s="9"/>
      <c r="O2595" s="9"/>
      <c r="P2595" s="12"/>
      <c r="Q2595" s="12"/>
      <c r="R2595" s="12"/>
      <c r="S2595" s="151"/>
      <c r="T2595" s="12"/>
      <c r="U2595" s="12"/>
      <c r="V2595" s="12"/>
      <c r="W2595" s="12"/>
      <c r="X2595" s="12"/>
      <c r="Y2595" s="12"/>
      <c r="Z2595" s="12"/>
    </row>
    <row r="2596" spans="1:26" ht="15.75" customHeight="1" x14ac:dyDescent="0.3">
      <c r="A2596" s="3"/>
      <c r="B2596" s="167"/>
      <c r="C2596" s="94"/>
      <c r="D2596" s="12"/>
      <c r="E2596" s="167"/>
      <c r="F2596" s="12"/>
      <c r="G2596" s="331"/>
      <c r="H2596" s="474"/>
      <c r="I2596" s="475"/>
      <c r="J2596" s="476"/>
      <c r="K2596" s="5"/>
      <c r="L2596" s="3"/>
      <c r="M2596" s="6"/>
      <c r="N2596" s="9"/>
      <c r="O2596" s="9"/>
      <c r="P2596" s="12"/>
      <c r="Q2596" s="12"/>
      <c r="R2596" s="12"/>
      <c r="S2596" s="151"/>
      <c r="T2596" s="12"/>
      <c r="U2596" s="12"/>
      <c r="V2596" s="12"/>
      <c r="W2596" s="12"/>
      <c r="X2596" s="12"/>
      <c r="Y2596" s="12"/>
      <c r="Z2596" s="12"/>
    </row>
    <row r="2597" spans="1:26" ht="15.75" customHeight="1" x14ac:dyDescent="0.3">
      <c r="A2597" s="3"/>
      <c r="B2597" s="167"/>
      <c r="C2597" s="94"/>
      <c r="D2597" s="12"/>
      <c r="E2597" s="167"/>
      <c r="F2597" s="12"/>
      <c r="G2597" s="331"/>
      <c r="H2597" s="474"/>
      <c r="I2597" s="475"/>
      <c r="J2597" s="476"/>
      <c r="K2597" s="5"/>
      <c r="L2597" s="3"/>
      <c r="M2597" s="6"/>
      <c r="N2597" s="9"/>
      <c r="O2597" s="9"/>
      <c r="P2597" s="12"/>
      <c r="Q2597" s="12"/>
      <c r="R2597" s="12"/>
      <c r="S2597" s="151"/>
      <c r="T2597" s="12"/>
      <c r="U2597" s="12"/>
      <c r="V2597" s="12"/>
      <c r="W2597" s="12"/>
      <c r="X2597" s="12"/>
      <c r="Y2597" s="12"/>
      <c r="Z2597" s="12"/>
    </row>
    <row r="2598" spans="1:26" ht="15.75" customHeight="1" x14ac:dyDescent="0.3">
      <c r="A2598" s="3"/>
      <c r="B2598" s="167"/>
      <c r="C2598" s="94"/>
      <c r="D2598" s="12"/>
      <c r="E2598" s="167"/>
      <c r="F2598" s="12"/>
      <c r="G2598" s="331"/>
      <c r="H2598" s="474"/>
      <c r="I2598" s="475"/>
      <c r="J2598" s="476"/>
      <c r="K2598" s="5"/>
      <c r="L2598" s="3"/>
      <c r="M2598" s="6"/>
      <c r="N2598" s="9"/>
      <c r="O2598" s="9"/>
      <c r="P2598" s="12"/>
      <c r="Q2598" s="12"/>
      <c r="R2598" s="12"/>
      <c r="S2598" s="151"/>
      <c r="T2598" s="12"/>
      <c r="U2598" s="12"/>
      <c r="V2598" s="12"/>
      <c r="W2598" s="12"/>
      <c r="X2598" s="12"/>
      <c r="Y2598" s="12"/>
      <c r="Z2598" s="12"/>
    </row>
    <row r="2599" spans="1:26" ht="15.75" customHeight="1" x14ac:dyDescent="0.3">
      <c r="A2599" s="3"/>
      <c r="B2599" s="167"/>
      <c r="C2599" s="94"/>
      <c r="D2599" s="12"/>
      <c r="E2599" s="167"/>
      <c r="F2599" s="12"/>
      <c r="G2599" s="331"/>
      <c r="H2599" s="474"/>
      <c r="I2599" s="475"/>
      <c r="J2599" s="476"/>
      <c r="K2599" s="5"/>
      <c r="L2599" s="3"/>
      <c r="M2599" s="6"/>
      <c r="N2599" s="9"/>
      <c r="O2599" s="9"/>
      <c r="P2599" s="12"/>
      <c r="Q2599" s="12"/>
      <c r="R2599" s="12"/>
      <c r="S2599" s="151"/>
      <c r="T2599" s="12"/>
      <c r="U2599" s="12"/>
      <c r="V2599" s="12"/>
      <c r="W2599" s="12"/>
      <c r="X2599" s="12"/>
      <c r="Y2599" s="12"/>
      <c r="Z2599" s="12"/>
    </row>
    <row r="2600" spans="1:26" ht="15.75" customHeight="1" x14ac:dyDescent="0.3">
      <c r="A2600" s="3"/>
      <c r="B2600" s="167"/>
      <c r="C2600" s="94"/>
      <c r="D2600" s="12"/>
      <c r="E2600" s="167"/>
      <c r="F2600" s="12"/>
      <c r="G2600" s="331"/>
      <c r="H2600" s="474"/>
      <c r="I2600" s="475"/>
      <c r="J2600" s="476"/>
      <c r="K2600" s="5"/>
      <c r="L2600" s="3"/>
      <c r="M2600" s="6"/>
      <c r="N2600" s="9"/>
      <c r="O2600" s="9"/>
      <c r="P2600" s="12"/>
      <c r="Q2600" s="12"/>
      <c r="R2600" s="12"/>
      <c r="S2600" s="151"/>
      <c r="T2600" s="12"/>
      <c r="U2600" s="12"/>
      <c r="V2600" s="12"/>
      <c r="W2600" s="12"/>
      <c r="X2600" s="12"/>
      <c r="Y2600" s="12"/>
      <c r="Z2600" s="12"/>
    </row>
    <row r="2601" spans="1:26" ht="15.75" customHeight="1" x14ac:dyDescent="0.3">
      <c r="A2601" s="3"/>
      <c r="B2601" s="167"/>
      <c r="C2601" s="94"/>
      <c r="D2601" s="12"/>
      <c r="E2601" s="167"/>
      <c r="F2601" s="12"/>
      <c r="G2601" s="331"/>
      <c r="H2601" s="474"/>
      <c r="I2601" s="475"/>
      <c r="J2601" s="476"/>
      <c r="K2601" s="5"/>
      <c r="L2601" s="3"/>
      <c r="M2601" s="6"/>
      <c r="N2601" s="9"/>
      <c r="O2601" s="9"/>
      <c r="P2601" s="12"/>
      <c r="Q2601" s="12"/>
      <c r="R2601" s="12"/>
      <c r="S2601" s="151"/>
      <c r="T2601" s="12"/>
      <c r="U2601" s="12"/>
      <c r="V2601" s="12"/>
      <c r="W2601" s="12"/>
      <c r="X2601" s="12"/>
      <c r="Y2601" s="12"/>
      <c r="Z2601" s="12"/>
    </row>
    <row r="2602" spans="1:26" ht="15.75" customHeight="1" x14ac:dyDescent="0.3">
      <c r="A2602" s="3"/>
      <c r="B2602" s="167"/>
      <c r="C2602" s="94"/>
      <c r="D2602" s="12"/>
      <c r="E2602" s="167"/>
      <c r="F2602" s="12"/>
      <c r="G2602" s="331"/>
      <c r="H2602" s="474"/>
      <c r="I2602" s="475"/>
      <c r="J2602" s="476"/>
      <c r="K2602" s="5"/>
      <c r="L2602" s="3"/>
      <c r="M2602" s="6"/>
      <c r="N2602" s="9"/>
      <c r="O2602" s="9"/>
      <c r="P2602" s="12"/>
      <c r="Q2602" s="12"/>
      <c r="R2602" s="12"/>
      <c r="S2602" s="151"/>
      <c r="T2602" s="12"/>
      <c r="U2602" s="12"/>
      <c r="V2602" s="12"/>
      <c r="W2602" s="12"/>
      <c r="X2602" s="12"/>
      <c r="Y2602" s="12"/>
      <c r="Z2602" s="12"/>
    </row>
    <row r="2603" spans="1:26" ht="15.75" customHeight="1" x14ac:dyDescent="0.3">
      <c r="A2603" s="3"/>
      <c r="B2603" s="167"/>
      <c r="C2603" s="94"/>
      <c r="D2603" s="12"/>
      <c r="E2603" s="167"/>
      <c r="F2603" s="12"/>
      <c r="G2603" s="331"/>
      <c r="H2603" s="474"/>
      <c r="I2603" s="475"/>
      <c r="J2603" s="476"/>
      <c r="K2603" s="5"/>
      <c r="L2603" s="3"/>
      <c r="M2603" s="6"/>
      <c r="N2603" s="9"/>
      <c r="O2603" s="9"/>
      <c r="P2603" s="12"/>
      <c r="Q2603" s="12"/>
      <c r="R2603" s="12"/>
      <c r="S2603" s="151"/>
      <c r="T2603" s="12"/>
      <c r="U2603" s="12"/>
      <c r="V2603" s="12"/>
      <c r="W2603" s="12"/>
      <c r="X2603" s="12"/>
      <c r="Y2603" s="12"/>
      <c r="Z2603" s="12"/>
    </row>
    <row r="2604" spans="1:26" ht="15.75" customHeight="1" x14ac:dyDescent="0.3">
      <c r="A2604" s="3"/>
      <c r="B2604" s="167"/>
      <c r="C2604" s="94"/>
      <c r="D2604" s="12"/>
      <c r="E2604" s="167"/>
      <c r="F2604" s="12"/>
      <c r="G2604" s="331"/>
      <c r="H2604" s="474"/>
      <c r="I2604" s="475"/>
      <c r="J2604" s="476"/>
      <c r="K2604" s="5"/>
      <c r="L2604" s="3"/>
      <c r="M2604" s="6"/>
      <c r="N2604" s="9"/>
      <c r="O2604" s="9"/>
      <c r="P2604" s="12"/>
      <c r="Q2604" s="12"/>
      <c r="R2604" s="12"/>
      <c r="S2604" s="151"/>
      <c r="T2604" s="12"/>
      <c r="U2604" s="12"/>
      <c r="V2604" s="12"/>
      <c r="W2604" s="12"/>
      <c r="X2604" s="12"/>
      <c r="Y2604" s="12"/>
      <c r="Z2604" s="12"/>
    </row>
    <row r="2605" spans="1:26" ht="15.75" customHeight="1" x14ac:dyDescent="0.3">
      <c r="A2605" s="3"/>
      <c r="B2605" s="167"/>
      <c r="C2605" s="94"/>
      <c r="D2605" s="12"/>
      <c r="E2605" s="167"/>
      <c r="F2605" s="12"/>
      <c r="G2605" s="331"/>
      <c r="H2605" s="474"/>
      <c r="I2605" s="475"/>
      <c r="J2605" s="476"/>
      <c r="K2605" s="5"/>
      <c r="L2605" s="3"/>
      <c r="M2605" s="6"/>
      <c r="N2605" s="9"/>
      <c r="O2605" s="9"/>
      <c r="P2605" s="12"/>
      <c r="Q2605" s="12"/>
      <c r="R2605" s="12"/>
      <c r="S2605" s="151"/>
      <c r="T2605" s="12"/>
      <c r="U2605" s="12"/>
      <c r="V2605" s="12"/>
      <c r="W2605" s="12"/>
      <c r="X2605" s="12"/>
      <c r="Y2605" s="12"/>
      <c r="Z2605" s="12"/>
    </row>
    <row r="2606" spans="1:26" ht="15.75" customHeight="1" x14ac:dyDescent="0.3">
      <c r="A2606" s="3"/>
      <c r="B2606" s="167"/>
      <c r="C2606" s="94"/>
      <c r="D2606" s="12"/>
      <c r="E2606" s="167"/>
      <c r="F2606" s="12"/>
      <c r="G2606" s="331"/>
      <c r="H2606" s="474"/>
      <c r="I2606" s="475"/>
      <c r="J2606" s="476"/>
      <c r="K2606" s="5"/>
      <c r="L2606" s="3"/>
      <c r="M2606" s="6"/>
      <c r="N2606" s="9"/>
      <c r="O2606" s="9"/>
      <c r="P2606" s="12"/>
      <c r="Q2606" s="12"/>
      <c r="R2606" s="12"/>
      <c r="S2606" s="151"/>
      <c r="T2606" s="12"/>
      <c r="U2606" s="12"/>
      <c r="V2606" s="12"/>
      <c r="W2606" s="12"/>
      <c r="X2606" s="12"/>
      <c r="Y2606" s="12"/>
      <c r="Z2606" s="12"/>
    </row>
    <row r="2607" spans="1:26" ht="15.75" customHeight="1" x14ac:dyDescent="0.3">
      <c r="A2607" s="3"/>
      <c r="B2607" s="167"/>
      <c r="C2607" s="94"/>
      <c r="D2607" s="12"/>
      <c r="E2607" s="167"/>
      <c r="F2607" s="12"/>
      <c r="G2607" s="331"/>
      <c r="H2607" s="474"/>
      <c r="I2607" s="475"/>
      <c r="J2607" s="476"/>
      <c r="K2607" s="5"/>
      <c r="L2607" s="3"/>
      <c r="M2607" s="6"/>
      <c r="N2607" s="9"/>
      <c r="O2607" s="9"/>
      <c r="P2607" s="12"/>
      <c r="Q2607" s="12"/>
      <c r="R2607" s="12"/>
      <c r="S2607" s="151"/>
      <c r="T2607" s="12"/>
      <c r="U2607" s="12"/>
      <c r="V2607" s="12"/>
      <c r="W2607" s="12"/>
      <c r="X2607" s="12"/>
      <c r="Y2607" s="12"/>
      <c r="Z2607" s="12"/>
    </row>
    <row r="2608" spans="1:26" ht="15.75" customHeight="1" x14ac:dyDescent="0.3">
      <c r="A2608" s="3"/>
      <c r="B2608" s="167"/>
      <c r="C2608" s="94"/>
      <c r="D2608" s="12"/>
      <c r="E2608" s="167"/>
      <c r="F2608" s="12"/>
      <c r="G2608" s="331"/>
      <c r="H2608" s="474"/>
      <c r="I2608" s="475"/>
      <c r="J2608" s="476"/>
      <c r="K2608" s="5"/>
      <c r="L2608" s="3"/>
      <c r="M2608" s="6"/>
      <c r="N2608" s="9"/>
      <c r="O2608" s="9"/>
      <c r="P2608" s="12"/>
      <c r="Q2608" s="12"/>
      <c r="R2608" s="12"/>
      <c r="S2608" s="151"/>
      <c r="T2608" s="12"/>
      <c r="U2608" s="12"/>
      <c r="V2608" s="12"/>
      <c r="W2608" s="12"/>
      <c r="X2608" s="12"/>
      <c r="Y2608" s="12"/>
      <c r="Z2608" s="12"/>
    </row>
    <row r="2609" spans="1:26" ht="15.75" customHeight="1" x14ac:dyDescent="0.3">
      <c r="A2609" s="3"/>
      <c r="B2609" s="167"/>
      <c r="C2609" s="94"/>
      <c r="D2609" s="12"/>
      <c r="E2609" s="167"/>
      <c r="F2609" s="12"/>
      <c r="G2609" s="331"/>
      <c r="H2609" s="474"/>
      <c r="I2609" s="475"/>
      <c r="J2609" s="476"/>
      <c r="K2609" s="5"/>
      <c r="L2609" s="3"/>
      <c r="M2609" s="6"/>
      <c r="N2609" s="9"/>
      <c r="O2609" s="9"/>
      <c r="P2609" s="12"/>
      <c r="Q2609" s="12"/>
      <c r="R2609" s="12"/>
      <c r="S2609" s="151"/>
      <c r="T2609" s="12"/>
      <c r="U2609" s="12"/>
      <c r="V2609" s="12"/>
      <c r="W2609" s="12"/>
      <c r="X2609" s="12"/>
      <c r="Y2609" s="12"/>
      <c r="Z2609" s="12"/>
    </row>
    <row r="2610" spans="1:26" ht="15.75" customHeight="1" x14ac:dyDescent="0.3">
      <c r="A2610" s="3"/>
      <c r="B2610" s="167"/>
      <c r="C2610" s="94"/>
      <c r="D2610" s="12"/>
      <c r="E2610" s="167"/>
      <c r="F2610" s="12"/>
      <c r="G2610" s="331"/>
      <c r="H2610" s="474"/>
      <c r="I2610" s="475"/>
      <c r="J2610" s="476"/>
      <c r="K2610" s="5"/>
      <c r="L2610" s="3"/>
      <c r="M2610" s="6"/>
      <c r="N2610" s="9"/>
      <c r="O2610" s="9"/>
      <c r="P2610" s="12"/>
      <c r="Q2610" s="12"/>
      <c r="R2610" s="12"/>
      <c r="S2610" s="151"/>
      <c r="T2610" s="12"/>
      <c r="U2610" s="12"/>
      <c r="V2610" s="12"/>
      <c r="W2610" s="12"/>
      <c r="X2610" s="12"/>
      <c r="Y2610" s="12"/>
      <c r="Z2610" s="12"/>
    </row>
    <row r="2611" spans="1:26" ht="15.75" customHeight="1" x14ac:dyDescent="0.3">
      <c r="A2611" s="3"/>
      <c r="B2611" s="167"/>
      <c r="C2611" s="94"/>
      <c r="D2611" s="12"/>
      <c r="E2611" s="167"/>
      <c r="F2611" s="12"/>
      <c r="G2611" s="331"/>
      <c r="H2611" s="474"/>
      <c r="I2611" s="475"/>
      <c r="J2611" s="476"/>
      <c r="K2611" s="5"/>
      <c r="L2611" s="3"/>
      <c r="M2611" s="6"/>
      <c r="N2611" s="9"/>
      <c r="O2611" s="9"/>
      <c r="P2611" s="12"/>
      <c r="Q2611" s="12"/>
      <c r="R2611" s="12"/>
      <c r="S2611" s="151"/>
      <c r="T2611" s="12"/>
      <c r="U2611" s="12"/>
      <c r="V2611" s="12"/>
      <c r="W2611" s="12"/>
      <c r="X2611" s="12"/>
      <c r="Y2611" s="12"/>
      <c r="Z2611" s="12"/>
    </row>
    <row r="2612" spans="1:26" ht="15.75" customHeight="1" x14ac:dyDescent="0.3">
      <c r="A2612" s="3"/>
      <c r="B2612" s="167"/>
      <c r="C2612" s="94"/>
      <c r="D2612" s="12"/>
      <c r="E2612" s="167"/>
      <c r="F2612" s="12"/>
      <c r="G2612" s="331"/>
      <c r="H2612" s="474"/>
      <c r="I2612" s="475"/>
      <c r="J2612" s="476"/>
      <c r="K2612" s="5"/>
      <c r="L2612" s="3"/>
      <c r="M2612" s="6"/>
      <c r="N2612" s="9"/>
      <c r="O2612" s="9"/>
      <c r="P2612" s="12"/>
      <c r="Q2612" s="12"/>
      <c r="R2612" s="12"/>
      <c r="S2612" s="151"/>
      <c r="T2612" s="12"/>
      <c r="U2612" s="12"/>
      <c r="V2612" s="12"/>
      <c r="W2612" s="12"/>
      <c r="X2612" s="12"/>
      <c r="Y2612" s="12"/>
      <c r="Z2612" s="12"/>
    </row>
    <row r="2613" spans="1:26" ht="15.75" customHeight="1" x14ac:dyDescent="0.3">
      <c r="A2613" s="3"/>
      <c r="B2613" s="167"/>
      <c r="C2613" s="94"/>
      <c r="D2613" s="12"/>
      <c r="E2613" s="167"/>
      <c r="F2613" s="12"/>
      <c r="G2613" s="331"/>
      <c r="H2613" s="474"/>
      <c r="I2613" s="475"/>
      <c r="J2613" s="476"/>
      <c r="K2613" s="5"/>
      <c r="L2613" s="3"/>
      <c r="M2613" s="6"/>
      <c r="N2613" s="9"/>
      <c r="O2613" s="9"/>
      <c r="P2613" s="12"/>
      <c r="Q2613" s="12"/>
      <c r="R2613" s="12"/>
      <c r="S2613" s="151"/>
      <c r="T2613" s="12"/>
      <c r="U2613" s="12"/>
      <c r="V2613" s="12"/>
      <c r="W2613" s="12"/>
      <c r="X2613" s="12"/>
      <c r="Y2613" s="12"/>
      <c r="Z2613" s="12"/>
    </row>
    <row r="2614" spans="1:26" ht="15.75" customHeight="1" x14ac:dyDescent="0.3">
      <c r="A2614" s="3"/>
      <c r="B2614" s="167"/>
      <c r="C2614" s="94"/>
      <c r="D2614" s="12"/>
      <c r="E2614" s="167"/>
      <c r="F2614" s="12"/>
      <c r="G2614" s="331"/>
      <c r="H2614" s="474"/>
      <c r="I2614" s="475"/>
      <c r="J2614" s="476"/>
      <c r="K2614" s="5"/>
      <c r="L2614" s="3"/>
      <c r="M2614" s="6"/>
      <c r="N2614" s="9"/>
      <c r="O2614" s="9"/>
      <c r="P2614" s="12"/>
      <c r="Q2614" s="12"/>
      <c r="R2614" s="12"/>
      <c r="S2614" s="151"/>
      <c r="T2614" s="12"/>
      <c r="U2614" s="12"/>
      <c r="V2614" s="12"/>
      <c r="W2614" s="12"/>
      <c r="X2614" s="12"/>
      <c r="Y2614" s="12"/>
      <c r="Z2614" s="12"/>
    </row>
    <row r="2615" spans="1:26" ht="15.75" customHeight="1" x14ac:dyDescent="0.3">
      <c r="A2615" s="3"/>
      <c r="B2615" s="167"/>
      <c r="C2615" s="94"/>
      <c r="D2615" s="12"/>
      <c r="E2615" s="167"/>
      <c r="F2615" s="12"/>
      <c r="G2615" s="331"/>
      <c r="H2615" s="474"/>
      <c r="I2615" s="475"/>
      <c r="J2615" s="476"/>
      <c r="K2615" s="5"/>
      <c r="L2615" s="3"/>
      <c r="M2615" s="6"/>
      <c r="N2615" s="9"/>
      <c r="O2615" s="9"/>
      <c r="P2615" s="12"/>
      <c r="Q2615" s="12"/>
      <c r="R2615" s="12"/>
      <c r="S2615" s="151"/>
      <c r="T2615" s="12"/>
      <c r="U2615" s="12"/>
      <c r="V2615" s="12"/>
      <c r="W2615" s="12"/>
      <c r="X2615" s="12"/>
      <c r="Y2615" s="12"/>
      <c r="Z2615" s="12"/>
    </row>
    <row r="2616" spans="1:26" ht="15.75" customHeight="1" x14ac:dyDescent="0.3">
      <c r="A2616" s="3"/>
      <c r="B2616" s="167"/>
      <c r="C2616" s="94"/>
      <c r="D2616" s="12"/>
      <c r="E2616" s="167"/>
      <c r="F2616" s="12"/>
      <c r="G2616" s="331"/>
      <c r="H2616" s="474"/>
      <c r="I2616" s="475"/>
      <c r="J2616" s="476"/>
      <c r="K2616" s="5"/>
      <c r="L2616" s="3"/>
      <c r="M2616" s="6"/>
      <c r="N2616" s="9"/>
      <c r="O2616" s="9"/>
      <c r="P2616" s="12"/>
      <c r="Q2616" s="12"/>
      <c r="R2616" s="12"/>
      <c r="S2616" s="151"/>
      <c r="T2616" s="12"/>
      <c r="U2616" s="12"/>
      <c r="V2616" s="12"/>
      <c r="W2616" s="12"/>
      <c r="X2616" s="12"/>
      <c r="Y2616" s="12"/>
      <c r="Z2616" s="12"/>
    </row>
    <row r="2617" spans="1:26" ht="15.75" customHeight="1" x14ac:dyDescent="0.3">
      <c r="A2617" s="3"/>
      <c r="B2617" s="167"/>
      <c r="C2617" s="94"/>
      <c r="D2617" s="12"/>
      <c r="E2617" s="167"/>
      <c r="F2617" s="12"/>
      <c r="G2617" s="331"/>
      <c r="H2617" s="474"/>
      <c r="I2617" s="475"/>
      <c r="J2617" s="476"/>
      <c r="K2617" s="5"/>
      <c r="L2617" s="3"/>
      <c r="M2617" s="6"/>
      <c r="N2617" s="9"/>
      <c r="O2617" s="9"/>
      <c r="P2617" s="12"/>
      <c r="Q2617" s="12"/>
      <c r="R2617" s="12"/>
      <c r="S2617" s="151"/>
      <c r="T2617" s="12"/>
      <c r="U2617" s="12"/>
      <c r="V2617" s="12"/>
      <c r="W2617" s="12"/>
      <c r="X2617" s="12"/>
      <c r="Y2617" s="12"/>
      <c r="Z2617" s="12"/>
    </row>
    <row r="2618" spans="1:26" ht="15.75" customHeight="1" x14ac:dyDescent="0.3">
      <c r="A2618" s="3"/>
      <c r="B2618" s="167"/>
      <c r="C2618" s="94"/>
      <c r="D2618" s="12"/>
      <c r="E2618" s="167"/>
      <c r="F2618" s="12"/>
      <c r="G2618" s="331"/>
      <c r="H2618" s="474"/>
      <c r="I2618" s="475"/>
      <c r="J2618" s="476"/>
      <c r="K2618" s="5"/>
      <c r="L2618" s="3"/>
      <c r="M2618" s="6"/>
      <c r="N2618" s="9"/>
      <c r="O2618" s="9"/>
      <c r="P2618" s="12"/>
      <c r="Q2618" s="12"/>
      <c r="R2618" s="12"/>
      <c r="S2618" s="151"/>
      <c r="T2618" s="12"/>
      <c r="U2618" s="12"/>
      <c r="V2618" s="12"/>
      <c r="W2618" s="12"/>
      <c r="X2618" s="12"/>
      <c r="Y2618" s="12"/>
      <c r="Z2618" s="12"/>
    </row>
    <row r="2619" spans="1:26" ht="15.75" customHeight="1" x14ac:dyDescent="0.3">
      <c r="A2619" s="3"/>
      <c r="B2619" s="167"/>
      <c r="C2619" s="94"/>
      <c r="D2619" s="12"/>
      <c r="E2619" s="167"/>
      <c r="F2619" s="12"/>
      <c r="G2619" s="331"/>
      <c r="H2619" s="474"/>
      <c r="I2619" s="475"/>
      <c r="J2619" s="476"/>
      <c r="K2619" s="5"/>
      <c r="L2619" s="3"/>
      <c r="M2619" s="6"/>
      <c r="N2619" s="9"/>
      <c r="O2619" s="9"/>
      <c r="P2619" s="12"/>
      <c r="Q2619" s="12"/>
      <c r="R2619" s="12"/>
      <c r="S2619" s="151"/>
      <c r="T2619" s="12"/>
      <c r="U2619" s="12"/>
      <c r="V2619" s="12"/>
      <c r="W2619" s="12"/>
      <c r="X2619" s="12"/>
      <c r="Y2619" s="12"/>
      <c r="Z2619" s="12"/>
    </row>
    <row r="2620" spans="1:26" ht="15.75" customHeight="1" x14ac:dyDescent="0.3">
      <c r="A2620" s="3"/>
      <c r="B2620" s="167"/>
      <c r="C2620" s="94"/>
      <c r="D2620" s="12"/>
      <c r="E2620" s="167"/>
      <c r="F2620" s="12"/>
      <c r="G2620" s="331"/>
      <c r="H2620" s="474"/>
      <c r="I2620" s="475"/>
      <c r="J2620" s="476"/>
      <c r="K2620" s="5"/>
      <c r="L2620" s="3"/>
      <c r="M2620" s="6"/>
      <c r="N2620" s="9"/>
      <c r="O2620" s="9"/>
      <c r="P2620" s="12"/>
      <c r="Q2620" s="12"/>
      <c r="R2620" s="12"/>
      <c r="S2620" s="151"/>
      <c r="T2620" s="12"/>
      <c r="U2620" s="12"/>
      <c r="V2620" s="12"/>
      <c r="W2620" s="12"/>
      <c r="X2620" s="12"/>
      <c r="Y2620" s="12"/>
      <c r="Z2620" s="12"/>
    </row>
    <row r="2621" spans="1:26" ht="15.75" customHeight="1" x14ac:dyDescent="0.3">
      <c r="A2621" s="3"/>
      <c r="B2621" s="167"/>
      <c r="C2621" s="94"/>
      <c r="D2621" s="12"/>
      <c r="E2621" s="167"/>
      <c r="F2621" s="12"/>
      <c r="G2621" s="331"/>
      <c r="H2621" s="474"/>
      <c r="I2621" s="475"/>
      <c r="J2621" s="476"/>
      <c r="K2621" s="5"/>
      <c r="L2621" s="3"/>
      <c r="M2621" s="6"/>
      <c r="N2621" s="9"/>
      <c r="O2621" s="9"/>
      <c r="P2621" s="12"/>
      <c r="Q2621" s="12"/>
      <c r="R2621" s="12"/>
      <c r="S2621" s="151"/>
      <c r="T2621" s="12"/>
      <c r="U2621" s="12"/>
      <c r="V2621" s="12"/>
      <c r="W2621" s="12"/>
      <c r="X2621" s="12"/>
      <c r="Y2621" s="12"/>
      <c r="Z2621" s="12"/>
    </row>
    <row r="2622" spans="1:26" ht="15.75" customHeight="1" x14ac:dyDescent="0.3">
      <c r="A2622" s="3"/>
      <c r="B2622" s="167"/>
      <c r="C2622" s="94"/>
      <c r="D2622" s="12"/>
      <c r="E2622" s="167"/>
      <c r="F2622" s="12"/>
      <c r="G2622" s="331"/>
      <c r="H2622" s="474"/>
      <c r="I2622" s="475"/>
      <c r="J2622" s="476"/>
      <c r="K2622" s="5"/>
      <c r="L2622" s="3"/>
      <c r="M2622" s="6"/>
      <c r="N2622" s="9"/>
      <c r="O2622" s="9"/>
      <c r="P2622" s="12"/>
      <c r="Q2622" s="12"/>
      <c r="R2622" s="12"/>
      <c r="S2622" s="151"/>
      <c r="T2622" s="12"/>
      <c r="U2622" s="12"/>
      <c r="V2622" s="12"/>
      <c r="W2622" s="12"/>
      <c r="X2622" s="12"/>
      <c r="Y2622" s="12"/>
      <c r="Z2622" s="12"/>
    </row>
    <row r="2623" spans="1:26" ht="15.75" customHeight="1" x14ac:dyDescent="0.3">
      <c r="A2623" s="3"/>
      <c r="B2623" s="167"/>
      <c r="C2623" s="94"/>
      <c r="D2623" s="12"/>
      <c r="E2623" s="167"/>
      <c r="F2623" s="12"/>
      <c r="G2623" s="331"/>
      <c r="H2623" s="474"/>
      <c r="I2623" s="475"/>
      <c r="J2623" s="476"/>
      <c r="K2623" s="5"/>
      <c r="L2623" s="3"/>
      <c r="M2623" s="6"/>
      <c r="N2623" s="9"/>
      <c r="O2623" s="9"/>
      <c r="P2623" s="12"/>
      <c r="Q2623" s="12"/>
      <c r="R2623" s="12"/>
      <c r="S2623" s="151"/>
      <c r="T2623" s="12"/>
      <c r="U2623" s="12"/>
      <c r="V2623" s="12"/>
      <c r="W2623" s="12"/>
      <c r="X2623" s="12"/>
      <c r="Y2623" s="12"/>
      <c r="Z2623" s="12"/>
    </row>
    <row r="2624" spans="1:26" ht="15.75" customHeight="1" x14ac:dyDescent="0.3">
      <c r="A2624" s="3"/>
      <c r="B2624" s="167"/>
      <c r="C2624" s="94"/>
      <c r="D2624" s="12"/>
      <c r="E2624" s="167"/>
      <c r="F2624" s="12"/>
      <c r="G2624" s="331"/>
      <c r="H2624" s="474"/>
      <c r="I2624" s="475"/>
      <c r="J2624" s="476"/>
      <c r="K2624" s="5"/>
      <c r="L2624" s="3"/>
      <c r="M2624" s="6"/>
      <c r="N2624" s="9"/>
      <c r="O2624" s="9"/>
      <c r="P2624" s="12"/>
      <c r="Q2624" s="12"/>
      <c r="R2624" s="12"/>
      <c r="S2624" s="151"/>
      <c r="T2624" s="12"/>
      <c r="U2624" s="12"/>
      <c r="V2624" s="12"/>
      <c r="W2624" s="12"/>
      <c r="X2624" s="12"/>
      <c r="Y2624" s="12"/>
      <c r="Z2624" s="12"/>
    </row>
    <row r="2625" spans="1:26" ht="15.75" customHeight="1" x14ac:dyDescent="0.3">
      <c r="A2625" s="3"/>
      <c r="B2625" s="167"/>
      <c r="C2625" s="94"/>
      <c r="D2625" s="12"/>
      <c r="E2625" s="167"/>
      <c r="F2625" s="12"/>
      <c r="G2625" s="331"/>
      <c r="H2625" s="474"/>
      <c r="I2625" s="475"/>
      <c r="J2625" s="476"/>
      <c r="K2625" s="5"/>
      <c r="L2625" s="3"/>
      <c r="M2625" s="6"/>
      <c r="N2625" s="9"/>
      <c r="O2625" s="9"/>
      <c r="P2625" s="12"/>
      <c r="Q2625" s="12"/>
      <c r="R2625" s="12"/>
      <c r="S2625" s="151"/>
      <c r="T2625" s="12"/>
      <c r="U2625" s="12"/>
      <c r="V2625" s="12"/>
      <c r="W2625" s="12"/>
      <c r="X2625" s="12"/>
      <c r="Y2625" s="12"/>
      <c r="Z2625" s="12"/>
    </row>
    <row r="2626" spans="1:26" ht="15.75" customHeight="1" x14ac:dyDescent="0.3">
      <c r="A2626" s="3"/>
      <c r="B2626" s="167"/>
      <c r="C2626" s="94"/>
      <c r="D2626" s="12"/>
      <c r="E2626" s="167"/>
      <c r="F2626" s="12"/>
      <c r="G2626" s="331"/>
      <c r="H2626" s="474"/>
      <c r="I2626" s="475"/>
      <c r="J2626" s="476"/>
      <c r="K2626" s="5"/>
      <c r="L2626" s="3"/>
      <c r="M2626" s="6"/>
      <c r="N2626" s="9"/>
      <c r="O2626" s="9"/>
      <c r="P2626" s="12"/>
      <c r="Q2626" s="12"/>
      <c r="R2626" s="12"/>
      <c r="S2626" s="151"/>
      <c r="T2626" s="12"/>
      <c r="U2626" s="12"/>
      <c r="V2626" s="12"/>
      <c r="W2626" s="12"/>
      <c r="X2626" s="12"/>
      <c r="Y2626" s="12"/>
      <c r="Z2626" s="12"/>
    </row>
    <row r="2627" spans="1:26" ht="15.75" customHeight="1" x14ac:dyDescent="0.3">
      <c r="A2627" s="3"/>
      <c r="B2627" s="167"/>
      <c r="C2627" s="94"/>
      <c r="D2627" s="12"/>
      <c r="E2627" s="167"/>
      <c r="F2627" s="12"/>
      <c r="G2627" s="331"/>
      <c r="H2627" s="474"/>
      <c r="I2627" s="475"/>
      <c r="J2627" s="476"/>
      <c r="K2627" s="5"/>
      <c r="L2627" s="3"/>
      <c r="M2627" s="6"/>
      <c r="N2627" s="9"/>
      <c r="O2627" s="9"/>
      <c r="P2627" s="12"/>
      <c r="Q2627" s="12"/>
      <c r="R2627" s="12"/>
      <c r="S2627" s="151"/>
      <c r="T2627" s="12"/>
      <c r="U2627" s="12"/>
      <c r="V2627" s="12"/>
      <c r="W2627" s="12"/>
      <c r="X2627" s="12"/>
      <c r="Y2627" s="12"/>
      <c r="Z2627" s="12"/>
    </row>
    <row r="2628" spans="1:26" ht="15.75" customHeight="1" x14ac:dyDescent="0.3">
      <c r="A2628" s="3"/>
      <c r="B2628" s="167"/>
      <c r="C2628" s="94"/>
      <c r="D2628" s="12"/>
      <c r="E2628" s="167"/>
      <c r="F2628" s="12"/>
      <c r="G2628" s="331"/>
      <c r="H2628" s="474"/>
      <c r="I2628" s="475"/>
      <c r="J2628" s="476"/>
      <c r="K2628" s="5"/>
      <c r="L2628" s="3"/>
      <c r="M2628" s="6"/>
      <c r="N2628" s="9"/>
      <c r="O2628" s="9"/>
      <c r="P2628" s="12"/>
      <c r="Q2628" s="12"/>
      <c r="R2628" s="12"/>
      <c r="S2628" s="151"/>
      <c r="T2628" s="12"/>
      <c r="U2628" s="12"/>
      <c r="V2628" s="12"/>
      <c r="W2628" s="12"/>
      <c r="X2628" s="12"/>
      <c r="Y2628" s="12"/>
      <c r="Z2628" s="12"/>
    </row>
    <row r="2629" spans="1:26" ht="15.75" customHeight="1" x14ac:dyDescent="0.3">
      <c r="A2629" s="3"/>
      <c r="B2629" s="167"/>
      <c r="C2629" s="94"/>
      <c r="D2629" s="12"/>
      <c r="E2629" s="167"/>
      <c r="F2629" s="12"/>
      <c r="G2629" s="331"/>
      <c r="H2629" s="474"/>
      <c r="I2629" s="475"/>
      <c r="J2629" s="476"/>
      <c r="K2629" s="5"/>
      <c r="L2629" s="3"/>
      <c r="M2629" s="6"/>
      <c r="N2629" s="9"/>
      <c r="O2629" s="9"/>
      <c r="P2629" s="12"/>
      <c r="Q2629" s="12"/>
      <c r="R2629" s="12"/>
      <c r="S2629" s="151"/>
      <c r="T2629" s="12"/>
      <c r="U2629" s="12"/>
      <c r="V2629" s="12"/>
      <c r="W2629" s="12"/>
      <c r="X2629" s="12"/>
      <c r="Y2629" s="12"/>
      <c r="Z2629" s="12"/>
    </row>
    <row r="2630" spans="1:26" ht="15.75" customHeight="1" x14ac:dyDescent="0.3">
      <c r="A2630" s="3"/>
      <c r="B2630" s="167"/>
      <c r="C2630" s="94"/>
      <c r="D2630" s="12"/>
      <c r="E2630" s="167"/>
      <c r="F2630" s="12"/>
      <c r="G2630" s="331"/>
      <c r="H2630" s="474"/>
      <c r="I2630" s="475"/>
      <c r="J2630" s="476"/>
      <c r="K2630" s="5"/>
      <c r="L2630" s="3"/>
      <c r="M2630" s="6"/>
      <c r="N2630" s="9"/>
      <c r="O2630" s="9"/>
      <c r="P2630" s="12"/>
      <c r="Q2630" s="12"/>
      <c r="R2630" s="12"/>
      <c r="S2630" s="151"/>
      <c r="T2630" s="12"/>
      <c r="U2630" s="12"/>
      <c r="V2630" s="12"/>
      <c r="W2630" s="12"/>
      <c r="X2630" s="12"/>
      <c r="Y2630" s="12"/>
      <c r="Z2630" s="12"/>
    </row>
    <row r="2631" spans="1:26" ht="15.75" customHeight="1" x14ac:dyDescent="0.3">
      <c r="A2631" s="3"/>
      <c r="B2631" s="167"/>
      <c r="C2631" s="94"/>
      <c r="D2631" s="12"/>
      <c r="E2631" s="167"/>
      <c r="F2631" s="12"/>
      <c r="G2631" s="331"/>
      <c r="H2631" s="474"/>
      <c r="I2631" s="475"/>
      <c r="J2631" s="476"/>
      <c r="K2631" s="5"/>
      <c r="L2631" s="3"/>
      <c r="M2631" s="6"/>
      <c r="N2631" s="9"/>
      <c r="O2631" s="9"/>
      <c r="P2631" s="12"/>
      <c r="Q2631" s="12"/>
      <c r="R2631" s="12"/>
      <c r="S2631" s="151"/>
      <c r="T2631" s="12"/>
      <c r="U2631" s="12"/>
      <c r="V2631" s="12"/>
      <c r="W2631" s="12"/>
      <c r="X2631" s="12"/>
      <c r="Y2631" s="12"/>
      <c r="Z2631" s="12"/>
    </row>
    <row r="2632" spans="1:26" ht="15.75" customHeight="1" x14ac:dyDescent="0.3">
      <c r="A2632" s="3"/>
      <c r="B2632" s="167"/>
      <c r="C2632" s="94"/>
      <c r="D2632" s="12"/>
      <c r="E2632" s="167"/>
      <c r="F2632" s="12"/>
      <c r="G2632" s="331"/>
      <c r="H2632" s="474"/>
      <c r="I2632" s="475"/>
      <c r="J2632" s="476"/>
      <c r="K2632" s="5"/>
      <c r="L2632" s="3"/>
      <c r="M2632" s="6"/>
      <c r="N2632" s="9"/>
      <c r="O2632" s="9"/>
      <c r="P2632" s="12"/>
      <c r="Q2632" s="12"/>
      <c r="R2632" s="12"/>
      <c r="S2632" s="151"/>
      <c r="T2632" s="12"/>
      <c r="U2632" s="12"/>
      <c r="V2632" s="12"/>
      <c r="W2632" s="12"/>
      <c r="X2632" s="12"/>
      <c r="Y2632" s="12"/>
      <c r="Z2632" s="12"/>
    </row>
    <row r="2633" spans="1:26" ht="15.75" customHeight="1" x14ac:dyDescent="0.3">
      <c r="A2633" s="3"/>
      <c r="B2633" s="167"/>
      <c r="C2633" s="94"/>
      <c r="D2633" s="12"/>
      <c r="E2633" s="167"/>
      <c r="F2633" s="12"/>
      <c r="G2633" s="331"/>
      <c r="H2633" s="474"/>
      <c r="I2633" s="475"/>
      <c r="J2633" s="476"/>
      <c r="K2633" s="5"/>
      <c r="L2633" s="3"/>
      <c r="M2633" s="6"/>
      <c r="N2633" s="9"/>
      <c r="O2633" s="9"/>
      <c r="P2633" s="12"/>
      <c r="Q2633" s="12"/>
      <c r="R2633" s="12"/>
      <c r="S2633" s="151"/>
      <c r="T2633" s="12"/>
      <c r="U2633" s="12"/>
      <c r="V2633" s="12"/>
      <c r="W2633" s="12"/>
      <c r="X2633" s="12"/>
      <c r="Y2633" s="12"/>
      <c r="Z2633" s="12"/>
    </row>
    <row r="2634" spans="1:26" ht="15.75" customHeight="1" x14ac:dyDescent="0.3">
      <c r="A2634" s="3"/>
      <c r="B2634" s="167"/>
      <c r="C2634" s="94"/>
      <c r="D2634" s="12"/>
      <c r="E2634" s="167"/>
      <c r="F2634" s="12"/>
      <c r="G2634" s="331"/>
      <c r="H2634" s="474"/>
      <c r="I2634" s="475"/>
      <c r="J2634" s="476"/>
      <c r="K2634" s="5"/>
      <c r="L2634" s="3"/>
      <c r="M2634" s="6"/>
      <c r="N2634" s="9"/>
      <c r="O2634" s="9"/>
      <c r="P2634" s="12"/>
      <c r="Q2634" s="12"/>
      <c r="R2634" s="12"/>
      <c r="S2634" s="151"/>
      <c r="T2634" s="12"/>
      <c r="U2634" s="12"/>
      <c r="V2634" s="12"/>
      <c r="W2634" s="12"/>
      <c r="X2634" s="12"/>
      <c r="Y2634" s="12"/>
      <c r="Z2634" s="12"/>
    </row>
    <row r="2635" spans="1:26" ht="15.75" customHeight="1" x14ac:dyDescent="0.3">
      <c r="A2635" s="3"/>
      <c r="B2635" s="167"/>
      <c r="C2635" s="94"/>
      <c r="D2635" s="12"/>
      <c r="E2635" s="167"/>
      <c r="F2635" s="12"/>
      <c r="G2635" s="331"/>
      <c r="H2635" s="474"/>
      <c r="I2635" s="475"/>
      <c r="J2635" s="476"/>
      <c r="K2635" s="5"/>
      <c r="L2635" s="3"/>
      <c r="M2635" s="6"/>
      <c r="N2635" s="9"/>
      <c r="O2635" s="9"/>
      <c r="P2635" s="12"/>
      <c r="Q2635" s="12"/>
      <c r="R2635" s="12"/>
      <c r="S2635" s="151"/>
      <c r="T2635" s="12"/>
      <c r="U2635" s="12"/>
      <c r="V2635" s="12"/>
      <c r="W2635" s="12"/>
      <c r="X2635" s="12"/>
      <c r="Y2635" s="12"/>
      <c r="Z2635" s="12"/>
    </row>
    <row r="2636" spans="1:26" ht="15.75" customHeight="1" x14ac:dyDescent="0.3">
      <c r="A2636" s="3"/>
      <c r="B2636" s="167"/>
      <c r="C2636" s="94"/>
      <c r="D2636" s="12"/>
      <c r="E2636" s="167"/>
      <c r="F2636" s="12"/>
      <c r="G2636" s="331"/>
      <c r="H2636" s="474"/>
      <c r="I2636" s="475"/>
      <c r="J2636" s="476"/>
      <c r="K2636" s="5"/>
      <c r="L2636" s="3"/>
      <c r="M2636" s="6"/>
      <c r="N2636" s="9"/>
      <c r="O2636" s="9"/>
      <c r="P2636" s="12"/>
      <c r="Q2636" s="12"/>
      <c r="R2636" s="12"/>
      <c r="S2636" s="151"/>
      <c r="T2636" s="12"/>
      <c r="U2636" s="12"/>
      <c r="V2636" s="12"/>
      <c r="W2636" s="12"/>
      <c r="X2636" s="12"/>
      <c r="Y2636" s="12"/>
      <c r="Z2636" s="12"/>
    </row>
    <row r="2637" spans="1:26" ht="15.75" customHeight="1" x14ac:dyDescent="0.3">
      <c r="A2637" s="3"/>
      <c r="B2637" s="167"/>
      <c r="C2637" s="94"/>
      <c r="D2637" s="12"/>
      <c r="E2637" s="167"/>
      <c r="F2637" s="12"/>
      <c r="G2637" s="331"/>
      <c r="H2637" s="474"/>
      <c r="I2637" s="475"/>
      <c r="J2637" s="476"/>
      <c r="K2637" s="5"/>
      <c r="L2637" s="3"/>
      <c r="M2637" s="6"/>
      <c r="N2637" s="9"/>
      <c r="O2637" s="9"/>
      <c r="P2637" s="12"/>
      <c r="Q2637" s="12"/>
      <c r="R2637" s="12"/>
      <c r="S2637" s="151"/>
      <c r="T2637" s="12"/>
      <c r="U2637" s="12"/>
      <c r="V2637" s="12"/>
      <c r="W2637" s="12"/>
      <c r="X2637" s="12"/>
      <c r="Y2637" s="12"/>
      <c r="Z2637" s="12"/>
    </row>
    <row r="2638" spans="1:26" ht="15.75" customHeight="1" x14ac:dyDescent="0.3">
      <c r="A2638" s="3"/>
      <c r="B2638" s="167"/>
      <c r="C2638" s="94"/>
      <c r="D2638" s="12"/>
      <c r="E2638" s="167"/>
      <c r="F2638" s="12"/>
      <c r="G2638" s="331"/>
      <c r="H2638" s="474"/>
      <c r="I2638" s="475"/>
      <c r="J2638" s="476"/>
      <c r="K2638" s="5"/>
      <c r="L2638" s="3"/>
      <c r="M2638" s="6"/>
      <c r="N2638" s="9"/>
      <c r="O2638" s="9"/>
      <c r="P2638" s="12"/>
      <c r="Q2638" s="12"/>
      <c r="R2638" s="12"/>
      <c r="S2638" s="151"/>
      <c r="T2638" s="12"/>
      <c r="U2638" s="12"/>
      <c r="V2638" s="12"/>
      <c r="W2638" s="12"/>
      <c r="X2638" s="12"/>
      <c r="Y2638" s="12"/>
      <c r="Z2638" s="12"/>
    </row>
    <row r="2639" spans="1:26" ht="15.75" customHeight="1" x14ac:dyDescent="0.3">
      <c r="A2639" s="3"/>
      <c r="B2639" s="167"/>
      <c r="C2639" s="94"/>
      <c r="D2639" s="12"/>
      <c r="E2639" s="167"/>
      <c r="F2639" s="12"/>
      <c r="G2639" s="331"/>
      <c r="H2639" s="474"/>
      <c r="I2639" s="475"/>
      <c r="J2639" s="476"/>
      <c r="K2639" s="5"/>
      <c r="L2639" s="3"/>
      <c r="M2639" s="6"/>
      <c r="N2639" s="9"/>
      <c r="O2639" s="9"/>
      <c r="P2639" s="12"/>
      <c r="Q2639" s="12"/>
      <c r="R2639" s="12"/>
      <c r="S2639" s="151"/>
      <c r="T2639" s="12"/>
      <c r="U2639" s="12"/>
      <c r="V2639" s="12"/>
      <c r="W2639" s="12"/>
      <c r="X2639" s="12"/>
      <c r="Y2639" s="12"/>
      <c r="Z2639" s="12"/>
    </row>
    <row r="2640" spans="1:26" ht="15.75" customHeight="1" x14ac:dyDescent="0.3">
      <c r="A2640" s="3"/>
      <c r="B2640" s="167"/>
      <c r="C2640" s="94"/>
      <c r="D2640" s="12"/>
      <c r="E2640" s="167"/>
      <c r="F2640" s="12"/>
      <c r="G2640" s="331"/>
      <c r="H2640" s="474"/>
      <c r="I2640" s="475"/>
      <c r="J2640" s="476"/>
      <c r="K2640" s="5"/>
      <c r="L2640" s="3"/>
      <c r="M2640" s="6"/>
      <c r="N2640" s="9"/>
      <c r="O2640" s="9"/>
      <c r="P2640" s="12"/>
      <c r="Q2640" s="12"/>
      <c r="R2640" s="12"/>
      <c r="S2640" s="151"/>
      <c r="T2640" s="12"/>
      <c r="U2640" s="12"/>
      <c r="V2640" s="12"/>
      <c r="W2640" s="12"/>
      <c r="X2640" s="12"/>
      <c r="Y2640" s="12"/>
      <c r="Z2640" s="12"/>
    </row>
    <row r="2641" spans="1:26" ht="15.75" customHeight="1" x14ac:dyDescent="0.3">
      <c r="A2641" s="3"/>
      <c r="B2641" s="167"/>
      <c r="C2641" s="94"/>
      <c r="D2641" s="12"/>
      <c r="E2641" s="167"/>
      <c r="F2641" s="12"/>
      <c r="G2641" s="331"/>
      <c r="H2641" s="474"/>
      <c r="I2641" s="475"/>
      <c r="J2641" s="476"/>
      <c r="K2641" s="5"/>
      <c r="L2641" s="3"/>
      <c r="M2641" s="6"/>
      <c r="N2641" s="9"/>
      <c r="O2641" s="9"/>
      <c r="P2641" s="12"/>
      <c r="Q2641" s="12"/>
      <c r="R2641" s="12"/>
      <c r="S2641" s="151"/>
      <c r="T2641" s="12"/>
      <c r="U2641" s="12"/>
      <c r="V2641" s="12"/>
      <c r="W2641" s="12"/>
      <c r="X2641" s="12"/>
      <c r="Y2641" s="12"/>
      <c r="Z2641" s="12"/>
    </row>
    <row r="2642" spans="1:26" ht="15.75" customHeight="1" x14ac:dyDescent="0.3">
      <c r="A2642" s="3"/>
      <c r="B2642" s="167"/>
      <c r="C2642" s="94"/>
      <c r="D2642" s="12"/>
      <c r="E2642" s="167"/>
      <c r="F2642" s="12"/>
      <c r="G2642" s="331"/>
      <c r="H2642" s="474"/>
      <c r="I2642" s="475"/>
      <c r="J2642" s="476"/>
      <c r="K2642" s="5"/>
      <c r="L2642" s="3"/>
      <c r="M2642" s="6"/>
      <c r="N2642" s="9"/>
      <c r="O2642" s="9"/>
      <c r="P2642" s="12"/>
      <c r="Q2642" s="12"/>
      <c r="R2642" s="12"/>
      <c r="S2642" s="151"/>
      <c r="T2642" s="12"/>
      <c r="U2642" s="12"/>
      <c r="V2642" s="12"/>
      <c r="W2642" s="12"/>
      <c r="X2642" s="12"/>
      <c r="Y2642" s="12"/>
      <c r="Z2642" s="12"/>
    </row>
    <row r="2643" spans="1:26" ht="15.75" customHeight="1" x14ac:dyDescent="0.3">
      <c r="A2643" s="3"/>
      <c r="B2643" s="167"/>
      <c r="C2643" s="94"/>
      <c r="D2643" s="12"/>
      <c r="E2643" s="167"/>
      <c r="F2643" s="12"/>
      <c r="G2643" s="331"/>
      <c r="H2643" s="474"/>
      <c r="I2643" s="475"/>
      <c r="J2643" s="476"/>
      <c r="K2643" s="5"/>
      <c r="L2643" s="3"/>
      <c r="M2643" s="6"/>
      <c r="N2643" s="9"/>
      <c r="O2643" s="9"/>
      <c r="P2643" s="12"/>
      <c r="Q2643" s="12"/>
      <c r="R2643" s="12"/>
      <c r="S2643" s="151"/>
      <c r="T2643" s="12"/>
      <c r="U2643" s="12"/>
      <c r="V2643" s="12"/>
      <c r="W2643" s="12"/>
      <c r="X2643" s="12"/>
      <c r="Y2643" s="12"/>
      <c r="Z2643" s="12"/>
    </row>
    <row r="2644" spans="1:26" ht="15.75" customHeight="1" x14ac:dyDescent="0.3">
      <c r="A2644" s="3"/>
      <c r="B2644" s="167"/>
      <c r="C2644" s="94"/>
      <c r="D2644" s="12"/>
      <c r="E2644" s="167"/>
      <c r="F2644" s="12"/>
      <c r="G2644" s="331"/>
      <c r="H2644" s="474"/>
      <c r="I2644" s="475"/>
      <c r="J2644" s="476"/>
      <c r="K2644" s="5"/>
      <c r="L2644" s="3"/>
      <c r="M2644" s="6"/>
      <c r="N2644" s="9"/>
      <c r="O2644" s="9"/>
      <c r="P2644" s="12"/>
      <c r="Q2644" s="12"/>
      <c r="R2644" s="12"/>
      <c r="S2644" s="151"/>
      <c r="T2644" s="12"/>
      <c r="U2644" s="12"/>
      <c r="V2644" s="12"/>
      <c r="W2644" s="12"/>
      <c r="X2644" s="12"/>
      <c r="Y2644" s="12"/>
      <c r="Z2644" s="12"/>
    </row>
    <row r="2645" spans="1:26" ht="15.75" customHeight="1" x14ac:dyDescent="0.3">
      <c r="A2645" s="3"/>
      <c r="B2645" s="167"/>
      <c r="C2645" s="94"/>
      <c r="D2645" s="12"/>
      <c r="E2645" s="167"/>
      <c r="F2645" s="12"/>
      <c r="G2645" s="331"/>
      <c r="H2645" s="474"/>
      <c r="I2645" s="475"/>
      <c r="J2645" s="476"/>
      <c r="K2645" s="5"/>
      <c r="L2645" s="3"/>
      <c r="M2645" s="6"/>
      <c r="N2645" s="9"/>
      <c r="O2645" s="9"/>
      <c r="P2645" s="12"/>
      <c r="Q2645" s="12"/>
      <c r="R2645" s="12"/>
      <c r="S2645" s="151"/>
      <c r="T2645" s="12"/>
      <c r="U2645" s="12"/>
      <c r="V2645" s="12"/>
      <c r="W2645" s="12"/>
      <c r="X2645" s="12"/>
      <c r="Y2645" s="12"/>
      <c r="Z2645" s="12"/>
    </row>
    <row r="2646" spans="1:26" ht="15.75" customHeight="1" x14ac:dyDescent="0.3">
      <c r="A2646" s="3"/>
      <c r="B2646" s="167"/>
      <c r="C2646" s="94"/>
      <c r="D2646" s="12"/>
      <c r="E2646" s="167"/>
      <c r="F2646" s="12"/>
      <c r="G2646" s="331"/>
      <c r="H2646" s="474"/>
      <c r="I2646" s="475"/>
      <c r="J2646" s="476"/>
      <c r="K2646" s="5"/>
      <c r="L2646" s="3"/>
      <c r="M2646" s="6"/>
      <c r="N2646" s="9"/>
      <c r="O2646" s="9"/>
      <c r="P2646" s="12"/>
      <c r="Q2646" s="12"/>
      <c r="R2646" s="12"/>
      <c r="S2646" s="151"/>
      <c r="T2646" s="12"/>
      <c r="U2646" s="12"/>
      <c r="V2646" s="12"/>
      <c r="W2646" s="12"/>
      <c r="X2646" s="12"/>
      <c r="Y2646" s="12"/>
      <c r="Z2646" s="12"/>
    </row>
    <row r="2647" spans="1:26" ht="15.75" customHeight="1" x14ac:dyDescent="0.3">
      <c r="A2647" s="3"/>
      <c r="B2647" s="167"/>
      <c r="C2647" s="94"/>
      <c r="D2647" s="12"/>
      <c r="E2647" s="167"/>
      <c r="F2647" s="12"/>
      <c r="G2647" s="331"/>
      <c r="H2647" s="474"/>
      <c r="I2647" s="475"/>
      <c r="J2647" s="476"/>
      <c r="K2647" s="5"/>
      <c r="L2647" s="3"/>
      <c r="M2647" s="6"/>
      <c r="N2647" s="9"/>
      <c r="O2647" s="9"/>
      <c r="P2647" s="12"/>
      <c r="Q2647" s="12"/>
      <c r="R2647" s="12"/>
      <c r="S2647" s="151"/>
      <c r="T2647" s="12"/>
      <c r="U2647" s="12"/>
      <c r="V2647" s="12"/>
      <c r="W2647" s="12"/>
      <c r="X2647" s="12"/>
      <c r="Y2647" s="12"/>
      <c r="Z2647" s="12"/>
    </row>
    <row r="2648" spans="1:26" ht="15.75" customHeight="1" x14ac:dyDescent="0.3">
      <c r="A2648" s="3"/>
      <c r="B2648" s="167"/>
      <c r="C2648" s="94"/>
      <c r="D2648" s="12"/>
      <c r="E2648" s="167"/>
      <c r="F2648" s="12"/>
      <c r="G2648" s="331"/>
      <c r="H2648" s="474"/>
      <c r="I2648" s="475"/>
      <c r="J2648" s="476"/>
      <c r="K2648" s="5"/>
      <c r="L2648" s="3"/>
      <c r="M2648" s="6"/>
      <c r="N2648" s="9"/>
      <c r="O2648" s="9"/>
      <c r="P2648" s="12"/>
      <c r="Q2648" s="12"/>
      <c r="R2648" s="12"/>
      <c r="S2648" s="151"/>
      <c r="T2648" s="12"/>
      <c r="U2648" s="12"/>
      <c r="V2648" s="12"/>
      <c r="W2648" s="12"/>
      <c r="X2648" s="12"/>
      <c r="Y2648" s="12"/>
      <c r="Z2648" s="12"/>
    </row>
    <row r="2649" spans="1:26" ht="15.75" customHeight="1" x14ac:dyDescent="0.3">
      <c r="A2649" s="3"/>
      <c r="B2649" s="167"/>
      <c r="C2649" s="94"/>
      <c r="D2649" s="12"/>
      <c r="E2649" s="167"/>
      <c r="F2649" s="12"/>
      <c r="G2649" s="331"/>
      <c r="H2649" s="474"/>
      <c r="I2649" s="475"/>
      <c r="J2649" s="476"/>
      <c r="K2649" s="5"/>
      <c r="L2649" s="3"/>
      <c r="M2649" s="6"/>
      <c r="N2649" s="9"/>
      <c r="O2649" s="9"/>
      <c r="P2649" s="12"/>
      <c r="Q2649" s="12"/>
      <c r="R2649" s="12"/>
      <c r="S2649" s="151"/>
      <c r="T2649" s="12"/>
      <c r="U2649" s="12"/>
      <c r="V2649" s="12"/>
      <c r="W2649" s="12"/>
      <c r="X2649" s="12"/>
      <c r="Y2649" s="12"/>
      <c r="Z2649" s="12"/>
    </row>
    <row r="2650" spans="1:26" ht="15.75" customHeight="1" x14ac:dyDescent="0.3">
      <c r="A2650" s="3"/>
      <c r="B2650" s="167"/>
      <c r="C2650" s="94"/>
      <c r="D2650" s="12"/>
      <c r="E2650" s="167"/>
      <c r="F2650" s="12"/>
      <c r="G2650" s="331"/>
      <c r="H2650" s="474"/>
      <c r="I2650" s="475"/>
      <c r="J2650" s="476"/>
      <c r="K2650" s="5"/>
      <c r="L2650" s="3"/>
      <c r="M2650" s="6"/>
      <c r="N2650" s="9"/>
      <c r="O2650" s="9"/>
      <c r="P2650" s="12"/>
      <c r="Q2650" s="12"/>
      <c r="R2650" s="12"/>
      <c r="S2650" s="151"/>
      <c r="T2650" s="12"/>
      <c r="U2650" s="12"/>
      <c r="V2650" s="12"/>
      <c r="W2650" s="12"/>
      <c r="X2650" s="12"/>
      <c r="Y2650" s="12"/>
      <c r="Z2650" s="12"/>
    </row>
    <row r="2651" spans="1:26" ht="15.75" customHeight="1" x14ac:dyDescent="0.3">
      <c r="A2651" s="3"/>
      <c r="B2651" s="167"/>
      <c r="C2651" s="94"/>
      <c r="D2651" s="12"/>
      <c r="E2651" s="167"/>
      <c r="F2651" s="12"/>
      <c r="G2651" s="331"/>
      <c r="H2651" s="474"/>
      <c r="I2651" s="475"/>
      <c r="J2651" s="476"/>
      <c r="K2651" s="5"/>
      <c r="L2651" s="3"/>
      <c r="M2651" s="6"/>
      <c r="N2651" s="9"/>
      <c r="O2651" s="9"/>
      <c r="P2651" s="12"/>
      <c r="Q2651" s="12"/>
      <c r="R2651" s="12"/>
      <c r="S2651" s="151"/>
      <c r="T2651" s="12"/>
      <c r="U2651" s="12"/>
      <c r="V2651" s="12"/>
      <c r="W2651" s="12"/>
      <c r="X2651" s="12"/>
      <c r="Y2651" s="12"/>
      <c r="Z2651" s="12"/>
    </row>
    <row r="2652" spans="1:26" ht="15.75" customHeight="1" x14ac:dyDescent="0.3">
      <c r="A2652" s="3"/>
      <c r="B2652" s="167"/>
      <c r="C2652" s="94"/>
      <c r="D2652" s="12"/>
      <c r="E2652" s="167"/>
      <c r="F2652" s="12"/>
      <c r="G2652" s="331"/>
      <c r="H2652" s="474"/>
      <c r="I2652" s="475"/>
      <c r="J2652" s="476"/>
      <c r="K2652" s="5"/>
      <c r="L2652" s="3"/>
      <c r="M2652" s="6"/>
      <c r="N2652" s="9"/>
      <c r="O2652" s="9"/>
      <c r="P2652" s="12"/>
      <c r="Q2652" s="12"/>
      <c r="R2652" s="12"/>
      <c r="S2652" s="151"/>
      <c r="T2652" s="12"/>
      <c r="U2652" s="12"/>
      <c r="V2652" s="12"/>
      <c r="W2652" s="12"/>
      <c r="X2652" s="12"/>
      <c r="Y2652" s="12"/>
      <c r="Z2652" s="12"/>
    </row>
    <row r="2653" spans="1:26" ht="15.75" customHeight="1" x14ac:dyDescent="0.3">
      <c r="A2653" s="3"/>
      <c r="B2653" s="167"/>
      <c r="C2653" s="94"/>
      <c r="D2653" s="12"/>
      <c r="E2653" s="167"/>
      <c r="F2653" s="12"/>
      <c r="G2653" s="331"/>
      <c r="H2653" s="474"/>
      <c r="I2653" s="475"/>
      <c r="J2653" s="476"/>
      <c r="K2653" s="5"/>
      <c r="L2653" s="3"/>
      <c r="M2653" s="6"/>
      <c r="N2653" s="9"/>
      <c r="O2653" s="9"/>
      <c r="P2653" s="12"/>
      <c r="Q2653" s="12"/>
      <c r="R2653" s="12"/>
      <c r="S2653" s="151"/>
      <c r="T2653" s="12"/>
      <c r="U2653" s="12"/>
      <c r="V2653" s="12"/>
      <c r="W2653" s="12"/>
      <c r="X2653" s="12"/>
      <c r="Y2653" s="12"/>
      <c r="Z2653" s="12"/>
    </row>
    <row r="2654" spans="1:26" ht="15.75" customHeight="1" x14ac:dyDescent="0.3">
      <c r="A2654" s="3"/>
      <c r="B2654" s="167"/>
      <c r="C2654" s="94"/>
      <c r="D2654" s="12"/>
      <c r="E2654" s="167"/>
      <c r="F2654" s="12"/>
      <c r="G2654" s="331"/>
      <c r="H2654" s="474"/>
      <c r="I2654" s="475"/>
      <c r="J2654" s="476"/>
      <c r="K2654" s="5"/>
      <c r="L2654" s="3"/>
      <c r="M2654" s="6"/>
      <c r="N2654" s="9"/>
      <c r="O2654" s="9"/>
      <c r="P2654" s="12"/>
      <c r="Q2654" s="12"/>
      <c r="R2654" s="12"/>
      <c r="S2654" s="151"/>
      <c r="T2654" s="12"/>
      <c r="U2654" s="12"/>
      <c r="V2654" s="12"/>
      <c r="W2654" s="12"/>
      <c r="X2654" s="12"/>
      <c r="Y2654" s="12"/>
      <c r="Z2654" s="12"/>
    </row>
    <row r="2655" spans="1:26" ht="15.75" customHeight="1" x14ac:dyDescent="0.3">
      <c r="A2655" s="3"/>
      <c r="B2655" s="167"/>
      <c r="C2655" s="94"/>
      <c r="D2655" s="12"/>
      <c r="E2655" s="167"/>
      <c r="F2655" s="12"/>
      <c r="G2655" s="331"/>
      <c r="H2655" s="474"/>
      <c r="I2655" s="475"/>
      <c r="J2655" s="476"/>
      <c r="K2655" s="5"/>
      <c r="L2655" s="3"/>
      <c r="M2655" s="6"/>
      <c r="N2655" s="9"/>
      <c r="O2655" s="9"/>
      <c r="P2655" s="12"/>
      <c r="Q2655" s="12"/>
      <c r="R2655" s="12"/>
      <c r="S2655" s="151"/>
      <c r="T2655" s="12"/>
      <c r="U2655" s="12"/>
      <c r="V2655" s="12"/>
      <c r="W2655" s="12"/>
      <c r="X2655" s="12"/>
      <c r="Y2655" s="12"/>
      <c r="Z2655" s="12"/>
    </row>
    <row r="2656" spans="1:26" ht="15.75" customHeight="1" x14ac:dyDescent="0.3">
      <c r="A2656" s="3"/>
      <c r="B2656" s="167"/>
      <c r="C2656" s="94"/>
      <c r="D2656" s="12"/>
      <c r="E2656" s="167"/>
      <c r="F2656" s="12"/>
      <c r="G2656" s="331"/>
      <c r="H2656" s="474"/>
      <c r="I2656" s="475"/>
      <c r="J2656" s="476"/>
      <c r="K2656" s="5"/>
      <c r="L2656" s="3"/>
      <c r="M2656" s="6"/>
      <c r="N2656" s="9"/>
      <c r="O2656" s="9"/>
      <c r="P2656" s="12"/>
      <c r="Q2656" s="12"/>
      <c r="R2656" s="12"/>
      <c r="S2656" s="151"/>
      <c r="T2656" s="12"/>
      <c r="U2656" s="12"/>
      <c r="V2656" s="12"/>
      <c r="W2656" s="12"/>
      <c r="X2656" s="12"/>
      <c r="Y2656" s="12"/>
      <c r="Z2656" s="12"/>
    </row>
    <row r="2657" spans="1:26" ht="15.75" customHeight="1" x14ac:dyDescent="0.3">
      <c r="A2657" s="3"/>
      <c r="B2657" s="167"/>
      <c r="C2657" s="94"/>
      <c r="D2657" s="12"/>
      <c r="E2657" s="167"/>
      <c r="F2657" s="12"/>
      <c r="G2657" s="331"/>
      <c r="H2657" s="474"/>
      <c r="I2657" s="475"/>
      <c r="J2657" s="476"/>
      <c r="K2657" s="5"/>
      <c r="L2657" s="3"/>
      <c r="M2657" s="6"/>
      <c r="N2657" s="9"/>
      <c r="O2657" s="9"/>
      <c r="P2657" s="12"/>
      <c r="Q2657" s="12"/>
      <c r="R2657" s="12"/>
      <c r="S2657" s="151"/>
      <c r="T2657" s="12"/>
      <c r="U2657" s="12"/>
      <c r="V2657" s="12"/>
      <c r="W2657" s="12"/>
      <c r="X2657" s="12"/>
      <c r="Y2657" s="12"/>
      <c r="Z2657" s="12"/>
    </row>
    <row r="2658" spans="1:26" ht="15.75" customHeight="1" x14ac:dyDescent="0.3">
      <c r="A2658" s="3"/>
      <c r="B2658" s="167"/>
      <c r="C2658" s="94"/>
      <c r="D2658" s="12"/>
      <c r="E2658" s="167"/>
      <c r="F2658" s="12"/>
      <c r="G2658" s="331"/>
      <c r="H2658" s="474"/>
      <c r="I2658" s="475"/>
      <c r="J2658" s="476"/>
      <c r="K2658" s="5"/>
      <c r="L2658" s="3"/>
      <c r="M2658" s="6"/>
      <c r="N2658" s="9"/>
      <c r="O2658" s="9"/>
      <c r="P2658" s="12"/>
      <c r="Q2658" s="12"/>
      <c r="R2658" s="12"/>
      <c r="S2658" s="151"/>
      <c r="T2658" s="12"/>
      <c r="U2658" s="12"/>
      <c r="V2658" s="12"/>
      <c r="W2658" s="12"/>
      <c r="X2658" s="12"/>
      <c r="Y2658" s="12"/>
      <c r="Z2658" s="12"/>
    </row>
    <row r="2659" spans="1:26" ht="15.75" customHeight="1" x14ac:dyDescent="0.3">
      <c r="A2659" s="3"/>
      <c r="B2659" s="167"/>
      <c r="C2659" s="94"/>
      <c r="D2659" s="12"/>
      <c r="E2659" s="167"/>
      <c r="F2659" s="12"/>
      <c r="G2659" s="331"/>
      <c r="H2659" s="474"/>
      <c r="I2659" s="475"/>
      <c r="J2659" s="476"/>
      <c r="K2659" s="5"/>
      <c r="L2659" s="3"/>
      <c r="M2659" s="6"/>
      <c r="N2659" s="9"/>
      <c r="O2659" s="9"/>
      <c r="P2659" s="12"/>
      <c r="Q2659" s="12"/>
      <c r="R2659" s="12"/>
      <c r="S2659" s="151"/>
      <c r="T2659" s="12"/>
      <c r="U2659" s="12"/>
      <c r="V2659" s="12"/>
      <c r="W2659" s="12"/>
      <c r="X2659" s="12"/>
      <c r="Y2659" s="12"/>
      <c r="Z2659" s="12"/>
    </row>
    <row r="2660" spans="1:26" ht="15.75" customHeight="1" x14ac:dyDescent="0.3">
      <c r="A2660" s="3"/>
      <c r="B2660" s="167"/>
      <c r="C2660" s="94"/>
      <c r="D2660" s="12"/>
      <c r="E2660" s="167"/>
      <c r="F2660" s="12"/>
      <c r="G2660" s="331"/>
      <c r="H2660" s="474"/>
      <c r="I2660" s="475"/>
      <c r="J2660" s="476"/>
      <c r="K2660" s="5"/>
      <c r="L2660" s="3"/>
      <c r="M2660" s="6"/>
      <c r="N2660" s="9"/>
      <c r="O2660" s="9"/>
      <c r="P2660" s="12"/>
      <c r="Q2660" s="12"/>
      <c r="R2660" s="12"/>
      <c r="S2660" s="151"/>
      <c r="T2660" s="12"/>
      <c r="U2660" s="12"/>
      <c r="V2660" s="12"/>
      <c r="W2660" s="12"/>
      <c r="X2660" s="12"/>
      <c r="Y2660" s="12"/>
      <c r="Z2660" s="12"/>
    </row>
    <row r="2661" spans="1:26" ht="15.75" customHeight="1" x14ac:dyDescent="0.3">
      <c r="A2661" s="3"/>
      <c r="B2661" s="167"/>
      <c r="C2661" s="94"/>
      <c r="D2661" s="12"/>
      <c r="E2661" s="167"/>
      <c r="F2661" s="12"/>
      <c r="G2661" s="331"/>
      <c r="H2661" s="474"/>
      <c r="I2661" s="475"/>
      <c r="J2661" s="476"/>
      <c r="K2661" s="5"/>
      <c r="L2661" s="3"/>
      <c r="M2661" s="6"/>
      <c r="N2661" s="9"/>
      <c r="O2661" s="9"/>
      <c r="P2661" s="12"/>
      <c r="Q2661" s="12"/>
      <c r="R2661" s="12"/>
      <c r="S2661" s="151"/>
      <c r="T2661" s="12"/>
      <c r="U2661" s="12"/>
      <c r="V2661" s="12"/>
      <c r="W2661" s="12"/>
      <c r="X2661" s="12"/>
      <c r="Y2661" s="12"/>
      <c r="Z2661" s="12"/>
    </row>
    <row r="2662" spans="1:26" ht="15.75" customHeight="1" x14ac:dyDescent="0.3">
      <c r="A2662" s="3"/>
      <c r="B2662" s="167"/>
      <c r="C2662" s="94"/>
      <c r="D2662" s="12"/>
      <c r="E2662" s="167"/>
      <c r="F2662" s="12"/>
      <c r="G2662" s="331"/>
      <c r="H2662" s="474"/>
      <c r="I2662" s="475"/>
      <c r="J2662" s="476"/>
      <c r="K2662" s="5"/>
      <c r="L2662" s="3"/>
      <c r="M2662" s="6"/>
      <c r="N2662" s="9"/>
      <c r="O2662" s="9"/>
      <c r="P2662" s="12"/>
      <c r="Q2662" s="12"/>
      <c r="R2662" s="12"/>
      <c r="S2662" s="151"/>
      <c r="T2662" s="12"/>
      <c r="U2662" s="12"/>
      <c r="V2662" s="12"/>
      <c r="W2662" s="12"/>
      <c r="X2662" s="12"/>
      <c r="Y2662" s="12"/>
      <c r="Z2662" s="12"/>
    </row>
    <row r="2663" spans="1:26" ht="15.75" customHeight="1" x14ac:dyDescent="0.3">
      <c r="A2663" s="3"/>
      <c r="B2663" s="167"/>
      <c r="C2663" s="94"/>
      <c r="D2663" s="12"/>
      <c r="E2663" s="167"/>
      <c r="F2663" s="12"/>
      <c r="G2663" s="331"/>
      <c r="H2663" s="474"/>
      <c r="I2663" s="475"/>
      <c r="J2663" s="476"/>
      <c r="K2663" s="5"/>
      <c r="L2663" s="3"/>
      <c r="M2663" s="6"/>
      <c r="N2663" s="9"/>
      <c r="O2663" s="9"/>
      <c r="P2663" s="12"/>
      <c r="Q2663" s="12"/>
      <c r="R2663" s="12"/>
      <c r="S2663" s="151"/>
      <c r="T2663" s="12"/>
      <c r="U2663" s="12"/>
      <c r="V2663" s="12"/>
      <c r="W2663" s="12"/>
      <c r="X2663" s="12"/>
      <c r="Y2663" s="12"/>
      <c r="Z2663" s="12"/>
    </row>
    <row r="2664" spans="1:26" ht="15.75" customHeight="1" x14ac:dyDescent="0.3">
      <c r="A2664" s="3"/>
      <c r="B2664" s="167"/>
      <c r="C2664" s="94"/>
      <c r="D2664" s="12"/>
      <c r="E2664" s="167"/>
      <c r="F2664" s="12"/>
      <c r="G2664" s="331"/>
      <c r="H2664" s="474"/>
      <c r="I2664" s="475"/>
      <c r="J2664" s="476"/>
      <c r="K2664" s="5"/>
      <c r="L2664" s="3"/>
      <c r="M2664" s="6"/>
      <c r="N2664" s="9"/>
      <c r="O2664" s="9"/>
      <c r="P2664" s="12"/>
      <c r="Q2664" s="12"/>
      <c r="R2664" s="12"/>
      <c r="S2664" s="151"/>
      <c r="T2664" s="12"/>
      <c r="U2664" s="12"/>
      <c r="V2664" s="12"/>
      <c r="W2664" s="12"/>
      <c r="X2664" s="12"/>
      <c r="Y2664" s="12"/>
      <c r="Z2664" s="12"/>
    </row>
    <row r="2665" spans="1:26" ht="15.75" customHeight="1" x14ac:dyDescent="0.3">
      <c r="A2665" s="3"/>
      <c r="B2665" s="167"/>
      <c r="C2665" s="94"/>
      <c r="D2665" s="12"/>
      <c r="E2665" s="167"/>
      <c r="F2665" s="12"/>
      <c r="G2665" s="331"/>
      <c r="H2665" s="474"/>
      <c r="I2665" s="475"/>
      <c r="J2665" s="476"/>
      <c r="K2665" s="5"/>
      <c r="L2665" s="3"/>
      <c r="M2665" s="6"/>
      <c r="N2665" s="9"/>
      <c r="O2665" s="9"/>
      <c r="P2665" s="12"/>
      <c r="Q2665" s="12"/>
      <c r="R2665" s="12"/>
      <c r="S2665" s="151"/>
      <c r="T2665" s="12"/>
      <c r="U2665" s="12"/>
      <c r="V2665" s="12"/>
      <c r="W2665" s="12"/>
      <c r="X2665" s="12"/>
      <c r="Y2665" s="12"/>
      <c r="Z2665" s="12"/>
    </row>
    <row r="2666" spans="1:26" ht="15.75" customHeight="1" x14ac:dyDescent="0.3">
      <c r="A2666" s="3"/>
      <c r="B2666" s="167"/>
      <c r="C2666" s="94"/>
      <c r="D2666" s="12"/>
      <c r="E2666" s="167"/>
      <c r="F2666" s="12"/>
      <c r="G2666" s="331"/>
      <c r="H2666" s="474"/>
      <c r="I2666" s="475"/>
      <c r="J2666" s="476"/>
      <c r="K2666" s="5"/>
      <c r="L2666" s="3"/>
      <c r="M2666" s="6"/>
      <c r="N2666" s="9"/>
      <c r="O2666" s="9"/>
      <c r="P2666" s="12"/>
      <c r="Q2666" s="12"/>
      <c r="R2666" s="12"/>
      <c r="S2666" s="151"/>
      <c r="T2666" s="12"/>
      <c r="U2666" s="12"/>
      <c r="V2666" s="12"/>
      <c r="W2666" s="12"/>
      <c r="X2666" s="12"/>
      <c r="Y2666" s="12"/>
      <c r="Z2666" s="12"/>
    </row>
    <row r="2667" spans="1:26" ht="15.75" customHeight="1" x14ac:dyDescent="0.3">
      <c r="A2667" s="3"/>
      <c r="B2667" s="167"/>
      <c r="C2667" s="94"/>
      <c r="D2667" s="12"/>
      <c r="E2667" s="167"/>
      <c r="F2667" s="12"/>
      <c r="G2667" s="331"/>
      <c r="H2667" s="474"/>
      <c r="I2667" s="475"/>
      <c r="J2667" s="476"/>
      <c r="K2667" s="5"/>
      <c r="L2667" s="3"/>
      <c r="M2667" s="6"/>
      <c r="N2667" s="9"/>
      <c r="O2667" s="9"/>
      <c r="P2667" s="12"/>
      <c r="Q2667" s="12"/>
      <c r="R2667" s="12"/>
      <c r="S2667" s="151"/>
      <c r="T2667" s="12"/>
      <c r="U2667" s="12"/>
      <c r="V2667" s="12"/>
      <c r="W2667" s="12"/>
      <c r="X2667" s="12"/>
      <c r="Y2667" s="12"/>
      <c r="Z2667" s="12"/>
    </row>
    <row r="2668" spans="1:26" ht="15.75" customHeight="1" x14ac:dyDescent="0.3">
      <c r="A2668" s="3"/>
      <c r="B2668" s="167"/>
      <c r="C2668" s="94"/>
      <c r="D2668" s="12"/>
      <c r="E2668" s="167"/>
      <c r="F2668" s="12"/>
      <c r="G2668" s="331"/>
      <c r="H2668" s="474"/>
      <c r="I2668" s="475"/>
      <c r="J2668" s="476"/>
      <c r="K2668" s="5"/>
      <c r="L2668" s="3"/>
      <c r="M2668" s="6"/>
      <c r="N2668" s="9"/>
      <c r="O2668" s="9"/>
      <c r="P2668" s="12"/>
      <c r="Q2668" s="12"/>
      <c r="R2668" s="12"/>
      <c r="S2668" s="151"/>
      <c r="T2668" s="12"/>
      <c r="U2668" s="12"/>
      <c r="V2668" s="12"/>
      <c r="W2668" s="12"/>
      <c r="X2668" s="12"/>
      <c r="Y2668" s="12"/>
      <c r="Z2668" s="12"/>
    </row>
    <row r="2669" spans="1:26" ht="15.75" customHeight="1" x14ac:dyDescent="0.3">
      <c r="A2669" s="3"/>
      <c r="B2669" s="167"/>
      <c r="C2669" s="94"/>
      <c r="D2669" s="12"/>
      <c r="E2669" s="167"/>
      <c r="F2669" s="12"/>
      <c r="G2669" s="331"/>
      <c r="H2669" s="474"/>
      <c r="I2669" s="475"/>
      <c r="J2669" s="476"/>
      <c r="K2669" s="5"/>
      <c r="L2669" s="3"/>
      <c r="M2669" s="6"/>
      <c r="N2669" s="9"/>
      <c r="O2669" s="9"/>
      <c r="P2669" s="12"/>
      <c r="Q2669" s="12"/>
      <c r="R2669" s="12"/>
      <c r="S2669" s="151"/>
      <c r="T2669" s="12"/>
      <c r="U2669" s="12"/>
      <c r="V2669" s="12"/>
      <c r="W2669" s="12"/>
      <c r="X2669" s="12"/>
      <c r="Y2669" s="12"/>
      <c r="Z2669" s="12"/>
    </row>
    <row r="2670" spans="1:26" ht="15.75" customHeight="1" x14ac:dyDescent="0.3">
      <c r="A2670" s="3"/>
      <c r="B2670" s="167"/>
      <c r="C2670" s="94"/>
      <c r="D2670" s="12"/>
      <c r="E2670" s="167"/>
      <c r="F2670" s="12"/>
      <c r="G2670" s="331"/>
      <c r="H2670" s="474"/>
      <c r="I2670" s="475"/>
      <c r="J2670" s="476"/>
      <c r="K2670" s="5"/>
      <c r="L2670" s="3"/>
      <c r="M2670" s="6"/>
      <c r="N2670" s="9"/>
      <c r="O2670" s="9"/>
      <c r="P2670" s="12"/>
      <c r="Q2670" s="12"/>
      <c r="R2670" s="12"/>
      <c r="S2670" s="151"/>
      <c r="T2670" s="12"/>
      <c r="U2670" s="12"/>
      <c r="V2670" s="12"/>
      <c r="W2670" s="12"/>
      <c r="X2670" s="12"/>
      <c r="Y2670" s="12"/>
      <c r="Z2670" s="12"/>
    </row>
    <row r="2671" spans="1:26" ht="15.75" customHeight="1" x14ac:dyDescent="0.3">
      <c r="A2671" s="3"/>
      <c r="B2671" s="167"/>
      <c r="C2671" s="94"/>
      <c r="D2671" s="12"/>
      <c r="E2671" s="167"/>
      <c r="F2671" s="12"/>
      <c r="G2671" s="331"/>
      <c r="H2671" s="474"/>
      <c r="I2671" s="475"/>
      <c r="J2671" s="476"/>
      <c r="K2671" s="5"/>
      <c r="L2671" s="3"/>
      <c r="M2671" s="6"/>
      <c r="N2671" s="9"/>
      <c r="O2671" s="9"/>
      <c r="P2671" s="12"/>
      <c r="Q2671" s="12"/>
      <c r="R2671" s="12"/>
      <c r="S2671" s="151"/>
      <c r="T2671" s="12"/>
      <c r="U2671" s="12"/>
      <c r="V2671" s="12"/>
      <c r="W2671" s="12"/>
      <c r="X2671" s="12"/>
      <c r="Y2671" s="12"/>
      <c r="Z2671" s="12"/>
    </row>
    <row r="2672" spans="1:26" ht="15.75" customHeight="1" x14ac:dyDescent="0.3">
      <c r="A2672" s="3"/>
      <c r="B2672" s="167"/>
      <c r="C2672" s="94"/>
      <c r="D2672" s="12"/>
      <c r="E2672" s="167"/>
      <c r="F2672" s="12"/>
      <c r="G2672" s="331"/>
      <c r="H2672" s="474"/>
      <c r="I2672" s="475"/>
      <c r="J2672" s="476"/>
      <c r="K2672" s="5"/>
      <c r="L2672" s="3"/>
      <c r="M2672" s="6"/>
      <c r="N2672" s="9"/>
      <c r="O2672" s="9"/>
      <c r="P2672" s="12"/>
      <c r="Q2672" s="12"/>
      <c r="R2672" s="12"/>
      <c r="S2672" s="151"/>
      <c r="T2672" s="12"/>
      <c r="U2672" s="12"/>
      <c r="V2672" s="12"/>
      <c r="W2672" s="12"/>
      <c r="X2672" s="12"/>
      <c r="Y2672" s="12"/>
      <c r="Z2672" s="12"/>
    </row>
    <row r="2673" spans="1:26" ht="15.75" customHeight="1" x14ac:dyDescent="0.3">
      <c r="A2673" s="3"/>
      <c r="B2673" s="167"/>
      <c r="C2673" s="94"/>
      <c r="D2673" s="12"/>
      <c r="E2673" s="167"/>
      <c r="F2673" s="12"/>
      <c r="G2673" s="331"/>
      <c r="H2673" s="474"/>
      <c r="I2673" s="475"/>
      <c r="J2673" s="476"/>
      <c r="K2673" s="5"/>
      <c r="L2673" s="3"/>
      <c r="M2673" s="6"/>
      <c r="N2673" s="9"/>
      <c r="O2673" s="9"/>
      <c r="P2673" s="12"/>
      <c r="Q2673" s="12"/>
      <c r="R2673" s="12"/>
      <c r="S2673" s="151"/>
      <c r="T2673" s="12"/>
      <c r="U2673" s="12"/>
      <c r="V2673" s="12"/>
      <c r="W2673" s="12"/>
      <c r="X2673" s="12"/>
      <c r="Y2673" s="12"/>
      <c r="Z2673" s="12"/>
    </row>
    <row r="2674" spans="1:26" ht="15.75" customHeight="1" x14ac:dyDescent="0.3">
      <c r="A2674" s="3"/>
      <c r="B2674" s="167"/>
      <c r="C2674" s="94"/>
      <c r="D2674" s="12"/>
      <c r="E2674" s="167"/>
      <c r="F2674" s="12"/>
      <c r="G2674" s="331"/>
      <c r="H2674" s="474"/>
      <c r="I2674" s="475"/>
      <c r="J2674" s="476"/>
      <c r="K2674" s="5"/>
      <c r="L2674" s="3"/>
      <c r="M2674" s="6"/>
      <c r="N2674" s="9"/>
      <c r="O2674" s="9"/>
      <c r="P2674" s="12"/>
      <c r="Q2674" s="12"/>
      <c r="R2674" s="12"/>
      <c r="S2674" s="151"/>
      <c r="T2674" s="12"/>
      <c r="U2674" s="12"/>
      <c r="V2674" s="12"/>
      <c r="W2674" s="12"/>
      <c r="X2674" s="12"/>
      <c r="Y2674" s="12"/>
      <c r="Z2674" s="12"/>
    </row>
    <row r="2675" spans="1:26" ht="15.75" customHeight="1" x14ac:dyDescent="0.3">
      <c r="A2675" s="3"/>
      <c r="B2675" s="167"/>
      <c r="C2675" s="94"/>
      <c r="D2675" s="12"/>
      <c r="E2675" s="167"/>
      <c r="F2675" s="12"/>
      <c r="G2675" s="331"/>
      <c r="H2675" s="474"/>
      <c r="I2675" s="475"/>
      <c r="J2675" s="476"/>
      <c r="K2675" s="5"/>
      <c r="L2675" s="3"/>
      <c r="M2675" s="6"/>
      <c r="N2675" s="9"/>
      <c r="O2675" s="9"/>
      <c r="P2675" s="12"/>
      <c r="Q2675" s="12"/>
      <c r="R2675" s="12"/>
      <c r="S2675" s="151"/>
      <c r="T2675" s="12"/>
      <c r="U2675" s="12"/>
      <c r="V2675" s="12"/>
      <c r="W2675" s="12"/>
      <c r="X2675" s="12"/>
      <c r="Y2675" s="12"/>
      <c r="Z2675" s="12"/>
    </row>
    <row r="2676" spans="1:26" ht="15.75" customHeight="1" x14ac:dyDescent="0.3">
      <c r="A2676" s="3"/>
      <c r="B2676" s="167"/>
      <c r="C2676" s="94"/>
      <c r="D2676" s="12"/>
      <c r="E2676" s="167"/>
      <c r="F2676" s="12"/>
      <c r="G2676" s="331"/>
      <c r="H2676" s="474"/>
      <c r="I2676" s="475"/>
      <c r="J2676" s="476"/>
      <c r="K2676" s="5"/>
      <c r="L2676" s="3"/>
      <c r="M2676" s="6"/>
      <c r="N2676" s="9"/>
      <c r="O2676" s="9"/>
      <c r="P2676" s="12"/>
      <c r="Q2676" s="12"/>
      <c r="R2676" s="12"/>
      <c r="S2676" s="151"/>
      <c r="T2676" s="12"/>
      <c r="U2676" s="12"/>
      <c r="V2676" s="12"/>
      <c r="W2676" s="12"/>
      <c r="X2676" s="12"/>
      <c r="Y2676" s="12"/>
      <c r="Z2676" s="12"/>
    </row>
    <row r="2677" spans="1:26" ht="15.75" customHeight="1" x14ac:dyDescent="0.3">
      <c r="A2677" s="3"/>
      <c r="B2677" s="167"/>
      <c r="C2677" s="94"/>
      <c r="D2677" s="12"/>
      <c r="E2677" s="167"/>
      <c r="F2677" s="12"/>
      <c r="G2677" s="331"/>
      <c r="H2677" s="474"/>
      <c r="I2677" s="475"/>
      <c r="J2677" s="476"/>
      <c r="K2677" s="5"/>
      <c r="L2677" s="3"/>
      <c r="M2677" s="6"/>
      <c r="N2677" s="9"/>
      <c r="O2677" s="9"/>
      <c r="P2677" s="12"/>
      <c r="Q2677" s="12"/>
      <c r="R2677" s="12"/>
      <c r="S2677" s="151"/>
      <c r="T2677" s="12"/>
      <c r="U2677" s="12"/>
      <c r="V2677" s="12"/>
      <c r="W2677" s="12"/>
      <c r="X2677" s="12"/>
      <c r="Y2677" s="12"/>
      <c r="Z2677" s="12"/>
    </row>
    <row r="2678" spans="1:26" ht="15.75" customHeight="1" x14ac:dyDescent="0.3">
      <c r="A2678" s="3"/>
      <c r="B2678" s="167"/>
      <c r="C2678" s="94"/>
      <c r="D2678" s="12"/>
      <c r="E2678" s="167"/>
      <c r="F2678" s="12"/>
      <c r="G2678" s="331"/>
      <c r="H2678" s="474"/>
      <c r="I2678" s="475"/>
      <c r="J2678" s="476"/>
      <c r="K2678" s="5"/>
      <c r="L2678" s="3"/>
      <c r="M2678" s="6"/>
      <c r="N2678" s="9"/>
      <c r="O2678" s="9"/>
      <c r="P2678" s="12"/>
      <c r="Q2678" s="12"/>
      <c r="R2678" s="12"/>
      <c r="S2678" s="151"/>
      <c r="T2678" s="12"/>
      <c r="U2678" s="12"/>
      <c r="V2678" s="12"/>
      <c r="W2678" s="12"/>
      <c r="X2678" s="12"/>
      <c r="Y2678" s="12"/>
      <c r="Z2678" s="12"/>
    </row>
    <row r="2679" spans="1:26" ht="15.75" customHeight="1" x14ac:dyDescent="0.3">
      <c r="A2679" s="3"/>
      <c r="B2679" s="167"/>
      <c r="C2679" s="94"/>
      <c r="D2679" s="12"/>
      <c r="E2679" s="167"/>
      <c r="F2679" s="12"/>
      <c r="G2679" s="331"/>
      <c r="H2679" s="474"/>
      <c r="I2679" s="475"/>
      <c r="J2679" s="476"/>
      <c r="K2679" s="5"/>
      <c r="L2679" s="3"/>
      <c r="M2679" s="6"/>
      <c r="N2679" s="9"/>
      <c r="O2679" s="9"/>
      <c r="P2679" s="12"/>
      <c r="Q2679" s="12"/>
      <c r="R2679" s="12"/>
      <c r="S2679" s="151"/>
      <c r="T2679" s="12"/>
      <c r="U2679" s="12"/>
      <c r="V2679" s="12"/>
      <c r="W2679" s="12"/>
      <c r="X2679" s="12"/>
      <c r="Y2679" s="12"/>
      <c r="Z2679" s="12"/>
    </row>
    <row r="2680" spans="1:26" ht="15.75" customHeight="1" x14ac:dyDescent="0.3">
      <c r="A2680" s="3"/>
      <c r="B2680" s="167"/>
      <c r="C2680" s="94"/>
      <c r="D2680" s="12"/>
      <c r="E2680" s="167"/>
      <c r="F2680" s="12"/>
      <c r="G2680" s="331"/>
      <c r="H2680" s="474"/>
      <c r="I2680" s="475"/>
      <c r="J2680" s="476"/>
      <c r="K2680" s="5"/>
      <c r="L2680" s="3"/>
      <c r="M2680" s="6"/>
      <c r="N2680" s="9"/>
      <c r="O2680" s="9"/>
      <c r="P2680" s="12"/>
      <c r="Q2680" s="12"/>
      <c r="R2680" s="12"/>
      <c r="S2680" s="151"/>
      <c r="T2680" s="12"/>
      <c r="U2680" s="12"/>
      <c r="V2680" s="12"/>
      <c r="W2680" s="12"/>
      <c r="X2680" s="12"/>
      <c r="Y2680" s="12"/>
      <c r="Z2680" s="12"/>
    </row>
    <row r="2681" spans="1:26" ht="15.75" customHeight="1" x14ac:dyDescent="0.3">
      <c r="A2681" s="3"/>
      <c r="B2681" s="167"/>
      <c r="C2681" s="94"/>
      <c r="D2681" s="12"/>
      <c r="E2681" s="167"/>
      <c r="F2681" s="12"/>
      <c r="G2681" s="331"/>
      <c r="H2681" s="474"/>
      <c r="I2681" s="475"/>
      <c r="J2681" s="476"/>
      <c r="K2681" s="5"/>
      <c r="L2681" s="3"/>
      <c r="M2681" s="6"/>
      <c r="N2681" s="9"/>
      <c r="O2681" s="9"/>
      <c r="P2681" s="12"/>
      <c r="Q2681" s="12"/>
      <c r="R2681" s="12"/>
      <c r="S2681" s="151"/>
      <c r="T2681" s="12"/>
      <c r="U2681" s="12"/>
      <c r="V2681" s="12"/>
      <c r="W2681" s="12"/>
      <c r="X2681" s="12"/>
      <c r="Y2681" s="12"/>
      <c r="Z2681" s="12"/>
    </row>
    <row r="2682" spans="1:26" ht="15.75" customHeight="1" x14ac:dyDescent="0.3">
      <c r="A2682" s="3"/>
      <c r="B2682" s="167"/>
      <c r="C2682" s="94"/>
      <c r="D2682" s="12"/>
      <c r="E2682" s="167"/>
      <c r="F2682" s="12"/>
      <c r="G2682" s="331"/>
      <c r="H2682" s="474"/>
      <c r="I2682" s="475"/>
      <c r="J2682" s="476"/>
      <c r="K2682" s="5"/>
      <c r="L2682" s="3"/>
      <c r="M2682" s="6"/>
      <c r="N2682" s="9"/>
      <c r="O2682" s="9"/>
      <c r="P2682" s="12"/>
      <c r="Q2682" s="12"/>
      <c r="R2682" s="12"/>
      <c r="S2682" s="151"/>
      <c r="T2682" s="12"/>
      <c r="U2682" s="12"/>
      <c r="V2682" s="12"/>
      <c r="W2682" s="12"/>
      <c r="X2682" s="12"/>
      <c r="Y2682" s="12"/>
      <c r="Z2682" s="12"/>
    </row>
    <row r="2683" spans="1:26" ht="15.75" customHeight="1" x14ac:dyDescent="0.3">
      <c r="A2683" s="3"/>
      <c r="B2683" s="167"/>
      <c r="C2683" s="94"/>
      <c r="D2683" s="12"/>
      <c r="E2683" s="167"/>
      <c r="F2683" s="12"/>
      <c r="G2683" s="331"/>
      <c r="H2683" s="474"/>
      <c r="I2683" s="475"/>
      <c r="J2683" s="476"/>
      <c r="K2683" s="5"/>
      <c r="L2683" s="3"/>
      <c r="M2683" s="6"/>
      <c r="N2683" s="9"/>
      <c r="O2683" s="9"/>
      <c r="P2683" s="12"/>
      <c r="Q2683" s="12"/>
      <c r="R2683" s="12"/>
      <c r="S2683" s="151"/>
      <c r="T2683" s="12"/>
      <c r="U2683" s="12"/>
      <c r="V2683" s="12"/>
      <c r="W2683" s="12"/>
      <c r="X2683" s="12"/>
      <c r="Y2683" s="12"/>
      <c r="Z2683" s="12"/>
    </row>
    <row r="2684" spans="1:26" ht="15.75" customHeight="1" x14ac:dyDescent="0.3">
      <c r="A2684" s="3"/>
      <c r="B2684" s="167"/>
      <c r="C2684" s="94"/>
      <c r="D2684" s="12"/>
      <c r="E2684" s="167"/>
      <c r="F2684" s="12"/>
      <c r="G2684" s="331"/>
      <c r="H2684" s="474"/>
      <c r="I2684" s="475"/>
      <c r="J2684" s="476"/>
      <c r="K2684" s="5"/>
      <c r="L2684" s="3"/>
      <c r="M2684" s="6"/>
      <c r="N2684" s="9"/>
      <c r="O2684" s="9"/>
      <c r="P2684" s="12"/>
      <c r="Q2684" s="12"/>
      <c r="R2684" s="12"/>
      <c r="S2684" s="151"/>
      <c r="T2684" s="12"/>
      <c r="U2684" s="12"/>
      <c r="V2684" s="12"/>
      <c r="W2684" s="12"/>
      <c r="X2684" s="12"/>
      <c r="Y2684" s="12"/>
      <c r="Z2684" s="12"/>
    </row>
    <row r="2685" spans="1:26" ht="15.75" customHeight="1" x14ac:dyDescent="0.3">
      <c r="A2685" s="3"/>
      <c r="B2685" s="167"/>
      <c r="C2685" s="94"/>
      <c r="D2685" s="12"/>
      <c r="E2685" s="167"/>
      <c r="F2685" s="12"/>
      <c r="G2685" s="331"/>
      <c r="H2685" s="474"/>
      <c r="I2685" s="475"/>
      <c r="J2685" s="476"/>
      <c r="K2685" s="5"/>
      <c r="L2685" s="3"/>
      <c r="M2685" s="6"/>
      <c r="N2685" s="9"/>
      <c r="O2685" s="9"/>
      <c r="P2685" s="12"/>
      <c r="Q2685" s="12"/>
      <c r="R2685" s="12"/>
      <c r="S2685" s="151"/>
      <c r="T2685" s="12"/>
      <c r="U2685" s="12"/>
      <c r="V2685" s="12"/>
      <c r="W2685" s="12"/>
      <c r="X2685" s="12"/>
      <c r="Y2685" s="12"/>
      <c r="Z2685" s="12"/>
    </row>
    <row r="2686" spans="1:26" ht="15.75" customHeight="1" x14ac:dyDescent="0.3">
      <c r="A2686" s="3"/>
      <c r="B2686" s="167"/>
      <c r="C2686" s="94"/>
      <c r="D2686" s="12"/>
      <c r="E2686" s="167"/>
      <c r="F2686" s="12"/>
      <c r="G2686" s="331"/>
      <c r="H2686" s="474"/>
      <c r="I2686" s="475"/>
      <c r="J2686" s="476"/>
      <c r="K2686" s="5"/>
      <c r="L2686" s="3"/>
      <c r="M2686" s="6"/>
      <c r="N2686" s="9"/>
      <c r="O2686" s="9"/>
      <c r="P2686" s="12"/>
      <c r="Q2686" s="12"/>
      <c r="R2686" s="12"/>
      <c r="S2686" s="151"/>
      <c r="T2686" s="12"/>
      <c r="U2686" s="12"/>
      <c r="V2686" s="12"/>
      <c r="W2686" s="12"/>
      <c r="X2686" s="12"/>
      <c r="Y2686" s="12"/>
      <c r="Z2686" s="12"/>
    </row>
    <row r="2687" spans="1:26" ht="15.75" customHeight="1" x14ac:dyDescent="0.3">
      <c r="A2687" s="3"/>
      <c r="B2687" s="167"/>
      <c r="C2687" s="94"/>
      <c r="D2687" s="12"/>
      <c r="E2687" s="167"/>
      <c r="F2687" s="12"/>
      <c r="G2687" s="331"/>
      <c r="H2687" s="474"/>
      <c r="I2687" s="475"/>
      <c r="J2687" s="476"/>
      <c r="K2687" s="5"/>
      <c r="L2687" s="3"/>
      <c r="M2687" s="6"/>
      <c r="N2687" s="9"/>
      <c r="O2687" s="9"/>
      <c r="P2687" s="12"/>
      <c r="Q2687" s="12"/>
      <c r="R2687" s="12"/>
      <c r="S2687" s="151"/>
      <c r="T2687" s="12"/>
      <c r="U2687" s="12"/>
      <c r="V2687" s="12"/>
      <c r="W2687" s="12"/>
      <c r="X2687" s="12"/>
      <c r="Y2687" s="12"/>
      <c r="Z2687" s="12"/>
    </row>
    <row r="2688" spans="1:26" ht="15.75" customHeight="1" x14ac:dyDescent="0.3">
      <c r="A2688" s="3"/>
      <c r="B2688" s="167"/>
      <c r="C2688" s="94"/>
      <c r="D2688" s="12"/>
      <c r="E2688" s="167"/>
      <c r="F2688" s="12"/>
      <c r="G2688" s="331"/>
      <c r="H2688" s="474"/>
      <c r="I2688" s="475"/>
      <c r="J2688" s="476"/>
      <c r="K2688" s="5"/>
      <c r="L2688" s="3"/>
      <c r="M2688" s="6"/>
      <c r="N2688" s="9"/>
      <c r="O2688" s="9"/>
      <c r="P2688" s="12"/>
      <c r="Q2688" s="12"/>
      <c r="R2688" s="12"/>
      <c r="S2688" s="151"/>
      <c r="T2688" s="12"/>
      <c r="U2688" s="12"/>
      <c r="V2688" s="12"/>
      <c r="W2688" s="12"/>
      <c r="X2688" s="12"/>
      <c r="Y2688" s="12"/>
      <c r="Z2688" s="12"/>
    </row>
    <row r="2689" spans="1:26" ht="15.75" customHeight="1" x14ac:dyDescent="0.3">
      <c r="A2689" s="3"/>
      <c r="B2689" s="167"/>
      <c r="C2689" s="94"/>
      <c r="D2689" s="12"/>
      <c r="E2689" s="167"/>
      <c r="F2689" s="12"/>
      <c r="G2689" s="331"/>
      <c r="H2689" s="474"/>
      <c r="I2689" s="475"/>
      <c r="J2689" s="476"/>
      <c r="K2689" s="5"/>
      <c r="L2689" s="3"/>
      <c r="M2689" s="6"/>
      <c r="N2689" s="9"/>
      <c r="O2689" s="9"/>
      <c r="P2689" s="12"/>
      <c r="Q2689" s="12"/>
      <c r="R2689" s="12"/>
      <c r="S2689" s="151"/>
      <c r="T2689" s="12"/>
      <c r="U2689" s="12"/>
      <c r="V2689" s="12"/>
      <c r="W2689" s="12"/>
      <c r="X2689" s="12"/>
      <c r="Y2689" s="12"/>
      <c r="Z2689" s="12"/>
    </row>
    <row r="2690" spans="1:26" ht="15.75" customHeight="1" x14ac:dyDescent="0.3">
      <c r="A2690" s="3"/>
      <c r="B2690" s="167"/>
      <c r="C2690" s="94"/>
      <c r="D2690" s="12"/>
      <c r="E2690" s="167"/>
      <c r="F2690" s="12"/>
      <c r="G2690" s="331"/>
      <c r="H2690" s="474"/>
      <c r="I2690" s="475"/>
      <c r="J2690" s="476"/>
      <c r="K2690" s="5"/>
      <c r="L2690" s="3"/>
      <c r="M2690" s="6"/>
      <c r="N2690" s="9"/>
      <c r="O2690" s="9"/>
      <c r="P2690" s="12"/>
      <c r="Q2690" s="12"/>
      <c r="R2690" s="12"/>
      <c r="S2690" s="151"/>
      <c r="T2690" s="12"/>
      <c r="U2690" s="12"/>
      <c r="V2690" s="12"/>
      <c r="W2690" s="12"/>
      <c r="X2690" s="12"/>
      <c r="Y2690" s="12"/>
      <c r="Z2690" s="12"/>
    </row>
    <row r="2691" spans="1:26" ht="15.75" customHeight="1" x14ac:dyDescent="0.3">
      <c r="A2691" s="3"/>
      <c r="B2691" s="167"/>
      <c r="C2691" s="94"/>
      <c r="D2691" s="12"/>
      <c r="E2691" s="167"/>
      <c r="F2691" s="12"/>
      <c r="G2691" s="331"/>
      <c r="H2691" s="474"/>
      <c r="I2691" s="475"/>
      <c r="J2691" s="476"/>
      <c r="K2691" s="5"/>
      <c r="L2691" s="3"/>
      <c r="M2691" s="6"/>
      <c r="N2691" s="9"/>
      <c r="O2691" s="9"/>
      <c r="P2691" s="12"/>
      <c r="Q2691" s="12"/>
      <c r="R2691" s="12"/>
      <c r="S2691" s="151"/>
      <c r="T2691" s="12"/>
      <c r="U2691" s="12"/>
      <c r="V2691" s="12"/>
      <c r="W2691" s="12"/>
      <c r="X2691" s="12"/>
      <c r="Y2691" s="12"/>
      <c r="Z2691" s="12"/>
    </row>
    <row r="2692" spans="1:26" ht="15.75" customHeight="1" x14ac:dyDescent="0.3">
      <c r="A2692" s="3"/>
      <c r="B2692" s="167"/>
      <c r="C2692" s="94"/>
      <c r="D2692" s="12"/>
      <c r="E2692" s="167"/>
      <c r="F2692" s="12"/>
      <c r="G2692" s="331"/>
      <c r="H2692" s="474"/>
      <c r="I2692" s="475"/>
      <c r="J2692" s="476"/>
      <c r="K2692" s="5"/>
      <c r="L2692" s="3"/>
      <c r="M2692" s="6"/>
      <c r="N2692" s="9"/>
      <c r="O2692" s="9"/>
      <c r="P2692" s="12"/>
      <c r="Q2692" s="12"/>
      <c r="R2692" s="12"/>
      <c r="S2692" s="151"/>
      <c r="T2692" s="12"/>
      <c r="U2692" s="12"/>
      <c r="V2692" s="12"/>
      <c r="W2692" s="12"/>
      <c r="X2692" s="12"/>
      <c r="Y2692" s="12"/>
      <c r="Z2692" s="12"/>
    </row>
    <row r="2693" spans="1:26" ht="15.75" customHeight="1" x14ac:dyDescent="0.3">
      <c r="A2693" s="3"/>
      <c r="B2693" s="167"/>
      <c r="C2693" s="94"/>
      <c r="D2693" s="12"/>
      <c r="E2693" s="167"/>
      <c r="F2693" s="12"/>
      <c r="G2693" s="331"/>
      <c r="H2693" s="474"/>
      <c r="I2693" s="475"/>
      <c r="J2693" s="476"/>
      <c r="K2693" s="5"/>
      <c r="L2693" s="3"/>
      <c r="M2693" s="6"/>
      <c r="N2693" s="9"/>
      <c r="O2693" s="9"/>
      <c r="P2693" s="12"/>
      <c r="Q2693" s="12"/>
      <c r="R2693" s="12"/>
      <c r="S2693" s="151"/>
      <c r="T2693" s="12"/>
      <c r="U2693" s="12"/>
      <c r="V2693" s="12"/>
      <c r="W2693" s="12"/>
      <c r="X2693" s="12"/>
      <c r="Y2693" s="12"/>
      <c r="Z2693" s="12"/>
    </row>
    <row r="2694" spans="1:26" ht="15.75" customHeight="1" x14ac:dyDescent="0.3">
      <c r="A2694" s="3"/>
      <c r="B2694" s="167"/>
      <c r="C2694" s="94"/>
      <c r="D2694" s="12"/>
      <c r="E2694" s="167"/>
      <c r="F2694" s="12"/>
      <c r="G2694" s="331"/>
      <c r="H2694" s="474"/>
      <c r="I2694" s="475"/>
      <c r="J2694" s="476"/>
      <c r="K2694" s="5"/>
      <c r="L2694" s="3"/>
      <c r="M2694" s="6"/>
      <c r="N2694" s="9"/>
      <c r="O2694" s="9"/>
      <c r="P2694" s="12"/>
      <c r="Q2694" s="12"/>
      <c r="R2694" s="12"/>
      <c r="S2694" s="151"/>
      <c r="T2694" s="12"/>
      <c r="U2694" s="12"/>
      <c r="V2694" s="12"/>
      <c r="W2694" s="12"/>
      <c r="X2694" s="12"/>
      <c r="Y2694" s="12"/>
      <c r="Z2694" s="12"/>
    </row>
    <row r="2695" spans="1:26" ht="15.75" customHeight="1" x14ac:dyDescent="0.3">
      <c r="A2695" s="3"/>
      <c r="B2695" s="167"/>
      <c r="C2695" s="94"/>
      <c r="D2695" s="12"/>
      <c r="E2695" s="167"/>
      <c r="F2695" s="12"/>
      <c r="G2695" s="331"/>
      <c r="H2695" s="474"/>
      <c r="I2695" s="475"/>
      <c r="J2695" s="476"/>
      <c r="K2695" s="5"/>
      <c r="L2695" s="3"/>
      <c r="M2695" s="6"/>
      <c r="N2695" s="9"/>
      <c r="O2695" s="9"/>
      <c r="P2695" s="12"/>
      <c r="Q2695" s="12"/>
      <c r="R2695" s="12"/>
      <c r="S2695" s="151"/>
      <c r="T2695" s="12"/>
      <c r="U2695" s="12"/>
      <c r="V2695" s="12"/>
      <c r="W2695" s="12"/>
      <c r="X2695" s="12"/>
      <c r="Y2695" s="12"/>
      <c r="Z2695" s="12"/>
    </row>
    <row r="2696" spans="1:26" ht="15.75" customHeight="1" x14ac:dyDescent="0.3">
      <c r="A2696" s="3"/>
      <c r="B2696" s="167"/>
      <c r="C2696" s="94"/>
      <c r="D2696" s="12"/>
      <c r="E2696" s="167"/>
      <c r="F2696" s="12"/>
      <c r="G2696" s="331"/>
      <c r="H2696" s="474"/>
      <c r="I2696" s="475"/>
      <c r="J2696" s="476"/>
      <c r="K2696" s="5"/>
      <c r="L2696" s="3"/>
      <c r="M2696" s="6"/>
      <c r="N2696" s="9"/>
      <c r="O2696" s="9"/>
      <c r="P2696" s="12"/>
      <c r="Q2696" s="12"/>
      <c r="R2696" s="12"/>
      <c r="S2696" s="151"/>
      <c r="T2696" s="12"/>
      <c r="U2696" s="12"/>
      <c r="V2696" s="12"/>
      <c r="W2696" s="12"/>
      <c r="X2696" s="12"/>
      <c r="Y2696" s="12"/>
      <c r="Z2696" s="12"/>
    </row>
    <row r="2697" spans="1:26" ht="15.75" customHeight="1" x14ac:dyDescent="0.3">
      <c r="A2697" s="3"/>
      <c r="B2697" s="167"/>
      <c r="C2697" s="94"/>
      <c r="D2697" s="12"/>
      <c r="E2697" s="167"/>
      <c r="F2697" s="12"/>
      <c r="G2697" s="331"/>
      <c r="H2697" s="474"/>
      <c r="I2697" s="475"/>
      <c r="J2697" s="476"/>
      <c r="K2697" s="5"/>
      <c r="L2697" s="3"/>
      <c r="M2697" s="6"/>
      <c r="N2697" s="9"/>
      <c r="O2697" s="9"/>
      <c r="P2697" s="12"/>
      <c r="Q2697" s="12"/>
      <c r="R2697" s="12"/>
      <c r="S2697" s="151"/>
      <c r="T2697" s="12"/>
      <c r="U2697" s="12"/>
      <c r="V2697" s="12"/>
      <c r="W2697" s="12"/>
      <c r="X2697" s="12"/>
      <c r="Y2697" s="12"/>
      <c r="Z2697" s="12"/>
    </row>
    <row r="2698" spans="1:26" ht="15.75" customHeight="1" x14ac:dyDescent="0.3">
      <c r="A2698" s="3"/>
      <c r="B2698" s="167"/>
      <c r="C2698" s="94"/>
      <c r="D2698" s="12"/>
      <c r="E2698" s="167"/>
      <c r="F2698" s="12"/>
      <c r="G2698" s="331"/>
      <c r="H2698" s="474"/>
      <c r="I2698" s="475"/>
      <c r="J2698" s="476"/>
      <c r="K2698" s="5"/>
      <c r="L2698" s="3"/>
      <c r="M2698" s="6"/>
      <c r="N2698" s="9"/>
      <c r="O2698" s="9"/>
      <c r="P2698" s="12"/>
      <c r="Q2698" s="12"/>
      <c r="R2698" s="12"/>
      <c r="S2698" s="151"/>
      <c r="T2698" s="12"/>
      <c r="U2698" s="12"/>
      <c r="V2698" s="12"/>
      <c r="W2698" s="12"/>
      <c r="X2698" s="12"/>
      <c r="Y2698" s="12"/>
      <c r="Z2698" s="12"/>
    </row>
    <row r="2699" spans="1:26" ht="15.75" customHeight="1" x14ac:dyDescent="0.3">
      <c r="A2699" s="3"/>
      <c r="B2699" s="167"/>
      <c r="C2699" s="94"/>
      <c r="D2699" s="12"/>
      <c r="E2699" s="167"/>
      <c r="F2699" s="12"/>
      <c r="G2699" s="331"/>
      <c r="H2699" s="474"/>
      <c r="I2699" s="475"/>
      <c r="J2699" s="476"/>
      <c r="K2699" s="5"/>
      <c r="L2699" s="3"/>
      <c r="M2699" s="6"/>
      <c r="N2699" s="9"/>
      <c r="O2699" s="9"/>
      <c r="P2699" s="12"/>
      <c r="Q2699" s="12"/>
      <c r="R2699" s="12"/>
      <c r="S2699" s="151"/>
      <c r="T2699" s="12"/>
      <c r="U2699" s="12"/>
      <c r="V2699" s="12"/>
      <c r="W2699" s="12"/>
      <c r="X2699" s="12"/>
      <c r="Y2699" s="12"/>
      <c r="Z2699" s="12"/>
    </row>
    <row r="2700" spans="1:26" ht="15.75" customHeight="1" x14ac:dyDescent="0.3">
      <c r="A2700" s="3"/>
      <c r="B2700" s="167"/>
      <c r="C2700" s="94"/>
      <c r="D2700" s="12"/>
      <c r="E2700" s="167"/>
      <c r="F2700" s="12"/>
      <c r="G2700" s="331"/>
      <c r="H2700" s="474"/>
      <c r="I2700" s="475"/>
      <c r="J2700" s="476"/>
      <c r="K2700" s="5"/>
      <c r="L2700" s="3"/>
      <c r="M2700" s="6"/>
      <c r="N2700" s="9"/>
      <c r="O2700" s="9"/>
      <c r="P2700" s="12"/>
      <c r="Q2700" s="12"/>
      <c r="R2700" s="12"/>
      <c r="S2700" s="151"/>
      <c r="T2700" s="12"/>
      <c r="U2700" s="12"/>
      <c r="V2700" s="12"/>
      <c r="W2700" s="12"/>
      <c r="X2700" s="12"/>
      <c r="Y2700" s="12"/>
      <c r="Z2700" s="12"/>
    </row>
    <row r="2701" spans="1:26" ht="15.75" customHeight="1" x14ac:dyDescent="0.3">
      <c r="A2701" s="3"/>
      <c r="B2701" s="167"/>
      <c r="C2701" s="94"/>
      <c r="D2701" s="12"/>
      <c r="E2701" s="167"/>
      <c r="F2701" s="12"/>
      <c r="G2701" s="331"/>
      <c r="H2701" s="474"/>
      <c r="I2701" s="475"/>
      <c r="J2701" s="476"/>
      <c r="K2701" s="5"/>
      <c r="L2701" s="3"/>
      <c r="M2701" s="6"/>
      <c r="N2701" s="9"/>
      <c r="O2701" s="9"/>
      <c r="P2701" s="12"/>
      <c r="Q2701" s="12"/>
      <c r="R2701" s="12"/>
      <c r="S2701" s="151"/>
      <c r="T2701" s="12"/>
      <c r="U2701" s="12"/>
      <c r="V2701" s="12"/>
      <c r="W2701" s="12"/>
      <c r="X2701" s="12"/>
      <c r="Y2701" s="12"/>
      <c r="Z2701" s="12"/>
    </row>
    <row r="2702" spans="1:26" ht="15.75" customHeight="1" x14ac:dyDescent="0.3">
      <c r="A2702" s="3"/>
      <c r="B2702" s="167"/>
      <c r="C2702" s="94"/>
      <c r="D2702" s="12"/>
      <c r="E2702" s="167"/>
      <c r="F2702" s="12"/>
      <c r="G2702" s="331"/>
      <c r="H2702" s="474"/>
      <c r="I2702" s="475"/>
      <c r="J2702" s="476"/>
      <c r="K2702" s="5"/>
      <c r="L2702" s="3"/>
      <c r="M2702" s="6"/>
      <c r="N2702" s="9"/>
      <c r="O2702" s="9"/>
      <c r="P2702" s="12"/>
      <c r="Q2702" s="12"/>
      <c r="R2702" s="12"/>
      <c r="S2702" s="151"/>
      <c r="T2702" s="12"/>
      <c r="U2702" s="12"/>
      <c r="V2702" s="12"/>
      <c r="W2702" s="12"/>
      <c r="X2702" s="12"/>
      <c r="Y2702" s="12"/>
      <c r="Z2702" s="12"/>
    </row>
    <row r="2703" spans="1:26" ht="15.75" customHeight="1" x14ac:dyDescent="0.3">
      <c r="A2703" s="3"/>
      <c r="B2703" s="167"/>
      <c r="C2703" s="94"/>
      <c r="D2703" s="12"/>
      <c r="E2703" s="167"/>
      <c r="F2703" s="12"/>
      <c r="G2703" s="331"/>
      <c r="H2703" s="474"/>
      <c r="I2703" s="475"/>
      <c r="J2703" s="476"/>
      <c r="K2703" s="5"/>
      <c r="L2703" s="3"/>
      <c r="M2703" s="6"/>
      <c r="N2703" s="9"/>
      <c r="O2703" s="9"/>
      <c r="P2703" s="12"/>
      <c r="Q2703" s="12"/>
      <c r="R2703" s="12"/>
      <c r="S2703" s="151"/>
      <c r="T2703" s="12"/>
      <c r="U2703" s="12"/>
      <c r="V2703" s="12"/>
      <c r="W2703" s="12"/>
      <c r="X2703" s="12"/>
      <c r="Y2703" s="12"/>
      <c r="Z2703" s="12"/>
    </row>
    <row r="2704" spans="1:26" ht="15.75" customHeight="1" x14ac:dyDescent="0.3">
      <c r="A2704" s="3"/>
      <c r="B2704" s="167"/>
      <c r="C2704" s="94"/>
      <c r="D2704" s="12"/>
      <c r="E2704" s="167"/>
      <c r="F2704" s="12"/>
      <c r="G2704" s="331"/>
      <c r="H2704" s="474"/>
      <c r="I2704" s="475"/>
      <c r="J2704" s="476"/>
      <c r="K2704" s="5"/>
      <c r="L2704" s="3"/>
      <c r="M2704" s="6"/>
      <c r="N2704" s="9"/>
      <c r="O2704" s="9"/>
      <c r="P2704" s="12"/>
      <c r="Q2704" s="12"/>
      <c r="R2704" s="12"/>
      <c r="S2704" s="151"/>
      <c r="T2704" s="12"/>
      <c r="U2704" s="12"/>
      <c r="V2704" s="12"/>
      <c r="W2704" s="12"/>
      <c r="X2704" s="12"/>
      <c r="Y2704" s="12"/>
      <c r="Z2704" s="12"/>
    </row>
    <row r="2705" spans="1:26" ht="15.75" customHeight="1" x14ac:dyDescent="0.3">
      <c r="A2705" s="3"/>
      <c r="B2705" s="167"/>
      <c r="C2705" s="94"/>
      <c r="D2705" s="12"/>
      <c r="E2705" s="167"/>
      <c r="F2705" s="12"/>
      <c r="G2705" s="331"/>
      <c r="H2705" s="474"/>
      <c r="I2705" s="475"/>
      <c r="J2705" s="476"/>
      <c r="K2705" s="5"/>
      <c r="L2705" s="3"/>
      <c r="M2705" s="6"/>
      <c r="N2705" s="9"/>
      <c r="O2705" s="9"/>
      <c r="P2705" s="12"/>
      <c r="Q2705" s="12"/>
      <c r="R2705" s="12"/>
      <c r="S2705" s="151"/>
      <c r="T2705" s="12"/>
      <c r="U2705" s="12"/>
      <c r="V2705" s="12"/>
      <c r="W2705" s="12"/>
      <c r="X2705" s="12"/>
      <c r="Y2705" s="12"/>
      <c r="Z2705" s="12"/>
    </row>
    <row r="2706" spans="1:26" ht="15.75" customHeight="1" x14ac:dyDescent="0.3">
      <c r="A2706" s="3"/>
      <c r="B2706" s="167"/>
      <c r="C2706" s="94"/>
      <c r="D2706" s="12"/>
      <c r="E2706" s="167"/>
      <c r="F2706" s="12"/>
      <c r="G2706" s="331"/>
      <c r="H2706" s="474"/>
      <c r="I2706" s="475"/>
      <c r="J2706" s="476"/>
      <c r="K2706" s="5"/>
      <c r="L2706" s="3"/>
      <c r="M2706" s="6"/>
      <c r="N2706" s="9"/>
      <c r="O2706" s="9"/>
      <c r="P2706" s="12"/>
      <c r="Q2706" s="12"/>
      <c r="R2706" s="12"/>
      <c r="S2706" s="151"/>
      <c r="T2706" s="12"/>
      <c r="U2706" s="12"/>
      <c r="V2706" s="12"/>
      <c r="W2706" s="12"/>
      <c r="X2706" s="12"/>
      <c r="Y2706" s="12"/>
      <c r="Z2706" s="12"/>
    </row>
    <row r="2707" spans="1:26" ht="15.75" customHeight="1" x14ac:dyDescent="0.3">
      <c r="A2707" s="3"/>
      <c r="B2707" s="167"/>
      <c r="C2707" s="94"/>
      <c r="D2707" s="12"/>
      <c r="E2707" s="167"/>
      <c r="F2707" s="12"/>
      <c r="G2707" s="331"/>
      <c r="H2707" s="474"/>
      <c r="I2707" s="475"/>
      <c r="J2707" s="476"/>
      <c r="K2707" s="5"/>
      <c r="L2707" s="3"/>
      <c r="M2707" s="6"/>
      <c r="N2707" s="9"/>
      <c r="O2707" s="9"/>
      <c r="P2707" s="12"/>
      <c r="Q2707" s="12"/>
      <c r="R2707" s="12"/>
      <c r="S2707" s="151"/>
      <c r="T2707" s="12"/>
      <c r="U2707" s="12"/>
      <c r="V2707" s="12"/>
      <c r="W2707" s="12"/>
      <c r="X2707" s="12"/>
      <c r="Y2707" s="12"/>
      <c r="Z2707" s="12"/>
    </row>
    <row r="2708" spans="1:26" ht="15.75" customHeight="1" x14ac:dyDescent="0.3">
      <c r="A2708" s="3"/>
      <c r="B2708" s="167"/>
      <c r="C2708" s="94"/>
      <c r="D2708" s="12"/>
      <c r="E2708" s="167"/>
      <c r="F2708" s="12"/>
      <c r="G2708" s="331"/>
      <c r="H2708" s="474"/>
      <c r="I2708" s="475"/>
      <c r="J2708" s="476"/>
      <c r="K2708" s="5"/>
      <c r="L2708" s="3"/>
      <c r="M2708" s="6"/>
      <c r="N2708" s="9"/>
      <c r="O2708" s="9"/>
      <c r="P2708" s="12"/>
      <c r="Q2708" s="12"/>
      <c r="R2708" s="12"/>
      <c r="S2708" s="151"/>
      <c r="T2708" s="12"/>
      <c r="U2708" s="12"/>
      <c r="V2708" s="12"/>
      <c r="W2708" s="12"/>
      <c r="X2708" s="12"/>
      <c r="Y2708" s="12"/>
      <c r="Z2708" s="12"/>
    </row>
    <row r="2709" spans="1:26" ht="15.75" customHeight="1" x14ac:dyDescent="0.3">
      <c r="A2709" s="3"/>
      <c r="B2709" s="167"/>
      <c r="C2709" s="94"/>
      <c r="D2709" s="12"/>
      <c r="E2709" s="167"/>
      <c r="F2709" s="12"/>
      <c r="G2709" s="331"/>
      <c r="H2709" s="474"/>
      <c r="I2709" s="475"/>
      <c r="J2709" s="476"/>
      <c r="K2709" s="5"/>
      <c r="L2709" s="3"/>
      <c r="M2709" s="6"/>
      <c r="N2709" s="9"/>
      <c r="O2709" s="9"/>
      <c r="P2709" s="12"/>
      <c r="Q2709" s="12"/>
      <c r="R2709" s="12"/>
      <c r="S2709" s="151"/>
      <c r="T2709" s="12"/>
      <c r="U2709" s="12"/>
      <c r="V2709" s="12"/>
      <c r="W2709" s="12"/>
      <c r="X2709" s="12"/>
      <c r="Y2709" s="12"/>
      <c r="Z2709" s="12"/>
    </row>
    <row r="2710" spans="1:26" ht="15.75" customHeight="1" x14ac:dyDescent="0.3">
      <c r="A2710" s="3"/>
      <c r="B2710" s="167"/>
      <c r="C2710" s="94"/>
      <c r="D2710" s="12"/>
      <c r="E2710" s="167"/>
      <c r="F2710" s="12"/>
      <c r="G2710" s="331"/>
      <c r="H2710" s="474"/>
      <c r="I2710" s="475"/>
      <c r="J2710" s="476"/>
      <c r="K2710" s="5"/>
      <c r="L2710" s="3"/>
      <c r="M2710" s="6"/>
      <c r="N2710" s="9"/>
      <c r="O2710" s="9"/>
      <c r="P2710" s="12"/>
      <c r="Q2710" s="12"/>
      <c r="R2710" s="12"/>
      <c r="S2710" s="151"/>
      <c r="T2710" s="12"/>
      <c r="U2710" s="12"/>
      <c r="V2710" s="12"/>
      <c r="W2710" s="12"/>
      <c r="X2710" s="12"/>
      <c r="Y2710" s="12"/>
      <c r="Z2710" s="12"/>
    </row>
    <row r="2711" spans="1:26" ht="15.75" customHeight="1" x14ac:dyDescent="0.3">
      <c r="A2711" s="3"/>
      <c r="B2711" s="167"/>
      <c r="C2711" s="94"/>
      <c r="D2711" s="12"/>
      <c r="E2711" s="167"/>
      <c r="F2711" s="12"/>
      <c r="G2711" s="331"/>
      <c r="H2711" s="474"/>
      <c r="I2711" s="475"/>
      <c r="J2711" s="476"/>
      <c r="K2711" s="5"/>
      <c r="L2711" s="3"/>
      <c r="M2711" s="6"/>
      <c r="N2711" s="9"/>
      <c r="O2711" s="9"/>
      <c r="P2711" s="12"/>
      <c r="Q2711" s="12"/>
      <c r="R2711" s="12"/>
      <c r="S2711" s="151"/>
      <c r="T2711" s="12"/>
      <c r="U2711" s="12"/>
      <c r="V2711" s="12"/>
      <c r="W2711" s="12"/>
      <c r="X2711" s="12"/>
      <c r="Y2711" s="12"/>
      <c r="Z2711" s="12"/>
    </row>
    <row r="2712" spans="1:26" ht="15.75" customHeight="1" x14ac:dyDescent="0.3">
      <c r="A2712" s="3"/>
      <c r="B2712" s="167"/>
      <c r="C2712" s="94"/>
      <c r="D2712" s="12"/>
      <c r="E2712" s="167"/>
      <c r="F2712" s="12"/>
      <c r="G2712" s="331"/>
      <c r="H2712" s="474"/>
      <c r="I2712" s="475"/>
      <c r="J2712" s="476"/>
      <c r="K2712" s="5"/>
      <c r="L2712" s="3"/>
      <c r="M2712" s="6"/>
      <c r="N2712" s="9"/>
      <c r="O2712" s="9"/>
      <c r="P2712" s="12"/>
      <c r="Q2712" s="12"/>
      <c r="R2712" s="12"/>
      <c r="S2712" s="151"/>
      <c r="T2712" s="12"/>
      <c r="U2712" s="12"/>
      <c r="V2712" s="12"/>
      <c r="W2712" s="12"/>
      <c r="X2712" s="12"/>
      <c r="Y2712" s="12"/>
      <c r="Z2712" s="12"/>
    </row>
    <row r="2713" spans="1:26" ht="15.75" customHeight="1" x14ac:dyDescent="0.3">
      <c r="A2713" s="3"/>
      <c r="B2713" s="167"/>
      <c r="C2713" s="94"/>
      <c r="D2713" s="12"/>
      <c r="E2713" s="167"/>
      <c r="F2713" s="12"/>
      <c r="G2713" s="331"/>
      <c r="H2713" s="474"/>
      <c r="I2713" s="475"/>
      <c r="J2713" s="476"/>
      <c r="K2713" s="5"/>
      <c r="L2713" s="3"/>
      <c r="M2713" s="6"/>
      <c r="N2713" s="9"/>
      <c r="O2713" s="9"/>
      <c r="P2713" s="12"/>
      <c r="Q2713" s="12"/>
      <c r="R2713" s="12"/>
      <c r="S2713" s="151"/>
      <c r="T2713" s="12"/>
      <c r="U2713" s="12"/>
      <c r="V2713" s="12"/>
      <c r="W2713" s="12"/>
      <c r="X2713" s="12"/>
      <c r="Y2713" s="12"/>
      <c r="Z2713" s="12"/>
    </row>
    <row r="2714" spans="1:26" ht="15.75" customHeight="1" x14ac:dyDescent="0.3">
      <c r="A2714" s="3"/>
      <c r="B2714" s="167"/>
      <c r="C2714" s="94"/>
      <c r="D2714" s="12"/>
      <c r="E2714" s="167"/>
      <c r="F2714" s="12"/>
      <c r="G2714" s="331"/>
      <c r="H2714" s="474"/>
      <c r="I2714" s="475"/>
      <c r="J2714" s="476"/>
      <c r="K2714" s="5"/>
      <c r="L2714" s="3"/>
      <c r="M2714" s="6"/>
      <c r="N2714" s="9"/>
      <c r="O2714" s="9"/>
      <c r="P2714" s="12"/>
      <c r="Q2714" s="12"/>
      <c r="R2714" s="12"/>
      <c r="S2714" s="151"/>
      <c r="T2714" s="12"/>
      <c r="U2714" s="12"/>
      <c r="V2714" s="12"/>
      <c r="W2714" s="12"/>
      <c r="X2714" s="12"/>
      <c r="Y2714" s="12"/>
      <c r="Z2714" s="12"/>
    </row>
    <row r="2715" spans="1:26" ht="15.75" customHeight="1" x14ac:dyDescent="0.3">
      <c r="A2715" s="3"/>
      <c r="B2715" s="167"/>
      <c r="C2715" s="94"/>
      <c r="D2715" s="12"/>
      <c r="E2715" s="167"/>
      <c r="F2715" s="12"/>
      <c r="G2715" s="331"/>
      <c r="H2715" s="474"/>
      <c r="I2715" s="475"/>
      <c r="J2715" s="476"/>
      <c r="K2715" s="5"/>
      <c r="L2715" s="3"/>
      <c r="M2715" s="6"/>
      <c r="N2715" s="9"/>
      <c r="O2715" s="9"/>
      <c r="P2715" s="12"/>
      <c r="Q2715" s="12"/>
      <c r="R2715" s="12"/>
      <c r="S2715" s="151"/>
      <c r="T2715" s="12"/>
      <c r="U2715" s="12"/>
      <c r="V2715" s="12"/>
      <c r="W2715" s="12"/>
      <c r="X2715" s="12"/>
      <c r="Y2715" s="12"/>
      <c r="Z2715" s="12"/>
    </row>
    <row r="2716" spans="1:26" ht="15.75" customHeight="1" x14ac:dyDescent="0.3">
      <c r="A2716" s="3"/>
      <c r="B2716" s="167"/>
      <c r="C2716" s="94"/>
      <c r="D2716" s="12"/>
      <c r="E2716" s="167"/>
      <c r="F2716" s="12"/>
      <c r="G2716" s="331"/>
      <c r="H2716" s="474"/>
      <c r="I2716" s="475"/>
      <c r="J2716" s="476"/>
      <c r="K2716" s="5"/>
      <c r="L2716" s="3"/>
      <c r="M2716" s="6"/>
      <c r="N2716" s="9"/>
      <c r="O2716" s="9"/>
      <c r="P2716" s="12"/>
      <c r="Q2716" s="12"/>
      <c r="R2716" s="12"/>
      <c r="S2716" s="151"/>
      <c r="T2716" s="12"/>
      <c r="U2716" s="12"/>
      <c r="V2716" s="12"/>
      <c r="W2716" s="12"/>
      <c r="X2716" s="12"/>
      <c r="Y2716" s="12"/>
      <c r="Z2716" s="12"/>
    </row>
    <row r="2717" spans="1:26" ht="15.75" customHeight="1" x14ac:dyDescent="0.3">
      <c r="A2717" s="3"/>
      <c r="B2717" s="167"/>
      <c r="C2717" s="94"/>
      <c r="D2717" s="12"/>
      <c r="E2717" s="167"/>
      <c r="F2717" s="12"/>
      <c r="G2717" s="331"/>
      <c r="H2717" s="474"/>
      <c r="I2717" s="475"/>
      <c r="J2717" s="476"/>
      <c r="K2717" s="5"/>
      <c r="L2717" s="3"/>
      <c r="M2717" s="6"/>
      <c r="N2717" s="9"/>
      <c r="O2717" s="9"/>
      <c r="P2717" s="12"/>
      <c r="Q2717" s="12"/>
      <c r="R2717" s="12"/>
      <c r="S2717" s="151"/>
      <c r="T2717" s="12"/>
      <c r="U2717" s="12"/>
      <c r="V2717" s="12"/>
      <c r="W2717" s="12"/>
      <c r="X2717" s="12"/>
      <c r="Y2717" s="12"/>
      <c r="Z2717" s="12"/>
    </row>
    <row r="2718" spans="1:26" ht="15.75" customHeight="1" x14ac:dyDescent="0.3">
      <c r="A2718" s="3"/>
      <c r="B2718" s="167"/>
      <c r="C2718" s="94"/>
      <c r="D2718" s="12"/>
      <c r="E2718" s="167"/>
      <c r="F2718" s="12"/>
      <c r="G2718" s="331"/>
      <c r="H2718" s="474"/>
      <c r="I2718" s="475"/>
      <c r="J2718" s="476"/>
      <c r="K2718" s="5"/>
      <c r="L2718" s="3"/>
      <c r="M2718" s="6"/>
      <c r="N2718" s="9"/>
      <c r="O2718" s="9"/>
      <c r="P2718" s="12"/>
      <c r="Q2718" s="12"/>
      <c r="R2718" s="12"/>
      <c r="S2718" s="151"/>
      <c r="T2718" s="12"/>
      <c r="U2718" s="12"/>
      <c r="V2718" s="12"/>
      <c r="W2718" s="12"/>
      <c r="X2718" s="12"/>
      <c r="Y2718" s="12"/>
      <c r="Z2718" s="12"/>
    </row>
    <row r="2719" spans="1:26" ht="15.75" customHeight="1" x14ac:dyDescent="0.3">
      <c r="A2719" s="3"/>
      <c r="B2719" s="167"/>
      <c r="C2719" s="94"/>
      <c r="D2719" s="12"/>
      <c r="E2719" s="167"/>
      <c r="F2719" s="12"/>
      <c r="G2719" s="331"/>
      <c r="H2719" s="474"/>
      <c r="I2719" s="475"/>
      <c r="J2719" s="476"/>
      <c r="K2719" s="5"/>
      <c r="L2719" s="3"/>
      <c r="M2719" s="6"/>
      <c r="N2719" s="9"/>
      <c r="O2719" s="9"/>
      <c r="P2719" s="12"/>
      <c r="Q2719" s="12"/>
      <c r="R2719" s="12"/>
      <c r="S2719" s="151"/>
      <c r="T2719" s="12"/>
      <c r="U2719" s="12"/>
      <c r="V2719" s="12"/>
      <c r="W2719" s="12"/>
      <c r="X2719" s="12"/>
      <c r="Y2719" s="12"/>
      <c r="Z2719" s="12"/>
    </row>
    <row r="2720" spans="1:26" ht="15.75" customHeight="1" x14ac:dyDescent="0.3">
      <c r="A2720" s="3"/>
      <c r="B2720" s="167"/>
      <c r="C2720" s="94"/>
      <c r="D2720" s="12"/>
      <c r="E2720" s="167"/>
      <c r="F2720" s="12"/>
      <c r="G2720" s="331"/>
      <c r="H2720" s="474"/>
      <c r="I2720" s="475"/>
      <c r="J2720" s="476"/>
      <c r="K2720" s="5"/>
      <c r="L2720" s="3"/>
      <c r="M2720" s="6"/>
      <c r="N2720" s="9"/>
      <c r="O2720" s="9"/>
      <c r="P2720" s="12"/>
      <c r="Q2720" s="12"/>
      <c r="R2720" s="12"/>
      <c r="S2720" s="151"/>
      <c r="T2720" s="12"/>
      <c r="U2720" s="12"/>
      <c r="V2720" s="12"/>
      <c r="W2720" s="12"/>
      <c r="X2720" s="12"/>
      <c r="Y2720" s="12"/>
      <c r="Z2720" s="12"/>
    </row>
    <row r="2721" spans="1:26" ht="15.75" customHeight="1" x14ac:dyDescent="0.3">
      <c r="A2721" s="3"/>
      <c r="B2721" s="167"/>
      <c r="C2721" s="94"/>
      <c r="D2721" s="12"/>
      <c r="E2721" s="167"/>
      <c r="F2721" s="12"/>
      <c r="G2721" s="331"/>
      <c r="H2721" s="474"/>
      <c r="I2721" s="475"/>
      <c r="J2721" s="476"/>
      <c r="K2721" s="5"/>
      <c r="L2721" s="3"/>
      <c r="M2721" s="6"/>
      <c r="N2721" s="9"/>
      <c r="O2721" s="9"/>
      <c r="P2721" s="12"/>
      <c r="Q2721" s="12"/>
      <c r="R2721" s="12"/>
      <c r="S2721" s="151"/>
      <c r="T2721" s="12"/>
      <c r="U2721" s="12"/>
      <c r="V2721" s="12"/>
      <c r="W2721" s="12"/>
      <c r="X2721" s="12"/>
      <c r="Y2721" s="12"/>
      <c r="Z2721" s="12"/>
    </row>
    <row r="2722" spans="1:26" ht="15.75" customHeight="1" x14ac:dyDescent="0.3">
      <c r="A2722" s="3"/>
      <c r="B2722" s="167"/>
      <c r="C2722" s="94"/>
      <c r="D2722" s="12"/>
      <c r="E2722" s="167"/>
      <c r="F2722" s="12"/>
      <c r="G2722" s="331"/>
      <c r="H2722" s="474"/>
      <c r="I2722" s="475"/>
      <c r="J2722" s="476"/>
      <c r="K2722" s="5"/>
      <c r="L2722" s="3"/>
      <c r="M2722" s="6"/>
      <c r="N2722" s="9"/>
      <c r="O2722" s="9"/>
      <c r="P2722" s="12"/>
      <c r="Q2722" s="12"/>
      <c r="R2722" s="12"/>
      <c r="S2722" s="151"/>
      <c r="T2722" s="12"/>
      <c r="U2722" s="12"/>
      <c r="V2722" s="12"/>
      <c r="W2722" s="12"/>
      <c r="X2722" s="12"/>
      <c r="Y2722" s="12"/>
      <c r="Z2722" s="12"/>
    </row>
    <row r="2723" spans="1:26" ht="15.75" customHeight="1" x14ac:dyDescent="0.3">
      <c r="A2723" s="3"/>
      <c r="B2723" s="167"/>
      <c r="C2723" s="94"/>
      <c r="D2723" s="12"/>
      <c r="E2723" s="167"/>
      <c r="F2723" s="12"/>
      <c r="G2723" s="331"/>
      <c r="H2723" s="474"/>
      <c r="I2723" s="475"/>
      <c r="J2723" s="476"/>
      <c r="K2723" s="5"/>
      <c r="L2723" s="3"/>
      <c r="M2723" s="6"/>
      <c r="N2723" s="9"/>
      <c r="O2723" s="9"/>
      <c r="P2723" s="12"/>
      <c r="Q2723" s="12"/>
      <c r="R2723" s="12"/>
      <c r="S2723" s="151"/>
      <c r="T2723" s="12"/>
      <c r="U2723" s="12"/>
      <c r="V2723" s="12"/>
      <c r="W2723" s="12"/>
      <c r="X2723" s="12"/>
      <c r="Y2723" s="12"/>
      <c r="Z2723" s="12"/>
    </row>
    <row r="2724" spans="1:26" ht="15.75" customHeight="1" x14ac:dyDescent="0.3">
      <c r="A2724" s="3"/>
      <c r="B2724" s="167"/>
      <c r="C2724" s="94"/>
      <c r="D2724" s="12"/>
      <c r="E2724" s="167"/>
      <c r="F2724" s="12"/>
      <c r="G2724" s="331"/>
      <c r="H2724" s="474"/>
      <c r="I2724" s="475"/>
      <c r="J2724" s="476"/>
      <c r="K2724" s="5"/>
      <c r="L2724" s="3"/>
      <c r="M2724" s="6"/>
      <c r="N2724" s="9"/>
      <c r="O2724" s="9"/>
      <c r="P2724" s="12"/>
      <c r="Q2724" s="12"/>
      <c r="R2724" s="12"/>
      <c r="S2724" s="151"/>
      <c r="T2724" s="12"/>
      <c r="U2724" s="12"/>
      <c r="V2724" s="12"/>
      <c r="W2724" s="12"/>
      <c r="X2724" s="12"/>
      <c r="Y2724" s="12"/>
      <c r="Z2724" s="12"/>
    </row>
    <row r="2725" spans="1:26" ht="15.75" customHeight="1" x14ac:dyDescent="0.3">
      <c r="A2725" s="3"/>
      <c r="B2725" s="167"/>
      <c r="C2725" s="94"/>
      <c r="D2725" s="12"/>
      <c r="E2725" s="167"/>
      <c r="F2725" s="12"/>
      <c r="G2725" s="331"/>
      <c r="H2725" s="474"/>
      <c r="I2725" s="475"/>
      <c r="J2725" s="476"/>
      <c r="K2725" s="5"/>
      <c r="L2725" s="3"/>
      <c r="M2725" s="6"/>
      <c r="N2725" s="9"/>
      <c r="O2725" s="9"/>
      <c r="P2725" s="12"/>
      <c r="Q2725" s="12"/>
      <c r="R2725" s="12"/>
      <c r="S2725" s="151"/>
      <c r="T2725" s="12"/>
      <c r="U2725" s="12"/>
      <c r="V2725" s="12"/>
      <c r="W2725" s="12"/>
      <c r="X2725" s="12"/>
      <c r="Y2725" s="12"/>
      <c r="Z2725" s="12"/>
    </row>
    <row r="2726" spans="1:26" ht="15.75" customHeight="1" x14ac:dyDescent="0.3">
      <c r="A2726" s="3"/>
      <c r="B2726" s="167"/>
      <c r="C2726" s="94"/>
      <c r="D2726" s="12"/>
      <c r="E2726" s="167"/>
      <c r="F2726" s="12"/>
      <c r="G2726" s="331"/>
      <c r="H2726" s="474"/>
      <c r="I2726" s="475"/>
      <c r="J2726" s="476"/>
      <c r="K2726" s="5"/>
      <c r="L2726" s="3"/>
      <c r="M2726" s="6"/>
      <c r="N2726" s="9"/>
      <c r="O2726" s="9"/>
      <c r="P2726" s="12"/>
      <c r="Q2726" s="12"/>
      <c r="R2726" s="12"/>
      <c r="S2726" s="151"/>
      <c r="T2726" s="12"/>
      <c r="U2726" s="12"/>
      <c r="V2726" s="12"/>
      <c r="W2726" s="12"/>
      <c r="X2726" s="12"/>
      <c r="Y2726" s="12"/>
      <c r="Z2726" s="12"/>
    </row>
    <row r="2727" spans="1:26" ht="15.75" customHeight="1" x14ac:dyDescent="0.3">
      <c r="A2727" s="3"/>
      <c r="B2727" s="167"/>
      <c r="C2727" s="94"/>
      <c r="D2727" s="12"/>
      <c r="E2727" s="167"/>
      <c r="F2727" s="12"/>
      <c r="G2727" s="331"/>
      <c r="H2727" s="474"/>
      <c r="I2727" s="475"/>
      <c r="J2727" s="476"/>
      <c r="K2727" s="5"/>
      <c r="L2727" s="3"/>
      <c r="M2727" s="6"/>
      <c r="N2727" s="9"/>
      <c r="O2727" s="9"/>
      <c r="P2727" s="12"/>
      <c r="Q2727" s="12"/>
      <c r="R2727" s="12"/>
      <c r="S2727" s="151"/>
      <c r="T2727" s="12"/>
      <c r="U2727" s="12"/>
      <c r="V2727" s="12"/>
      <c r="W2727" s="12"/>
      <c r="X2727" s="12"/>
      <c r="Y2727" s="12"/>
      <c r="Z2727" s="12"/>
    </row>
    <row r="2728" spans="1:26" ht="15.75" customHeight="1" x14ac:dyDescent="0.3">
      <c r="A2728" s="3"/>
      <c r="B2728" s="167"/>
      <c r="C2728" s="94"/>
      <c r="D2728" s="12"/>
      <c r="E2728" s="167"/>
      <c r="F2728" s="12"/>
      <c r="G2728" s="331"/>
      <c r="H2728" s="474"/>
      <c r="I2728" s="475"/>
      <c r="J2728" s="476"/>
      <c r="K2728" s="5"/>
      <c r="L2728" s="3"/>
      <c r="M2728" s="6"/>
      <c r="N2728" s="9"/>
      <c r="O2728" s="9"/>
      <c r="P2728" s="12"/>
      <c r="Q2728" s="12"/>
      <c r="R2728" s="12"/>
      <c r="S2728" s="151"/>
      <c r="T2728" s="12"/>
      <c r="U2728" s="12"/>
      <c r="V2728" s="12"/>
      <c r="W2728" s="12"/>
      <c r="X2728" s="12"/>
      <c r="Y2728" s="12"/>
      <c r="Z2728" s="12"/>
    </row>
    <row r="2729" spans="1:26" ht="15.75" customHeight="1" x14ac:dyDescent="0.3">
      <c r="A2729" s="3"/>
      <c r="B2729" s="167"/>
      <c r="C2729" s="94"/>
      <c r="D2729" s="12"/>
      <c r="E2729" s="167"/>
      <c r="F2729" s="12"/>
      <c r="G2729" s="331"/>
      <c r="H2729" s="474"/>
      <c r="I2729" s="475"/>
      <c r="J2729" s="476"/>
      <c r="K2729" s="5"/>
      <c r="L2729" s="3"/>
      <c r="M2729" s="6"/>
      <c r="N2729" s="9"/>
      <c r="O2729" s="9"/>
      <c r="P2729" s="12"/>
      <c r="Q2729" s="12"/>
      <c r="R2729" s="12"/>
      <c r="S2729" s="151"/>
      <c r="T2729" s="12"/>
      <c r="U2729" s="12"/>
      <c r="V2729" s="12"/>
      <c r="W2729" s="12"/>
      <c r="X2729" s="12"/>
      <c r="Y2729" s="12"/>
      <c r="Z2729" s="12"/>
    </row>
    <row r="2730" spans="1:26" ht="15.75" customHeight="1" x14ac:dyDescent="0.3">
      <c r="A2730" s="3"/>
      <c r="B2730" s="167"/>
      <c r="C2730" s="94"/>
      <c r="D2730" s="12"/>
      <c r="E2730" s="167"/>
      <c r="F2730" s="12"/>
      <c r="G2730" s="331"/>
      <c r="H2730" s="474"/>
      <c r="I2730" s="475"/>
      <c r="J2730" s="476"/>
      <c r="K2730" s="5"/>
      <c r="L2730" s="3"/>
      <c r="M2730" s="6"/>
      <c r="N2730" s="9"/>
      <c r="O2730" s="9"/>
      <c r="P2730" s="12"/>
      <c r="Q2730" s="12"/>
      <c r="R2730" s="12"/>
      <c r="S2730" s="151"/>
      <c r="T2730" s="12"/>
      <c r="U2730" s="12"/>
      <c r="V2730" s="12"/>
      <c r="W2730" s="12"/>
      <c r="X2730" s="12"/>
      <c r="Y2730" s="12"/>
      <c r="Z2730" s="12"/>
    </row>
    <row r="2731" spans="1:26" ht="15.75" customHeight="1" x14ac:dyDescent="0.3">
      <c r="A2731" s="3"/>
      <c r="B2731" s="167"/>
      <c r="C2731" s="94"/>
      <c r="D2731" s="12"/>
      <c r="E2731" s="167"/>
      <c r="F2731" s="12"/>
      <c r="G2731" s="331"/>
      <c r="H2731" s="474"/>
      <c r="I2731" s="475"/>
      <c r="J2731" s="476"/>
      <c r="K2731" s="5"/>
      <c r="L2731" s="3"/>
      <c r="M2731" s="6"/>
      <c r="N2731" s="9"/>
      <c r="O2731" s="9"/>
      <c r="P2731" s="12"/>
      <c r="Q2731" s="12"/>
      <c r="R2731" s="12"/>
      <c r="S2731" s="151"/>
      <c r="T2731" s="12"/>
      <c r="U2731" s="12"/>
      <c r="V2731" s="12"/>
      <c r="W2731" s="12"/>
      <c r="X2731" s="12"/>
      <c r="Y2731" s="12"/>
      <c r="Z2731" s="12"/>
    </row>
    <row r="2732" spans="1:26" ht="15.75" customHeight="1" x14ac:dyDescent="0.3">
      <c r="A2732" s="3"/>
      <c r="B2732" s="167"/>
      <c r="C2732" s="94"/>
      <c r="D2732" s="12"/>
      <c r="E2732" s="167"/>
      <c r="F2732" s="12"/>
      <c r="G2732" s="331"/>
      <c r="H2732" s="474"/>
      <c r="I2732" s="475"/>
      <c r="J2732" s="476"/>
      <c r="K2732" s="5"/>
      <c r="L2732" s="3"/>
      <c r="M2732" s="6"/>
      <c r="N2732" s="9"/>
      <c r="O2732" s="9"/>
      <c r="P2732" s="12"/>
      <c r="Q2732" s="12"/>
      <c r="R2732" s="12"/>
      <c r="S2732" s="151"/>
      <c r="T2732" s="12"/>
      <c r="U2732" s="12"/>
      <c r="V2732" s="12"/>
      <c r="W2732" s="12"/>
      <c r="X2732" s="12"/>
      <c r="Y2732" s="12"/>
      <c r="Z2732" s="12"/>
    </row>
    <row r="2733" spans="1:26" ht="15.75" customHeight="1" x14ac:dyDescent="0.3">
      <c r="A2733" s="3"/>
      <c r="B2733" s="167"/>
      <c r="C2733" s="94"/>
      <c r="D2733" s="12"/>
      <c r="E2733" s="167"/>
      <c r="F2733" s="12"/>
      <c r="G2733" s="331"/>
      <c r="H2733" s="474"/>
      <c r="I2733" s="475"/>
      <c r="J2733" s="476"/>
      <c r="K2733" s="5"/>
      <c r="L2733" s="3"/>
      <c r="M2733" s="6"/>
      <c r="N2733" s="9"/>
      <c r="O2733" s="9"/>
      <c r="P2733" s="12"/>
      <c r="Q2733" s="12"/>
      <c r="R2733" s="12"/>
      <c r="S2733" s="151"/>
      <c r="T2733" s="12"/>
      <c r="U2733" s="12"/>
      <c r="V2733" s="12"/>
      <c r="W2733" s="12"/>
      <c r="X2733" s="12"/>
      <c r="Y2733" s="12"/>
      <c r="Z2733" s="12"/>
    </row>
    <row r="2734" spans="1:26" ht="15.75" customHeight="1" x14ac:dyDescent="0.3">
      <c r="A2734" s="3"/>
      <c r="B2734" s="167"/>
      <c r="C2734" s="94"/>
      <c r="D2734" s="12"/>
      <c r="E2734" s="167"/>
      <c r="F2734" s="12"/>
      <c r="G2734" s="331"/>
      <c r="H2734" s="474"/>
      <c r="I2734" s="475"/>
      <c r="J2734" s="476"/>
      <c r="K2734" s="5"/>
      <c r="L2734" s="3"/>
      <c r="M2734" s="6"/>
      <c r="N2734" s="9"/>
      <c r="O2734" s="9"/>
      <c r="P2734" s="12"/>
      <c r="Q2734" s="12"/>
      <c r="R2734" s="12"/>
      <c r="S2734" s="151"/>
      <c r="T2734" s="12"/>
      <c r="U2734" s="12"/>
      <c r="V2734" s="12"/>
      <c r="W2734" s="12"/>
      <c r="X2734" s="12"/>
      <c r="Y2734" s="12"/>
      <c r="Z2734" s="12"/>
    </row>
    <row r="2735" spans="1:26" ht="15.75" customHeight="1" x14ac:dyDescent="0.3">
      <c r="A2735" s="3"/>
      <c r="B2735" s="167"/>
      <c r="C2735" s="94"/>
      <c r="D2735" s="12"/>
      <c r="E2735" s="167"/>
      <c r="F2735" s="12"/>
      <c r="G2735" s="331"/>
      <c r="H2735" s="474"/>
      <c r="I2735" s="475"/>
      <c r="J2735" s="476"/>
      <c r="K2735" s="5"/>
      <c r="L2735" s="3"/>
      <c r="M2735" s="6"/>
      <c r="N2735" s="9"/>
      <c r="O2735" s="9"/>
      <c r="P2735" s="12"/>
      <c r="Q2735" s="12"/>
      <c r="R2735" s="12"/>
      <c r="S2735" s="151"/>
      <c r="T2735" s="12"/>
      <c r="U2735" s="12"/>
      <c r="V2735" s="12"/>
      <c r="W2735" s="12"/>
      <c r="X2735" s="12"/>
      <c r="Y2735" s="12"/>
      <c r="Z2735" s="12"/>
    </row>
    <row r="2736" spans="1:26" ht="15.75" customHeight="1" x14ac:dyDescent="0.3">
      <c r="A2736" s="3"/>
      <c r="B2736" s="167"/>
      <c r="C2736" s="94"/>
      <c r="D2736" s="12"/>
      <c r="E2736" s="167"/>
      <c r="F2736" s="12"/>
      <c r="G2736" s="331"/>
      <c r="H2736" s="474"/>
      <c r="I2736" s="475"/>
      <c r="J2736" s="476"/>
      <c r="K2736" s="5"/>
      <c r="L2736" s="3"/>
      <c r="M2736" s="6"/>
      <c r="N2736" s="9"/>
      <c r="O2736" s="9"/>
      <c r="P2736" s="12"/>
      <c r="Q2736" s="12"/>
      <c r="R2736" s="12"/>
      <c r="S2736" s="151"/>
      <c r="T2736" s="12"/>
      <c r="U2736" s="12"/>
      <c r="V2736" s="12"/>
      <c r="W2736" s="12"/>
      <c r="X2736" s="12"/>
      <c r="Y2736" s="12"/>
      <c r="Z2736" s="12"/>
    </row>
    <row r="2737" spans="1:26" ht="15.75" customHeight="1" x14ac:dyDescent="0.3">
      <c r="A2737" s="3"/>
      <c r="B2737" s="167"/>
      <c r="C2737" s="94"/>
      <c r="D2737" s="12"/>
      <c r="E2737" s="167"/>
      <c r="F2737" s="12"/>
      <c r="G2737" s="331"/>
      <c r="H2737" s="474"/>
      <c r="I2737" s="475"/>
      <c r="J2737" s="476"/>
      <c r="K2737" s="5"/>
      <c r="L2737" s="3"/>
      <c r="M2737" s="6"/>
      <c r="N2737" s="9"/>
      <c r="O2737" s="9"/>
      <c r="P2737" s="12"/>
      <c r="Q2737" s="12"/>
      <c r="R2737" s="12"/>
      <c r="S2737" s="151"/>
      <c r="T2737" s="12"/>
      <c r="U2737" s="12"/>
      <c r="V2737" s="12"/>
      <c r="W2737" s="12"/>
      <c r="X2737" s="12"/>
      <c r="Y2737" s="12"/>
      <c r="Z2737" s="12"/>
    </row>
    <row r="2738" spans="1:26" ht="15.75" customHeight="1" x14ac:dyDescent="0.3">
      <c r="A2738" s="3"/>
      <c r="B2738" s="167"/>
      <c r="C2738" s="94"/>
      <c r="D2738" s="12"/>
      <c r="E2738" s="167"/>
      <c r="F2738" s="12"/>
      <c r="G2738" s="331"/>
      <c r="H2738" s="474"/>
      <c r="I2738" s="475"/>
      <c r="J2738" s="476"/>
      <c r="K2738" s="5"/>
      <c r="L2738" s="3"/>
      <c r="M2738" s="6"/>
      <c r="N2738" s="9"/>
      <c r="O2738" s="9"/>
      <c r="P2738" s="12"/>
      <c r="Q2738" s="12"/>
      <c r="R2738" s="12"/>
      <c r="S2738" s="151"/>
      <c r="T2738" s="12"/>
      <c r="U2738" s="12"/>
      <c r="V2738" s="12"/>
      <c r="W2738" s="12"/>
      <c r="X2738" s="12"/>
      <c r="Y2738" s="12"/>
      <c r="Z2738" s="12"/>
    </row>
    <row r="2739" spans="1:26" ht="15.75" customHeight="1" x14ac:dyDescent="0.3">
      <c r="A2739" s="3"/>
      <c r="B2739" s="167"/>
      <c r="C2739" s="94"/>
      <c r="D2739" s="12"/>
      <c r="E2739" s="167"/>
      <c r="F2739" s="12"/>
      <c r="G2739" s="331"/>
      <c r="H2739" s="474"/>
      <c r="I2739" s="475"/>
      <c r="J2739" s="476"/>
      <c r="K2739" s="5"/>
      <c r="L2739" s="3"/>
      <c r="M2739" s="6"/>
      <c r="N2739" s="9"/>
      <c r="O2739" s="9"/>
      <c r="P2739" s="12"/>
      <c r="Q2739" s="12"/>
      <c r="R2739" s="12"/>
      <c r="S2739" s="151"/>
      <c r="T2739" s="12"/>
      <c r="U2739" s="12"/>
      <c r="V2739" s="12"/>
      <c r="W2739" s="12"/>
      <c r="X2739" s="12"/>
      <c r="Y2739" s="12"/>
      <c r="Z2739" s="12"/>
    </row>
    <row r="2740" spans="1:26" ht="15.75" customHeight="1" x14ac:dyDescent="0.3">
      <c r="A2740" s="3"/>
      <c r="B2740" s="167"/>
      <c r="C2740" s="94"/>
      <c r="D2740" s="12"/>
      <c r="E2740" s="167"/>
      <c r="F2740" s="12"/>
      <c r="G2740" s="331"/>
      <c r="H2740" s="474"/>
      <c r="I2740" s="475"/>
      <c r="J2740" s="476"/>
      <c r="K2740" s="5"/>
      <c r="L2740" s="3"/>
      <c r="M2740" s="6"/>
      <c r="N2740" s="9"/>
      <c r="O2740" s="9"/>
      <c r="P2740" s="12"/>
      <c r="Q2740" s="12"/>
      <c r="R2740" s="12"/>
      <c r="S2740" s="151"/>
      <c r="T2740" s="12"/>
      <c r="U2740" s="12"/>
      <c r="V2740" s="12"/>
      <c r="W2740" s="12"/>
      <c r="X2740" s="12"/>
      <c r="Y2740" s="12"/>
      <c r="Z2740" s="12"/>
    </row>
    <row r="2741" spans="1:26" ht="15.75" customHeight="1" x14ac:dyDescent="0.3">
      <c r="A2741" s="3"/>
      <c r="B2741" s="167"/>
      <c r="C2741" s="94"/>
      <c r="D2741" s="12"/>
      <c r="E2741" s="167"/>
      <c r="F2741" s="12"/>
      <c r="G2741" s="331"/>
      <c r="H2741" s="474"/>
      <c r="I2741" s="475"/>
      <c r="J2741" s="476"/>
      <c r="K2741" s="5"/>
      <c r="L2741" s="3"/>
      <c r="M2741" s="6"/>
      <c r="N2741" s="9"/>
      <c r="O2741" s="9"/>
      <c r="P2741" s="12"/>
      <c r="Q2741" s="12"/>
      <c r="R2741" s="12"/>
      <c r="S2741" s="151"/>
      <c r="T2741" s="12"/>
      <c r="U2741" s="12"/>
      <c r="V2741" s="12"/>
      <c r="W2741" s="12"/>
      <c r="X2741" s="12"/>
      <c r="Y2741" s="12"/>
      <c r="Z2741" s="12"/>
    </row>
    <row r="2742" spans="1:26" ht="15.75" customHeight="1" x14ac:dyDescent="0.3">
      <c r="A2742" s="3"/>
      <c r="B2742" s="167"/>
      <c r="C2742" s="94"/>
      <c r="D2742" s="12"/>
      <c r="E2742" s="167"/>
      <c r="F2742" s="12"/>
      <c r="G2742" s="331"/>
      <c r="H2742" s="474"/>
      <c r="I2742" s="475"/>
      <c r="J2742" s="476"/>
      <c r="K2742" s="5"/>
      <c r="L2742" s="3"/>
      <c r="M2742" s="6"/>
      <c r="N2742" s="9"/>
      <c r="O2742" s="9"/>
      <c r="P2742" s="12"/>
      <c r="Q2742" s="12"/>
      <c r="R2742" s="12"/>
      <c r="S2742" s="151"/>
      <c r="T2742" s="12"/>
      <c r="U2742" s="12"/>
      <c r="V2742" s="12"/>
      <c r="W2742" s="12"/>
      <c r="X2742" s="12"/>
      <c r="Y2742" s="12"/>
      <c r="Z2742" s="12"/>
    </row>
    <row r="2743" spans="1:26" ht="15.75" customHeight="1" x14ac:dyDescent="0.3">
      <c r="A2743" s="3"/>
      <c r="B2743" s="167"/>
      <c r="C2743" s="94"/>
      <c r="D2743" s="12"/>
      <c r="E2743" s="167"/>
      <c r="F2743" s="12"/>
      <c r="G2743" s="331"/>
      <c r="H2743" s="474"/>
      <c r="I2743" s="475"/>
      <c r="J2743" s="476"/>
      <c r="K2743" s="5"/>
      <c r="L2743" s="3"/>
      <c r="M2743" s="6"/>
      <c r="N2743" s="9"/>
      <c r="O2743" s="9"/>
      <c r="P2743" s="12"/>
      <c r="Q2743" s="12"/>
      <c r="R2743" s="12"/>
      <c r="S2743" s="151"/>
      <c r="T2743" s="12"/>
      <c r="U2743" s="12"/>
      <c r="V2743" s="12"/>
      <c r="W2743" s="12"/>
      <c r="X2743" s="12"/>
      <c r="Y2743" s="12"/>
      <c r="Z2743" s="12"/>
    </row>
    <row r="2744" spans="1:26" ht="15.75" customHeight="1" x14ac:dyDescent="0.3">
      <c r="A2744" s="3"/>
      <c r="B2744" s="167"/>
      <c r="C2744" s="94"/>
      <c r="D2744" s="12"/>
      <c r="E2744" s="167"/>
      <c r="F2744" s="12"/>
      <c r="G2744" s="331"/>
      <c r="H2744" s="474"/>
      <c r="I2744" s="475"/>
      <c r="J2744" s="476"/>
      <c r="K2744" s="5"/>
      <c r="L2744" s="3"/>
      <c r="M2744" s="6"/>
      <c r="N2744" s="9"/>
      <c r="O2744" s="9"/>
      <c r="P2744" s="12"/>
      <c r="Q2744" s="12"/>
      <c r="R2744" s="12"/>
      <c r="S2744" s="151"/>
      <c r="T2744" s="12"/>
      <c r="U2744" s="12"/>
      <c r="V2744" s="12"/>
      <c r="W2744" s="12"/>
      <c r="X2744" s="12"/>
      <c r="Y2744" s="12"/>
      <c r="Z2744" s="12"/>
    </row>
    <row r="2745" spans="1:26" ht="15.75" customHeight="1" x14ac:dyDescent="0.3">
      <c r="A2745" s="3"/>
      <c r="B2745" s="167"/>
      <c r="C2745" s="94"/>
      <c r="D2745" s="12"/>
      <c r="E2745" s="167"/>
      <c r="F2745" s="12"/>
      <c r="G2745" s="331"/>
      <c r="H2745" s="474"/>
      <c r="I2745" s="475"/>
      <c r="J2745" s="476"/>
      <c r="K2745" s="5"/>
      <c r="L2745" s="3"/>
      <c r="M2745" s="6"/>
      <c r="N2745" s="9"/>
      <c r="O2745" s="9"/>
      <c r="P2745" s="12"/>
      <c r="Q2745" s="12"/>
      <c r="R2745" s="12"/>
      <c r="S2745" s="151"/>
      <c r="T2745" s="12"/>
      <c r="U2745" s="12"/>
      <c r="V2745" s="12"/>
      <c r="W2745" s="12"/>
      <c r="X2745" s="12"/>
      <c r="Y2745" s="12"/>
      <c r="Z2745" s="12"/>
    </row>
    <row r="2746" spans="1:26" ht="15.75" customHeight="1" x14ac:dyDescent="0.3">
      <c r="A2746" s="3"/>
      <c r="B2746" s="167"/>
      <c r="C2746" s="94"/>
      <c r="D2746" s="12"/>
      <c r="E2746" s="167"/>
      <c r="F2746" s="12"/>
      <c r="G2746" s="331"/>
      <c r="H2746" s="474"/>
      <c r="I2746" s="475"/>
      <c r="J2746" s="476"/>
      <c r="K2746" s="5"/>
      <c r="L2746" s="3"/>
      <c r="M2746" s="6"/>
      <c r="N2746" s="9"/>
      <c r="O2746" s="9"/>
      <c r="P2746" s="12"/>
      <c r="Q2746" s="12"/>
      <c r="R2746" s="12"/>
      <c r="S2746" s="151"/>
      <c r="T2746" s="12"/>
      <c r="U2746" s="12"/>
      <c r="V2746" s="12"/>
      <c r="W2746" s="12"/>
      <c r="X2746" s="12"/>
      <c r="Y2746" s="12"/>
      <c r="Z2746" s="12"/>
    </row>
    <row r="2747" spans="1:26" ht="15.75" customHeight="1" x14ac:dyDescent="0.3">
      <c r="A2747" s="3"/>
      <c r="B2747" s="167"/>
      <c r="C2747" s="94"/>
      <c r="D2747" s="12"/>
      <c r="E2747" s="167"/>
      <c r="F2747" s="12"/>
      <c r="G2747" s="331"/>
      <c r="H2747" s="474"/>
      <c r="I2747" s="475"/>
      <c r="J2747" s="476"/>
      <c r="K2747" s="5"/>
      <c r="L2747" s="3"/>
      <c r="M2747" s="6"/>
      <c r="N2747" s="9"/>
      <c r="O2747" s="9"/>
      <c r="P2747" s="12"/>
      <c r="Q2747" s="12"/>
      <c r="R2747" s="12"/>
      <c r="S2747" s="151"/>
      <c r="T2747" s="12"/>
      <c r="U2747" s="12"/>
      <c r="V2747" s="12"/>
      <c r="W2747" s="12"/>
      <c r="X2747" s="12"/>
      <c r="Y2747" s="12"/>
      <c r="Z2747" s="12"/>
    </row>
    <row r="2748" spans="1:26" ht="15.75" customHeight="1" x14ac:dyDescent="0.3">
      <c r="A2748" s="3"/>
      <c r="B2748" s="167"/>
      <c r="C2748" s="94"/>
      <c r="D2748" s="12"/>
      <c r="E2748" s="167"/>
      <c r="F2748" s="12"/>
      <c r="G2748" s="331"/>
      <c r="H2748" s="474"/>
      <c r="I2748" s="475"/>
      <c r="J2748" s="476"/>
      <c r="K2748" s="5"/>
      <c r="L2748" s="3"/>
      <c r="M2748" s="6"/>
      <c r="N2748" s="9"/>
      <c r="O2748" s="9"/>
      <c r="P2748" s="12"/>
      <c r="Q2748" s="12"/>
      <c r="R2748" s="12"/>
      <c r="S2748" s="151"/>
      <c r="T2748" s="12"/>
      <c r="U2748" s="12"/>
      <c r="V2748" s="12"/>
      <c r="W2748" s="12"/>
      <c r="X2748" s="12"/>
      <c r="Y2748" s="12"/>
      <c r="Z2748" s="12"/>
    </row>
    <row r="2749" spans="1:26" ht="15.75" customHeight="1" x14ac:dyDescent="0.3">
      <c r="A2749" s="3"/>
      <c r="B2749" s="167"/>
      <c r="C2749" s="94"/>
      <c r="D2749" s="12"/>
      <c r="E2749" s="167"/>
      <c r="F2749" s="12"/>
      <c r="G2749" s="331"/>
      <c r="H2749" s="474"/>
      <c r="I2749" s="475"/>
      <c r="J2749" s="476"/>
      <c r="K2749" s="5"/>
      <c r="L2749" s="3"/>
      <c r="M2749" s="6"/>
      <c r="N2749" s="9"/>
      <c r="O2749" s="9"/>
      <c r="P2749" s="12"/>
      <c r="Q2749" s="12"/>
      <c r="R2749" s="12"/>
      <c r="S2749" s="151"/>
      <c r="T2749" s="12"/>
      <c r="U2749" s="12"/>
      <c r="V2749" s="12"/>
      <c r="W2749" s="12"/>
      <c r="X2749" s="12"/>
      <c r="Y2749" s="12"/>
      <c r="Z2749" s="12"/>
    </row>
    <row r="2750" spans="1:26" ht="15.75" customHeight="1" x14ac:dyDescent="0.3">
      <c r="A2750" s="3"/>
      <c r="B2750" s="167"/>
      <c r="C2750" s="94"/>
      <c r="D2750" s="12"/>
      <c r="E2750" s="167"/>
      <c r="F2750" s="12"/>
      <c r="G2750" s="331"/>
      <c r="H2750" s="474"/>
      <c r="I2750" s="475"/>
      <c r="J2750" s="476"/>
      <c r="K2750" s="5"/>
      <c r="L2750" s="3"/>
      <c r="M2750" s="6"/>
      <c r="N2750" s="9"/>
      <c r="O2750" s="9"/>
      <c r="P2750" s="12"/>
      <c r="Q2750" s="12"/>
      <c r="R2750" s="12"/>
      <c r="S2750" s="151"/>
      <c r="T2750" s="12"/>
      <c r="U2750" s="12"/>
      <c r="V2750" s="12"/>
      <c r="W2750" s="12"/>
      <c r="X2750" s="12"/>
      <c r="Y2750" s="12"/>
      <c r="Z2750" s="12"/>
    </row>
    <row r="2751" spans="1:26" ht="15.75" customHeight="1" x14ac:dyDescent="0.3">
      <c r="A2751" s="3"/>
      <c r="B2751" s="167"/>
      <c r="C2751" s="94"/>
      <c r="D2751" s="12"/>
      <c r="E2751" s="167"/>
      <c r="F2751" s="12"/>
      <c r="G2751" s="331"/>
      <c r="H2751" s="474"/>
      <c r="I2751" s="475"/>
      <c r="J2751" s="476"/>
      <c r="K2751" s="5"/>
      <c r="L2751" s="3"/>
      <c r="M2751" s="6"/>
      <c r="N2751" s="9"/>
      <c r="O2751" s="9"/>
      <c r="P2751" s="12"/>
      <c r="Q2751" s="12"/>
      <c r="R2751" s="12"/>
      <c r="S2751" s="151"/>
      <c r="T2751" s="12"/>
      <c r="U2751" s="12"/>
      <c r="V2751" s="12"/>
      <c r="W2751" s="12"/>
      <c r="X2751" s="12"/>
      <c r="Y2751" s="12"/>
      <c r="Z2751" s="12"/>
    </row>
    <row r="2752" spans="1:26" ht="15.75" customHeight="1" x14ac:dyDescent="0.3">
      <c r="A2752" s="3"/>
      <c r="B2752" s="167"/>
      <c r="C2752" s="94"/>
      <c r="D2752" s="12"/>
      <c r="E2752" s="167"/>
      <c r="F2752" s="12"/>
      <c r="G2752" s="331"/>
      <c r="H2752" s="474"/>
      <c r="I2752" s="475"/>
      <c r="J2752" s="476"/>
      <c r="K2752" s="5"/>
      <c r="L2752" s="3"/>
      <c r="M2752" s="6"/>
      <c r="N2752" s="9"/>
      <c r="O2752" s="9"/>
      <c r="P2752" s="12"/>
      <c r="Q2752" s="12"/>
      <c r="R2752" s="12"/>
      <c r="S2752" s="151"/>
      <c r="T2752" s="12"/>
      <c r="U2752" s="12"/>
      <c r="V2752" s="12"/>
      <c r="W2752" s="12"/>
      <c r="X2752" s="12"/>
      <c r="Y2752" s="12"/>
      <c r="Z2752" s="12"/>
    </row>
    <row r="2753" spans="1:26" ht="15.75" customHeight="1" x14ac:dyDescent="0.3">
      <c r="A2753" s="3"/>
      <c r="B2753" s="167"/>
      <c r="C2753" s="94"/>
      <c r="D2753" s="12"/>
      <c r="E2753" s="167"/>
      <c r="F2753" s="12"/>
      <c r="G2753" s="331"/>
      <c r="H2753" s="474"/>
      <c r="I2753" s="475"/>
      <c r="J2753" s="476"/>
      <c r="K2753" s="5"/>
      <c r="L2753" s="3"/>
      <c r="M2753" s="6"/>
      <c r="N2753" s="9"/>
      <c r="O2753" s="9"/>
      <c r="P2753" s="12"/>
      <c r="Q2753" s="12"/>
      <c r="R2753" s="12"/>
      <c r="S2753" s="151"/>
      <c r="T2753" s="12"/>
      <c r="U2753" s="12"/>
      <c r="V2753" s="12"/>
      <c r="W2753" s="12"/>
      <c r="X2753" s="12"/>
      <c r="Y2753" s="12"/>
      <c r="Z2753" s="12"/>
    </row>
    <row r="2754" spans="1:26" ht="15.75" customHeight="1" x14ac:dyDescent="0.3">
      <c r="A2754" s="3"/>
      <c r="B2754" s="167"/>
      <c r="C2754" s="94"/>
      <c r="D2754" s="12"/>
      <c r="E2754" s="167"/>
      <c r="F2754" s="12"/>
      <c r="G2754" s="331"/>
      <c r="H2754" s="474"/>
      <c r="I2754" s="475"/>
      <c r="J2754" s="476"/>
      <c r="K2754" s="5"/>
      <c r="L2754" s="3"/>
      <c r="M2754" s="6"/>
      <c r="N2754" s="9"/>
      <c r="O2754" s="9"/>
      <c r="P2754" s="12"/>
      <c r="Q2754" s="12"/>
      <c r="R2754" s="12"/>
      <c r="S2754" s="151"/>
      <c r="T2754" s="12"/>
      <c r="U2754" s="12"/>
      <c r="V2754" s="12"/>
      <c r="W2754" s="12"/>
      <c r="X2754" s="12"/>
      <c r="Y2754" s="12"/>
      <c r="Z2754" s="12"/>
    </row>
    <row r="2755" spans="1:26" ht="15.75" customHeight="1" x14ac:dyDescent="0.3">
      <c r="A2755" s="3"/>
      <c r="B2755" s="167"/>
      <c r="C2755" s="94"/>
      <c r="D2755" s="12"/>
      <c r="E2755" s="167"/>
      <c r="F2755" s="12"/>
      <c r="G2755" s="331"/>
      <c r="H2755" s="474"/>
      <c r="I2755" s="475"/>
      <c r="J2755" s="476"/>
      <c r="K2755" s="5"/>
      <c r="L2755" s="3"/>
      <c r="M2755" s="6"/>
      <c r="N2755" s="9"/>
      <c r="O2755" s="9"/>
      <c r="P2755" s="12"/>
      <c r="Q2755" s="12"/>
      <c r="R2755" s="12"/>
      <c r="S2755" s="151"/>
      <c r="T2755" s="12"/>
      <c r="U2755" s="12"/>
      <c r="V2755" s="12"/>
      <c r="W2755" s="12"/>
      <c r="X2755" s="12"/>
      <c r="Y2755" s="12"/>
      <c r="Z2755" s="12"/>
    </row>
    <row r="2756" spans="1:26" ht="15.75" customHeight="1" x14ac:dyDescent="0.3">
      <c r="A2756" s="3"/>
      <c r="B2756" s="167"/>
      <c r="C2756" s="94"/>
      <c r="D2756" s="12"/>
      <c r="E2756" s="167"/>
      <c r="F2756" s="12"/>
      <c r="G2756" s="331"/>
      <c r="H2756" s="474"/>
      <c r="I2756" s="475"/>
      <c r="J2756" s="476"/>
      <c r="K2756" s="5"/>
      <c r="L2756" s="3"/>
      <c r="M2756" s="6"/>
      <c r="N2756" s="9"/>
      <c r="O2756" s="9"/>
      <c r="P2756" s="12"/>
      <c r="Q2756" s="12"/>
      <c r="R2756" s="12"/>
      <c r="S2756" s="151"/>
      <c r="T2756" s="12"/>
      <c r="U2756" s="12"/>
      <c r="V2756" s="12"/>
      <c r="W2756" s="12"/>
      <c r="X2756" s="12"/>
      <c r="Y2756" s="12"/>
      <c r="Z2756" s="12"/>
    </row>
    <row r="2757" spans="1:26" ht="15.75" customHeight="1" x14ac:dyDescent="0.3">
      <c r="A2757" s="3"/>
      <c r="B2757" s="167"/>
      <c r="C2757" s="94"/>
      <c r="D2757" s="12"/>
      <c r="E2757" s="167"/>
      <c r="F2757" s="12"/>
      <c r="G2757" s="331"/>
      <c r="H2757" s="474"/>
      <c r="I2757" s="475"/>
      <c r="J2757" s="476"/>
      <c r="K2757" s="5"/>
      <c r="L2757" s="3"/>
      <c r="M2757" s="6"/>
      <c r="N2757" s="9"/>
      <c r="O2757" s="9"/>
      <c r="P2757" s="12"/>
      <c r="Q2757" s="12"/>
      <c r="R2757" s="12"/>
      <c r="S2757" s="151"/>
      <c r="T2757" s="12"/>
      <c r="U2757" s="12"/>
      <c r="V2757" s="12"/>
      <c r="W2757" s="12"/>
      <c r="X2757" s="12"/>
      <c r="Y2757" s="12"/>
      <c r="Z2757" s="12"/>
    </row>
    <row r="2758" spans="1:26" ht="15.75" customHeight="1" x14ac:dyDescent="0.3">
      <c r="A2758" s="3"/>
      <c r="B2758" s="167"/>
      <c r="C2758" s="94"/>
      <c r="D2758" s="12"/>
      <c r="E2758" s="167"/>
      <c r="F2758" s="12"/>
      <c r="G2758" s="331"/>
      <c r="H2758" s="474"/>
      <c r="I2758" s="475"/>
      <c r="J2758" s="476"/>
      <c r="K2758" s="5"/>
      <c r="L2758" s="3"/>
      <c r="M2758" s="6"/>
      <c r="N2758" s="9"/>
      <c r="O2758" s="9"/>
      <c r="P2758" s="12"/>
      <c r="Q2758" s="12"/>
      <c r="R2758" s="12"/>
      <c r="S2758" s="151"/>
      <c r="T2758" s="12"/>
      <c r="U2758" s="12"/>
      <c r="V2758" s="12"/>
      <c r="W2758" s="12"/>
      <c r="X2758" s="12"/>
      <c r="Y2758" s="12"/>
      <c r="Z2758" s="12"/>
    </row>
    <row r="2759" spans="1:26" ht="15.75" customHeight="1" x14ac:dyDescent="0.3">
      <c r="A2759" s="3"/>
      <c r="B2759" s="167"/>
      <c r="C2759" s="94"/>
      <c r="D2759" s="12"/>
      <c r="E2759" s="167"/>
      <c r="F2759" s="12"/>
      <c r="G2759" s="331"/>
      <c r="H2759" s="474"/>
      <c r="I2759" s="475"/>
      <c r="J2759" s="476"/>
      <c r="K2759" s="5"/>
      <c r="L2759" s="3"/>
      <c r="M2759" s="6"/>
      <c r="N2759" s="9"/>
      <c r="O2759" s="9"/>
      <c r="P2759" s="12"/>
      <c r="Q2759" s="12"/>
      <c r="R2759" s="12"/>
      <c r="S2759" s="151"/>
      <c r="T2759" s="12"/>
      <c r="U2759" s="12"/>
      <c r="V2759" s="12"/>
      <c r="W2759" s="12"/>
      <c r="X2759" s="12"/>
      <c r="Y2759" s="12"/>
      <c r="Z2759" s="12"/>
    </row>
    <row r="2760" spans="1:26" ht="15.75" customHeight="1" x14ac:dyDescent="0.3">
      <c r="A2760" s="3"/>
      <c r="B2760" s="167"/>
      <c r="C2760" s="94"/>
      <c r="D2760" s="12"/>
      <c r="E2760" s="167"/>
      <c r="F2760" s="12"/>
      <c r="G2760" s="331"/>
      <c r="H2760" s="474"/>
      <c r="I2760" s="475"/>
      <c r="J2760" s="476"/>
      <c r="K2760" s="5"/>
      <c r="L2760" s="3"/>
      <c r="M2760" s="6"/>
      <c r="N2760" s="9"/>
      <c r="O2760" s="9"/>
      <c r="P2760" s="12"/>
      <c r="Q2760" s="12"/>
      <c r="R2760" s="12"/>
      <c r="S2760" s="151"/>
      <c r="T2760" s="12"/>
      <c r="U2760" s="12"/>
      <c r="V2760" s="12"/>
      <c r="W2760" s="12"/>
      <c r="X2760" s="12"/>
      <c r="Y2760" s="12"/>
      <c r="Z2760" s="12"/>
    </row>
    <row r="2761" spans="1:26" ht="15.75" customHeight="1" x14ac:dyDescent="0.3">
      <c r="A2761" s="3"/>
      <c r="B2761" s="167"/>
      <c r="C2761" s="94"/>
      <c r="D2761" s="12"/>
      <c r="E2761" s="167"/>
      <c r="F2761" s="12"/>
      <c r="G2761" s="331"/>
      <c r="H2761" s="474"/>
      <c r="I2761" s="475"/>
      <c r="J2761" s="476"/>
      <c r="K2761" s="5"/>
      <c r="L2761" s="3"/>
      <c r="M2761" s="6"/>
      <c r="N2761" s="9"/>
      <c r="O2761" s="9"/>
      <c r="P2761" s="12"/>
      <c r="Q2761" s="12"/>
      <c r="R2761" s="12"/>
      <c r="S2761" s="151"/>
      <c r="T2761" s="12"/>
      <c r="U2761" s="12"/>
      <c r="V2761" s="12"/>
      <c r="W2761" s="12"/>
      <c r="X2761" s="12"/>
      <c r="Y2761" s="12"/>
      <c r="Z2761" s="12"/>
    </row>
    <row r="2762" spans="1:26" ht="15.75" customHeight="1" x14ac:dyDescent="0.3">
      <c r="A2762" s="3"/>
      <c r="B2762" s="167"/>
      <c r="C2762" s="94"/>
      <c r="D2762" s="12"/>
      <c r="E2762" s="167"/>
      <c r="F2762" s="12"/>
      <c r="G2762" s="331"/>
      <c r="H2762" s="474"/>
      <c r="I2762" s="475"/>
      <c r="J2762" s="476"/>
      <c r="K2762" s="5"/>
      <c r="L2762" s="3"/>
      <c r="M2762" s="6"/>
      <c r="N2762" s="9"/>
      <c r="O2762" s="9"/>
      <c r="P2762" s="12"/>
      <c r="Q2762" s="12"/>
      <c r="R2762" s="12"/>
      <c r="S2762" s="151"/>
      <c r="T2762" s="12"/>
      <c r="U2762" s="12"/>
      <c r="V2762" s="12"/>
      <c r="W2762" s="12"/>
      <c r="X2762" s="12"/>
      <c r="Y2762" s="12"/>
      <c r="Z2762" s="12"/>
    </row>
    <row r="2763" spans="1:26" ht="15.75" customHeight="1" x14ac:dyDescent="0.3">
      <c r="A2763" s="3"/>
      <c r="B2763" s="167"/>
      <c r="C2763" s="94"/>
      <c r="D2763" s="12"/>
      <c r="E2763" s="167"/>
      <c r="F2763" s="12"/>
      <c r="G2763" s="331"/>
      <c r="H2763" s="474"/>
      <c r="I2763" s="475"/>
      <c r="J2763" s="476"/>
      <c r="K2763" s="5"/>
      <c r="L2763" s="3"/>
      <c r="M2763" s="6"/>
      <c r="N2763" s="9"/>
      <c r="O2763" s="9"/>
      <c r="P2763" s="12"/>
      <c r="Q2763" s="12"/>
      <c r="R2763" s="12"/>
      <c r="S2763" s="151"/>
      <c r="T2763" s="12"/>
      <c r="U2763" s="12"/>
      <c r="V2763" s="12"/>
      <c r="W2763" s="12"/>
      <c r="X2763" s="12"/>
      <c r="Y2763" s="12"/>
      <c r="Z2763" s="12"/>
    </row>
    <row r="2764" spans="1:26" ht="15.75" customHeight="1" x14ac:dyDescent="0.3">
      <c r="A2764" s="3"/>
      <c r="B2764" s="167"/>
      <c r="C2764" s="94"/>
      <c r="D2764" s="12"/>
      <c r="E2764" s="167"/>
      <c r="F2764" s="12"/>
      <c r="G2764" s="331"/>
      <c r="H2764" s="474"/>
      <c r="I2764" s="475"/>
      <c r="J2764" s="476"/>
      <c r="K2764" s="5"/>
      <c r="L2764" s="3"/>
      <c r="M2764" s="6"/>
      <c r="N2764" s="9"/>
      <c r="O2764" s="9"/>
      <c r="P2764" s="12"/>
      <c r="Q2764" s="12"/>
      <c r="R2764" s="12"/>
      <c r="S2764" s="151"/>
      <c r="T2764" s="12"/>
      <c r="U2764" s="12"/>
      <c r="V2764" s="12"/>
      <c r="W2764" s="12"/>
      <c r="X2764" s="12"/>
      <c r="Y2764" s="12"/>
      <c r="Z2764" s="12"/>
    </row>
    <row r="2765" spans="1:26" ht="15.75" customHeight="1" x14ac:dyDescent="0.3">
      <c r="A2765" s="3"/>
      <c r="B2765" s="167"/>
      <c r="C2765" s="94"/>
      <c r="D2765" s="12"/>
      <c r="E2765" s="167"/>
      <c r="F2765" s="12"/>
      <c r="G2765" s="331"/>
      <c r="H2765" s="474"/>
      <c r="I2765" s="475"/>
      <c r="J2765" s="476"/>
      <c r="K2765" s="5"/>
      <c r="L2765" s="3"/>
      <c r="M2765" s="6"/>
      <c r="N2765" s="9"/>
      <c r="O2765" s="9"/>
      <c r="P2765" s="12"/>
      <c r="Q2765" s="12"/>
      <c r="R2765" s="12"/>
      <c r="S2765" s="151"/>
      <c r="T2765" s="12"/>
      <c r="U2765" s="12"/>
      <c r="V2765" s="12"/>
      <c r="W2765" s="12"/>
      <c r="X2765" s="12"/>
      <c r="Y2765" s="12"/>
      <c r="Z2765" s="12"/>
    </row>
    <row r="2766" spans="1:26" ht="15.75" customHeight="1" x14ac:dyDescent="0.3">
      <c r="A2766" s="3"/>
      <c r="B2766" s="167"/>
      <c r="C2766" s="94"/>
      <c r="D2766" s="12"/>
      <c r="E2766" s="167"/>
      <c r="F2766" s="12"/>
      <c r="G2766" s="331"/>
      <c r="H2766" s="474"/>
      <c r="I2766" s="475"/>
      <c r="J2766" s="476"/>
      <c r="K2766" s="5"/>
      <c r="L2766" s="3"/>
      <c r="M2766" s="6"/>
      <c r="N2766" s="9"/>
      <c r="O2766" s="9"/>
      <c r="P2766" s="12"/>
      <c r="Q2766" s="12"/>
      <c r="R2766" s="12"/>
      <c r="S2766" s="151"/>
      <c r="T2766" s="12"/>
      <c r="U2766" s="12"/>
      <c r="V2766" s="12"/>
      <c r="W2766" s="12"/>
      <c r="X2766" s="12"/>
      <c r="Y2766" s="12"/>
      <c r="Z2766" s="12"/>
    </row>
    <row r="2767" spans="1:26" ht="15.75" customHeight="1" x14ac:dyDescent="0.3">
      <c r="A2767" s="3"/>
      <c r="B2767" s="167"/>
      <c r="C2767" s="94"/>
      <c r="D2767" s="12"/>
      <c r="E2767" s="167"/>
      <c r="F2767" s="12"/>
      <c r="G2767" s="331"/>
      <c r="H2767" s="474"/>
      <c r="I2767" s="475"/>
      <c r="J2767" s="476"/>
      <c r="K2767" s="5"/>
      <c r="L2767" s="3"/>
      <c r="M2767" s="6"/>
      <c r="N2767" s="9"/>
      <c r="O2767" s="9"/>
      <c r="P2767" s="12"/>
      <c r="Q2767" s="12"/>
      <c r="R2767" s="12"/>
      <c r="S2767" s="151"/>
      <c r="T2767" s="12"/>
      <c r="U2767" s="12"/>
      <c r="V2767" s="12"/>
      <c r="W2767" s="12"/>
      <c r="X2767" s="12"/>
      <c r="Y2767" s="12"/>
      <c r="Z2767" s="12"/>
    </row>
    <row r="2768" spans="1:26" ht="15.75" customHeight="1" x14ac:dyDescent="0.3">
      <c r="A2768" s="3"/>
      <c r="B2768" s="167"/>
      <c r="C2768" s="94"/>
      <c r="D2768" s="12"/>
      <c r="E2768" s="167"/>
      <c r="F2768" s="12"/>
      <c r="G2768" s="331"/>
      <c r="H2768" s="474"/>
      <c r="I2768" s="475"/>
      <c r="J2768" s="476"/>
      <c r="K2768" s="5"/>
      <c r="L2768" s="3"/>
      <c r="M2768" s="6"/>
      <c r="N2768" s="9"/>
      <c r="O2768" s="9"/>
      <c r="P2768" s="12"/>
      <c r="Q2768" s="12"/>
      <c r="R2768" s="12"/>
      <c r="S2768" s="151"/>
      <c r="T2768" s="12"/>
      <c r="U2768" s="12"/>
      <c r="V2768" s="12"/>
      <c r="W2768" s="12"/>
      <c r="X2768" s="12"/>
      <c r="Y2768" s="12"/>
      <c r="Z2768" s="12"/>
    </row>
    <row r="2769" spans="1:26" ht="15.75" customHeight="1" x14ac:dyDescent="0.3">
      <c r="A2769" s="3"/>
      <c r="B2769" s="167"/>
      <c r="C2769" s="94"/>
      <c r="D2769" s="12"/>
      <c r="E2769" s="167"/>
      <c r="F2769" s="12"/>
      <c r="G2769" s="331"/>
      <c r="H2769" s="474"/>
      <c r="I2769" s="475"/>
      <c r="J2769" s="476"/>
      <c r="K2769" s="5"/>
      <c r="L2769" s="3"/>
      <c r="M2769" s="6"/>
      <c r="N2769" s="9"/>
      <c r="O2769" s="9"/>
      <c r="P2769" s="12"/>
      <c r="Q2769" s="12"/>
      <c r="R2769" s="12"/>
      <c r="S2769" s="151"/>
      <c r="T2769" s="12"/>
      <c r="U2769" s="12"/>
      <c r="V2769" s="12"/>
      <c r="W2769" s="12"/>
      <c r="X2769" s="12"/>
      <c r="Y2769" s="12"/>
      <c r="Z2769" s="12"/>
    </row>
    <row r="2770" spans="1:26" ht="15.75" customHeight="1" x14ac:dyDescent="0.3">
      <c r="A2770" s="3"/>
      <c r="B2770" s="167"/>
      <c r="C2770" s="94"/>
      <c r="D2770" s="12"/>
      <c r="E2770" s="167"/>
      <c r="F2770" s="12"/>
      <c r="G2770" s="331"/>
      <c r="H2770" s="474"/>
      <c r="I2770" s="475"/>
      <c r="J2770" s="476"/>
      <c r="K2770" s="5"/>
      <c r="L2770" s="3"/>
      <c r="M2770" s="6"/>
      <c r="N2770" s="9"/>
      <c r="O2770" s="9"/>
      <c r="P2770" s="12"/>
      <c r="Q2770" s="12"/>
      <c r="R2770" s="12"/>
      <c r="S2770" s="151"/>
      <c r="T2770" s="12"/>
      <c r="U2770" s="12"/>
      <c r="V2770" s="12"/>
      <c r="W2770" s="12"/>
      <c r="X2770" s="12"/>
      <c r="Y2770" s="12"/>
      <c r="Z2770" s="12"/>
    </row>
    <row r="2771" spans="1:26" ht="15.75" customHeight="1" x14ac:dyDescent="0.3">
      <c r="A2771" s="3"/>
      <c r="B2771" s="167"/>
      <c r="C2771" s="94"/>
      <c r="D2771" s="12"/>
      <c r="E2771" s="167"/>
      <c r="F2771" s="12"/>
      <c r="G2771" s="331"/>
      <c r="H2771" s="474"/>
      <c r="I2771" s="475"/>
      <c r="J2771" s="476"/>
      <c r="K2771" s="5"/>
      <c r="L2771" s="3"/>
      <c r="M2771" s="6"/>
      <c r="N2771" s="9"/>
      <c r="O2771" s="9"/>
      <c r="P2771" s="12"/>
      <c r="Q2771" s="12"/>
      <c r="R2771" s="12"/>
      <c r="S2771" s="151"/>
      <c r="T2771" s="12"/>
      <c r="U2771" s="12"/>
      <c r="V2771" s="12"/>
      <c r="W2771" s="12"/>
      <c r="X2771" s="12"/>
      <c r="Y2771" s="12"/>
      <c r="Z2771" s="12"/>
    </row>
    <row r="2772" spans="1:26" ht="15.75" customHeight="1" x14ac:dyDescent="0.3">
      <c r="A2772" s="3"/>
      <c r="B2772" s="167"/>
      <c r="C2772" s="94"/>
      <c r="D2772" s="12"/>
      <c r="E2772" s="167"/>
      <c r="F2772" s="12"/>
      <c r="G2772" s="331"/>
      <c r="H2772" s="474"/>
      <c r="I2772" s="475"/>
      <c r="J2772" s="476"/>
      <c r="K2772" s="5"/>
      <c r="L2772" s="3"/>
      <c r="M2772" s="6"/>
      <c r="N2772" s="9"/>
      <c r="O2772" s="9"/>
      <c r="P2772" s="12"/>
      <c r="Q2772" s="12"/>
      <c r="R2772" s="12"/>
      <c r="S2772" s="151"/>
      <c r="T2772" s="12"/>
      <c r="U2772" s="12"/>
      <c r="V2772" s="12"/>
      <c r="W2772" s="12"/>
      <c r="X2772" s="12"/>
      <c r="Y2772" s="12"/>
      <c r="Z2772" s="12"/>
    </row>
    <row r="2773" spans="1:26" ht="15.75" customHeight="1" x14ac:dyDescent="0.3">
      <c r="A2773" s="3"/>
      <c r="B2773" s="167"/>
      <c r="C2773" s="94"/>
      <c r="D2773" s="12"/>
      <c r="E2773" s="167"/>
      <c r="F2773" s="12"/>
      <c r="G2773" s="331"/>
      <c r="H2773" s="474"/>
      <c r="I2773" s="475"/>
      <c r="J2773" s="476"/>
      <c r="K2773" s="5"/>
      <c r="L2773" s="3"/>
      <c r="M2773" s="6"/>
      <c r="N2773" s="9"/>
      <c r="O2773" s="9"/>
      <c r="P2773" s="12"/>
      <c r="Q2773" s="12"/>
      <c r="R2773" s="12"/>
      <c r="S2773" s="151"/>
      <c r="T2773" s="12"/>
      <c r="U2773" s="12"/>
      <c r="V2773" s="12"/>
      <c r="W2773" s="12"/>
      <c r="X2773" s="12"/>
      <c r="Y2773" s="12"/>
      <c r="Z2773" s="12"/>
    </row>
    <row r="2774" spans="1:26" ht="15.75" customHeight="1" x14ac:dyDescent="0.3">
      <c r="A2774" s="3"/>
      <c r="B2774" s="167"/>
      <c r="C2774" s="94"/>
      <c r="D2774" s="12"/>
      <c r="E2774" s="167"/>
      <c r="F2774" s="12"/>
      <c r="G2774" s="331"/>
      <c r="H2774" s="474"/>
      <c r="I2774" s="475"/>
      <c r="J2774" s="476"/>
      <c r="K2774" s="5"/>
      <c r="L2774" s="3"/>
      <c r="M2774" s="6"/>
      <c r="N2774" s="9"/>
      <c r="O2774" s="9"/>
      <c r="P2774" s="12"/>
      <c r="Q2774" s="12"/>
      <c r="R2774" s="12"/>
      <c r="S2774" s="151"/>
      <c r="T2774" s="12"/>
      <c r="U2774" s="12"/>
      <c r="V2774" s="12"/>
      <c r="W2774" s="12"/>
      <c r="X2774" s="12"/>
      <c r="Y2774" s="12"/>
      <c r="Z2774" s="12"/>
    </row>
    <row r="2775" spans="1:26" ht="15.75" customHeight="1" x14ac:dyDescent="0.3">
      <c r="A2775" s="3"/>
      <c r="B2775" s="167"/>
      <c r="C2775" s="94"/>
      <c r="D2775" s="12"/>
      <c r="E2775" s="167"/>
      <c r="F2775" s="12"/>
      <c r="G2775" s="331"/>
      <c r="H2775" s="474"/>
      <c r="I2775" s="475"/>
      <c r="J2775" s="476"/>
      <c r="K2775" s="5"/>
      <c r="L2775" s="3"/>
      <c r="M2775" s="6"/>
      <c r="N2775" s="9"/>
      <c r="O2775" s="9"/>
      <c r="P2775" s="12"/>
      <c r="Q2775" s="12"/>
      <c r="R2775" s="12"/>
      <c r="S2775" s="151"/>
      <c r="T2775" s="12"/>
      <c r="U2775" s="12"/>
      <c r="V2775" s="12"/>
      <c r="W2775" s="12"/>
      <c r="X2775" s="12"/>
      <c r="Y2775" s="12"/>
      <c r="Z2775" s="12"/>
    </row>
    <row r="2776" spans="1:26" ht="15.75" customHeight="1" x14ac:dyDescent="0.3">
      <c r="A2776" s="3"/>
      <c r="B2776" s="167"/>
      <c r="C2776" s="94"/>
      <c r="D2776" s="12"/>
      <c r="E2776" s="167"/>
      <c r="F2776" s="12"/>
      <c r="G2776" s="331"/>
      <c r="H2776" s="474"/>
      <c r="I2776" s="475"/>
      <c r="J2776" s="476"/>
      <c r="K2776" s="5"/>
      <c r="L2776" s="3"/>
      <c r="M2776" s="6"/>
      <c r="N2776" s="9"/>
      <c r="O2776" s="9"/>
      <c r="P2776" s="12"/>
      <c r="Q2776" s="12"/>
      <c r="R2776" s="12"/>
      <c r="S2776" s="151"/>
      <c r="T2776" s="12"/>
      <c r="U2776" s="12"/>
      <c r="V2776" s="12"/>
      <c r="W2776" s="12"/>
      <c r="X2776" s="12"/>
      <c r="Y2776" s="12"/>
      <c r="Z2776" s="12"/>
    </row>
    <row r="2777" spans="1:26" ht="15.75" customHeight="1" x14ac:dyDescent="0.3">
      <c r="A2777" s="3"/>
      <c r="B2777" s="167"/>
      <c r="C2777" s="94"/>
      <c r="D2777" s="12"/>
      <c r="E2777" s="167"/>
      <c r="F2777" s="12"/>
      <c r="G2777" s="331"/>
      <c r="H2777" s="474"/>
      <c r="I2777" s="475"/>
      <c r="J2777" s="476"/>
      <c r="K2777" s="5"/>
      <c r="L2777" s="3"/>
      <c r="M2777" s="6"/>
      <c r="N2777" s="9"/>
      <c r="O2777" s="9"/>
      <c r="P2777" s="12"/>
      <c r="Q2777" s="12"/>
      <c r="R2777" s="12"/>
      <c r="S2777" s="151"/>
      <c r="T2777" s="12"/>
      <c r="U2777" s="12"/>
      <c r="V2777" s="12"/>
      <c r="W2777" s="12"/>
      <c r="X2777" s="12"/>
      <c r="Y2777" s="12"/>
      <c r="Z2777" s="12"/>
    </row>
    <row r="2778" spans="1:26" ht="15.75" customHeight="1" x14ac:dyDescent="0.3">
      <c r="A2778" s="3"/>
      <c r="B2778" s="167"/>
      <c r="C2778" s="94"/>
      <c r="D2778" s="12"/>
      <c r="E2778" s="167"/>
      <c r="F2778" s="12"/>
      <c r="G2778" s="331"/>
      <c r="H2778" s="474"/>
      <c r="I2778" s="475"/>
      <c r="J2778" s="476"/>
      <c r="K2778" s="5"/>
      <c r="L2778" s="3"/>
      <c r="M2778" s="6"/>
      <c r="N2778" s="9"/>
      <c r="O2778" s="9"/>
      <c r="P2778" s="12"/>
      <c r="Q2778" s="12"/>
      <c r="R2778" s="12"/>
      <c r="S2778" s="151"/>
      <c r="T2778" s="12"/>
      <c r="U2778" s="12"/>
      <c r="V2778" s="12"/>
      <c r="W2778" s="12"/>
      <c r="X2778" s="12"/>
      <c r="Y2778" s="12"/>
      <c r="Z2778" s="12"/>
    </row>
    <row r="2779" spans="1:26" ht="15.75" customHeight="1" x14ac:dyDescent="0.3">
      <c r="A2779" s="3"/>
      <c r="B2779" s="167"/>
      <c r="C2779" s="94"/>
      <c r="D2779" s="12"/>
      <c r="E2779" s="167"/>
      <c r="F2779" s="12"/>
      <c r="G2779" s="331"/>
      <c r="H2779" s="474"/>
      <c r="I2779" s="475"/>
      <c r="J2779" s="476"/>
      <c r="K2779" s="5"/>
      <c r="L2779" s="3"/>
      <c r="M2779" s="6"/>
      <c r="N2779" s="9"/>
      <c r="O2779" s="9"/>
      <c r="P2779" s="12"/>
      <c r="Q2779" s="12"/>
      <c r="R2779" s="12"/>
      <c r="S2779" s="151"/>
      <c r="T2779" s="12"/>
      <c r="U2779" s="12"/>
      <c r="V2779" s="12"/>
      <c r="W2779" s="12"/>
      <c r="X2779" s="12"/>
      <c r="Y2779" s="12"/>
      <c r="Z2779" s="12"/>
    </row>
    <row r="2780" spans="1:26" ht="15.75" customHeight="1" x14ac:dyDescent="0.3">
      <c r="A2780" s="3"/>
      <c r="B2780" s="167"/>
      <c r="C2780" s="94"/>
      <c r="D2780" s="12"/>
      <c r="E2780" s="167"/>
      <c r="F2780" s="12"/>
      <c r="G2780" s="331"/>
      <c r="H2780" s="474"/>
      <c r="I2780" s="475"/>
      <c r="J2780" s="476"/>
      <c r="K2780" s="5"/>
      <c r="L2780" s="3"/>
      <c r="M2780" s="6"/>
      <c r="N2780" s="9"/>
      <c r="O2780" s="9"/>
      <c r="P2780" s="12"/>
      <c r="Q2780" s="12"/>
      <c r="R2780" s="12"/>
      <c r="S2780" s="151"/>
      <c r="T2780" s="12"/>
      <c r="U2780" s="12"/>
      <c r="V2780" s="12"/>
      <c r="W2780" s="12"/>
      <c r="X2780" s="12"/>
      <c r="Y2780" s="12"/>
      <c r="Z2780" s="12"/>
    </row>
    <row r="2781" spans="1:26" ht="15.75" customHeight="1" x14ac:dyDescent="0.3">
      <c r="A2781" s="3"/>
      <c r="B2781" s="167"/>
      <c r="C2781" s="94"/>
      <c r="D2781" s="12"/>
      <c r="E2781" s="167"/>
      <c r="F2781" s="12"/>
      <c r="G2781" s="331"/>
      <c r="H2781" s="474"/>
      <c r="I2781" s="475"/>
      <c r="J2781" s="476"/>
      <c r="K2781" s="5"/>
      <c r="L2781" s="3"/>
      <c r="M2781" s="6"/>
      <c r="N2781" s="9"/>
      <c r="O2781" s="9"/>
      <c r="P2781" s="12"/>
      <c r="Q2781" s="12"/>
      <c r="R2781" s="12"/>
      <c r="S2781" s="151"/>
      <c r="T2781" s="12"/>
      <c r="U2781" s="12"/>
      <c r="V2781" s="12"/>
      <c r="W2781" s="12"/>
      <c r="X2781" s="12"/>
      <c r="Y2781" s="12"/>
      <c r="Z2781" s="12"/>
    </row>
    <row r="2782" spans="1:26" ht="15.75" customHeight="1" x14ac:dyDescent="0.3">
      <c r="A2782" s="3"/>
      <c r="B2782" s="167"/>
      <c r="C2782" s="94"/>
      <c r="D2782" s="12"/>
      <c r="E2782" s="167"/>
      <c r="F2782" s="12"/>
      <c r="G2782" s="331"/>
      <c r="H2782" s="474"/>
      <c r="I2782" s="475"/>
      <c r="J2782" s="476"/>
      <c r="K2782" s="5"/>
      <c r="L2782" s="3"/>
      <c r="M2782" s="6"/>
      <c r="N2782" s="9"/>
      <c r="O2782" s="9"/>
      <c r="P2782" s="12"/>
      <c r="Q2782" s="12"/>
      <c r="R2782" s="12"/>
      <c r="S2782" s="151"/>
      <c r="T2782" s="12"/>
      <c r="U2782" s="12"/>
      <c r="V2782" s="12"/>
      <c r="W2782" s="12"/>
      <c r="X2782" s="12"/>
      <c r="Y2782" s="12"/>
      <c r="Z2782" s="12"/>
    </row>
    <row r="2783" spans="1:26" ht="15.75" customHeight="1" x14ac:dyDescent="0.3">
      <c r="A2783" s="3"/>
      <c r="B2783" s="167"/>
      <c r="C2783" s="94"/>
      <c r="D2783" s="12"/>
      <c r="E2783" s="167"/>
      <c r="F2783" s="12"/>
      <c r="G2783" s="331"/>
      <c r="H2783" s="474"/>
      <c r="I2783" s="475"/>
      <c r="J2783" s="476"/>
      <c r="K2783" s="5"/>
      <c r="L2783" s="3"/>
      <c r="M2783" s="6"/>
      <c r="N2783" s="9"/>
      <c r="O2783" s="9"/>
      <c r="P2783" s="12"/>
      <c r="Q2783" s="12"/>
      <c r="R2783" s="12"/>
      <c r="S2783" s="151"/>
      <c r="T2783" s="12"/>
      <c r="U2783" s="12"/>
      <c r="V2783" s="12"/>
      <c r="W2783" s="12"/>
      <c r="X2783" s="12"/>
      <c r="Y2783" s="12"/>
      <c r="Z2783" s="12"/>
    </row>
    <row r="2784" spans="1:26" ht="15.75" customHeight="1" x14ac:dyDescent="0.3">
      <c r="A2784" s="3"/>
      <c r="B2784" s="167"/>
      <c r="C2784" s="94"/>
      <c r="D2784" s="12"/>
      <c r="E2784" s="167"/>
      <c r="F2784" s="12"/>
      <c r="G2784" s="331"/>
      <c r="H2784" s="474"/>
      <c r="I2784" s="475"/>
      <c r="J2784" s="476"/>
      <c r="K2784" s="5"/>
      <c r="L2784" s="3"/>
      <c r="M2784" s="6"/>
      <c r="N2784" s="9"/>
      <c r="O2784" s="9"/>
      <c r="P2784" s="12"/>
      <c r="Q2784" s="12"/>
      <c r="R2784" s="12"/>
      <c r="S2784" s="151"/>
      <c r="T2784" s="12"/>
      <c r="U2784" s="12"/>
      <c r="V2784" s="12"/>
      <c r="W2784" s="12"/>
      <c r="X2784" s="12"/>
      <c r="Y2784" s="12"/>
      <c r="Z2784" s="12"/>
    </row>
    <row r="2785" spans="1:26" ht="15.75" customHeight="1" x14ac:dyDescent="0.3">
      <c r="A2785" s="3"/>
      <c r="B2785" s="167"/>
      <c r="C2785" s="94"/>
      <c r="D2785" s="12"/>
      <c r="E2785" s="167"/>
      <c r="F2785" s="12"/>
      <c r="G2785" s="331"/>
      <c r="H2785" s="474"/>
      <c r="I2785" s="475"/>
      <c r="J2785" s="476"/>
      <c r="K2785" s="5"/>
      <c r="L2785" s="3"/>
      <c r="M2785" s="6"/>
      <c r="N2785" s="9"/>
      <c r="O2785" s="9"/>
      <c r="P2785" s="12"/>
      <c r="Q2785" s="12"/>
      <c r="R2785" s="12"/>
      <c r="S2785" s="151"/>
      <c r="T2785" s="12"/>
      <c r="U2785" s="12"/>
      <c r="V2785" s="12"/>
      <c r="W2785" s="12"/>
      <c r="X2785" s="12"/>
      <c r="Y2785" s="12"/>
      <c r="Z2785" s="12"/>
    </row>
    <row r="2786" spans="1:26" ht="15.75" customHeight="1" x14ac:dyDescent="0.3">
      <c r="A2786" s="3"/>
      <c r="B2786" s="167"/>
      <c r="C2786" s="94"/>
      <c r="D2786" s="12"/>
      <c r="E2786" s="167"/>
      <c r="F2786" s="12"/>
      <c r="G2786" s="331"/>
      <c r="H2786" s="474"/>
      <c r="I2786" s="475"/>
      <c r="J2786" s="476"/>
      <c r="K2786" s="5"/>
      <c r="L2786" s="3"/>
      <c r="M2786" s="6"/>
      <c r="N2786" s="9"/>
      <c r="O2786" s="9"/>
      <c r="P2786" s="12"/>
      <c r="Q2786" s="12"/>
      <c r="R2786" s="12"/>
      <c r="S2786" s="151"/>
      <c r="T2786" s="12"/>
      <c r="U2786" s="12"/>
      <c r="V2786" s="12"/>
      <c r="W2786" s="12"/>
      <c r="X2786" s="12"/>
      <c r="Y2786" s="12"/>
      <c r="Z2786" s="12"/>
    </row>
    <row r="2787" spans="1:26" ht="15.75" customHeight="1" x14ac:dyDescent="0.3">
      <c r="A2787" s="3"/>
      <c r="B2787" s="167"/>
      <c r="C2787" s="94"/>
      <c r="D2787" s="12"/>
      <c r="E2787" s="167"/>
      <c r="F2787" s="12"/>
      <c r="G2787" s="331"/>
      <c r="H2787" s="474"/>
      <c r="I2787" s="475"/>
      <c r="J2787" s="476"/>
      <c r="K2787" s="5"/>
      <c r="L2787" s="3"/>
      <c r="M2787" s="6"/>
      <c r="N2787" s="9"/>
      <c r="O2787" s="9"/>
      <c r="P2787" s="12"/>
      <c r="Q2787" s="12"/>
      <c r="R2787" s="12"/>
      <c r="S2787" s="151"/>
      <c r="T2787" s="12"/>
      <c r="U2787" s="12"/>
      <c r="V2787" s="12"/>
      <c r="W2787" s="12"/>
      <c r="X2787" s="12"/>
      <c r="Y2787" s="12"/>
      <c r="Z2787" s="12"/>
    </row>
    <row r="2788" spans="1:26" ht="15.75" customHeight="1" x14ac:dyDescent="0.3">
      <c r="A2788" s="3"/>
      <c r="B2788" s="167"/>
      <c r="C2788" s="94"/>
      <c r="D2788" s="12"/>
      <c r="E2788" s="167"/>
      <c r="F2788" s="12"/>
      <c r="G2788" s="331"/>
      <c r="H2788" s="474"/>
      <c r="I2788" s="475"/>
      <c r="J2788" s="476"/>
      <c r="K2788" s="5"/>
      <c r="L2788" s="3"/>
      <c r="M2788" s="6"/>
      <c r="N2788" s="9"/>
      <c r="O2788" s="9"/>
      <c r="P2788" s="12"/>
      <c r="Q2788" s="12"/>
      <c r="R2788" s="12"/>
      <c r="S2788" s="151"/>
      <c r="T2788" s="12"/>
      <c r="U2788" s="12"/>
      <c r="V2788" s="12"/>
      <c r="W2788" s="12"/>
      <c r="X2788" s="12"/>
      <c r="Y2788" s="12"/>
      <c r="Z2788" s="12"/>
    </row>
    <row r="2789" spans="1:26" ht="15.75" customHeight="1" x14ac:dyDescent="0.3">
      <c r="A2789" s="3"/>
      <c r="B2789" s="167"/>
      <c r="C2789" s="94"/>
      <c r="D2789" s="12"/>
      <c r="E2789" s="167"/>
      <c r="F2789" s="12"/>
      <c r="G2789" s="331"/>
      <c r="H2789" s="474"/>
      <c r="I2789" s="475"/>
      <c r="J2789" s="476"/>
      <c r="K2789" s="5"/>
      <c r="L2789" s="3"/>
      <c r="M2789" s="6"/>
      <c r="N2789" s="9"/>
      <c r="O2789" s="9"/>
      <c r="P2789" s="12"/>
      <c r="Q2789" s="12"/>
      <c r="R2789" s="12"/>
      <c r="S2789" s="151"/>
      <c r="T2789" s="12"/>
      <c r="U2789" s="12"/>
      <c r="V2789" s="12"/>
      <c r="W2789" s="12"/>
      <c r="X2789" s="12"/>
      <c r="Y2789" s="12"/>
      <c r="Z2789" s="12"/>
    </row>
    <row r="2790" spans="1:26" ht="15.75" customHeight="1" x14ac:dyDescent="0.3">
      <c r="A2790" s="3"/>
      <c r="B2790" s="167"/>
      <c r="C2790" s="94"/>
      <c r="D2790" s="12"/>
      <c r="E2790" s="167"/>
      <c r="F2790" s="12"/>
      <c r="G2790" s="331"/>
      <c r="H2790" s="474"/>
      <c r="I2790" s="475"/>
      <c r="J2790" s="476"/>
      <c r="K2790" s="5"/>
      <c r="L2790" s="3"/>
      <c r="M2790" s="6"/>
      <c r="N2790" s="9"/>
      <c r="O2790" s="9"/>
      <c r="P2790" s="12"/>
      <c r="Q2790" s="12"/>
      <c r="R2790" s="12"/>
      <c r="S2790" s="151"/>
      <c r="T2790" s="12"/>
      <c r="U2790" s="12"/>
      <c r="V2790" s="12"/>
      <c r="W2790" s="12"/>
      <c r="X2790" s="12"/>
      <c r="Y2790" s="12"/>
      <c r="Z2790" s="12"/>
    </row>
    <row r="2791" spans="1:26" ht="15.75" customHeight="1" x14ac:dyDescent="0.3">
      <c r="A2791" s="3"/>
      <c r="B2791" s="167"/>
      <c r="C2791" s="94"/>
      <c r="D2791" s="12"/>
      <c r="E2791" s="167"/>
      <c r="F2791" s="12"/>
      <c r="G2791" s="331"/>
      <c r="H2791" s="474"/>
      <c r="I2791" s="475"/>
      <c r="J2791" s="476"/>
      <c r="K2791" s="5"/>
      <c r="L2791" s="3"/>
      <c r="M2791" s="6"/>
      <c r="N2791" s="9"/>
      <c r="O2791" s="9"/>
      <c r="P2791" s="12"/>
      <c r="Q2791" s="12"/>
      <c r="R2791" s="12"/>
      <c r="S2791" s="151"/>
      <c r="T2791" s="12"/>
      <c r="U2791" s="12"/>
      <c r="V2791" s="12"/>
      <c r="W2791" s="12"/>
      <c r="X2791" s="12"/>
      <c r="Y2791" s="12"/>
      <c r="Z2791" s="12"/>
    </row>
    <row r="2792" spans="1:26" ht="15.75" customHeight="1" x14ac:dyDescent="0.3">
      <c r="A2792" s="3"/>
      <c r="B2792" s="167"/>
      <c r="C2792" s="94"/>
      <c r="D2792" s="12"/>
      <c r="E2792" s="167"/>
      <c r="F2792" s="12"/>
      <c r="G2792" s="331"/>
      <c r="H2792" s="474"/>
      <c r="I2792" s="475"/>
      <c r="J2792" s="476"/>
      <c r="K2792" s="5"/>
      <c r="L2792" s="3"/>
      <c r="M2792" s="6"/>
      <c r="N2792" s="9"/>
      <c r="O2792" s="9"/>
      <c r="P2792" s="12"/>
      <c r="Q2792" s="12"/>
      <c r="R2792" s="12"/>
      <c r="S2792" s="151"/>
      <c r="T2792" s="12"/>
      <c r="U2792" s="12"/>
      <c r="V2792" s="12"/>
      <c r="W2792" s="12"/>
      <c r="X2792" s="12"/>
      <c r="Y2792" s="12"/>
      <c r="Z2792" s="12"/>
    </row>
    <row r="2793" spans="1:26" ht="15.75" customHeight="1" x14ac:dyDescent="0.3">
      <c r="A2793" s="3"/>
      <c r="B2793" s="167"/>
      <c r="C2793" s="94"/>
      <c r="D2793" s="12"/>
      <c r="E2793" s="167"/>
      <c r="F2793" s="12"/>
      <c r="G2793" s="331"/>
      <c r="H2793" s="474"/>
      <c r="I2793" s="475"/>
      <c r="J2793" s="476"/>
      <c r="K2793" s="5"/>
      <c r="L2793" s="3"/>
      <c r="M2793" s="6"/>
      <c r="N2793" s="9"/>
      <c r="O2793" s="9"/>
      <c r="P2793" s="12"/>
      <c r="Q2793" s="12"/>
      <c r="R2793" s="12"/>
      <c r="S2793" s="151"/>
      <c r="T2793" s="12"/>
      <c r="U2793" s="12"/>
      <c r="V2793" s="12"/>
      <c r="W2793" s="12"/>
      <c r="X2793" s="12"/>
      <c r="Y2793" s="12"/>
      <c r="Z2793" s="12"/>
    </row>
    <row r="2794" spans="1:26" ht="15.75" customHeight="1" x14ac:dyDescent="0.3">
      <c r="A2794" s="3"/>
      <c r="B2794" s="167"/>
      <c r="C2794" s="94"/>
      <c r="D2794" s="12"/>
      <c r="E2794" s="167"/>
      <c r="F2794" s="12"/>
      <c r="G2794" s="331"/>
      <c r="H2794" s="474"/>
      <c r="I2794" s="475"/>
      <c r="J2794" s="476"/>
      <c r="K2794" s="5"/>
      <c r="L2794" s="3"/>
      <c r="M2794" s="6"/>
      <c r="N2794" s="9"/>
      <c r="O2794" s="9"/>
      <c r="P2794" s="12"/>
      <c r="Q2794" s="12"/>
      <c r="R2794" s="12"/>
      <c r="S2794" s="151"/>
      <c r="T2794" s="12"/>
      <c r="U2794" s="12"/>
      <c r="V2794" s="12"/>
      <c r="W2794" s="12"/>
      <c r="X2794" s="12"/>
      <c r="Y2794" s="12"/>
      <c r="Z2794" s="12"/>
    </row>
    <row r="2795" spans="1:26" ht="15.75" customHeight="1" x14ac:dyDescent="0.3">
      <c r="A2795" s="3"/>
      <c r="B2795" s="167"/>
      <c r="C2795" s="94"/>
      <c r="D2795" s="12"/>
      <c r="E2795" s="167"/>
      <c r="F2795" s="12"/>
      <c r="G2795" s="331"/>
      <c r="H2795" s="474"/>
      <c r="I2795" s="475"/>
      <c r="J2795" s="476"/>
      <c r="K2795" s="5"/>
      <c r="L2795" s="3"/>
      <c r="M2795" s="6"/>
      <c r="N2795" s="9"/>
      <c r="O2795" s="9"/>
      <c r="P2795" s="12"/>
      <c r="Q2795" s="12"/>
      <c r="R2795" s="12"/>
      <c r="S2795" s="151"/>
      <c r="T2795" s="12"/>
      <c r="U2795" s="12"/>
      <c r="V2795" s="12"/>
      <c r="W2795" s="12"/>
      <c r="X2795" s="12"/>
      <c r="Y2795" s="12"/>
      <c r="Z2795" s="12"/>
    </row>
    <row r="2796" spans="1:26" ht="15.75" customHeight="1" x14ac:dyDescent="0.3">
      <c r="A2796" s="3"/>
      <c r="B2796" s="167"/>
      <c r="C2796" s="94"/>
      <c r="D2796" s="12"/>
      <c r="E2796" s="167"/>
      <c r="F2796" s="12"/>
      <c r="G2796" s="331"/>
      <c r="H2796" s="474"/>
      <c r="I2796" s="475"/>
      <c r="J2796" s="476"/>
      <c r="K2796" s="5"/>
      <c r="L2796" s="3"/>
      <c r="M2796" s="6"/>
      <c r="N2796" s="9"/>
      <c r="O2796" s="9"/>
      <c r="P2796" s="12"/>
      <c r="Q2796" s="12"/>
      <c r="R2796" s="12"/>
      <c r="S2796" s="151"/>
      <c r="T2796" s="12"/>
      <c r="U2796" s="12"/>
      <c r="V2796" s="12"/>
      <c r="W2796" s="12"/>
      <c r="X2796" s="12"/>
      <c r="Y2796" s="12"/>
      <c r="Z2796" s="12"/>
    </row>
    <row r="2797" spans="1:26" ht="15.75" customHeight="1" x14ac:dyDescent="0.3">
      <c r="A2797" s="3"/>
      <c r="B2797" s="167"/>
      <c r="C2797" s="94"/>
      <c r="D2797" s="12"/>
      <c r="E2797" s="167"/>
      <c r="F2797" s="12"/>
      <c r="G2797" s="331"/>
      <c r="H2797" s="474"/>
      <c r="I2797" s="475"/>
      <c r="J2797" s="476"/>
      <c r="K2797" s="5"/>
      <c r="L2797" s="3"/>
      <c r="M2797" s="6"/>
      <c r="N2797" s="9"/>
      <c r="O2797" s="9"/>
      <c r="P2797" s="12"/>
      <c r="Q2797" s="12"/>
      <c r="R2797" s="12"/>
      <c r="S2797" s="151"/>
      <c r="T2797" s="12"/>
      <c r="U2797" s="12"/>
      <c r="V2797" s="12"/>
      <c r="W2797" s="12"/>
      <c r="X2797" s="12"/>
      <c r="Y2797" s="12"/>
      <c r="Z2797" s="12"/>
    </row>
    <row r="2798" spans="1:26" ht="15.75" customHeight="1" x14ac:dyDescent="0.3">
      <c r="A2798" s="3"/>
      <c r="B2798" s="167"/>
      <c r="C2798" s="94"/>
      <c r="D2798" s="12"/>
      <c r="E2798" s="167"/>
      <c r="F2798" s="12"/>
      <c r="G2798" s="331"/>
      <c r="H2798" s="474"/>
      <c r="I2798" s="475"/>
      <c r="J2798" s="476"/>
      <c r="K2798" s="5"/>
      <c r="L2798" s="3"/>
      <c r="M2798" s="6"/>
      <c r="N2798" s="9"/>
      <c r="O2798" s="9"/>
      <c r="P2798" s="12"/>
      <c r="Q2798" s="12"/>
      <c r="R2798" s="12"/>
      <c r="S2798" s="151"/>
      <c r="T2798" s="12"/>
      <c r="U2798" s="12"/>
      <c r="V2798" s="12"/>
      <c r="W2798" s="12"/>
      <c r="X2798" s="12"/>
      <c r="Y2798" s="12"/>
      <c r="Z2798" s="12"/>
    </row>
    <row r="2799" spans="1:26" ht="15.75" customHeight="1" x14ac:dyDescent="0.3">
      <c r="A2799" s="3"/>
      <c r="B2799" s="167"/>
      <c r="C2799" s="94"/>
      <c r="D2799" s="12"/>
      <c r="E2799" s="167"/>
      <c r="F2799" s="12"/>
      <c r="G2799" s="331"/>
      <c r="H2799" s="474"/>
      <c r="I2799" s="475"/>
      <c r="J2799" s="476"/>
      <c r="K2799" s="5"/>
      <c r="L2799" s="3"/>
      <c r="M2799" s="6"/>
      <c r="N2799" s="9"/>
      <c r="O2799" s="9"/>
      <c r="P2799" s="12"/>
      <c r="Q2799" s="12"/>
      <c r="R2799" s="12"/>
      <c r="S2799" s="151"/>
      <c r="T2799" s="12"/>
      <c r="U2799" s="12"/>
      <c r="V2799" s="12"/>
      <c r="W2799" s="12"/>
      <c r="X2799" s="12"/>
      <c r="Y2799" s="12"/>
      <c r="Z2799" s="12"/>
    </row>
    <row r="2800" spans="1:26" ht="15.75" customHeight="1" x14ac:dyDescent="0.3">
      <c r="A2800" s="3"/>
      <c r="B2800" s="167"/>
      <c r="C2800" s="94"/>
      <c r="D2800" s="12"/>
      <c r="E2800" s="167"/>
      <c r="F2800" s="12"/>
      <c r="G2800" s="331"/>
      <c r="H2800" s="474"/>
      <c r="I2800" s="475"/>
      <c r="J2800" s="476"/>
      <c r="K2800" s="5"/>
      <c r="L2800" s="3"/>
      <c r="M2800" s="6"/>
      <c r="N2800" s="9"/>
      <c r="O2800" s="9"/>
      <c r="P2800" s="12"/>
      <c r="Q2800" s="12"/>
      <c r="R2800" s="12"/>
      <c r="S2800" s="151"/>
      <c r="T2800" s="12"/>
      <c r="U2800" s="12"/>
      <c r="V2800" s="12"/>
      <c r="W2800" s="12"/>
      <c r="X2800" s="12"/>
      <c r="Y2800" s="12"/>
      <c r="Z2800" s="12"/>
    </row>
    <row r="2801" spans="1:26" ht="15.75" customHeight="1" x14ac:dyDescent="0.3">
      <c r="A2801" s="3"/>
      <c r="B2801" s="167"/>
      <c r="C2801" s="94"/>
      <c r="D2801" s="12"/>
      <c r="E2801" s="167"/>
      <c r="F2801" s="12"/>
      <c r="G2801" s="331"/>
      <c r="H2801" s="474"/>
      <c r="I2801" s="475"/>
      <c r="J2801" s="476"/>
      <c r="K2801" s="5"/>
      <c r="L2801" s="3"/>
      <c r="M2801" s="6"/>
      <c r="N2801" s="9"/>
      <c r="O2801" s="9"/>
      <c r="P2801" s="12"/>
      <c r="Q2801" s="12"/>
      <c r="R2801" s="12"/>
      <c r="S2801" s="151"/>
      <c r="T2801" s="12"/>
      <c r="U2801" s="12"/>
      <c r="V2801" s="12"/>
      <c r="W2801" s="12"/>
      <c r="X2801" s="12"/>
      <c r="Y2801" s="12"/>
      <c r="Z2801" s="12"/>
    </row>
    <row r="2802" spans="1:26" ht="15.75" customHeight="1" x14ac:dyDescent="0.3">
      <c r="A2802" s="3"/>
      <c r="B2802" s="167"/>
      <c r="C2802" s="94"/>
      <c r="D2802" s="12"/>
      <c r="E2802" s="167"/>
      <c r="F2802" s="12"/>
      <c r="G2802" s="331"/>
      <c r="H2802" s="474"/>
      <c r="I2802" s="475"/>
      <c r="J2802" s="476"/>
      <c r="K2802" s="5"/>
      <c r="L2802" s="3"/>
      <c r="M2802" s="6"/>
      <c r="N2802" s="9"/>
      <c r="O2802" s="9"/>
      <c r="P2802" s="12"/>
      <c r="Q2802" s="12"/>
      <c r="R2802" s="12"/>
      <c r="S2802" s="151"/>
      <c r="T2802" s="12"/>
      <c r="U2802" s="12"/>
      <c r="V2802" s="12"/>
      <c r="W2802" s="12"/>
      <c r="X2802" s="12"/>
      <c r="Y2802" s="12"/>
      <c r="Z2802" s="12"/>
    </row>
    <row r="2803" spans="1:26" ht="15.75" customHeight="1" x14ac:dyDescent="0.3">
      <c r="A2803" s="3"/>
      <c r="B2803" s="167"/>
      <c r="C2803" s="94"/>
      <c r="D2803" s="12"/>
      <c r="E2803" s="167"/>
      <c r="F2803" s="12"/>
      <c r="G2803" s="331"/>
      <c r="H2803" s="474"/>
      <c r="I2803" s="475"/>
      <c r="J2803" s="476"/>
      <c r="K2803" s="5"/>
      <c r="L2803" s="3"/>
      <c r="M2803" s="6"/>
      <c r="N2803" s="9"/>
      <c r="O2803" s="9"/>
      <c r="P2803" s="12"/>
      <c r="Q2803" s="12"/>
      <c r="R2803" s="12"/>
      <c r="S2803" s="151"/>
      <c r="T2803" s="12"/>
      <c r="U2803" s="12"/>
      <c r="V2803" s="12"/>
      <c r="W2803" s="12"/>
      <c r="X2803" s="12"/>
      <c r="Y2803" s="12"/>
      <c r="Z2803" s="12"/>
    </row>
    <row r="2804" spans="1:26" ht="15.75" customHeight="1" x14ac:dyDescent="0.3">
      <c r="A2804" s="3"/>
      <c r="B2804" s="167"/>
      <c r="C2804" s="94"/>
      <c r="D2804" s="12"/>
      <c r="E2804" s="167"/>
      <c r="F2804" s="12"/>
      <c r="G2804" s="331"/>
      <c r="H2804" s="474"/>
      <c r="I2804" s="475"/>
      <c r="J2804" s="476"/>
      <c r="K2804" s="5"/>
      <c r="L2804" s="3"/>
      <c r="M2804" s="6"/>
      <c r="N2804" s="9"/>
      <c r="O2804" s="9"/>
      <c r="P2804" s="12"/>
      <c r="Q2804" s="12"/>
      <c r="R2804" s="12"/>
      <c r="S2804" s="151"/>
      <c r="T2804" s="12"/>
      <c r="U2804" s="12"/>
      <c r="V2804" s="12"/>
      <c r="W2804" s="12"/>
      <c r="X2804" s="12"/>
      <c r="Y2804" s="12"/>
      <c r="Z2804" s="12"/>
    </row>
    <row r="2805" spans="1:26" ht="15.75" customHeight="1" x14ac:dyDescent="0.3">
      <c r="A2805" s="3"/>
      <c r="B2805" s="167"/>
      <c r="C2805" s="94"/>
      <c r="D2805" s="12"/>
      <c r="E2805" s="167"/>
      <c r="F2805" s="12"/>
      <c r="G2805" s="331"/>
      <c r="H2805" s="474"/>
      <c r="I2805" s="475"/>
      <c r="J2805" s="476"/>
      <c r="K2805" s="5"/>
      <c r="L2805" s="3"/>
      <c r="M2805" s="6"/>
      <c r="N2805" s="9"/>
      <c r="O2805" s="9"/>
      <c r="P2805" s="12"/>
      <c r="Q2805" s="12"/>
      <c r="R2805" s="12"/>
      <c r="S2805" s="151"/>
      <c r="T2805" s="12"/>
      <c r="U2805" s="12"/>
      <c r="V2805" s="12"/>
      <c r="W2805" s="12"/>
      <c r="X2805" s="12"/>
      <c r="Y2805" s="12"/>
      <c r="Z2805" s="12"/>
    </row>
    <row r="2806" spans="1:26" ht="15.75" customHeight="1" x14ac:dyDescent="0.3">
      <c r="A2806" s="3"/>
      <c r="B2806" s="167"/>
      <c r="C2806" s="94"/>
      <c r="D2806" s="12"/>
      <c r="E2806" s="167"/>
      <c r="F2806" s="12"/>
      <c r="G2806" s="331"/>
      <c r="H2806" s="474"/>
      <c r="I2806" s="475"/>
      <c r="J2806" s="476"/>
      <c r="K2806" s="5"/>
      <c r="L2806" s="3"/>
      <c r="M2806" s="6"/>
      <c r="N2806" s="9"/>
      <c r="O2806" s="9"/>
      <c r="P2806" s="12"/>
      <c r="Q2806" s="12"/>
      <c r="R2806" s="12"/>
      <c r="S2806" s="151"/>
      <c r="T2806" s="12"/>
      <c r="U2806" s="12"/>
      <c r="V2806" s="12"/>
      <c r="W2806" s="12"/>
      <c r="X2806" s="12"/>
      <c r="Y2806" s="12"/>
      <c r="Z2806" s="12"/>
    </row>
    <row r="2807" spans="1:26" ht="15.75" customHeight="1" x14ac:dyDescent="0.3">
      <c r="A2807" s="3"/>
      <c r="B2807" s="167"/>
      <c r="C2807" s="94"/>
      <c r="D2807" s="12"/>
      <c r="E2807" s="167"/>
      <c r="F2807" s="12"/>
      <c r="G2807" s="331"/>
      <c r="H2807" s="474"/>
      <c r="I2807" s="475"/>
      <c r="J2807" s="476"/>
      <c r="K2807" s="5"/>
      <c r="L2807" s="3"/>
      <c r="M2807" s="6"/>
      <c r="N2807" s="9"/>
      <c r="O2807" s="9"/>
      <c r="P2807" s="12"/>
      <c r="Q2807" s="12"/>
      <c r="R2807" s="12"/>
      <c r="S2807" s="151"/>
      <c r="T2807" s="12"/>
      <c r="U2807" s="12"/>
      <c r="V2807" s="12"/>
      <c r="W2807" s="12"/>
      <c r="X2807" s="12"/>
      <c r="Y2807" s="12"/>
      <c r="Z2807" s="12"/>
    </row>
    <row r="2808" spans="1:26" ht="15.75" customHeight="1" x14ac:dyDescent="0.3">
      <c r="A2808" s="3"/>
      <c r="B2808" s="167"/>
      <c r="C2808" s="94"/>
      <c r="D2808" s="12"/>
      <c r="E2808" s="167"/>
      <c r="F2808" s="12"/>
      <c r="G2808" s="331"/>
      <c r="H2808" s="474"/>
      <c r="I2808" s="475"/>
      <c r="J2808" s="476"/>
      <c r="K2808" s="5"/>
      <c r="L2808" s="3"/>
      <c r="M2808" s="6"/>
      <c r="N2808" s="9"/>
      <c r="O2808" s="9"/>
      <c r="P2808" s="12"/>
      <c r="Q2808" s="12"/>
      <c r="R2808" s="12"/>
      <c r="S2808" s="151"/>
      <c r="T2808" s="12"/>
      <c r="U2808" s="12"/>
      <c r="V2808" s="12"/>
      <c r="W2808" s="12"/>
      <c r="X2808" s="12"/>
      <c r="Y2808" s="12"/>
      <c r="Z2808" s="12"/>
    </row>
    <row r="2809" spans="1:26" ht="15.75" customHeight="1" x14ac:dyDescent="0.3">
      <c r="A2809" s="3"/>
      <c r="B2809" s="167"/>
      <c r="C2809" s="94"/>
      <c r="D2809" s="12"/>
      <c r="E2809" s="167"/>
      <c r="F2809" s="12"/>
      <c r="G2809" s="331"/>
      <c r="H2809" s="474"/>
      <c r="I2809" s="475"/>
      <c r="J2809" s="476"/>
      <c r="K2809" s="5"/>
      <c r="L2809" s="3"/>
      <c r="M2809" s="6"/>
      <c r="N2809" s="9"/>
      <c r="O2809" s="9"/>
      <c r="P2809" s="12"/>
      <c r="Q2809" s="12"/>
      <c r="R2809" s="12"/>
      <c r="S2809" s="151"/>
      <c r="T2809" s="12"/>
      <c r="U2809" s="12"/>
      <c r="V2809" s="12"/>
      <c r="W2809" s="12"/>
      <c r="X2809" s="12"/>
      <c r="Y2809" s="12"/>
      <c r="Z2809" s="12"/>
    </row>
    <row r="2810" spans="1:26" ht="15.75" customHeight="1" x14ac:dyDescent="0.3">
      <c r="A2810" s="3"/>
      <c r="B2810" s="167"/>
      <c r="C2810" s="94"/>
      <c r="D2810" s="12"/>
      <c r="E2810" s="167"/>
      <c r="F2810" s="12"/>
      <c r="G2810" s="331"/>
      <c r="H2810" s="474"/>
      <c r="I2810" s="475"/>
      <c r="J2810" s="476"/>
      <c r="K2810" s="5"/>
      <c r="L2810" s="3"/>
      <c r="M2810" s="6"/>
      <c r="N2810" s="9"/>
      <c r="O2810" s="9"/>
      <c r="P2810" s="12"/>
      <c r="Q2810" s="12"/>
      <c r="R2810" s="12"/>
      <c r="S2810" s="151"/>
      <c r="T2810" s="12"/>
      <c r="U2810" s="12"/>
      <c r="V2810" s="12"/>
      <c r="W2810" s="12"/>
      <c r="X2810" s="12"/>
      <c r="Y2810" s="12"/>
      <c r="Z2810" s="12"/>
    </row>
    <row r="2811" spans="1:26" ht="15.75" customHeight="1" x14ac:dyDescent="0.3">
      <c r="A2811" s="3"/>
      <c r="B2811" s="167"/>
      <c r="C2811" s="94"/>
      <c r="D2811" s="12"/>
      <c r="E2811" s="167"/>
      <c r="F2811" s="12"/>
      <c r="G2811" s="331"/>
      <c r="H2811" s="474"/>
      <c r="I2811" s="475"/>
      <c r="J2811" s="476"/>
      <c r="K2811" s="5"/>
      <c r="L2811" s="3"/>
      <c r="M2811" s="6"/>
      <c r="N2811" s="9"/>
      <c r="O2811" s="9"/>
      <c r="P2811" s="12"/>
      <c r="Q2811" s="12"/>
      <c r="R2811" s="12"/>
      <c r="S2811" s="151"/>
      <c r="T2811" s="12"/>
      <c r="U2811" s="12"/>
      <c r="V2811" s="12"/>
      <c r="W2811" s="12"/>
      <c r="X2811" s="12"/>
      <c r="Y2811" s="12"/>
      <c r="Z2811" s="12"/>
    </row>
    <row r="2812" spans="1:26" ht="15.75" customHeight="1" x14ac:dyDescent="0.3">
      <c r="A2812" s="3"/>
      <c r="B2812" s="167"/>
      <c r="C2812" s="94"/>
      <c r="D2812" s="12"/>
      <c r="E2812" s="167"/>
      <c r="F2812" s="12"/>
      <c r="G2812" s="331"/>
      <c r="H2812" s="474"/>
      <c r="I2812" s="475"/>
      <c r="J2812" s="476"/>
      <c r="K2812" s="5"/>
      <c r="L2812" s="3"/>
      <c r="M2812" s="6"/>
      <c r="N2812" s="9"/>
      <c r="O2812" s="9"/>
      <c r="P2812" s="12"/>
      <c r="Q2812" s="12"/>
      <c r="R2812" s="12"/>
      <c r="S2812" s="151"/>
      <c r="T2812" s="12"/>
      <c r="U2812" s="12"/>
      <c r="V2812" s="12"/>
      <c r="W2812" s="12"/>
      <c r="X2812" s="12"/>
      <c r="Y2812" s="12"/>
      <c r="Z2812" s="12"/>
    </row>
    <row r="2813" spans="1:26" ht="15.75" customHeight="1" x14ac:dyDescent="0.3">
      <c r="A2813" s="3"/>
      <c r="B2813" s="167"/>
      <c r="C2813" s="94"/>
      <c r="D2813" s="12"/>
      <c r="E2813" s="167"/>
      <c r="F2813" s="12"/>
      <c r="G2813" s="331"/>
      <c r="H2813" s="474"/>
      <c r="I2813" s="475"/>
      <c r="J2813" s="476"/>
      <c r="K2813" s="5"/>
      <c r="L2813" s="3"/>
      <c r="M2813" s="6"/>
      <c r="N2813" s="9"/>
      <c r="O2813" s="9"/>
      <c r="P2813" s="12"/>
      <c r="Q2813" s="12"/>
      <c r="R2813" s="12"/>
      <c r="S2813" s="151"/>
      <c r="T2813" s="12"/>
      <c r="U2813" s="12"/>
      <c r="V2813" s="12"/>
      <c r="W2813" s="12"/>
      <c r="X2813" s="12"/>
      <c r="Y2813" s="12"/>
      <c r="Z2813" s="12"/>
    </row>
    <row r="2814" spans="1:26" ht="15.75" customHeight="1" x14ac:dyDescent="0.3">
      <c r="A2814" s="3"/>
      <c r="B2814" s="167"/>
      <c r="C2814" s="94"/>
      <c r="D2814" s="12"/>
      <c r="E2814" s="167"/>
      <c r="F2814" s="12"/>
      <c r="G2814" s="331"/>
      <c r="H2814" s="474"/>
      <c r="I2814" s="475"/>
      <c r="J2814" s="476"/>
      <c r="K2814" s="5"/>
      <c r="L2814" s="3"/>
      <c r="M2814" s="6"/>
      <c r="N2814" s="9"/>
      <c r="O2814" s="9"/>
      <c r="P2814" s="12"/>
      <c r="Q2814" s="12"/>
      <c r="R2814" s="12"/>
      <c r="S2814" s="151"/>
      <c r="T2814" s="12"/>
      <c r="U2814" s="12"/>
      <c r="V2814" s="12"/>
      <c r="W2814" s="12"/>
      <c r="X2814" s="12"/>
      <c r="Y2814" s="12"/>
      <c r="Z2814" s="12"/>
    </row>
    <row r="2815" spans="1:26" ht="15.75" customHeight="1" x14ac:dyDescent="0.3">
      <c r="A2815" s="3"/>
      <c r="B2815" s="167"/>
      <c r="C2815" s="94"/>
      <c r="D2815" s="12"/>
      <c r="E2815" s="167"/>
      <c r="F2815" s="12"/>
      <c r="G2815" s="331"/>
      <c r="H2815" s="474"/>
      <c r="I2815" s="475"/>
      <c r="J2815" s="476"/>
      <c r="K2815" s="5"/>
      <c r="L2815" s="3"/>
      <c r="M2815" s="6"/>
      <c r="N2815" s="9"/>
      <c r="O2815" s="9"/>
      <c r="P2815" s="12"/>
      <c r="Q2815" s="12"/>
      <c r="R2815" s="12"/>
      <c r="S2815" s="151"/>
      <c r="T2815" s="12"/>
      <c r="U2815" s="12"/>
      <c r="V2815" s="12"/>
      <c r="W2815" s="12"/>
      <c r="X2815" s="12"/>
      <c r="Y2815" s="12"/>
      <c r="Z2815" s="12"/>
    </row>
    <row r="2816" spans="1:26" ht="15.75" customHeight="1" x14ac:dyDescent="0.3">
      <c r="A2816" s="3"/>
      <c r="B2816" s="167"/>
      <c r="C2816" s="94"/>
      <c r="D2816" s="12"/>
      <c r="E2816" s="167"/>
      <c r="F2816" s="12"/>
      <c r="G2816" s="331"/>
      <c r="H2816" s="474"/>
      <c r="I2816" s="475"/>
      <c r="J2816" s="476"/>
      <c r="K2816" s="5"/>
      <c r="L2816" s="3"/>
      <c r="M2816" s="6"/>
      <c r="N2816" s="9"/>
      <c r="O2816" s="9"/>
      <c r="P2816" s="12"/>
      <c r="Q2816" s="12"/>
      <c r="R2816" s="12"/>
      <c r="S2816" s="151"/>
      <c r="T2816" s="12"/>
      <c r="U2816" s="12"/>
      <c r="V2816" s="12"/>
      <c r="W2816" s="12"/>
      <c r="X2816" s="12"/>
      <c r="Y2816" s="12"/>
      <c r="Z2816" s="12"/>
    </row>
    <row r="2817" spans="1:26" ht="15.75" customHeight="1" x14ac:dyDescent="0.3">
      <c r="A2817" s="3"/>
      <c r="B2817" s="167"/>
      <c r="C2817" s="94"/>
      <c r="D2817" s="12"/>
      <c r="E2817" s="167"/>
      <c r="F2817" s="12"/>
      <c r="G2817" s="331"/>
      <c r="H2817" s="474"/>
      <c r="I2817" s="475"/>
      <c r="J2817" s="476"/>
      <c r="K2817" s="5"/>
      <c r="L2817" s="3"/>
      <c r="M2817" s="6"/>
      <c r="N2817" s="9"/>
      <c r="O2817" s="9"/>
      <c r="P2817" s="12"/>
      <c r="Q2817" s="12"/>
      <c r="R2817" s="12"/>
      <c r="S2817" s="151"/>
      <c r="T2817" s="12"/>
      <c r="U2817" s="12"/>
      <c r="V2817" s="12"/>
      <c r="W2817" s="12"/>
      <c r="X2817" s="12"/>
      <c r="Y2817" s="12"/>
      <c r="Z2817" s="12"/>
    </row>
    <row r="2818" spans="1:26" ht="15.75" customHeight="1" x14ac:dyDescent="0.3">
      <c r="A2818" s="3"/>
      <c r="B2818" s="167"/>
      <c r="C2818" s="94"/>
      <c r="D2818" s="12"/>
      <c r="E2818" s="167"/>
      <c r="F2818" s="12"/>
      <c r="G2818" s="331"/>
      <c r="H2818" s="474"/>
      <c r="I2818" s="475"/>
      <c r="J2818" s="476"/>
      <c r="K2818" s="5"/>
      <c r="L2818" s="3"/>
      <c r="M2818" s="6"/>
      <c r="N2818" s="9"/>
      <c r="O2818" s="9"/>
      <c r="P2818" s="12"/>
      <c r="Q2818" s="12"/>
      <c r="R2818" s="12"/>
      <c r="S2818" s="151"/>
      <c r="T2818" s="12"/>
      <c r="U2818" s="12"/>
      <c r="V2818" s="12"/>
      <c r="W2818" s="12"/>
      <c r="X2818" s="12"/>
      <c r="Y2818" s="12"/>
      <c r="Z2818" s="12"/>
    </row>
    <row r="2819" spans="1:26" ht="15.75" customHeight="1" x14ac:dyDescent="0.3">
      <c r="A2819" s="3"/>
      <c r="B2819" s="167"/>
      <c r="C2819" s="94"/>
      <c r="D2819" s="12"/>
      <c r="E2819" s="167"/>
      <c r="F2819" s="12"/>
      <c r="G2819" s="331"/>
      <c r="H2819" s="474"/>
      <c r="I2819" s="475"/>
      <c r="J2819" s="476"/>
      <c r="K2819" s="5"/>
      <c r="L2819" s="3"/>
      <c r="M2819" s="6"/>
      <c r="N2819" s="9"/>
      <c r="O2819" s="9"/>
      <c r="P2819" s="12"/>
      <c r="Q2819" s="12"/>
      <c r="R2819" s="12"/>
      <c r="S2819" s="151"/>
      <c r="T2819" s="12"/>
      <c r="U2819" s="12"/>
      <c r="V2819" s="12"/>
      <c r="W2819" s="12"/>
      <c r="X2819" s="12"/>
      <c r="Y2819" s="12"/>
      <c r="Z2819" s="12"/>
    </row>
    <row r="2820" spans="1:26" ht="15.75" customHeight="1" x14ac:dyDescent="0.3">
      <c r="A2820" s="3"/>
      <c r="B2820" s="167"/>
      <c r="C2820" s="94"/>
      <c r="D2820" s="12"/>
      <c r="E2820" s="167"/>
      <c r="F2820" s="12"/>
      <c r="G2820" s="331"/>
      <c r="H2820" s="474"/>
      <c r="I2820" s="475"/>
      <c r="J2820" s="476"/>
      <c r="K2820" s="5"/>
      <c r="L2820" s="3"/>
      <c r="M2820" s="6"/>
      <c r="N2820" s="9"/>
      <c r="O2820" s="9"/>
      <c r="P2820" s="12"/>
      <c r="Q2820" s="12"/>
      <c r="R2820" s="12"/>
      <c r="S2820" s="151"/>
      <c r="T2820" s="12"/>
      <c r="U2820" s="12"/>
      <c r="V2820" s="12"/>
      <c r="W2820" s="12"/>
      <c r="X2820" s="12"/>
      <c r="Y2820" s="12"/>
      <c r="Z2820" s="12"/>
    </row>
    <row r="2821" spans="1:26" ht="15.75" customHeight="1" x14ac:dyDescent="0.3">
      <c r="A2821" s="3"/>
      <c r="B2821" s="167"/>
      <c r="C2821" s="94"/>
      <c r="D2821" s="12"/>
      <c r="E2821" s="167"/>
      <c r="F2821" s="12"/>
      <c r="G2821" s="331"/>
      <c r="H2821" s="474"/>
      <c r="I2821" s="475"/>
      <c r="J2821" s="476"/>
      <c r="K2821" s="5"/>
      <c r="L2821" s="3"/>
      <c r="M2821" s="6"/>
      <c r="N2821" s="9"/>
      <c r="O2821" s="9"/>
      <c r="P2821" s="12"/>
      <c r="Q2821" s="12"/>
      <c r="R2821" s="12"/>
      <c r="S2821" s="151"/>
      <c r="T2821" s="12"/>
      <c r="U2821" s="12"/>
      <c r="V2821" s="12"/>
      <c r="W2821" s="12"/>
      <c r="X2821" s="12"/>
      <c r="Y2821" s="12"/>
      <c r="Z2821" s="12"/>
    </row>
    <row r="2822" spans="1:26" ht="15.75" customHeight="1" x14ac:dyDescent="0.3">
      <c r="A2822" s="3"/>
      <c r="B2822" s="167"/>
      <c r="C2822" s="94"/>
      <c r="D2822" s="12"/>
      <c r="E2822" s="167"/>
      <c r="F2822" s="12"/>
      <c r="G2822" s="331"/>
      <c r="H2822" s="474"/>
      <c r="I2822" s="475"/>
      <c r="J2822" s="476"/>
      <c r="K2822" s="5"/>
      <c r="L2822" s="3"/>
      <c r="M2822" s="6"/>
      <c r="N2822" s="9"/>
      <c r="O2822" s="9"/>
      <c r="P2822" s="12"/>
      <c r="Q2822" s="12"/>
      <c r="R2822" s="12"/>
      <c r="S2822" s="151"/>
      <c r="T2822" s="12"/>
      <c r="U2822" s="12"/>
      <c r="V2822" s="12"/>
      <c r="W2822" s="12"/>
      <c r="X2822" s="12"/>
      <c r="Y2822" s="12"/>
      <c r="Z2822" s="12"/>
    </row>
    <row r="2823" spans="1:26" ht="15.75" customHeight="1" x14ac:dyDescent="0.3">
      <c r="A2823" s="3"/>
      <c r="B2823" s="167"/>
      <c r="C2823" s="94"/>
      <c r="D2823" s="12"/>
      <c r="E2823" s="167"/>
      <c r="F2823" s="12"/>
      <c r="G2823" s="331"/>
      <c r="H2823" s="474"/>
      <c r="I2823" s="475"/>
      <c r="J2823" s="476"/>
      <c r="K2823" s="5"/>
      <c r="L2823" s="3"/>
      <c r="M2823" s="6"/>
      <c r="N2823" s="9"/>
      <c r="O2823" s="9"/>
      <c r="P2823" s="12"/>
      <c r="Q2823" s="12"/>
      <c r="R2823" s="12"/>
      <c r="S2823" s="151"/>
      <c r="T2823" s="12"/>
      <c r="U2823" s="12"/>
      <c r="V2823" s="12"/>
      <c r="W2823" s="12"/>
      <c r="X2823" s="12"/>
      <c r="Y2823" s="12"/>
      <c r="Z2823" s="12"/>
    </row>
    <row r="2824" spans="1:26" ht="15.75" customHeight="1" x14ac:dyDescent="0.3">
      <c r="A2824" s="3"/>
      <c r="B2824" s="167"/>
      <c r="C2824" s="94"/>
      <c r="D2824" s="12"/>
      <c r="E2824" s="167"/>
      <c r="F2824" s="12"/>
      <c r="G2824" s="331"/>
      <c r="H2824" s="474"/>
      <c r="I2824" s="475"/>
      <c r="J2824" s="476"/>
      <c r="K2824" s="5"/>
      <c r="L2824" s="3"/>
      <c r="M2824" s="6"/>
      <c r="N2824" s="9"/>
      <c r="O2824" s="9"/>
      <c r="P2824" s="12"/>
      <c r="Q2824" s="12"/>
      <c r="R2824" s="12"/>
      <c r="S2824" s="151"/>
      <c r="T2824" s="12"/>
      <c r="U2824" s="12"/>
      <c r="V2824" s="12"/>
      <c r="W2824" s="12"/>
      <c r="X2824" s="12"/>
      <c r="Y2824" s="12"/>
      <c r="Z2824" s="12"/>
    </row>
    <row r="2825" spans="1:26" ht="15.75" customHeight="1" x14ac:dyDescent="0.3">
      <c r="A2825" s="3"/>
      <c r="B2825" s="167"/>
      <c r="C2825" s="94"/>
      <c r="D2825" s="12"/>
      <c r="E2825" s="167"/>
      <c r="F2825" s="12"/>
      <c r="G2825" s="331"/>
      <c r="H2825" s="474"/>
      <c r="I2825" s="475"/>
      <c r="J2825" s="476"/>
      <c r="K2825" s="5"/>
      <c r="L2825" s="3"/>
      <c r="M2825" s="6"/>
      <c r="N2825" s="9"/>
      <c r="O2825" s="9"/>
      <c r="P2825" s="12"/>
      <c r="Q2825" s="12"/>
      <c r="R2825" s="12"/>
      <c r="S2825" s="151"/>
      <c r="T2825" s="12"/>
      <c r="U2825" s="12"/>
      <c r="V2825" s="12"/>
      <c r="W2825" s="12"/>
      <c r="X2825" s="12"/>
      <c r="Y2825" s="12"/>
      <c r="Z2825" s="12"/>
    </row>
    <row r="2826" spans="1:26" ht="15.75" customHeight="1" x14ac:dyDescent="0.3">
      <c r="A2826" s="3"/>
      <c r="B2826" s="167"/>
      <c r="C2826" s="94"/>
      <c r="D2826" s="12"/>
      <c r="E2826" s="167"/>
      <c r="F2826" s="12"/>
      <c r="G2826" s="331"/>
      <c r="H2826" s="474"/>
      <c r="I2826" s="475"/>
      <c r="J2826" s="476"/>
      <c r="K2826" s="5"/>
      <c r="L2826" s="3"/>
      <c r="M2826" s="6"/>
      <c r="N2826" s="9"/>
      <c r="O2826" s="9"/>
      <c r="P2826" s="12"/>
      <c r="Q2826" s="12"/>
      <c r="R2826" s="12"/>
      <c r="S2826" s="151"/>
      <c r="T2826" s="12"/>
      <c r="U2826" s="12"/>
      <c r="V2826" s="12"/>
      <c r="W2826" s="12"/>
      <c r="X2826" s="12"/>
      <c r="Y2826" s="12"/>
      <c r="Z2826" s="12"/>
    </row>
    <row r="2827" spans="1:26" ht="15.75" customHeight="1" x14ac:dyDescent="0.3">
      <c r="A2827" s="3"/>
      <c r="B2827" s="167"/>
      <c r="C2827" s="94"/>
      <c r="D2827" s="12"/>
      <c r="E2827" s="167"/>
      <c r="F2827" s="12"/>
      <c r="G2827" s="331"/>
      <c r="H2827" s="474"/>
      <c r="I2827" s="475"/>
      <c r="J2827" s="476"/>
      <c r="K2827" s="5"/>
      <c r="L2827" s="3"/>
      <c r="M2827" s="6"/>
      <c r="N2827" s="9"/>
      <c r="O2827" s="9"/>
      <c r="P2827" s="12"/>
      <c r="Q2827" s="12"/>
      <c r="R2827" s="12"/>
      <c r="S2827" s="151"/>
      <c r="T2827" s="12"/>
      <c r="U2827" s="12"/>
      <c r="V2827" s="12"/>
      <c r="W2827" s="12"/>
      <c r="X2827" s="12"/>
      <c r="Y2827" s="12"/>
      <c r="Z2827" s="12"/>
    </row>
    <row r="2828" spans="1:26" ht="15.75" customHeight="1" x14ac:dyDescent="0.3">
      <c r="A2828" s="3"/>
      <c r="B2828" s="167"/>
      <c r="C2828" s="94"/>
      <c r="D2828" s="12"/>
      <c r="E2828" s="167"/>
      <c r="F2828" s="12"/>
      <c r="G2828" s="331"/>
      <c r="H2828" s="474"/>
      <c r="I2828" s="475"/>
      <c r="J2828" s="476"/>
      <c r="K2828" s="5"/>
      <c r="L2828" s="3"/>
      <c r="M2828" s="6"/>
      <c r="N2828" s="9"/>
      <c r="O2828" s="9"/>
      <c r="P2828" s="12"/>
      <c r="Q2828" s="12"/>
      <c r="R2828" s="12"/>
      <c r="S2828" s="151"/>
      <c r="T2828" s="12"/>
      <c r="U2828" s="12"/>
      <c r="V2828" s="12"/>
      <c r="W2828" s="12"/>
      <c r="X2828" s="12"/>
      <c r="Y2828" s="12"/>
      <c r="Z2828" s="12"/>
    </row>
    <row r="2829" spans="1:26" ht="15.75" customHeight="1" x14ac:dyDescent="0.3">
      <c r="A2829" s="3"/>
      <c r="B2829" s="167"/>
      <c r="C2829" s="94"/>
      <c r="D2829" s="12"/>
      <c r="E2829" s="167"/>
      <c r="F2829" s="12"/>
      <c r="G2829" s="331"/>
      <c r="H2829" s="474"/>
      <c r="I2829" s="475"/>
      <c r="J2829" s="476"/>
      <c r="K2829" s="5"/>
      <c r="L2829" s="3"/>
      <c r="M2829" s="6"/>
      <c r="N2829" s="9"/>
      <c r="O2829" s="9"/>
      <c r="P2829" s="12"/>
      <c r="Q2829" s="12"/>
      <c r="R2829" s="12"/>
      <c r="S2829" s="151"/>
      <c r="T2829" s="12"/>
      <c r="U2829" s="12"/>
      <c r="V2829" s="12"/>
      <c r="W2829" s="12"/>
      <c r="X2829" s="12"/>
      <c r="Y2829" s="12"/>
      <c r="Z2829" s="12"/>
    </row>
    <row r="2830" spans="1:26" ht="15.75" customHeight="1" x14ac:dyDescent="0.3">
      <c r="A2830" s="3"/>
      <c r="B2830" s="167"/>
      <c r="C2830" s="94"/>
      <c r="D2830" s="12"/>
      <c r="E2830" s="167"/>
      <c r="F2830" s="12"/>
      <c r="G2830" s="331"/>
      <c r="H2830" s="474"/>
      <c r="I2830" s="475"/>
      <c r="J2830" s="476"/>
      <c r="K2830" s="5"/>
      <c r="L2830" s="3"/>
      <c r="M2830" s="6"/>
      <c r="N2830" s="9"/>
      <c r="O2830" s="9"/>
      <c r="P2830" s="12"/>
      <c r="Q2830" s="12"/>
      <c r="R2830" s="12"/>
      <c r="S2830" s="151"/>
      <c r="T2830" s="12"/>
      <c r="U2830" s="12"/>
      <c r="V2830" s="12"/>
      <c r="W2830" s="12"/>
      <c r="X2830" s="12"/>
      <c r="Y2830" s="12"/>
      <c r="Z2830" s="12"/>
    </row>
    <row r="2831" spans="1:26" ht="15.75" customHeight="1" x14ac:dyDescent="0.3">
      <c r="A2831" s="3"/>
      <c r="B2831" s="167"/>
      <c r="C2831" s="94"/>
      <c r="D2831" s="12"/>
      <c r="E2831" s="167"/>
      <c r="F2831" s="12"/>
      <c r="G2831" s="331"/>
      <c r="H2831" s="474"/>
      <c r="I2831" s="475"/>
      <c r="J2831" s="476"/>
      <c r="K2831" s="5"/>
      <c r="L2831" s="3"/>
      <c r="M2831" s="6"/>
      <c r="N2831" s="9"/>
      <c r="O2831" s="9"/>
      <c r="P2831" s="12"/>
      <c r="Q2831" s="12"/>
      <c r="R2831" s="12"/>
      <c r="S2831" s="151"/>
      <c r="T2831" s="12"/>
      <c r="U2831" s="12"/>
      <c r="V2831" s="12"/>
      <c r="W2831" s="12"/>
      <c r="X2831" s="12"/>
      <c r="Y2831" s="12"/>
      <c r="Z2831" s="12"/>
    </row>
    <row r="2832" spans="1:26" ht="15.75" customHeight="1" x14ac:dyDescent="0.3">
      <c r="A2832" s="3"/>
      <c r="B2832" s="167"/>
      <c r="C2832" s="94"/>
      <c r="D2832" s="12"/>
      <c r="E2832" s="167"/>
      <c r="F2832" s="12"/>
      <c r="G2832" s="331"/>
      <c r="H2832" s="474"/>
      <c r="I2832" s="475"/>
      <c r="J2832" s="476"/>
      <c r="K2832" s="5"/>
      <c r="L2832" s="3"/>
      <c r="M2832" s="6"/>
      <c r="N2832" s="9"/>
      <c r="O2832" s="9"/>
      <c r="P2832" s="12"/>
      <c r="Q2832" s="12"/>
      <c r="R2832" s="12"/>
      <c r="S2832" s="151"/>
      <c r="T2832" s="12"/>
      <c r="U2832" s="12"/>
      <c r="V2832" s="12"/>
      <c r="W2832" s="12"/>
      <c r="X2832" s="12"/>
      <c r="Y2832" s="12"/>
      <c r="Z2832" s="12"/>
    </row>
    <row r="2833" spans="1:26" ht="15.75" customHeight="1" x14ac:dyDescent="0.3">
      <c r="A2833" s="3"/>
      <c r="B2833" s="167"/>
      <c r="C2833" s="94"/>
      <c r="D2833" s="12"/>
      <c r="E2833" s="167"/>
      <c r="F2833" s="12"/>
      <c r="G2833" s="331"/>
      <c r="H2833" s="474"/>
      <c r="I2833" s="475"/>
      <c r="J2833" s="476"/>
      <c r="K2833" s="5"/>
      <c r="L2833" s="3"/>
      <c r="M2833" s="6"/>
      <c r="N2833" s="9"/>
      <c r="O2833" s="9"/>
      <c r="P2833" s="12"/>
      <c r="Q2833" s="12"/>
      <c r="R2833" s="12"/>
      <c r="S2833" s="151"/>
      <c r="T2833" s="12"/>
      <c r="U2833" s="12"/>
      <c r="V2833" s="12"/>
      <c r="W2833" s="12"/>
      <c r="X2833" s="12"/>
      <c r="Y2833" s="12"/>
      <c r="Z2833" s="12"/>
    </row>
    <row r="2834" spans="1:26" ht="15.75" customHeight="1" x14ac:dyDescent="0.3">
      <c r="A2834" s="3"/>
      <c r="B2834" s="167"/>
      <c r="C2834" s="94"/>
      <c r="D2834" s="12"/>
      <c r="E2834" s="167"/>
      <c r="F2834" s="12"/>
      <c r="G2834" s="331"/>
      <c r="H2834" s="474"/>
      <c r="I2834" s="475"/>
      <c r="J2834" s="476"/>
      <c r="K2834" s="5"/>
      <c r="L2834" s="3"/>
      <c r="M2834" s="6"/>
      <c r="N2834" s="9"/>
      <c r="O2834" s="9"/>
      <c r="P2834" s="12"/>
      <c r="Q2834" s="12"/>
      <c r="R2834" s="12"/>
      <c r="S2834" s="151"/>
      <c r="T2834" s="12"/>
      <c r="U2834" s="12"/>
      <c r="V2834" s="12"/>
      <c r="W2834" s="12"/>
      <c r="X2834" s="12"/>
      <c r="Y2834" s="12"/>
      <c r="Z2834" s="12"/>
    </row>
    <row r="2835" spans="1:26" ht="15.75" customHeight="1" x14ac:dyDescent="0.3">
      <c r="A2835" s="3"/>
      <c r="B2835" s="167"/>
      <c r="C2835" s="94"/>
      <c r="D2835" s="12"/>
      <c r="E2835" s="167"/>
      <c r="F2835" s="12"/>
      <c r="G2835" s="331"/>
      <c r="H2835" s="474"/>
      <c r="I2835" s="475"/>
      <c r="J2835" s="476"/>
      <c r="K2835" s="5"/>
      <c r="L2835" s="3"/>
      <c r="M2835" s="6"/>
      <c r="N2835" s="9"/>
      <c r="O2835" s="9"/>
      <c r="P2835" s="12"/>
      <c r="Q2835" s="12"/>
      <c r="R2835" s="12"/>
      <c r="S2835" s="151"/>
      <c r="T2835" s="12"/>
      <c r="U2835" s="12"/>
      <c r="V2835" s="12"/>
      <c r="W2835" s="12"/>
      <c r="X2835" s="12"/>
      <c r="Y2835" s="12"/>
      <c r="Z2835" s="12"/>
    </row>
    <row r="2836" spans="1:26" ht="15.75" customHeight="1" x14ac:dyDescent="0.3">
      <c r="A2836" s="3"/>
      <c r="B2836" s="167"/>
      <c r="C2836" s="94"/>
      <c r="D2836" s="12"/>
      <c r="E2836" s="167"/>
      <c r="F2836" s="12"/>
      <c r="G2836" s="331"/>
      <c r="H2836" s="474"/>
      <c r="I2836" s="475"/>
      <c r="J2836" s="476"/>
      <c r="K2836" s="5"/>
      <c r="L2836" s="3"/>
      <c r="M2836" s="6"/>
      <c r="N2836" s="9"/>
      <c r="O2836" s="9"/>
      <c r="P2836" s="12"/>
      <c r="Q2836" s="12"/>
      <c r="R2836" s="12"/>
      <c r="S2836" s="151"/>
      <c r="T2836" s="12"/>
      <c r="U2836" s="12"/>
      <c r="V2836" s="12"/>
      <c r="W2836" s="12"/>
      <c r="X2836" s="12"/>
      <c r="Y2836" s="12"/>
      <c r="Z2836" s="12"/>
    </row>
    <row r="2837" spans="1:26" ht="15.75" customHeight="1" x14ac:dyDescent="0.3">
      <c r="A2837" s="3"/>
      <c r="B2837" s="167"/>
      <c r="C2837" s="94"/>
      <c r="D2837" s="12"/>
      <c r="E2837" s="167"/>
      <c r="F2837" s="12"/>
      <c r="G2837" s="331"/>
      <c r="H2837" s="474"/>
      <c r="I2837" s="475"/>
      <c r="J2837" s="476"/>
      <c r="K2837" s="5"/>
      <c r="L2837" s="3"/>
      <c r="M2837" s="6"/>
      <c r="N2837" s="9"/>
      <c r="O2837" s="9"/>
      <c r="P2837" s="12"/>
      <c r="Q2837" s="12"/>
      <c r="R2837" s="12"/>
      <c r="S2837" s="151"/>
      <c r="T2837" s="12"/>
      <c r="U2837" s="12"/>
      <c r="V2837" s="12"/>
      <c r="W2837" s="12"/>
      <c r="X2837" s="12"/>
      <c r="Y2837" s="12"/>
      <c r="Z2837" s="12"/>
    </row>
    <row r="2838" spans="1:26" ht="15.75" customHeight="1" x14ac:dyDescent="0.3">
      <c r="A2838" s="3"/>
      <c r="B2838" s="167"/>
      <c r="C2838" s="94"/>
      <c r="D2838" s="12"/>
      <c r="E2838" s="167"/>
      <c r="F2838" s="12"/>
      <c r="G2838" s="331"/>
      <c r="H2838" s="474"/>
      <c r="I2838" s="475"/>
      <c r="J2838" s="476"/>
      <c r="K2838" s="5"/>
      <c r="L2838" s="3"/>
      <c r="M2838" s="6"/>
      <c r="N2838" s="9"/>
      <c r="O2838" s="9"/>
      <c r="P2838" s="12"/>
      <c r="Q2838" s="12"/>
      <c r="R2838" s="12"/>
      <c r="S2838" s="151"/>
      <c r="T2838" s="12"/>
      <c r="U2838" s="12"/>
      <c r="V2838" s="12"/>
      <c r="W2838" s="12"/>
      <c r="X2838" s="12"/>
      <c r="Y2838" s="12"/>
      <c r="Z2838" s="12"/>
    </row>
    <row r="2839" spans="1:26" ht="15.75" customHeight="1" x14ac:dyDescent="0.3">
      <c r="A2839" s="3"/>
      <c r="B2839" s="167"/>
      <c r="C2839" s="94"/>
      <c r="D2839" s="12"/>
      <c r="E2839" s="167"/>
      <c r="F2839" s="12"/>
      <c r="G2839" s="331"/>
      <c r="H2839" s="474"/>
      <c r="I2839" s="475"/>
      <c r="J2839" s="476"/>
      <c r="K2839" s="5"/>
      <c r="L2839" s="3"/>
      <c r="M2839" s="6"/>
      <c r="N2839" s="9"/>
      <c r="O2839" s="9"/>
      <c r="P2839" s="12"/>
      <c r="Q2839" s="12"/>
      <c r="R2839" s="12"/>
      <c r="S2839" s="151"/>
      <c r="T2839" s="12"/>
      <c r="U2839" s="12"/>
      <c r="V2839" s="12"/>
      <c r="W2839" s="12"/>
      <c r="X2839" s="12"/>
      <c r="Y2839" s="12"/>
      <c r="Z2839" s="12"/>
    </row>
    <row r="2840" spans="1:26" ht="15.75" customHeight="1" x14ac:dyDescent="0.3">
      <c r="A2840" s="3"/>
      <c r="B2840" s="167"/>
      <c r="C2840" s="94"/>
      <c r="D2840" s="12"/>
      <c r="E2840" s="167"/>
      <c r="F2840" s="12"/>
      <c r="G2840" s="331"/>
      <c r="H2840" s="474"/>
      <c r="I2840" s="475"/>
      <c r="J2840" s="476"/>
      <c r="K2840" s="5"/>
      <c r="L2840" s="3"/>
      <c r="M2840" s="6"/>
      <c r="N2840" s="9"/>
      <c r="O2840" s="9"/>
      <c r="P2840" s="12"/>
      <c r="Q2840" s="12"/>
      <c r="R2840" s="12"/>
      <c r="S2840" s="151"/>
      <c r="T2840" s="12"/>
      <c r="U2840" s="12"/>
      <c r="V2840" s="12"/>
      <c r="W2840" s="12"/>
      <c r="X2840" s="12"/>
      <c r="Y2840" s="12"/>
      <c r="Z2840" s="12"/>
    </row>
    <row r="2841" spans="1:26" ht="15.75" customHeight="1" x14ac:dyDescent="0.3">
      <c r="A2841" s="3"/>
      <c r="B2841" s="167"/>
      <c r="C2841" s="94"/>
      <c r="D2841" s="12"/>
      <c r="E2841" s="167"/>
      <c r="F2841" s="12"/>
      <c r="G2841" s="331"/>
      <c r="H2841" s="474"/>
      <c r="I2841" s="475"/>
      <c r="J2841" s="476"/>
      <c r="K2841" s="5"/>
      <c r="L2841" s="3"/>
      <c r="M2841" s="6"/>
      <c r="N2841" s="9"/>
      <c r="O2841" s="9"/>
      <c r="P2841" s="12"/>
      <c r="Q2841" s="12"/>
      <c r="R2841" s="12"/>
      <c r="S2841" s="151"/>
      <c r="T2841" s="12"/>
      <c r="U2841" s="12"/>
      <c r="V2841" s="12"/>
      <c r="W2841" s="12"/>
      <c r="X2841" s="12"/>
      <c r="Y2841" s="12"/>
      <c r="Z2841" s="12"/>
    </row>
    <row r="2842" spans="1:26" ht="15.75" customHeight="1" x14ac:dyDescent="0.3">
      <c r="A2842" s="3"/>
      <c r="B2842" s="167"/>
      <c r="C2842" s="94"/>
      <c r="D2842" s="12"/>
      <c r="E2842" s="167"/>
      <c r="F2842" s="12"/>
      <c r="G2842" s="331"/>
      <c r="H2842" s="474"/>
      <c r="I2842" s="475"/>
      <c r="J2842" s="476"/>
      <c r="K2842" s="5"/>
      <c r="L2842" s="3"/>
      <c r="M2842" s="6"/>
      <c r="N2842" s="9"/>
      <c r="O2842" s="9"/>
      <c r="P2842" s="12"/>
      <c r="Q2842" s="12"/>
      <c r="R2842" s="12"/>
      <c r="S2842" s="151"/>
      <c r="T2842" s="12"/>
      <c r="U2842" s="12"/>
      <c r="V2842" s="12"/>
      <c r="W2842" s="12"/>
      <c r="X2842" s="12"/>
      <c r="Y2842" s="12"/>
      <c r="Z2842" s="12"/>
    </row>
    <row r="2843" spans="1:26" ht="15.75" customHeight="1" x14ac:dyDescent="0.3">
      <c r="A2843" s="3"/>
      <c r="B2843" s="167"/>
      <c r="C2843" s="94"/>
      <c r="D2843" s="12"/>
      <c r="E2843" s="167"/>
      <c r="F2843" s="12"/>
      <c r="G2843" s="331"/>
      <c r="H2843" s="474"/>
      <c r="I2843" s="475"/>
      <c r="J2843" s="476"/>
      <c r="K2843" s="5"/>
      <c r="L2843" s="3"/>
      <c r="M2843" s="6"/>
      <c r="N2843" s="9"/>
      <c r="O2843" s="9"/>
      <c r="P2843" s="12"/>
      <c r="Q2843" s="12"/>
      <c r="R2843" s="12"/>
      <c r="S2843" s="151"/>
      <c r="T2843" s="12"/>
      <c r="U2843" s="12"/>
      <c r="V2843" s="12"/>
      <c r="W2843" s="12"/>
      <c r="X2843" s="12"/>
      <c r="Y2843" s="12"/>
      <c r="Z2843" s="12"/>
    </row>
    <row r="2844" spans="1:26" ht="15.75" customHeight="1" x14ac:dyDescent="0.3">
      <c r="A2844" s="3"/>
      <c r="B2844" s="167"/>
      <c r="C2844" s="94"/>
      <c r="D2844" s="12"/>
      <c r="E2844" s="167"/>
      <c r="F2844" s="12"/>
      <c r="G2844" s="331"/>
      <c r="H2844" s="474"/>
      <c r="I2844" s="475"/>
      <c r="J2844" s="476"/>
      <c r="K2844" s="5"/>
      <c r="L2844" s="3"/>
      <c r="M2844" s="6"/>
      <c r="N2844" s="9"/>
      <c r="O2844" s="9"/>
      <c r="P2844" s="12"/>
      <c r="Q2844" s="12"/>
      <c r="R2844" s="12"/>
      <c r="S2844" s="151"/>
      <c r="T2844" s="12"/>
      <c r="U2844" s="12"/>
      <c r="V2844" s="12"/>
      <c r="W2844" s="12"/>
      <c r="X2844" s="12"/>
      <c r="Y2844" s="12"/>
      <c r="Z2844" s="12"/>
    </row>
    <row r="2845" spans="1:26" ht="15.75" customHeight="1" x14ac:dyDescent="0.3">
      <c r="A2845" s="3"/>
      <c r="B2845" s="167"/>
      <c r="C2845" s="94"/>
      <c r="D2845" s="12"/>
      <c r="E2845" s="167"/>
      <c r="F2845" s="12"/>
      <c r="G2845" s="331"/>
      <c r="H2845" s="474"/>
      <c r="I2845" s="475"/>
      <c r="J2845" s="476"/>
      <c r="K2845" s="5"/>
      <c r="L2845" s="3"/>
      <c r="M2845" s="6"/>
      <c r="N2845" s="9"/>
      <c r="O2845" s="9"/>
      <c r="P2845" s="12"/>
      <c r="Q2845" s="12"/>
      <c r="R2845" s="12"/>
      <c r="S2845" s="151"/>
      <c r="T2845" s="12"/>
      <c r="U2845" s="12"/>
      <c r="V2845" s="12"/>
      <c r="W2845" s="12"/>
      <c r="X2845" s="12"/>
      <c r="Y2845" s="12"/>
      <c r="Z2845" s="12"/>
    </row>
    <row r="2846" spans="1:26" ht="15.75" customHeight="1" x14ac:dyDescent="0.3">
      <c r="A2846" s="3"/>
      <c r="B2846" s="167"/>
      <c r="C2846" s="94"/>
      <c r="D2846" s="12"/>
      <c r="E2846" s="167"/>
      <c r="F2846" s="12"/>
      <c r="G2846" s="331"/>
      <c r="H2846" s="474"/>
      <c r="I2846" s="475"/>
      <c r="J2846" s="476"/>
      <c r="K2846" s="5"/>
      <c r="L2846" s="3"/>
      <c r="M2846" s="6"/>
      <c r="N2846" s="9"/>
      <c r="O2846" s="9"/>
      <c r="P2846" s="12"/>
      <c r="Q2846" s="12"/>
      <c r="R2846" s="12"/>
      <c r="S2846" s="151"/>
      <c r="T2846" s="12"/>
      <c r="U2846" s="12"/>
      <c r="V2846" s="12"/>
      <c r="W2846" s="12"/>
      <c r="X2846" s="12"/>
      <c r="Y2846" s="12"/>
      <c r="Z2846" s="12"/>
    </row>
    <row r="2847" spans="1:26" ht="15.75" customHeight="1" x14ac:dyDescent="0.3">
      <c r="A2847" s="3"/>
      <c r="B2847" s="167"/>
      <c r="C2847" s="94"/>
      <c r="D2847" s="12"/>
      <c r="E2847" s="167"/>
      <c r="F2847" s="12"/>
      <c r="G2847" s="331"/>
      <c r="H2847" s="474"/>
      <c r="I2847" s="475"/>
      <c r="J2847" s="476"/>
      <c r="K2847" s="5"/>
      <c r="L2847" s="3"/>
      <c r="M2847" s="6"/>
      <c r="N2847" s="9"/>
      <c r="O2847" s="9"/>
      <c r="P2847" s="12"/>
      <c r="Q2847" s="12"/>
      <c r="R2847" s="12"/>
      <c r="S2847" s="151"/>
      <c r="T2847" s="12"/>
      <c r="U2847" s="12"/>
      <c r="V2847" s="12"/>
      <c r="W2847" s="12"/>
      <c r="X2847" s="12"/>
      <c r="Y2847" s="12"/>
      <c r="Z2847" s="12"/>
    </row>
    <row r="2848" spans="1:26" ht="15.75" customHeight="1" x14ac:dyDescent="0.3">
      <c r="A2848" s="3"/>
      <c r="B2848" s="167"/>
      <c r="C2848" s="94"/>
      <c r="D2848" s="12"/>
      <c r="E2848" s="167"/>
      <c r="F2848" s="12"/>
      <c r="G2848" s="331"/>
      <c r="H2848" s="474"/>
      <c r="I2848" s="475"/>
      <c r="J2848" s="476"/>
      <c r="K2848" s="5"/>
      <c r="L2848" s="3"/>
      <c r="M2848" s="6"/>
      <c r="N2848" s="9"/>
      <c r="O2848" s="9"/>
      <c r="P2848" s="12"/>
      <c r="Q2848" s="12"/>
      <c r="R2848" s="12"/>
      <c r="S2848" s="151"/>
      <c r="T2848" s="12"/>
      <c r="U2848" s="12"/>
      <c r="V2848" s="12"/>
      <c r="W2848" s="12"/>
      <c r="X2848" s="12"/>
      <c r="Y2848" s="12"/>
      <c r="Z2848" s="12"/>
    </row>
    <row r="2849" spans="1:26" ht="15.75" customHeight="1" x14ac:dyDescent="0.3">
      <c r="A2849" s="3"/>
      <c r="B2849" s="167"/>
      <c r="C2849" s="94"/>
      <c r="D2849" s="12"/>
      <c r="E2849" s="167"/>
      <c r="F2849" s="12"/>
      <c r="G2849" s="331"/>
      <c r="H2849" s="474"/>
      <c r="I2849" s="475"/>
      <c r="J2849" s="476"/>
      <c r="K2849" s="5"/>
      <c r="L2849" s="3"/>
      <c r="M2849" s="6"/>
      <c r="N2849" s="9"/>
      <c r="O2849" s="9"/>
      <c r="P2849" s="12"/>
      <c r="Q2849" s="12"/>
      <c r="R2849" s="12"/>
      <c r="S2849" s="151"/>
      <c r="T2849" s="12"/>
      <c r="U2849" s="12"/>
      <c r="V2849" s="12"/>
      <c r="W2849" s="12"/>
      <c r="X2849" s="12"/>
      <c r="Y2849" s="12"/>
      <c r="Z2849" s="12"/>
    </row>
    <row r="2850" spans="1:26" ht="15.75" customHeight="1" x14ac:dyDescent="0.3">
      <c r="A2850" s="3"/>
      <c r="B2850" s="167"/>
      <c r="C2850" s="94"/>
      <c r="D2850" s="12"/>
      <c r="E2850" s="167"/>
      <c r="F2850" s="12"/>
      <c r="G2850" s="331"/>
      <c r="H2850" s="474"/>
      <c r="I2850" s="475"/>
      <c r="J2850" s="476"/>
      <c r="K2850" s="5"/>
      <c r="L2850" s="3"/>
      <c r="M2850" s="6"/>
      <c r="N2850" s="9"/>
      <c r="O2850" s="9"/>
      <c r="P2850" s="12"/>
      <c r="Q2850" s="12"/>
      <c r="R2850" s="12"/>
      <c r="S2850" s="151"/>
      <c r="T2850" s="12"/>
      <c r="U2850" s="12"/>
      <c r="V2850" s="12"/>
      <c r="W2850" s="12"/>
      <c r="X2850" s="12"/>
      <c r="Y2850" s="12"/>
      <c r="Z2850" s="12"/>
    </row>
    <row r="2851" spans="1:26" ht="15.75" customHeight="1" x14ac:dyDescent="0.3">
      <c r="A2851" s="3"/>
      <c r="B2851" s="167"/>
      <c r="C2851" s="94"/>
      <c r="D2851" s="12"/>
      <c r="E2851" s="167"/>
      <c r="F2851" s="12"/>
      <c r="G2851" s="331"/>
      <c r="H2851" s="474"/>
      <c r="I2851" s="475"/>
      <c r="J2851" s="476"/>
      <c r="K2851" s="5"/>
      <c r="L2851" s="3"/>
      <c r="M2851" s="6"/>
      <c r="N2851" s="9"/>
      <c r="O2851" s="9"/>
      <c r="P2851" s="12"/>
      <c r="Q2851" s="12"/>
      <c r="R2851" s="12"/>
      <c r="S2851" s="151"/>
      <c r="T2851" s="12"/>
      <c r="U2851" s="12"/>
      <c r="V2851" s="12"/>
      <c r="W2851" s="12"/>
      <c r="X2851" s="12"/>
      <c r="Y2851" s="12"/>
      <c r="Z2851" s="12"/>
    </row>
    <row r="2852" spans="1:26" ht="15.75" customHeight="1" x14ac:dyDescent="0.3">
      <c r="A2852" s="3"/>
      <c r="B2852" s="167"/>
      <c r="C2852" s="94"/>
      <c r="D2852" s="12"/>
      <c r="E2852" s="167"/>
      <c r="F2852" s="12"/>
      <c r="G2852" s="331"/>
      <c r="H2852" s="474"/>
      <c r="I2852" s="475"/>
      <c r="J2852" s="476"/>
      <c r="K2852" s="5"/>
      <c r="L2852" s="3"/>
      <c r="M2852" s="6"/>
      <c r="N2852" s="9"/>
      <c r="O2852" s="9"/>
      <c r="P2852" s="12"/>
      <c r="Q2852" s="12"/>
      <c r="R2852" s="12"/>
      <c r="S2852" s="151"/>
      <c r="T2852" s="12"/>
      <c r="U2852" s="12"/>
      <c r="V2852" s="12"/>
      <c r="W2852" s="12"/>
      <c r="X2852" s="12"/>
      <c r="Y2852" s="12"/>
      <c r="Z2852" s="12"/>
    </row>
    <row r="2853" spans="1:26" ht="15.75" customHeight="1" x14ac:dyDescent="0.3">
      <c r="A2853" s="3"/>
      <c r="B2853" s="167"/>
      <c r="C2853" s="94"/>
      <c r="D2853" s="12"/>
      <c r="E2853" s="167"/>
      <c r="F2853" s="12"/>
      <c r="G2853" s="331"/>
      <c r="H2853" s="474"/>
      <c r="I2853" s="475"/>
      <c r="J2853" s="476"/>
      <c r="K2853" s="5"/>
      <c r="L2853" s="3"/>
      <c r="M2853" s="6"/>
      <c r="N2853" s="9"/>
      <c r="O2853" s="9"/>
      <c r="P2853" s="12"/>
      <c r="Q2853" s="12"/>
      <c r="R2853" s="12"/>
      <c r="S2853" s="151"/>
      <c r="T2853" s="12"/>
      <c r="U2853" s="12"/>
      <c r="V2853" s="12"/>
      <c r="W2853" s="12"/>
      <c r="X2853" s="12"/>
      <c r="Y2853" s="12"/>
      <c r="Z2853" s="12"/>
    </row>
    <row r="2854" spans="1:26" ht="15.75" customHeight="1" x14ac:dyDescent="0.3">
      <c r="A2854" s="3"/>
      <c r="B2854" s="167"/>
      <c r="C2854" s="94"/>
      <c r="D2854" s="12"/>
      <c r="E2854" s="167"/>
      <c r="F2854" s="12"/>
      <c r="G2854" s="331"/>
      <c r="H2854" s="474"/>
      <c r="I2854" s="475"/>
      <c r="J2854" s="476"/>
      <c r="K2854" s="5"/>
      <c r="L2854" s="3"/>
      <c r="M2854" s="6"/>
      <c r="N2854" s="9"/>
      <c r="O2854" s="9"/>
      <c r="P2854" s="12"/>
      <c r="Q2854" s="12"/>
      <c r="R2854" s="12"/>
      <c r="S2854" s="151"/>
      <c r="T2854" s="12"/>
      <c r="U2854" s="12"/>
      <c r="V2854" s="12"/>
      <c r="W2854" s="12"/>
      <c r="X2854" s="12"/>
      <c r="Y2854" s="12"/>
      <c r="Z2854" s="12"/>
    </row>
    <row r="2855" spans="1:26" ht="15.75" customHeight="1" x14ac:dyDescent="0.3">
      <c r="A2855" s="3"/>
      <c r="B2855" s="167"/>
      <c r="C2855" s="94"/>
      <c r="D2855" s="12"/>
      <c r="E2855" s="167"/>
      <c r="F2855" s="12"/>
      <c r="G2855" s="331"/>
      <c r="H2855" s="474"/>
      <c r="I2855" s="475"/>
      <c r="J2855" s="476"/>
      <c r="K2855" s="5"/>
      <c r="L2855" s="3"/>
      <c r="M2855" s="6"/>
      <c r="N2855" s="9"/>
      <c r="O2855" s="9"/>
      <c r="P2855" s="12"/>
      <c r="Q2855" s="12"/>
      <c r="R2855" s="12"/>
      <c r="S2855" s="151"/>
      <c r="T2855" s="12"/>
      <c r="U2855" s="12"/>
      <c r="V2855" s="12"/>
      <c r="W2855" s="12"/>
      <c r="X2855" s="12"/>
      <c r="Y2855" s="12"/>
      <c r="Z2855" s="12"/>
    </row>
    <row r="2856" spans="1:26" ht="15.75" customHeight="1" x14ac:dyDescent="0.3">
      <c r="A2856" s="3"/>
      <c r="B2856" s="167"/>
      <c r="C2856" s="94"/>
      <c r="D2856" s="12"/>
      <c r="E2856" s="167"/>
      <c r="F2856" s="12"/>
      <c r="G2856" s="331"/>
      <c r="H2856" s="474"/>
      <c r="I2856" s="475"/>
      <c r="J2856" s="476"/>
      <c r="K2856" s="5"/>
      <c r="L2856" s="3"/>
      <c r="M2856" s="6"/>
      <c r="N2856" s="9"/>
      <c r="O2856" s="9"/>
      <c r="P2856" s="12"/>
      <c r="Q2856" s="12"/>
      <c r="R2856" s="12"/>
      <c r="S2856" s="151"/>
      <c r="T2856" s="12"/>
      <c r="U2856" s="12"/>
      <c r="V2856" s="12"/>
      <c r="W2856" s="12"/>
      <c r="X2856" s="12"/>
      <c r="Y2856" s="12"/>
      <c r="Z2856" s="12"/>
    </row>
    <row r="2857" spans="1:26" ht="15.75" customHeight="1" x14ac:dyDescent="0.3">
      <c r="A2857" s="3"/>
      <c r="B2857" s="167"/>
      <c r="C2857" s="94"/>
      <c r="D2857" s="12"/>
      <c r="E2857" s="167"/>
      <c r="F2857" s="12"/>
      <c r="G2857" s="331"/>
      <c r="H2857" s="474"/>
      <c r="I2857" s="475"/>
      <c r="J2857" s="476"/>
      <c r="K2857" s="5"/>
      <c r="L2857" s="3"/>
      <c r="M2857" s="6"/>
      <c r="N2857" s="9"/>
      <c r="O2857" s="9"/>
      <c r="P2857" s="12"/>
      <c r="Q2857" s="12"/>
      <c r="R2857" s="12"/>
      <c r="S2857" s="151"/>
      <c r="T2857" s="12"/>
      <c r="U2857" s="12"/>
      <c r="V2857" s="12"/>
      <c r="W2857" s="12"/>
      <c r="X2857" s="12"/>
      <c r="Y2857" s="12"/>
      <c r="Z2857" s="12"/>
    </row>
    <row r="2858" spans="1:26" ht="15.75" customHeight="1" x14ac:dyDescent="0.3">
      <c r="A2858" s="3"/>
      <c r="B2858" s="167"/>
      <c r="C2858" s="94"/>
      <c r="D2858" s="12"/>
      <c r="E2858" s="167"/>
      <c r="F2858" s="12"/>
      <c r="G2858" s="331"/>
      <c r="H2858" s="474"/>
      <c r="I2858" s="475"/>
      <c r="J2858" s="476"/>
      <c r="K2858" s="5"/>
      <c r="L2858" s="3"/>
      <c r="M2858" s="6"/>
      <c r="N2858" s="9"/>
      <c r="O2858" s="9"/>
      <c r="P2858" s="12"/>
      <c r="Q2858" s="12"/>
      <c r="R2858" s="12"/>
      <c r="S2858" s="151"/>
      <c r="T2858" s="12"/>
      <c r="U2858" s="12"/>
      <c r="V2858" s="12"/>
      <c r="W2858" s="12"/>
      <c r="X2858" s="12"/>
      <c r="Y2858" s="12"/>
      <c r="Z2858" s="12"/>
    </row>
    <row r="2859" spans="1:26" ht="15.75" customHeight="1" x14ac:dyDescent="0.3">
      <c r="A2859" s="3"/>
      <c r="B2859" s="167"/>
      <c r="C2859" s="94"/>
      <c r="D2859" s="12"/>
      <c r="E2859" s="167"/>
      <c r="F2859" s="12"/>
      <c r="G2859" s="331"/>
      <c r="H2859" s="474"/>
      <c r="I2859" s="475"/>
      <c r="J2859" s="476"/>
      <c r="K2859" s="5"/>
      <c r="L2859" s="3"/>
      <c r="M2859" s="6"/>
      <c r="N2859" s="9"/>
      <c r="O2859" s="9"/>
      <c r="P2859" s="12"/>
      <c r="Q2859" s="12"/>
      <c r="R2859" s="12"/>
      <c r="S2859" s="151"/>
      <c r="T2859" s="12"/>
      <c r="U2859" s="12"/>
      <c r="V2859" s="12"/>
      <c r="W2859" s="12"/>
      <c r="X2859" s="12"/>
      <c r="Y2859" s="12"/>
      <c r="Z2859" s="12"/>
    </row>
    <row r="2860" spans="1:26" ht="15.75" customHeight="1" x14ac:dyDescent="0.3">
      <c r="A2860" s="3"/>
      <c r="B2860" s="167"/>
      <c r="C2860" s="94"/>
      <c r="D2860" s="12"/>
      <c r="E2860" s="167"/>
      <c r="F2860" s="12"/>
      <c r="G2860" s="331"/>
      <c r="H2860" s="474"/>
      <c r="I2860" s="475"/>
      <c r="J2860" s="476"/>
      <c r="K2860" s="5"/>
      <c r="L2860" s="3"/>
      <c r="M2860" s="6"/>
      <c r="N2860" s="9"/>
      <c r="O2860" s="9"/>
      <c r="P2860" s="12"/>
      <c r="Q2860" s="12"/>
      <c r="R2860" s="12"/>
      <c r="S2860" s="151"/>
      <c r="T2860" s="12"/>
      <c r="U2860" s="12"/>
      <c r="V2860" s="12"/>
      <c r="W2860" s="12"/>
      <c r="X2860" s="12"/>
      <c r="Y2860" s="12"/>
      <c r="Z2860" s="12"/>
    </row>
    <row r="2861" spans="1:26" ht="15.75" customHeight="1" x14ac:dyDescent="0.3">
      <c r="A2861" s="3"/>
      <c r="B2861" s="167"/>
      <c r="C2861" s="94"/>
      <c r="D2861" s="12"/>
      <c r="E2861" s="167"/>
      <c r="F2861" s="12"/>
      <c r="G2861" s="331"/>
      <c r="H2861" s="474"/>
      <c r="I2861" s="475"/>
      <c r="J2861" s="476"/>
      <c r="K2861" s="5"/>
      <c r="L2861" s="3"/>
      <c r="M2861" s="6"/>
      <c r="N2861" s="9"/>
      <c r="O2861" s="9"/>
      <c r="P2861" s="12"/>
      <c r="Q2861" s="12"/>
      <c r="R2861" s="12"/>
      <c r="S2861" s="151"/>
      <c r="T2861" s="12"/>
      <c r="U2861" s="12"/>
      <c r="V2861" s="12"/>
      <c r="W2861" s="12"/>
      <c r="X2861" s="12"/>
      <c r="Y2861" s="12"/>
      <c r="Z2861" s="12"/>
    </row>
    <row r="2862" spans="1:26" ht="15.75" customHeight="1" x14ac:dyDescent="0.3">
      <c r="A2862" s="3"/>
      <c r="B2862" s="167"/>
      <c r="C2862" s="94"/>
      <c r="D2862" s="12"/>
      <c r="E2862" s="167"/>
      <c r="F2862" s="12"/>
      <c r="G2862" s="331"/>
      <c r="H2862" s="474"/>
      <c r="I2862" s="475"/>
      <c r="J2862" s="476"/>
      <c r="K2862" s="5"/>
      <c r="L2862" s="3"/>
      <c r="M2862" s="6"/>
      <c r="N2862" s="9"/>
      <c r="O2862" s="9"/>
      <c r="P2862" s="12"/>
      <c r="Q2862" s="12"/>
      <c r="R2862" s="12"/>
      <c r="S2862" s="151"/>
      <c r="T2862" s="12"/>
      <c r="U2862" s="12"/>
      <c r="V2862" s="12"/>
      <c r="W2862" s="12"/>
      <c r="X2862" s="12"/>
      <c r="Y2862" s="12"/>
      <c r="Z2862" s="12"/>
    </row>
    <row r="2863" spans="1:26" ht="15.75" customHeight="1" x14ac:dyDescent="0.3">
      <c r="A2863" s="3"/>
      <c r="B2863" s="167"/>
      <c r="C2863" s="94"/>
      <c r="D2863" s="12"/>
      <c r="E2863" s="167"/>
      <c r="F2863" s="12"/>
      <c r="G2863" s="331"/>
      <c r="H2863" s="474"/>
      <c r="I2863" s="475"/>
      <c r="J2863" s="476"/>
      <c r="K2863" s="5"/>
      <c r="L2863" s="3"/>
      <c r="M2863" s="6"/>
      <c r="N2863" s="9"/>
      <c r="O2863" s="9"/>
      <c r="P2863" s="12"/>
      <c r="Q2863" s="12"/>
      <c r="R2863" s="12"/>
      <c r="S2863" s="151"/>
      <c r="T2863" s="12"/>
      <c r="U2863" s="12"/>
      <c r="V2863" s="12"/>
      <c r="W2863" s="12"/>
      <c r="X2863" s="12"/>
      <c r="Y2863" s="12"/>
      <c r="Z2863" s="12"/>
    </row>
    <row r="2864" spans="1:26" ht="15.75" customHeight="1" x14ac:dyDescent="0.3">
      <c r="A2864" s="3"/>
      <c r="B2864" s="167"/>
      <c r="C2864" s="94"/>
      <c r="D2864" s="12"/>
      <c r="E2864" s="167"/>
      <c r="F2864" s="12"/>
      <c r="G2864" s="331"/>
      <c r="H2864" s="474"/>
      <c r="I2864" s="475"/>
      <c r="J2864" s="476"/>
      <c r="K2864" s="5"/>
      <c r="L2864" s="3"/>
      <c r="M2864" s="6"/>
      <c r="N2864" s="9"/>
      <c r="O2864" s="9"/>
      <c r="P2864" s="12"/>
      <c r="Q2864" s="12"/>
      <c r="R2864" s="12"/>
      <c r="S2864" s="151"/>
      <c r="T2864" s="12"/>
      <c r="U2864" s="12"/>
      <c r="V2864" s="12"/>
      <c r="W2864" s="12"/>
      <c r="X2864" s="12"/>
      <c r="Y2864" s="12"/>
      <c r="Z2864" s="12"/>
    </row>
    <row r="2865" spans="1:26" ht="15.75" customHeight="1" x14ac:dyDescent="0.3">
      <c r="A2865" s="3"/>
      <c r="B2865" s="167"/>
      <c r="C2865" s="94"/>
      <c r="D2865" s="12"/>
      <c r="E2865" s="167"/>
      <c r="F2865" s="12"/>
      <c r="G2865" s="331"/>
      <c r="H2865" s="474"/>
      <c r="I2865" s="475"/>
      <c r="J2865" s="476"/>
      <c r="K2865" s="5"/>
      <c r="L2865" s="3"/>
      <c r="M2865" s="6"/>
      <c r="N2865" s="9"/>
      <c r="O2865" s="9"/>
      <c r="P2865" s="12"/>
      <c r="Q2865" s="12"/>
      <c r="R2865" s="12"/>
      <c r="S2865" s="151"/>
      <c r="T2865" s="12"/>
      <c r="U2865" s="12"/>
      <c r="V2865" s="12"/>
      <c r="W2865" s="12"/>
      <c r="X2865" s="12"/>
      <c r="Y2865" s="12"/>
      <c r="Z2865" s="12"/>
    </row>
    <row r="2866" spans="1:26" ht="15.75" customHeight="1" x14ac:dyDescent="0.3">
      <c r="A2866" s="3"/>
      <c r="B2866" s="167"/>
      <c r="C2866" s="94"/>
      <c r="D2866" s="12"/>
      <c r="E2866" s="167"/>
      <c r="F2866" s="12"/>
      <c r="G2866" s="331"/>
      <c r="H2866" s="474"/>
      <c r="I2866" s="475"/>
      <c r="J2866" s="476"/>
      <c r="K2866" s="5"/>
      <c r="L2866" s="3"/>
      <c r="M2866" s="6"/>
      <c r="N2866" s="9"/>
      <c r="O2866" s="9"/>
      <c r="P2866" s="12"/>
      <c r="Q2866" s="12"/>
      <c r="R2866" s="12"/>
      <c r="S2866" s="151"/>
      <c r="T2866" s="12"/>
      <c r="U2866" s="12"/>
      <c r="V2866" s="12"/>
      <c r="W2866" s="12"/>
      <c r="X2866" s="12"/>
      <c r="Y2866" s="12"/>
      <c r="Z2866" s="12"/>
    </row>
    <row r="2867" spans="1:26" ht="15.75" customHeight="1" x14ac:dyDescent="0.3">
      <c r="A2867" s="3"/>
      <c r="B2867" s="167"/>
      <c r="C2867" s="94"/>
      <c r="D2867" s="12"/>
      <c r="E2867" s="167"/>
      <c r="F2867" s="12"/>
      <c r="G2867" s="331"/>
      <c r="H2867" s="474"/>
      <c r="I2867" s="475"/>
      <c r="J2867" s="476"/>
      <c r="K2867" s="5"/>
      <c r="L2867" s="3"/>
      <c r="M2867" s="6"/>
      <c r="N2867" s="9"/>
      <c r="O2867" s="9"/>
      <c r="P2867" s="12"/>
      <c r="Q2867" s="12"/>
      <c r="R2867" s="12"/>
      <c r="S2867" s="151"/>
      <c r="T2867" s="12"/>
      <c r="U2867" s="12"/>
      <c r="V2867" s="12"/>
      <c r="W2867" s="12"/>
      <c r="X2867" s="12"/>
      <c r="Y2867" s="12"/>
      <c r="Z2867" s="12"/>
    </row>
    <row r="2868" spans="1:26" ht="15.75" customHeight="1" x14ac:dyDescent="0.3">
      <c r="A2868" s="3"/>
      <c r="B2868" s="167"/>
      <c r="C2868" s="94"/>
      <c r="D2868" s="12"/>
      <c r="E2868" s="167"/>
      <c r="F2868" s="12"/>
      <c r="G2868" s="331"/>
      <c r="H2868" s="474"/>
      <c r="I2868" s="475"/>
      <c r="J2868" s="476"/>
      <c r="K2868" s="5"/>
      <c r="L2868" s="3"/>
      <c r="M2868" s="6"/>
      <c r="N2868" s="9"/>
      <c r="O2868" s="9"/>
      <c r="P2868" s="12"/>
      <c r="Q2868" s="12"/>
      <c r="R2868" s="12"/>
      <c r="S2868" s="151"/>
      <c r="T2868" s="12"/>
      <c r="U2868" s="12"/>
      <c r="V2868" s="12"/>
      <c r="W2868" s="12"/>
      <c r="X2868" s="12"/>
      <c r="Y2868" s="12"/>
      <c r="Z2868" s="12"/>
    </row>
    <row r="2869" spans="1:26" ht="15.75" customHeight="1" x14ac:dyDescent="0.3">
      <c r="A2869" s="3"/>
      <c r="B2869" s="167"/>
      <c r="C2869" s="94"/>
      <c r="D2869" s="12"/>
      <c r="E2869" s="167"/>
      <c r="F2869" s="12"/>
      <c r="G2869" s="331"/>
      <c r="H2869" s="474"/>
      <c r="I2869" s="475"/>
      <c r="J2869" s="476"/>
      <c r="K2869" s="5"/>
      <c r="L2869" s="3"/>
      <c r="M2869" s="6"/>
      <c r="N2869" s="9"/>
      <c r="O2869" s="9"/>
      <c r="P2869" s="12"/>
      <c r="Q2869" s="12"/>
      <c r="R2869" s="12"/>
      <c r="S2869" s="151"/>
      <c r="T2869" s="12"/>
      <c r="U2869" s="12"/>
      <c r="V2869" s="12"/>
      <c r="W2869" s="12"/>
      <c r="X2869" s="12"/>
      <c r="Y2869" s="12"/>
      <c r="Z2869" s="12"/>
    </row>
    <row r="2870" spans="1:26" ht="15.75" customHeight="1" x14ac:dyDescent="0.3">
      <c r="A2870" s="3"/>
      <c r="B2870" s="167"/>
      <c r="C2870" s="94"/>
      <c r="D2870" s="12"/>
      <c r="E2870" s="167"/>
      <c r="F2870" s="12"/>
      <c r="G2870" s="331"/>
      <c r="H2870" s="474"/>
      <c r="I2870" s="475"/>
      <c r="J2870" s="476"/>
      <c r="K2870" s="5"/>
      <c r="L2870" s="3"/>
      <c r="M2870" s="6"/>
      <c r="N2870" s="9"/>
      <c r="O2870" s="9"/>
      <c r="P2870" s="12"/>
      <c r="Q2870" s="12"/>
      <c r="R2870" s="12"/>
      <c r="S2870" s="151"/>
      <c r="T2870" s="12"/>
      <c r="U2870" s="12"/>
      <c r="V2870" s="12"/>
      <c r="W2870" s="12"/>
      <c r="X2870" s="12"/>
      <c r="Y2870" s="12"/>
      <c r="Z2870" s="12"/>
    </row>
    <row r="2871" spans="1:26" ht="15.75" customHeight="1" x14ac:dyDescent="0.3">
      <c r="A2871" s="3"/>
      <c r="B2871" s="167"/>
      <c r="C2871" s="94"/>
      <c r="D2871" s="12"/>
      <c r="E2871" s="167"/>
      <c r="F2871" s="12"/>
      <c r="G2871" s="331"/>
      <c r="H2871" s="474"/>
      <c r="I2871" s="475"/>
      <c r="J2871" s="476"/>
      <c r="K2871" s="5"/>
      <c r="L2871" s="3"/>
      <c r="M2871" s="6"/>
      <c r="N2871" s="9"/>
      <c r="O2871" s="9"/>
      <c r="P2871" s="12"/>
      <c r="Q2871" s="12"/>
      <c r="R2871" s="12"/>
      <c r="S2871" s="151"/>
      <c r="T2871" s="12"/>
      <c r="U2871" s="12"/>
      <c r="V2871" s="12"/>
      <c r="W2871" s="12"/>
      <c r="X2871" s="12"/>
      <c r="Y2871" s="12"/>
      <c r="Z2871" s="12"/>
    </row>
    <row r="2872" spans="1:26" ht="15.75" customHeight="1" x14ac:dyDescent="0.3">
      <c r="A2872" s="3"/>
      <c r="B2872" s="167"/>
      <c r="C2872" s="94"/>
      <c r="D2872" s="12"/>
      <c r="E2872" s="167"/>
      <c r="F2872" s="12"/>
      <c r="G2872" s="331"/>
      <c r="H2872" s="474"/>
      <c r="I2872" s="475"/>
      <c r="J2872" s="476"/>
      <c r="K2872" s="5"/>
      <c r="L2872" s="3"/>
      <c r="M2872" s="6"/>
      <c r="N2872" s="9"/>
      <c r="O2872" s="9"/>
      <c r="P2872" s="12"/>
      <c r="Q2872" s="12"/>
      <c r="R2872" s="12"/>
      <c r="S2872" s="151"/>
      <c r="T2872" s="12"/>
      <c r="U2872" s="12"/>
      <c r="V2872" s="12"/>
      <c r="W2872" s="12"/>
      <c r="X2872" s="12"/>
      <c r="Y2872" s="12"/>
      <c r="Z2872" s="12"/>
    </row>
    <row r="2873" spans="1:26" ht="15.75" customHeight="1" x14ac:dyDescent="0.3">
      <c r="A2873" s="3"/>
      <c r="B2873" s="167"/>
      <c r="C2873" s="94"/>
      <c r="D2873" s="12"/>
      <c r="E2873" s="167"/>
      <c r="F2873" s="12"/>
      <c r="G2873" s="331"/>
      <c r="H2873" s="474"/>
      <c r="I2873" s="475"/>
      <c r="J2873" s="476"/>
      <c r="K2873" s="5"/>
      <c r="L2873" s="3"/>
      <c r="M2873" s="6"/>
      <c r="N2873" s="9"/>
      <c r="O2873" s="9"/>
      <c r="P2873" s="12"/>
      <c r="Q2873" s="12"/>
      <c r="R2873" s="12"/>
      <c r="S2873" s="151"/>
      <c r="T2873" s="12"/>
      <c r="U2873" s="12"/>
      <c r="V2873" s="12"/>
      <c r="W2873" s="12"/>
      <c r="X2873" s="12"/>
      <c r="Y2873" s="12"/>
      <c r="Z2873" s="12"/>
    </row>
    <row r="2874" spans="1:26" ht="15.75" customHeight="1" x14ac:dyDescent="0.3">
      <c r="A2874" s="3"/>
      <c r="B2874" s="167"/>
      <c r="C2874" s="94"/>
      <c r="D2874" s="12"/>
      <c r="E2874" s="167"/>
      <c r="F2874" s="12"/>
      <c r="G2874" s="331"/>
      <c r="H2874" s="474"/>
      <c r="I2874" s="475"/>
      <c r="J2874" s="476"/>
      <c r="K2874" s="5"/>
      <c r="L2874" s="3"/>
      <c r="M2874" s="6"/>
      <c r="N2874" s="9"/>
      <c r="O2874" s="9"/>
      <c r="P2874" s="12"/>
      <c r="Q2874" s="12"/>
      <c r="R2874" s="12"/>
      <c r="S2874" s="151"/>
      <c r="T2874" s="12"/>
      <c r="U2874" s="12"/>
      <c r="V2874" s="12"/>
      <c r="W2874" s="12"/>
      <c r="X2874" s="12"/>
      <c r="Y2874" s="12"/>
      <c r="Z2874" s="12"/>
    </row>
    <row r="2875" spans="1:26" ht="15.75" customHeight="1" x14ac:dyDescent="0.3">
      <c r="A2875" s="3"/>
      <c r="B2875" s="167"/>
      <c r="C2875" s="94"/>
      <c r="D2875" s="12"/>
      <c r="E2875" s="167"/>
      <c r="F2875" s="12"/>
      <c r="G2875" s="331"/>
      <c r="H2875" s="474"/>
      <c r="I2875" s="475"/>
      <c r="J2875" s="476"/>
      <c r="K2875" s="5"/>
      <c r="L2875" s="3"/>
      <c r="M2875" s="6"/>
      <c r="N2875" s="9"/>
      <c r="O2875" s="9"/>
      <c r="P2875" s="12"/>
      <c r="Q2875" s="12"/>
      <c r="R2875" s="12"/>
      <c r="S2875" s="151"/>
      <c r="T2875" s="12"/>
      <c r="U2875" s="12"/>
      <c r="V2875" s="12"/>
      <c r="W2875" s="12"/>
      <c r="X2875" s="12"/>
      <c r="Y2875" s="12"/>
      <c r="Z2875" s="12"/>
    </row>
    <row r="2876" spans="1:26" ht="15.75" customHeight="1" x14ac:dyDescent="0.3">
      <c r="A2876" s="3"/>
      <c r="B2876" s="167"/>
      <c r="C2876" s="94"/>
      <c r="D2876" s="12"/>
      <c r="E2876" s="167"/>
      <c r="F2876" s="12"/>
      <c r="G2876" s="331"/>
      <c r="H2876" s="474"/>
      <c r="I2876" s="475"/>
      <c r="J2876" s="476"/>
      <c r="K2876" s="5"/>
      <c r="L2876" s="3"/>
      <c r="M2876" s="6"/>
      <c r="N2876" s="9"/>
      <c r="O2876" s="9"/>
      <c r="P2876" s="12"/>
      <c r="Q2876" s="12"/>
      <c r="R2876" s="12"/>
      <c r="S2876" s="151"/>
      <c r="T2876" s="12"/>
      <c r="U2876" s="12"/>
      <c r="V2876" s="12"/>
      <c r="W2876" s="12"/>
      <c r="X2876" s="12"/>
      <c r="Y2876" s="12"/>
      <c r="Z2876" s="12"/>
    </row>
    <row r="2877" spans="1:26" ht="15.75" customHeight="1" x14ac:dyDescent="0.3">
      <c r="A2877" s="3"/>
      <c r="B2877" s="167"/>
      <c r="C2877" s="94"/>
      <c r="D2877" s="12"/>
      <c r="E2877" s="167"/>
      <c r="F2877" s="12"/>
      <c r="G2877" s="331"/>
      <c r="H2877" s="474"/>
      <c r="I2877" s="475"/>
      <c r="J2877" s="476"/>
      <c r="K2877" s="5"/>
      <c r="L2877" s="3"/>
      <c r="M2877" s="6"/>
      <c r="N2877" s="9"/>
      <c r="O2877" s="9"/>
      <c r="P2877" s="12"/>
      <c r="Q2877" s="12"/>
      <c r="R2877" s="12"/>
      <c r="S2877" s="151"/>
      <c r="T2877" s="12"/>
      <c r="U2877" s="12"/>
      <c r="V2877" s="12"/>
      <c r="W2877" s="12"/>
      <c r="X2877" s="12"/>
      <c r="Y2877" s="12"/>
      <c r="Z2877" s="12"/>
    </row>
    <row r="2878" spans="1:26" ht="15.75" customHeight="1" x14ac:dyDescent="0.3">
      <c r="A2878" s="3"/>
      <c r="B2878" s="167"/>
      <c r="C2878" s="94"/>
      <c r="D2878" s="12"/>
      <c r="E2878" s="167"/>
      <c r="F2878" s="12"/>
      <c r="G2878" s="331"/>
      <c r="H2878" s="474"/>
      <c r="I2878" s="475"/>
      <c r="J2878" s="476"/>
      <c r="K2878" s="5"/>
      <c r="L2878" s="3"/>
      <c r="M2878" s="6"/>
      <c r="N2878" s="9"/>
      <c r="O2878" s="9"/>
      <c r="P2878" s="12"/>
      <c r="Q2878" s="12"/>
      <c r="R2878" s="12"/>
      <c r="S2878" s="151"/>
      <c r="T2878" s="12"/>
      <c r="U2878" s="12"/>
      <c r="V2878" s="12"/>
      <c r="W2878" s="12"/>
      <c r="X2878" s="12"/>
      <c r="Y2878" s="12"/>
      <c r="Z2878" s="12"/>
    </row>
    <row r="2879" spans="1:26" ht="15.75" customHeight="1" x14ac:dyDescent="0.3">
      <c r="A2879" s="3"/>
      <c r="B2879" s="167"/>
      <c r="C2879" s="94"/>
      <c r="D2879" s="12"/>
      <c r="E2879" s="167"/>
      <c r="F2879" s="12"/>
      <c r="G2879" s="331"/>
      <c r="H2879" s="474"/>
      <c r="I2879" s="475"/>
      <c r="J2879" s="476"/>
      <c r="K2879" s="5"/>
      <c r="L2879" s="3"/>
      <c r="M2879" s="6"/>
      <c r="N2879" s="9"/>
      <c r="O2879" s="9"/>
      <c r="P2879" s="12"/>
      <c r="Q2879" s="12"/>
      <c r="R2879" s="12"/>
      <c r="S2879" s="151"/>
      <c r="T2879" s="12"/>
      <c r="U2879" s="12"/>
      <c r="V2879" s="12"/>
      <c r="W2879" s="12"/>
      <c r="X2879" s="12"/>
      <c r="Y2879" s="12"/>
      <c r="Z2879" s="12"/>
    </row>
    <row r="2880" spans="1:26" ht="15.75" customHeight="1" x14ac:dyDescent="0.3">
      <c r="A2880" s="3"/>
      <c r="B2880" s="167"/>
      <c r="C2880" s="94"/>
      <c r="D2880" s="12"/>
      <c r="E2880" s="167"/>
      <c r="F2880" s="12"/>
      <c r="G2880" s="331"/>
      <c r="H2880" s="474"/>
      <c r="I2880" s="475"/>
      <c r="J2880" s="476"/>
      <c r="K2880" s="5"/>
      <c r="L2880" s="3"/>
      <c r="M2880" s="6"/>
      <c r="N2880" s="9"/>
      <c r="O2880" s="9"/>
      <c r="P2880" s="12"/>
      <c r="Q2880" s="12"/>
      <c r="R2880" s="12"/>
      <c r="S2880" s="151"/>
      <c r="T2880" s="12"/>
      <c r="U2880" s="12"/>
      <c r="V2880" s="12"/>
      <c r="W2880" s="12"/>
      <c r="X2880" s="12"/>
      <c r="Y2880" s="12"/>
      <c r="Z2880" s="12"/>
    </row>
    <row r="2881" spans="1:26" ht="15.75" customHeight="1" x14ac:dyDescent="0.3">
      <c r="A2881" s="3"/>
      <c r="B2881" s="167"/>
      <c r="C2881" s="94"/>
      <c r="D2881" s="12"/>
      <c r="E2881" s="167"/>
      <c r="F2881" s="12"/>
      <c r="G2881" s="331"/>
      <c r="H2881" s="474"/>
      <c r="I2881" s="475"/>
      <c r="J2881" s="476"/>
      <c r="K2881" s="5"/>
      <c r="L2881" s="3"/>
      <c r="M2881" s="6"/>
      <c r="N2881" s="9"/>
      <c r="O2881" s="9"/>
      <c r="P2881" s="12"/>
      <c r="Q2881" s="12"/>
      <c r="R2881" s="12"/>
      <c r="S2881" s="151"/>
      <c r="T2881" s="12"/>
      <c r="U2881" s="12"/>
      <c r="V2881" s="12"/>
      <c r="W2881" s="12"/>
      <c r="X2881" s="12"/>
      <c r="Y2881" s="12"/>
      <c r="Z2881" s="12"/>
    </row>
    <row r="2882" spans="1:26" ht="15.75" customHeight="1" x14ac:dyDescent="0.3">
      <c r="A2882" s="3"/>
      <c r="B2882" s="167"/>
      <c r="C2882" s="94"/>
      <c r="D2882" s="12"/>
      <c r="E2882" s="167"/>
      <c r="F2882" s="12"/>
      <c r="G2882" s="331"/>
      <c r="H2882" s="474"/>
      <c r="I2882" s="475"/>
      <c r="J2882" s="476"/>
      <c r="K2882" s="5"/>
      <c r="L2882" s="3"/>
      <c r="M2882" s="6"/>
      <c r="N2882" s="9"/>
      <c r="O2882" s="9"/>
      <c r="P2882" s="12"/>
      <c r="Q2882" s="12"/>
      <c r="R2882" s="12"/>
      <c r="S2882" s="151"/>
      <c r="T2882" s="12"/>
      <c r="U2882" s="12"/>
      <c r="V2882" s="12"/>
      <c r="W2882" s="12"/>
      <c r="X2882" s="12"/>
      <c r="Y2882" s="12"/>
      <c r="Z2882" s="12"/>
    </row>
    <row r="2883" spans="1:26" ht="15.75" customHeight="1" x14ac:dyDescent="0.3">
      <c r="A2883" s="3"/>
      <c r="B2883" s="167"/>
      <c r="C2883" s="94"/>
      <c r="D2883" s="12"/>
      <c r="E2883" s="167"/>
      <c r="F2883" s="12"/>
      <c r="G2883" s="331"/>
      <c r="H2883" s="474"/>
      <c r="I2883" s="475"/>
      <c r="J2883" s="476"/>
      <c r="K2883" s="5"/>
      <c r="L2883" s="3"/>
      <c r="M2883" s="6"/>
      <c r="N2883" s="9"/>
      <c r="O2883" s="9"/>
      <c r="P2883" s="12"/>
      <c r="Q2883" s="12"/>
      <c r="R2883" s="12"/>
      <c r="S2883" s="151"/>
      <c r="T2883" s="12"/>
      <c r="U2883" s="12"/>
      <c r="V2883" s="12"/>
      <c r="W2883" s="12"/>
      <c r="X2883" s="12"/>
      <c r="Y2883" s="12"/>
      <c r="Z2883" s="12"/>
    </row>
    <row r="2884" spans="1:26" ht="15.75" customHeight="1" x14ac:dyDescent="0.3">
      <c r="A2884" s="3"/>
      <c r="B2884" s="167"/>
      <c r="C2884" s="94"/>
      <c r="D2884" s="12"/>
      <c r="E2884" s="167"/>
      <c r="F2884" s="12"/>
      <c r="G2884" s="331"/>
      <c r="H2884" s="474"/>
      <c r="I2884" s="475"/>
      <c r="J2884" s="476"/>
      <c r="K2884" s="5"/>
      <c r="L2884" s="3"/>
      <c r="M2884" s="6"/>
      <c r="N2884" s="9"/>
      <c r="O2884" s="9"/>
      <c r="P2884" s="12"/>
      <c r="Q2884" s="12"/>
      <c r="R2884" s="12"/>
      <c r="S2884" s="151"/>
      <c r="T2884" s="12"/>
      <c r="U2884" s="12"/>
      <c r="V2884" s="12"/>
      <c r="W2884" s="12"/>
      <c r="X2884" s="12"/>
      <c r="Y2884" s="12"/>
      <c r="Z2884" s="12"/>
    </row>
    <row r="2885" spans="1:26" ht="15.75" customHeight="1" x14ac:dyDescent="0.3">
      <c r="A2885" s="3"/>
      <c r="B2885" s="167"/>
      <c r="C2885" s="94"/>
      <c r="D2885" s="12"/>
      <c r="E2885" s="167"/>
      <c r="F2885" s="12"/>
      <c r="G2885" s="331"/>
      <c r="H2885" s="474"/>
      <c r="I2885" s="475"/>
      <c r="J2885" s="476"/>
      <c r="K2885" s="5"/>
      <c r="L2885" s="3"/>
      <c r="M2885" s="6"/>
      <c r="N2885" s="9"/>
      <c r="O2885" s="9"/>
      <c r="P2885" s="12"/>
      <c r="Q2885" s="12"/>
      <c r="R2885" s="12"/>
      <c r="S2885" s="151"/>
      <c r="T2885" s="12"/>
      <c r="U2885" s="12"/>
      <c r="V2885" s="12"/>
      <c r="W2885" s="12"/>
      <c r="X2885" s="12"/>
      <c r="Y2885" s="12"/>
      <c r="Z2885" s="12"/>
    </row>
    <row r="2886" spans="1:26" ht="15.75" customHeight="1" x14ac:dyDescent="0.3">
      <c r="A2886" s="3"/>
      <c r="B2886" s="167"/>
      <c r="C2886" s="94"/>
      <c r="D2886" s="12"/>
      <c r="E2886" s="167"/>
      <c r="F2886" s="12"/>
      <c r="G2886" s="331"/>
      <c r="H2886" s="474"/>
      <c r="I2886" s="475"/>
      <c r="J2886" s="476"/>
      <c r="K2886" s="5"/>
      <c r="L2886" s="3"/>
      <c r="M2886" s="6"/>
      <c r="N2886" s="9"/>
      <c r="O2886" s="9"/>
      <c r="P2886" s="12"/>
      <c r="Q2886" s="12"/>
      <c r="R2886" s="12"/>
      <c r="S2886" s="151"/>
      <c r="T2886" s="12"/>
      <c r="U2886" s="12"/>
      <c r="V2886" s="12"/>
      <c r="W2886" s="12"/>
      <c r="X2886" s="12"/>
      <c r="Y2886" s="12"/>
      <c r="Z2886" s="12"/>
    </row>
    <row r="2887" spans="1:26" ht="15.75" customHeight="1" x14ac:dyDescent="0.3">
      <c r="A2887" s="3"/>
      <c r="B2887" s="167"/>
      <c r="C2887" s="94"/>
      <c r="D2887" s="12"/>
      <c r="E2887" s="167"/>
      <c r="F2887" s="12"/>
      <c r="G2887" s="331"/>
      <c r="H2887" s="474"/>
      <c r="I2887" s="475"/>
      <c r="J2887" s="476"/>
      <c r="K2887" s="5"/>
      <c r="L2887" s="3"/>
      <c r="M2887" s="6"/>
      <c r="N2887" s="9"/>
      <c r="O2887" s="9"/>
      <c r="P2887" s="12"/>
      <c r="Q2887" s="12"/>
      <c r="R2887" s="12"/>
      <c r="S2887" s="151"/>
      <c r="T2887" s="12"/>
      <c r="U2887" s="12"/>
      <c r="V2887" s="12"/>
      <c r="W2887" s="12"/>
      <c r="X2887" s="12"/>
      <c r="Y2887" s="12"/>
      <c r="Z2887" s="12"/>
    </row>
    <row r="2888" spans="1:26" ht="15.75" customHeight="1" x14ac:dyDescent="0.3">
      <c r="A2888" s="3"/>
      <c r="B2888" s="167"/>
      <c r="C2888" s="94"/>
      <c r="D2888" s="12"/>
      <c r="E2888" s="167"/>
      <c r="F2888" s="12"/>
      <c r="G2888" s="331"/>
      <c r="H2888" s="474"/>
      <c r="I2888" s="475"/>
      <c r="J2888" s="476"/>
      <c r="K2888" s="5"/>
      <c r="L2888" s="3"/>
      <c r="M2888" s="6"/>
      <c r="N2888" s="9"/>
      <c r="O2888" s="9"/>
      <c r="P2888" s="12"/>
      <c r="Q2888" s="12"/>
      <c r="R2888" s="12"/>
      <c r="S2888" s="151"/>
      <c r="T2888" s="12"/>
      <c r="U2888" s="12"/>
      <c r="V2888" s="12"/>
      <c r="W2888" s="12"/>
      <c r="X2888" s="12"/>
      <c r="Y2888" s="12"/>
      <c r="Z2888" s="12"/>
    </row>
    <row r="2889" spans="1:26" ht="15.75" customHeight="1" x14ac:dyDescent="0.3">
      <c r="A2889" s="3"/>
      <c r="B2889" s="167"/>
      <c r="C2889" s="94"/>
      <c r="D2889" s="12"/>
      <c r="E2889" s="167"/>
      <c r="F2889" s="12"/>
      <c r="G2889" s="331"/>
      <c r="H2889" s="474"/>
      <c r="I2889" s="475"/>
      <c r="J2889" s="476"/>
      <c r="K2889" s="5"/>
      <c r="L2889" s="3"/>
      <c r="M2889" s="6"/>
      <c r="N2889" s="9"/>
      <c r="O2889" s="9"/>
      <c r="P2889" s="12"/>
      <c r="Q2889" s="12"/>
      <c r="R2889" s="12"/>
      <c r="S2889" s="151"/>
      <c r="T2889" s="12"/>
      <c r="U2889" s="12"/>
      <c r="V2889" s="12"/>
      <c r="W2889" s="12"/>
      <c r="X2889" s="12"/>
      <c r="Y2889" s="12"/>
      <c r="Z2889" s="12"/>
    </row>
    <row r="2890" spans="1:26" ht="15.75" customHeight="1" x14ac:dyDescent="0.3">
      <c r="A2890" s="3"/>
      <c r="B2890" s="167"/>
      <c r="C2890" s="94"/>
      <c r="D2890" s="12"/>
      <c r="E2890" s="167"/>
      <c r="F2890" s="12"/>
      <c r="G2890" s="331"/>
      <c r="H2890" s="474"/>
      <c r="I2890" s="475"/>
      <c r="J2890" s="476"/>
      <c r="K2890" s="5"/>
      <c r="L2890" s="3"/>
      <c r="M2890" s="6"/>
      <c r="N2890" s="9"/>
      <c r="O2890" s="9"/>
      <c r="P2890" s="12"/>
      <c r="Q2890" s="12"/>
      <c r="R2890" s="12"/>
      <c r="S2890" s="151"/>
      <c r="T2890" s="12"/>
      <c r="U2890" s="12"/>
      <c r="V2890" s="12"/>
      <c r="W2890" s="12"/>
      <c r="X2890" s="12"/>
      <c r="Y2890" s="12"/>
      <c r="Z2890" s="12"/>
    </row>
    <row r="2891" spans="1:26" ht="15.75" customHeight="1" x14ac:dyDescent="0.3">
      <c r="A2891" s="3"/>
      <c r="B2891" s="167"/>
      <c r="C2891" s="94"/>
      <c r="D2891" s="12"/>
      <c r="E2891" s="167"/>
      <c r="F2891" s="12"/>
      <c r="G2891" s="331"/>
      <c r="H2891" s="474"/>
      <c r="I2891" s="475"/>
      <c r="J2891" s="476"/>
      <c r="K2891" s="5"/>
      <c r="L2891" s="3"/>
      <c r="M2891" s="6"/>
      <c r="N2891" s="9"/>
      <c r="O2891" s="9"/>
      <c r="P2891" s="12"/>
      <c r="Q2891" s="12"/>
      <c r="R2891" s="12"/>
      <c r="S2891" s="151"/>
      <c r="T2891" s="12"/>
      <c r="U2891" s="12"/>
      <c r="V2891" s="12"/>
      <c r="W2891" s="12"/>
      <c r="X2891" s="12"/>
      <c r="Y2891" s="12"/>
      <c r="Z2891" s="12"/>
    </row>
    <row r="2892" spans="1:26" ht="15.75" customHeight="1" x14ac:dyDescent="0.3">
      <c r="A2892" s="3"/>
      <c r="B2892" s="167"/>
      <c r="C2892" s="94"/>
      <c r="D2892" s="12"/>
      <c r="E2892" s="167"/>
      <c r="F2892" s="12"/>
      <c r="G2892" s="331"/>
      <c r="H2892" s="474"/>
      <c r="I2892" s="475"/>
      <c r="J2892" s="476"/>
      <c r="K2892" s="5"/>
      <c r="L2892" s="3"/>
      <c r="M2892" s="6"/>
      <c r="N2892" s="9"/>
      <c r="O2892" s="9"/>
      <c r="P2892" s="12"/>
      <c r="Q2892" s="12"/>
      <c r="R2892" s="12"/>
      <c r="S2892" s="151"/>
      <c r="T2892" s="12"/>
      <c r="U2892" s="12"/>
      <c r="V2892" s="12"/>
      <c r="W2892" s="12"/>
      <c r="X2892" s="12"/>
      <c r="Y2892" s="12"/>
      <c r="Z2892" s="12"/>
    </row>
    <row r="2893" spans="1:26" ht="15.75" customHeight="1" x14ac:dyDescent="0.3">
      <c r="A2893" s="3"/>
      <c r="B2893" s="167"/>
      <c r="C2893" s="94"/>
      <c r="D2893" s="12"/>
      <c r="E2893" s="167"/>
      <c r="F2893" s="12"/>
      <c r="G2893" s="331"/>
      <c r="H2893" s="474"/>
      <c r="I2893" s="475"/>
      <c r="J2893" s="476"/>
      <c r="K2893" s="5"/>
      <c r="L2893" s="3"/>
      <c r="M2893" s="6"/>
      <c r="N2893" s="9"/>
      <c r="O2893" s="9"/>
      <c r="P2893" s="12"/>
      <c r="Q2893" s="12"/>
      <c r="R2893" s="12"/>
      <c r="S2893" s="151"/>
      <c r="T2893" s="12"/>
      <c r="U2893" s="12"/>
      <c r="V2893" s="12"/>
      <c r="W2893" s="12"/>
      <c r="X2893" s="12"/>
      <c r="Y2893" s="12"/>
      <c r="Z2893" s="12"/>
    </row>
    <row r="2894" spans="1:26" ht="15.75" customHeight="1" x14ac:dyDescent="0.3">
      <c r="A2894" s="3"/>
      <c r="B2894" s="167"/>
      <c r="C2894" s="94"/>
      <c r="D2894" s="12"/>
      <c r="E2894" s="167"/>
      <c r="F2894" s="12"/>
      <c r="G2894" s="331"/>
      <c r="H2894" s="474"/>
      <c r="I2894" s="475"/>
      <c r="J2894" s="476"/>
      <c r="K2894" s="5"/>
      <c r="L2894" s="3"/>
      <c r="M2894" s="6"/>
      <c r="N2894" s="9"/>
      <c r="O2894" s="9"/>
      <c r="P2894" s="12"/>
      <c r="Q2894" s="12"/>
      <c r="R2894" s="12"/>
      <c r="S2894" s="151"/>
      <c r="T2894" s="12"/>
      <c r="U2894" s="12"/>
      <c r="V2894" s="12"/>
      <c r="W2894" s="12"/>
      <c r="X2894" s="12"/>
      <c r="Y2894" s="12"/>
      <c r="Z2894" s="12"/>
    </row>
    <row r="2895" spans="1:26" ht="15.75" customHeight="1" x14ac:dyDescent="0.3">
      <c r="A2895" s="3"/>
      <c r="B2895" s="167"/>
      <c r="C2895" s="94"/>
      <c r="D2895" s="12"/>
      <c r="E2895" s="167"/>
      <c r="F2895" s="12"/>
      <c r="G2895" s="331"/>
      <c r="H2895" s="474"/>
      <c r="I2895" s="475"/>
      <c r="J2895" s="476"/>
      <c r="K2895" s="5"/>
      <c r="L2895" s="3"/>
      <c r="M2895" s="6"/>
      <c r="N2895" s="9"/>
      <c r="O2895" s="9"/>
      <c r="P2895" s="12"/>
      <c r="Q2895" s="12"/>
      <c r="R2895" s="12"/>
      <c r="S2895" s="151"/>
      <c r="T2895" s="12"/>
      <c r="U2895" s="12"/>
      <c r="V2895" s="12"/>
      <c r="W2895" s="12"/>
      <c r="X2895" s="12"/>
      <c r="Y2895" s="12"/>
      <c r="Z2895" s="12"/>
    </row>
    <row r="2896" spans="1:26" ht="15.75" customHeight="1" x14ac:dyDescent="0.3">
      <c r="A2896" s="3"/>
      <c r="B2896" s="167"/>
      <c r="C2896" s="94"/>
      <c r="D2896" s="12"/>
      <c r="E2896" s="167"/>
      <c r="F2896" s="12"/>
      <c r="G2896" s="331"/>
      <c r="H2896" s="474"/>
      <c r="I2896" s="475"/>
      <c r="J2896" s="476"/>
      <c r="K2896" s="5"/>
      <c r="L2896" s="3"/>
      <c r="M2896" s="6"/>
      <c r="N2896" s="9"/>
      <c r="O2896" s="9"/>
      <c r="P2896" s="12"/>
      <c r="Q2896" s="12"/>
      <c r="R2896" s="12"/>
      <c r="S2896" s="151"/>
      <c r="T2896" s="12"/>
      <c r="U2896" s="12"/>
      <c r="V2896" s="12"/>
      <c r="W2896" s="12"/>
      <c r="X2896" s="12"/>
      <c r="Y2896" s="12"/>
      <c r="Z2896" s="12"/>
    </row>
    <row r="2897" spans="1:26" ht="15.75" customHeight="1" x14ac:dyDescent="0.3">
      <c r="A2897" s="3"/>
      <c r="B2897" s="167"/>
      <c r="C2897" s="94"/>
      <c r="D2897" s="12"/>
      <c r="E2897" s="167"/>
      <c r="F2897" s="12"/>
      <c r="G2897" s="331"/>
      <c r="H2897" s="474"/>
      <c r="I2897" s="475"/>
      <c r="J2897" s="476"/>
      <c r="K2897" s="5"/>
      <c r="L2897" s="3"/>
      <c r="M2897" s="6"/>
      <c r="N2897" s="9"/>
      <c r="O2897" s="9"/>
      <c r="P2897" s="12"/>
      <c r="Q2897" s="12"/>
      <c r="R2897" s="12"/>
      <c r="S2897" s="151"/>
      <c r="T2897" s="12"/>
      <c r="U2897" s="12"/>
      <c r="V2897" s="12"/>
      <c r="W2897" s="12"/>
      <c r="X2897" s="12"/>
      <c r="Y2897" s="12"/>
      <c r="Z2897" s="12"/>
    </row>
    <row r="2898" spans="1:26" ht="15.75" customHeight="1" x14ac:dyDescent="0.3">
      <c r="A2898" s="3"/>
      <c r="B2898" s="167"/>
      <c r="C2898" s="94"/>
      <c r="D2898" s="12"/>
      <c r="E2898" s="167"/>
      <c r="F2898" s="12"/>
      <c r="G2898" s="331"/>
      <c r="H2898" s="474"/>
      <c r="I2898" s="475"/>
      <c r="J2898" s="476"/>
      <c r="K2898" s="5"/>
      <c r="L2898" s="3"/>
      <c r="M2898" s="6"/>
      <c r="N2898" s="9"/>
      <c r="O2898" s="9"/>
      <c r="P2898" s="12"/>
      <c r="Q2898" s="12"/>
      <c r="R2898" s="12"/>
      <c r="S2898" s="151"/>
      <c r="T2898" s="12"/>
      <c r="U2898" s="12"/>
      <c r="V2898" s="12"/>
      <c r="W2898" s="12"/>
      <c r="X2898" s="12"/>
      <c r="Y2898" s="12"/>
      <c r="Z2898" s="12"/>
    </row>
    <row r="2899" spans="1:26" ht="15.75" customHeight="1" x14ac:dyDescent="0.3">
      <c r="A2899" s="3"/>
      <c r="B2899" s="167"/>
      <c r="C2899" s="94"/>
      <c r="D2899" s="12"/>
      <c r="E2899" s="167"/>
      <c r="F2899" s="12"/>
      <c r="G2899" s="331"/>
      <c r="H2899" s="474"/>
      <c r="I2899" s="475"/>
      <c r="J2899" s="476"/>
      <c r="K2899" s="5"/>
      <c r="L2899" s="3"/>
      <c r="M2899" s="6"/>
      <c r="N2899" s="9"/>
      <c r="O2899" s="9"/>
      <c r="P2899" s="12"/>
      <c r="Q2899" s="12"/>
      <c r="R2899" s="12"/>
      <c r="S2899" s="151"/>
      <c r="T2899" s="12"/>
      <c r="U2899" s="12"/>
      <c r="V2899" s="12"/>
      <c r="W2899" s="12"/>
      <c r="X2899" s="12"/>
      <c r="Y2899" s="12"/>
      <c r="Z2899" s="12"/>
    </row>
    <row r="2900" spans="1:26" ht="15.75" customHeight="1" x14ac:dyDescent="0.3">
      <c r="A2900" s="3"/>
      <c r="B2900" s="167"/>
      <c r="C2900" s="94"/>
      <c r="D2900" s="12"/>
      <c r="E2900" s="167"/>
      <c r="F2900" s="12"/>
      <c r="G2900" s="331"/>
      <c r="H2900" s="474"/>
      <c r="I2900" s="475"/>
      <c r="J2900" s="476"/>
      <c r="K2900" s="5"/>
      <c r="L2900" s="3"/>
      <c r="M2900" s="6"/>
      <c r="N2900" s="9"/>
      <c r="O2900" s="9"/>
      <c r="P2900" s="12"/>
      <c r="Q2900" s="12"/>
      <c r="R2900" s="12"/>
      <c r="S2900" s="151"/>
      <c r="T2900" s="12"/>
      <c r="U2900" s="12"/>
      <c r="V2900" s="12"/>
      <c r="W2900" s="12"/>
      <c r="X2900" s="12"/>
      <c r="Y2900" s="12"/>
      <c r="Z2900" s="12"/>
    </row>
    <row r="2901" spans="1:26" ht="15.75" customHeight="1" x14ac:dyDescent="0.3">
      <c r="A2901" s="3"/>
      <c r="B2901" s="167"/>
      <c r="C2901" s="94"/>
      <c r="D2901" s="12"/>
      <c r="E2901" s="167"/>
      <c r="F2901" s="12"/>
      <c r="G2901" s="331"/>
      <c r="H2901" s="474"/>
      <c r="I2901" s="475"/>
      <c r="J2901" s="476"/>
      <c r="K2901" s="5"/>
      <c r="L2901" s="3"/>
      <c r="M2901" s="6"/>
      <c r="N2901" s="9"/>
      <c r="O2901" s="9"/>
      <c r="P2901" s="12"/>
      <c r="Q2901" s="12"/>
      <c r="R2901" s="12"/>
      <c r="S2901" s="151"/>
      <c r="T2901" s="12"/>
      <c r="U2901" s="12"/>
      <c r="V2901" s="12"/>
      <c r="W2901" s="12"/>
      <c r="X2901" s="12"/>
      <c r="Y2901" s="12"/>
      <c r="Z2901" s="12"/>
    </row>
    <row r="2902" spans="1:26" ht="15.75" customHeight="1" x14ac:dyDescent="0.3">
      <c r="A2902" s="3"/>
      <c r="B2902" s="167"/>
      <c r="C2902" s="94"/>
      <c r="D2902" s="12"/>
      <c r="E2902" s="167"/>
      <c r="F2902" s="12"/>
      <c r="G2902" s="331"/>
      <c r="H2902" s="474"/>
      <c r="I2902" s="475"/>
      <c r="J2902" s="476"/>
      <c r="K2902" s="5"/>
      <c r="L2902" s="3"/>
      <c r="M2902" s="6"/>
      <c r="N2902" s="9"/>
      <c r="O2902" s="9"/>
      <c r="P2902" s="12"/>
      <c r="Q2902" s="12"/>
      <c r="R2902" s="12"/>
      <c r="S2902" s="151"/>
      <c r="T2902" s="12"/>
      <c r="U2902" s="12"/>
      <c r="V2902" s="12"/>
      <c r="W2902" s="12"/>
      <c r="X2902" s="12"/>
      <c r="Y2902" s="12"/>
      <c r="Z2902" s="12"/>
    </row>
    <row r="2903" spans="1:26" ht="15.75" customHeight="1" x14ac:dyDescent="0.3">
      <c r="A2903" s="3"/>
      <c r="B2903" s="167"/>
      <c r="C2903" s="94"/>
      <c r="D2903" s="12"/>
      <c r="E2903" s="167"/>
      <c r="F2903" s="12"/>
      <c r="G2903" s="331"/>
      <c r="H2903" s="474"/>
      <c r="I2903" s="475"/>
      <c r="J2903" s="476"/>
      <c r="K2903" s="5"/>
      <c r="L2903" s="3"/>
      <c r="M2903" s="6"/>
      <c r="N2903" s="9"/>
      <c r="O2903" s="9"/>
      <c r="P2903" s="12"/>
      <c r="Q2903" s="12"/>
      <c r="R2903" s="12"/>
      <c r="S2903" s="151"/>
      <c r="T2903" s="12"/>
      <c r="U2903" s="12"/>
      <c r="V2903" s="12"/>
      <c r="W2903" s="12"/>
      <c r="X2903" s="12"/>
      <c r="Y2903" s="12"/>
      <c r="Z2903" s="12"/>
    </row>
    <row r="2904" spans="1:26" ht="15.75" customHeight="1" x14ac:dyDescent="0.3">
      <c r="A2904" s="3"/>
      <c r="B2904" s="167"/>
      <c r="C2904" s="94"/>
      <c r="D2904" s="12"/>
      <c r="E2904" s="167"/>
      <c r="F2904" s="12"/>
      <c r="G2904" s="331"/>
      <c r="H2904" s="474"/>
      <c r="I2904" s="475"/>
      <c r="J2904" s="476"/>
      <c r="K2904" s="5"/>
      <c r="L2904" s="3"/>
      <c r="M2904" s="6"/>
      <c r="N2904" s="9"/>
      <c r="O2904" s="9"/>
      <c r="P2904" s="12"/>
      <c r="Q2904" s="12"/>
      <c r="R2904" s="12"/>
      <c r="S2904" s="151"/>
      <c r="T2904" s="12"/>
      <c r="U2904" s="12"/>
      <c r="V2904" s="12"/>
      <c r="W2904" s="12"/>
      <c r="X2904" s="12"/>
      <c r="Y2904" s="12"/>
      <c r="Z2904" s="12"/>
    </row>
    <row r="2905" spans="1:26" ht="15.75" customHeight="1" x14ac:dyDescent="0.3">
      <c r="A2905" s="3"/>
      <c r="B2905" s="167"/>
      <c r="C2905" s="94"/>
      <c r="D2905" s="12"/>
      <c r="E2905" s="167"/>
      <c r="F2905" s="12"/>
      <c r="G2905" s="331"/>
      <c r="H2905" s="474"/>
      <c r="I2905" s="475"/>
      <c r="J2905" s="476"/>
      <c r="K2905" s="5"/>
      <c r="L2905" s="3"/>
      <c r="M2905" s="6"/>
      <c r="N2905" s="9"/>
      <c r="O2905" s="9"/>
      <c r="P2905" s="12"/>
      <c r="Q2905" s="12"/>
      <c r="R2905" s="12"/>
      <c r="S2905" s="151"/>
      <c r="T2905" s="12"/>
      <c r="U2905" s="12"/>
      <c r="V2905" s="12"/>
      <c r="W2905" s="12"/>
      <c r="X2905" s="12"/>
      <c r="Y2905" s="12"/>
      <c r="Z2905" s="12"/>
    </row>
    <row r="2906" spans="1:26" ht="15.75" customHeight="1" x14ac:dyDescent="0.3">
      <c r="A2906" s="3"/>
      <c r="B2906" s="167"/>
      <c r="C2906" s="94"/>
      <c r="D2906" s="12"/>
      <c r="E2906" s="167"/>
      <c r="F2906" s="12"/>
      <c r="G2906" s="331"/>
      <c r="H2906" s="474"/>
      <c r="I2906" s="475"/>
      <c r="J2906" s="476"/>
      <c r="K2906" s="5"/>
      <c r="L2906" s="3"/>
      <c r="M2906" s="6"/>
      <c r="N2906" s="9"/>
      <c r="O2906" s="9"/>
      <c r="P2906" s="12"/>
      <c r="Q2906" s="12"/>
      <c r="R2906" s="12"/>
      <c r="S2906" s="151"/>
      <c r="T2906" s="12"/>
      <c r="U2906" s="12"/>
      <c r="V2906" s="12"/>
      <c r="W2906" s="12"/>
      <c r="X2906" s="12"/>
      <c r="Y2906" s="12"/>
      <c r="Z2906" s="12"/>
    </row>
    <row r="2907" spans="1:26" ht="15.75" customHeight="1" x14ac:dyDescent="0.3">
      <c r="A2907" s="3"/>
      <c r="B2907" s="167"/>
      <c r="C2907" s="94"/>
      <c r="D2907" s="12"/>
      <c r="E2907" s="167"/>
      <c r="F2907" s="12"/>
      <c r="G2907" s="331"/>
      <c r="H2907" s="474"/>
      <c r="I2907" s="475"/>
      <c r="J2907" s="476"/>
      <c r="K2907" s="5"/>
      <c r="L2907" s="3"/>
      <c r="M2907" s="6"/>
      <c r="N2907" s="9"/>
      <c r="O2907" s="9"/>
      <c r="P2907" s="12"/>
      <c r="Q2907" s="12"/>
      <c r="R2907" s="12"/>
      <c r="S2907" s="151"/>
      <c r="T2907" s="12"/>
      <c r="U2907" s="12"/>
      <c r="V2907" s="12"/>
      <c r="W2907" s="12"/>
      <c r="X2907" s="12"/>
      <c r="Y2907" s="12"/>
      <c r="Z2907" s="12"/>
    </row>
    <row r="2908" spans="1:26" ht="15.75" customHeight="1" x14ac:dyDescent="0.3">
      <c r="A2908" s="3"/>
      <c r="B2908" s="167"/>
      <c r="C2908" s="94"/>
      <c r="D2908" s="12"/>
      <c r="E2908" s="167"/>
      <c r="F2908" s="12"/>
      <c r="G2908" s="331"/>
      <c r="H2908" s="474"/>
      <c r="I2908" s="475"/>
      <c r="J2908" s="476"/>
      <c r="K2908" s="5"/>
      <c r="L2908" s="3"/>
      <c r="M2908" s="6"/>
      <c r="N2908" s="9"/>
      <c r="O2908" s="9"/>
      <c r="P2908" s="12"/>
      <c r="Q2908" s="12"/>
      <c r="R2908" s="12"/>
      <c r="S2908" s="151"/>
      <c r="T2908" s="12"/>
      <c r="U2908" s="12"/>
      <c r="V2908" s="12"/>
      <c r="W2908" s="12"/>
      <c r="X2908" s="12"/>
      <c r="Y2908" s="12"/>
      <c r="Z2908" s="12"/>
    </row>
    <row r="2909" spans="1:26" ht="15.75" customHeight="1" x14ac:dyDescent="0.3">
      <c r="A2909" s="3"/>
      <c r="B2909" s="167"/>
      <c r="C2909" s="94"/>
      <c r="D2909" s="12"/>
      <c r="E2909" s="167"/>
      <c r="F2909" s="12"/>
      <c r="G2909" s="331"/>
      <c r="H2909" s="474"/>
      <c r="I2909" s="475"/>
      <c r="J2909" s="476"/>
      <c r="K2909" s="5"/>
      <c r="L2909" s="3"/>
      <c r="M2909" s="6"/>
      <c r="N2909" s="9"/>
      <c r="O2909" s="9"/>
      <c r="P2909" s="12"/>
      <c r="Q2909" s="12"/>
      <c r="R2909" s="12"/>
      <c r="S2909" s="151"/>
      <c r="T2909" s="12"/>
      <c r="U2909" s="12"/>
      <c r="V2909" s="12"/>
      <c r="W2909" s="12"/>
      <c r="X2909" s="12"/>
      <c r="Y2909" s="12"/>
      <c r="Z2909" s="12"/>
    </row>
    <row r="2910" spans="1:26" ht="15.75" customHeight="1" x14ac:dyDescent="0.3">
      <c r="A2910" s="3"/>
      <c r="B2910" s="167"/>
      <c r="C2910" s="94"/>
      <c r="D2910" s="12"/>
      <c r="E2910" s="167"/>
      <c r="F2910" s="12"/>
      <c r="G2910" s="331"/>
      <c r="H2910" s="474"/>
      <c r="I2910" s="475"/>
      <c r="J2910" s="476"/>
      <c r="K2910" s="5"/>
      <c r="L2910" s="3"/>
      <c r="M2910" s="6"/>
      <c r="N2910" s="9"/>
      <c r="O2910" s="9"/>
      <c r="P2910" s="12"/>
      <c r="Q2910" s="12"/>
      <c r="R2910" s="12"/>
      <c r="S2910" s="151"/>
      <c r="T2910" s="12"/>
      <c r="U2910" s="12"/>
      <c r="V2910" s="12"/>
      <c r="W2910" s="12"/>
      <c r="X2910" s="12"/>
      <c r="Y2910" s="12"/>
      <c r="Z2910" s="12"/>
    </row>
    <row r="2911" spans="1:26" ht="15.75" customHeight="1" x14ac:dyDescent="0.3">
      <c r="A2911" s="3"/>
      <c r="B2911" s="167"/>
      <c r="C2911" s="94"/>
      <c r="D2911" s="12"/>
      <c r="E2911" s="167"/>
      <c r="F2911" s="12"/>
      <c r="G2911" s="331"/>
      <c r="H2911" s="474"/>
      <c r="I2911" s="475"/>
      <c r="J2911" s="476"/>
      <c r="K2911" s="5"/>
      <c r="L2911" s="3"/>
      <c r="M2911" s="6"/>
      <c r="N2911" s="9"/>
      <c r="O2911" s="9"/>
      <c r="P2911" s="12"/>
      <c r="Q2911" s="12"/>
      <c r="R2911" s="12"/>
      <c r="S2911" s="151"/>
      <c r="T2911" s="12"/>
      <c r="U2911" s="12"/>
      <c r="V2911" s="12"/>
      <c r="W2911" s="12"/>
      <c r="X2911" s="12"/>
      <c r="Y2911" s="12"/>
      <c r="Z2911" s="12"/>
    </row>
    <row r="2912" spans="1:26" ht="15.75" customHeight="1" x14ac:dyDescent="0.3">
      <c r="A2912" s="3"/>
      <c r="B2912" s="167"/>
      <c r="C2912" s="94"/>
      <c r="D2912" s="12"/>
      <c r="E2912" s="167"/>
      <c r="F2912" s="12"/>
      <c r="G2912" s="331"/>
      <c r="H2912" s="474"/>
      <c r="I2912" s="475"/>
      <c r="J2912" s="476"/>
      <c r="K2912" s="5"/>
      <c r="L2912" s="3"/>
      <c r="M2912" s="6"/>
      <c r="N2912" s="9"/>
      <c r="O2912" s="9"/>
      <c r="P2912" s="12"/>
      <c r="Q2912" s="12"/>
      <c r="R2912" s="12"/>
      <c r="S2912" s="151"/>
      <c r="T2912" s="12"/>
      <c r="U2912" s="12"/>
      <c r="V2912" s="12"/>
      <c r="W2912" s="12"/>
      <c r="X2912" s="12"/>
      <c r="Y2912" s="12"/>
      <c r="Z2912" s="12"/>
    </row>
    <row r="2913" spans="1:26" ht="15.75" customHeight="1" x14ac:dyDescent="0.3">
      <c r="A2913" s="3"/>
      <c r="B2913" s="167"/>
      <c r="C2913" s="94"/>
      <c r="D2913" s="12"/>
      <c r="E2913" s="167"/>
      <c r="F2913" s="12"/>
      <c r="G2913" s="331"/>
      <c r="H2913" s="474"/>
      <c r="I2913" s="475"/>
      <c r="J2913" s="476"/>
      <c r="K2913" s="5"/>
      <c r="L2913" s="3"/>
      <c r="M2913" s="6"/>
      <c r="N2913" s="9"/>
      <c r="O2913" s="9"/>
      <c r="P2913" s="12"/>
      <c r="Q2913" s="12"/>
      <c r="R2913" s="12"/>
      <c r="S2913" s="151"/>
      <c r="T2913" s="12"/>
      <c r="U2913" s="12"/>
      <c r="V2913" s="12"/>
      <c r="W2913" s="12"/>
      <c r="X2913" s="12"/>
      <c r="Y2913" s="12"/>
      <c r="Z2913" s="12"/>
    </row>
    <row r="2914" spans="1:26" ht="15.75" customHeight="1" x14ac:dyDescent="0.3">
      <c r="A2914" s="3"/>
      <c r="B2914" s="167"/>
      <c r="C2914" s="94"/>
      <c r="D2914" s="12"/>
      <c r="E2914" s="167"/>
      <c r="F2914" s="12"/>
      <c r="G2914" s="331"/>
      <c r="H2914" s="474"/>
      <c r="I2914" s="475"/>
      <c r="J2914" s="476"/>
      <c r="K2914" s="5"/>
      <c r="L2914" s="3"/>
      <c r="M2914" s="6"/>
      <c r="N2914" s="9"/>
      <c r="O2914" s="9"/>
      <c r="P2914" s="12"/>
      <c r="Q2914" s="12"/>
      <c r="R2914" s="12"/>
      <c r="S2914" s="151"/>
      <c r="T2914" s="12"/>
      <c r="U2914" s="12"/>
      <c r="V2914" s="12"/>
      <c r="W2914" s="12"/>
      <c r="X2914" s="12"/>
      <c r="Y2914" s="12"/>
      <c r="Z2914" s="12"/>
    </row>
    <row r="2915" spans="1:26" ht="15.75" customHeight="1" x14ac:dyDescent="0.3">
      <c r="A2915" s="3"/>
      <c r="B2915" s="167"/>
      <c r="C2915" s="94"/>
      <c r="D2915" s="12"/>
      <c r="E2915" s="167"/>
      <c r="F2915" s="12"/>
      <c r="G2915" s="331"/>
      <c r="H2915" s="474"/>
      <c r="I2915" s="475"/>
      <c r="J2915" s="476"/>
      <c r="K2915" s="5"/>
      <c r="L2915" s="3"/>
      <c r="M2915" s="6"/>
      <c r="N2915" s="9"/>
      <c r="O2915" s="9"/>
      <c r="P2915" s="12"/>
      <c r="Q2915" s="12"/>
      <c r="R2915" s="12"/>
      <c r="S2915" s="151"/>
      <c r="T2915" s="12"/>
      <c r="U2915" s="12"/>
      <c r="V2915" s="12"/>
      <c r="W2915" s="12"/>
      <c r="X2915" s="12"/>
      <c r="Y2915" s="12"/>
      <c r="Z2915" s="12"/>
    </row>
    <row r="2916" spans="1:26" ht="15.75" customHeight="1" x14ac:dyDescent="0.3">
      <c r="A2916" s="3"/>
      <c r="B2916" s="167"/>
      <c r="C2916" s="94"/>
      <c r="D2916" s="12"/>
      <c r="E2916" s="167"/>
      <c r="F2916" s="12"/>
      <c r="G2916" s="331"/>
      <c r="H2916" s="474"/>
      <c r="I2916" s="475"/>
      <c r="J2916" s="476"/>
      <c r="K2916" s="5"/>
      <c r="L2916" s="3"/>
      <c r="M2916" s="6"/>
      <c r="N2916" s="9"/>
      <c r="O2916" s="9"/>
      <c r="P2916" s="12"/>
      <c r="Q2916" s="12"/>
      <c r="R2916" s="12"/>
      <c r="S2916" s="151"/>
      <c r="T2916" s="12"/>
      <c r="U2916" s="12"/>
      <c r="V2916" s="12"/>
      <c r="W2916" s="12"/>
      <c r="X2916" s="12"/>
      <c r="Y2916" s="12"/>
      <c r="Z2916" s="12"/>
    </row>
    <row r="2917" spans="1:26" ht="15.75" customHeight="1" x14ac:dyDescent="0.3">
      <c r="A2917" s="3"/>
      <c r="B2917" s="167"/>
      <c r="C2917" s="94"/>
      <c r="D2917" s="12"/>
      <c r="E2917" s="167"/>
      <c r="F2917" s="12"/>
      <c r="G2917" s="331"/>
      <c r="H2917" s="474"/>
      <c r="I2917" s="475"/>
      <c r="J2917" s="476"/>
      <c r="K2917" s="5"/>
      <c r="L2917" s="3"/>
      <c r="M2917" s="6"/>
      <c r="N2917" s="9"/>
      <c r="O2917" s="9"/>
      <c r="P2917" s="12"/>
      <c r="Q2917" s="12"/>
      <c r="R2917" s="12"/>
      <c r="S2917" s="151"/>
      <c r="T2917" s="12"/>
      <c r="U2917" s="12"/>
      <c r="V2917" s="12"/>
      <c r="W2917" s="12"/>
      <c r="X2917" s="12"/>
      <c r="Y2917" s="12"/>
      <c r="Z2917" s="12"/>
    </row>
    <row r="2918" spans="1:26" ht="15.75" customHeight="1" x14ac:dyDescent="0.3">
      <c r="A2918" s="3"/>
      <c r="B2918" s="167"/>
      <c r="C2918" s="94"/>
      <c r="D2918" s="12"/>
      <c r="E2918" s="167"/>
      <c r="F2918" s="12"/>
      <c r="G2918" s="331"/>
      <c r="H2918" s="474"/>
      <c r="I2918" s="475"/>
      <c r="J2918" s="476"/>
      <c r="K2918" s="5"/>
      <c r="L2918" s="3"/>
      <c r="M2918" s="6"/>
      <c r="N2918" s="9"/>
      <c r="O2918" s="9"/>
      <c r="P2918" s="12"/>
      <c r="Q2918" s="12"/>
      <c r="R2918" s="12"/>
      <c r="S2918" s="151"/>
      <c r="T2918" s="12"/>
      <c r="U2918" s="12"/>
      <c r="V2918" s="12"/>
      <c r="W2918" s="12"/>
      <c r="X2918" s="12"/>
      <c r="Y2918" s="12"/>
      <c r="Z2918" s="12"/>
    </row>
    <row r="2919" spans="1:26" ht="15.75" customHeight="1" x14ac:dyDescent="0.3">
      <c r="A2919" s="3"/>
      <c r="B2919" s="167"/>
      <c r="C2919" s="94"/>
      <c r="D2919" s="12"/>
      <c r="E2919" s="167"/>
      <c r="F2919" s="12"/>
      <c r="G2919" s="331"/>
      <c r="H2919" s="474"/>
      <c r="I2919" s="475"/>
      <c r="J2919" s="476"/>
      <c r="K2919" s="5"/>
      <c r="L2919" s="3"/>
      <c r="M2919" s="6"/>
      <c r="N2919" s="9"/>
      <c r="O2919" s="9"/>
      <c r="P2919" s="12"/>
      <c r="Q2919" s="12"/>
      <c r="R2919" s="12"/>
      <c r="S2919" s="151"/>
      <c r="T2919" s="12"/>
      <c r="U2919" s="12"/>
      <c r="V2919" s="12"/>
      <c r="W2919" s="12"/>
      <c r="X2919" s="12"/>
      <c r="Y2919" s="12"/>
      <c r="Z2919" s="12"/>
    </row>
    <row r="2920" spans="1:26" ht="15.75" customHeight="1" x14ac:dyDescent="0.3">
      <c r="A2920" s="3"/>
      <c r="B2920" s="167"/>
      <c r="C2920" s="94"/>
      <c r="D2920" s="12"/>
      <c r="E2920" s="167"/>
      <c r="F2920" s="12"/>
      <c r="G2920" s="331"/>
      <c r="H2920" s="474"/>
      <c r="I2920" s="475"/>
      <c r="J2920" s="476"/>
      <c r="K2920" s="5"/>
      <c r="L2920" s="3"/>
      <c r="M2920" s="6"/>
      <c r="N2920" s="9"/>
      <c r="O2920" s="9"/>
      <c r="P2920" s="12"/>
      <c r="Q2920" s="12"/>
      <c r="R2920" s="12"/>
      <c r="S2920" s="151"/>
      <c r="T2920" s="12"/>
      <c r="U2920" s="12"/>
      <c r="V2920" s="12"/>
      <c r="W2920" s="12"/>
      <c r="X2920" s="12"/>
      <c r="Y2920" s="12"/>
      <c r="Z2920" s="12"/>
    </row>
    <row r="2921" spans="1:26" ht="15.75" customHeight="1" x14ac:dyDescent="0.3">
      <c r="A2921" s="3"/>
      <c r="B2921" s="167"/>
      <c r="C2921" s="94"/>
      <c r="D2921" s="12"/>
      <c r="E2921" s="167"/>
      <c r="F2921" s="12"/>
      <c r="G2921" s="331"/>
      <c r="H2921" s="474"/>
      <c r="I2921" s="475"/>
      <c r="J2921" s="476"/>
      <c r="K2921" s="5"/>
      <c r="L2921" s="3"/>
      <c r="M2921" s="6"/>
      <c r="N2921" s="9"/>
      <c r="O2921" s="9"/>
      <c r="P2921" s="12"/>
      <c r="Q2921" s="12"/>
      <c r="R2921" s="12"/>
      <c r="S2921" s="151"/>
      <c r="T2921" s="12"/>
      <c r="U2921" s="12"/>
      <c r="V2921" s="12"/>
      <c r="W2921" s="12"/>
      <c r="X2921" s="12"/>
      <c r="Y2921" s="12"/>
      <c r="Z2921" s="12"/>
    </row>
    <row r="2922" spans="1:26" ht="15.75" customHeight="1" x14ac:dyDescent="0.3">
      <c r="A2922" s="3"/>
      <c r="B2922" s="167"/>
      <c r="C2922" s="94"/>
      <c r="D2922" s="12"/>
      <c r="E2922" s="167"/>
      <c r="F2922" s="12"/>
      <c r="G2922" s="331"/>
      <c r="H2922" s="474"/>
      <c r="I2922" s="475"/>
      <c r="J2922" s="476"/>
      <c r="K2922" s="5"/>
      <c r="L2922" s="3"/>
      <c r="M2922" s="6"/>
      <c r="N2922" s="9"/>
      <c r="O2922" s="9"/>
      <c r="P2922" s="12"/>
      <c r="Q2922" s="12"/>
      <c r="R2922" s="12"/>
      <c r="S2922" s="151"/>
      <c r="T2922" s="12"/>
      <c r="U2922" s="12"/>
      <c r="V2922" s="12"/>
      <c r="W2922" s="12"/>
      <c r="X2922" s="12"/>
      <c r="Y2922" s="12"/>
      <c r="Z2922" s="12"/>
    </row>
    <row r="2923" spans="1:26" ht="15.75" customHeight="1" x14ac:dyDescent="0.3">
      <c r="A2923" s="3"/>
      <c r="B2923" s="167"/>
      <c r="C2923" s="94"/>
      <c r="D2923" s="12"/>
      <c r="E2923" s="167"/>
      <c r="F2923" s="12"/>
      <c r="G2923" s="331"/>
      <c r="H2923" s="474"/>
      <c r="I2923" s="475"/>
      <c r="J2923" s="476"/>
      <c r="K2923" s="5"/>
      <c r="L2923" s="3"/>
      <c r="M2923" s="6"/>
      <c r="N2923" s="9"/>
      <c r="O2923" s="9"/>
      <c r="P2923" s="12"/>
      <c r="Q2923" s="12"/>
      <c r="R2923" s="12"/>
      <c r="S2923" s="151"/>
      <c r="T2923" s="12"/>
      <c r="U2923" s="12"/>
      <c r="V2923" s="12"/>
      <c r="W2923" s="12"/>
      <c r="X2923" s="12"/>
      <c r="Y2923" s="12"/>
      <c r="Z2923" s="12"/>
    </row>
    <row r="2924" spans="1:26" ht="15.75" customHeight="1" x14ac:dyDescent="0.3">
      <c r="A2924" s="3"/>
      <c r="B2924" s="167"/>
      <c r="C2924" s="94"/>
      <c r="D2924" s="12"/>
      <c r="E2924" s="167"/>
      <c r="F2924" s="12"/>
      <c r="G2924" s="331"/>
      <c r="H2924" s="474"/>
      <c r="I2924" s="475"/>
      <c r="J2924" s="476"/>
      <c r="K2924" s="5"/>
      <c r="L2924" s="3"/>
      <c r="M2924" s="6"/>
      <c r="N2924" s="9"/>
      <c r="O2924" s="9"/>
      <c r="P2924" s="12"/>
      <c r="Q2924" s="12"/>
      <c r="R2924" s="12"/>
      <c r="S2924" s="151"/>
      <c r="T2924" s="12"/>
      <c r="U2924" s="12"/>
      <c r="V2924" s="12"/>
      <c r="W2924" s="12"/>
      <c r="X2924" s="12"/>
      <c r="Y2924" s="12"/>
      <c r="Z2924" s="12"/>
    </row>
    <row r="2925" spans="1:26" ht="15.75" customHeight="1" x14ac:dyDescent="0.3">
      <c r="A2925" s="3"/>
      <c r="B2925" s="167"/>
      <c r="C2925" s="94"/>
      <c r="D2925" s="12"/>
      <c r="E2925" s="167"/>
      <c r="F2925" s="12"/>
      <c r="G2925" s="331"/>
      <c r="H2925" s="474"/>
      <c r="I2925" s="475"/>
      <c r="J2925" s="476"/>
      <c r="K2925" s="5"/>
      <c r="L2925" s="3"/>
      <c r="M2925" s="6"/>
      <c r="N2925" s="9"/>
      <c r="O2925" s="9"/>
      <c r="P2925" s="12"/>
      <c r="Q2925" s="12"/>
      <c r="R2925" s="12"/>
      <c r="S2925" s="151"/>
      <c r="T2925" s="12"/>
      <c r="U2925" s="12"/>
      <c r="V2925" s="12"/>
      <c r="W2925" s="12"/>
      <c r="X2925" s="12"/>
      <c r="Y2925" s="12"/>
      <c r="Z2925" s="12"/>
    </row>
    <row r="2926" spans="1:26" ht="15.75" customHeight="1" x14ac:dyDescent="0.3">
      <c r="A2926" s="3"/>
      <c r="B2926" s="167"/>
      <c r="C2926" s="94"/>
      <c r="D2926" s="12"/>
      <c r="E2926" s="167"/>
      <c r="F2926" s="12"/>
      <c r="G2926" s="331"/>
      <c r="H2926" s="474"/>
      <c r="I2926" s="475"/>
      <c r="J2926" s="476"/>
      <c r="K2926" s="5"/>
      <c r="L2926" s="3"/>
      <c r="M2926" s="6"/>
      <c r="N2926" s="9"/>
      <c r="O2926" s="9"/>
      <c r="P2926" s="12"/>
      <c r="Q2926" s="12"/>
      <c r="R2926" s="12"/>
      <c r="S2926" s="151"/>
      <c r="T2926" s="12"/>
      <c r="U2926" s="12"/>
      <c r="V2926" s="12"/>
      <c r="W2926" s="12"/>
      <c r="X2926" s="12"/>
      <c r="Y2926" s="12"/>
      <c r="Z2926" s="12"/>
    </row>
    <row r="2927" spans="1:26" ht="15.75" customHeight="1" x14ac:dyDescent="0.3">
      <c r="A2927" s="3"/>
      <c r="B2927" s="167"/>
      <c r="C2927" s="94"/>
      <c r="D2927" s="12"/>
      <c r="E2927" s="167"/>
      <c r="F2927" s="12"/>
      <c r="G2927" s="331"/>
      <c r="H2927" s="474"/>
      <c r="I2927" s="475"/>
      <c r="J2927" s="476"/>
      <c r="K2927" s="5"/>
      <c r="L2927" s="3"/>
      <c r="M2927" s="6"/>
      <c r="N2927" s="9"/>
      <c r="O2927" s="9"/>
      <c r="P2927" s="12"/>
      <c r="Q2927" s="12"/>
      <c r="R2927" s="12"/>
      <c r="S2927" s="151"/>
      <c r="T2927" s="12"/>
      <c r="U2927" s="12"/>
      <c r="V2927" s="12"/>
      <c r="W2927" s="12"/>
      <c r="X2927" s="12"/>
      <c r="Y2927" s="12"/>
      <c r="Z2927" s="12"/>
    </row>
    <row r="2928" spans="1:26" ht="15.75" customHeight="1" x14ac:dyDescent="0.3">
      <c r="A2928" s="3"/>
      <c r="B2928" s="167"/>
      <c r="C2928" s="94"/>
      <c r="D2928" s="12"/>
      <c r="E2928" s="167"/>
      <c r="F2928" s="12"/>
      <c r="G2928" s="331"/>
      <c r="H2928" s="474"/>
      <c r="I2928" s="475"/>
      <c r="J2928" s="476"/>
      <c r="K2928" s="5"/>
      <c r="L2928" s="3"/>
      <c r="M2928" s="6"/>
      <c r="N2928" s="9"/>
      <c r="O2928" s="9"/>
      <c r="P2928" s="12"/>
      <c r="Q2928" s="12"/>
      <c r="R2928" s="12"/>
      <c r="S2928" s="151"/>
      <c r="T2928" s="12"/>
      <c r="U2928" s="12"/>
      <c r="V2928" s="12"/>
      <c r="W2928" s="12"/>
      <c r="X2928" s="12"/>
      <c r="Y2928" s="12"/>
      <c r="Z2928" s="12"/>
    </row>
    <row r="2929" spans="1:26" ht="15.75" customHeight="1" x14ac:dyDescent="0.3">
      <c r="A2929" s="3"/>
      <c r="B2929" s="167"/>
      <c r="C2929" s="94"/>
      <c r="D2929" s="12"/>
      <c r="E2929" s="167"/>
      <c r="F2929" s="12"/>
      <c r="G2929" s="331"/>
      <c r="H2929" s="474"/>
      <c r="I2929" s="475"/>
      <c r="J2929" s="476"/>
      <c r="K2929" s="5"/>
      <c r="L2929" s="3"/>
      <c r="M2929" s="6"/>
      <c r="N2929" s="9"/>
      <c r="O2929" s="9"/>
      <c r="P2929" s="12"/>
      <c r="Q2929" s="12"/>
      <c r="R2929" s="12"/>
      <c r="S2929" s="151"/>
      <c r="T2929" s="12"/>
      <c r="U2929" s="12"/>
      <c r="V2929" s="12"/>
      <c r="W2929" s="12"/>
      <c r="X2929" s="12"/>
      <c r="Y2929" s="12"/>
      <c r="Z2929" s="12"/>
    </row>
    <row r="2930" spans="1:26" ht="15.75" customHeight="1" x14ac:dyDescent="0.3">
      <c r="A2930" s="3"/>
      <c r="B2930" s="167"/>
      <c r="C2930" s="94"/>
      <c r="D2930" s="12"/>
      <c r="E2930" s="167"/>
      <c r="F2930" s="12"/>
      <c r="G2930" s="331"/>
      <c r="H2930" s="474"/>
      <c r="I2930" s="475"/>
      <c r="J2930" s="476"/>
      <c r="K2930" s="5"/>
      <c r="L2930" s="3"/>
      <c r="M2930" s="6"/>
      <c r="N2930" s="9"/>
      <c r="O2930" s="9"/>
      <c r="P2930" s="12"/>
      <c r="Q2930" s="12"/>
      <c r="R2930" s="12"/>
      <c r="S2930" s="151"/>
      <c r="T2930" s="12"/>
      <c r="U2930" s="12"/>
      <c r="V2930" s="12"/>
      <c r="W2930" s="12"/>
      <c r="X2930" s="12"/>
      <c r="Y2930" s="12"/>
      <c r="Z2930" s="12"/>
    </row>
    <row r="2931" spans="1:26" ht="15.75" customHeight="1" x14ac:dyDescent="0.3">
      <c r="A2931" s="3"/>
      <c r="B2931" s="167"/>
      <c r="C2931" s="94"/>
      <c r="D2931" s="12"/>
      <c r="E2931" s="167"/>
      <c r="F2931" s="12"/>
      <c r="G2931" s="331"/>
      <c r="H2931" s="474"/>
      <c r="I2931" s="475"/>
      <c r="J2931" s="476"/>
      <c r="K2931" s="5"/>
      <c r="L2931" s="3"/>
      <c r="M2931" s="6"/>
      <c r="N2931" s="9"/>
      <c r="O2931" s="9"/>
      <c r="P2931" s="12"/>
      <c r="Q2931" s="12"/>
      <c r="R2931" s="12"/>
      <c r="S2931" s="151"/>
      <c r="T2931" s="12"/>
      <c r="U2931" s="12"/>
      <c r="V2931" s="12"/>
      <c r="W2931" s="12"/>
      <c r="X2931" s="12"/>
      <c r="Y2931" s="12"/>
      <c r="Z2931" s="12"/>
    </row>
    <row r="2932" spans="1:26" ht="15.75" customHeight="1" x14ac:dyDescent="0.3">
      <c r="A2932" s="3"/>
      <c r="B2932" s="167"/>
      <c r="C2932" s="94"/>
      <c r="D2932" s="12"/>
      <c r="E2932" s="167"/>
      <c r="F2932" s="12"/>
      <c r="G2932" s="331"/>
      <c r="H2932" s="474"/>
      <c r="I2932" s="475"/>
      <c r="J2932" s="476"/>
      <c r="K2932" s="5"/>
      <c r="L2932" s="3"/>
      <c r="M2932" s="6"/>
      <c r="N2932" s="9"/>
      <c r="O2932" s="9"/>
      <c r="P2932" s="12"/>
      <c r="Q2932" s="12"/>
      <c r="R2932" s="12"/>
      <c r="S2932" s="151"/>
      <c r="T2932" s="12"/>
      <c r="U2932" s="12"/>
      <c r="V2932" s="12"/>
      <c r="W2932" s="12"/>
      <c r="X2932" s="12"/>
      <c r="Y2932" s="12"/>
      <c r="Z2932" s="12"/>
    </row>
    <row r="2933" spans="1:26" ht="15.75" customHeight="1" x14ac:dyDescent="0.3">
      <c r="A2933" s="3"/>
      <c r="B2933" s="167"/>
      <c r="C2933" s="94"/>
      <c r="D2933" s="12"/>
      <c r="E2933" s="167"/>
      <c r="F2933" s="12"/>
      <c r="G2933" s="331"/>
      <c r="H2933" s="474"/>
      <c r="I2933" s="475"/>
      <c r="J2933" s="476"/>
      <c r="K2933" s="5"/>
      <c r="L2933" s="3"/>
      <c r="M2933" s="6"/>
      <c r="N2933" s="9"/>
      <c r="O2933" s="9"/>
      <c r="P2933" s="12"/>
      <c r="Q2933" s="12"/>
      <c r="R2933" s="12"/>
      <c r="S2933" s="151"/>
      <c r="T2933" s="12"/>
      <c r="U2933" s="12"/>
      <c r="V2933" s="12"/>
      <c r="W2933" s="12"/>
      <c r="X2933" s="12"/>
      <c r="Y2933" s="12"/>
      <c r="Z2933" s="12"/>
    </row>
    <row r="2934" spans="1:26" ht="15.75" customHeight="1" x14ac:dyDescent="0.3">
      <c r="A2934" s="3"/>
      <c r="B2934" s="167"/>
      <c r="C2934" s="94"/>
      <c r="D2934" s="12"/>
      <c r="E2934" s="167"/>
      <c r="F2934" s="12"/>
      <c r="G2934" s="331"/>
      <c r="H2934" s="474"/>
      <c r="I2934" s="475"/>
      <c r="J2934" s="476"/>
      <c r="K2934" s="5"/>
      <c r="L2934" s="3"/>
      <c r="M2934" s="6"/>
      <c r="N2934" s="9"/>
      <c r="O2934" s="9"/>
      <c r="P2934" s="12"/>
      <c r="Q2934" s="12"/>
      <c r="R2934" s="12"/>
      <c r="S2934" s="151"/>
      <c r="T2934" s="12"/>
      <c r="U2934" s="12"/>
      <c r="V2934" s="12"/>
      <c r="W2934" s="12"/>
      <c r="X2934" s="12"/>
      <c r="Y2934" s="12"/>
      <c r="Z2934" s="12"/>
    </row>
    <row r="2935" spans="1:26" ht="15.75" customHeight="1" x14ac:dyDescent="0.3">
      <c r="A2935" s="3"/>
      <c r="B2935" s="167"/>
      <c r="C2935" s="94"/>
      <c r="D2935" s="12"/>
      <c r="E2935" s="167"/>
      <c r="F2935" s="12"/>
      <c r="G2935" s="331"/>
      <c r="H2935" s="474"/>
      <c r="I2935" s="475"/>
      <c r="J2935" s="476"/>
      <c r="K2935" s="5"/>
      <c r="L2935" s="3"/>
      <c r="M2935" s="6"/>
      <c r="N2935" s="9"/>
      <c r="O2935" s="9"/>
      <c r="P2935" s="12"/>
      <c r="Q2935" s="12"/>
      <c r="R2935" s="12"/>
      <c r="S2935" s="151"/>
      <c r="T2935" s="12"/>
      <c r="U2935" s="12"/>
      <c r="V2935" s="12"/>
      <c r="W2935" s="12"/>
      <c r="X2935" s="12"/>
      <c r="Y2935" s="12"/>
      <c r="Z2935" s="12"/>
    </row>
    <row r="2936" spans="1:26" ht="15.75" customHeight="1" x14ac:dyDescent="0.3">
      <c r="A2936" s="3"/>
      <c r="B2936" s="167"/>
      <c r="C2936" s="94"/>
      <c r="D2936" s="12"/>
      <c r="E2936" s="167"/>
      <c r="F2936" s="12"/>
      <c r="G2936" s="331"/>
      <c r="H2936" s="474"/>
      <c r="I2936" s="475"/>
      <c r="J2936" s="476"/>
      <c r="K2936" s="5"/>
      <c r="L2936" s="3"/>
      <c r="M2936" s="6"/>
      <c r="N2936" s="9"/>
      <c r="O2936" s="9"/>
      <c r="P2936" s="12"/>
      <c r="Q2936" s="12"/>
      <c r="R2936" s="12"/>
      <c r="S2936" s="151"/>
      <c r="T2936" s="12"/>
      <c r="U2936" s="12"/>
      <c r="V2936" s="12"/>
      <c r="W2936" s="12"/>
      <c r="X2936" s="12"/>
      <c r="Y2936" s="12"/>
      <c r="Z2936" s="12"/>
    </row>
    <row r="2937" spans="1:26" ht="15.75" customHeight="1" x14ac:dyDescent="0.3">
      <c r="A2937" s="3"/>
      <c r="B2937" s="167"/>
      <c r="C2937" s="94"/>
      <c r="D2937" s="12"/>
      <c r="E2937" s="167"/>
      <c r="F2937" s="12"/>
      <c r="G2937" s="331"/>
      <c r="H2937" s="474"/>
      <c r="I2937" s="475"/>
      <c r="J2937" s="476"/>
      <c r="K2937" s="5"/>
      <c r="L2937" s="3"/>
      <c r="M2937" s="6"/>
      <c r="N2937" s="9"/>
      <c r="O2937" s="9"/>
      <c r="P2937" s="12"/>
      <c r="Q2937" s="12"/>
      <c r="R2937" s="12"/>
      <c r="S2937" s="151"/>
      <c r="T2937" s="12"/>
      <c r="U2937" s="12"/>
      <c r="V2937" s="12"/>
      <c r="W2937" s="12"/>
      <c r="X2937" s="12"/>
      <c r="Y2937" s="12"/>
      <c r="Z2937" s="12"/>
    </row>
    <row r="2938" spans="1:26" ht="15.75" customHeight="1" x14ac:dyDescent="0.3">
      <c r="A2938" s="3"/>
      <c r="B2938" s="167"/>
      <c r="C2938" s="94"/>
      <c r="D2938" s="12"/>
      <c r="E2938" s="167"/>
      <c r="F2938" s="12"/>
      <c r="G2938" s="331"/>
      <c r="H2938" s="474"/>
      <c r="I2938" s="475"/>
      <c r="J2938" s="476"/>
      <c r="K2938" s="5"/>
      <c r="L2938" s="3"/>
      <c r="M2938" s="6"/>
      <c r="N2938" s="9"/>
      <c r="O2938" s="9"/>
      <c r="P2938" s="12"/>
      <c r="Q2938" s="12"/>
      <c r="R2938" s="12"/>
      <c r="S2938" s="151"/>
      <c r="T2938" s="12"/>
      <c r="U2938" s="12"/>
      <c r="V2938" s="12"/>
      <c r="W2938" s="12"/>
      <c r="X2938" s="12"/>
      <c r="Y2938" s="12"/>
      <c r="Z2938" s="12"/>
    </row>
    <row r="2939" spans="1:26" ht="15.75" customHeight="1" x14ac:dyDescent="0.3">
      <c r="A2939" s="3"/>
      <c r="B2939" s="167"/>
      <c r="C2939" s="94"/>
      <c r="D2939" s="12"/>
      <c r="E2939" s="167"/>
      <c r="F2939" s="12"/>
      <c r="G2939" s="331"/>
      <c r="H2939" s="474"/>
      <c r="I2939" s="475"/>
      <c r="J2939" s="476"/>
      <c r="K2939" s="5"/>
      <c r="L2939" s="3"/>
      <c r="M2939" s="6"/>
      <c r="N2939" s="9"/>
      <c r="O2939" s="9"/>
      <c r="P2939" s="12"/>
      <c r="Q2939" s="12"/>
      <c r="R2939" s="12"/>
      <c r="S2939" s="151"/>
      <c r="T2939" s="12"/>
      <c r="U2939" s="12"/>
      <c r="V2939" s="12"/>
      <c r="W2939" s="12"/>
      <c r="X2939" s="12"/>
      <c r="Y2939" s="12"/>
      <c r="Z2939" s="12"/>
    </row>
    <row r="2940" spans="1:26" ht="15.75" customHeight="1" x14ac:dyDescent="0.3">
      <c r="A2940" s="3"/>
      <c r="B2940" s="167"/>
      <c r="C2940" s="94"/>
      <c r="D2940" s="12"/>
      <c r="E2940" s="167"/>
      <c r="F2940" s="12"/>
      <c r="G2940" s="331"/>
      <c r="H2940" s="474"/>
      <c r="I2940" s="475"/>
      <c r="J2940" s="476"/>
      <c r="K2940" s="5"/>
      <c r="L2940" s="3"/>
      <c r="M2940" s="6"/>
      <c r="N2940" s="9"/>
      <c r="O2940" s="9"/>
      <c r="P2940" s="12"/>
      <c r="Q2940" s="12"/>
      <c r="R2940" s="12"/>
      <c r="S2940" s="151"/>
      <c r="T2940" s="12"/>
      <c r="U2940" s="12"/>
      <c r="V2940" s="12"/>
      <c r="W2940" s="12"/>
      <c r="X2940" s="12"/>
      <c r="Y2940" s="12"/>
      <c r="Z2940" s="12"/>
    </row>
    <row r="2941" spans="1:26" ht="15.75" customHeight="1" x14ac:dyDescent="0.3">
      <c r="A2941" s="3"/>
      <c r="B2941" s="167"/>
      <c r="C2941" s="94"/>
      <c r="D2941" s="12"/>
      <c r="E2941" s="167"/>
      <c r="F2941" s="12"/>
      <c r="G2941" s="331"/>
      <c r="H2941" s="474"/>
      <c r="I2941" s="475"/>
      <c r="J2941" s="476"/>
      <c r="K2941" s="5"/>
      <c r="L2941" s="3"/>
      <c r="M2941" s="6"/>
      <c r="N2941" s="9"/>
      <c r="O2941" s="9"/>
      <c r="P2941" s="12"/>
      <c r="Q2941" s="12"/>
      <c r="R2941" s="12"/>
      <c r="S2941" s="151"/>
      <c r="T2941" s="12"/>
      <c r="U2941" s="12"/>
      <c r="V2941" s="12"/>
      <c r="W2941" s="12"/>
      <c r="X2941" s="12"/>
      <c r="Y2941" s="12"/>
      <c r="Z2941" s="12"/>
    </row>
    <row r="2942" spans="1:26" ht="15.75" customHeight="1" x14ac:dyDescent="0.3">
      <c r="A2942" s="3"/>
      <c r="B2942" s="167"/>
      <c r="C2942" s="94"/>
      <c r="D2942" s="12"/>
      <c r="E2942" s="167"/>
      <c r="F2942" s="12"/>
      <c r="G2942" s="331"/>
      <c r="H2942" s="474"/>
      <c r="I2942" s="475"/>
      <c r="J2942" s="476"/>
      <c r="K2942" s="5"/>
      <c r="L2942" s="3"/>
      <c r="M2942" s="6"/>
      <c r="N2942" s="9"/>
      <c r="O2942" s="9"/>
      <c r="P2942" s="12"/>
      <c r="Q2942" s="12"/>
      <c r="R2942" s="12"/>
      <c r="S2942" s="151"/>
      <c r="T2942" s="12"/>
      <c r="U2942" s="12"/>
      <c r="V2942" s="12"/>
      <c r="W2942" s="12"/>
      <c r="X2942" s="12"/>
      <c r="Y2942" s="12"/>
      <c r="Z2942" s="12"/>
    </row>
    <row r="2943" spans="1:26" ht="15.75" customHeight="1" x14ac:dyDescent="0.3">
      <c r="A2943" s="3"/>
      <c r="B2943" s="167"/>
      <c r="C2943" s="94"/>
      <c r="D2943" s="12"/>
      <c r="E2943" s="167"/>
      <c r="F2943" s="12"/>
      <c r="G2943" s="331"/>
      <c r="H2943" s="474"/>
      <c r="I2943" s="475"/>
      <c r="J2943" s="476"/>
      <c r="K2943" s="5"/>
      <c r="L2943" s="3"/>
      <c r="M2943" s="6"/>
      <c r="N2943" s="9"/>
      <c r="O2943" s="9"/>
      <c r="P2943" s="12"/>
      <c r="Q2943" s="12"/>
      <c r="R2943" s="12"/>
      <c r="S2943" s="151"/>
      <c r="T2943" s="12"/>
      <c r="U2943" s="12"/>
      <c r="V2943" s="12"/>
      <c r="W2943" s="12"/>
      <c r="X2943" s="12"/>
      <c r="Y2943" s="12"/>
      <c r="Z2943" s="12"/>
    </row>
    <row r="2944" spans="1:26" ht="15.75" customHeight="1" x14ac:dyDescent="0.3">
      <c r="A2944" s="3"/>
      <c r="B2944" s="167"/>
      <c r="C2944" s="94"/>
      <c r="D2944" s="12"/>
      <c r="E2944" s="167"/>
      <c r="F2944" s="12"/>
      <c r="G2944" s="331"/>
      <c r="H2944" s="474"/>
      <c r="I2944" s="475"/>
      <c r="J2944" s="476"/>
      <c r="K2944" s="5"/>
      <c r="L2944" s="3"/>
      <c r="M2944" s="6"/>
      <c r="N2944" s="9"/>
      <c r="O2944" s="9"/>
      <c r="P2944" s="12"/>
      <c r="Q2944" s="12"/>
      <c r="R2944" s="12"/>
      <c r="S2944" s="151"/>
      <c r="T2944" s="12"/>
      <c r="U2944" s="12"/>
      <c r="V2944" s="12"/>
      <c r="W2944" s="12"/>
      <c r="X2944" s="12"/>
      <c r="Y2944" s="12"/>
      <c r="Z2944" s="12"/>
    </row>
    <row r="2945" spans="1:26" ht="15.75" customHeight="1" x14ac:dyDescent="0.3">
      <c r="A2945" s="3"/>
      <c r="B2945" s="167"/>
      <c r="C2945" s="94"/>
      <c r="D2945" s="12"/>
      <c r="E2945" s="167"/>
      <c r="F2945" s="12"/>
      <c r="G2945" s="331"/>
      <c r="H2945" s="474"/>
      <c r="I2945" s="475"/>
      <c r="J2945" s="476"/>
      <c r="K2945" s="5"/>
      <c r="L2945" s="3"/>
      <c r="M2945" s="6"/>
      <c r="N2945" s="9"/>
      <c r="O2945" s="9"/>
      <c r="P2945" s="12"/>
      <c r="Q2945" s="12"/>
      <c r="R2945" s="12"/>
      <c r="S2945" s="151"/>
      <c r="T2945" s="12"/>
      <c r="U2945" s="12"/>
      <c r="V2945" s="12"/>
      <c r="W2945" s="12"/>
      <c r="X2945" s="12"/>
      <c r="Y2945" s="12"/>
      <c r="Z2945" s="12"/>
    </row>
    <row r="2946" spans="1:26" ht="15.75" customHeight="1" x14ac:dyDescent="0.3">
      <c r="A2946" s="3"/>
      <c r="B2946" s="167"/>
      <c r="C2946" s="94"/>
      <c r="D2946" s="12"/>
      <c r="E2946" s="167"/>
      <c r="F2946" s="12"/>
      <c r="G2946" s="331"/>
      <c r="H2946" s="474"/>
      <c r="I2946" s="475"/>
      <c r="J2946" s="476"/>
      <c r="K2946" s="5"/>
      <c r="L2946" s="3"/>
      <c r="M2946" s="6"/>
      <c r="N2946" s="9"/>
      <c r="O2946" s="9"/>
      <c r="P2946" s="12"/>
      <c r="Q2946" s="12"/>
      <c r="R2946" s="12"/>
      <c r="S2946" s="151"/>
      <c r="T2946" s="12"/>
      <c r="U2946" s="12"/>
      <c r="V2946" s="12"/>
      <c r="W2946" s="12"/>
      <c r="X2946" s="12"/>
      <c r="Y2946" s="12"/>
      <c r="Z2946" s="12"/>
    </row>
    <row r="2947" spans="1:26" ht="15.75" customHeight="1" x14ac:dyDescent="0.3">
      <c r="A2947" s="3"/>
      <c r="B2947" s="167"/>
      <c r="C2947" s="94"/>
      <c r="D2947" s="12"/>
      <c r="E2947" s="167"/>
      <c r="F2947" s="12"/>
      <c r="G2947" s="331"/>
      <c r="H2947" s="474"/>
      <c r="I2947" s="475"/>
      <c r="J2947" s="476"/>
      <c r="K2947" s="5"/>
      <c r="L2947" s="3"/>
      <c r="M2947" s="6"/>
      <c r="N2947" s="9"/>
      <c r="O2947" s="9"/>
      <c r="P2947" s="12"/>
      <c r="Q2947" s="12"/>
      <c r="R2947" s="12"/>
      <c r="S2947" s="151"/>
      <c r="T2947" s="12"/>
      <c r="U2947" s="12"/>
      <c r="V2947" s="12"/>
      <c r="W2947" s="12"/>
      <c r="X2947" s="12"/>
      <c r="Y2947" s="12"/>
      <c r="Z2947" s="12"/>
    </row>
    <row r="2948" spans="1:26" ht="15.75" customHeight="1" x14ac:dyDescent="0.3">
      <c r="A2948" s="3"/>
      <c r="B2948" s="167"/>
      <c r="C2948" s="94"/>
      <c r="D2948" s="12"/>
      <c r="E2948" s="167"/>
      <c r="F2948" s="12"/>
      <c r="G2948" s="331"/>
      <c r="H2948" s="474"/>
      <c r="I2948" s="475"/>
      <c r="J2948" s="476"/>
      <c r="K2948" s="5"/>
      <c r="L2948" s="3"/>
      <c r="M2948" s="6"/>
      <c r="N2948" s="9"/>
      <c r="O2948" s="9"/>
      <c r="P2948" s="12"/>
      <c r="Q2948" s="12"/>
      <c r="R2948" s="12"/>
      <c r="S2948" s="151"/>
      <c r="T2948" s="12"/>
      <c r="U2948" s="12"/>
      <c r="V2948" s="12"/>
      <c r="W2948" s="12"/>
      <c r="X2948" s="12"/>
      <c r="Y2948" s="12"/>
      <c r="Z2948" s="12"/>
    </row>
    <row r="2949" spans="1:26" ht="15.75" customHeight="1" x14ac:dyDescent="0.3">
      <c r="A2949" s="3"/>
      <c r="B2949" s="167"/>
      <c r="C2949" s="94"/>
      <c r="D2949" s="12"/>
      <c r="E2949" s="167"/>
      <c r="F2949" s="12"/>
      <c r="G2949" s="331"/>
      <c r="H2949" s="474"/>
      <c r="I2949" s="475"/>
      <c r="J2949" s="476"/>
      <c r="K2949" s="5"/>
      <c r="L2949" s="3"/>
      <c r="M2949" s="6"/>
      <c r="N2949" s="9"/>
      <c r="O2949" s="9"/>
      <c r="P2949" s="12"/>
      <c r="Q2949" s="12"/>
      <c r="R2949" s="12"/>
      <c r="S2949" s="151"/>
      <c r="T2949" s="12"/>
      <c r="U2949" s="12"/>
      <c r="V2949" s="12"/>
      <c r="W2949" s="12"/>
      <c r="X2949" s="12"/>
      <c r="Y2949" s="12"/>
      <c r="Z2949" s="12"/>
    </row>
    <row r="2950" spans="1:26" ht="15.75" customHeight="1" x14ac:dyDescent="0.3">
      <c r="A2950" s="3"/>
      <c r="B2950" s="167"/>
      <c r="C2950" s="94"/>
      <c r="D2950" s="12"/>
      <c r="E2950" s="167"/>
      <c r="F2950" s="12"/>
      <c r="G2950" s="331"/>
      <c r="H2950" s="474"/>
      <c r="I2950" s="475"/>
      <c r="J2950" s="476"/>
      <c r="K2950" s="5"/>
      <c r="L2950" s="3"/>
      <c r="M2950" s="6"/>
      <c r="N2950" s="9"/>
      <c r="O2950" s="9"/>
      <c r="P2950" s="12"/>
      <c r="Q2950" s="12"/>
      <c r="R2950" s="12"/>
      <c r="S2950" s="151"/>
      <c r="T2950" s="12"/>
      <c r="U2950" s="12"/>
      <c r="V2950" s="12"/>
      <c r="W2950" s="12"/>
      <c r="X2950" s="12"/>
      <c r="Y2950" s="12"/>
      <c r="Z2950" s="12"/>
    </row>
    <row r="2951" spans="1:26" ht="15.75" customHeight="1" x14ac:dyDescent="0.3">
      <c r="A2951" s="3"/>
      <c r="B2951" s="167"/>
      <c r="C2951" s="94"/>
      <c r="D2951" s="12"/>
      <c r="E2951" s="167"/>
      <c r="F2951" s="12"/>
      <c r="G2951" s="331"/>
      <c r="H2951" s="474"/>
      <c r="I2951" s="475"/>
      <c r="J2951" s="476"/>
      <c r="K2951" s="5"/>
      <c r="L2951" s="3"/>
      <c r="M2951" s="6"/>
      <c r="N2951" s="9"/>
      <c r="O2951" s="9"/>
      <c r="P2951" s="12"/>
      <c r="Q2951" s="12"/>
      <c r="R2951" s="12"/>
      <c r="S2951" s="151"/>
      <c r="T2951" s="12"/>
      <c r="U2951" s="12"/>
      <c r="V2951" s="12"/>
      <c r="W2951" s="12"/>
      <c r="X2951" s="12"/>
      <c r="Y2951" s="12"/>
      <c r="Z2951" s="12"/>
    </row>
    <row r="2952" spans="1:26" ht="15.75" customHeight="1" x14ac:dyDescent="0.3">
      <c r="A2952" s="3"/>
      <c r="B2952" s="167"/>
      <c r="C2952" s="94"/>
      <c r="D2952" s="12"/>
      <c r="E2952" s="167"/>
      <c r="F2952" s="12"/>
      <c r="G2952" s="331"/>
      <c r="H2952" s="474"/>
      <c r="I2952" s="475"/>
      <c r="J2952" s="476"/>
      <c r="K2952" s="5"/>
      <c r="L2952" s="3"/>
      <c r="M2952" s="6"/>
      <c r="N2952" s="9"/>
      <c r="O2952" s="9"/>
      <c r="P2952" s="12"/>
      <c r="Q2952" s="12"/>
      <c r="R2952" s="12"/>
      <c r="S2952" s="151"/>
      <c r="T2952" s="12"/>
      <c r="U2952" s="12"/>
      <c r="V2952" s="12"/>
      <c r="W2952" s="12"/>
      <c r="X2952" s="12"/>
      <c r="Y2952" s="12"/>
      <c r="Z2952" s="12"/>
    </row>
    <row r="2953" spans="1:26" ht="15.75" customHeight="1" x14ac:dyDescent="0.3">
      <c r="A2953" s="3"/>
      <c r="B2953" s="167"/>
      <c r="C2953" s="94"/>
      <c r="D2953" s="12"/>
      <c r="E2953" s="167"/>
      <c r="F2953" s="12"/>
      <c r="G2953" s="331"/>
      <c r="H2953" s="474"/>
      <c r="I2953" s="475"/>
      <c r="J2953" s="476"/>
      <c r="K2953" s="5"/>
      <c r="L2953" s="3"/>
      <c r="M2953" s="6"/>
      <c r="N2953" s="9"/>
      <c r="O2953" s="9"/>
      <c r="P2953" s="12"/>
      <c r="Q2953" s="12"/>
      <c r="R2953" s="12"/>
      <c r="S2953" s="151"/>
      <c r="T2953" s="12"/>
      <c r="U2953" s="12"/>
      <c r="V2953" s="12"/>
      <c r="W2953" s="12"/>
      <c r="X2953" s="12"/>
      <c r="Y2953" s="12"/>
      <c r="Z2953" s="12"/>
    </row>
    <row r="2954" spans="1:26" ht="15.75" customHeight="1" x14ac:dyDescent="0.3">
      <c r="A2954" s="3"/>
      <c r="B2954" s="167"/>
      <c r="C2954" s="94"/>
      <c r="D2954" s="12"/>
      <c r="E2954" s="167"/>
      <c r="F2954" s="12"/>
      <c r="G2954" s="331"/>
      <c r="H2954" s="474"/>
      <c r="I2954" s="475"/>
      <c r="J2954" s="476"/>
      <c r="K2954" s="5"/>
      <c r="L2954" s="3"/>
      <c r="M2954" s="6"/>
      <c r="N2954" s="9"/>
      <c r="O2954" s="9"/>
      <c r="P2954" s="12"/>
      <c r="Q2954" s="12"/>
      <c r="R2954" s="12"/>
      <c r="S2954" s="151"/>
      <c r="T2954" s="12"/>
      <c r="U2954" s="12"/>
      <c r="V2954" s="12"/>
      <c r="W2954" s="12"/>
      <c r="X2954" s="12"/>
      <c r="Y2954" s="12"/>
      <c r="Z2954" s="12"/>
    </row>
    <row r="2955" spans="1:26" ht="15.75" customHeight="1" x14ac:dyDescent="0.3">
      <c r="A2955" s="3"/>
      <c r="B2955" s="167"/>
      <c r="C2955" s="94"/>
      <c r="D2955" s="12"/>
      <c r="E2955" s="167"/>
      <c r="F2955" s="12"/>
      <c r="G2955" s="331"/>
      <c r="H2955" s="474"/>
      <c r="I2955" s="475"/>
      <c r="J2955" s="476"/>
      <c r="K2955" s="5"/>
      <c r="L2955" s="3"/>
      <c r="M2955" s="6"/>
      <c r="N2955" s="9"/>
      <c r="O2955" s="9"/>
      <c r="P2955" s="12"/>
      <c r="Q2955" s="12"/>
      <c r="R2955" s="12"/>
      <c r="S2955" s="151"/>
      <c r="T2955" s="12"/>
      <c r="U2955" s="12"/>
      <c r="V2955" s="12"/>
      <c r="W2955" s="12"/>
      <c r="X2955" s="12"/>
      <c r="Y2955" s="12"/>
      <c r="Z2955" s="12"/>
    </row>
    <row r="2956" spans="1:26" ht="15.75" customHeight="1" x14ac:dyDescent="0.3">
      <c r="A2956" s="3"/>
      <c r="B2956" s="167"/>
      <c r="C2956" s="94"/>
      <c r="D2956" s="12"/>
      <c r="E2956" s="167"/>
      <c r="F2956" s="12"/>
      <c r="G2956" s="331"/>
      <c r="H2956" s="474"/>
      <c r="I2956" s="475"/>
      <c r="J2956" s="476"/>
      <c r="K2956" s="5"/>
      <c r="L2956" s="3"/>
      <c r="M2956" s="6"/>
      <c r="N2956" s="9"/>
      <c r="O2956" s="9"/>
      <c r="P2956" s="12"/>
      <c r="Q2956" s="12"/>
      <c r="R2956" s="12"/>
      <c r="S2956" s="151"/>
      <c r="T2956" s="12"/>
      <c r="U2956" s="12"/>
      <c r="V2956" s="12"/>
      <c r="W2956" s="12"/>
      <c r="X2956" s="12"/>
      <c r="Y2956" s="12"/>
      <c r="Z2956" s="12"/>
    </row>
    <row r="2957" spans="1:26" ht="15.75" customHeight="1" x14ac:dyDescent="0.3">
      <c r="A2957" s="3"/>
      <c r="B2957" s="167"/>
      <c r="C2957" s="94"/>
      <c r="D2957" s="12"/>
      <c r="E2957" s="167"/>
      <c r="F2957" s="12"/>
      <c r="G2957" s="331"/>
      <c r="H2957" s="474"/>
      <c r="I2957" s="475"/>
      <c r="J2957" s="476"/>
      <c r="K2957" s="5"/>
      <c r="L2957" s="3"/>
      <c r="M2957" s="6"/>
      <c r="N2957" s="9"/>
      <c r="O2957" s="9"/>
      <c r="P2957" s="12"/>
      <c r="Q2957" s="12"/>
      <c r="R2957" s="12"/>
      <c r="S2957" s="151"/>
      <c r="T2957" s="12"/>
      <c r="U2957" s="12"/>
      <c r="V2957" s="12"/>
      <c r="W2957" s="12"/>
      <c r="X2957" s="12"/>
      <c r="Y2957" s="12"/>
      <c r="Z2957" s="12"/>
    </row>
    <row r="2958" spans="1:26" ht="15.75" customHeight="1" x14ac:dyDescent="0.3">
      <c r="A2958" s="3"/>
      <c r="B2958" s="167"/>
      <c r="C2958" s="94"/>
      <c r="D2958" s="12"/>
      <c r="E2958" s="167"/>
      <c r="F2958" s="12"/>
      <c r="G2958" s="331"/>
      <c r="H2958" s="474"/>
      <c r="I2958" s="475"/>
      <c r="J2958" s="476"/>
      <c r="K2958" s="5"/>
      <c r="L2958" s="3"/>
      <c r="M2958" s="6"/>
      <c r="N2958" s="9"/>
      <c r="O2958" s="9"/>
      <c r="P2958" s="12"/>
      <c r="Q2958" s="12"/>
      <c r="R2958" s="12"/>
      <c r="S2958" s="151"/>
      <c r="T2958" s="12"/>
      <c r="U2958" s="12"/>
      <c r="V2958" s="12"/>
      <c r="W2958" s="12"/>
      <c r="X2958" s="12"/>
      <c r="Y2958" s="12"/>
      <c r="Z2958" s="12"/>
    </row>
    <row r="2959" spans="1:26" ht="15.75" customHeight="1" x14ac:dyDescent="0.3">
      <c r="A2959" s="3"/>
      <c r="B2959" s="167"/>
      <c r="C2959" s="94"/>
      <c r="D2959" s="12"/>
      <c r="E2959" s="167"/>
      <c r="F2959" s="12"/>
      <c r="G2959" s="331"/>
      <c r="H2959" s="474"/>
      <c r="I2959" s="475"/>
      <c r="J2959" s="476"/>
      <c r="K2959" s="5"/>
      <c r="L2959" s="3"/>
      <c r="M2959" s="6"/>
      <c r="N2959" s="9"/>
      <c r="O2959" s="9"/>
      <c r="P2959" s="12"/>
      <c r="Q2959" s="12"/>
      <c r="R2959" s="12"/>
      <c r="S2959" s="151"/>
      <c r="T2959" s="12"/>
      <c r="U2959" s="12"/>
      <c r="V2959" s="12"/>
      <c r="W2959" s="12"/>
      <c r="X2959" s="12"/>
      <c r="Y2959" s="12"/>
      <c r="Z2959" s="12"/>
    </row>
    <row r="2960" spans="1:26" ht="15.75" customHeight="1" x14ac:dyDescent="0.3">
      <c r="A2960" s="3"/>
      <c r="B2960" s="167"/>
      <c r="C2960" s="94"/>
      <c r="D2960" s="12"/>
      <c r="E2960" s="167"/>
      <c r="F2960" s="12"/>
      <c r="G2960" s="331"/>
      <c r="H2960" s="474"/>
      <c r="I2960" s="475"/>
      <c r="J2960" s="476"/>
      <c r="K2960" s="5"/>
      <c r="L2960" s="3"/>
      <c r="M2960" s="6"/>
      <c r="N2960" s="9"/>
      <c r="O2960" s="9"/>
      <c r="P2960" s="12"/>
      <c r="Q2960" s="12"/>
      <c r="R2960" s="12"/>
      <c r="S2960" s="151"/>
      <c r="T2960" s="12"/>
      <c r="U2960" s="12"/>
      <c r="V2960" s="12"/>
      <c r="W2960" s="12"/>
      <c r="X2960" s="12"/>
      <c r="Y2960" s="12"/>
      <c r="Z2960" s="12"/>
    </row>
    <row r="2961" spans="1:26" ht="15.75" customHeight="1" x14ac:dyDescent="0.3">
      <c r="A2961" s="3"/>
      <c r="B2961" s="167"/>
      <c r="C2961" s="94"/>
      <c r="D2961" s="12"/>
      <c r="E2961" s="167"/>
      <c r="F2961" s="12"/>
      <c r="G2961" s="331"/>
      <c r="H2961" s="474"/>
      <c r="I2961" s="475"/>
      <c r="J2961" s="476"/>
      <c r="K2961" s="5"/>
      <c r="L2961" s="3"/>
      <c r="M2961" s="6"/>
      <c r="N2961" s="9"/>
      <c r="O2961" s="9"/>
      <c r="P2961" s="12"/>
      <c r="Q2961" s="12"/>
      <c r="R2961" s="12"/>
      <c r="S2961" s="151"/>
      <c r="T2961" s="12"/>
      <c r="U2961" s="12"/>
      <c r="V2961" s="12"/>
      <c r="W2961" s="12"/>
      <c r="X2961" s="12"/>
      <c r="Y2961" s="12"/>
      <c r="Z2961" s="12"/>
    </row>
    <row r="2962" spans="1:26" ht="15.75" customHeight="1" x14ac:dyDescent="0.3">
      <c r="A2962" s="3"/>
      <c r="B2962" s="167"/>
      <c r="C2962" s="94"/>
      <c r="D2962" s="12"/>
      <c r="E2962" s="167"/>
      <c r="F2962" s="12"/>
      <c r="G2962" s="331"/>
      <c r="H2962" s="474"/>
      <c r="I2962" s="475"/>
      <c r="J2962" s="476"/>
      <c r="K2962" s="5"/>
      <c r="L2962" s="3"/>
      <c r="M2962" s="6"/>
      <c r="N2962" s="9"/>
      <c r="O2962" s="9"/>
      <c r="P2962" s="12"/>
      <c r="Q2962" s="12"/>
      <c r="R2962" s="12"/>
      <c r="S2962" s="151"/>
      <c r="T2962" s="12"/>
      <c r="U2962" s="12"/>
      <c r="V2962" s="12"/>
      <c r="W2962" s="12"/>
      <c r="X2962" s="12"/>
      <c r="Y2962" s="12"/>
      <c r="Z2962" s="12"/>
    </row>
    <row r="2963" spans="1:26" ht="15.75" customHeight="1" x14ac:dyDescent="0.3">
      <c r="A2963" s="3"/>
      <c r="B2963" s="167"/>
      <c r="C2963" s="94"/>
      <c r="D2963" s="12"/>
      <c r="E2963" s="167"/>
      <c r="F2963" s="12"/>
      <c r="G2963" s="331"/>
      <c r="H2963" s="474"/>
      <c r="I2963" s="475"/>
      <c r="J2963" s="476"/>
      <c r="K2963" s="5"/>
      <c r="L2963" s="3"/>
      <c r="M2963" s="6"/>
      <c r="N2963" s="9"/>
      <c r="O2963" s="9"/>
      <c r="P2963" s="12"/>
      <c r="Q2963" s="12"/>
      <c r="R2963" s="12"/>
      <c r="S2963" s="151"/>
      <c r="T2963" s="12"/>
      <c r="U2963" s="12"/>
      <c r="V2963" s="12"/>
      <c r="W2963" s="12"/>
      <c r="X2963" s="12"/>
      <c r="Y2963" s="12"/>
      <c r="Z2963" s="12"/>
    </row>
    <row r="2964" spans="1:26" ht="15.75" customHeight="1" x14ac:dyDescent="0.3">
      <c r="A2964" s="3"/>
      <c r="B2964" s="167"/>
      <c r="C2964" s="94"/>
      <c r="D2964" s="12"/>
      <c r="E2964" s="167"/>
      <c r="F2964" s="12"/>
      <c r="G2964" s="331"/>
      <c r="H2964" s="474"/>
      <c r="I2964" s="475"/>
      <c r="J2964" s="476"/>
      <c r="K2964" s="5"/>
      <c r="L2964" s="3"/>
      <c r="M2964" s="6"/>
      <c r="N2964" s="9"/>
      <c r="O2964" s="9"/>
      <c r="P2964" s="12"/>
      <c r="Q2964" s="12"/>
      <c r="R2964" s="12"/>
      <c r="S2964" s="151"/>
      <c r="T2964" s="12"/>
      <c r="U2964" s="12"/>
      <c r="V2964" s="12"/>
      <c r="W2964" s="12"/>
      <c r="X2964" s="12"/>
      <c r="Y2964" s="12"/>
      <c r="Z2964" s="12"/>
    </row>
    <row r="2965" spans="1:26" ht="15.75" customHeight="1" x14ac:dyDescent="0.3">
      <c r="A2965" s="3"/>
      <c r="B2965" s="167"/>
      <c r="C2965" s="94"/>
      <c r="D2965" s="12"/>
      <c r="E2965" s="167"/>
      <c r="F2965" s="12"/>
      <c r="G2965" s="331"/>
      <c r="H2965" s="474"/>
      <c r="I2965" s="475"/>
      <c r="J2965" s="476"/>
      <c r="K2965" s="5"/>
      <c r="L2965" s="3"/>
      <c r="M2965" s="6"/>
      <c r="N2965" s="9"/>
      <c r="O2965" s="9"/>
      <c r="P2965" s="12"/>
      <c r="Q2965" s="12"/>
      <c r="R2965" s="12"/>
      <c r="S2965" s="151"/>
      <c r="T2965" s="12"/>
      <c r="U2965" s="12"/>
      <c r="V2965" s="12"/>
      <c r="W2965" s="12"/>
      <c r="X2965" s="12"/>
      <c r="Y2965" s="12"/>
      <c r="Z2965" s="12"/>
    </row>
    <row r="2966" spans="1:26" ht="15.75" customHeight="1" x14ac:dyDescent="0.3">
      <c r="A2966" s="3"/>
      <c r="B2966" s="167"/>
      <c r="C2966" s="94"/>
      <c r="D2966" s="12"/>
      <c r="E2966" s="167"/>
      <c r="F2966" s="12"/>
      <c r="G2966" s="331"/>
      <c r="H2966" s="474"/>
      <c r="I2966" s="475"/>
      <c r="J2966" s="476"/>
      <c r="K2966" s="5"/>
      <c r="L2966" s="3"/>
      <c r="M2966" s="6"/>
      <c r="N2966" s="9"/>
      <c r="O2966" s="9"/>
      <c r="P2966" s="12"/>
      <c r="Q2966" s="12"/>
      <c r="R2966" s="12"/>
      <c r="S2966" s="151"/>
      <c r="T2966" s="12"/>
      <c r="U2966" s="12"/>
      <c r="V2966" s="12"/>
      <c r="W2966" s="12"/>
      <c r="X2966" s="12"/>
      <c r="Y2966" s="12"/>
      <c r="Z2966" s="12"/>
    </row>
    <row r="2967" spans="1:26" ht="15.75" customHeight="1" x14ac:dyDescent="0.3">
      <c r="A2967" s="3"/>
      <c r="B2967" s="167"/>
      <c r="C2967" s="94"/>
      <c r="D2967" s="12"/>
      <c r="E2967" s="167"/>
      <c r="F2967" s="12"/>
      <c r="G2967" s="331"/>
      <c r="H2967" s="474"/>
      <c r="I2967" s="475"/>
      <c r="J2967" s="476"/>
      <c r="K2967" s="5"/>
      <c r="L2967" s="3"/>
      <c r="M2967" s="6"/>
      <c r="N2967" s="9"/>
      <c r="O2967" s="9"/>
      <c r="P2967" s="12"/>
      <c r="Q2967" s="12"/>
      <c r="R2967" s="12"/>
      <c r="S2967" s="151"/>
      <c r="T2967" s="12"/>
      <c r="U2967" s="12"/>
      <c r="V2967" s="12"/>
      <c r="W2967" s="12"/>
      <c r="X2967" s="12"/>
      <c r="Y2967" s="12"/>
      <c r="Z2967" s="12"/>
    </row>
    <row r="2968" spans="1:26" ht="15.75" customHeight="1" x14ac:dyDescent="0.3">
      <c r="A2968" s="3"/>
      <c r="B2968" s="167"/>
      <c r="C2968" s="94"/>
      <c r="D2968" s="12"/>
      <c r="E2968" s="167"/>
      <c r="F2968" s="12"/>
      <c r="G2968" s="331"/>
      <c r="H2968" s="474"/>
      <c r="I2968" s="475"/>
      <c r="J2968" s="476"/>
      <c r="K2968" s="5"/>
      <c r="L2968" s="3"/>
      <c r="M2968" s="6"/>
      <c r="N2968" s="9"/>
      <c r="O2968" s="9"/>
      <c r="P2968" s="12"/>
      <c r="Q2968" s="12"/>
      <c r="R2968" s="12"/>
      <c r="S2968" s="151"/>
      <c r="T2968" s="12"/>
      <c r="U2968" s="12"/>
      <c r="V2968" s="12"/>
      <c r="W2968" s="12"/>
      <c r="X2968" s="12"/>
      <c r="Y2968" s="12"/>
      <c r="Z2968" s="12"/>
    </row>
    <row r="2969" spans="1:26" ht="15.75" customHeight="1" x14ac:dyDescent="0.3">
      <c r="A2969" s="3"/>
      <c r="B2969" s="167"/>
      <c r="C2969" s="94"/>
      <c r="D2969" s="12"/>
      <c r="E2969" s="167"/>
      <c r="F2969" s="12"/>
      <c r="G2969" s="331"/>
      <c r="H2969" s="474"/>
      <c r="I2969" s="475"/>
      <c r="J2969" s="476"/>
      <c r="K2969" s="5"/>
      <c r="L2969" s="3"/>
      <c r="M2969" s="6"/>
      <c r="N2969" s="9"/>
      <c r="O2969" s="9"/>
      <c r="P2969" s="12"/>
      <c r="Q2969" s="12"/>
      <c r="R2969" s="12"/>
      <c r="S2969" s="151"/>
      <c r="T2969" s="12"/>
      <c r="U2969" s="12"/>
      <c r="V2969" s="12"/>
      <c r="W2969" s="12"/>
      <c r="X2969" s="12"/>
      <c r="Y2969" s="12"/>
      <c r="Z2969" s="12"/>
    </row>
    <row r="2970" spans="1:26" ht="15.75" customHeight="1" x14ac:dyDescent="0.3">
      <c r="A2970" s="3"/>
      <c r="B2970" s="167"/>
      <c r="C2970" s="94"/>
      <c r="D2970" s="12"/>
      <c r="E2970" s="167"/>
      <c r="F2970" s="12"/>
      <c r="G2970" s="331"/>
      <c r="H2970" s="474"/>
      <c r="I2970" s="475"/>
      <c r="J2970" s="476"/>
      <c r="K2970" s="5"/>
      <c r="L2970" s="3"/>
      <c r="M2970" s="6"/>
      <c r="N2970" s="9"/>
      <c r="O2970" s="9"/>
      <c r="P2970" s="12"/>
      <c r="Q2970" s="12"/>
      <c r="R2970" s="12"/>
      <c r="S2970" s="151"/>
      <c r="T2970" s="12"/>
      <c r="U2970" s="12"/>
      <c r="V2970" s="12"/>
      <c r="W2970" s="12"/>
      <c r="X2970" s="12"/>
      <c r="Y2970" s="12"/>
      <c r="Z2970" s="12"/>
    </row>
    <row r="2971" spans="1:26" ht="15.75" customHeight="1" x14ac:dyDescent="0.3">
      <c r="A2971" s="3"/>
      <c r="B2971" s="167"/>
      <c r="C2971" s="94"/>
      <c r="D2971" s="12"/>
      <c r="E2971" s="167"/>
      <c r="F2971" s="12"/>
      <c r="G2971" s="331"/>
      <c r="H2971" s="474"/>
      <c r="I2971" s="475"/>
      <c r="J2971" s="476"/>
      <c r="K2971" s="5"/>
      <c r="L2971" s="3"/>
      <c r="M2971" s="6"/>
      <c r="N2971" s="9"/>
      <c r="O2971" s="9"/>
      <c r="P2971" s="12"/>
      <c r="Q2971" s="12"/>
      <c r="R2971" s="12"/>
      <c r="S2971" s="151"/>
      <c r="T2971" s="12"/>
      <c r="U2971" s="12"/>
      <c r="V2971" s="12"/>
      <c r="W2971" s="12"/>
      <c r="X2971" s="12"/>
      <c r="Y2971" s="12"/>
      <c r="Z2971" s="12"/>
    </row>
    <row r="2972" spans="1:26" ht="15.75" customHeight="1" x14ac:dyDescent="0.3">
      <c r="A2972" s="3"/>
      <c r="B2972" s="167"/>
      <c r="C2972" s="94"/>
      <c r="D2972" s="12"/>
      <c r="E2972" s="167"/>
      <c r="F2972" s="12"/>
      <c r="G2972" s="331"/>
      <c r="H2972" s="474"/>
      <c r="I2972" s="475"/>
      <c r="J2972" s="476"/>
      <c r="K2972" s="5"/>
      <c r="L2972" s="3"/>
      <c r="M2972" s="6"/>
      <c r="N2972" s="9"/>
      <c r="O2972" s="9"/>
      <c r="P2972" s="12"/>
      <c r="Q2972" s="12"/>
      <c r="R2972" s="12"/>
      <c r="S2972" s="151"/>
      <c r="T2972" s="12"/>
      <c r="U2972" s="12"/>
      <c r="V2972" s="12"/>
      <c r="W2972" s="12"/>
      <c r="X2972" s="12"/>
      <c r="Y2972" s="12"/>
      <c r="Z2972" s="12"/>
    </row>
    <row r="2973" spans="1:26" ht="15.75" customHeight="1" x14ac:dyDescent="0.3">
      <c r="A2973" s="3"/>
      <c r="B2973" s="167"/>
      <c r="C2973" s="94"/>
      <c r="D2973" s="12"/>
      <c r="E2973" s="167"/>
      <c r="F2973" s="12"/>
      <c r="G2973" s="331"/>
      <c r="H2973" s="474"/>
      <c r="I2973" s="475"/>
      <c r="J2973" s="476"/>
      <c r="K2973" s="5"/>
      <c r="L2973" s="3"/>
      <c r="M2973" s="6"/>
      <c r="N2973" s="9"/>
      <c r="O2973" s="9"/>
      <c r="P2973" s="12"/>
      <c r="Q2973" s="12"/>
      <c r="R2973" s="12"/>
      <c r="S2973" s="151"/>
      <c r="T2973" s="12"/>
      <c r="U2973" s="12"/>
      <c r="V2973" s="12"/>
      <c r="W2973" s="12"/>
      <c r="X2973" s="12"/>
      <c r="Y2973" s="12"/>
      <c r="Z2973" s="12"/>
    </row>
    <row r="2974" spans="1:26" ht="15.75" customHeight="1" x14ac:dyDescent="0.3">
      <c r="A2974" s="3"/>
      <c r="B2974" s="167"/>
      <c r="C2974" s="94"/>
      <c r="D2974" s="12"/>
      <c r="E2974" s="167"/>
      <c r="F2974" s="12"/>
      <c r="G2974" s="331"/>
      <c r="H2974" s="474"/>
      <c r="I2974" s="475"/>
      <c r="J2974" s="476"/>
      <c r="K2974" s="5"/>
      <c r="L2974" s="3"/>
      <c r="M2974" s="6"/>
      <c r="N2974" s="9"/>
      <c r="O2974" s="9"/>
      <c r="P2974" s="12"/>
      <c r="Q2974" s="12"/>
      <c r="R2974" s="12"/>
      <c r="S2974" s="151"/>
      <c r="T2974" s="12"/>
      <c r="U2974" s="12"/>
      <c r="V2974" s="12"/>
      <c r="W2974" s="12"/>
      <c r="X2974" s="12"/>
      <c r="Y2974" s="12"/>
      <c r="Z2974" s="12"/>
    </row>
    <row r="2975" spans="1:26" ht="15.75" customHeight="1" x14ac:dyDescent="0.3">
      <c r="A2975" s="3"/>
      <c r="B2975" s="167"/>
      <c r="C2975" s="94"/>
      <c r="D2975" s="12"/>
      <c r="E2975" s="167"/>
      <c r="F2975" s="12"/>
      <c r="G2975" s="331"/>
      <c r="H2975" s="474"/>
      <c r="I2975" s="475"/>
      <c r="J2975" s="476"/>
      <c r="K2975" s="5"/>
      <c r="L2975" s="3"/>
      <c r="M2975" s="6"/>
      <c r="N2975" s="9"/>
      <c r="O2975" s="9"/>
      <c r="P2975" s="12"/>
      <c r="Q2975" s="12"/>
      <c r="R2975" s="12"/>
      <c r="S2975" s="151"/>
      <c r="T2975" s="12"/>
      <c r="U2975" s="12"/>
      <c r="V2975" s="12"/>
      <c r="W2975" s="12"/>
      <c r="X2975" s="12"/>
      <c r="Y2975" s="12"/>
      <c r="Z2975" s="12"/>
    </row>
    <row r="2976" spans="1:26" ht="15.75" customHeight="1" x14ac:dyDescent="0.3">
      <c r="A2976" s="3"/>
      <c r="B2976" s="167"/>
      <c r="C2976" s="94"/>
      <c r="D2976" s="12"/>
      <c r="E2976" s="167"/>
      <c r="F2976" s="12"/>
      <c r="G2976" s="331"/>
      <c r="H2976" s="474"/>
      <c r="I2976" s="475"/>
      <c r="J2976" s="476"/>
      <c r="K2976" s="5"/>
      <c r="L2976" s="3"/>
      <c r="M2976" s="6"/>
      <c r="N2976" s="9"/>
      <c r="O2976" s="9"/>
      <c r="P2976" s="12"/>
      <c r="Q2976" s="12"/>
      <c r="R2976" s="12"/>
      <c r="S2976" s="151"/>
      <c r="T2976" s="12"/>
      <c r="U2976" s="12"/>
      <c r="V2976" s="12"/>
      <c r="W2976" s="12"/>
      <c r="X2976" s="12"/>
      <c r="Y2976" s="12"/>
      <c r="Z2976" s="12"/>
    </row>
    <row r="2977" spans="1:26" ht="15.75" customHeight="1" x14ac:dyDescent="0.3">
      <c r="A2977" s="3"/>
      <c r="B2977" s="167"/>
      <c r="C2977" s="94"/>
      <c r="D2977" s="12"/>
      <c r="E2977" s="167"/>
      <c r="F2977" s="12"/>
      <c r="G2977" s="331"/>
      <c r="H2977" s="474"/>
      <c r="I2977" s="475"/>
      <c r="J2977" s="476"/>
      <c r="K2977" s="5"/>
      <c r="L2977" s="3"/>
      <c r="M2977" s="6"/>
      <c r="N2977" s="9"/>
      <c r="O2977" s="9"/>
      <c r="P2977" s="12"/>
      <c r="Q2977" s="12"/>
      <c r="R2977" s="12"/>
      <c r="S2977" s="151"/>
      <c r="T2977" s="12"/>
      <c r="U2977" s="12"/>
      <c r="V2977" s="12"/>
      <c r="W2977" s="12"/>
      <c r="X2977" s="12"/>
      <c r="Y2977" s="12"/>
      <c r="Z2977" s="12"/>
    </row>
    <row r="2978" spans="1:26" ht="15.75" customHeight="1" x14ac:dyDescent="0.3">
      <c r="A2978" s="3"/>
      <c r="B2978" s="167"/>
      <c r="C2978" s="94"/>
      <c r="D2978" s="12"/>
      <c r="E2978" s="167"/>
      <c r="F2978" s="12"/>
      <c r="G2978" s="331"/>
      <c r="H2978" s="474"/>
      <c r="I2978" s="475"/>
      <c r="J2978" s="476"/>
      <c r="K2978" s="5"/>
      <c r="L2978" s="3"/>
      <c r="M2978" s="6"/>
      <c r="N2978" s="9"/>
      <c r="O2978" s="9"/>
      <c r="P2978" s="12"/>
      <c r="Q2978" s="12"/>
      <c r="R2978" s="12"/>
      <c r="S2978" s="151"/>
      <c r="T2978" s="12"/>
      <c r="U2978" s="12"/>
      <c r="V2978" s="12"/>
      <c r="W2978" s="12"/>
      <c r="X2978" s="12"/>
      <c r="Y2978" s="12"/>
      <c r="Z2978" s="12"/>
    </row>
    <row r="2979" spans="1:26" ht="15.75" customHeight="1" x14ac:dyDescent="0.3">
      <c r="A2979" s="3"/>
      <c r="B2979" s="167"/>
      <c r="C2979" s="94"/>
      <c r="D2979" s="12"/>
      <c r="E2979" s="167"/>
      <c r="F2979" s="12"/>
      <c r="G2979" s="331"/>
      <c r="H2979" s="474"/>
      <c r="I2979" s="475"/>
      <c r="J2979" s="476"/>
      <c r="K2979" s="5"/>
      <c r="L2979" s="3"/>
      <c r="M2979" s="6"/>
      <c r="N2979" s="9"/>
      <c r="O2979" s="9"/>
      <c r="P2979" s="12"/>
      <c r="Q2979" s="12"/>
      <c r="R2979" s="12"/>
      <c r="S2979" s="151"/>
      <c r="T2979" s="12"/>
      <c r="U2979" s="12"/>
      <c r="V2979" s="12"/>
      <c r="W2979" s="12"/>
      <c r="X2979" s="12"/>
      <c r="Y2979" s="12"/>
      <c r="Z2979" s="12"/>
    </row>
    <row r="2980" spans="1:26" ht="15.75" customHeight="1" x14ac:dyDescent="0.3">
      <c r="A2980" s="3"/>
      <c r="B2980" s="167"/>
      <c r="C2980" s="94"/>
      <c r="D2980" s="12"/>
      <c r="E2980" s="167"/>
      <c r="F2980" s="12"/>
      <c r="G2980" s="331"/>
      <c r="H2980" s="474"/>
      <c r="I2980" s="475"/>
      <c r="J2980" s="476"/>
      <c r="K2980" s="5"/>
      <c r="L2980" s="3"/>
      <c r="M2980" s="6"/>
      <c r="N2980" s="9"/>
      <c r="O2980" s="9"/>
      <c r="P2980" s="12"/>
      <c r="Q2980" s="12"/>
      <c r="R2980" s="12"/>
      <c r="S2980" s="151"/>
      <c r="T2980" s="12"/>
      <c r="U2980" s="12"/>
      <c r="V2980" s="12"/>
      <c r="W2980" s="12"/>
      <c r="X2980" s="12"/>
      <c r="Y2980" s="12"/>
      <c r="Z2980" s="12"/>
    </row>
    <row r="2981" spans="1:26" ht="15.75" customHeight="1" x14ac:dyDescent="0.3">
      <c r="A2981" s="3"/>
      <c r="B2981" s="167"/>
      <c r="C2981" s="94"/>
      <c r="D2981" s="12"/>
      <c r="E2981" s="167"/>
      <c r="F2981" s="12"/>
      <c r="G2981" s="331"/>
      <c r="H2981" s="474"/>
      <c r="I2981" s="475"/>
      <c r="J2981" s="476"/>
      <c r="K2981" s="5"/>
      <c r="L2981" s="3"/>
      <c r="M2981" s="6"/>
      <c r="N2981" s="9"/>
      <c r="O2981" s="9"/>
      <c r="P2981" s="12"/>
      <c r="Q2981" s="12"/>
      <c r="R2981" s="12"/>
      <c r="S2981" s="151"/>
      <c r="T2981" s="12"/>
      <c r="U2981" s="12"/>
      <c r="V2981" s="12"/>
      <c r="W2981" s="12"/>
      <c r="X2981" s="12"/>
      <c r="Y2981" s="12"/>
      <c r="Z2981" s="12"/>
    </row>
    <row r="2982" spans="1:26" ht="15.75" customHeight="1" x14ac:dyDescent="0.3">
      <c r="A2982" s="3"/>
      <c r="B2982" s="167"/>
      <c r="C2982" s="94"/>
      <c r="D2982" s="12"/>
      <c r="E2982" s="167"/>
      <c r="F2982" s="12"/>
      <c r="G2982" s="331"/>
      <c r="H2982" s="474"/>
      <c r="I2982" s="475"/>
      <c r="J2982" s="476"/>
      <c r="K2982" s="5"/>
      <c r="L2982" s="3"/>
      <c r="M2982" s="6"/>
      <c r="N2982" s="9"/>
      <c r="O2982" s="9"/>
      <c r="P2982" s="12"/>
      <c r="Q2982" s="12"/>
      <c r="R2982" s="12"/>
      <c r="S2982" s="151"/>
      <c r="T2982" s="12"/>
      <c r="U2982" s="12"/>
      <c r="V2982" s="12"/>
      <c r="W2982" s="12"/>
      <c r="X2982" s="12"/>
      <c r="Y2982" s="12"/>
      <c r="Z2982" s="12"/>
    </row>
    <row r="2983" spans="1:26" ht="15.75" customHeight="1" x14ac:dyDescent="0.3">
      <c r="A2983" s="3"/>
      <c r="B2983" s="167"/>
      <c r="C2983" s="94"/>
      <c r="D2983" s="12"/>
      <c r="E2983" s="167"/>
      <c r="F2983" s="12"/>
      <c r="G2983" s="331"/>
      <c r="H2983" s="474"/>
      <c r="I2983" s="475"/>
      <c r="J2983" s="476"/>
      <c r="K2983" s="5"/>
      <c r="L2983" s="3"/>
      <c r="M2983" s="6"/>
      <c r="N2983" s="9"/>
      <c r="O2983" s="9"/>
      <c r="P2983" s="12"/>
      <c r="Q2983" s="12"/>
      <c r="R2983" s="12"/>
      <c r="S2983" s="151"/>
      <c r="T2983" s="12"/>
      <c r="U2983" s="12"/>
      <c r="V2983" s="12"/>
      <c r="W2983" s="12"/>
      <c r="X2983" s="12"/>
      <c r="Y2983" s="12"/>
      <c r="Z2983" s="12"/>
    </row>
    <row r="2984" spans="1:26" ht="15.75" customHeight="1" x14ac:dyDescent="0.3">
      <c r="A2984" s="3"/>
      <c r="B2984" s="167"/>
      <c r="C2984" s="94"/>
      <c r="D2984" s="12"/>
      <c r="E2984" s="167"/>
      <c r="F2984" s="12"/>
      <c r="G2984" s="331"/>
      <c r="H2984" s="474"/>
      <c r="I2984" s="475"/>
      <c r="J2984" s="476"/>
      <c r="K2984" s="5"/>
      <c r="L2984" s="3"/>
      <c r="M2984" s="6"/>
      <c r="N2984" s="9"/>
      <c r="O2984" s="9"/>
      <c r="P2984" s="12"/>
      <c r="Q2984" s="12"/>
      <c r="R2984" s="12"/>
      <c r="S2984" s="151"/>
      <c r="T2984" s="12"/>
      <c r="U2984" s="12"/>
      <c r="V2984" s="12"/>
      <c r="W2984" s="12"/>
      <c r="X2984" s="12"/>
      <c r="Y2984" s="12"/>
      <c r="Z2984" s="12"/>
    </row>
    <row r="2985" spans="1:26" ht="15.75" customHeight="1" x14ac:dyDescent="0.3">
      <c r="A2985" s="3"/>
      <c r="B2985" s="167"/>
      <c r="C2985" s="94"/>
      <c r="D2985" s="12"/>
      <c r="E2985" s="167"/>
      <c r="F2985" s="12"/>
      <c r="G2985" s="331"/>
      <c r="H2985" s="474"/>
      <c r="I2985" s="475"/>
      <c r="J2985" s="476"/>
      <c r="K2985" s="5"/>
      <c r="L2985" s="3"/>
      <c r="M2985" s="6"/>
      <c r="N2985" s="9"/>
      <c r="O2985" s="9"/>
      <c r="P2985" s="12"/>
      <c r="Q2985" s="12"/>
      <c r="R2985" s="12"/>
      <c r="S2985" s="151"/>
      <c r="T2985" s="12"/>
      <c r="U2985" s="12"/>
      <c r="V2985" s="12"/>
      <c r="W2985" s="12"/>
      <c r="X2985" s="12"/>
      <c r="Y2985" s="12"/>
      <c r="Z2985" s="12"/>
    </row>
    <row r="2986" spans="1:26" ht="15.75" customHeight="1" x14ac:dyDescent="0.3">
      <c r="A2986" s="3"/>
      <c r="B2986" s="167"/>
      <c r="C2986" s="94"/>
      <c r="D2986" s="12"/>
      <c r="E2986" s="167"/>
      <c r="F2986" s="12"/>
      <c r="G2986" s="331"/>
      <c r="H2986" s="474"/>
      <c r="I2986" s="475"/>
      <c r="J2986" s="476"/>
      <c r="K2986" s="5"/>
      <c r="L2986" s="3"/>
      <c r="M2986" s="6"/>
      <c r="N2986" s="9"/>
      <c r="O2986" s="9"/>
      <c r="P2986" s="12"/>
      <c r="Q2986" s="12"/>
      <c r="R2986" s="12"/>
      <c r="S2986" s="151"/>
      <c r="T2986" s="12"/>
      <c r="U2986" s="12"/>
      <c r="V2986" s="12"/>
      <c r="W2986" s="12"/>
      <c r="X2986" s="12"/>
      <c r="Y2986" s="12"/>
      <c r="Z2986" s="12"/>
    </row>
    <row r="2987" spans="1:26" ht="15.75" customHeight="1" x14ac:dyDescent="0.3">
      <c r="A2987" s="3"/>
      <c r="B2987" s="167"/>
      <c r="C2987" s="94"/>
      <c r="D2987" s="12"/>
      <c r="E2987" s="167"/>
      <c r="F2987" s="12"/>
      <c r="G2987" s="331"/>
      <c r="H2987" s="474"/>
      <c r="I2987" s="475"/>
      <c r="J2987" s="476"/>
      <c r="K2987" s="5"/>
      <c r="L2987" s="3"/>
      <c r="M2987" s="6"/>
      <c r="N2987" s="9"/>
      <c r="O2987" s="9"/>
      <c r="P2987" s="12"/>
      <c r="Q2987" s="12"/>
      <c r="R2987" s="12"/>
      <c r="S2987" s="151"/>
      <c r="T2987" s="12"/>
      <c r="U2987" s="12"/>
      <c r="V2987" s="12"/>
      <c r="W2987" s="12"/>
      <c r="X2987" s="12"/>
      <c r="Y2987" s="12"/>
      <c r="Z2987" s="12"/>
    </row>
    <row r="2988" spans="1:26" ht="15.75" customHeight="1" x14ac:dyDescent="0.3">
      <c r="A2988" s="3"/>
      <c r="B2988" s="167"/>
      <c r="C2988" s="94"/>
      <c r="D2988" s="12"/>
      <c r="E2988" s="167"/>
      <c r="F2988" s="12"/>
      <c r="G2988" s="331"/>
      <c r="H2988" s="474"/>
      <c r="I2988" s="475"/>
      <c r="J2988" s="476"/>
      <c r="K2988" s="5"/>
      <c r="L2988" s="3"/>
      <c r="M2988" s="6"/>
      <c r="N2988" s="9"/>
      <c r="O2988" s="9"/>
      <c r="P2988" s="12"/>
      <c r="Q2988" s="12"/>
      <c r="R2988" s="12"/>
      <c r="S2988" s="151"/>
      <c r="T2988" s="12"/>
      <c r="U2988" s="12"/>
      <c r="V2988" s="12"/>
      <c r="W2988" s="12"/>
      <c r="X2988" s="12"/>
      <c r="Y2988" s="12"/>
      <c r="Z2988" s="12"/>
    </row>
    <row r="2989" spans="1:26" ht="15.75" customHeight="1" x14ac:dyDescent="0.3">
      <c r="A2989" s="3"/>
      <c r="B2989" s="167"/>
      <c r="C2989" s="94"/>
      <c r="D2989" s="12"/>
      <c r="E2989" s="167"/>
      <c r="F2989" s="12"/>
      <c r="G2989" s="331"/>
      <c r="H2989" s="474"/>
      <c r="I2989" s="475"/>
      <c r="J2989" s="476"/>
      <c r="K2989" s="5"/>
      <c r="L2989" s="3"/>
      <c r="M2989" s="6"/>
      <c r="N2989" s="9"/>
      <c r="O2989" s="9"/>
      <c r="P2989" s="12"/>
      <c r="Q2989" s="12"/>
      <c r="R2989" s="12"/>
      <c r="S2989" s="151"/>
      <c r="T2989" s="12"/>
      <c r="U2989" s="12"/>
      <c r="V2989" s="12"/>
      <c r="W2989" s="12"/>
      <c r="X2989" s="12"/>
      <c r="Y2989" s="12"/>
      <c r="Z2989" s="12"/>
    </row>
    <row r="2990" spans="1:26" ht="15.75" customHeight="1" x14ac:dyDescent="0.3">
      <c r="A2990" s="3"/>
      <c r="B2990" s="167"/>
      <c r="C2990" s="94"/>
      <c r="D2990" s="12"/>
      <c r="E2990" s="167"/>
      <c r="F2990" s="12"/>
      <c r="G2990" s="331"/>
      <c r="H2990" s="474"/>
      <c r="I2990" s="475"/>
      <c r="J2990" s="476"/>
      <c r="K2990" s="5"/>
      <c r="L2990" s="3"/>
      <c r="M2990" s="6"/>
      <c r="N2990" s="9"/>
      <c r="O2990" s="9"/>
      <c r="P2990" s="12"/>
      <c r="Q2990" s="12"/>
      <c r="R2990" s="12"/>
      <c r="S2990" s="151"/>
      <c r="T2990" s="12"/>
      <c r="U2990" s="12"/>
      <c r="V2990" s="12"/>
      <c r="W2990" s="12"/>
      <c r="X2990" s="12"/>
      <c r="Y2990" s="12"/>
      <c r="Z2990" s="12"/>
    </row>
    <row r="2991" spans="1:26" ht="15.75" customHeight="1" x14ac:dyDescent="0.3">
      <c r="A2991" s="3"/>
      <c r="B2991" s="167"/>
      <c r="C2991" s="94"/>
      <c r="D2991" s="12"/>
      <c r="E2991" s="167"/>
      <c r="F2991" s="12"/>
      <c r="G2991" s="331"/>
      <c r="H2991" s="474"/>
      <c r="I2991" s="475"/>
      <c r="J2991" s="476"/>
      <c r="K2991" s="5"/>
      <c r="L2991" s="3"/>
      <c r="M2991" s="6"/>
      <c r="N2991" s="9"/>
      <c r="O2991" s="9"/>
      <c r="P2991" s="12"/>
      <c r="Q2991" s="12"/>
      <c r="R2991" s="12"/>
      <c r="S2991" s="151"/>
      <c r="T2991" s="12"/>
      <c r="U2991" s="12"/>
      <c r="V2991" s="12"/>
      <c r="W2991" s="12"/>
      <c r="X2991" s="12"/>
      <c r="Y2991" s="12"/>
      <c r="Z2991" s="12"/>
    </row>
    <row r="2992" spans="1:26" ht="15.75" customHeight="1" x14ac:dyDescent="0.3">
      <c r="A2992" s="3"/>
      <c r="B2992" s="167"/>
      <c r="C2992" s="94"/>
      <c r="D2992" s="12"/>
      <c r="E2992" s="167"/>
      <c r="F2992" s="12"/>
      <c r="G2992" s="331"/>
      <c r="H2992" s="474"/>
      <c r="I2992" s="475"/>
      <c r="J2992" s="476"/>
      <c r="K2992" s="5"/>
      <c r="L2992" s="3"/>
      <c r="M2992" s="6"/>
      <c r="N2992" s="9"/>
      <c r="O2992" s="9"/>
      <c r="P2992" s="12"/>
      <c r="Q2992" s="12"/>
      <c r="R2992" s="12"/>
      <c r="S2992" s="151"/>
      <c r="T2992" s="12"/>
      <c r="U2992" s="12"/>
      <c r="V2992" s="12"/>
      <c r="W2992" s="12"/>
      <c r="X2992" s="12"/>
      <c r="Y2992" s="12"/>
      <c r="Z2992" s="12"/>
    </row>
    <row r="2993" spans="1:26" ht="15.75" customHeight="1" x14ac:dyDescent="0.3">
      <c r="A2993" s="3"/>
      <c r="B2993" s="167"/>
      <c r="C2993" s="94"/>
      <c r="D2993" s="12"/>
      <c r="E2993" s="167"/>
      <c r="F2993" s="12"/>
      <c r="G2993" s="331"/>
      <c r="H2993" s="474"/>
      <c r="I2993" s="475"/>
      <c r="J2993" s="476"/>
      <c r="K2993" s="5"/>
      <c r="L2993" s="3"/>
      <c r="M2993" s="6"/>
      <c r="N2993" s="9"/>
      <c r="O2993" s="9"/>
      <c r="P2993" s="12"/>
      <c r="Q2993" s="12"/>
      <c r="R2993" s="12"/>
      <c r="S2993" s="151"/>
      <c r="T2993" s="12"/>
      <c r="U2993" s="12"/>
      <c r="V2993" s="12"/>
      <c r="W2993" s="12"/>
      <c r="X2993" s="12"/>
      <c r="Y2993" s="12"/>
      <c r="Z2993" s="12"/>
    </row>
    <row r="2994" spans="1:26" ht="15.75" customHeight="1" x14ac:dyDescent="0.3">
      <c r="A2994" s="3"/>
      <c r="B2994" s="167"/>
      <c r="C2994" s="94"/>
      <c r="D2994" s="12"/>
      <c r="E2994" s="167"/>
      <c r="F2994" s="12"/>
      <c r="G2994" s="331"/>
      <c r="H2994" s="474"/>
      <c r="I2994" s="475"/>
      <c r="J2994" s="476"/>
      <c r="K2994" s="5"/>
      <c r="L2994" s="3"/>
      <c r="M2994" s="6"/>
      <c r="N2994" s="9"/>
      <c r="O2994" s="9"/>
      <c r="P2994" s="12"/>
      <c r="Q2994" s="12"/>
      <c r="R2994" s="12"/>
      <c r="S2994" s="151"/>
      <c r="T2994" s="12"/>
      <c r="U2994" s="12"/>
      <c r="V2994" s="12"/>
      <c r="W2994" s="12"/>
      <c r="X2994" s="12"/>
      <c r="Y2994" s="12"/>
      <c r="Z2994" s="12"/>
    </row>
    <row r="2995" spans="1:26" ht="15.75" customHeight="1" x14ac:dyDescent="0.3">
      <c r="A2995" s="3"/>
      <c r="B2995" s="167"/>
      <c r="C2995" s="94"/>
      <c r="D2995" s="12"/>
      <c r="E2995" s="167"/>
      <c r="F2995" s="12"/>
      <c r="G2995" s="331"/>
      <c r="H2995" s="474"/>
      <c r="I2995" s="475"/>
      <c r="J2995" s="476"/>
      <c r="K2995" s="5"/>
      <c r="L2995" s="3"/>
      <c r="M2995" s="6"/>
      <c r="N2995" s="9"/>
      <c r="O2995" s="9"/>
      <c r="P2995" s="12"/>
      <c r="Q2995" s="12"/>
      <c r="R2995" s="12"/>
      <c r="S2995" s="151"/>
      <c r="T2995" s="12"/>
      <c r="U2995" s="12"/>
      <c r="V2995" s="12"/>
      <c r="W2995" s="12"/>
      <c r="X2995" s="12"/>
      <c r="Y2995" s="12"/>
      <c r="Z2995" s="12"/>
    </row>
    <row r="2996" spans="1:26" ht="15.75" customHeight="1" x14ac:dyDescent="0.3">
      <c r="A2996" s="3"/>
      <c r="B2996" s="167"/>
      <c r="C2996" s="94"/>
      <c r="D2996" s="12"/>
      <c r="E2996" s="167"/>
      <c r="F2996" s="12"/>
      <c r="G2996" s="331"/>
      <c r="H2996" s="474"/>
      <c r="I2996" s="475"/>
      <c r="J2996" s="476"/>
      <c r="K2996" s="5"/>
      <c r="L2996" s="3"/>
      <c r="M2996" s="6"/>
      <c r="N2996" s="9"/>
      <c r="O2996" s="9"/>
      <c r="P2996" s="12"/>
      <c r="Q2996" s="12"/>
      <c r="R2996" s="12"/>
      <c r="S2996" s="151"/>
      <c r="T2996" s="12"/>
      <c r="U2996" s="12"/>
      <c r="V2996" s="12"/>
      <c r="W2996" s="12"/>
      <c r="X2996" s="12"/>
      <c r="Y2996" s="12"/>
      <c r="Z2996" s="12"/>
    </row>
    <row r="2997" spans="1:26" ht="15.75" customHeight="1" x14ac:dyDescent="0.3">
      <c r="A2997" s="3"/>
      <c r="B2997" s="167"/>
      <c r="C2997" s="94"/>
      <c r="D2997" s="12"/>
      <c r="E2997" s="167"/>
      <c r="F2997" s="12"/>
      <c r="G2997" s="331"/>
      <c r="H2997" s="474"/>
      <c r="I2997" s="475"/>
      <c r="J2997" s="476"/>
      <c r="K2997" s="5"/>
      <c r="L2997" s="3"/>
      <c r="M2997" s="6"/>
      <c r="N2997" s="9"/>
      <c r="O2997" s="9"/>
      <c r="P2997" s="12"/>
      <c r="Q2997" s="12"/>
      <c r="R2997" s="12"/>
      <c r="S2997" s="151"/>
      <c r="T2997" s="12"/>
      <c r="U2997" s="12"/>
      <c r="V2997" s="12"/>
      <c r="W2997" s="12"/>
      <c r="X2997" s="12"/>
      <c r="Y2997" s="12"/>
      <c r="Z2997" s="12"/>
    </row>
    <row r="2998" spans="1:26" ht="15.75" customHeight="1" x14ac:dyDescent="0.3">
      <c r="A2998" s="3"/>
      <c r="B2998" s="167"/>
      <c r="C2998" s="94"/>
      <c r="D2998" s="12"/>
      <c r="E2998" s="167"/>
      <c r="F2998" s="12"/>
      <c r="G2998" s="331"/>
      <c r="H2998" s="474"/>
      <c r="I2998" s="475"/>
      <c r="J2998" s="476"/>
      <c r="K2998" s="5"/>
      <c r="L2998" s="3"/>
      <c r="M2998" s="6"/>
      <c r="N2998" s="9"/>
      <c r="O2998" s="9"/>
      <c r="P2998" s="12"/>
      <c r="Q2998" s="12"/>
      <c r="R2998" s="12"/>
      <c r="S2998" s="151"/>
      <c r="T2998" s="12"/>
      <c r="U2998" s="12"/>
      <c r="V2998" s="12"/>
      <c r="W2998" s="12"/>
      <c r="X2998" s="12"/>
      <c r="Y2998" s="12"/>
      <c r="Z2998" s="12"/>
    </row>
    <row r="2999" spans="1:26" ht="15.75" customHeight="1" x14ac:dyDescent="0.3">
      <c r="A2999" s="3"/>
      <c r="B2999" s="167"/>
      <c r="C2999" s="94"/>
      <c r="D2999" s="12"/>
      <c r="E2999" s="167"/>
      <c r="F2999" s="12"/>
      <c r="G2999" s="331"/>
      <c r="H2999" s="474"/>
      <c r="I2999" s="475"/>
      <c r="J2999" s="476"/>
      <c r="K2999" s="5"/>
      <c r="L2999" s="3"/>
      <c r="M2999" s="6"/>
      <c r="N2999" s="9"/>
      <c r="O2999" s="9"/>
      <c r="P2999" s="12"/>
      <c r="Q2999" s="12"/>
      <c r="R2999" s="12"/>
      <c r="S2999" s="151"/>
      <c r="T2999" s="12"/>
      <c r="U2999" s="12"/>
      <c r="V2999" s="12"/>
      <c r="W2999" s="12"/>
      <c r="X2999" s="12"/>
      <c r="Y2999" s="12"/>
      <c r="Z2999" s="12"/>
    </row>
    <row r="3000" spans="1:26" ht="15.75" customHeight="1" x14ac:dyDescent="0.3">
      <c r="A3000" s="3"/>
      <c r="B3000" s="167"/>
      <c r="C3000" s="94"/>
      <c r="D3000" s="12"/>
      <c r="E3000" s="167"/>
      <c r="F3000" s="12"/>
      <c r="G3000" s="331"/>
      <c r="H3000" s="474"/>
      <c r="I3000" s="475"/>
      <c r="J3000" s="476"/>
      <c r="K3000" s="5"/>
      <c r="L3000" s="3"/>
      <c r="M3000" s="6"/>
      <c r="N3000" s="9"/>
      <c r="O3000" s="9"/>
      <c r="P3000" s="12"/>
      <c r="Q3000" s="12"/>
      <c r="R3000" s="12"/>
      <c r="S3000" s="151"/>
      <c r="T3000" s="12"/>
      <c r="U3000" s="12"/>
      <c r="V3000" s="12"/>
      <c r="W3000" s="12"/>
      <c r="X3000" s="12"/>
      <c r="Y3000" s="12"/>
      <c r="Z3000" s="12"/>
    </row>
    <row r="3001" spans="1:26" ht="15.75" customHeight="1" x14ac:dyDescent="0.3">
      <c r="A3001" s="3"/>
      <c r="B3001" s="167"/>
      <c r="C3001" s="94"/>
      <c r="D3001" s="12"/>
      <c r="E3001" s="167"/>
      <c r="F3001" s="12"/>
      <c r="G3001" s="331"/>
      <c r="H3001" s="474"/>
      <c r="I3001" s="475"/>
      <c r="J3001" s="476"/>
      <c r="K3001" s="5"/>
      <c r="L3001" s="3"/>
      <c r="M3001" s="6"/>
      <c r="N3001" s="9"/>
      <c r="O3001" s="9"/>
      <c r="P3001" s="12"/>
      <c r="Q3001" s="12"/>
      <c r="R3001" s="12"/>
      <c r="S3001" s="151"/>
      <c r="T3001" s="12"/>
      <c r="U3001" s="12"/>
      <c r="V3001" s="12"/>
      <c r="W3001" s="12"/>
      <c r="X3001" s="12"/>
      <c r="Y3001" s="12"/>
      <c r="Z3001" s="12"/>
    </row>
    <row r="3002" spans="1:26" ht="15.75" customHeight="1" x14ac:dyDescent="0.3">
      <c r="A3002" s="3"/>
      <c r="B3002" s="167"/>
      <c r="C3002" s="94"/>
      <c r="D3002" s="12"/>
      <c r="E3002" s="167"/>
      <c r="F3002" s="12"/>
      <c r="G3002" s="331"/>
      <c r="H3002" s="474"/>
      <c r="I3002" s="475"/>
      <c r="J3002" s="476"/>
      <c r="K3002" s="5"/>
      <c r="L3002" s="3"/>
      <c r="M3002" s="6"/>
      <c r="N3002" s="9"/>
      <c r="O3002" s="9"/>
      <c r="P3002" s="12"/>
      <c r="Q3002" s="12"/>
      <c r="R3002" s="12"/>
      <c r="S3002" s="151"/>
      <c r="T3002" s="12"/>
      <c r="U3002" s="12"/>
      <c r="V3002" s="12"/>
      <c r="W3002" s="12"/>
      <c r="X3002" s="12"/>
      <c r="Y3002" s="12"/>
      <c r="Z3002" s="12"/>
    </row>
    <row r="3003" spans="1:26" ht="15.75" customHeight="1" x14ac:dyDescent="0.3">
      <c r="A3003" s="3"/>
      <c r="B3003" s="167"/>
      <c r="C3003" s="94"/>
      <c r="D3003" s="12"/>
      <c r="E3003" s="167"/>
      <c r="F3003" s="12"/>
      <c r="G3003" s="331"/>
      <c r="H3003" s="474"/>
      <c r="I3003" s="475"/>
      <c r="J3003" s="476"/>
      <c r="K3003" s="5"/>
      <c r="L3003" s="3"/>
      <c r="M3003" s="6"/>
      <c r="N3003" s="9"/>
      <c r="O3003" s="9"/>
      <c r="P3003" s="12"/>
      <c r="Q3003" s="12"/>
      <c r="R3003" s="12"/>
      <c r="S3003" s="151"/>
      <c r="T3003" s="12"/>
      <c r="U3003" s="12"/>
      <c r="V3003" s="12"/>
      <c r="W3003" s="12"/>
      <c r="X3003" s="12"/>
      <c r="Y3003" s="12"/>
      <c r="Z3003" s="12"/>
    </row>
    <row r="3004" spans="1:26" ht="15.75" customHeight="1" x14ac:dyDescent="0.3">
      <c r="A3004" s="3"/>
      <c r="B3004" s="167"/>
      <c r="C3004" s="94"/>
      <c r="D3004" s="12"/>
      <c r="E3004" s="167"/>
      <c r="F3004" s="12"/>
      <c r="G3004" s="331"/>
      <c r="H3004" s="474"/>
      <c r="I3004" s="475"/>
      <c r="J3004" s="476"/>
      <c r="K3004" s="5"/>
      <c r="L3004" s="3"/>
      <c r="M3004" s="6"/>
      <c r="N3004" s="9"/>
      <c r="O3004" s="9"/>
      <c r="P3004" s="12"/>
      <c r="Q3004" s="12"/>
      <c r="R3004" s="12"/>
      <c r="S3004" s="151"/>
      <c r="T3004" s="12"/>
      <c r="U3004" s="12"/>
      <c r="V3004" s="12"/>
      <c r="W3004" s="12"/>
      <c r="X3004" s="12"/>
      <c r="Y3004" s="12"/>
      <c r="Z3004" s="12"/>
    </row>
    <row r="3005" spans="1:26" ht="15.75" customHeight="1" x14ac:dyDescent="0.3">
      <c r="A3005" s="3"/>
      <c r="B3005" s="167"/>
      <c r="C3005" s="94"/>
      <c r="D3005" s="12"/>
      <c r="E3005" s="167"/>
      <c r="F3005" s="12"/>
      <c r="G3005" s="331"/>
      <c r="H3005" s="474"/>
      <c r="I3005" s="475"/>
      <c r="J3005" s="476"/>
      <c r="K3005" s="5"/>
      <c r="L3005" s="3"/>
      <c r="M3005" s="6"/>
      <c r="N3005" s="9"/>
      <c r="O3005" s="9"/>
      <c r="P3005" s="12"/>
      <c r="Q3005" s="12"/>
      <c r="R3005" s="12"/>
      <c r="S3005" s="151"/>
      <c r="T3005" s="12"/>
      <c r="U3005" s="12"/>
      <c r="V3005" s="12"/>
      <c r="W3005" s="12"/>
      <c r="X3005" s="12"/>
      <c r="Y3005" s="12"/>
      <c r="Z3005" s="12"/>
    </row>
    <row r="3006" spans="1:26" ht="15.75" customHeight="1" x14ac:dyDescent="0.3">
      <c r="A3006" s="3"/>
      <c r="B3006" s="167"/>
      <c r="C3006" s="94"/>
      <c r="D3006" s="12"/>
      <c r="E3006" s="167"/>
      <c r="F3006" s="12"/>
      <c r="G3006" s="331"/>
      <c r="H3006" s="474"/>
      <c r="I3006" s="475"/>
      <c r="J3006" s="476"/>
      <c r="K3006" s="5"/>
      <c r="L3006" s="3"/>
      <c r="M3006" s="6"/>
      <c r="N3006" s="9"/>
      <c r="O3006" s="9"/>
      <c r="P3006" s="12"/>
      <c r="Q3006" s="12"/>
      <c r="R3006" s="12"/>
      <c r="S3006" s="151"/>
      <c r="T3006" s="12"/>
      <c r="U3006" s="12"/>
      <c r="V3006" s="12"/>
      <c r="W3006" s="12"/>
      <c r="X3006" s="12"/>
      <c r="Y3006" s="12"/>
      <c r="Z3006" s="12"/>
    </row>
    <row r="3007" spans="1:26" ht="15.75" customHeight="1" x14ac:dyDescent="0.3">
      <c r="A3007" s="3"/>
      <c r="B3007" s="167"/>
      <c r="C3007" s="94"/>
      <c r="D3007" s="12"/>
      <c r="E3007" s="167"/>
      <c r="F3007" s="12"/>
      <c r="G3007" s="331"/>
      <c r="H3007" s="474"/>
      <c r="I3007" s="475"/>
      <c r="J3007" s="476"/>
      <c r="K3007" s="5"/>
      <c r="L3007" s="3"/>
      <c r="M3007" s="6"/>
      <c r="N3007" s="9"/>
      <c r="O3007" s="9"/>
      <c r="P3007" s="12"/>
      <c r="Q3007" s="12"/>
      <c r="R3007" s="12"/>
      <c r="S3007" s="151"/>
      <c r="T3007" s="12"/>
      <c r="U3007" s="12"/>
      <c r="V3007" s="12"/>
      <c r="W3007" s="12"/>
      <c r="X3007" s="12"/>
      <c r="Y3007" s="12"/>
      <c r="Z3007" s="12"/>
    </row>
    <row r="3008" spans="1:26" ht="15.75" customHeight="1" x14ac:dyDescent="0.3">
      <c r="A3008" s="3"/>
      <c r="B3008" s="167"/>
      <c r="C3008" s="94"/>
      <c r="D3008" s="12"/>
      <c r="E3008" s="167"/>
      <c r="F3008" s="12"/>
      <c r="G3008" s="331"/>
      <c r="H3008" s="474"/>
      <c r="I3008" s="475"/>
      <c r="J3008" s="476"/>
      <c r="K3008" s="5"/>
      <c r="L3008" s="3"/>
      <c r="M3008" s="6"/>
      <c r="N3008" s="9"/>
      <c r="O3008" s="9"/>
      <c r="P3008" s="12"/>
      <c r="Q3008" s="12"/>
      <c r="R3008" s="12"/>
      <c r="S3008" s="151"/>
      <c r="T3008" s="12"/>
      <c r="U3008" s="12"/>
      <c r="V3008" s="12"/>
      <c r="W3008" s="12"/>
      <c r="X3008" s="12"/>
      <c r="Y3008" s="12"/>
      <c r="Z3008" s="12"/>
    </row>
    <row r="3009" spans="1:26" ht="15.75" customHeight="1" x14ac:dyDescent="0.3">
      <c r="A3009" s="3"/>
      <c r="B3009" s="167"/>
      <c r="C3009" s="94"/>
      <c r="D3009" s="12"/>
      <c r="E3009" s="167"/>
      <c r="F3009" s="12"/>
      <c r="G3009" s="331"/>
      <c r="H3009" s="474"/>
      <c r="I3009" s="475"/>
      <c r="J3009" s="476"/>
      <c r="K3009" s="5"/>
      <c r="L3009" s="3"/>
      <c r="M3009" s="6"/>
      <c r="N3009" s="9"/>
      <c r="O3009" s="9"/>
      <c r="P3009" s="12"/>
      <c r="Q3009" s="12"/>
      <c r="R3009" s="12"/>
      <c r="S3009" s="151"/>
      <c r="T3009" s="12"/>
      <c r="U3009" s="12"/>
      <c r="V3009" s="12"/>
      <c r="W3009" s="12"/>
      <c r="X3009" s="12"/>
      <c r="Y3009" s="12"/>
      <c r="Z3009" s="12"/>
    </row>
    <row r="3010" spans="1:26" ht="15.75" customHeight="1" x14ac:dyDescent="0.3">
      <c r="A3010" s="3"/>
      <c r="B3010" s="167"/>
      <c r="C3010" s="94"/>
      <c r="D3010" s="12"/>
      <c r="E3010" s="167"/>
      <c r="F3010" s="12"/>
      <c r="G3010" s="331"/>
      <c r="H3010" s="474"/>
      <c r="I3010" s="475"/>
      <c r="J3010" s="476"/>
      <c r="K3010" s="5"/>
      <c r="L3010" s="3"/>
      <c r="M3010" s="6"/>
      <c r="N3010" s="9"/>
      <c r="O3010" s="9"/>
      <c r="P3010" s="12"/>
      <c r="Q3010" s="12"/>
      <c r="R3010" s="12"/>
      <c r="S3010" s="151"/>
      <c r="T3010" s="12"/>
      <c r="U3010" s="12"/>
      <c r="V3010" s="12"/>
      <c r="W3010" s="12"/>
      <c r="X3010" s="12"/>
      <c r="Y3010" s="12"/>
      <c r="Z3010" s="12"/>
    </row>
    <row r="3011" spans="1:26" ht="15.75" customHeight="1" x14ac:dyDescent="0.3">
      <c r="A3011" s="3"/>
      <c r="B3011" s="167"/>
      <c r="C3011" s="94"/>
      <c r="D3011" s="12"/>
      <c r="E3011" s="167"/>
      <c r="F3011" s="12"/>
      <c r="G3011" s="331"/>
      <c r="H3011" s="474"/>
      <c r="I3011" s="475"/>
      <c r="J3011" s="476"/>
      <c r="K3011" s="5"/>
      <c r="L3011" s="3"/>
      <c r="M3011" s="6"/>
      <c r="N3011" s="9"/>
      <c r="O3011" s="9"/>
      <c r="P3011" s="12"/>
      <c r="Q3011" s="12"/>
      <c r="R3011" s="12"/>
      <c r="S3011" s="151"/>
      <c r="T3011" s="12"/>
      <c r="U3011" s="12"/>
      <c r="V3011" s="12"/>
      <c r="W3011" s="12"/>
      <c r="X3011" s="12"/>
      <c r="Y3011" s="12"/>
      <c r="Z3011" s="12"/>
    </row>
    <row r="3012" spans="1:26" ht="15.75" customHeight="1" x14ac:dyDescent="0.3">
      <c r="A3012" s="3"/>
      <c r="B3012" s="167"/>
      <c r="C3012" s="94"/>
      <c r="D3012" s="12"/>
      <c r="E3012" s="167"/>
      <c r="F3012" s="12"/>
      <c r="G3012" s="331"/>
      <c r="H3012" s="474"/>
      <c r="I3012" s="475"/>
      <c r="J3012" s="476"/>
      <c r="K3012" s="5"/>
      <c r="L3012" s="3"/>
      <c r="M3012" s="6"/>
      <c r="N3012" s="9"/>
      <c r="O3012" s="9"/>
      <c r="P3012" s="12"/>
      <c r="Q3012" s="12"/>
      <c r="R3012" s="12"/>
      <c r="S3012" s="151"/>
      <c r="T3012" s="12"/>
      <c r="U3012" s="12"/>
      <c r="V3012" s="12"/>
      <c r="W3012" s="12"/>
      <c r="X3012" s="12"/>
      <c r="Y3012" s="12"/>
      <c r="Z3012" s="12"/>
    </row>
    <row r="3013" spans="1:26" ht="15.75" customHeight="1" x14ac:dyDescent="0.3">
      <c r="A3013" s="3"/>
      <c r="B3013" s="167"/>
      <c r="C3013" s="94"/>
      <c r="D3013" s="12"/>
      <c r="E3013" s="167"/>
      <c r="F3013" s="12"/>
      <c r="G3013" s="331"/>
      <c r="H3013" s="474"/>
      <c r="I3013" s="475"/>
      <c r="J3013" s="476"/>
      <c r="K3013" s="5"/>
      <c r="L3013" s="3"/>
      <c r="M3013" s="6"/>
      <c r="N3013" s="9"/>
      <c r="O3013" s="9"/>
      <c r="P3013" s="12"/>
      <c r="Q3013" s="12"/>
      <c r="R3013" s="12"/>
      <c r="S3013" s="151"/>
      <c r="T3013" s="12"/>
      <c r="U3013" s="12"/>
      <c r="V3013" s="12"/>
      <c r="W3013" s="12"/>
      <c r="X3013" s="12"/>
      <c r="Y3013" s="12"/>
      <c r="Z3013" s="12"/>
    </row>
    <row r="3014" spans="1:26" ht="15.75" customHeight="1" x14ac:dyDescent="0.3">
      <c r="A3014" s="3"/>
      <c r="B3014" s="167"/>
      <c r="C3014" s="94"/>
      <c r="D3014" s="12"/>
      <c r="E3014" s="167"/>
      <c r="F3014" s="12"/>
      <c r="G3014" s="331"/>
      <c r="H3014" s="474"/>
      <c r="I3014" s="475"/>
      <c r="J3014" s="476"/>
      <c r="K3014" s="5"/>
      <c r="L3014" s="3"/>
      <c r="M3014" s="6"/>
      <c r="N3014" s="9"/>
      <c r="O3014" s="9"/>
      <c r="P3014" s="12"/>
      <c r="Q3014" s="12"/>
      <c r="R3014" s="12"/>
      <c r="S3014" s="151"/>
      <c r="T3014" s="12"/>
      <c r="U3014" s="12"/>
      <c r="V3014" s="12"/>
      <c r="W3014" s="12"/>
      <c r="X3014" s="12"/>
      <c r="Y3014" s="12"/>
      <c r="Z3014" s="12"/>
    </row>
    <row r="3015" spans="1:26" ht="15.75" customHeight="1" x14ac:dyDescent="0.3">
      <c r="A3015" s="3"/>
      <c r="B3015" s="167"/>
      <c r="C3015" s="94"/>
      <c r="D3015" s="12"/>
      <c r="E3015" s="167"/>
      <c r="F3015" s="12"/>
      <c r="G3015" s="331"/>
      <c r="H3015" s="474"/>
      <c r="I3015" s="475"/>
      <c r="J3015" s="476"/>
      <c r="K3015" s="5"/>
      <c r="L3015" s="3"/>
      <c r="M3015" s="6"/>
      <c r="N3015" s="9"/>
      <c r="O3015" s="9"/>
      <c r="P3015" s="12"/>
      <c r="Q3015" s="12"/>
      <c r="R3015" s="12"/>
      <c r="S3015" s="151"/>
      <c r="T3015" s="12"/>
      <c r="U3015" s="12"/>
      <c r="V3015" s="12"/>
      <c r="W3015" s="12"/>
      <c r="X3015" s="12"/>
      <c r="Y3015" s="12"/>
      <c r="Z3015" s="12"/>
    </row>
    <row r="3016" spans="1:26" ht="15.75" customHeight="1" x14ac:dyDescent="0.3">
      <c r="A3016" s="3"/>
      <c r="B3016" s="167"/>
      <c r="C3016" s="94"/>
      <c r="D3016" s="12"/>
      <c r="E3016" s="167"/>
      <c r="F3016" s="12"/>
      <c r="G3016" s="331"/>
      <c r="H3016" s="474"/>
      <c r="I3016" s="475"/>
      <c r="J3016" s="476"/>
      <c r="K3016" s="5"/>
      <c r="L3016" s="3"/>
      <c r="M3016" s="6"/>
      <c r="N3016" s="9"/>
      <c r="O3016" s="9"/>
      <c r="P3016" s="12"/>
      <c r="Q3016" s="12"/>
      <c r="R3016" s="12"/>
      <c r="S3016" s="151"/>
      <c r="T3016" s="12"/>
      <c r="U3016" s="12"/>
      <c r="V3016" s="12"/>
      <c r="W3016" s="12"/>
      <c r="X3016" s="12"/>
      <c r="Y3016" s="12"/>
      <c r="Z3016" s="12"/>
    </row>
    <row r="3017" spans="1:26" ht="15.75" customHeight="1" x14ac:dyDescent="0.3">
      <c r="A3017" s="3"/>
      <c r="B3017" s="167"/>
      <c r="C3017" s="94"/>
      <c r="D3017" s="12"/>
      <c r="E3017" s="167"/>
      <c r="F3017" s="12"/>
      <c r="G3017" s="331"/>
      <c r="H3017" s="474"/>
      <c r="I3017" s="475"/>
      <c r="J3017" s="476"/>
      <c r="K3017" s="5"/>
      <c r="L3017" s="3"/>
      <c r="M3017" s="6"/>
      <c r="N3017" s="9"/>
      <c r="O3017" s="9"/>
      <c r="P3017" s="12"/>
      <c r="Q3017" s="12"/>
      <c r="R3017" s="12"/>
      <c r="S3017" s="151"/>
      <c r="T3017" s="12"/>
      <c r="U3017" s="12"/>
      <c r="V3017" s="12"/>
      <c r="W3017" s="12"/>
      <c r="X3017" s="12"/>
      <c r="Y3017" s="12"/>
      <c r="Z3017" s="12"/>
    </row>
    <row r="3018" spans="1:26" ht="15.75" customHeight="1" x14ac:dyDescent="0.3">
      <c r="A3018" s="3"/>
      <c r="B3018" s="167"/>
      <c r="C3018" s="94"/>
      <c r="D3018" s="12"/>
      <c r="E3018" s="167"/>
      <c r="F3018" s="12"/>
      <c r="G3018" s="331"/>
      <c r="H3018" s="474"/>
      <c r="I3018" s="475"/>
      <c r="J3018" s="476"/>
      <c r="K3018" s="5"/>
      <c r="L3018" s="3"/>
      <c r="M3018" s="6"/>
      <c r="N3018" s="9"/>
      <c r="O3018" s="9"/>
      <c r="P3018" s="12"/>
      <c r="Q3018" s="12"/>
      <c r="R3018" s="12"/>
      <c r="S3018" s="151"/>
      <c r="T3018" s="12"/>
      <c r="U3018" s="12"/>
      <c r="V3018" s="12"/>
      <c r="W3018" s="12"/>
      <c r="X3018" s="12"/>
      <c r="Y3018" s="12"/>
      <c r="Z3018" s="12"/>
    </row>
    <row r="3019" spans="1:26" ht="15.75" customHeight="1" x14ac:dyDescent="0.3">
      <c r="A3019" s="3"/>
      <c r="B3019" s="167"/>
      <c r="C3019" s="94"/>
      <c r="D3019" s="12"/>
      <c r="E3019" s="167"/>
      <c r="F3019" s="12"/>
      <c r="G3019" s="331"/>
      <c r="H3019" s="474"/>
      <c r="I3019" s="475"/>
      <c r="J3019" s="476"/>
      <c r="K3019" s="5"/>
      <c r="L3019" s="3"/>
      <c r="M3019" s="6"/>
      <c r="N3019" s="9"/>
      <c r="O3019" s="9"/>
      <c r="P3019" s="12"/>
      <c r="Q3019" s="12"/>
      <c r="R3019" s="12"/>
      <c r="S3019" s="151"/>
      <c r="T3019" s="12"/>
      <c r="U3019" s="12"/>
      <c r="V3019" s="12"/>
      <c r="W3019" s="12"/>
      <c r="X3019" s="12"/>
      <c r="Y3019" s="12"/>
      <c r="Z3019" s="12"/>
    </row>
    <row r="3020" spans="1:26" ht="15.75" customHeight="1" x14ac:dyDescent="0.3">
      <c r="A3020" s="3"/>
      <c r="B3020" s="167"/>
      <c r="C3020" s="94"/>
      <c r="D3020" s="12"/>
      <c r="E3020" s="167"/>
      <c r="F3020" s="12"/>
      <c r="G3020" s="331"/>
      <c r="H3020" s="474"/>
      <c r="I3020" s="475"/>
      <c r="J3020" s="476"/>
      <c r="K3020" s="5"/>
      <c r="L3020" s="3"/>
      <c r="M3020" s="6"/>
      <c r="N3020" s="9"/>
      <c r="O3020" s="9"/>
      <c r="P3020" s="12"/>
      <c r="Q3020" s="12"/>
      <c r="R3020" s="12"/>
      <c r="S3020" s="151"/>
      <c r="T3020" s="12"/>
      <c r="U3020" s="12"/>
      <c r="V3020" s="12"/>
      <c r="W3020" s="12"/>
      <c r="X3020" s="12"/>
      <c r="Y3020" s="12"/>
      <c r="Z3020" s="12"/>
    </row>
    <row r="3021" spans="1:26" ht="15.75" customHeight="1" x14ac:dyDescent="0.3">
      <c r="A3021" s="3"/>
      <c r="B3021" s="167"/>
      <c r="C3021" s="94"/>
      <c r="D3021" s="12"/>
      <c r="E3021" s="167"/>
      <c r="F3021" s="12"/>
      <c r="G3021" s="331"/>
      <c r="H3021" s="474"/>
      <c r="I3021" s="475"/>
      <c r="J3021" s="476"/>
      <c r="K3021" s="5"/>
      <c r="L3021" s="3"/>
      <c r="M3021" s="6"/>
      <c r="N3021" s="9"/>
      <c r="O3021" s="9"/>
      <c r="P3021" s="12"/>
      <c r="Q3021" s="12"/>
      <c r="R3021" s="12"/>
      <c r="S3021" s="151"/>
      <c r="T3021" s="12"/>
      <c r="U3021" s="12"/>
      <c r="V3021" s="12"/>
      <c r="W3021" s="12"/>
      <c r="X3021" s="12"/>
      <c r="Y3021" s="12"/>
      <c r="Z3021" s="12"/>
    </row>
    <row r="3022" spans="1:26" ht="15.75" customHeight="1" x14ac:dyDescent="0.3">
      <c r="A3022" s="3"/>
      <c r="B3022" s="167"/>
      <c r="C3022" s="94"/>
      <c r="D3022" s="12"/>
      <c r="E3022" s="167"/>
      <c r="F3022" s="12"/>
      <c r="G3022" s="331"/>
      <c r="H3022" s="474"/>
      <c r="I3022" s="475"/>
      <c r="J3022" s="476"/>
      <c r="K3022" s="5"/>
      <c r="L3022" s="3"/>
      <c r="M3022" s="6"/>
      <c r="N3022" s="9"/>
      <c r="O3022" s="9"/>
      <c r="P3022" s="12"/>
      <c r="Q3022" s="12"/>
      <c r="R3022" s="12"/>
      <c r="S3022" s="151"/>
      <c r="T3022" s="12"/>
      <c r="U3022" s="12"/>
      <c r="V3022" s="12"/>
      <c r="W3022" s="12"/>
      <c r="X3022" s="12"/>
      <c r="Y3022" s="12"/>
      <c r="Z3022" s="12"/>
    </row>
    <row r="3023" spans="1:26" ht="15.75" customHeight="1" x14ac:dyDescent="0.3">
      <c r="A3023" s="3"/>
      <c r="B3023" s="167"/>
      <c r="C3023" s="94"/>
      <c r="D3023" s="12"/>
      <c r="E3023" s="167"/>
      <c r="F3023" s="12"/>
      <c r="G3023" s="331"/>
      <c r="H3023" s="474"/>
      <c r="I3023" s="475"/>
      <c r="J3023" s="476"/>
      <c r="K3023" s="5"/>
      <c r="L3023" s="3"/>
      <c r="M3023" s="6"/>
      <c r="N3023" s="9"/>
      <c r="O3023" s="9"/>
      <c r="P3023" s="12"/>
      <c r="Q3023" s="12"/>
      <c r="R3023" s="12"/>
      <c r="S3023" s="151"/>
      <c r="T3023" s="12"/>
      <c r="U3023" s="12"/>
      <c r="V3023" s="12"/>
      <c r="W3023" s="12"/>
      <c r="X3023" s="12"/>
      <c r="Y3023" s="12"/>
      <c r="Z3023" s="12"/>
    </row>
    <row r="3024" spans="1:26" ht="15.75" customHeight="1" x14ac:dyDescent="0.3">
      <c r="A3024" s="3"/>
      <c r="B3024" s="167"/>
      <c r="C3024" s="94"/>
      <c r="D3024" s="12"/>
      <c r="E3024" s="167"/>
      <c r="F3024" s="12"/>
      <c r="G3024" s="331"/>
      <c r="H3024" s="474"/>
      <c r="I3024" s="475"/>
      <c r="J3024" s="476"/>
      <c r="K3024" s="5"/>
      <c r="L3024" s="3"/>
      <c r="M3024" s="6"/>
      <c r="N3024" s="9"/>
      <c r="O3024" s="9"/>
      <c r="P3024" s="12"/>
      <c r="Q3024" s="12"/>
      <c r="R3024" s="12"/>
      <c r="S3024" s="151"/>
      <c r="T3024" s="12"/>
      <c r="U3024" s="12"/>
      <c r="V3024" s="12"/>
      <c r="W3024" s="12"/>
      <c r="X3024" s="12"/>
      <c r="Y3024" s="12"/>
      <c r="Z3024" s="12"/>
    </row>
  </sheetData>
  <printOptions horizontalCentered="1"/>
  <pageMargins left="0.7" right="0.7" top="0.75" bottom="0.75" header="0" footer="0"/>
  <pageSetup paperSize="5" orientation="landscape"/>
  <rowBreaks count="1" manualBreakCount="1">
    <brk id="13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vt:lpstr>
      <vt:lpstr>Template</vt:lpstr>
      <vt:lpstr>BIR_Consolidated_YearEnd</vt:lpstr>
      <vt:lpstr>toshiba</vt:lpstr>
      <vt:lpstr>for non toshiba</vt:lpstr>
      <vt:lpstr>non-toshiba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Andal</cp:lastModifiedBy>
  <dcterms:modified xsi:type="dcterms:W3CDTF">2026-01-27T07:47:19Z</dcterms:modified>
</cp:coreProperties>
</file>